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9555" tabRatio="948" firstSheet="7" activeTab="11"/>
  </bookViews>
  <sheets>
    <sheet name="_config_" sheetId="3" r:id="rId1"/>
    <sheet name="_table_" sheetId="5" r:id="rId2"/>
    <sheet name="_language_" sheetId="4" r:id="rId3"/>
    <sheet name="table符号定义" sheetId="6" r:id="rId4"/>
    <sheet name="sound_effect" sheetId="35" r:id="rId5"/>
    <sheet name="effect" sheetId="18" r:id="rId6"/>
    <sheet name="card_type" sheetId="10" r:id="rId7"/>
    <sheet name="card" sheetId="29" r:id="rId8"/>
    <sheet name="卡牌辅助配置表" sheetId="33" r:id="rId9"/>
    <sheet name="buff的资质计算" sheetId="34" r:id="rId10"/>
    <sheet name="skill" sheetId="2" r:id="rId11"/>
    <sheet name="talent_type" sheetId="39" r:id="rId12"/>
    <sheet name="buff" sheetId="31" r:id="rId13"/>
    <sheet name="battle_group" sheetId="7" r:id="rId14"/>
    <sheet name="monster" sheetId="8" r:id="rId15"/>
    <sheet name="model" sheetId="21" r:id="rId16"/>
    <sheet name="npc_level_config" sheetId="24" r:id="rId17"/>
    <sheet name="npc_growth" sheetId="37" r:id="rId18"/>
    <sheet name="combat_ability" sheetId="36" r:id="rId19"/>
    <sheet name="passive_type" sheetId="25" r:id="rId20"/>
    <sheet name="passive" sheetId="28" r:id="rId21"/>
    <sheet name="心法辅助配置表" sheetId="41" r:id="rId22"/>
    <sheet name="home_sport" sheetId="17" r:id="rId23"/>
    <sheet name="property_exp" sheetId="12" r:id="rId24"/>
    <sheet name="home_decorate" sheetId="14" r:id="rId25"/>
    <sheet name="collect_type" sheetId="16" r:id="rId26"/>
    <sheet name="home_decorate_level" sheetId="40" r:id="rId27"/>
    <sheet name="home_shop" sheetId="13" r:id="rId28"/>
    <sheet name="card_hard_level" sheetId="23" r:id="rId29"/>
    <sheet name="drop" sheetId="9" r:id="rId30"/>
    <sheet name="辅助" sheetId="11" r:id="rId31"/>
  </sheets>
  <externalReferences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6" hidden="1">card_type!$A$5:$AK$112</definedName>
    <definedName name="_xlnm._FilterDatabase" localSheetId="7" hidden="1">card!$A$5:$AL$2458</definedName>
    <definedName name="_xlnm._FilterDatabase" localSheetId="10" hidden="1">skill!$A$5:$V$251</definedName>
    <definedName name="_xlnm._FilterDatabase" localSheetId="12" hidden="1">buff!$A$5:$AF$418</definedName>
    <definedName name="_xlnm._FilterDatabase" localSheetId="13" hidden="1">battle_group!$A$5:$N$607</definedName>
    <definedName name="_xlnm._FilterDatabase" localSheetId="15" hidden="1">model!$A$5:$P$95</definedName>
    <definedName name="_xlnm._FilterDatabase" localSheetId="16" hidden="1">npc_level_config!$A$248:$X$548</definedName>
    <definedName name="_xlnm._FilterDatabase" localSheetId="19" hidden="1">passive_type!$A$5:$XFB$41</definedName>
    <definedName name="_xlnm._FilterDatabase" localSheetId="20" hidden="1">passive!$A$5:$AE$283</definedName>
    <definedName name="_xlnm._FilterDatabase" localSheetId="23" hidden="1">property_exp!$C$1:$C$505</definedName>
    <definedName name="_xlnm._FilterDatabase" localSheetId="25" hidden="1">collect_type!$A$5:$J$563</definedName>
    <definedName name="_xlnm._FilterDatabase" localSheetId="29" hidden="1">drop!$A$5:$N$635</definedName>
    <definedName name="_xlnm._FilterDatabase" localSheetId="5" hidden="1">effect!$D$1:$D$41</definedName>
    <definedName name="_xlnm._FilterDatabase" localSheetId="24" hidden="1">home_decorate!$H$1:$H$245</definedName>
    <definedName name="_xlnm._FilterDatabase" localSheetId="22" hidden="1">home_sport!$A$1:$AW$65</definedName>
    <definedName name="_xlnm._FilterDatabase" localSheetId="14" hidden="1">monster!$A$5:$W$682</definedName>
    <definedName name="_xlnm._FilterDatabase" localSheetId="8" hidden="1">卡牌辅助配置表!$Y$21:$AF$961</definedName>
    <definedName name="书籍">collect_type!$H$394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风云</author>
  </authors>
  <commentList>
    <comment ref="D2" authorId="0">
      <text>
        <r>
          <rPr>
            <b/>
            <sz val="9"/>
            <rFont val="宋体"/>
            <charset val="134"/>
          </rPr>
          <t>风云:</t>
        </r>
        <r>
          <rPr>
            <sz val="9"/>
            <rFont val="宋体"/>
            <charset val="134"/>
          </rPr>
          <t xml:space="preserve">
只有背景音乐可以设置为循环</t>
        </r>
      </text>
    </comment>
    <comment ref="H2" authorId="0">
      <text>
        <r>
          <rPr>
            <b/>
            <sz val="9"/>
            <rFont val="宋体"/>
            <charset val="134"/>
          </rPr>
          <t>风云:</t>
        </r>
        <r>
          <rPr>
            <sz val="9"/>
            <rFont val="宋体"/>
            <charset val="134"/>
          </rPr>
          <t xml:space="preserve">
客户端说做不了，此字段暂时不用。</t>
        </r>
      </text>
    </comment>
  </commentList>
</comments>
</file>

<file path=xl/comments2.xml><?xml version="1.0" encoding="utf-8"?>
<comments xmlns="http://schemas.openxmlformats.org/spreadsheetml/2006/main">
  <authors>
    <author>111</author>
    <author>Windows User</author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标蓝的为已投招式，不能改id</t>
        </r>
      </text>
    </comment>
    <comment ref="L2" authorId="1">
      <text>
        <r>
          <rPr>
            <b/>
            <sz val="9"/>
            <rFont val="宋体"/>
            <charset val="134"/>
          </rPr>
          <t>1：拳法 对应 game_config 中的第一二个选项
2：施法 对应game_config 中的第三四个选项
3：剑诀 对应game_config 中的第五六个选项</t>
        </r>
      </text>
    </comment>
    <comment ref="N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0.无（无与属性挂钩的基础效果）
1.伤害
2.回复
3.护盾</t>
        </r>
      </text>
    </comment>
    <comment ref="Z2" authorId="1">
      <text>
        <r>
          <rPr>
            <b/>
            <sz val="9"/>
            <rFont val="宋体"/>
            <charset val="134"/>
          </rPr>
          <t>对应composite目录表中的sound_effect表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境界影响属性系数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品质影响属性系数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费用影响属性系数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费用影响属性系数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固定效果相对资质系数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属性伤害成长值与资质占比
</t>
        </r>
      </text>
    </comment>
    <comment ref="R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0.无（无与属性挂钩的基础效果）
1.伤害
2.回复
3.护盾</t>
        </r>
      </text>
    </comment>
    <comment ref="V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属性等级对应
伤害/回血/护甲类型的成长值）
=固定资质*系数
该值=每提升1级属性等级所带来的伤害/护甲/回血提升</t>
        </r>
      </text>
    </comment>
    <comment ref="W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属性等级对应
伤害/回血/护甲类型的成长值）
=固定资质*系数
该值=每提升1级属性等级所带来的伤害/护甲/回血提升</t>
        </r>
      </text>
    </comment>
    <comment ref="A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0.不处理
1.本回合出过&gt;0张指定武器类型牌
2.本回合过&gt;0张指定属性类型牌
3.出牌顺序前一招为指定武器类型时
4.出牌顺序前一招为指定属性类型时
5.同时打出全是指定武器类型时
6.同时打出全是指定属性类型时
7.目标处于指定状态时（buff表id）
8.出牌顺序在第一招时
9.仅出1招时
10.自身处于指定状态时（buff表id）
11.血量低于x%（万分比）
12.直接生效
13.累计出过&gt;0张指定武器类型牌
14.累计出过&gt;0张指定属性类型牌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0.无
1.增加当前招式伤害x/x%点
2.叠加某种状态x层
3.增加护甲
4.清除某种状态x层
5.抽取x张指定武器/属性牌并且打出
6.回复生命
7.使某种状态层数*x
9.x~y次伤害
10.增加x%真实伤害
12.触发该状态效果a次
13.存在x层某种状态（冰冻、中毒、灼烧、魂等）时，本招真气消耗-x
14.减少护甲
15.消除任意正面buff  x层
16.消除任意负面buff  x层
17.吸血效果
18.消耗物品id
19.根据伤害增加护甲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0.直接取value值本招造成伤害
1.累计多少张指定牌
2.损失血量
3.本回合累计造成伤害
4.按护甲数值
5.根据指定状态层数
6.损失血量百分比
7.生命上限
8.当前生命
9.当前消除buff层数
</t>
        </r>
      </text>
    </comment>
    <comment ref="J2" authorId="0">
      <text>
        <r>
          <rPr>
            <b/>
            <sz val="9"/>
            <rFont val="宋体"/>
            <charset val="134"/>
          </rPr>
          <t>Administrator:
非buff技能时作用对象目标，
挂buff技能时指buff挂在谁身上</t>
        </r>
      </text>
    </comment>
    <comment ref="O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增加固定伤害或护甲或回血的技能，
需要自行设定所需费用
然后去伤害模型里面取对应境界的平均属性的值
如果固定值系数有变化，数值也要重新去伤害模型里面取值
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心法不配该值，否则会被清除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1.造成伤害（需要结算属性系数）
2.冰冻效果（概率使敌人下一招无效）
3.(新)增加护甲（需要结算属性系数）              
4.造成真实伤害（需要结算属性系数）
5.使敌人下一招失效（在释放技能开始时）
6.回复生命（需要结算属性系数）
7.增加指定武器/属性（如果没有配则对所有类型生效）伤害x%(在卡牌效果计算后，卡牌面板上体现加成)
8.增加目标受到伤害x%（卡牌打到敌人后，卡牌面板不体现加成）
9.反弹受到的伤害x%（目标受到伤害后生效）
10.多抽x张指定卡
11.使打出的指定类型卡（若没有配类型则对所有类型生效）叠加指定状态层数+x（卡牌生效后）
12.血量最低不低于1,
13.叠加x层某种状态
14</t>
        </r>
        <r>
          <rPr>
            <b/>
            <i/>
            <sz val="9"/>
            <rFont val="宋体"/>
            <charset val="134"/>
          </rPr>
          <t xml:space="preserve">.降低指定武器/属性（如果没有配则对所有类型生效）伤害x%(在卡牌效果计算后，卡牌面板上体现加成)
</t>
        </r>
        <r>
          <rPr>
            <sz val="9"/>
            <rFont val="宋体"/>
            <charset val="134"/>
          </rPr>
          <t xml:space="preserve">15.抽一张牌并且打出
16.吸血x%
17.免疫debuff
18.清除debuff
19.回合开始时减少相应数量指定牌消耗1
20.免疫指定buff
21.获得每秒赚钱收益*具体值的灵石
22.使下一招生效2次
23.增加费用（下一回合开始时生效）
24.降低费用（下一回合开始时生效）
</t>
        </r>
      </text>
    </commen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=1，每回合开始时
=2，回合结束时
=3，敌人使用招式时
=4，自己使用招式时
=5，(新)扣血时进行判断
=6，选牌时判断
=7，任意时候都生效
=8，战斗结算时</t>
        </r>
      </text>
    </comment>
    <comment ref="Q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只有buff生效时机为使用卡牌时需要配置数量
</t>
        </r>
      </text>
    </comment>
    <comment ref="S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0.不处理
1.
2.
3.
4.按护甲值
5.生效时候根据当前buff层数*基础值计算效果
6.
7.
8.当前生命
9.
10.累计损失血量占比=累计损失血量/总量
11.</t>
        </r>
      </text>
    </comment>
    <comment ref="X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这里才算每层生效概率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0-1000，扫荡关卡
1000-1999。副本战斗
2000-2999来访，特殊历练事件
3000-3999。</t>
        </r>
      </text>
    </comment>
  </commentList>
</comments>
</file>

<file path=xl/comments7.xml><?xml version="1.0" encoding="utf-8"?>
<comments xmlns="http://schemas.openxmlformats.org/spreadsheetml/2006/main">
  <authors>
    <author>风云</author>
  </authors>
  <commentList>
    <comment ref="H2" authorId="0">
      <text>
        <r>
          <rPr>
            <b/>
            <sz val="9"/>
            <rFont val="宋体"/>
            <charset val="134"/>
          </rPr>
          <t>风云:</t>
        </r>
        <r>
          <rPr>
            <sz val="9"/>
            <rFont val="宋体"/>
            <charset val="134"/>
          </rPr>
          <t xml:space="preserve">
1.红色
2.橙黄色
3.绿色
4.蓝色
5.紫色
6.黑色
7.灰色
8.白色</t>
        </r>
      </text>
    </comment>
  </commentList>
</comments>
</file>

<file path=xl/comments8.xml><?xml version="1.0" encoding="utf-8"?>
<comments xmlns="http://schemas.openxmlformats.org/spreadsheetml/2006/main">
  <authors>
    <author>111</author>
    <author>Administrator</author>
  </authors>
  <commentList>
    <comment ref="J1" authorId="0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普通难度</t>
        </r>
      </text>
    </comment>
    <comment ref="L1" authorId="0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精英难度</t>
        </r>
      </text>
    </comment>
    <comment ref="M1" authorId="0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魔渊普通难度</t>
        </r>
      </text>
    </comment>
    <comment ref="N1" authorId="0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攻击/防御力</t>
        </r>
      </text>
    </comment>
    <comment ref="D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100通用历练事件难度
200扫荡解锁战斗难度（还是随机npc难度）
300偷天大盗战斗难度
500~600魔渊战斗难度
</t>
        </r>
      </text>
    </comment>
    <comment ref="L2" authorId="1">
      <text>
        <r>
          <rPr>
            <sz val="9"/>
            <rFont val="宋体"/>
            <charset val="134"/>
          </rPr>
          <t>修为达到上限时的血量值，可以进行换算，超出基础修为的差值乘以L列（属性换算系数）就是额外增加的血量</t>
        </r>
      </text>
    </comment>
  </commentList>
</comments>
</file>

<file path=xl/comments9.xml><?xml version="1.0" encoding="utf-8"?>
<comments xmlns="http://schemas.openxmlformats.org/spreadsheetml/2006/main">
  <authors>
    <author>111</author>
  </authors>
  <commentList>
    <comment ref="T2" authorId="0">
      <text>
        <r>
          <rPr>
            <sz val="9"/>
            <rFont val="宋体"/>
            <charset val="134"/>
          </rPr>
          <t>配置方式
条件类型a|条件数据a1|条件数据a2|；条件类型b|条件数据b1|条件数据b2|；
条件类型：
1=门派好感度。配置为1|门派id|好感度值|;
2=正邪值。配置为2|正邪值/等级
3=某品质心法达到x重的数量。配置为3|品质id|所需重数|所需个数
4=锻造出x品质装备的数量。配置为4|品质|数量
5=炼制出x品质丹药的数量。配置为5|品质|数量
6=某招式达到等级x。配置为6|招式card_type_id|招式等级
7=击杀npc数量。配置为7|击杀npc数量</t>
        </r>
      </text>
    </comment>
  </commentList>
</comments>
</file>

<file path=xl/comments10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 根骨属性增加  根骨=原始根骨+效果
2  悟性属性增加  悟性=原始悟性+效果(累加)
3  魅力属性增加  魅力=原始魅力+效果(累加)
4  神识属性增加  神识=原始神识+效果(累加)
5  机缘属性增加  机缘=原始机缘+效果(累加)
6  赚钱能力加成（万分比）  产出=原始产出*（1+效果）(当前值)
7  重伤恢复速度增加（万分比）  </t>
        </r>
        <r>
          <rPr>
            <b/>
            <sz val="9"/>
            <rFont val="宋体"/>
            <charset val="134"/>
          </rPr>
          <t xml:space="preserve">恢复时间=恢复时间/（1+效果）(当前值)
</t>
        </r>
        <r>
          <rPr>
            <sz val="9"/>
            <rFont val="宋体"/>
            <charset val="134"/>
          </rPr>
          <t xml:space="preserve">8  增加精力上限（具体值）  精力=原始精力+效果(当前值)
9  参悟点获取加成（万分比）  参悟点=原始 *（1+效果）(当前值)
10  历练速度加成（万分比）  </t>
        </r>
        <r>
          <rPr>
            <b/>
            <sz val="9"/>
            <rFont val="宋体"/>
            <charset val="134"/>
          </rPr>
          <t>历练时间=原始/（1+效果）</t>
        </r>
        <r>
          <rPr>
            <sz val="9"/>
            <rFont val="宋体"/>
            <charset val="134"/>
          </rPr>
          <t xml:space="preserve">(当前值)
</t>
        </r>
        <r>
          <rPr>
            <u/>
            <sz val="9"/>
            <rFont val="宋体"/>
            <charset val="134"/>
          </rPr>
          <t xml:space="preserve">11  增加攻击力（具体值）攻击力=原始+效果(累加)
12  增加生命值  生命=原始+效果(累加)
13  增加寿元  寿元=原始+效果(累加)
</t>
        </r>
        <r>
          <rPr>
            <sz val="9"/>
            <rFont val="宋体"/>
            <charset val="134"/>
          </rPr>
          <t xml:space="preserve">14  锻炼速度增加（万分比） </t>
        </r>
        <r>
          <rPr>
            <b/>
            <sz val="9"/>
            <rFont val="宋体"/>
            <charset val="134"/>
          </rPr>
          <t xml:space="preserve"> 锻炼时间=原始/（1+效果）(当前值)
</t>
        </r>
        <r>
          <rPr>
            <sz val="9"/>
            <rFont val="宋体"/>
            <charset val="134"/>
          </rPr>
          <t xml:space="preserve">15  增加精力回复速度（万分比）  </t>
        </r>
        <r>
          <rPr>
            <b/>
            <sz val="9"/>
            <rFont val="宋体"/>
            <charset val="134"/>
          </rPr>
          <t xml:space="preserve">精力回复时间=原始/（1+效果）(当前值)
</t>
        </r>
        <r>
          <rPr>
            <sz val="9"/>
            <rFont val="宋体"/>
            <charset val="134"/>
          </rPr>
          <t xml:space="preserve">16  主线任务奖励提升  主线任务奖励=原始*（1+效果）(当前值)
17  增加加速修炼时间  加速修炼=原始+效果(当前值)
18  离线金币收益提升  离线金币=原始*（1+效果）(当前值)
19  看视频补钱的奖励提升   看视频奖励=原始*（1+效果）(当前值)
20  减少时间流逝速度  游戏年时间=原始*（1+效果）(当前值)
</t>
        </r>
        <r>
          <rPr>
            <u/>
            <sz val="9"/>
            <rFont val="宋体"/>
            <charset val="134"/>
          </rPr>
          <t xml:space="preserve">21  防御力=原始+效果(累加)
22  修为获取速度+%（万分比）
23  吐纳次数+x（具体值）
24  吐纳效果+%（万分比）
25  服用丹药次数+1（具体值）
26  服用丹药修为+%（万分比）
27  攻击怪物伤害+%（万分比）
28  受怪物伤害降低+%（万分比）
29  攻击玩家伤害+%（万分比）
30  降低受到玩家伤害+%（万分比）
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累加之前的值的效果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</t>
        </r>
      </text>
    </commen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直接读取该值的效果
用于配置百分比的类型</t>
        </r>
      </text>
    </comment>
    <comment ref="S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直接读取该值的效果
用于配置百分比的类型</t>
        </r>
      </text>
    </comment>
    <comment ref="U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=0，默认生效，战斗开始时判断1次，
=1，每回合开始时，判断1次
=2，每个回合结束时，判断1次</t>
        </r>
      </text>
    </comment>
    <comment ref="W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增加护甲</t>
        </r>
      </text>
    </comment>
    <comment ref="A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对应物品表心法id</t>
        </r>
      </text>
    </comment>
    <comment ref="A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若上一级未领悟功法，则累加之前领悟功法概率，当领悟功法后，累加概率清零</t>
        </r>
      </text>
    </comment>
  </commentList>
</comments>
</file>

<file path=xl/comments11.xml><?xml version="1.0" encoding="utf-8"?>
<comments xmlns="http://schemas.openxmlformats.org/spreadsheetml/2006/main">
  <authors>
    <author>Windows User</author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标红的为没资源   空缺的为不需要资源</t>
        </r>
        <r>
          <rPr>
            <sz val="9"/>
            <rFont val="宋体"/>
            <charset val="134"/>
          </rPr>
          <t xml:space="preserve">
</t>
        </r>
      </text>
    </comment>
    <comment ref="F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在本表中无意义</t>
        </r>
      </text>
    </comment>
    <comment ref="L2" authorId="1">
      <text>
        <r>
          <rPr>
            <sz val="9"/>
            <rFont val="宋体"/>
            <charset val="134"/>
          </rPr>
          <t>400007 根骨
400008 悟性
400009 魅力
400010 神识 
400011 机缘</t>
        </r>
      </text>
    </comment>
    <comment ref="P2" authorId="1">
      <text>
        <r>
          <rPr>
            <sz val="9"/>
            <rFont val="宋体"/>
            <charset val="134"/>
          </rPr>
          <t>使用后的增加属性说明
，[0]对应属性种类，[1]对应增加数值</t>
        </r>
      </text>
    </comment>
    <comment ref="Q2" authorId="1">
      <text>
        <r>
          <rPr>
            <sz val="9"/>
            <rFont val="宋体"/>
            <charset val="134"/>
          </rPr>
          <t>使用后的增加属性说明
，[0]对应属性种类，[1]对应增加数值</t>
        </r>
      </text>
    </comment>
    <comment ref="AA2" authorId="1">
      <text>
        <r>
          <rPr>
            <sz val="9"/>
            <rFont val="宋体"/>
            <charset val="134"/>
          </rPr>
          <t xml:space="preserve">执行动作 对应交接文件夹内（全名为家园详细注意事项文件夹）的家园动作特效规划.xlsx 文件夹 </t>
        </r>
      </text>
    </comment>
    <comment ref="AB2" authorId="0">
      <text>
        <r>
          <rPr>
            <sz val="9"/>
            <rFont val="宋体"/>
            <charset val="134"/>
          </rPr>
          <t xml:space="preserve">需美术提供，对应模型的挂点 
</t>
        </r>
      </text>
    </comment>
    <comment ref="AE2" authorId="1">
      <text>
        <r>
          <rPr>
            <sz val="9"/>
            <rFont val="宋体"/>
            <charset val="134"/>
          </rPr>
          <t xml:space="preserve">索引home_decorate中的id，home_decorate对应的条目中的level就是解锁锻炼器材所需要的家具的等级，
1：桌子
2：床
3：墙壁
4：室内装饰
5：书架
6：院落装饰
</t>
        </r>
      </text>
    </comment>
    <comment ref="AL2" authorId="1">
      <text>
        <r>
          <rPr>
            <b/>
            <sz val="9"/>
            <rFont val="宋体"/>
            <charset val="134"/>
          </rPr>
          <t>1:大型家具锤子特效
2：小型家具 清新特效</t>
        </r>
        <r>
          <rPr>
            <sz val="9"/>
            <rFont val="宋体"/>
            <charset val="134"/>
          </rPr>
          <t xml:space="preserve">
</t>
        </r>
      </text>
    </comment>
    <comment ref="AM2" authorId="0">
      <text>
        <r>
          <rPr>
            <b/>
            <sz val="9"/>
            <rFont val="宋体"/>
            <charset val="134"/>
          </rPr>
          <t>家园家具器材位置坐标</t>
        </r>
        <r>
          <rPr>
            <sz val="9"/>
            <rFont val="宋体"/>
            <charset val="134"/>
          </rPr>
          <t xml:space="preserve">
在本表无实际意义</t>
        </r>
      </text>
    </comment>
    <comment ref="AV2" authorId="0">
      <text>
        <r>
          <rPr>
            <b/>
            <sz val="9"/>
            <rFont val="宋体"/>
            <charset val="134"/>
          </rPr>
          <t>标红的为没资源   空缺的为不需要资源</t>
        </r>
        <r>
          <rPr>
            <sz val="9"/>
            <rFont val="宋体"/>
            <charset val="134"/>
          </rPr>
          <t xml:space="preserve">
</t>
        </r>
      </text>
    </comment>
    <comment ref="H6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程序根据名字和境界进行寻找，衣橱名字不能更改</t>
        </r>
      </text>
    </comment>
  </commentList>
</comments>
</file>

<file path=xl/comments12.xml><?xml version="1.0" encoding="utf-8"?>
<comments xmlns="http://schemas.openxmlformats.org/spreadsheetml/2006/main">
  <authors>
    <author>Administrator</author>
    <author>Windows User</author>
  </authors>
  <commentList>
    <comment ref="B2" authorId="0">
      <text>
        <r>
          <rPr>
            <sz val="9"/>
            <rFont val="宋体"/>
            <charset val="134"/>
          </rPr>
          <t>1：根骨
2：悟性
3：魅力
4：神识
5：福缘</t>
        </r>
      </text>
    </comment>
    <comment ref="F2" authorId="0">
      <text>
        <r>
          <rPr>
            <sz val="9"/>
            <rFont val="宋体"/>
            <charset val="134"/>
          </rPr>
          <t>五维属性进行修为换算</t>
        </r>
      </text>
    </comment>
    <comment ref="D4" authorId="1">
      <text>
        <r>
          <rPr>
            <b/>
            <sz val="9"/>
            <rFont val="宋体"/>
            <charset val="134"/>
          </rPr>
          <t>美中属性的等级上限</t>
        </r>
      </text>
    </comment>
  </commentList>
</comments>
</file>

<file path=xl/comments13.xml><?xml version="1.0" encoding="utf-8"?>
<comments xmlns="http://schemas.openxmlformats.org/spreadsheetml/2006/main">
  <authors>
    <author>Administrator</author>
    <author>Windows User</author>
  </authors>
  <commentList>
    <comment ref="A2" authorId="0">
      <text>
        <r>
          <rPr>
            <b/>
            <sz val="9"/>
            <rFont val="宋体"/>
            <charset val="134"/>
          </rPr>
          <t>101001 从左向右看，第一个1代表装饰类型，第二个1代表品阶，第三个代表等级</t>
        </r>
        <r>
          <rPr>
            <sz val="9"/>
            <rFont val="宋体"/>
            <charset val="134"/>
          </rPr>
          <t xml:space="preserve">
</t>
        </r>
      </text>
    </comment>
    <comment ref="B2" authorId="0">
      <text>
        <r>
          <rPr>
            <b/>
            <sz val="9"/>
            <rFont val="宋体"/>
            <charset val="134"/>
          </rPr>
          <t>1：凡人境
2：练气境
3：筑基境</t>
        </r>
        <r>
          <rPr>
            <sz val="9"/>
            <rFont val="宋体"/>
            <charset val="134"/>
          </rPr>
          <t xml:space="preserve">
</t>
        </r>
      </text>
    </comment>
    <comment ref="C2" authorId="0">
      <text>
        <r>
          <rPr>
            <b/>
            <sz val="9"/>
            <rFont val="宋体"/>
            <charset val="134"/>
          </rPr>
          <t>1：桌子
2：床
3：墙壁
4：室内装饰
5：书架
6：院落装饰
7：丹鼎
8：炼器台</t>
        </r>
      </text>
    </comment>
    <comment ref="D2" authorId="0">
      <text>
        <r>
          <rPr>
            <b/>
            <sz val="9"/>
            <rFont val="宋体"/>
            <charset val="134"/>
          </rPr>
          <t>1：桌子
2：床
3：墙壁
4：室内装饰
5：书架
6：院落装饰
7：衣柜
8：炼器台</t>
        </r>
      </text>
    </comment>
    <comment ref="F2" authorId="1">
      <text>
        <r>
          <rPr>
            <b/>
            <sz val="9"/>
            <rFont val="宋体"/>
            <charset val="134"/>
          </rPr>
          <t>红色的为暂无图标</t>
        </r>
        <r>
          <rPr>
            <sz val="9"/>
            <rFont val="宋体"/>
            <charset val="134"/>
          </rPr>
          <t xml:space="preserve">
</t>
        </r>
      </text>
    </comment>
    <comment ref="H2" authorId="1">
      <text>
        <r>
          <rPr>
            <b/>
            <sz val="9"/>
            <rFont val="宋体"/>
            <charset val="134"/>
          </rPr>
          <t>0：是
1：否
2：有变化，但不是物体本身的进阶，而是会产生别的物品，例如花园升级，此时去 up_star_location
获取具体的进阶物品的坐标</t>
        </r>
      </text>
    </comment>
    <comment ref="I2" authorId="1">
      <text>
        <r>
          <rPr>
            <b/>
            <sz val="9"/>
            <rFont val="宋体"/>
            <charset val="134"/>
          </rPr>
          <t>目前只有丹鼎用得到，可能炼器台也要加入</t>
        </r>
      </text>
    </comment>
    <comment ref="M2" authorId="0">
      <text>
        <r>
          <rPr>
            <b/>
            <sz val="9"/>
            <rFont val="宋体"/>
            <charset val="134"/>
          </rPr>
          <t>1:种田
2：林场
3：鱼塘
4：矿场</t>
        </r>
        <r>
          <rPr>
            <sz val="9"/>
            <rFont val="宋体"/>
            <charset val="134"/>
          </rPr>
          <t xml:space="preserve">
</t>
        </r>
      </text>
    </comment>
    <comment ref="O2" authorId="0">
      <text>
        <r>
          <rPr>
            <sz val="9"/>
            <rFont val="宋体"/>
            <charset val="134"/>
          </rPr>
          <t>物品等级，目前最高为三十级，需注意，同境界同种类物品发生形态变化时等级不清零，例如十级的四方桌升级后就是十一级的六仙桌</t>
        </r>
      </text>
    </comment>
  </commentList>
</comments>
</file>

<file path=xl/comments14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sz val="9"/>
            <rFont val="宋体"/>
            <charset val="134"/>
          </rPr>
          <t xml:space="preserve">从左向右看，第一个一代表类型，第二个代表品阶，第三个代表等级
</t>
        </r>
      </text>
    </comment>
    <comment ref="C2" authorId="0">
      <text>
        <r>
          <rPr>
            <b/>
            <sz val="9"/>
            <rFont val="宋体"/>
            <charset val="134"/>
          </rPr>
          <t>1：田地
2：林场
3：鱼塘
4：矿场
5：牧场
6：经商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1：凡人境
2：练气境
3：筑基境</t>
        </r>
      </text>
    </comment>
    <comment ref="D2" authorId="0">
      <text>
        <r>
          <rPr>
            <b/>
            <sz val="9"/>
            <rFont val="宋体"/>
            <charset val="134"/>
          </rPr>
          <t>400007 根骨
400008 悟性
400009 魅力
400010 神识 
400011 机缘</t>
        </r>
      </text>
    </comment>
    <comment ref="G2" authorId="0">
      <text>
        <r>
          <rPr>
            <sz val="9"/>
            <rFont val="宋体"/>
            <charset val="134"/>
          </rPr>
          <t>使用后的增加属性说明
，[0]对应属性种类，[1]对应增加数值</t>
        </r>
      </text>
    </comment>
    <comment ref="H2" authorId="0">
      <text>
        <r>
          <rPr>
            <sz val="9"/>
            <rFont val="宋体"/>
            <charset val="134"/>
          </rPr>
          <t>使用后的增加属性说明
，[0]对应属性种类，[1]对应增加数值</t>
        </r>
      </text>
    </comment>
    <comment ref="M2" authorId="0">
      <text>
        <r>
          <rPr>
            <sz val="9"/>
            <rFont val="宋体"/>
            <charset val="134"/>
          </rPr>
          <t xml:space="preserve">索引home_decorate中的id，home_decorate对应的条目中的level就是解锁锻炼器材所需要的家具的等级
</t>
        </r>
      </text>
    </comment>
  </commentList>
</comments>
</file>

<file path=xl/comments16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1表示轮询（同一组逐个计算每一条的概率，需要配置机率）
2表示权重（同一组计算每一条的权重，取其中一条为结果）
3表示子集（配置最终物品和物品的掉落数量
）
</t>
        </r>
      </text>
    </comment>
  </commentList>
</comments>
</file>

<file path=xl/sharedStrings.xml><?xml version="1.0" encoding="utf-8"?>
<sst xmlns="http://schemas.openxmlformats.org/spreadsheetml/2006/main" count="20120" uniqueCount="4089">
  <si>
    <t>配置表</t>
  </si>
  <si>
    <t>表名</t>
  </si>
  <si>
    <t>生成文件名</t>
  </si>
  <si>
    <t>是否输出</t>
  </si>
  <si>
    <t>id重复</t>
  </si>
  <si>
    <t>是否是多语言</t>
  </si>
  <si>
    <t>关联</t>
  </si>
  <si>
    <t>列1</t>
  </si>
  <si>
    <t>card_type</t>
  </si>
  <si>
    <t>YES</t>
  </si>
  <si>
    <t>NO</t>
  </si>
  <si>
    <t>卡牌类型表</t>
  </si>
  <si>
    <t>card</t>
  </si>
  <si>
    <t>卡牌表</t>
  </si>
  <si>
    <t>skill</t>
  </si>
  <si>
    <t>技能表</t>
  </si>
  <si>
    <t>buff</t>
  </si>
  <si>
    <t>状态表</t>
  </si>
  <si>
    <t>passive_type</t>
  </si>
  <si>
    <t>心法类型</t>
  </si>
  <si>
    <t>passive</t>
  </si>
  <si>
    <t>心法表</t>
  </si>
  <si>
    <t>battle_group</t>
  </si>
  <si>
    <t>战斗卡牌表</t>
  </si>
  <si>
    <t>monster</t>
  </si>
  <si>
    <t>怪物表</t>
  </si>
  <si>
    <t>drop</t>
  </si>
  <si>
    <t>掉落表</t>
  </si>
  <si>
    <t>property_exp</t>
  </si>
  <si>
    <t>五种属性升级所需要的经验值</t>
  </si>
  <si>
    <t>home_shop</t>
  </si>
  <si>
    <t>丹药商品表</t>
  </si>
  <si>
    <t>home_decorate</t>
  </si>
  <si>
    <t>房屋装饰表</t>
  </si>
  <si>
    <t>collect_type</t>
  </si>
  <si>
    <t>建造经营配置表</t>
  </si>
  <si>
    <t>home_sport</t>
  </si>
  <si>
    <t>锻炼器材表</t>
  </si>
  <si>
    <t>effect</t>
  </si>
  <si>
    <t>特效表</t>
  </si>
  <si>
    <t>model</t>
  </si>
  <si>
    <t>模型表</t>
  </si>
  <si>
    <t>npc_level_config</t>
  </si>
  <si>
    <t>npc强度配置表</t>
  </si>
  <si>
    <t>sound_effect</t>
  </si>
  <si>
    <t>音效配置表</t>
  </si>
  <si>
    <t>npc_growth</t>
  </si>
  <si>
    <t>npc境界表</t>
  </si>
  <si>
    <t>combat_ability</t>
  </si>
  <si>
    <t>战斗力压制表</t>
  </si>
  <si>
    <t>talent_type</t>
  </si>
  <si>
    <r>
      <rPr>
        <sz val="11"/>
        <color rgb="FF800080"/>
        <rFont val="等线"/>
        <charset val="134"/>
        <scheme val="minor"/>
      </rPr>
      <t>灵根效果</t>
    </r>
    <r>
      <rPr>
        <u/>
        <sz val="11"/>
        <color rgb="FF800080"/>
        <rFont val="等线"/>
        <charset val="134"/>
        <scheme val="minor"/>
      </rPr>
      <t>表</t>
    </r>
  </si>
  <si>
    <t>home_decorate_level</t>
  </si>
  <si>
    <t>建筑等级加成表</t>
  </si>
  <si>
    <t>字段解析法</t>
  </si>
  <si>
    <t>编号</t>
  </si>
  <si>
    <t>标题</t>
  </si>
  <si>
    <t>作用名</t>
  </si>
  <si>
    <t>中文解释</t>
  </si>
  <si>
    <t>字段</t>
  </si>
  <si>
    <t>字段类型</t>
  </si>
  <si>
    <t>数字定义</t>
  </si>
  <si>
    <t>id</t>
  </si>
  <si>
    <t>table_name</t>
  </si>
  <si>
    <t>name</t>
  </si>
  <si>
    <t>field_name</t>
  </si>
  <si>
    <t>field</t>
  </si>
  <si>
    <t>type</t>
  </si>
  <si>
    <t>道具信息</t>
  </si>
  <si>
    <t>goods_info</t>
  </si>
  <si>
    <t>物品id</t>
  </si>
  <si>
    <t>goods_id</t>
  </si>
  <si>
    <t>int</t>
  </si>
  <si>
    <t>TAB:[goods_info]</t>
  </si>
  <si>
    <t>物品数量</t>
  </si>
  <si>
    <t>goods_num</t>
  </si>
  <si>
    <t>TAB:[cross_event]</t>
  </si>
  <si>
    <t>TAB:[chapter_box]</t>
  </si>
  <si>
    <t>TAB:[clear_reward]</t>
  </si>
  <si>
    <t>TAB:[data_map]</t>
  </si>
  <si>
    <r>
      <rPr>
        <sz val="11"/>
        <color theme="1"/>
        <rFont val="等线"/>
        <charset val="134"/>
        <scheme val="minor"/>
      </rPr>
      <t>TAB:[hang_up_time_range</t>
    </r>
    <r>
      <rPr>
        <sz val="11"/>
        <color theme="1"/>
        <rFont val="等线"/>
        <charset val="134"/>
        <scheme val="minor"/>
      </rPr>
      <t>]</t>
    </r>
  </si>
  <si>
    <t>TAB:[step_drop]</t>
  </si>
  <si>
    <t>语言表</t>
  </si>
  <si>
    <t>编码格式</t>
  </si>
  <si>
    <t>语言</t>
  </si>
  <si>
    <t>[cn]</t>
  </si>
  <si>
    <t>中文</t>
  </si>
  <si>
    <t>table表符号定义</t>
  </si>
  <si>
    <t>符号</t>
  </si>
  <si>
    <t>作用</t>
  </si>
  <si>
    <t>|</t>
  </si>
  <si>
    <t>第一层字段连接符</t>
  </si>
  <si>
    <r>
      <rPr>
        <sz val="10.5"/>
        <color theme="1"/>
        <rFont val="等线"/>
        <charset val="134"/>
        <scheme val="minor"/>
      </rPr>
      <t>第</t>
    </r>
    <r>
      <rPr>
        <sz val="10.5"/>
        <color theme="1"/>
        <rFont val="Calibri"/>
        <charset val="134"/>
      </rPr>
      <t>1</t>
    </r>
    <r>
      <rPr>
        <sz val="10.5"/>
        <color theme="1"/>
        <rFont val="等线"/>
        <charset val="134"/>
        <scheme val="minor"/>
      </rPr>
      <t>层</t>
    </r>
  </si>
  <si>
    <t>；</t>
  </si>
  <si>
    <t>第二层并列连接符</t>
  </si>
  <si>
    <t>第2层</t>
  </si>
  <si>
    <t>#</t>
  </si>
  <si>
    <t>第三层并列连接符</t>
  </si>
  <si>
    <r>
      <rPr>
        <sz val="10.5"/>
        <color theme="1"/>
        <rFont val="等线"/>
        <charset val="134"/>
        <scheme val="minor"/>
      </rPr>
      <t>第</t>
    </r>
    <r>
      <rPr>
        <sz val="10.5"/>
        <color theme="1"/>
        <rFont val="Calibri"/>
        <charset val="134"/>
      </rPr>
      <t>3层</t>
    </r>
  </si>
  <si>
    <t>$</t>
  </si>
  <si>
    <t>第四层并列连接符</t>
  </si>
  <si>
    <t>第4层</t>
  </si>
  <si>
    <t>对应位置</t>
  </si>
  <si>
    <t>音效资源</t>
  </si>
  <si>
    <t>是否循环1循环0不循环</t>
  </si>
  <si>
    <t>循环间隔（毫秒）</t>
  </si>
  <si>
    <t>音量（万分比）</t>
  </si>
  <si>
    <t>是否为背景音乐</t>
  </si>
  <si>
    <t>延迟播放（毫秒）</t>
  </si>
  <si>
    <t>INT</t>
  </si>
  <si>
    <t>STRING</t>
  </si>
  <si>
    <t>resource</t>
  </si>
  <si>
    <t>repeat</t>
  </si>
  <si>
    <t>step</t>
  </si>
  <si>
    <t>volume</t>
  </si>
  <si>
    <t>is_BGM</t>
  </si>
  <si>
    <t>delay</t>
  </si>
  <si>
    <t>创建角色界面</t>
  </si>
  <si>
    <t>lilianBGM</t>
  </si>
  <si>
    <t>按键音（通用点击）</t>
  </si>
  <si>
    <t>click</t>
  </si>
  <si>
    <t>按键音返回</t>
  </si>
  <si>
    <t>back</t>
  </si>
  <si>
    <t>种田背景音</t>
  </si>
  <si>
    <t>qian</t>
  </si>
  <si>
    <t>战斗背景音1</t>
  </si>
  <si>
    <t>bgm_battle</t>
  </si>
  <si>
    <t>进入战斗后，随机展示一种音效</t>
  </si>
  <si>
    <t>战斗背景音2</t>
  </si>
  <si>
    <t>金属性音效</t>
  </si>
  <si>
    <t>matal</t>
  </si>
  <si>
    <t>木属性音效</t>
  </si>
  <si>
    <t>wood</t>
  </si>
  <si>
    <t>水属性音效</t>
  </si>
  <si>
    <t>water</t>
  </si>
  <si>
    <t>火属性音效</t>
  </si>
  <si>
    <t>fire</t>
  </si>
  <si>
    <t>土属性音效</t>
  </si>
  <si>
    <t>soil</t>
  </si>
  <si>
    <t>锻炼发力1</t>
  </si>
  <si>
    <t>hit1</t>
  </si>
  <si>
    <t>连脚踢</t>
  </si>
  <si>
    <t>击打类锻炼，可以用脚踢。御剑类用hit2.</t>
  </si>
  <si>
    <t>hit2</t>
  </si>
  <si>
    <t>一击</t>
  </si>
  <si>
    <t>砍柴</t>
  </si>
  <si>
    <t>cut_wood</t>
  </si>
  <si>
    <t>buff生成音效</t>
  </si>
  <si>
    <t>buff_create</t>
  </si>
  <si>
    <t>回复技能</t>
  </si>
  <si>
    <t>recover</t>
  </si>
  <si>
    <t>鬼魂技能</t>
  </si>
  <si>
    <t>demo</t>
  </si>
  <si>
    <t>中毒技能</t>
  </si>
  <si>
    <t>poison</t>
  </si>
  <si>
    <t>火焰音效2</t>
  </si>
  <si>
    <t>fire1</t>
  </si>
  <si>
    <t>拳法特效</t>
  </si>
  <si>
    <t>quanfa</t>
  </si>
  <si>
    <t>冰冻技能</t>
  </si>
  <si>
    <t>ice</t>
  </si>
  <si>
    <t>护盾1</t>
  </si>
  <si>
    <t>hudun</t>
  </si>
  <si>
    <t>护盾2</t>
  </si>
  <si>
    <t>hudun1</t>
  </si>
  <si>
    <t>护盾3</t>
  </si>
  <si>
    <t>hudun2</t>
  </si>
  <si>
    <t>选择卡牌音效</t>
  </si>
  <si>
    <t>choose</t>
  </si>
  <si>
    <t>电流</t>
  </si>
  <si>
    <t>dianliu</t>
  </si>
  <si>
    <t>多段伤害</t>
  </si>
  <si>
    <t>duoduanshanghai</t>
  </si>
  <si>
    <t>浪</t>
  </si>
  <si>
    <t>wave</t>
  </si>
  <si>
    <t>大雷击</t>
  </si>
  <si>
    <t>electric_current_big</t>
  </si>
  <si>
    <t>小雷击</t>
  </si>
  <si>
    <t>electric_current</t>
  </si>
  <si>
    <t>剑</t>
  </si>
  <si>
    <t>normal_weapon</t>
  </si>
  <si>
    <t>暗器</t>
  </si>
  <si>
    <t>anqi</t>
  </si>
  <si>
    <t>诅咒</t>
  </si>
  <si>
    <t>zuzhou</t>
  </si>
  <si>
    <t>多段伤害1</t>
  </si>
  <si>
    <t>duoduanshanghai1</t>
  </si>
  <si>
    <t>遇妖怪1低沉</t>
  </si>
  <si>
    <t>GhostMoan01</t>
  </si>
  <si>
    <t>遇妖怪2空旷鬼</t>
  </si>
  <si>
    <t>GhostMoan02</t>
  </si>
  <si>
    <t>遇妖怪3妖兽</t>
  </si>
  <si>
    <t>GhostMoan03</t>
  </si>
  <si>
    <t>遇妖怪4大妖兽</t>
  </si>
  <si>
    <t>GhostMoan04</t>
  </si>
  <si>
    <t>妖怪死亡1低沉</t>
  </si>
  <si>
    <t>deathb</t>
  </si>
  <si>
    <t>妖怪死亡2鸟类</t>
  </si>
  <si>
    <t>deathd</t>
  </si>
  <si>
    <t>妖怪死亡3兽类</t>
  </si>
  <si>
    <t>deathr</t>
  </si>
  <si>
    <t>妖怪痛苦1低沉</t>
  </si>
  <si>
    <t>painb</t>
  </si>
  <si>
    <t>妖怪痛苦2鸟类</t>
  </si>
  <si>
    <t>paind</t>
  </si>
  <si>
    <t>妖怪痛苦3兽类</t>
  </si>
  <si>
    <t>painr</t>
  </si>
  <si>
    <t>木棍挥舞1</t>
  </si>
  <si>
    <t>swosh-11</t>
  </si>
  <si>
    <t>木棍挥舞2</t>
  </si>
  <si>
    <t>swosh-35</t>
  </si>
  <si>
    <t>主界面(家中)BGM</t>
  </si>
  <si>
    <t>bgm1</t>
  </si>
  <si>
    <t>已调音量</t>
  </si>
  <si>
    <t>历练时的BGM</t>
  </si>
  <si>
    <t>开场动画BGM</t>
  </si>
  <si>
    <t>donghua</t>
  </si>
  <si>
    <t>黑人抬棺</t>
  </si>
  <si>
    <t>TaiGuan</t>
  </si>
  <si>
    <t>突破成功音效</t>
  </si>
  <si>
    <t>tupo</t>
  </si>
  <si>
    <t>突破失败音效</t>
  </si>
  <si>
    <t>tuposhibai</t>
  </si>
  <si>
    <t>词条红色</t>
  </si>
  <si>
    <t>citiaored</t>
  </si>
  <si>
    <t>词条橙色</t>
  </si>
  <si>
    <t>citiaoOrange</t>
  </si>
  <si>
    <t>词条紫色</t>
  </si>
  <si>
    <t>citiaozi</t>
  </si>
  <si>
    <t>词条垃圾</t>
  </si>
  <si>
    <t>citiaobad</t>
  </si>
  <si>
    <t>开局剧情</t>
  </si>
  <si>
    <t>first_1</t>
  </si>
  <si>
    <t>开局剧情配音</t>
  </si>
  <si>
    <t>first_2</t>
  </si>
  <si>
    <t>first_3</t>
  </si>
  <si>
    <t>first_4</t>
  </si>
  <si>
    <t>狐狸音效</t>
  </si>
  <si>
    <t>change_sound_A_1</t>
  </si>
  <si>
    <t>change_sound_E_1</t>
  </si>
  <si>
    <t>change_sound_J_1</t>
  </si>
  <si>
    <t>change_sound_Y_1</t>
  </si>
  <si>
    <t>hi_sound_A_1</t>
  </si>
  <si>
    <t>hi_sound_E_1</t>
  </si>
  <si>
    <t>hi_sound_J_1</t>
  </si>
  <si>
    <t>hi_sound_Y_1</t>
  </si>
  <si>
    <t>hi_sound_A_2</t>
  </si>
  <si>
    <t>hi_sound_E_2</t>
  </si>
  <si>
    <t>hi_sound_J_2</t>
  </si>
  <si>
    <t>hi_sound_Y_2</t>
  </si>
  <si>
    <t>task_sound_A_1</t>
  </si>
  <si>
    <t>task_sound_A_2</t>
  </si>
  <si>
    <t>task_sound_A_3</t>
  </si>
  <si>
    <t>task_sound_A_4</t>
  </si>
  <si>
    <t>task_sound_E_1</t>
  </si>
  <si>
    <t>task_sound_E_2</t>
  </si>
  <si>
    <t>task_sound_E_3</t>
  </si>
  <si>
    <t>task_sound_E_4</t>
  </si>
  <si>
    <t>task_sound_J_1</t>
  </si>
  <si>
    <t>task_sound_J_2</t>
  </si>
  <si>
    <t>task_sound_J_3</t>
  </si>
  <si>
    <t>task_sound_J_4</t>
  </si>
  <si>
    <t>task_sound_Y_1</t>
  </si>
  <si>
    <t>task_sound_Y_2</t>
  </si>
  <si>
    <t>task_sound_Y_3</t>
  </si>
  <si>
    <t>task_sound_Y_4</t>
  </si>
  <si>
    <t>悟道台单抽音效</t>
  </si>
  <si>
    <t>enlighten_one</t>
  </si>
  <si>
    <t>悟道台十连抽音效</t>
  </si>
  <si>
    <t>enlighten_ten</t>
  </si>
  <si>
    <t>ID</t>
  </si>
  <si>
    <t>技能名称</t>
  </si>
  <si>
    <t>资源路径</t>
  </si>
  <si>
    <t>缩放比例（默认是1）</t>
  </si>
  <si>
    <t>透明度（默认1）</t>
  </si>
  <si>
    <t>特效播放是否循环（0表示不循环）</t>
  </si>
  <si>
    <t>飞行类型
0.直接在目标身上层
1.随机角度
2.直线飞行
3.作用在目标下层
4.随机角度多段伤害</t>
  </si>
  <si>
    <t>特效偏移x</t>
  </si>
  <si>
    <t>特效偏移y</t>
  </si>
  <si>
    <t>五行属性流光</t>
  </si>
  <si>
    <t>五行属性受击</t>
  </si>
  <si>
    <t>卡牌品质</t>
  </si>
  <si>
    <t>特效</t>
  </si>
  <si>
    <t>FLOAT</t>
  </si>
  <si>
    <t>effect_path</t>
  </si>
  <si>
    <t>size</t>
  </si>
  <si>
    <t>transparency</t>
  </si>
  <si>
    <t>if_loop</t>
  </si>
  <si>
    <t>fly_type</t>
  </si>
  <si>
    <t>offset_x</t>
  </si>
  <si>
    <t>offset_y</t>
  </si>
  <si>
    <t>赤炎斩</t>
  </si>
  <si>
    <t>chiyanzhan</t>
  </si>
  <si>
    <t>kpsx_pt</t>
  </si>
  <si>
    <t>sy_tongyong</t>
  </si>
  <si>
    <t>御剑诀</t>
  </si>
  <si>
    <t>上层</t>
  </si>
  <si>
    <t>yujianshu</t>
  </si>
  <si>
    <t>火蛇术</t>
  </si>
  <si>
    <t>huosheshu_shifa</t>
  </si>
  <si>
    <t>kpsx_zise</t>
  </si>
  <si>
    <t>sy_zise</t>
  </si>
  <si>
    <t>石破天惊拳_dd</t>
  </si>
  <si>
    <t>sptjq_dd</t>
  </si>
  <si>
    <t>kpsx_huangse</t>
  </si>
  <si>
    <t>sy_huangse</t>
  </si>
  <si>
    <t>燃魂拳</t>
  </si>
  <si>
    <t>受击</t>
  </si>
  <si>
    <t>shipojingtianquan_sj</t>
  </si>
  <si>
    <t>招雷术</t>
  </si>
  <si>
    <t>zhaoleishu</t>
  </si>
  <si>
    <t>吸魂术_difan</t>
  </si>
  <si>
    <t>xihunshu_difan</t>
  </si>
  <si>
    <t>吸魂术_zishen</t>
  </si>
  <si>
    <t>xihunshu_zishen</t>
  </si>
  <si>
    <t>业火</t>
  </si>
  <si>
    <t>xinhuo</t>
  </si>
  <si>
    <t>水镜</t>
  </si>
  <si>
    <t>shuijin</t>
  </si>
  <si>
    <t>少一张卡（卡牌消失）</t>
  </si>
  <si>
    <t>kapaixiaoshi</t>
  </si>
  <si>
    <t>通用受伤</t>
  </si>
  <si>
    <t>tongyongshouji</t>
  </si>
  <si>
    <t>白色流光</t>
  </si>
  <si>
    <t>liuguan_wu_xunhun</t>
  </si>
  <si>
    <t>火焰流光_xunhuan</t>
  </si>
  <si>
    <t>liuguan_huo_xunhuan</t>
  </si>
  <si>
    <t>金流光_xunhuan</t>
  </si>
  <si>
    <t>liuguan_jin_xunhuan</t>
  </si>
  <si>
    <t>木流光_xunhuan</t>
  </si>
  <si>
    <t>liuguan_mu_xunhuan</t>
  </si>
  <si>
    <t>水流光_xunhuan</t>
  </si>
  <si>
    <t>liuguan_shui_xunhuan</t>
  </si>
  <si>
    <t>土流光_xunhuan</t>
  </si>
  <si>
    <t>liuguan_tu_xunhuan</t>
  </si>
  <si>
    <t>御剑下层</t>
  </si>
  <si>
    <t>yujian_hongse_xiaceng</t>
  </si>
  <si>
    <t>卡牌爆炸大</t>
  </si>
  <si>
    <t>kapaibijiao_shu</t>
  </si>
  <si>
    <t>凌霜剑——剑</t>
  </si>
  <si>
    <t>linshuangjian_jian</t>
  </si>
  <si>
    <t>凌霜剑</t>
  </si>
  <si>
    <t>linshuangjian_sj</t>
  </si>
  <si>
    <t>剑光分化_剑</t>
  </si>
  <si>
    <t>JianGuangFenHuaDanDao</t>
  </si>
  <si>
    <t>剑光分化</t>
  </si>
  <si>
    <t>JianGuangFenHuaHit</t>
  </si>
  <si>
    <t>剑气侵袭</t>
  </si>
  <si>
    <t>JianQiQingXi</t>
  </si>
  <si>
    <t>剑气雷音——剑</t>
  </si>
  <si>
    <t>jianqileiyin_jian</t>
  </si>
  <si>
    <t>雷音剑</t>
  </si>
  <si>
    <t>jianqileiyin_sj</t>
  </si>
  <si>
    <t>竹影青烟剑</t>
  </si>
  <si>
    <t>zhuyingqingyanjian</t>
  </si>
  <si>
    <t>青莲剑歌</t>
  </si>
  <si>
    <t>qinglianjiange</t>
  </si>
  <si>
    <t>撼岳式</t>
  </si>
  <si>
    <t>hanyueshi</t>
  </si>
  <si>
    <t>乱花飞雪</t>
  </si>
  <si>
    <t>luanhuafeixue</t>
  </si>
  <si>
    <t>寒雨千落</t>
  </si>
  <si>
    <t>hanyuqianluo</t>
  </si>
  <si>
    <t>揉身劲</t>
  </si>
  <si>
    <t>roushenjin</t>
  </si>
  <si>
    <t>太玄燕返</t>
  </si>
  <si>
    <t>TaiXuanFanYan</t>
  </si>
  <si>
    <t>飞雪急骤</t>
  </si>
  <si>
    <t>feixuejizhou</t>
  </si>
  <si>
    <t>绝对零度</t>
  </si>
  <si>
    <t>beimingbingpo</t>
  </si>
  <si>
    <t>水龙弹</t>
  </si>
  <si>
    <t>shuilongdan</t>
  </si>
  <si>
    <t>百川东到海</t>
  </si>
  <si>
    <t>baichuandongdaohai</t>
  </si>
  <si>
    <t>奔流决</t>
  </si>
  <si>
    <t>benliujue</t>
  </si>
  <si>
    <t>崩山劲</t>
  </si>
  <si>
    <t>benshanjin</t>
  </si>
  <si>
    <t>飞虹贯日</t>
  </si>
  <si>
    <t>changhongguanri</t>
  </si>
  <si>
    <t>飞虹贯日——弹道</t>
  </si>
  <si>
    <t>changhongguanri_dandao</t>
  </si>
  <si>
    <t>寒冰符</t>
  </si>
  <si>
    <t>hanbingfu</t>
  </si>
  <si>
    <t>合纵连横</t>
  </si>
  <si>
    <t>hezonglianhen</t>
  </si>
  <si>
    <t>回气符</t>
  </si>
  <si>
    <t>huiqifu</t>
  </si>
  <si>
    <t>回源流长</t>
  </si>
  <si>
    <t>huiyuanliuchang</t>
  </si>
  <si>
    <t>火球符</t>
  </si>
  <si>
    <t>huoqiufu</t>
  </si>
  <si>
    <t>剑意</t>
  </si>
  <si>
    <t>jianqi_shangceng</t>
  </si>
  <si>
    <t>剑意——下</t>
  </si>
  <si>
    <t>jianqi_xiaceng</t>
  </si>
  <si>
    <t>看破</t>
  </si>
  <si>
    <t>kanpo_shangceng</t>
  </si>
  <si>
    <t>看破——下</t>
  </si>
  <si>
    <t>kanpo_xiaceng</t>
  </si>
  <si>
    <t>撩剑式</t>
  </si>
  <si>
    <t>LiaoJianShi</t>
  </si>
  <si>
    <t>劈剑式</t>
  </si>
  <si>
    <t>pikan</t>
  </si>
  <si>
    <t>冰封千里</t>
  </si>
  <si>
    <t>qianlibingfen</t>
  </si>
  <si>
    <t>清心符</t>
  </si>
  <si>
    <t>qingxinfu</t>
  </si>
  <si>
    <t>气吞山河</t>
  </si>
  <si>
    <t>QiTunShanHe</t>
  </si>
  <si>
    <t>瞬剑</t>
  </si>
  <si>
    <t>shunjian</t>
  </si>
  <si>
    <t>太玄真罡</t>
  </si>
  <si>
    <t>TaiXuanZhenGan</t>
  </si>
  <si>
    <t>通用护盾（用护甲）</t>
  </si>
  <si>
    <t>tongyonghudun</t>
  </si>
  <si>
    <t>吐故纳新</t>
  </si>
  <si>
    <t>tugunaxing</t>
  </si>
  <si>
    <t>炎爆术</t>
  </si>
  <si>
    <t>yanbaofu</t>
  </si>
  <si>
    <t>淬炼</t>
  </si>
  <si>
    <t>cuilian</t>
  </si>
  <si>
    <t>黑魂吞噬</t>
  </si>
  <si>
    <t>heiantunshi</t>
  </si>
  <si>
    <t>魂爆术</t>
  </si>
  <si>
    <t>hunbaoshu</t>
  </si>
  <si>
    <t>火焰护盾-下层</t>
  </si>
  <si>
    <t>huoyanhudun</t>
  </si>
  <si>
    <t>火焰护盾</t>
  </si>
  <si>
    <t>huoyanhudun_add</t>
  </si>
  <si>
    <t>剑气斩-剑</t>
  </si>
  <si>
    <t>JianQiZhangDanDao</t>
  </si>
  <si>
    <t>剑气斩</t>
  </si>
  <si>
    <t>JianQiZhangHit</t>
  </si>
  <si>
    <t>汲魂术</t>
  </si>
  <si>
    <t>jihunshu</t>
  </si>
  <si>
    <t>狂暴一击</t>
  </si>
  <si>
    <t>kuanbaoyiji</t>
  </si>
  <si>
    <t>连环拍击</t>
  </si>
  <si>
    <t>lxpj</t>
  </si>
  <si>
    <t>命疗术</t>
  </si>
  <si>
    <t>mingliaoshu_shangche</t>
  </si>
  <si>
    <t>命疗术-下层</t>
  </si>
  <si>
    <t>mingliaoshu_xiache</t>
  </si>
  <si>
    <t>玉鼎掌</t>
  </si>
  <si>
    <t>xixinzhan</t>
  </si>
  <si>
    <t>恶血爪</t>
  </si>
  <si>
    <t>xuezhua</t>
  </si>
  <si>
    <t>引魂术-下层</t>
  </si>
  <si>
    <t>yinhunshu_fazhen</t>
  </si>
  <si>
    <t>引魂术</t>
  </si>
  <si>
    <t>YingHunShu</t>
  </si>
  <si>
    <t>九魄术</t>
  </si>
  <si>
    <t>youhunliti</t>
  </si>
  <si>
    <t>吞噬</t>
  </si>
  <si>
    <t>tunshi</t>
  </si>
  <si>
    <t>冲撞——弹道</t>
  </si>
  <si>
    <t>ChongZhuangDanDao</t>
  </si>
  <si>
    <t>冲撞</t>
  </si>
  <si>
    <t>ChongZhuangHit</t>
  </si>
  <si>
    <t>血饮狂歌</t>
  </si>
  <si>
    <t>CuiXinZhang</t>
  </si>
  <si>
    <t>伏虎拳</t>
  </si>
  <si>
    <t>FuHuQuanHit</t>
  </si>
  <si>
    <t>伏虎拳——弹道</t>
  </si>
  <si>
    <t>FuHuQuanDanDao</t>
  </si>
  <si>
    <t>雷击</t>
  </si>
  <si>
    <t>lj</t>
  </si>
  <si>
    <t>怒雷</t>
  </si>
  <si>
    <t>ln</t>
  </si>
  <si>
    <t>白龙掌</t>
  </si>
  <si>
    <t>PaiYunZhangHit</t>
  </si>
  <si>
    <t>排云掌——弹道</t>
  </si>
  <si>
    <t>PaiYunZhangDanDao</t>
  </si>
  <si>
    <t>PiJianShi</t>
  </si>
  <si>
    <t>牵魂术</t>
  </si>
  <si>
    <t>QianHunShu01</t>
  </si>
  <si>
    <t>魂灭斩</t>
  </si>
  <si>
    <t>baihunshouge</t>
  </si>
  <si>
    <t>烈阳指</t>
  </si>
  <si>
    <t>lieyanzhi</t>
  </si>
  <si>
    <t>血咒-弹道</t>
  </si>
  <si>
    <t>xuezhou_dandao</t>
  </si>
  <si>
    <t>罗刹爆</t>
  </si>
  <si>
    <t>xuezhou_sj</t>
  </si>
  <si>
    <t>巽风式</t>
  </si>
  <si>
    <t>xunfenshi</t>
  </si>
  <si>
    <t>苍炎术</t>
  </si>
  <si>
    <t>cys</t>
  </si>
  <si>
    <t>裂空弹</t>
  </si>
  <si>
    <t>lkd_sj</t>
  </si>
  <si>
    <t>裂空弹-弹道</t>
  </si>
  <si>
    <t>lkd_dd</t>
  </si>
  <si>
    <t>飞沙走石</t>
  </si>
  <si>
    <t>fszs</t>
  </si>
  <si>
    <t>太玄云手</t>
  </si>
  <si>
    <t>TaiXuanYunShouHit</t>
  </si>
  <si>
    <t>太玄云手——弹道</t>
  </si>
  <si>
    <t>TaiXuanYunShouDanDao</t>
  </si>
  <si>
    <t>无痕脚</t>
  </si>
  <si>
    <t>WuYingTui</t>
  </si>
  <si>
    <t>赤凤神照</t>
  </si>
  <si>
    <t>cdsz_sj</t>
  </si>
  <si>
    <t>赤凤神照——弹道</t>
  </si>
  <si>
    <t>cfsz_dd</t>
  </si>
  <si>
    <t>炎息引</t>
  </si>
  <si>
    <t>hss</t>
  </si>
  <si>
    <t>红玉指</t>
  </si>
  <si>
    <t>hyz_sj</t>
  </si>
  <si>
    <t>红玉指——弹道</t>
  </si>
  <si>
    <t>hyz_dd</t>
  </si>
  <si>
    <t>红玉指——发射</t>
  </si>
  <si>
    <t>hyz_sz</t>
  </si>
  <si>
    <t>空明斩</t>
  </si>
  <si>
    <t>kmz</t>
  </si>
  <si>
    <t>青冥指</t>
  </si>
  <si>
    <t>qmz_sj</t>
  </si>
  <si>
    <t>青冥指——弹道</t>
  </si>
  <si>
    <t>qmz_dd</t>
  </si>
  <si>
    <t>青冥指——发射</t>
  </si>
  <si>
    <t>qmz_sz</t>
  </si>
  <si>
    <t>石破天惊拳</t>
  </si>
  <si>
    <t>sptjq_sj</t>
  </si>
  <si>
    <t>瞬云爆</t>
  </si>
  <si>
    <t>syb</t>
  </si>
  <si>
    <t>炎息</t>
  </si>
  <si>
    <t>yxs</t>
  </si>
  <si>
    <t>;</t>
  </si>
  <si>
    <t>是否可显示
0否
1是</t>
  </si>
  <si>
    <t>卡牌解锁境界小</t>
  </si>
  <si>
    <t>卡牌境界大(锻体炼气也算大境界)</t>
  </si>
  <si>
    <t>品质
=1，绿
=2，蓝
=3，紫
=4，橙
=5，红</t>
  </si>
  <si>
    <t>武器属性
=1，拳法
=2，剑法
=3，法术
=4，无</t>
  </si>
  <si>
    <t>五行属性
=1，金
=2，木
=3，水
=4，火
=5，土
=6，无属性</t>
  </si>
  <si>
    <t>最大等级</t>
  </si>
  <si>
    <t>序号（删改可能会导致数据出错）</t>
  </si>
  <si>
    <t>动作表现</t>
  </si>
  <si>
    <t>流光特效</t>
  </si>
  <si>
    <t>伤害类型</t>
  </si>
  <si>
    <t>受击特效目标
1自己
2敌方
3双方</t>
  </si>
  <si>
    <t>受击特效上层</t>
  </si>
  <si>
    <t>受击特效下层</t>
  </si>
  <si>
    <t>怪物动作</t>
  </si>
  <si>
    <t>获得练功类型
=1，获得道具
=2，获得功法碎片</t>
  </si>
  <si>
    <t>是否可以使用万能碎片进行升级
0=否
1=是</t>
  </si>
  <si>
    <t>解锁道具id|数量|</t>
  </si>
  <si>
    <t>物品</t>
  </si>
  <si>
    <t>数量</t>
  </si>
  <si>
    <t>调用音效</t>
  </si>
  <si>
    <t>技能图标</t>
  </si>
  <si>
    <t>描述,支持X1|X2|X3|代入到描述中,具索引param</t>
  </si>
  <si>
    <t>技能解锁类型
0.默认解锁
1.心法突破解锁
2.获得物品解锁</t>
  </si>
  <si>
    <t>客户端获得途径描述</t>
  </si>
  <si>
    <t>艺术字</t>
  </si>
  <si>
    <t>&lt;span color='#10b847'&gt;[0]&lt;/span&gt;</t>
  </si>
  <si>
    <t>if_show</t>
  </si>
  <si>
    <t>level</t>
  </si>
  <si>
    <t>quality</t>
  </si>
  <si>
    <t>weapon</t>
  </si>
  <si>
    <t>element</t>
  </si>
  <si>
    <t>max_lev</t>
  </si>
  <si>
    <t>action_type</t>
  </si>
  <si>
    <t>light_effect</t>
  </si>
  <si>
    <t>effect_target</t>
  </si>
  <si>
    <t>hit_effect_up</t>
  </si>
  <si>
    <t>hit_effect_down</t>
  </si>
  <si>
    <t>action_type1</t>
  </si>
  <si>
    <t>get_type</t>
  </si>
  <si>
    <t>if_common_cost</t>
  </si>
  <si>
    <t>unlock_cost</t>
  </si>
  <si>
    <t>icon</t>
  </si>
  <si>
    <t>des1</t>
  </si>
  <si>
    <t>des2</t>
  </si>
  <si>
    <t>unlock_type</t>
  </si>
  <si>
    <t>des3</t>
  </si>
  <si>
    <t>art_word</t>
  </si>
  <si>
    <t>造成%d点%s拳法伤害</t>
  </si>
  <si>
    <t>2|5|</t>
  </si>
  <si>
    <t>icon_05</t>
  </si>
  <si>
    <t>·达到&lt;span color='#ee6738'&gt;锻体期&lt;/span&gt;可通流派选择获得&lt;br/&gt;·通过&lt;span color='#ee6738'&gt;悟道台&lt;/span&gt;获取碎片进行领悟获得</t>
  </si>
  <si>
    <t>红玉指调整浑身气血汇聚指尖一点，犹如红玉，威力不俗，但你若是想用它来对付修仙者，就得小心了。</t>
  </si>
  <si>
    <t>&lt;span color='#ee6738'&gt;境界突破&lt;/span&gt;时领悟获得"</t>
  </si>
  <si>
    <t>wenzi_img_01</t>
  </si>
  <si>
    <t>负重带</t>
  </si>
  <si>
    <t>icon_02</t>
  </si>
  <si>
    <t>白龙掌十分考验根骨力量，有灵力之人使用时气势奔腾，幻化出一条飞天白龙。</t>
  </si>
  <si>
    <t>wenzi_img_02</t>
  </si>
  <si>
    <t>草人桩</t>
  </si>
  <si>
    <t>风罩拳</t>
  </si>
  <si>
    <t>造成%d点%s拳法伤害，上一招为拳法时，增加造成伤害30%的护甲</t>
  </si>
  <si>
    <t>icon_01</t>
  </si>
  <si>
    <t>传闻凡俗中曾有人尝以肉身之驱，硬撼熊妖而不死，从而创下了风罩拳这一威猛招式。</t>
  </si>
  <si>
    <t>wenzi_img_03</t>
  </si>
  <si>
    <t>石锁</t>
  </si>
  <si>
    <t>造成%d点%s拳法伤害，本回合每出一张拳法牌，伤害增加25%</t>
  </si>
  <si>
    <t>4|3|</t>
  </si>
  <si>
    <t>icon_04</t>
  </si>
  <si>
    <t>无痕脚是凡俗世界失传已久的绝技，如果使用恰当，它甚至能将修仙者也踢得伏地不起，痛哭流涕。</t>
  </si>
  <si>
    <t>wenzi_img_04</t>
  </si>
  <si>
    <t>柴堆</t>
  </si>
  <si>
    <t>造成%d点%s拳法伤害，上一招为拳法时，增加30%伤害</t>
  </si>
  <si>
    <t>3|6|</t>
  </si>
  <si>
    <t>icon_22</t>
  </si>
  <si>
    <t>·达到&lt;span color='#ee6738'&gt;锻体期&lt;/span&gt;可通境界突破领悟获得&lt;br/&gt;·通过&lt;span color='#ee6738'&gt;悟道台&lt;/span&gt;获取碎片进行领悟获得</t>
  </si>
  <si>
    <t>青冥指是轻衣盟招术，狠辣无比，威力不俗。</t>
  </si>
  <si>
    <t>wenzi_img_07</t>
  </si>
  <si>
    <t>icon_23</t>
  </si>
  <si>
    <t>·达到&lt;span color='#ee6738'&gt;炼气期&lt;/span&gt;可通过境界突破领悟获得&lt;br/&gt;·通过&lt;span color='#ee6738'&gt;悟道台&lt;/span&gt;获取碎片进行领悟获得</t>
  </si>
  <si>
    <t>太玄云手，衔接拳法，借力打力。传闻曾流入凡俗，演化为武林之中的太极拳。</t>
  </si>
  <si>
    <t>wenzi_img_08</t>
  </si>
  <si>
    <t>造成%d点%s拳法伤害，额外造成当前护甲100%的伤害</t>
  </si>
  <si>
    <t>icon_30</t>
  </si>
  <si>
    <t>太玄真罡，以太玄门的运力法门，御四肢百骸之劲力。如天上落陨石，势大且极重。</t>
  </si>
  <si>
    <t>wenzi_img_09</t>
  </si>
  <si>
    <t>造成%d点%s拳法伤害，血量低于50%时，获得30%吸血效果</t>
  </si>
  <si>
    <t>icon_99</t>
  </si>
  <si>
    <t>恶血爪是血魔宫招术，当自己受重伤时，可以吸取掠夺敌人的血液。此招术深受广大邪修欢迎。</t>
  </si>
  <si>
    <t>wenzi_img_10</t>
  </si>
  <si>
    <t>炼狱爪</t>
  </si>
  <si>
    <t>造成%d点%s拳法伤害，血量低于50%时，伤害增加30%</t>
  </si>
  <si>
    <t>icon_100</t>
  </si>
  <si>
    <t>炼狱爪是噬魂宗长老的成名招术，灵气汇聚，击中敌人肉体时，还会动摇敌人心智魂魄。</t>
  </si>
  <si>
    <t>wenzi_img_11</t>
  </si>
  <si>
    <t>造成%d点%s拳法伤害，本回合每出一张拳法牌，伤害增加30%</t>
  </si>
  <si>
    <t>icon_24</t>
  </si>
  <si>
    <t>太玄燕返，泥丸宫中演大道，将所有拳式重演后，终结收式。</t>
  </si>
  <si>
    <t>wenzi_img_12</t>
  </si>
  <si>
    <t>下1招伤害增加100%</t>
  </si>
  <si>
    <t>icon_27</t>
  </si>
  <si>
    <t>·达到&lt;span color='#ee6738'&gt;筑基期&lt;/span&gt;可通过境界突破领悟获得&lt;br/&gt;·通过&lt;span color='#ee6738'&gt;悟道台&lt;/span&gt;获取碎片进行领悟获得</t>
  </si>
  <si>
    <t>传闻某太玄门弟子在门派大比中被蜀山派嘲笑为缩头乌龟，气愤之下闭关练成此招。</t>
  </si>
  <si>
    <t>wenzi_img_13</t>
  </si>
  <si>
    <t>混乱打击</t>
  </si>
  <si>
    <t>造成0~3倍%d点%s拳法伤害</t>
  </si>
  <si>
    <t>icon_103</t>
  </si>
  <si>
    <t>传闻为蜀山仙师所传授，可以作为口诀心法配合剑招，使得凡俗剑术也威力大增。</t>
  </si>
  <si>
    <t>wenzi_img_14</t>
  </si>
  <si>
    <t>造成%d点%s拳法伤害，反弹30%受到的伤害，持续2回合</t>
  </si>
  <si>
    <t>icon_26</t>
  </si>
  <si>
    <t>崩山劲，源于已故的一位太玄门长老所创，他生前好斗，常群嘲之：打我等于打自己。</t>
  </si>
  <si>
    <t>wenzi_img_15</t>
  </si>
  <si>
    <t>断脉杀</t>
  </si>
  <si>
    <t>对敌人造成%d点%s拳法伤害，对自己造成30%伤害</t>
  </si>
  <si>
    <t>icon_102</t>
  </si>
  <si>
    <t>断脉杀，爆发自己体内的灵气，产生超越当前境界的招式威力。但也会对自己的经脉造成严重损伤。</t>
  </si>
  <si>
    <t>wenzi_img_16</t>
  </si>
  <si>
    <t>造成%d点%s拳法伤害，上一招为拳法时，增加40%伤害</t>
  </si>
  <si>
    <t>icon_29</t>
  </si>
  <si>
    <t>·达到&lt;span color='#ee6738'&gt;金丹期&lt;/span&gt;可通过境界突破领悟获得&lt;br/&gt;·通过&lt;span color='#ee6738'&gt;悟道台&lt;/span&gt;获取碎片进行领悟获得</t>
  </si>
  <si>
    <t>莲花宗的真传掌法，灵力遍布手掌，犹如白玉，轰击敌人时无坚不摧。</t>
  </si>
  <si>
    <t>wenzi_img_17</t>
  </si>
  <si>
    <t>还阳击</t>
  </si>
  <si>
    <t>造成%d点%s拳法伤害，每回合回复%f点生命，持续2回合</t>
  </si>
  <si>
    <t>icon_28</t>
  </si>
  <si>
    <t>灵丹派的真传招术，特殊的灵力运行方式，可以发出招术的同时，暗中恢复自己的伤势。</t>
  </si>
  <si>
    <t>wenzi_img_18</t>
  </si>
  <si>
    <t>造成%d点%s拳法伤害，叠加1层炎息</t>
  </si>
  <si>
    <t>icon_159</t>
  </si>
  <si>
    <t>金刚宗绝学，燃烧灵气，配合指法发出一道火焰烧伤敌人。</t>
  </si>
  <si>
    <t>wenzi_img_19</t>
  </si>
  <si>
    <t>太玄揽臂</t>
  </si>
  <si>
    <t>造成%d点%s拳法伤害，上一招为拳法时，增加造成伤害50%的护甲</t>
  </si>
  <si>
    <t>icon_25</t>
  </si>
  <si>
    <t>太玄门揽臂，一切都与防护有关，抱元守一，岿然不动。</t>
  </si>
  <si>
    <t>wenzi_img_20</t>
  </si>
  <si>
    <t>造成%d点%s拳法伤害，额外造成当前护甲150%的伤害</t>
  </si>
  <si>
    <t>icon_105</t>
  </si>
  <si>
    <t>被称为最没有太玄门风格的招式名字，但创下这招法术的弟子偏偏喜欢这个名字。</t>
  </si>
  <si>
    <t>wenzi_img_21</t>
  </si>
  <si>
    <t>icon_104</t>
  </si>
  <si>
    <t>血魔宫的高级招术，十分擅长在绝境时反击敌人，断绝灵气，汲取敌人生命力。</t>
  </si>
  <si>
    <t>wenzi_img_22</t>
  </si>
  <si>
    <t>造成%d点%s拳法伤害，血量低于50%时，伤害增加40%</t>
  </si>
  <si>
    <t>·达到&lt;span color='#ee6738'&gt;元婴期&lt;/span&gt;可通过境界突破领悟获得&lt;br/&gt;·通过&lt;span color='#ee6738'&gt;悟道台&lt;/span&gt;获取碎片进行领悟获得</t>
  </si>
  <si>
    <t>血魔宫的真传招术，一般用于终结击杀敌人时使用。无数正道人士饮恨在这一招之下。</t>
  </si>
  <si>
    <t>wenzi_img_23</t>
  </si>
  <si>
    <t>焚天掌</t>
  </si>
  <si>
    <t>造成%d点%s拳法伤害，叠加2层炎息</t>
  </si>
  <si>
    <t>金刚宗绝学，催动灵气剧烈燃烧，让自己的招术产生烈焱之力，破坏力惊人。</t>
  </si>
  <si>
    <t>wenzi_img_24</t>
  </si>
  <si>
    <t>玉龙杀</t>
  </si>
  <si>
    <t>造成%d点%s拳法伤害，上一招为拳法时，增加50%伤害</t>
  </si>
  <si>
    <t>太玄门的绝学之一，拳法灵气召出龙形气浪轰击敌人，威力极为惊人。</t>
  </si>
  <si>
    <t>wenzi_img_25</t>
  </si>
  <si>
    <t>冲虚连指</t>
  </si>
  <si>
    <t>造成2~5次%d点%s拳法伤害</t>
  </si>
  <si>
    <t>太玄门真传拳法之一，修炼此招术到高深处，可以一敌二，发出数道法力轰击敌人。</t>
  </si>
  <si>
    <t>wenzi_img_26</t>
  </si>
  <si>
    <t>金刚伏魔拳</t>
  </si>
  <si>
    <t>造成%d点%s拳法伤害，本回合每出一张拳法牌，增加造成伤害30%的护甲</t>
  </si>
  <si>
    <t>九杀拳</t>
  </si>
  <si>
    <t>对敌人造成大量拳法伤害，对自己造成20%伤害</t>
  </si>
  <si>
    <t>血魔老祖的成名绝技，以滔天魔力无可匹敌闻名于修仙界。</t>
  </si>
  <si>
    <t>wenzi_img_27</t>
  </si>
  <si>
    <t>玄冥指</t>
  </si>
  <si>
    <t>造成%d点%s拳法伤害，叠加2层冰冻</t>
  </si>
  <si>
    <t>血魔老祖的不死法术，用血魔功法断绝自己气机，再重新组合身体的方式，可以暂时免疫致命伤。</t>
  </si>
  <si>
    <t>wenzi_img_28</t>
  </si>
  <si>
    <t>血冥爪</t>
  </si>
  <si>
    <t>造成%d点%s拳法伤害，血量低于50%时，获得40%吸血效果</t>
  </si>
  <si>
    <t>太玄冲门，习练太玄拳法的弟子说，他们曾用这一招撞开过无数贼寇的城门。</t>
  </si>
  <si>
    <t>wenzi_img_29</t>
  </si>
  <si>
    <t>血煞化罡</t>
  </si>
  <si>
    <t>获得本回合累计受到伤害30%的护甲</t>
  </si>
  <si>
    <t>混元真罡</t>
  </si>
  <si>
    <t>造成%d点%s拳法伤害，额外造成当前护甲200%的伤害</t>
  </si>
  <si>
    <t>璇玑杀</t>
  </si>
  <si>
    <t>造成%d点%s拳法伤害，血量低于50%时，伤害增加50%</t>
  </si>
  <si>
    <t>血魔老祖在太玄门和蜀山的联手袭杀下，绝境之中领悟的招术，通过灵力挖掘身体全部潜力，威力恐怖。</t>
  </si>
  <si>
    <t>wenzi_img_30</t>
  </si>
  <si>
    <t>灭魔掌</t>
  </si>
  <si>
    <t>造成%d点%s拳法伤害，本回合每出一张拳法牌，伤害增加35%</t>
  </si>
  <si>
    <t>太玄门上一代掌门在重伤闭关后领悟的招术，据说是一招秘传的拳法，专门用于对付血魔老祖。</t>
  </si>
  <si>
    <t>wenzi_img_31</t>
  </si>
  <si>
    <t>贯星角</t>
  </si>
  <si>
    <t>造成0~5倍%d点%s拳法伤害</t>
  </si>
  <si>
    <t>传闻中金仙梦中传授的技法，有缘人方能习得。</t>
  </si>
  <si>
    <t>wenzi_img_32</t>
  </si>
  <si>
    <t>却死逆命</t>
  </si>
  <si>
    <t>1回合内，自身血量不会降低到1以下</t>
  </si>
  <si>
    <t>造成%d点%s剑法伤害</t>
  </si>
  <si>
    <t>icon_07</t>
  </si>
  <si>
    <t>剑术的基础招式，若是刀法，武林人士会称之为力劈华山。</t>
  </si>
  <si>
    <t>wenzi_img_33</t>
  </si>
  <si>
    <t>icon_08</t>
  </si>
  <si>
    <t>撩剑式角度刁钻，可遇到修仙者远远施展的飞剑就完全失去了实战作用。</t>
  </si>
  <si>
    <t>wenzi_img_34</t>
  </si>
  <si>
    <t>造成%d点%s剑法伤害，上一招为剑法时，增加40伤害</t>
  </si>
  <si>
    <t>icon_09</t>
  </si>
  <si>
    <t>咻咻咻！全神贯注，一剑全力刺出时，旁人不见其影，只听闻利刃破空声。</t>
  </si>
  <si>
    <t>wenzi_img_35</t>
  </si>
  <si>
    <t>造成%d点%s剑法伤害，第一招打出时，增加40伤害</t>
  </si>
  <si>
    <t>icon_11</t>
  </si>
  <si>
    <t>瞬剑据说是飞剑术的简化版，以神念御剑，出手时毫无征兆，很适合最为先手突袭招式。</t>
  </si>
  <si>
    <t>wenzi_img_36</t>
  </si>
  <si>
    <t>造成%d点%s剑法伤害，上一招为剑法时，增加30%伤害</t>
  </si>
  <si>
    <t>icon_44</t>
  </si>
  <si>
    <t>蜀山基础剑诀，如果不会一道远程剑气斩，谁敢自称在蜀山学剑？</t>
  </si>
  <si>
    <t>wenzi_img_37</t>
  </si>
  <si>
    <t>赤霄剑</t>
  </si>
  <si>
    <t>造成%d点%s剑法伤害,叠加1层炎息</t>
  </si>
  <si>
    <t>icon_49</t>
  </si>
  <si>
    <t>将火灵力注入剑中，使之激发出五行厉火之气。</t>
  </si>
  <si>
    <t>wenzi_img_38</t>
  </si>
  <si>
    <t>造成%d点%s剑法伤害,叠加1层冰冻</t>
  </si>
  <si>
    <t>icon_50</t>
  </si>
  <si>
    <t>将水灵力注入剑中，使之激发出五行凌霜之气。</t>
  </si>
  <si>
    <t>wenzi_img_39</t>
  </si>
  <si>
    <t>造成%d点%s剑法伤害,上一招为剑法时，造成1~2次伤害</t>
  </si>
  <si>
    <t>icon_39</t>
  </si>
  <si>
    <t>传说是一位长老在竹林中折竹节为剑，生死攸关之际所领悟，随即大杀四方。</t>
  </si>
  <si>
    <t>wenzi_img_40</t>
  </si>
  <si>
    <t>造成%d点%s剑法伤害,从牌库中抽1张剑法并且打出</t>
  </si>
  <si>
    <t>icon_48</t>
  </si>
  <si>
    <t>wenzi_img_41</t>
  </si>
  <si>
    <t>造成%d点%s剑法伤害,上一招为剑法时，增加敌人受到伤害30%，持续2回合</t>
  </si>
  <si>
    <t>icon_43</t>
  </si>
  <si>
    <t>蜀山一位长老说过，剑气侵袭就跟女人一样，它们都让人更容易受伤。</t>
  </si>
  <si>
    <t>wenzi_img_42</t>
  </si>
  <si>
    <t>泰山剑</t>
  </si>
  <si>
    <t>造成%d点%s剑法伤害，上一招为剑法时，增加40点护甲</t>
  </si>
  <si>
    <t>icon_40</t>
  </si>
  <si>
    <t>将土灵力注入剑中，使之激发出五行重土之气。</t>
  </si>
  <si>
    <t>wenzi_img_43</t>
  </si>
  <si>
    <t>icon_53</t>
  </si>
  <si>
    <t>将风灵力注入剑中，使之激发出五行疾风之气。抢先而攻，迅疾无匹。</t>
  </si>
  <si>
    <t>wenzi_img_44</t>
  </si>
  <si>
    <t>奔雷式</t>
  </si>
  <si>
    <t>造成%d点%s剑法伤害，本回合每出一张剑法牌，伤害增加25%</t>
  </si>
  <si>
    <t>icon_54</t>
  </si>
  <si>
    <t>传说有一位剑仙，御剑从天外而降，势若奔雷，震荡邪魔。</t>
  </si>
  <si>
    <t>wenzi_img_45</t>
  </si>
  <si>
    <t>造成%d点%s剑法伤害，破除敌人50%护甲</t>
  </si>
  <si>
    <t>icon_55</t>
  </si>
  <si>
    <t>据说撼岳式是蜀山某位好胜的长老，专门为了门派大比克制太玄门而创的。</t>
  </si>
  <si>
    <t>wenzi_img_46</t>
  </si>
  <si>
    <t>增加剑法伤害29%，持续2回合</t>
  </si>
  <si>
    <t>icon_14</t>
  </si>
  <si>
    <t>wenzi_img_47</t>
  </si>
  <si>
    <t>造成%d点%s剑法伤害,上一招为剑法时，使敌人下一招无效</t>
  </si>
  <si>
    <t>icon_150</t>
  </si>
  <si>
    <t>视若未睹，心无一物。某位受伤失明后的蜀山天才落难后所创招式，他以此重回蜀山成为一代传奇。</t>
  </si>
  <si>
    <t>wenzi_img_48</t>
  </si>
  <si>
    <t>造成%d点%s剑法伤害，叠加2层炎息</t>
  </si>
  <si>
    <t>icon_151</t>
  </si>
  <si>
    <t>燃烧吧~我的火焰和青春！</t>
  </si>
  <si>
    <t>wenzi_img_49</t>
  </si>
  <si>
    <t>造成%d点%s剑法伤害，上一招为剑法时，增加50%伤害</t>
  </si>
  <si>
    <t>icon_47</t>
  </si>
  <si>
    <t>蜀山流传这样一句激励的名言，雷音剑往往不会作为第一招出手，但它从不会错过时机。</t>
  </si>
  <si>
    <t>wenzi_img_50</t>
  </si>
  <si>
    <t>造成%d点%s剑法伤害，上一招为剑法时，获得30%吸血效果</t>
  </si>
  <si>
    <t>icon_10</t>
  </si>
  <si>
    <t>传闻只有心胸宽广之人，才能施展出这一招的气吞山河之象。</t>
  </si>
  <si>
    <t>wenzi_img_51</t>
  </si>
  <si>
    <t>天地倾覆</t>
  </si>
  <si>
    <t>造成%d点%s剑法伤害，仅出此招时，增加150%伤害</t>
  </si>
  <si>
    <t>icon_13</t>
  </si>
  <si>
    <t>帝皇剑法的杀招，源于蜀山剑法，曾经杀穿凡俗武林，立下赫赫威名。</t>
  </si>
  <si>
    <t>wenzi_img_52</t>
  </si>
  <si>
    <t>潜龙吟</t>
  </si>
  <si>
    <t>造成%d点%s剑法伤害，上一招为剑法时，造成伤害增加50%真实伤害</t>
  </si>
  <si>
    <t>金鳞岂是池中物，一遇风云便化龙。</t>
  </si>
  <si>
    <t>wenzi_img_55</t>
  </si>
  <si>
    <t>造成%d点%s剑法伤害，上一招为剑法时，增加80%伤害</t>
  </si>
  <si>
    <t>合纵连横剑招，剑意暗藏帝王之术的政治智慧，非凡夫俗子所能掌握。</t>
  </si>
  <si>
    <t>wenzi_img_56</t>
  </si>
  <si>
    <t>封灵剑</t>
  </si>
  <si>
    <t>造成%d点%s剑法伤害，上一招为剑法时，使敌人下一回合费用-1</t>
  </si>
  <si>
    <t>造成%d点%s剑法伤害,上一招为剑法时，造成2~3次伤害</t>
  </si>
  <si>
    <t>分光离合剑法的基础法门，据说蜀山的某位长老可以一气化作十三剑，威势惊人。</t>
  </si>
  <si>
    <t>wenzi_img_53</t>
  </si>
  <si>
    <t>幻剑决</t>
  </si>
  <si>
    <t>造成%d点%s剑法伤害,从牌库中抽2张剑法并且打出</t>
  </si>
  <si>
    <t>剑法中不可或缺的法术，可以激发更多的剑招击杀敌人。</t>
  </si>
  <si>
    <t>wenzi_img_54</t>
  </si>
  <si>
    <t>万剑归一</t>
  </si>
  <si>
    <t>造成%d点%s剑法伤害，本回合每出一张剑法牌，伤害增加35%</t>
  </si>
  <si>
    <t>蜀山剑法的奥义之一，收敛万招剑法的煞气，汇聚成一道贯穿天地的剑光。</t>
  </si>
  <si>
    <t>wenzi_img_57</t>
  </si>
  <si>
    <t>人剑合一</t>
  </si>
  <si>
    <t>造成%d点%s剑法伤害，上一招为剑法时，增加100%伤害</t>
  </si>
  <si>
    <t>一代蜀山剑神所创，曾经凭此一剑绝境翻盘，最终力挽狂澜，拯救整个修仙界。</t>
  </si>
  <si>
    <t>wenzi_img_58</t>
  </si>
  <si>
    <t>造成%d点%s剑法伤害,上一招为剑法时，造成3~5次伤害</t>
  </si>
  <si>
    <t>李太白的成名剑法，有朵朵青莲绽放于剑招之中，美如画，杀伤力强。</t>
  </si>
  <si>
    <t>wenzi_img_59</t>
  </si>
  <si>
    <t>万剑诀</t>
  </si>
  <si>
    <t>造成%d点%s剑法伤害,从牌库中抽3张剑法并且打出</t>
  </si>
  <si>
    <t>名为万剑诀，实为三剑诀，倘若剑法绝，三剑亦能绝。</t>
  </si>
  <si>
    <t>wenzi_img_60</t>
  </si>
  <si>
    <t>剑神真体</t>
  </si>
  <si>
    <t>每回合多抽1张剑法牌，持续3回合</t>
  </si>
  <si>
    <t>一代蜀山剑神所创，剑仙有好几个，剑神只有他一人而已。</t>
  </si>
  <si>
    <t>wenzi_img_61</t>
  </si>
  <si>
    <t>天剑</t>
  </si>
  <si>
    <t>造成%d点%s剑法伤害,从牌库中抽5张剑法并且打出</t>
  </si>
  <si>
    <t>一代蜀山剑神大限将至时领悟的招式，随后便闭眼风逝。最终由他的弟子推演完善而成。</t>
  </si>
  <si>
    <t>wenzi_img_62</t>
  </si>
  <si>
    <t>造成%d点%s法术伤害</t>
  </si>
  <si>
    <t>icon_172</t>
  </si>
  <si>
    <t>传闻有一痴情男子在莲花宗外苦苦纠缠十年，最终等到了女神的一发裂空弹，彻底死了心。</t>
  </si>
  <si>
    <t>wenzi_img_63</t>
  </si>
  <si>
    <t>icon_173</t>
  </si>
  <si>
    <t>修仙者常见的法术之一，灵气引发飞沙走石，威力不大，但可以迷惑敌人视线。</t>
  </si>
  <si>
    <t>wenzi_img_64</t>
  </si>
  <si>
    <t>造成%d点%s剑法伤害，本回合每出一张法术牌，伤害增加25%</t>
  </si>
  <si>
    <t>icon_174</t>
  </si>
  <si>
    <t>散修能使用的威力较大的法术，常常用在生死之战中。</t>
  </si>
  <si>
    <t>wenzi_img_65</t>
  </si>
  <si>
    <t>燃火术</t>
  </si>
  <si>
    <t>造成%d点%s法术伤害，叠加1层炎息</t>
  </si>
  <si>
    <t>icon_158</t>
  </si>
  <si>
    <t>散修的法术之一，有时候也可以用来生火和表演。</t>
  </si>
  <si>
    <t>wenzi_img_66</t>
  </si>
  <si>
    <t>造成%d点%s法术伤害，叠加2层炎息</t>
  </si>
  <si>
    <t>icon_60</t>
  </si>
  <si>
    <t>散修罕见的法术，对灵气燃烧化为火焰有较高的要求。</t>
  </si>
  <si>
    <t>wenzi_img_67</t>
  </si>
  <si>
    <t>焚天术</t>
  </si>
  <si>
    <t>造成%d点%s法术伤害，叠加3层炎息</t>
  </si>
  <si>
    <t>金刚宗的招牌法术，明王怒火，可焚世间诛邪。</t>
  </si>
  <si>
    <t>wenzi_img_68</t>
  </si>
  <si>
    <t>使当前炎息层数*2</t>
  </si>
  <si>
    <t>icon_175</t>
  </si>
  <si>
    <t>金刚宗的秘法术，引动炎息，焚烧所有的敌人。</t>
  </si>
  <si>
    <t>wenzi_img_69</t>
  </si>
  <si>
    <t>造成%d点%s法术伤害，每有1层炎息，真气消耗-1</t>
  </si>
  <si>
    <t>icon_176</t>
  </si>
  <si>
    <t>神符宗的绝技法术，化灵为火，焚烧四野。</t>
  </si>
  <si>
    <t>wenzi_img_70</t>
  </si>
  <si>
    <t>造成%d点%s法术伤害，若自身处在炎息中，伤害增加炎息层数*30%</t>
  </si>
  <si>
    <t>icon_177</t>
  </si>
  <si>
    <t>神符宗的秘传法术，高阶修仙者才能召出赤火神凤，所经之地，皆为灰烬。</t>
  </si>
  <si>
    <t>wenzi_img_71</t>
  </si>
  <si>
    <t>使打出的法术牌叠炎息+1，持续1回合</t>
  </si>
  <si>
    <t>icon_178</t>
  </si>
  <si>
    <t>神符宗的火焰法术之一，可以加强敌人身上的火焰层数。</t>
  </si>
  <si>
    <t>wenzi_img_72</t>
  </si>
  <si>
    <t>聚焰术</t>
  </si>
  <si>
    <t>icon_62</t>
  </si>
  <si>
    <t>神符宗的法术，引动敌人身上的炎息，聚成一道五丈高的烈焱焚烧敌人。</t>
  </si>
  <si>
    <t>wenzi_img_73</t>
  </si>
  <si>
    <t>惊龙炎爆</t>
  </si>
  <si>
    <t>造成%d点%s法术伤害，叠加3层炎息，伤害增加炎息层数*0.03%</t>
  </si>
  <si>
    <t>神符宗的奥义法术，传闻为祝融的绝技，一道龙炎舞动于九天之上。</t>
  </si>
  <si>
    <t>wenzi_img_74</t>
  </si>
  <si>
    <t>造成%d点%s法术伤害，叠加1层冰冻</t>
  </si>
  <si>
    <t>icon_65</t>
  </si>
  <si>
    <t>传闻有一痴情男子在莲花宗外苦苦纠缠十年，最终等到了女神的一发乱花飞雪，差点成了冰雕。</t>
  </si>
  <si>
    <t>wenzi_img_75</t>
  </si>
  <si>
    <t>造成%d点%s法术伤害，叠加2层冰冻</t>
  </si>
  <si>
    <t>icon_133</t>
  </si>
  <si>
    <t>寒雨千落汲取水寒之力而成，施展时若天降寒雨，霜冻万物。</t>
  </si>
  <si>
    <t>wenzi_img_76</t>
  </si>
  <si>
    <t>造成%d点%s法术伤害，敌方每有1层冰冻，真气消耗-1</t>
  </si>
  <si>
    <t>icon_68</t>
  </si>
  <si>
    <t>飞雪急骤是莲花宗冰冻法术的精髓，当一切进入白色的世界，飞雪便可以轻易伤敌。</t>
  </si>
  <si>
    <t>wenzi_img_77</t>
  </si>
  <si>
    <t>造成%d点%s法术伤害，若敌人处在冰冻中，伤害增加冰冻层数*35%</t>
  </si>
  <si>
    <t>icon_70</t>
  </si>
  <si>
    <t>莲花宗开派宗师所创，据说她留下广寒飞天曲心法和一大堆门派规矩后，就飞升而去了。</t>
  </si>
  <si>
    <t>wenzi_img_78</t>
  </si>
  <si>
    <t>极寒风暴</t>
  </si>
  <si>
    <t>造成%d点%s法术伤害，此招式前每使用过1张法术牌，叠加1层冰冻</t>
  </si>
  <si>
    <t>icon_67</t>
  </si>
  <si>
    <t>北冥彻骨诀的奥义法门，让其他门派修仙者闻之僵硬，听之胆寒的法术。</t>
  </si>
  <si>
    <t>wenzi_img_79</t>
  </si>
  <si>
    <t>北冥鲸落</t>
  </si>
  <si>
    <t>鲸落，万物生灭。而北冥的鲸，是否就是鲲呢？</t>
  </si>
  <si>
    <t>wenzi_img_80</t>
  </si>
  <si>
    <t>冰龙弹</t>
  </si>
  <si>
    <t>造成%d点%s法术伤害,若敌人处在冰冻中，伤害增加35%</t>
  </si>
  <si>
    <t>火龙弹</t>
  </si>
  <si>
    <t>造成%d点%s法术伤害,自身存在炎息，伤害增加35%</t>
  </si>
  <si>
    <t>造成%d点%s法术伤害，叠加3层冰冻</t>
  </si>
  <si>
    <t>冰封千里这一法术刚推演出来时，几乎凭一己之力让水系法术一跃成为五行法术之王。</t>
  </si>
  <si>
    <t>wenzi_img_81</t>
  </si>
  <si>
    <t>玄冥真气</t>
  </si>
  <si>
    <t>使打出的法术牌叠冰冻+1，持续2回合</t>
  </si>
  <si>
    <t>玄冥真气是莲花宗在修仙界成名之术，敌人一旦成为冰雕，那从头到尾只能挨打了。</t>
  </si>
  <si>
    <t>wenzi_img_82</t>
  </si>
  <si>
    <t>天地一白</t>
  </si>
  <si>
    <t>使中敌人冰冻层数*2</t>
  </si>
  <si>
    <t>故人飞天去，寒宫冷彻骨。无人知仙意，天地唯一白。</t>
  </si>
  <si>
    <t>wenzi_img_83</t>
  </si>
  <si>
    <t>造成%d点%s法术伤害，产生1个魂</t>
  </si>
  <si>
    <t>icon_117</t>
  </si>
  <si>
    <t>人死后什么都不剩？不，你还有灵魂可以被我奴役。</t>
  </si>
  <si>
    <t>wenzi_img_84</t>
  </si>
  <si>
    <t>造成%d点%s法术伤害，产生2个魂</t>
  </si>
  <si>
    <t>icon_118</t>
  </si>
  <si>
    <t>引魂术是第一个魂系法术，整个噬魂宗都由此开始。</t>
  </si>
  <si>
    <t>wenzi_img_85</t>
  </si>
  <si>
    <t>造成%d点%s法术伤害，产生2个魂，每有1个魂，真气消耗-1</t>
  </si>
  <si>
    <t>icon_119</t>
  </si>
  <si>
    <t>让敌人痛苦的死去，是噬魂宗怪物们最喜欢干的事。</t>
  </si>
  <si>
    <t>wenzi_img_86</t>
  </si>
  <si>
    <t>造成%d点%s法术伤害,存在魂时，获得30%吸血效果</t>
  </si>
  <si>
    <t>icon_142</t>
  </si>
  <si>
    <t>灵魂，我之良方，彼之砒霜。</t>
  </si>
  <si>
    <t>wenzi_img_87</t>
  </si>
  <si>
    <t>造成%d点%s法术伤害,每存在1个魂伤害增加35%</t>
  </si>
  <si>
    <t>icon_120</t>
  </si>
  <si>
    <t>魂魄去兮不可留，通九幽兮岂可休。</t>
  </si>
  <si>
    <t>wenzi_img_88</t>
  </si>
  <si>
    <t>尸鬼封禁</t>
  </si>
  <si>
    <t>消耗1个魂，无效敌人下2招</t>
  </si>
  <si>
    <t>魂兮归来！君无下此幽都些！</t>
  </si>
  <si>
    <t>wenzi_img_90</t>
  </si>
  <si>
    <t>消耗x个魂，造成消耗的魂数*%d点%s的真实伤害</t>
  </si>
  <si>
    <t>灵魂的攻击，你避无可避！</t>
  </si>
  <si>
    <t>wenzi_img_89</t>
  </si>
  <si>
    <t>天罗裂</t>
  </si>
  <si>
    <t>造成%d点%s法术伤害,产生x个魂，触发1次鬼魂伤害</t>
  </si>
  <si>
    <t>桀桀，你可以有更多的魂，更多，更多的魂~</t>
  </si>
  <si>
    <t>wenzi_img_91</t>
  </si>
  <si>
    <t>秽土转生</t>
  </si>
  <si>
    <t>消耗4个魂，回复消耗魂数*100的生命</t>
  </si>
  <si>
    <t>噬魂宗的奥义之一，可以恢复大量生命。</t>
  </si>
  <si>
    <t>wenzi_img_92</t>
  </si>
  <si>
    <t>爪击</t>
  </si>
  <si>
    <t>icon_190</t>
  </si>
  <si>
    <t>wenzi_img_168</t>
  </si>
  <si>
    <t>icon_179</t>
  </si>
  <si>
    <t>wenzi_img_169</t>
  </si>
  <si>
    <t>造成%d点%s拳法伤害，30%吸血</t>
  </si>
  <si>
    <t>icon_192</t>
  </si>
  <si>
    <t>wenzi_img_170</t>
  </si>
  <si>
    <t>破浪</t>
  </si>
  <si>
    <t>对敌人造成%d点%s法术伤害</t>
  </si>
  <si>
    <t>icon_193</t>
  </si>
  <si>
    <t>wenzi_img_171</t>
  </si>
  <si>
    <t>潜水</t>
  </si>
  <si>
    <t>无效敌人下一招</t>
  </si>
  <si>
    <t>icon_194</t>
  </si>
  <si>
    <t>wenzi_img_172</t>
  </si>
  <si>
    <t>鳞甲</t>
  </si>
  <si>
    <t>叠加%d点%s护甲</t>
  </si>
  <si>
    <t>icon_195</t>
  </si>
  <si>
    <t>wenzi_img_173</t>
  </si>
  <si>
    <t>自愈</t>
  </si>
  <si>
    <t>回复%d点%s点血量</t>
  </si>
  <si>
    <t>icon_196</t>
  </si>
  <si>
    <t>wenzi_img_174</t>
  </si>
  <si>
    <t>对敌人造成%d点%s拳法伤害</t>
  </si>
  <si>
    <t>icon_03</t>
  </si>
  <si>
    <t>wenzi_img_175</t>
  </si>
  <si>
    <t>2|6|</t>
  </si>
  <si>
    <t>icon_180</t>
  </si>
  <si>
    <t>2|7|</t>
  </si>
  <si>
    <t>icon_181</t>
  </si>
  <si>
    <t>描述,支持X1|X2|X4|代入到描述中,具索引param</t>
  </si>
  <si>
    <t>限制条件增加资质</t>
  </si>
  <si>
    <t>技能效果费用</t>
  </si>
  <si>
    <t>归属
0.主角
1.怪物</t>
  </si>
  <si>
    <t>境界</t>
  </si>
  <si>
    <t>品质</t>
  </si>
  <si>
    <t>消耗费用</t>
  </si>
  <si>
    <t>真实费用</t>
  </si>
  <si>
    <t>当前等级</t>
  </si>
  <si>
    <t>消耗物品
（多个物品用|；分隔）</t>
  </si>
  <si>
    <t>对自己造成伤害与招式伤害比例</t>
  </si>
  <si>
    <t>卡牌类型,索引card_type表</t>
  </si>
  <si>
    <t>固定效果值(取整)</t>
  </si>
  <si>
    <t>效果关联属性类型
1.根骨
2.悟性
3.魅力
4.神识
5.机缘</t>
  </si>
  <si>
    <t>索引系数编号</t>
  </si>
  <si>
    <t>属性对伤害成长</t>
  </si>
  <si>
    <t>属性对伤害成长（旧）</t>
  </si>
  <si>
    <t>固定效果资质</t>
  </si>
  <si>
    <t>总资质=固定+技能</t>
  </si>
  <si>
    <t>单位费用资质</t>
  </si>
  <si>
    <t>解锁卡牌战力</t>
  </si>
  <si>
    <t>战力索引值（勿删）</t>
  </si>
  <si>
    <t>功能效果触发方式</t>
  </si>
  <si>
    <t>触发buffid</t>
  </si>
  <si>
    <t>触发条件值</t>
  </si>
  <si>
    <t>功能效果。索引skillid</t>
  </si>
  <si>
    <t>技能变化</t>
  </si>
  <si>
    <t>触发技能时的特殊效果
1.真伤
2.吸血
（客户端无效）</t>
  </si>
  <si>
    <t>是否判断减少消耗（客户端无效）</t>
  </si>
  <si>
    <t>升级所需消耗（物品id）</t>
  </si>
  <si>
    <t>升级物品</t>
  </si>
  <si>
    <t>功法点</t>
  </si>
  <si>
    <t>升级至下一级的ID</t>
  </si>
  <si>
    <t>可使用万能碎片id
不填则不可使用</t>
  </si>
  <si>
    <t>技能生效时候播放特效</t>
  </si>
  <si>
    <t>对应buff_id
（%f代字符所对应的数值取buff id计算的数值）</t>
  </si>
  <si>
    <t>describe</t>
  </si>
  <si>
    <t>describe2</t>
  </si>
  <si>
    <t>cost</t>
  </si>
  <si>
    <t>lev</t>
  </si>
  <si>
    <t>cost_item</t>
  </si>
  <si>
    <t>hurt_self</t>
  </si>
  <si>
    <t>fixed_value</t>
  </si>
  <si>
    <t>attribute</t>
  </si>
  <si>
    <t>attribute_coefficient</t>
  </si>
  <si>
    <t>card_combat</t>
  </si>
  <si>
    <t>trigger</t>
  </si>
  <si>
    <t>trigger_buff</t>
  </si>
  <si>
    <t>trigger_value</t>
  </si>
  <si>
    <t>skill_id</t>
  </si>
  <si>
    <t>if_ture_effect</t>
  </si>
  <si>
    <t>if_reduce_energy</t>
  </si>
  <si>
    <t>uplev_cost</t>
  </si>
  <si>
    <t>uplev_next_id</t>
  </si>
  <si>
    <t>substitute_id</t>
  </si>
  <si>
    <t>skill_effect</t>
  </si>
  <si>
    <t>buff_id</t>
  </si>
  <si>
    <t>造成%d点%s拳法伤害，</t>
  </si>
  <si>
    <t>造成1~2.5倍%d点%s拳法伤害</t>
  </si>
  <si>
    <t>反弹15%受到的伤害，持续2回合</t>
  </si>
  <si>
    <t>每回合回复%f点%g生命，持续2回合</t>
  </si>
  <si>
    <t>叠加1层炎息</t>
  </si>
  <si>
    <t>叠加2层炎息</t>
  </si>
  <si>
    <t>造成1~3次%d点%s拳法伤害</t>
  </si>
  <si>
    <t>1回合内，血量不会降低到1以下</t>
  </si>
  <si>
    <t>造成%d点%s剑法伤害，</t>
  </si>
  <si>
    <t>叠加1层冰冻</t>
  </si>
  <si>
    <t>上一招为剑法时，造成1~2次伤害</t>
  </si>
  <si>
    <t>从牌库中抽1张剑法并且打出</t>
  </si>
  <si>
    <t>破除敌人50%护甲</t>
  </si>
  <si>
    <t>上一招为剑法时，使敌人下一招无效</t>
  </si>
  <si>
    <t>上一招为剑法时，造成1~3次伤害</t>
  </si>
  <si>
    <t>从牌库中抽2张剑法并且打出</t>
  </si>
  <si>
    <t>上一招为剑法时，造成3~5次伤害</t>
  </si>
  <si>
    <t>从牌库中抽3张剑法并且打出</t>
  </si>
  <si>
    <t>从牌库中抽5张剑法并且打出</t>
  </si>
  <si>
    <t>造成%d点%s法术伤害，</t>
  </si>
  <si>
    <t>叠加3层炎息</t>
  </si>
  <si>
    <t>每有1层炎息，真气消耗-1</t>
  </si>
  <si>
    <t>叠加2层冰冻</t>
  </si>
  <si>
    <t>敌方每有1层冰冻，真气消耗-1</t>
  </si>
  <si>
    <t>此招式前每使用过1张法术牌，叠加1层冰冻</t>
  </si>
  <si>
    <t>叠加3层冰冻</t>
  </si>
  <si>
    <t>产生1个魂</t>
  </si>
  <si>
    <t>产生2个魂</t>
  </si>
  <si>
    <t>产生2个魂，每有1个魂，真气消耗-1</t>
  </si>
  <si>
    <t>消耗3个魂，无效敌人下2招</t>
  </si>
  <si>
    <t>产生x个魂，触发1次鬼魂伤害</t>
  </si>
  <si>
    <t>30%吸血</t>
  </si>
  <si>
    <t>条件id</t>
  </si>
  <si>
    <t>条件</t>
  </si>
  <si>
    <t>对应资质增值</t>
  </si>
  <si>
    <t>初始系数</t>
  </si>
  <si>
    <t>绿招式</t>
  </si>
  <si>
    <t>蓝招式</t>
  </si>
  <si>
    <t>紫招式</t>
  </si>
  <si>
    <t>橙招式</t>
  </si>
  <si>
    <t>攻击系数初始</t>
  </si>
  <si>
    <t>攻击系数增量</t>
  </si>
  <si>
    <t>五维系数</t>
  </si>
  <si>
    <t>等级</t>
  </si>
  <si>
    <t>强度索引</t>
  </si>
  <si>
    <t>每级强度</t>
  </si>
  <si>
    <t>强度</t>
  </si>
  <si>
    <t>功法点消耗</t>
  </si>
  <si>
    <t>绿</t>
  </si>
  <si>
    <t>蓝</t>
  </si>
  <si>
    <t>紫</t>
  </si>
  <si>
    <t>橙</t>
  </si>
  <si>
    <t>无条件</t>
  </si>
  <si>
    <t>1.本回合出过&gt;0张指定武器类型牌</t>
  </si>
  <si>
    <t>数量　</t>
  </si>
  <si>
    <t>虚加战力</t>
  </si>
  <si>
    <t>2.本回合过&gt;0张指定属性类型牌</t>
  </si>
  <si>
    <t>3.出牌顺序前一招为指定武器类型时</t>
  </si>
  <si>
    <t>4.出牌顺序前一招为指定属性类型时</t>
  </si>
  <si>
    <t>5.同时打出全是指定武器类型时</t>
  </si>
  <si>
    <t>6.同时打出全是指定属性类型时</t>
  </si>
  <si>
    <t>7.目标处于指定状态时（buff表id）</t>
  </si>
  <si>
    <t>8.出牌顺序在第一招时</t>
  </si>
  <si>
    <t>9.仅出1招时</t>
  </si>
  <si>
    <t>每级增加系数</t>
  </si>
  <si>
    <t>10.自身处于指定状态时（buff表id）</t>
  </si>
  <si>
    <t>11.血量低于x%（万分比）</t>
  </si>
  <si>
    <t>12.直接生效</t>
  </si>
  <si>
    <t>13.累计出过&gt;0张指定武器类型牌</t>
  </si>
  <si>
    <t>14.累计出过&gt;0张指定属性类型牌</t>
  </si>
  <si>
    <t>平均卡牌费用=3.6</t>
  </si>
  <si>
    <t>伤害成长系数</t>
  </si>
  <si>
    <t>平均属性等级</t>
  </si>
  <si>
    <t>平均回合</t>
  </si>
  <si>
    <t>可使用费用</t>
  </si>
  <si>
    <t>平均费用</t>
  </si>
  <si>
    <t>平均卡牌资质/费用</t>
  </si>
  <si>
    <t>平均卡牌资质</t>
  </si>
  <si>
    <t>可出牌数</t>
  </si>
  <si>
    <t>对应平均卡伤害</t>
  </si>
  <si>
    <t>对应怪物血量</t>
  </si>
  <si>
    <t>桌子-</t>
  </si>
  <si>
    <t>回复成长系数</t>
  </si>
  <si>
    <t>床-</t>
  </si>
  <si>
    <t>等价费用</t>
  </si>
  <si>
    <t>护甲成长系数</t>
  </si>
  <si>
    <t>墙壁-</t>
  </si>
  <si>
    <t>中毒灼烧冰冻魂</t>
  </si>
  <si>
    <t>室内-</t>
  </si>
  <si>
    <t>伤害增加buff</t>
  </si>
  <si>
    <t>费用=标准费用*生效招式数*效果值/10000</t>
  </si>
  <si>
    <t>其中生效招式数=可使用费用/标准卡牌费用*回合数</t>
  </si>
  <si>
    <t>书架-</t>
  </si>
  <si>
    <t>院落-</t>
  </si>
  <si>
    <t>技能</t>
  </si>
  <si>
    <t>武器属性
=0，任意
=1，拳法
=2，剑法
=3，法术
=4，无</t>
  </si>
  <si>
    <t>五行属性
=0，任意
=1，金
=2，木
=3，水
=4，火
=5，土
=6，无属性</t>
  </si>
  <si>
    <t>状态效果
0.任意状态
1.炎息
2.冰冻
3.魂</t>
  </si>
  <si>
    <t>平均卡牌费用</t>
  </si>
  <si>
    <t>卡牌标准资质</t>
  </si>
  <si>
    <t>每回合出牌数</t>
  </si>
  <si>
    <t>攻击力</t>
  </si>
  <si>
    <t>技能效果名称</t>
  </si>
  <si>
    <t>描述（其中a取value值）</t>
  </si>
  <si>
    <t>效果类型</t>
  </si>
  <si>
    <t>计算类型</t>
  </si>
  <si>
    <t>计算数据时效
1.本回合
2.从战斗开始时</t>
  </si>
  <si>
    <t>计算数据来源
0.无
1.自身
2.对方</t>
  </si>
  <si>
    <t>生效目标
本招，=0；
自身，=1；
对方，=2；</t>
  </si>
  <si>
    <t xml:space="preserve">影响效果的对象
类型
0.任意
1.武器
2.五行属性
</t>
  </si>
  <si>
    <t>武器/五行属性id</t>
  </si>
  <si>
    <t>叠加状态效果id</t>
  </si>
  <si>
    <t>数据类型
1.具体值
2.万分比</t>
  </si>
  <si>
    <t>影响效果值最小值</t>
  </si>
  <si>
    <t>影响效果值最大值</t>
  </si>
  <si>
    <t>技能资质</t>
  </si>
  <si>
    <t>技能资质费用</t>
  </si>
  <si>
    <t>calculation_type</t>
  </si>
  <si>
    <t>calculation_time</t>
  </si>
  <si>
    <t>data_sources</t>
  </si>
  <si>
    <t>affect_target</t>
  </si>
  <si>
    <t>weapon_element</t>
  </si>
  <si>
    <t>weapon_element_id</t>
  </si>
  <si>
    <t>data_type</t>
  </si>
  <si>
    <t>value1</t>
  </si>
  <si>
    <t>value2</t>
  </si>
  <si>
    <t>造成%d点%s拳法伤害，上一招为拳法时，增加造成伤害30%护甲</t>
  </si>
  <si>
    <t>造成%d点%s拳法伤害，此招式前每出一张拳法牌，伤害增加25%</t>
  </si>
  <si>
    <t>造成%d点%s拳法伤害，上一招为拳法时，增加35%伤害</t>
  </si>
  <si>
    <t>造成%d点%s拳法伤害，上一招为拳法时，增加造成伤害35%护甲</t>
  </si>
  <si>
    <t>造成%d点%s拳法伤害，额外当前护甲100%的伤害</t>
  </si>
  <si>
    <t>造成%d点%s拳法伤害，血量低于50%时，获得35%吸血效果</t>
  </si>
  <si>
    <t>造成%d点%s拳法伤害，此招式前每出1张拳法牌，伤害增加30%</t>
  </si>
  <si>
    <t>造成%d点%s拳法伤害，反弹15%受到的伤害，持续2回合</t>
  </si>
  <si>
    <t>对敌人造成增加50%拳法伤害，对自己造成30%伤害</t>
  </si>
  <si>
    <t>造成%d点%s拳法伤害，上一招为拳法时，增加40%点伤害</t>
  </si>
  <si>
    <t>造成%d点%s拳法伤害，上一招为拳法时，增加造成伤害50%护甲</t>
  </si>
  <si>
    <t>造成%d点%s拳法伤害，额外当前护甲150%的伤害</t>
  </si>
  <si>
    <t>造成%d点%s拳法伤害，自身血量低于50%时，伤害增加40%</t>
  </si>
  <si>
    <t>造成%d点%s拳法伤害，上一招为拳法时，增加50%点伤害</t>
  </si>
  <si>
    <t>1回合内不死</t>
  </si>
  <si>
    <t>造成%d点%s拳法伤害，自身血量低于50%时，伤害增加50%</t>
  </si>
  <si>
    <t>造成%d点%s拳法伤害，此招式前每出1张拳法牌，伤害增加35%</t>
  </si>
  <si>
    <t>造成%d点%s剑法伤害，上一招为剑法时，增加82点伤害</t>
  </si>
  <si>
    <t>造成%d点%s剑法伤害，第一招打出时，增加30%伤害</t>
  </si>
  <si>
    <t>造成%d点%s剑法伤害,增加156点护甲</t>
  </si>
  <si>
    <t>造成%d点%s剑法伤害，第一招打出时，增加35%伤害</t>
  </si>
  <si>
    <t>造成%d点%s剑法伤害，此招式前每出一张剑法牌，伤害增加25%</t>
  </si>
  <si>
    <t>造成%d点%s剑法伤害，上一招为剑法时，增加30%吸血</t>
  </si>
  <si>
    <t>造成%d点%s剑法伤害，仅出此招时，增加150%的伤害</t>
  </si>
  <si>
    <t>造成%d点%s剑法伤害,上一招为剑法时，造成1~3次伤害</t>
  </si>
  <si>
    <t>造成%d点%s剑法伤害,上一招为剑法时，造成伤害增加50%的真实伤害</t>
  </si>
  <si>
    <t>上一招为剑法时，使敌人下一回合费用-1</t>
  </si>
  <si>
    <t>造成%d点%s剑法伤害，此招式前每出一张剑法牌，伤害增加35%</t>
  </si>
  <si>
    <t>造成%d点%s剑法伤害,上一招为剑法时，伤害增加100%</t>
  </si>
  <si>
    <t>每回合多抽2张剑法牌，持续3回合</t>
  </si>
  <si>
    <t>造成%d点%s法术伤害，本回合每出过1张法术牌，伤害增加25%</t>
  </si>
  <si>
    <t>造成%d点%s法术伤害，若自身处在炎息中，伤害增加炎息层数*x</t>
  </si>
  <si>
    <t>造成%d点%s法术伤害，叠加3层炎息，伤害增加炎息层数*x</t>
  </si>
  <si>
    <t>造成%d点%s法术伤害，若自身存在炎息状态，增加炎息层数*35%的伤害</t>
  </si>
  <si>
    <t>造成%d点%s法术伤害，若目标存在冰冻状态，增加冰冻层数*35%的伤害</t>
  </si>
  <si>
    <t>造成%d点%s法术伤害，此招式前每使用过x张法术牌，叠加x层冰冻</t>
  </si>
  <si>
    <t>使打出的法术牌叠冰冻+1，持续x回合</t>
  </si>
  <si>
    <t>造成%d点%s法术伤害,存在魂时，造成30%吸血</t>
  </si>
  <si>
    <t>造成%d点%s法术伤害,每存在1个魂伤害增加30%</t>
  </si>
  <si>
    <t>消耗x个魂，造成消耗的魂数*%d点%s的伤害</t>
  </si>
  <si>
    <t>造成%d点%s法术伤害，并且造成30%吸血</t>
  </si>
  <si>
    <t>造成%d点%s法术伤害，第一招打出时，增加83点伤害</t>
  </si>
  <si>
    <t>无效敌人下1招</t>
  </si>
  <si>
    <t>产生%d点%s护甲</t>
  </si>
  <si>
    <t>回复%d点%s点生命</t>
  </si>
  <si>
    <t>造成%d点%s伤害</t>
  </si>
  <si>
    <t>人物灵根类型表</t>
  </si>
  <si>
    <t>灵根类型（0无1普通灵根2天灵根）</t>
  </si>
  <si>
    <t>资质类型名称</t>
  </si>
  <si>
    <t>灵根效果对应buff_id</t>
  </si>
  <si>
    <t>金灵根</t>
  </si>
  <si>
    <t>木灵根</t>
  </si>
  <si>
    <t>水灵根</t>
  </si>
  <si>
    <t>火灵根</t>
  </si>
  <si>
    <t>土灵根</t>
  </si>
  <si>
    <t>金天灵根</t>
  </si>
  <si>
    <t>木天灵根</t>
  </si>
  <si>
    <t>水天灵根</t>
  </si>
  <si>
    <t>火天灵根</t>
  </si>
  <si>
    <t>土天灵根</t>
  </si>
  <si>
    <t>状态效果
0.任意状态
1.中毒
2.冰冻
3.灼烧
4.魂</t>
  </si>
  <si>
    <t>dot系数</t>
  </si>
  <si>
    <t>buff效果名称</t>
  </si>
  <si>
    <t>描述</t>
  </si>
  <si>
    <t>buff类型
1.技能buff
2.心法buff
3.灵根buff</t>
  </si>
  <si>
    <t>正面负面
1.正面
2.负面
3.不可清除</t>
  </si>
  <si>
    <t>生效目标（以buff挂在谁身上为自身）
自身，=1；
对方，=2；</t>
  </si>
  <si>
    <t>buff特效</t>
  </si>
  <si>
    <t>buff音效</t>
  </si>
  <si>
    <t>buff生效时机</t>
  </si>
  <si>
    <t>持续方式
1.回合
2.招式</t>
  </si>
  <si>
    <t>开始回合/招式
=0，当前回合/招式
=1，下一回合回合/招式</t>
  </si>
  <si>
    <t>针对卡牌类型
0.不限
1.伤害(card表type=1)
2.辅助牌(card表type=0、2、3)</t>
  </si>
  <si>
    <t>buff生效所需指定卡牌数量</t>
  </si>
  <si>
    <t>buff生效机率</t>
  </si>
  <si>
    <t>计算数据来源
0.无
1.自身
2.对方
3.(新)敌我双方（双方之和）</t>
  </si>
  <si>
    <t>数据来源比例系数</t>
  </si>
  <si>
    <t>状态效果id</t>
  </si>
  <si>
    <t>影响效果值（具体值或万分比）</t>
  </si>
  <si>
    <t>属性系数</t>
  </si>
  <si>
    <t>持续回合/招式数
（9999为无限，不显示持续回合数字）</t>
  </si>
  <si>
    <t>是否可以叠加
=1，可叠加，type相同时可叠加
=0，不叠加，相同效果类型新状态覆盖旧状态</t>
  </si>
  <si>
    <t>叠加类型，相同类型回合数覆盖，数值/层数叠加
=1，数值
=2，层数</t>
  </si>
  <si>
    <t>生效代价</t>
  </si>
  <si>
    <t>飘字提示</t>
  </si>
  <si>
    <t>buff对应资质</t>
  </si>
  <si>
    <t>buff对应费用</t>
  </si>
  <si>
    <t>positive</t>
  </si>
  <si>
    <t>effect_type</t>
  </si>
  <si>
    <t>buff_effect</t>
  </si>
  <si>
    <t>buff_sound_effect</t>
  </si>
  <si>
    <t>effect_times</t>
  </si>
  <si>
    <t>round_type</t>
  </si>
  <si>
    <t>action_round</t>
  </si>
  <si>
    <t>card_effect_type</t>
  </si>
  <si>
    <t>card_effect_number</t>
  </si>
  <si>
    <t>effect_probability</t>
  </si>
  <si>
    <t>coefficient</t>
  </si>
  <si>
    <t>value</t>
  </si>
  <si>
    <t>round_num</t>
  </si>
  <si>
    <t>increase</t>
  </si>
  <si>
    <t>increase_type</t>
  </si>
  <si>
    <t>tips</t>
  </si>
  <si>
    <t>增加火焰类技能伤害7%，可叠加</t>
  </si>
  <si>
    <t>buff_3</t>
  </si>
  <si>
    <t>冰冻</t>
  </si>
  <si>
    <t>释放技能时，每有1层冰冻，就有15%的概率使该招式无效，每次生效扣除3层冰冻</t>
  </si>
  <si>
    <t>buff_2</t>
  </si>
  <si>
    <t>魂</t>
  </si>
  <si>
    <t>回合结束时，造成{0}点{1}的真实伤害</t>
  </si>
  <si>
    <t>buff_4</t>
  </si>
  <si>
    <t>幻象</t>
  </si>
  <si>
    <t>令敌人下一招失效</t>
  </si>
  <si>
    <t>buff_7</t>
  </si>
  <si>
    <t>滞气</t>
  </si>
  <si>
    <t>下一回合可用真气-1</t>
  </si>
  <si>
    <t>聚气</t>
  </si>
  <si>
    <t>下一回合可用真气+1</t>
  </si>
  <si>
    <t>buff_9</t>
  </si>
  <si>
    <t>每回合回复{0}点{1}的生命，持续s回合</t>
  </si>
  <si>
    <t>buff_6</t>
  </si>
  <si>
    <t>风雷神体</t>
  </si>
  <si>
    <t>每回合多抽2张牌，持续s回合</t>
  </si>
  <si>
    <t>buff_11</t>
  </si>
  <si>
    <t>伤害提升20%，持续s回合</t>
  </si>
  <si>
    <t>太岳神体</t>
  </si>
  <si>
    <t>降低受到伤害+x%，持续x回合</t>
  </si>
  <si>
    <t>buff_12</t>
  </si>
  <si>
    <t>增加受到伤害15%，持续2回合</t>
  </si>
  <si>
    <t>buff_8</t>
  </si>
  <si>
    <t>千重浪</t>
  </si>
  <si>
    <t>使下1招伤害增加100%</t>
  </si>
  <si>
    <t>buff_10</t>
  </si>
  <si>
    <t>使敌人下一招无效</t>
  </si>
  <si>
    <t>buff_13</t>
  </si>
  <si>
    <t>使打出的法术牌叠冰冻+2</t>
  </si>
  <si>
    <t>buff_15</t>
  </si>
  <si>
    <t>使打出的法术牌叠冰冻+1</t>
  </si>
  <si>
    <t>buff_18</t>
  </si>
  <si>
    <t>不屈</t>
  </si>
  <si>
    <t>状态持续期间，受到伤害不会死亡，最低有1滴血量，持续1回合</t>
  </si>
  <si>
    <t>buff_17</t>
  </si>
  <si>
    <t>血炎神体</t>
  </si>
  <si>
    <t>使所有招式叠灼烧+1</t>
  </si>
  <si>
    <t>使敌人下2招无效</t>
  </si>
  <si>
    <t>百鬼夜行</t>
  </si>
  <si>
    <t>每回合产生2个魂，持续3回合</t>
  </si>
  <si>
    <t>buff_19</t>
  </si>
  <si>
    <t>每回合回复{0}点{1}的生命，持续2回合</t>
  </si>
  <si>
    <t>诛仙！</t>
  </si>
  <si>
    <t>passive_40</t>
  </si>
  <si>
    <t>揉身劲1</t>
  </si>
  <si>
    <t>揉身劲2</t>
  </si>
  <si>
    <t>揉身劲3</t>
  </si>
  <si>
    <t>揉身劲4</t>
  </si>
  <si>
    <t>揉身劲5</t>
  </si>
  <si>
    <t>揉身劲6</t>
  </si>
  <si>
    <t>揉身劲7</t>
  </si>
  <si>
    <t>揉身劲8</t>
  </si>
  <si>
    <t>揉身劲9</t>
  </si>
  <si>
    <t>揉身劲10</t>
  </si>
  <si>
    <t>揉身劲11</t>
  </si>
  <si>
    <t>揉身劲12</t>
  </si>
  <si>
    <t>揉身劲13</t>
  </si>
  <si>
    <t>揉身劲14</t>
  </si>
  <si>
    <t>揉身劲15</t>
  </si>
  <si>
    <t>揉身劲16</t>
  </si>
  <si>
    <t>揉身劲17</t>
  </si>
  <si>
    <t>揉身劲18</t>
  </si>
  <si>
    <t>揉身劲19</t>
  </si>
  <si>
    <t>揉身劲20</t>
  </si>
  <si>
    <t>揉身劲21</t>
  </si>
  <si>
    <t>揉身劲22</t>
  </si>
  <si>
    <t>揉身劲23</t>
  </si>
  <si>
    <t>揉身劲24</t>
  </si>
  <si>
    <t>揉身劲25</t>
  </si>
  <si>
    <t>揉身劲26</t>
  </si>
  <si>
    <t>揉身劲27</t>
  </si>
  <si>
    <t>揉身劲28</t>
  </si>
  <si>
    <t>揉身劲29</t>
  </si>
  <si>
    <t>揉身劲30</t>
  </si>
  <si>
    <t>剑意1</t>
  </si>
  <si>
    <t>buff_5</t>
  </si>
  <si>
    <t>剑意2</t>
  </si>
  <si>
    <t>剑意3</t>
  </si>
  <si>
    <t>剑意4</t>
  </si>
  <si>
    <t>剑意5</t>
  </si>
  <si>
    <t>剑意6</t>
  </si>
  <si>
    <t>剑意7</t>
  </si>
  <si>
    <t>剑意8</t>
  </si>
  <si>
    <t>剑意9</t>
  </si>
  <si>
    <t>剑意10</t>
  </si>
  <si>
    <t>剑意11</t>
  </si>
  <si>
    <t>剑意12</t>
  </si>
  <si>
    <t>剑意13</t>
  </si>
  <si>
    <t>剑意14</t>
  </si>
  <si>
    <t>剑意15</t>
  </si>
  <si>
    <t>剑意16</t>
  </si>
  <si>
    <t>剑意17</t>
  </si>
  <si>
    <t>剑意18</t>
  </si>
  <si>
    <t>剑意19</t>
  </si>
  <si>
    <t>剑意20</t>
  </si>
  <si>
    <t>剑意21</t>
  </si>
  <si>
    <t>剑意22</t>
  </si>
  <si>
    <t>剑意23</t>
  </si>
  <si>
    <t>剑意24</t>
  </si>
  <si>
    <t>剑意25</t>
  </si>
  <si>
    <t>剑意26</t>
  </si>
  <si>
    <t>剑意27</t>
  </si>
  <si>
    <t>剑意28</t>
  </si>
  <si>
    <t>剑意29</t>
  </si>
  <si>
    <t>剑意30</t>
  </si>
  <si>
    <t>buff03</t>
  </si>
  <si>
    <t>buff01</t>
  </si>
  <si>
    <t>buff02</t>
  </si>
  <si>
    <t>buff05</t>
  </si>
  <si>
    <t>buff04</t>
  </si>
  <si>
    <t>buffgaoji03</t>
  </si>
  <si>
    <t>buffgaoji01</t>
  </si>
  <si>
    <t>buffgaoji02</t>
  </si>
  <si>
    <t>buffgaoji05</t>
  </si>
  <si>
    <t>buffgaoji04</t>
  </si>
  <si>
    <t>杀戮之心</t>
  </si>
  <si>
    <t>增加所有类型伤害5%</t>
  </si>
  <si>
    <t>天命所钟</t>
  </si>
  <si>
    <t>降低所有类型伤害5%</t>
  </si>
  <si>
    <t>剑心通明</t>
  </si>
  <si>
    <t>道法自然</t>
  </si>
  <si>
    <t>先天罡气</t>
  </si>
  <si>
    <t>每使用2招拳法，增加{0}点{1}护甲</t>
  </si>
  <si>
    <t>passive_1</t>
  </si>
  <si>
    <t>passive_37</t>
  </si>
  <si>
    <t>passive_14</t>
  </si>
  <si>
    <t>passive_13</t>
  </si>
  <si>
    <t>passive_17</t>
  </si>
  <si>
    <t>回合开始时，增加{0}点{1}点护甲</t>
  </si>
  <si>
    <t>passive_31</t>
  </si>
  <si>
    <t>passive_16</t>
  </si>
  <si>
    <t>每使用2招剑法，发出1道剑气造成{0}点{1}伤害</t>
  </si>
  <si>
    <t>passive_5</t>
  </si>
  <si>
    <t>passive_6</t>
  </si>
  <si>
    <t>passive_21</t>
  </si>
  <si>
    <t>passive_7</t>
  </si>
  <si>
    <t>灵犀剑诀</t>
  </si>
  <si>
    <t>回合开始时，发出1道剑气造成{0}点{1}伤害</t>
  </si>
  <si>
    <t>passive_8</t>
  </si>
  <si>
    <t>passive_38</t>
  </si>
  <si>
    <t>passive_39</t>
  </si>
  <si>
    <t>每使用2招法术，发出1道真气造成{0}点{1}真实伤害</t>
  </si>
  <si>
    <t>passive_23</t>
  </si>
  <si>
    <t>每使用2招法术，发出1道真气造成{0}点{2}真实伤害</t>
  </si>
  <si>
    <t>每使用2招法术，发出1道真气造成{0}点{3}真实伤害</t>
  </si>
  <si>
    <t>每使用2招法术，发出1道真气造成{0}点{4}真实伤害</t>
  </si>
  <si>
    <t>每使用2招法术，发出1道真气造成{0}点{5}真实伤害</t>
  </si>
  <si>
    <t>每使用2招法术，发出1道真气造成{0}点{6}真实伤害</t>
  </si>
  <si>
    <t>每使用2招法术，发出1道真气造成{0}点{7}真实伤害</t>
  </si>
  <si>
    <t>每使用2招法术，发出1道真气造成{0}点{8}真实伤害</t>
  </si>
  <si>
    <t>每使用2招法术，发出1道真气造成{0}点{9}真实伤害</t>
  </si>
  <si>
    <t>每使用2招法术，发出1道真气造成{0}点{10}真实伤害</t>
  </si>
  <si>
    <t>每使用2招法术，发出1道真气造成{0}点{11}真实伤害</t>
  </si>
  <si>
    <t>passive_3</t>
  </si>
  <si>
    <t>passive_42</t>
  </si>
  <si>
    <t>passive_10</t>
  </si>
  <si>
    <t>passive_43</t>
  </si>
  <si>
    <t>passive_18</t>
  </si>
  <si>
    <t>passive_9</t>
  </si>
  <si>
    <t>passive_41</t>
  </si>
  <si>
    <t>每回合叠加1层冰冻</t>
  </si>
  <si>
    <t>每回合叠加2层冰冻</t>
  </si>
  <si>
    <t>每回合叠加3层冰冻</t>
  </si>
  <si>
    <t>passive_11</t>
  </si>
  <si>
    <t>每回合前2张打出的暗器招式消耗减少1点</t>
  </si>
  <si>
    <t>passive_12</t>
  </si>
  <si>
    <t>每回合前3张打出的暗器招式消耗减少1点</t>
  </si>
  <si>
    <t>每回合前4张打出的暗器招式消耗减少1点</t>
  </si>
  <si>
    <t>血量每降低10%，增加7%层减伤</t>
  </si>
  <si>
    <t>passive_15</t>
  </si>
  <si>
    <t>所有招式吸血20%</t>
  </si>
  <si>
    <t>血量每降低10%，增加10%层减伤</t>
  </si>
  <si>
    <t>敌我双方每损失20%血量产生1个魂</t>
  </si>
  <si>
    <t>passive_19</t>
  </si>
  <si>
    <t>passive_20</t>
  </si>
  <si>
    <t>增加剑法伤害22%</t>
  </si>
  <si>
    <t>每使用2招符咒，造成{0}点{1}的伤害</t>
  </si>
  <si>
    <t>passive_22</t>
  </si>
  <si>
    <t>每回合前2张打出的水属性招式消耗减少1点</t>
  </si>
  <si>
    <t>每回合前2张打出的火属性招式消耗减少1点</t>
  </si>
  <si>
    <t>passive_24</t>
  </si>
  <si>
    <t>每次战斗胜利可以获得每秒赚钱收益*5的灵石</t>
  </si>
  <si>
    <t>passive_25</t>
  </si>
  <si>
    <t>免疫负面技能效果</t>
  </si>
  <si>
    <t>passive_26</t>
  </si>
  <si>
    <t>passive_27</t>
  </si>
  <si>
    <t>每回合叠加1层灼烧</t>
  </si>
  <si>
    <t>passive_28</t>
  </si>
  <si>
    <t>每回合叠加1层中毒</t>
  </si>
  <si>
    <t>passive_29</t>
  </si>
  <si>
    <t>增加水系法术伤害27%</t>
  </si>
  <si>
    <t>passive_30</t>
  </si>
  <si>
    <t>每回合造成护甲10%的伤害</t>
  </si>
  <si>
    <t>每回合增加1个魂</t>
  </si>
  <si>
    <t>passive_32</t>
  </si>
  <si>
    <t>每回合无效敌人1招</t>
  </si>
  <si>
    <t>passive_33</t>
  </si>
  <si>
    <t>反弹30%受到的伤害</t>
  </si>
  <si>
    <t>passive_34</t>
  </si>
  <si>
    <t>免疫中毒效果</t>
  </si>
  <si>
    <t>passive_35</t>
  </si>
  <si>
    <t>武器
1.拳法
2.剑法
3.法术</t>
  </si>
  <si>
    <t>战斗组号，相同境界且相同战斗组号则是同一组</t>
  </si>
  <si>
    <t>卡牌ID</t>
  </si>
  <si>
    <t>group</t>
  </si>
  <si>
    <t>card_id</t>
  </si>
  <si>
    <t>逆命</t>
  </si>
  <si>
    <t>太玄冲门</t>
  </si>
  <si>
    <t>魔</t>
  </si>
  <si>
    <t>尸鬼封</t>
  </si>
  <si>
    <t>冰</t>
  </si>
  <si>
    <t>野猪</t>
  </si>
  <si>
    <t>雷劫</t>
  </si>
  <si>
    <t>虎</t>
  </si>
  <si>
    <t>鱼妖</t>
  </si>
  <si>
    <t>怪物属性表</t>
  </si>
  <si>
    <t>待配置</t>
  </si>
  <si>
    <t>名称</t>
  </si>
  <si>
    <t>模型名称</t>
  </si>
  <si>
    <t>引用模型id</t>
  </si>
  <si>
    <t>立绘
（对白用）</t>
  </si>
  <si>
    <t>头像
（战斗和地点图标用）</t>
  </si>
  <si>
    <r>
      <rPr>
        <sz val="11"/>
        <color rgb="FF171A1D"/>
        <rFont val="微软雅黑"/>
        <charset val="134"/>
      </rPr>
      <t>怪物上方特效</t>
    </r>
    <r>
      <rPr>
        <sz val="11"/>
        <color rgb="FF171A1D"/>
        <rFont val="Segoe UI"/>
        <charset val="134"/>
      </rPr>
      <t xml:space="preserve"> ( </t>
    </r>
    <r>
      <rPr>
        <sz val="11"/>
        <color rgb="FF171A1D"/>
        <rFont val="微软雅黑"/>
        <charset val="134"/>
      </rPr>
      <t xml:space="preserve">蓝色 </t>
    </r>
    <r>
      <rPr>
        <sz val="11"/>
        <color rgb="FF171A1D"/>
        <rFont val="Segoe UI"/>
        <charset val="134"/>
      </rPr>
      <t xml:space="preserve"> bigBreachUp  </t>
    </r>
    <r>
      <rPr>
        <sz val="11"/>
        <color rgb="FF171A1D"/>
        <rFont val="微软雅黑"/>
        <charset val="134"/>
      </rPr>
      <t>| 黄色  quyuUp |小星星 tesu）</t>
    </r>
  </si>
  <si>
    <t>怪物下方特效 ( 蓝色  bigBreachDown  | 黄色  quyuDown |小星星 tesu）</t>
  </si>
  <si>
    <t xml:space="preserve">怪物名字显示底框    
   区域 bossbg  | 渡劫 bossbg1   | 灵玉 bossbg2 | 灵石 bossbg3 </t>
  </si>
  <si>
    <t>难度</t>
  </si>
  <si>
    <t>推荐战力</t>
  </si>
  <si>
    <t>战力</t>
  </si>
  <si>
    <t>战斗卡组ID,索引battle_group表的group字段</t>
  </si>
  <si>
    <t>五行属性</t>
  </si>
  <si>
    <t xml:space="preserve">流派
=1，拳法
=2，剑法
=3，法术
</t>
  </si>
  <si>
    <t>心法id</t>
  </si>
  <si>
    <t>开场对话组id</t>
  </si>
  <si>
    <t>picture</t>
  </si>
  <si>
    <t>head</t>
  </si>
  <si>
    <t>effect_show_up</t>
  </si>
  <si>
    <t>effect_show_down</t>
  </si>
  <si>
    <t>monster_name_frame</t>
  </si>
  <si>
    <t>hard_degree</t>
  </si>
  <si>
    <t>force</t>
  </si>
  <si>
    <t>passive_id</t>
  </si>
  <si>
    <t>dialogue</t>
  </si>
  <si>
    <t>拦路蜂妖</t>
  </si>
  <si>
    <t>符京城</t>
  </si>
  <si>
    <t>玉蜂妖</t>
  </si>
  <si>
    <t>juse_lihui_02</t>
  </si>
  <si>
    <t>monster_5</t>
  </si>
  <si>
    <t>quyuUp</t>
  </si>
  <si>
    <t>quyuDown</t>
  </si>
  <si>
    <t>bossbg</t>
  </si>
  <si>
    <t>蜀山剑经</t>
  </si>
  <si>
    <t>巡游弟子</t>
  </si>
  <si>
    <t>镜湖坊</t>
  </si>
  <si>
    <t>正派外门男</t>
  </si>
  <si>
    <t>role_LRY_1</t>
  </si>
  <si>
    <t>太玄拳法</t>
  </si>
  <si>
    <t>乱星妖鲨</t>
  </si>
  <si>
    <t>乱星岛</t>
  </si>
  <si>
    <t>鲨鱼王</t>
  </si>
  <si>
    <t>role_SYG_1</t>
  </si>
  <si>
    <t>乱星诀</t>
  </si>
  <si>
    <t>蜀山守山弟子</t>
  </si>
  <si>
    <t>剑冢</t>
  </si>
  <si>
    <t>正派内门男</t>
  </si>
  <si>
    <t>role_kj_ys</t>
  </si>
  <si>
    <t>五雷正法</t>
  </si>
  <si>
    <t>蜀山精英弟子</t>
  </si>
  <si>
    <t>镇妖塔</t>
  </si>
  <si>
    <t>正派精英男</t>
  </si>
  <si>
    <t>role_ssr_ys</t>
  </si>
  <si>
    <t>剑气典</t>
  </si>
  <si>
    <t>守山灵兽白虎</t>
  </si>
  <si>
    <t>金刚宗</t>
  </si>
  <si>
    <t>白虎妖</t>
  </si>
  <si>
    <t>monster_4</t>
  </si>
  <si>
    <t>魔拳真录</t>
  </si>
  <si>
    <t>守山灵兽蛇妖</t>
  </si>
  <si>
    <t>灵丹派</t>
  </si>
  <si>
    <t>蛇妖</t>
  </si>
  <si>
    <t>monster_10</t>
  </si>
  <si>
    <t>冲定仙诀</t>
  </si>
  <si>
    <t>花妖</t>
  </si>
  <si>
    <t>桃花林</t>
  </si>
  <si>
    <t>monster_9</t>
  </si>
  <si>
    <t>寒冰真气</t>
  </si>
  <si>
    <t>烘炉山弟子</t>
  </si>
  <si>
    <t>烘炉山</t>
  </si>
  <si>
    <t>散修小头目</t>
  </si>
  <si>
    <t>role_ndsb_jx</t>
  </si>
  <si>
    <t>巫祖玄功</t>
  </si>
  <si>
    <t>南滇什长</t>
  </si>
  <si>
    <t>戎西郊外</t>
  </si>
  <si>
    <t>中级散修</t>
  </si>
  <si>
    <t>monster_1</t>
  </si>
  <si>
    <t>南滇屯长</t>
  </si>
  <si>
    <t>戎西街道</t>
  </si>
  <si>
    <t>monster_2</t>
  </si>
  <si>
    <t>镇守大将</t>
  </si>
  <si>
    <t>戎西军营</t>
  </si>
  <si>
    <t>role_ZS_1</t>
  </si>
  <si>
    <t>普通散修</t>
  </si>
  <si>
    <t>郊外荒野</t>
  </si>
  <si>
    <t>低级散修</t>
  </si>
  <si>
    <t>role_SS_ys</t>
  </si>
  <si>
    <t>精英散修</t>
  </si>
  <si>
    <t>牌坊街市</t>
  </si>
  <si>
    <t>role_ssjydz_wl</t>
  </si>
  <si>
    <t>黑袍人</t>
  </si>
  <si>
    <t>地下黑市</t>
  </si>
  <si>
    <t>role_HPR_1</t>
  </si>
  <si>
    <t>珍宝阁修士</t>
  </si>
  <si>
    <t>珍宝阁商会</t>
  </si>
  <si>
    <t>正派内门女</t>
  </si>
  <si>
    <t>monster_14</t>
  </si>
  <si>
    <t>贿赂</t>
  </si>
  <si>
    <t>鱼妖头目</t>
  </si>
  <si>
    <t>海妖聚集地</t>
  </si>
  <si>
    <t>金鱼妖</t>
  </si>
  <si>
    <t>monster_8</t>
  </si>
  <si>
    <t>北海鲨鱼王</t>
  </si>
  <si>
    <t>深海妖王殿</t>
  </si>
  <si>
    <t>赤骸鲨</t>
  </si>
  <si>
    <t>妖族体魄</t>
  </si>
  <si>
    <t>蜀山外门弟子</t>
  </si>
  <si>
    <t>蜀山迎客道</t>
  </si>
  <si>
    <t>role_ssptdz_sq</t>
  </si>
  <si>
    <t>蜀山内门弟子</t>
  </si>
  <si>
    <t>蜀山六羽峰</t>
  </si>
  <si>
    <t>role_ssptdz_wl</t>
  </si>
  <si>
    <t>蜀山落神峰</t>
  </si>
  <si>
    <t>role_ssptdz_wx</t>
  </si>
  <si>
    <t>蜀山长老</t>
  </si>
  <si>
    <t>蜀山主殿</t>
  </si>
  <si>
    <t>role_ssjydz_wx</t>
  </si>
  <si>
    <t>五行剑法·上篇</t>
  </si>
  <si>
    <t>灵丹派外门弟子</t>
  </si>
  <si>
    <t>三千药田</t>
  </si>
  <si>
    <t>monster_11</t>
  </si>
  <si>
    <t>盗丹散修</t>
  </si>
  <si>
    <t>地火炼丹厅</t>
  </si>
  <si>
    <t>monster_3</t>
  </si>
  <si>
    <t>密林妖修</t>
  </si>
  <si>
    <t>云深不知处</t>
  </si>
  <si>
    <t>灵丹派长老</t>
  </si>
  <si>
    <t>万年青木秘境</t>
  </si>
  <si>
    <t>monster_15</t>
  </si>
  <si>
    <t>灵丹重鼎诀</t>
  </si>
  <si>
    <t>普通妖修</t>
  </si>
  <si>
    <t>外海十三岛</t>
  </si>
  <si>
    <t>精英妖修</t>
  </si>
  <si>
    <t>内海七岛</t>
  </si>
  <si>
    <t>低级狐妖</t>
  </si>
  <si>
    <t>monster_6</t>
  </si>
  <si>
    <t>乱星岛修士</t>
  </si>
  <si>
    <t>天街坊市</t>
  </si>
  <si>
    <t>邪派外门女</t>
  </si>
  <si>
    <t>monster_18</t>
  </si>
  <si>
    <t>乱星岛精英修士</t>
  </si>
  <si>
    <t>摘星台</t>
  </si>
  <si>
    <t>邪派内门男</t>
  </si>
  <si>
    <t>monster_19</t>
  </si>
  <si>
    <t>乱星水行诀·上册</t>
  </si>
  <si>
    <t>莲花宗男弟子</t>
  </si>
  <si>
    <t>桃花殿</t>
  </si>
  <si>
    <t>邪派外门男</t>
  </si>
  <si>
    <t>role_lhzndz_wx</t>
  </si>
  <si>
    <t>神符宗弟子</t>
  </si>
  <si>
    <t>落英阁</t>
  </si>
  <si>
    <t>role_txmptdz_wl</t>
  </si>
  <si>
    <t>莲花宗精英弟子</t>
  </si>
  <si>
    <t>九曲湖</t>
  </si>
  <si>
    <t>邪派内门女</t>
  </si>
  <si>
    <t>role_lhzudz_sq</t>
  </si>
  <si>
    <t>莲花宗长老</t>
  </si>
  <si>
    <t>寒池秘境</t>
  </si>
  <si>
    <t>role_lhzudz_wl</t>
  </si>
  <si>
    <t>寒池心法·上篇</t>
  </si>
  <si>
    <t>涂金宝</t>
  </si>
  <si>
    <t>用作神秘商店</t>
  </si>
  <si>
    <t>tesu</t>
  </si>
  <si>
    <t>流寇</t>
  </si>
  <si>
    <t>盗贼营地</t>
  </si>
  <si>
    <t>悍匪</t>
  </si>
  <si>
    <t>悍匪头目</t>
  </si>
  <si>
    <t>北阁弟子</t>
  </si>
  <si>
    <t>试炼之塔</t>
  </si>
  <si>
    <t>正派外门女</t>
  </si>
  <si>
    <t>role_txmptdz_wx</t>
  </si>
  <si>
    <t>蜀山弟子</t>
  </si>
  <si>
    <t>散修</t>
  </si>
  <si>
    <t>洞穴探险</t>
  </si>
  <si>
    <t>正派修士</t>
  </si>
  <si>
    <t>邪派修士</t>
  </si>
  <si>
    <t>role_xmgdz_wl</t>
  </si>
  <si>
    <t>虎妖</t>
  </si>
  <si>
    <t>鱼妖哨兵</t>
  </si>
  <si>
    <t>怒潮之战</t>
  </si>
  <si>
    <t>鱼妖术士</t>
  </si>
  <si>
    <t>紫鱼妖</t>
  </si>
  <si>
    <t>鱼妖精英</t>
  </si>
  <si>
    <t>妖怪巢穴</t>
  </si>
  <si>
    <t>木妖</t>
  </si>
  <si>
    <t>骨妖</t>
  </si>
  <si>
    <t>小僵尸</t>
  </si>
  <si>
    <t>monster_7</t>
  </si>
  <si>
    <t>超级污妖王</t>
  </si>
  <si>
    <t>金牙虎妖王</t>
  </si>
  <si>
    <t>hm</t>
  </si>
  <si>
    <t>仙人遗府</t>
  </si>
  <si>
    <t>monster_17</t>
  </si>
  <si>
    <t>monster_21</t>
  </si>
  <si>
    <t>monster_22</t>
  </si>
  <si>
    <t>散修头目</t>
  </si>
  <si>
    <t>猪妖</t>
  </si>
  <si>
    <t>role_gwyz</t>
  </si>
  <si>
    <t>毛贼</t>
  </si>
  <si>
    <t>秦氏家族</t>
  </si>
  <si>
    <t>小混混</t>
  </si>
  <si>
    <t>战斗引导来访</t>
  </si>
  <si>
    <t>陈大宝</t>
  </si>
  <si>
    <t>role_cdb_jx</t>
  </si>
  <si>
    <t>无名修士</t>
  </si>
  <si>
    <t>monster_13</t>
  </si>
  <si>
    <t>王越</t>
  </si>
  <si>
    <t>王越的来访事件</t>
  </si>
  <si>
    <t>role_SS5_k</t>
  </si>
  <si>
    <t>刺客甲</t>
  </si>
  <si>
    <t>凡人期轻衣盟刺客1</t>
  </si>
  <si>
    <t>刺客</t>
  </si>
  <si>
    <t>role_ck_lm</t>
  </si>
  <si>
    <t>刺客乙</t>
  </si>
  <si>
    <t>凡人期轻衣盟刺客2</t>
  </si>
  <si>
    <t>刺客丙</t>
  </si>
  <si>
    <t>凡人期轻衣盟刺客3</t>
  </si>
  <si>
    <t>刺客丁</t>
  </si>
  <si>
    <t>凡人期轻衣盟刺客4</t>
  </si>
  <si>
    <t>轻衣盟行刑官</t>
  </si>
  <si>
    <t>凡人期轻衣盟刺客BOSS</t>
  </si>
  <si>
    <t>蒙面人</t>
  </si>
  <si>
    <t>钱三多的手下</t>
  </si>
  <si>
    <t>钱三多</t>
  </si>
  <si>
    <t>来访</t>
  </si>
  <si>
    <t>碰瓷老太</t>
  </si>
  <si>
    <t>梅老太</t>
  </si>
  <si>
    <t>role_mlt_jx</t>
  </si>
  <si>
    <t>碰瓷老头</t>
  </si>
  <si>
    <t>陈老丈</t>
  </si>
  <si>
    <t>role_clz_jx</t>
  </si>
  <si>
    <t>碰瓷小伙</t>
  </si>
  <si>
    <t>卖茶女</t>
  </si>
  <si>
    <t>莲花宗女弟子</t>
  </si>
  <si>
    <t>role_xgn_hx</t>
  </si>
  <si>
    <t>神秘刺客</t>
  </si>
  <si>
    <t>李焱支线3</t>
  </si>
  <si>
    <t>林若男的心魔</t>
  </si>
  <si>
    <t>情劫心魔历练困难（需战胜）</t>
  </si>
  <si>
    <t>林若男</t>
  </si>
  <si>
    <t>南滇勇士</t>
  </si>
  <si>
    <t>镇守秦氏家族3困难（需战胜）</t>
  </si>
  <si>
    <t>士兵</t>
  </si>
  <si>
    <t>“晶晶”</t>
  </si>
  <si>
    <t>卖茶女4</t>
  </si>
  <si>
    <t>role_cm_sq</t>
  </si>
  <si>
    <t>安宁</t>
  </si>
  <si>
    <t>镜湖坊黑市夺宝困难（需战胜）</t>
  </si>
  <si>
    <t>role_AN_2</t>
  </si>
  <si>
    <t>古德白</t>
  </si>
  <si>
    <t>蜀山行走沛临（需要胜利）</t>
  </si>
  <si>
    <t>monster_23</t>
  </si>
  <si>
    <t>章鱼怪物、超强BOSS（可以输）</t>
  </si>
  <si>
    <t>赵奢</t>
  </si>
  <si>
    <t>捕杀妖王，太玄门超强（可以输，赢有成就）</t>
  </si>
  <si>
    <t>role_ndzs_wx</t>
  </si>
  <si>
    <t>厉老祖</t>
  </si>
  <si>
    <t>来访使用</t>
  </si>
  <si>
    <t>role_llz_jx</t>
  </si>
  <si>
    <t>从疾</t>
  </si>
  <si>
    <t>朱雀学院</t>
  </si>
  <si>
    <t>噬魂傀儡-丛疾</t>
  </si>
  <si>
    <t>无头天师，困难BOSS</t>
  </si>
  <si>
    <t>尸妖</t>
  </si>
  <si>
    <t>灵丹派弟子</t>
  </si>
  <si>
    <t>灵丹派卖保险1练气期4重</t>
  </si>
  <si>
    <t>灵丹派高级弟子</t>
  </si>
  <si>
    <t>灵丹派卖保险2练气期5重</t>
  </si>
  <si>
    <t>正派精英女</t>
  </si>
  <si>
    <t>monster_16</t>
  </si>
  <si>
    <t>莲花宗修士</t>
  </si>
  <si>
    <t>莲花宗招生1练气期6重</t>
  </si>
  <si>
    <t>role_lhzndz_sq</t>
  </si>
  <si>
    <t>莲花宗招生办</t>
  </si>
  <si>
    <t>莲花宗招生2练气期7重</t>
  </si>
  <si>
    <t>珍宝阁招生1练气期8重</t>
  </si>
  <si>
    <t>珍宝阁招生办</t>
  </si>
  <si>
    <t>珍宝阁招生2练气期9重</t>
  </si>
  <si>
    <t>轻浮修士</t>
  </si>
  <si>
    <t>英雄救美1</t>
  </si>
  <si>
    <t>白复</t>
  </si>
  <si>
    <t>在劫难逃</t>
  </si>
  <si>
    <t>黑化白复</t>
  </si>
  <si>
    <t>role_BFHH_3</t>
  </si>
  <si>
    <t>血魔老祖</t>
  </si>
  <si>
    <t>噬心血咒</t>
  </si>
  <si>
    <t>clos_xjx08</t>
  </si>
  <si>
    <t>捕杀妖王2</t>
  </si>
  <si>
    <t>突发事件</t>
  </si>
  <si>
    <t>万年青木</t>
  </si>
  <si>
    <t>万年青木妖</t>
  </si>
  <si>
    <t>追杀者</t>
  </si>
  <si>
    <t>受伤修士</t>
  </si>
  <si>
    <t>受伤的修士</t>
  </si>
  <si>
    <t>受伤修士报恩</t>
  </si>
  <si>
    <t>秦继</t>
  </si>
  <si>
    <t>安宁上门</t>
  </si>
  <si>
    <t>野山猪</t>
  </si>
  <si>
    <t>迷路的野山猪</t>
  </si>
  <si>
    <t>野猪精</t>
  </si>
  <si>
    <t>疯狂豪野猪</t>
  </si>
  <si>
    <t>妖狐</t>
  </si>
  <si>
    <t>妖族的使者</t>
  </si>
  <si>
    <t>魅惑狐妖</t>
  </si>
  <si>
    <t>噬魂宗杀手</t>
  </si>
  <si>
    <t>噬魂宗的报复1</t>
  </si>
  <si>
    <t>噬魂宗精英杀手</t>
  </si>
  <si>
    <t>噬魂宗的报复2</t>
  </si>
  <si>
    <t>安宁再次挑战</t>
  </si>
  <si>
    <t>神秘人</t>
  </si>
  <si>
    <t>轻衣盟的邀请</t>
  </si>
  <si>
    <t>小七</t>
  </si>
  <si>
    <t>小七—爱</t>
  </si>
  <si>
    <t>role_A_2</t>
  </si>
  <si>
    <t>百晓生</t>
  </si>
  <si>
    <t>柯觉</t>
  </si>
  <si>
    <t>role_kj_wx</t>
  </si>
  <si>
    <t>恶魂</t>
  </si>
  <si>
    <t>小七—恶</t>
  </si>
  <si>
    <t>role_E_2</t>
  </si>
  <si>
    <t>偷天大盗</t>
  </si>
  <si>
    <t>偷天大盗1</t>
  </si>
  <si>
    <t>role_montser_01</t>
  </si>
  <si>
    <t>漆姚</t>
  </si>
  <si>
    <t>匪寇</t>
  </si>
  <si>
    <t>流寇劫道</t>
  </si>
  <si>
    <t>酒楼恶霸</t>
  </si>
  <si>
    <t>恶霸</t>
  </si>
  <si>
    <t>捕杀猎物</t>
  </si>
  <si>
    <t>恶劣士兵</t>
  </si>
  <si>
    <t>剪径毛贼</t>
  </si>
  <si>
    <t>北海野蛮人</t>
  </si>
  <si>
    <t>路见不平</t>
  </si>
  <si>
    <t>流寇头目</t>
  </si>
  <si>
    <t>獠牙大野猪</t>
  </si>
  <si>
    <t>匪徒头目</t>
  </si>
  <si>
    <t>京城恶霸</t>
  </si>
  <si>
    <t>违章民兵</t>
  </si>
  <si>
    <t>南滇士兵</t>
  </si>
  <si>
    <t>野狐灵妖</t>
  </si>
  <si>
    <t>匪帮</t>
  </si>
  <si>
    <t>飞贼</t>
  </si>
  <si>
    <t>正派弟子</t>
  </si>
  <si>
    <t>违纪士兵</t>
  </si>
  <si>
    <t>荒野精怪</t>
  </si>
  <si>
    <t>北海悍匪</t>
  </si>
  <si>
    <t>噬魂宗弟子</t>
  </si>
  <si>
    <t>正邪交战</t>
  </si>
  <si>
    <t>role_xmgdz_sq</t>
  </si>
  <si>
    <t>大野狐妖</t>
  </si>
  <si>
    <t>灵丹派弃徒</t>
  </si>
  <si>
    <t>邪派弟子</t>
  </si>
  <si>
    <t>北海恶徒</t>
  </si>
  <si>
    <t>邪恶花妖</t>
  </si>
  <si>
    <t>莲花宗弃徒</t>
  </si>
  <si>
    <t>莲花宗弟子</t>
  </si>
  <si>
    <t>长牙野猪精</t>
  </si>
  <si>
    <t>南滇符兵什长</t>
  </si>
  <si>
    <t>赤魃尸妖</t>
  </si>
  <si>
    <t>三流散修</t>
  </si>
  <si>
    <t>二流散修</t>
  </si>
  <si>
    <t>逃兵屯长</t>
  </si>
  <si>
    <t>乱纪的高阶修士</t>
  </si>
  <si>
    <t>北海匪盗王</t>
  </si>
  <si>
    <t>坊市劫匪</t>
  </si>
  <si>
    <t>欺凌妖修</t>
  </si>
  <si>
    <t>散修女暴徒</t>
  </si>
  <si>
    <t>monster_20</t>
  </si>
  <si>
    <t>坊外劫道修士</t>
  </si>
  <si>
    <t>流窜邪修</t>
  </si>
  <si>
    <t>作乱的鬼王花妖</t>
  </si>
  <si>
    <t>花妖王</t>
  </si>
  <si>
    <t>血魔宫弟子</t>
  </si>
  <si>
    <t>role_xmgdz_jx</t>
  </si>
  <si>
    <t>沛临</t>
  </si>
  <si>
    <t>一流散修</t>
  </si>
  <si>
    <t>阴淮蛇怪</t>
  </si>
  <si>
    <t>兽妖作乱</t>
  </si>
  <si>
    <t>海蛇妖</t>
  </si>
  <si>
    <t>太玄门真传弟子</t>
  </si>
  <si>
    <t>仙界名宿</t>
  </si>
  <si>
    <t>太玄门普通弟子</t>
  </si>
  <si>
    <t>凶恶老头</t>
  </si>
  <si>
    <t>邪派真传弟子</t>
  </si>
  <si>
    <t>邪派精英男</t>
  </si>
  <si>
    <t>role_XX_ys</t>
  </si>
  <si>
    <t>血魔宫精英弟子</t>
  </si>
  <si>
    <t>高阶修士</t>
  </si>
  <si>
    <t>应邀做客</t>
  </si>
  <si>
    <t>强悍的匪徒</t>
  </si>
  <si>
    <t>北海的强悍匪徒</t>
  </si>
  <si>
    <t>北海的流窜鱼妖</t>
  </si>
  <si>
    <t>拔刀相助</t>
  </si>
  <si>
    <t>穷凶极恶的蛇妖</t>
  </si>
  <si>
    <t>可怖的散修</t>
  </si>
  <si>
    <t>正派败类弟子</t>
  </si>
  <si>
    <t>扰乱民间的悍匪</t>
  </si>
  <si>
    <t>散修精英头目</t>
  </si>
  <si>
    <t>荒野的花妖王</t>
  </si>
  <si>
    <t>血魔宫内门弟子</t>
  </si>
  <si>
    <t>邪派精英弟子</t>
  </si>
  <si>
    <t>正派精英弟子</t>
  </si>
  <si>
    <t>流窜作案的虎妖</t>
  </si>
  <si>
    <t>可怖的旱魃</t>
  </si>
  <si>
    <t>深林劫匪</t>
  </si>
  <si>
    <t>十万大山的散修</t>
  </si>
  <si>
    <t>驿站的恶徒</t>
  </si>
  <si>
    <t>抢劫的散修</t>
  </si>
  <si>
    <t>邪派外门弟子</t>
  </si>
  <si>
    <t>灵丹派执事</t>
  </si>
  <si>
    <t>强悍的散修</t>
  </si>
  <si>
    <t>村落的大虎妖</t>
  </si>
  <si>
    <t>可怖的海外邪修</t>
  </si>
  <si>
    <t>通用2-流窜邪修</t>
  </si>
  <si>
    <t>城中的正派名宿</t>
  </si>
  <si>
    <t>横行的岛上恶霸</t>
  </si>
  <si>
    <t>横行外海的修士</t>
  </si>
  <si>
    <t>正派狩猎弟子</t>
  </si>
  <si>
    <t>孤山修士</t>
  </si>
  <si>
    <t>古城恶徒</t>
  </si>
  <si>
    <t>突袭的可怖妖怪</t>
  </si>
  <si>
    <t>青山高阶散修</t>
  </si>
  <si>
    <t>血蜂妖</t>
  </si>
  <si>
    <t>十万大山的妖物</t>
  </si>
  <si>
    <t>青山高阶匪寇</t>
  </si>
  <si>
    <t>横行的虎妖王</t>
  </si>
  <si>
    <t>作乱的高阶散修</t>
  </si>
  <si>
    <t>荒山中的蛇妖王</t>
  </si>
  <si>
    <t>赤蛇妖</t>
  </si>
  <si>
    <t>隐藏的邪派弟子</t>
  </si>
  <si>
    <t>邪派高阶弟子</t>
  </si>
  <si>
    <t>正派高阶弟子</t>
  </si>
  <si>
    <t>残忍的蜂妖</t>
  </si>
  <si>
    <t>残忍的旱魃王</t>
  </si>
  <si>
    <t>寒针血影</t>
  </si>
  <si>
    <t>凡人材料boos1</t>
  </si>
  <si>
    <t xml:space="preserve">bigBreachUp </t>
  </si>
  <si>
    <t>bigBreachDown</t>
  </si>
  <si>
    <t xml:space="preserve">bossbg1 </t>
  </si>
  <si>
    <t>赤金灵魟</t>
  </si>
  <si>
    <t>凡人材料boos2</t>
  </si>
  <si>
    <t>长牙野兕</t>
  </si>
  <si>
    <t>凡人材料boos3</t>
  </si>
  <si>
    <t>百里旱魃</t>
  </si>
  <si>
    <t>炼气材料boos1</t>
  </si>
  <si>
    <t>啖睛白虎</t>
  </si>
  <si>
    <t>炼气材料boos2</t>
  </si>
  <si>
    <t>翻江角怪</t>
  </si>
  <si>
    <t>炼气材料boos3</t>
  </si>
  <si>
    <t>轻羽葵蛇</t>
  </si>
  <si>
    <t>炼气材料boos4</t>
  </si>
  <si>
    <t>莲华宝功</t>
  </si>
  <si>
    <t>炼狱大圣</t>
  </si>
  <si>
    <t>筑基材料boos1</t>
  </si>
  <si>
    <t>搬山大圣</t>
  </si>
  <si>
    <t>筑基材料boos2</t>
  </si>
  <si>
    <t>覆海大圣</t>
  </si>
  <si>
    <t>筑基材料boos3</t>
  </si>
  <si>
    <t>幻月大圣</t>
  </si>
  <si>
    <t>筑基材料boos4</t>
  </si>
  <si>
    <t>吞风大圣</t>
  </si>
  <si>
    <t>筑基材料boos5</t>
  </si>
  <si>
    <t>焚天遗录</t>
  </si>
  <si>
    <t>凡雷劫</t>
  </si>
  <si>
    <t>凡人雷劫1</t>
  </si>
  <si>
    <t>dj_frame_00</t>
  </si>
  <si>
    <t>青雷劫</t>
  </si>
  <si>
    <t>凡人雷劫2</t>
  </si>
  <si>
    <t>凡人雷劫3</t>
  </si>
  <si>
    <t>五行雷劫</t>
  </si>
  <si>
    <t>炼气雷劫1</t>
  </si>
  <si>
    <t>五行阴雷劫</t>
  </si>
  <si>
    <t>炼气雷劫2</t>
  </si>
  <si>
    <t>五行阳雷劫</t>
  </si>
  <si>
    <t>炼气雷劫3</t>
  </si>
  <si>
    <t>三重阳雷劫</t>
  </si>
  <si>
    <t>筑基雷劫1</t>
  </si>
  <si>
    <t>五重阳雷劫</t>
  </si>
  <si>
    <t>筑基雷劫2</t>
  </si>
  <si>
    <t>九霄阳雷劫</t>
  </si>
  <si>
    <t>筑基雷劫3</t>
  </si>
  <si>
    <t>域外地煞劫</t>
  </si>
  <si>
    <t>金丹雷劫1</t>
  </si>
  <si>
    <t>天外天罡劫</t>
  </si>
  <si>
    <t>金丹雷劫2</t>
  </si>
  <si>
    <t>上古混元劫</t>
  </si>
  <si>
    <t>金丹雷劫3</t>
  </si>
  <si>
    <t>元婴雷劫1</t>
  </si>
  <si>
    <t>元婴雷劫2</t>
  </si>
  <si>
    <t>元婴雷劫3</t>
  </si>
  <si>
    <t>化神雷劫1</t>
  </si>
  <si>
    <t>化神雷劫2</t>
  </si>
  <si>
    <t>化神雷劫3</t>
  </si>
  <si>
    <t>bigBreachUp</t>
  </si>
  <si>
    <t>bossbg3</t>
  </si>
  <si>
    <t>偷天大盗2</t>
  </si>
  <si>
    <t>偷天大盗3</t>
  </si>
  <si>
    <t>偷天大盗4</t>
  </si>
  <si>
    <t>偷天大盗5</t>
  </si>
  <si>
    <t>偷天大盗6</t>
  </si>
  <si>
    <t>偷天大盗7</t>
  </si>
  <si>
    <t>偷天大盗8</t>
  </si>
  <si>
    <t>偷天大盗9</t>
  </si>
  <si>
    <t>偷天大盗10</t>
  </si>
  <si>
    <t>偷天大盗11</t>
  </si>
  <si>
    <t>偷天大盗12</t>
  </si>
  <si>
    <t>偷天大盗13</t>
  </si>
  <si>
    <t>偷天大盗14</t>
  </si>
  <si>
    <t>偷天大盗15</t>
  </si>
  <si>
    <t>偷天大盗16</t>
  </si>
  <si>
    <t>偷天大盗17</t>
  </si>
  <si>
    <t>偷天大盗18</t>
  </si>
  <si>
    <t>偷天大盗19</t>
  </si>
  <si>
    <t>偷天大盗20</t>
  </si>
  <si>
    <t>偷天大盗21</t>
  </si>
  <si>
    <t>偷天大盗22</t>
  </si>
  <si>
    <t>偷天大盗23</t>
  </si>
  <si>
    <t>偷天大盗24</t>
  </si>
  <si>
    <t>偷天大盗25</t>
  </si>
  <si>
    <t>偷天大盗26</t>
  </si>
  <si>
    <t>偷天大盗27</t>
  </si>
  <si>
    <t>偷天大盗28</t>
  </si>
  <si>
    <t>偷天大盗29</t>
  </si>
  <si>
    <t>偷天大盗30</t>
  </si>
  <si>
    <t>偷天大盗31</t>
  </si>
  <si>
    <t>偷天大盗32</t>
  </si>
  <si>
    <t>偷天大盗33</t>
  </si>
  <si>
    <t>偷天大盗34</t>
  </si>
  <si>
    <t>偷天大盗35</t>
  </si>
  <si>
    <t>偷天大盗36</t>
  </si>
  <si>
    <t>偷天大盗37</t>
  </si>
  <si>
    <t>偷天大盗38</t>
  </si>
  <si>
    <t>偷天大盗39</t>
  </si>
  <si>
    <t>偷天大盗40</t>
  </si>
  <si>
    <t>灵脉守卫</t>
  </si>
  <si>
    <t>灵脉守卫1</t>
  </si>
  <si>
    <t>role_montser_02</t>
  </si>
  <si>
    <t>bossbg2</t>
  </si>
  <si>
    <t>灵脉守卫2</t>
  </si>
  <si>
    <t>灵脉守卫3</t>
  </si>
  <si>
    <t>灵脉守卫4</t>
  </si>
  <si>
    <t>灵脉守卫5</t>
  </si>
  <si>
    <t>灵脉守卫6</t>
  </si>
  <si>
    <t>灵脉守卫7</t>
  </si>
  <si>
    <t>灵脉守卫8</t>
  </si>
  <si>
    <t>灵脉守卫9</t>
  </si>
  <si>
    <t>灵脉守卫10</t>
  </si>
  <si>
    <t>灵脉守卫11</t>
  </si>
  <si>
    <t>灵脉守卫12</t>
  </si>
  <si>
    <t>灵脉守卫13</t>
  </si>
  <si>
    <t>灵脉守卫14</t>
  </si>
  <si>
    <t>灵脉守卫15</t>
  </si>
  <si>
    <t>灵脉守卫16</t>
  </si>
  <si>
    <t>灵脉守卫17</t>
  </si>
  <si>
    <t>灵脉守卫18</t>
  </si>
  <si>
    <t>灵脉守卫19</t>
  </si>
  <si>
    <t>灵脉守卫20</t>
  </si>
  <si>
    <t>灵脉守卫21</t>
  </si>
  <si>
    <t>灵脉守卫22</t>
  </si>
  <si>
    <t>灵脉守卫23</t>
  </si>
  <si>
    <t>灵脉守卫24</t>
  </si>
  <si>
    <t>灵脉守卫25</t>
  </si>
  <si>
    <t>灵脉守卫26</t>
  </si>
  <si>
    <t>灵脉守卫27</t>
  </si>
  <si>
    <t>灵脉守卫28</t>
  </si>
  <si>
    <t>灵脉守卫29</t>
  </si>
  <si>
    <t>灵脉守卫30</t>
  </si>
  <si>
    <t>灵脉守卫31</t>
  </si>
  <si>
    <t>灵脉守卫32</t>
  </si>
  <si>
    <t>灵脉守卫33</t>
  </si>
  <si>
    <t>灵脉守卫34</t>
  </si>
  <si>
    <t>灵脉守卫35</t>
  </si>
  <si>
    <t>灵脉守卫36</t>
  </si>
  <si>
    <t>灵脉守卫37</t>
  </si>
  <si>
    <t>灵脉守卫38</t>
  </si>
  <si>
    <t>灵脉守卫39</t>
  </si>
  <si>
    <t>灵脉守卫40</t>
  </si>
  <si>
    <t>魔渊1层怪物临时</t>
  </si>
  <si>
    <t>魔渊2层怪物临时</t>
  </si>
  <si>
    <t>魔渊3层怪物临时</t>
  </si>
  <si>
    <t>魔渊4层怪物临时</t>
  </si>
  <si>
    <t>魔渊5层怪物临时</t>
  </si>
  <si>
    <t>魔渊6层怪物临时</t>
  </si>
  <si>
    <t>魔渊7层怪物临时</t>
  </si>
  <si>
    <t>魔渊8层怪物临时</t>
  </si>
  <si>
    <t>魔渊9层怪物临时</t>
  </si>
  <si>
    <t>魔渊10层怪物临时</t>
  </si>
  <si>
    <t>魔渊11层怪物临时</t>
  </si>
  <si>
    <t>魔渊12层怪物临时</t>
  </si>
  <si>
    <t>魔渊13层怪物临时</t>
  </si>
  <si>
    <t>魔渊14层怪物临时</t>
  </si>
  <si>
    <t>魔渊15层怪物临时</t>
  </si>
  <si>
    <t>魔渊16层怪物临时</t>
  </si>
  <si>
    <t>魔渊17层怪物临时</t>
  </si>
  <si>
    <t>魔渊18层怪物临时</t>
  </si>
  <si>
    <t>魔渊19层怪物临时</t>
  </si>
  <si>
    <t>魔渊20层怪物临时</t>
  </si>
  <si>
    <t>魔渊21层怪物临时</t>
  </si>
  <si>
    <t>魔渊22层怪物临时</t>
  </si>
  <si>
    <t>魔渊23层怪物临时</t>
  </si>
  <si>
    <t>魔渊24层怪物临时</t>
  </si>
  <si>
    <t>魔渊25层怪物临时</t>
  </si>
  <si>
    <t>魔渊26层怪物临时</t>
  </si>
  <si>
    <t>魔渊27层怪物临时</t>
  </si>
  <si>
    <t>魔渊28层怪物临时</t>
  </si>
  <si>
    <t>魔渊29层怪物临时</t>
  </si>
  <si>
    <t>魔渊30层怪物临时</t>
  </si>
  <si>
    <t>魔渊31层怪物临时</t>
  </si>
  <si>
    <t>魔渊32层怪物临时</t>
  </si>
  <si>
    <t>魔渊33层怪物临时</t>
  </si>
  <si>
    <t>魔渊34层怪物临时</t>
  </si>
  <si>
    <t>魔渊35层怪物临时</t>
  </si>
  <si>
    <t>魔渊36层怪物临时</t>
  </si>
  <si>
    <t>魔渊37层怪物临时</t>
  </si>
  <si>
    <t>魔渊38层怪物临时</t>
  </si>
  <si>
    <t>魔渊39层怪物临时</t>
  </si>
  <si>
    <t>魔渊40层怪物临时</t>
  </si>
  <si>
    <t>魔渊41层怪物临时</t>
  </si>
  <si>
    <t>魔渊42层怪物临时</t>
  </si>
  <si>
    <t>魔渊43层怪物临时</t>
  </si>
  <si>
    <t>魔渊44层怪物临时</t>
  </si>
  <si>
    <t>魔渊45层怪物临时</t>
  </si>
  <si>
    <t>魔渊46层怪物临时</t>
  </si>
  <si>
    <t>魔渊47层怪物临时</t>
  </si>
  <si>
    <t>魔渊48层怪物临时</t>
  </si>
  <si>
    <t>魔渊49层怪物临时</t>
  </si>
  <si>
    <t>魔渊50层怪物临时</t>
  </si>
  <si>
    <t>魔渊51层怪物临时</t>
  </si>
  <si>
    <t>魔渊52层怪物临时</t>
  </si>
  <si>
    <t>魔渊53层怪物临时</t>
  </si>
  <si>
    <t>魔渊54层怪物临时</t>
  </si>
  <si>
    <t>魔渊55层怪物临时</t>
  </si>
  <si>
    <t>魔渊56层怪物临时</t>
  </si>
  <si>
    <t>魔渊57层怪物临时</t>
  </si>
  <si>
    <t>魔渊58层怪物临时</t>
  </si>
  <si>
    <t>魔渊59层怪物临时</t>
  </si>
  <si>
    <t>魔渊60层怪物临时</t>
  </si>
  <si>
    <t>魔渊61层怪物临时</t>
  </si>
  <si>
    <t>魔渊62层怪物临时</t>
  </si>
  <si>
    <t>魔渊63层怪物临时</t>
  </si>
  <si>
    <t>魔渊64层怪物临时</t>
  </si>
  <si>
    <t>魔渊65层怪物临时</t>
  </si>
  <si>
    <t>魔渊66层怪物临时</t>
  </si>
  <si>
    <t>魔渊67层怪物临时</t>
  </si>
  <si>
    <t>魔渊68层怪物临时</t>
  </si>
  <si>
    <t>魔渊69层怪物临时</t>
  </si>
  <si>
    <t>魔渊70层怪物临时</t>
  </si>
  <si>
    <t>魔渊71层怪物临时</t>
  </si>
  <si>
    <t>魔渊72层怪物临时</t>
  </si>
  <si>
    <t>魔渊73层怪物临时</t>
  </si>
  <si>
    <t>魔渊74层怪物临时</t>
  </si>
  <si>
    <t>魔渊75层怪物临时</t>
  </si>
  <si>
    <t>魔渊76层怪物临时</t>
  </si>
  <si>
    <t>魔渊77层怪物临时</t>
  </si>
  <si>
    <t>魔渊78层怪物临时</t>
  </si>
  <si>
    <t>魔渊79层怪物临时</t>
  </si>
  <si>
    <t>魔渊80层怪物临时</t>
  </si>
  <si>
    <t>魔渊81层怪物临时</t>
  </si>
  <si>
    <t>魔渊82层怪物临时</t>
  </si>
  <si>
    <t>魔渊83层怪物临时</t>
  </si>
  <si>
    <t>魔渊84层怪物临时</t>
  </si>
  <si>
    <t>魔渊85层怪物临时</t>
  </si>
  <si>
    <t>魔渊86层怪物临时</t>
  </si>
  <si>
    <t>魔渊87层怪物临时</t>
  </si>
  <si>
    <t>魔渊88层怪物临时</t>
  </si>
  <si>
    <t>魔渊89层怪物临时</t>
  </si>
  <si>
    <t>魔渊90层怪物临时</t>
  </si>
  <si>
    <t>魔渊91层怪物临时</t>
  </si>
  <si>
    <t>魔渊92层怪物临时</t>
  </si>
  <si>
    <t>魔渊93层怪物临时</t>
  </si>
  <si>
    <t>魔渊94层怪物临时</t>
  </si>
  <si>
    <t>魔渊95层怪物临时</t>
  </si>
  <si>
    <t>魔渊96层怪物临时</t>
  </si>
  <si>
    <t>魔渊97层怪物临时</t>
  </si>
  <si>
    <t>魔渊98层怪物临时</t>
  </si>
  <si>
    <t>魔渊99层怪物临时</t>
  </si>
  <si>
    <t>魔渊100层怪物临时</t>
  </si>
  <si>
    <t>魔渊101层怪物临时</t>
  </si>
  <si>
    <t>魔渊102层怪物临时</t>
  </si>
  <si>
    <t>魔渊103层怪物临时</t>
  </si>
  <si>
    <t>魔渊104层怪物临时</t>
  </si>
  <si>
    <t>魔渊105层怪物临时</t>
  </si>
  <si>
    <t>魔渊106层怪物临时</t>
  </si>
  <si>
    <t>魔渊107层怪物临时</t>
  </si>
  <si>
    <t>魔渊108层怪物临时</t>
  </si>
  <si>
    <t>魔渊109层怪物临时</t>
  </si>
  <si>
    <t>魔渊110层怪物临时</t>
  </si>
  <si>
    <t>魔渊111层怪物临时</t>
  </si>
  <si>
    <t>魔渊112层怪物临时</t>
  </si>
  <si>
    <t>魔渊113层怪物临时</t>
  </si>
  <si>
    <t>魔渊114层怪物临时</t>
  </si>
  <si>
    <t>魔渊115层怪物临时</t>
  </si>
  <si>
    <t>魔渊116层怪物临时</t>
  </si>
  <si>
    <t>魔渊117层怪物临时</t>
  </si>
  <si>
    <t>魔渊118层怪物临时</t>
  </si>
  <si>
    <t>魔渊119层怪物临时</t>
  </si>
  <si>
    <t>魔渊120层怪物临时</t>
  </si>
  <si>
    <t>魔渊121层怪物临时</t>
  </si>
  <si>
    <t>魔渊122层怪物临时</t>
  </si>
  <si>
    <t>魔渊123层怪物临时</t>
  </si>
  <si>
    <t>魔渊124层怪物临时</t>
  </si>
  <si>
    <t>魔渊125层怪物临时</t>
  </si>
  <si>
    <t>魔渊126层怪物临时</t>
  </si>
  <si>
    <t>魔渊127层怪物临时</t>
  </si>
  <si>
    <t>魔渊128层怪物临时</t>
  </si>
  <si>
    <t>魔渊129层怪物临时</t>
  </si>
  <si>
    <t>魔渊130层怪物临时</t>
  </si>
  <si>
    <t>魔渊131层怪物临时</t>
  </si>
  <si>
    <t>魔渊132层怪物临时</t>
  </si>
  <si>
    <t>魔渊133层怪物临时</t>
  </si>
  <si>
    <t>魔渊134层怪物临时</t>
  </si>
  <si>
    <t>魔渊135层怪物临时</t>
  </si>
  <si>
    <t>魔渊136层怪物临时</t>
  </si>
  <si>
    <t>魔渊137层怪物临时</t>
  </si>
  <si>
    <t>魔渊138层怪物临时</t>
  </si>
  <si>
    <t>魔渊139层怪物临时</t>
  </si>
  <si>
    <t>魔渊140层怪物临时</t>
  </si>
  <si>
    <t>魔渊141层怪物临时</t>
  </si>
  <si>
    <t>魔渊142层怪物临时</t>
  </si>
  <si>
    <t>魔渊143层怪物临时</t>
  </si>
  <si>
    <t>魔渊144层怪物临时</t>
  </si>
  <si>
    <t>魔渊145层怪物临时</t>
  </si>
  <si>
    <t>魔渊146层怪物临时</t>
  </si>
  <si>
    <t>魔渊147层怪物临时</t>
  </si>
  <si>
    <t>魔渊148层怪物临时</t>
  </si>
  <si>
    <t>魔渊149层怪物临时</t>
  </si>
  <si>
    <t>魔渊150层怪物临时</t>
  </si>
  <si>
    <t>魔渊151层怪物临时</t>
  </si>
  <si>
    <t>魔渊152层怪物临时</t>
  </si>
  <si>
    <t>魔渊153层怪物临时</t>
  </si>
  <si>
    <t>魔渊154层怪物临时</t>
  </si>
  <si>
    <t>魔渊155层怪物临时</t>
  </si>
  <si>
    <t>魔渊156层怪物临时</t>
  </si>
  <si>
    <t>魔渊157层怪物临时</t>
  </si>
  <si>
    <t>魔渊158层怪物临时</t>
  </si>
  <si>
    <t>魔渊159层怪物临时</t>
  </si>
  <si>
    <t>魔渊160层怪物临时</t>
  </si>
  <si>
    <t>魔渊161层怪物临时</t>
  </si>
  <si>
    <t>魔渊162层怪物临时</t>
  </si>
  <si>
    <t>魔渊163层怪物临时</t>
  </si>
  <si>
    <t>魔渊164层怪物临时</t>
  </si>
  <si>
    <t>魔渊165层怪物临时</t>
  </si>
  <si>
    <t>魔渊166层怪物临时</t>
  </si>
  <si>
    <t>魔渊167层怪物临时</t>
  </si>
  <si>
    <t>魔渊168层怪物临时</t>
  </si>
  <si>
    <t>魔渊169层怪物临时</t>
  </si>
  <si>
    <t>魔渊170层怪物临时</t>
  </si>
  <si>
    <t>魔渊171层怪物临时</t>
  </si>
  <si>
    <t>魔渊172层怪物临时</t>
  </si>
  <si>
    <t>魔渊173层怪物临时</t>
  </si>
  <si>
    <t>魔渊174层怪物临时</t>
  </si>
  <si>
    <t>魔渊175层怪物临时</t>
  </si>
  <si>
    <t>魔渊176层怪物临时</t>
  </si>
  <si>
    <t>魔渊177层怪物临时</t>
  </si>
  <si>
    <t>魔渊178层怪物临时</t>
  </si>
  <si>
    <t>魔渊179层怪物临时</t>
  </si>
  <si>
    <t>魔渊180层怪物临时</t>
  </si>
  <si>
    <t>魔渊181层怪物临时</t>
  </si>
  <si>
    <t>魔渊182层怪物临时</t>
  </si>
  <si>
    <t>魔渊183层怪物临时</t>
  </si>
  <si>
    <t>魔渊184层怪物临时</t>
  </si>
  <si>
    <t>魔渊185层怪物临时</t>
  </si>
  <si>
    <t>魔渊186层怪物临时</t>
  </si>
  <si>
    <t>魔渊187层怪物临时</t>
  </si>
  <si>
    <t>魔渊188层怪物临时</t>
  </si>
  <si>
    <t>魔渊189层怪物临时</t>
  </si>
  <si>
    <t>魔渊190层怪物临时</t>
  </si>
  <si>
    <t>魔渊191层怪物临时</t>
  </si>
  <si>
    <t>魔渊192层怪物临时</t>
  </si>
  <si>
    <t>魔渊193层怪物临时</t>
  </si>
  <si>
    <t>魔渊194层怪物临时</t>
  </si>
  <si>
    <t>魔渊195层怪物临时</t>
  </si>
  <si>
    <t>魔渊196层怪物临时</t>
  </si>
  <si>
    <t>魔渊197层怪物临时</t>
  </si>
  <si>
    <t>魔渊198层怪物临时</t>
  </si>
  <si>
    <t>魔渊199层怪物临时</t>
  </si>
  <si>
    <t>魔渊200层怪物临时</t>
  </si>
  <si>
    <t>魔渊201层怪物临时</t>
  </si>
  <si>
    <t>魔渊202层怪物临时</t>
  </si>
  <si>
    <t>魔渊203层怪物临时</t>
  </si>
  <si>
    <t>魔渊204层怪物临时</t>
  </si>
  <si>
    <t>魔渊205层怪物临时</t>
  </si>
  <si>
    <t>魔渊206层怪物临时</t>
  </si>
  <si>
    <t>魔渊207层怪物临时</t>
  </si>
  <si>
    <t>魔渊208层怪物临时</t>
  </si>
  <si>
    <t>魔渊209层怪物临时</t>
  </si>
  <si>
    <t>魔渊210层怪物临时</t>
  </si>
  <si>
    <t>魔渊211层怪物临时</t>
  </si>
  <si>
    <t>魔渊212层怪物临时</t>
  </si>
  <si>
    <t>魔渊213层怪物临时</t>
  </si>
  <si>
    <t>魔渊214层怪物临时</t>
  </si>
  <si>
    <t>魔渊215层怪物临时</t>
  </si>
  <si>
    <t>魔渊216层怪物临时</t>
  </si>
  <si>
    <t>魔渊217层怪物临时</t>
  </si>
  <si>
    <t>魔渊218层怪物临时</t>
  </si>
  <si>
    <t>魔渊219层怪物临时</t>
  </si>
  <si>
    <t>魔渊220层怪物临时</t>
  </si>
  <si>
    <t>魔渊221层怪物临时</t>
  </si>
  <si>
    <t>魔渊222层怪物临时</t>
  </si>
  <si>
    <t>魔渊223层怪物临时</t>
  </si>
  <si>
    <t>魔渊224层怪物临时</t>
  </si>
  <si>
    <t>魔渊225层怪物临时</t>
  </si>
  <si>
    <t>魔渊226层怪物临时</t>
  </si>
  <si>
    <t>魔渊227层怪物临时</t>
  </si>
  <si>
    <t>魔渊228层怪物临时</t>
  </si>
  <si>
    <t>魔渊229层怪物临时</t>
  </si>
  <si>
    <t>魔渊230层怪物临时</t>
  </si>
  <si>
    <t>魔渊231层怪物临时</t>
  </si>
  <si>
    <t>魔渊232层怪物临时</t>
  </si>
  <si>
    <t>魔渊233层怪物临时</t>
  </si>
  <si>
    <t>魔渊234层怪物临时</t>
  </si>
  <si>
    <t>魔渊235层怪物临时</t>
  </si>
  <si>
    <t>魔渊236层怪物临时</t>
  </si>
  <si>
    <t>魔渊237层怪物临时</t>
  </si>
  <si>
    <t>魔渊238层怪物临时</t>
  </si>
  <si>
    <t>魔渊239层怪物临时</t>
  </si>
  <si>
    <t>魔渊240层怪物临时</t>
  </si>
  <si>
    <t>魔渊241层怪物临时</t>
  </si>
  <si>
    <t>魔渊242层怪物临时</t>
  </si>
  <si>
    <t>魔渊243层怪物临时</t>
  </si>
  <si>
    <t>魔渊244层怪物临时</t>
  </si>
  <si>
    <t>魔渊245层怪物临时</t>
  </si>
  <si>
    <t>魔渊246层怪物临时</t>
  </si>
  <si>
    <t>魔渊247层怪物临时</t>
  </si>
  <si>
    <t>魔渊248层怪物临时</t>
  </si>
  <si>
    <t>魔渊249层怪物临时</t>
  </si>
  <si>
    <t>魔渊250层怪物临时</t>
  </si>
  <si>
    <t>魔渊251层怪物临时</t>
  </si>
  <si>
    <t>魔渊252层怪物临时</t>
  </si>
  <si>
    <t>魔渊253层怪物临时</t>
  </si>
  <si>
    <t>魔渊254层怪物临时</t>
  </si>
  <si>
    <t>魔渊255层怪物临时</t>
  </si>
  <si>
    <t>魔渊256层怪物临时</t>
  </si>
  <si>
    <t>魔渊257层怪物临时</t>
  </si>
  <si>
    <t>魔渊258层怪物临时</t>
  </si>
  <si>
    <t>魔渊259层怪物临时</t>
  </si>
  <si>
    <t>魔渊260层怪物临时</t>
  </si>
  <si>
    <t>魔渊261层怪物临时</t>
  </si>
  <si>
    <t>魔渊262层怪物临时</t>
  </si>
  <si>
    <t>魔渊263层怪物临时</t>
  </si>
  <si>
    <t>魔渊264层怪物临时</t>
  </si>
  <si>
    <t>魔渊265层怪物临时</t>
  </si>
  <si>
    <t>魔渊266层怪物临时</t>
  </si>
  <si>
    <t>魔渊267层怪物临时</t>
  </si>
  <si>
    <t>魔渊268层怪物临时</t>
  </si>
  <si>
    <t>魔渊269层怪物临时</t>
  </si>
  <si>
    <t>魔渊270层怪物临时</t>
  </si>
  <si>
    <t>魔渊271层怪物临时</t>
  </si>
  <si>
    <t>魔渊272层怪物临时</t>
  </si>
  <si>
    <t>魔渊273层怪物临时</t>
  </si>
  <si>
    <t>魔渊274层怪物临时</t>
  </si>
  <si>
    <t>魔渊275层怪物临时</t>
  </si>
  <si>
    <t>魔渊276层怪物临时</t>
  </si>
  <si>
    <t>魔渊277层怪物临时</t>
  </si>
  <si>
    <t>魔渊278层怪物临时</t>
  </si>
  <si>
    <t>魔渊279层怪物临时</t>
  </si>
  <si>
    <t>魔渊280层怪物临时</t>
  </si>
  <si>
    <t>魔渊281层怪物临时</t>
  </si>
  <si>
    <t>魔渊282层怪物临时</t>
  </si>
  <si>
    <t>魔渊283层怪物临时</t>
  </si>
  <si>
    <t>魔渊284层怪物临时</t>
  </si>
  <si>
    <t>魔渊285层怪物临时</t>
  </si>
  <si>
    <t>魔渊286层怪物临时</t>
  </si>
  <si>
    <t>魔渊287层怪物临时</t>
  </si>
  <si>
    <t>魔渊288层怪物临时</t>
  </si>
  <si>
    <t>魔渊289层怪物临时</t>
  </si>
  <si>
    <t>魔渊290层怪物临时</t>
  </si>
  <si>
    <t>魔渊291层怪物临时</t>
  </si>
  <si>
    <t>魔渊292层怪物临时</t>
  </si>
  <si>
    <t>魔渊293层怪物临时</t>
  </si>
  <si>
    <t>魔渊294层怪物临时</t>
  </si>
  <si>
    <t>魔渊295层怪物临时</t>
  </si>
  <si>
    <t>魔渊296层怪物临时</t>
  </si>
  <si>
    <t>魔渊297层怪物临时</t>
  </si>
  <si>
    <t>魔渊298层怪物临时</t>
  </si>
  <si>
    <t>魔渊299层怪物临时</t>
  </si>
  <si>
    <t>魔渊300层怪物临时</t>
  </si>
  <si>
    <t>动作模式类型
1.非人形怪
2.人形怪</t>
  </si>
  <si>
    <t>外型缩放</t>
  </si>
  <si>
    <t>性别
0.不男不女
1.男
2.女</t>
  </si>
  <si>
    <t>正邪值倾向（0亦正亦邪，1.正，2邪，）</t>
  </si>
  <si>
    <t>是否作为随机的模型生成（1是，0否）必须配性别</t>
  </si>
  <si>
    <t>可配置范围
1.来访
2.战斗
3.两者皆可</t>
  </si>
  <si>
    <t>站立动作</t>
  </si>
  <si>
    <t>移动动作</t>
  </si>
  <si>
    <t>跑步</t>
  </si>
  <si>
    <t>移动飞行</t>
  </si>
  <si>
    <t>战斗待机</t>
  </si>
  <si>
    <t>战斗攻击</t>
  </si>
  <si>
    <t>战斗死亡</t>
  </si>
  <si>
    <t>头像</t>
  </si>
  <si>
    <t>model_look</t>
  </si>
  <si>
    <t>model_type</t>
  </si>
  <si>
    <t>normal_stand</t>
  </si>
  <si>
    <t>normal_move</t>
  </si>
  <si>
    <t>normal_run</t>
  </si>
  <si>
    <t>fly_move</t>
  </si>
  <si>
    <t>idle</t>
  </si>
  <si>
    <t>atk</t>
  </si>
  <si>
    <t>defeat</t>
  </si>
  <si>
    <t>sex</t>
  </si>
  <si>
    <t>justice_evil</t>
  </si>
  <si>
    <t>is_round</t>
  </si>
  <si>
    <t>monster_01_skin</t>
  </si>
  <si>
    <t>monster_01_idle</t>
  </si>
  <si>
    <t>monster_01_atk</t>
  </si>
  <si>
    <t>monster_01_defeat</t>
  </si>
  <si>
    <t>monster_02_skin</t>
  </si>
  <si>
    <t>monster_02_idle</t>
  </si>
  <si>
    <t>monster_02_atk</t>
  </si>
  <si>
    <t>monster_02_defeat</t>
  </si>
  <si>
    <t>monster_03_skin</t>
  </si>
  <si>
    <t>monster_03_idle</t>
  </si>
  <si>
    <t>monster_03_atk</t>
  </si>
  <si>
    <t>monster_03_defeat</t>
  </si>
  <si>
    <t>monster_04_skin</t>
  </si>
  <si>
    <t>monster_04_idle</t>
  </si>
  <si>
    <t>monster_04_atk</t>
  </si>
  <si>
    <t>monster_04_defeat</t>
  </si>
  <si>
    <t>monster_05_skin</t>
  </si>
  <si>
    <t>monster_05_idle</t>
  </si>
  <si>
    <t>monster_05_atk</t>
  </si>
  <si>
    <t>monster_05_defeat</t>
  </si>
  <si>
    <t>monster_06_skin</t>
  </si>
  <si>
    <t>monster_06_idle</t>
  </si>
  <si>
    <t>monster_06_atk</t>
  </si>
  <si>
    <t>monster_06_defeat</t>
  </si>
  <si>
    <t>monster_07_skin</t>
  </si>
  <si>
    <t>monster_07_idle</t>
  </si>
  <si>
    <t>monster_07_atk</t>
  </si>
  <si>
    <t>monster_07_defeat</t>
  </si>
  <si>
    <t>monster_08_skin</t>
  </si>
  <si>
    <t>monster_08_idle</t>
  </si>
  <si>
    <t>monster_08_atk</t>
  </si>
  <si>
    <t>monster_08_defeat</t>
  </si>
  <si>
    <t>monster_09_skin</t>
  </si>
  <si>
    <t>monster_09_idle</t>
  </si>
  <si>
    <t>monster_09_atk</t>
  </si>
  <si>
    <t>monster_09_defeat</t>
  </si>
  <si>
    <t>monster_10_skin</t>
  </si>
  <si>
    <t>monster_10_idle</t>
  </si>
  <si>
    <t>monster_10_atk</t>
  </si>
  <si>
    <t>monster_10_defeat</t>
  </si>
  <si>
    <t>npc_b01_skin</t>
  </si>
  <si>
    <t>npc_stand</t>
  </si>
  <si>
    <t>npc_move</t>
  </si>
  <si>
    <t>npc_idle</t>
  </si>
  <si>
    <t>npc_atk</t>
  </si>
  <si>
    <t>npc_defeat</t>
  </si>
  <si>
    <t>npc_g01_skin</t>
  </si>
  <si>
    <t>npc_b02_skin</t>
  </si>
  <si>
    <t>npc_g02_skin</t>
  </si>
  <si>
    <t>npc_b03_skin</t>
  </si>
  <si>
    <t>npc_g03_skin</t>
  </si>
  <si>
    <t>npc_b01x_skin</t>
  </si>
  <si>
    <t>npc_g01x_skin</t>
  </si>
  <si>
    <t>npc_b02x_skin</t>
  </si>
  <si>
    <t>npc_g02x_skin</t>
  </si>
  <si>
    <t>npc_b03x_skin</t>
  </si>
  <si>
    <t>邪派精英女</t>
  </si>
  <si>
    <t>npc_g03x_skin</t>
  </si>
  <si>
    <t>npc_001_skin</t>
  </si>
  <si>
    <t>npc_001_normalidle</t>
  </si>
  <si>
    <t>npc_001_walk</t>
  </si>
  <si>
    <t>npc_001_idle</t>
  </si>
  <si>
    <t>npc_001_atk</t>
  </si>
  <si>
    <t>npc_001_defeat</t>
  </si>
  <si>
    <t>npc_002_skin</t>
  </si>
  <si>
    <t>npc_002_normalidle</t>
  </si>
  <si>
    <t>npc_002_walk</t>
  </si>
  <si>
    <t>npc_002_idle</t>
  </si>
  <si>
    <t>npc_002_atk</t>
  </si>
  <si>
    <t>npc_002_defeat</t>
  </si>
  <si>
    <t>李焱</t>
  </si>
  <si>
    <t>npc_003_skin</t>
  </si>
  <si>
    <t>npc_003_normalidle</t>
  </si>
  <si>
    <t>npc_003_walk</t>
  </si>
  <si>
    <t>npc_003_idle</t>
  </si>
  <si>
    <t>npc_003_atk</t>
  </si>
  <si>
    <t>npc_003_defeat</t>
  </si>
  <si>
    <t>npc_004_skin</t>
  </si>
  <si>
    <t>npc_004_normalidle</t>
  </si>
  <si>
    <t>npc_004_walk</t>
  </si>
  <si>
    <t>npc_005_skin</t>
  </si>
  <si>
    <t>npc_005_idle</t>
  </si>
  <si>
    <t>npc_005_atk</t>
  </si>
  <si>
    <t>npc_005_defeat</t>
  </si>
  <si>
    <t>秦河</t>
  </si>
  <si>
    <t>npc_006_skin</t>
  </si>
  <si>
    <t>npc_006_normalidle</t>
  </si>
  <si>
    <t>npc_006_walk</t>
  </si>
  <si>
    <t>杨虎</t>
  </si>
  <si>
    <t>npc_007_skin</t>
  </si>
  <si>
    <t>npc_007_normalidle</t>
  </si>
  <si>
    <t>npc_007_walk</t>
  </si>
  <si>
    <t>npc_008_skin</t>
  </si>
  <si>
    <t>npc_008_normalidle</t>
  </si>
  <si>
    <t>npc_008_walk</t>
  </si>
  <si>
    <t>npc_009_skin</t>
  </si>
  <si>
    <t>npc_009_normalidle</t>
  </si>
  <si>
    <t>npc_009_walk</t>
  </si>
  <si>
    <t>npc_009_idle</t>
  </si>
  <si>
    <t>npc_009_atk</t>
  </si>
  <si>
    <t>npc_009_defeat</t>
  </si>
  <si>
    <t>赤角雪蛤</t>
  </si>
  <si>
    <t>npc_010_skin</t>
  </si>
  <si>
    <t>npc_010_normalidle</t>
  </si>
  <si>
    <t>npc_010_walk</t>
  </si>
  <si>
    <t>npc_010_idle</t>
  </si>
  <si>
    <t>npc_010_atk</t>
  </si>
  <si>
    <t>npc_010_defeat</t>
  </si>
  <si>
    <t>npc_011_skin</t>
  </si>
  <si>
    <t>npc_011_idle</t>
  </si>
  <si>
    <t>npc_011_atk</t>
  </si>
  <si>
    <t>npc_011_defeat</t>
  </si>
  <si>
    <t>npc_012_skin</t>
  </si>
  <si>
    <t>npc_012_normalidle</t>
  </si>
  <si>
    <t>npc_012_walk</t>
  </si>
  <si>
    <t>npc_012_idle</t>
  </si>
  <si>
    <t>npc_012_atk</t>
  </si>
  <si>
    <t>npc_012_defeat</t>
  </si>
  <si>
    <t>蜀山普通弟子</t>
  </si>
  <si>
    <t>npc_013_skin</t>
  </si>
  <si>
    <t>npc_013_idle</t>
  </si>
  <si>
    <t>npc_013_atk</t>
  </si>
  <si>
    <t>npc_013_defeat</t>
  </si>
  <si>
    <t>npc_014_skin</t>
  </si>
  <si>
    <t>npc_014_normalidle</t>
  </si>
  <si>
    <t>npc_014_walk</t>
  </si>
  <si>
    <t>npc_014_idle</t>
  </si>
  <si>
    <t>npc_014_atk</t>
  </si>
  <si>
    <t>npc_014_defeat</t>
  </si>
  <si>
    <t>npc_015_skin</t>
  </si>
  <si>
    <t>npc_015_normalidle</t>
  </si>
  <si>
    <t>npc_015_walk</t>
  </si>
  <si>
    <t>npc_015_idle</t>
  </si>
  <si>
    <t>npc_015_atk</t>
  </si>
  <si>
    <t>npc_015_defeat</t>
  </si>
  <si>
    <t>npc_016_skin</t>
  </si>
  <si>
    <t>npc_016_normalidle</t>
  </si>
  <si>
    <t>npc_016_walk</t>
  </si>
  <si>
    <t>npc_016_idle</t>
  </si>
  <si>
    <t>npc_016_atk</t>
  </si>
  <si>
    <t>npc_016_defeat</t>
  </si>
  <si>
    <t>npc_017_skin</t>
  </si>
  <si>
    <t>npc_017_normalidle</t>
  </si>
  <si>
    <t>npc_017_walk</t>
  </si>
  <si>
    <t>npc_017_idle</t>
  </si>
  <si>
    <t>npc_017_atk</t>
  </si>
  <si>
    <t>npc_017_defeat</t>
  </si>
  <si>
    <t>npc_018_skin</t>
  </si>
  <si>
    <t>npc_018_idle</t>
  </si>
  <si>
    <t>npc_018_atk</t>
  </si>
  <si>
    <t>npc_018_defeat</t>
  </si>
  <si>
    <t>npc_019_skin</t>
  </si>
  <si>
    <t>npc_019_idle</t>
  </si>
  <si>
    <t>npc_019_atk</t>
  </si>
  <si>
    <t>npc_019_defeat</t>
  </si>
  <si>
    <t>npc_020_skin</t>
  </si>
  <si>
    <t>npc_020_idle</t>
  </si>
  <si>
    <t>npc_020_atk</t>
  </si>
  <si>
    <t>npc_020_defeat</t>
  </si>
  <si>
    <t>村民</t>
  </si>
  <si>
    <t>npc_021_skin</t>
  </si>
  <si>
    <t>npc_021_idle</t>
  </si>
  <si>
    <t>npc_021_atk</t>
  </si>
  <si>
    <t>npc_021_defeat</t>
  </si>
  <si>
    <t>小姑娘</t>
  </si>
  <si>
    <t>npc_022_skin</t>
  </si>
  <si>
    <t>npc_022_idle</t>
  </si>
  <si>
    <t>npc_022_atk</t>
  </si>
  <si>
    <t>npc_022_defeat</t>
  </si>
  <si>
    <t>npc_024_skin</t>
  </si>
  <si>
    <t>npc_024_normalidle</t>
  </si>
  <si>
    <t>npc_024_walk</t>
  </si>
  <si>
    <t>npc_024_idle</t>
  </si>
  <si>
    <t>npc_024_atk</t>
  </si>
  <si>
    <t>npc_024_defeat</t>
  </si>
  <si>
    <t>npc_025_skin</t>
  </si>
  <si>
    <t>npc_025_normalidle</t>
  </si>
  <si>
    <t>npc_025_walk</t>
  </si>
  <si>
    <t>npc_025_idle</t>
  </si>
  <si>
    <t>npc_025_atk</t>
  </si>
  <si>
    <t>npc_025_defeat</t>
  </si>
  <si>
    <t>npc_026_skin</t>
  </si>
  <si>
    <t>npc_026_normalidle</t>
  </si>
  <si>
    <t>npc_026_walk</t>
  </si>
  <si>
    <t>npc_026_idle</t>
  </si>
  <si>
    <t>npc_026_atk</t>
  </si>
  <si>
    <t>npc_026_defeat</t>
  </si>
  <si>
    <t>老太太</t>
  </si>
  <si>
    <t>npc_027_skin</t>
  </si>
  <si>
    <t>npc_027_normalidle</t>
  </si>
  <si>
    <t>npc_027_walk</t>
  </si>
  <si>
    <t>npc_027_idle</t>
  </si>
  <si>
    <t>npc_027_atk</t>
  </si>
  <si>
    <t>npc_027_defeat</t>
  </si>
  <si>
    <t>npc_028_skin</t>
  </si>
  <si>
    <t>npc_028_normalidle</t>
  </si>
  <si>
    <t>npc_028_walk</t>
  </si>
  <si>
    <t>npc_028_idle</t>
  </si>
  <si>
    <t>npc_028_atk</t>
  </si>
  <si>
    <t>npc_028_defeat</t>
  </si>
  <si>
    <t>小赖头</t>
  </si>
  <si>
    <t>npc_029_skin</t>
  </si>
  <si>
    <t>npc_029_normalidle</t>
  </si>
  <si>
    <t>npc_029_walk</t>
  </si>
  <si>
    <t>npc_030_skin</t>
  </si>
  <si>
    <t>npc_030_normalidle</t>
  </si>
  <si>
    <t>npc_030_walk</t>
  </si>
  <si>
    <t>npc_030_idle</t>
  </si>
  <si>
    <t>npc_030_atk</t>
  </si>
  <si>
    <t>npc_030_defeat</t>
  </si>
  <si>
    <t>麦克雷</t>
  </si>
  <si>
    <t>npc_031_skin</t>
  </si>
  <si>
    <t>npc_031_idle</t>
  </si>
  <si>
    <t>npc_031_atk</t>
  </si>
  <si>
    <t>npc_031_defeat</t>
  </si>
  <si>
    <t>npc_032_skin</t>
  </si>
  <si>
    <t>npc_032_normalidle</t>
  </si>
  <si>
    <t>npc_032_walk</t>
  </si>
  <si>
    <t>npc_032_idle</t>
  </si>
  <si>
    <t>npc_032_atk</t>
  </si>
  <si>
    <t>npc_032_defeat</t>
  </si>
  <si>
    <t>红儿</t>
  </si>
  <si>
    <t>npc_033_skin</t>
  </si>
  <si>
    <t>npc_033_normalidle</t>
  </si>
  <si>
    <t>npc_033_walk</t>
  </si>
  <si>
    <t>npc_033_idle</t>
  </si>
  <si>
    <t>npc_033_atk</t>
  </si>
  <si>
    <t>npc_033_defeat</t>
  </si>
  <si>
    <t>npc_034_skin</t>
  </si>
  <si>
    <t>npc_034_normalidle</t>
  </si>
  <si>
    <t>npc_034_walk</t>
  </si>
  <si>
    <t>npc_034_idle</t>
  </si>
  <si>
    <t>npc_034_atk</t>
  </si>
  <si>
    <t>npc_034_defeat</t>
  </si>
  <si>
    <t>中年秦禾</t>
  </si>
  <si>
    <t>npc_035_skin</t>
  </si>
  <si>
    <t>npc_035_normalidle</t>
  </si>
  <si>
    <t>npc_035_walk</t>
  </si>
  <si>
    <t>npc_036_skin</t>
  </si>
  <si>
    <t>npc_036_normalidle</t>
  </si>
  <si>
    <t>npc_036_walk</t>
  </si>
  <si>
    <t>npc_036_idle</t>
  </si>
  <si>
    <t>npc_036_atk</t>
  </si>
  <si>
    <t>npc_036_defeat</t>
  </si>
  <si>
    <t>npc_037_skin</t>
  </si>
  <si>
    <t>npc_037_idle</t>
  </si>
  <si>
    <t>npc_037_atk</t>
  </si>
  <si>
    <t>npc_037_defeat</t>
  </si>
  <si>
    <t>北海公主</t>
  </si>
  <si>
    <t>npc_038_skin</t>
  </si>
  <si>
    <t>npc_038_normalidle</t>
  </si>
  <si>
    <t>npc_038_walk</t>
  </si>
  <si>
    <t>npc_039_skin</t>
  </si>
  <si>
    <t>npc_040_skin</t>
  </si>
  <si>
    <t>宁不过</t>
  </si>
  <si>
    <t>npc_041_skin</t>
  </si>
  <si>
    <t>npc_042_skin</t>
  </si>
  <si>
    <t>npc_043_skin</t>
  </si>
  <si>
    <t>monster_11_skin</t>
  </si>
  <si>
    <t>monster_12_skin</t>
  </si>
  <si>
    <t>monster_13_skin</t>
  </si>
  <si>
    <t>monster_14_skin</t>
  </si>
  <si>
    <t>monster_15_skin</t>
  </si>
  <si>
    <t>monster_16_skin</t>
  </si>
  <si>
    <t>monster_17_skin</t>
  </si>
  <si>
    <t>monster_18_skin</t>
  </si>
  <si>
    <t>红色蛤蟆</t>
  </si>
  <si>
    <t>monster_19_skin</t>
  </si>
  <si>
    <t>monster_20_skin</t>
  </si>
  <si>
    <t>monsterboss_1_skin</t>
  </si>
  <si>
    <t>monsterboss_2_skin</t>
  </si>
  <si>
    <t>monsterboss_3_skin</t>
  </si>
  <si>
    <t>role_montser_01_skin</t>
  </si>
  <si>
    <t>role_montser_01_normalidle</t>
  </si>
  <si>
    <t>role_montser_01_walk</t>
  </si>
  <si>
    <t>role_montser_01_idle</t>
  </si>
  <si>
    <t>role_montser_01_atk</t>
  </si>
  <si>
    <t>role_montser_01_defeat</t>
  </si>
  <si>
    <t>role_montser_02_skin</t>
  </si>
  <si>
    <t>role_montser_02_normalidle</t>
  </si>
  <si>
    <t>role_montser_02_walk</t>
  </si>
  <si>
    <t>role_montser_02_idle</t>
  </si>
  <si>
    <t>role_montser_02_atk</t>
  </si>
  <si>
    <t>role_montser_02_defeat</t>
  </si>
  <si>
    <t>role_hl_01_skin</t>
  </si>
  <si>
    <t>role_hl_01_normalidle</t>
  </si>
  <si>
    <t>role_hl_01_walk</t>
  </si>
  <si>
    <t>role_hl_03_skin</t>
  </si>
  <si>
    <t>role_hl_03_normalidle</t>
  </si>
  <si>
    <t>role_hl_03_walk</t>
  </si>
  <si>
    <t>role_hl_03_idle</t>
  </si>
  <si>
    <t>role_hl_03_atk</t>
  </si>
  <si>
    <t>role_hl_03_defeat</t>
  </si>
  <si>
    <t>九尾狐</t>
  </si>
  <si>
    <t>monster_JWH_skin</t>
  </si>
  <si>
    <t>monster_JWH_std</t>
  </si>
  <si>
    <t>monster_JWH_walk</t>
  </si>
  <si>
    <t>monster_JWH_idle</t>
  </si>
  <si>
    <t>monster_JWH_atk</t>
  </si>
  <si>
    <t>monster_JWH_defeat</t>
  </si>
  <si>
    <t>貔貅</t>
  </si>
  <si>
    <t>monster_PX_skin</t>
  </si>
  <si>
    <t>monster_PX_std</t>
  </si>
  <si>
    <t>monster_PX_walk</t>
  </si>
  <si>
    <t>monster_PX_idle</t>
  </si>
  <si>
    <t>monster_PX_atk</t>
  </si>
  <si>
    <t>monster_PX_defeat</t>
  </si>
  <si>
    <t>青鸟</t>
  </si>
  <si>
    <t>monster_QN_skin</t>
  </si>
  <si>
    <t>monster_QN_std</t>
  </si>
  <si>
    <t>monster_QN_walk</t>
  </si>
  <si>
    <t>monster_QN_idle</t>
  </si>
  <si>
    <t>monster_QN_atk</t>
  </si>
  <si>
    <t>monster_QN_defeat</t>
  </si>
  <si>
    <t>轻衣盟女王</t>
  </si>
  <si>
    <t>role_QYMNW_skin</t>
  </si>
  <si>
    <t>role_QYMNW_std</t>
  </si>
  <si>
    <t>role_QYMNW_walk</t>
  </si>
  <si>
    <t>role_QYMNW_idle</t>
  </si>
  <si>
    <t>role_QYMNW_atk</t>
  </si>
  <si>
    <t>role_QYMNW_defeat</t>
  </si>
  <si>
    <t>噬魂宗修士</t>
  </si>
  <si>
    <t>role_SHZZL_skin</t>
  </si>
  <si>
    <t>role_SHZZL_std</t>
  </si>
  <si>
    <t>role_SHZZL_walk</t>
  </si>
  <si>
    <t>role_SHZZL_idle</t>
  </si>
  <si>
    <t>role_SHZZL_atk</t>
  </si>
  <si>
    <t>role_SHZZL_defeat</t>
  </si>
  <si>
    <t>烘炉山修士</t>
  </si>
  <si>
    <t>role_HLS_skin</t>
  </si>
  <si>
    <t>role_HLS_std</t>
  </si>
  <si>
    <t>role_HLS_walk</t>
  </si>
  <si>
    <t>role_HLS_idle</t>
  </si>
  <si>
    <t>role_HLS_atk</t>
  </si>
  <si>
    <t>role_HLS_defeat</t>
  </si>
  <si>
    <t>烘炉山长老</t>
  </si>
  <si>
    <t>role_HLSZL_skin</t>
  </si>
  <si>
    <t>role_HLSZL_std</t>
  </si>
  <si>
    <t>role_HLSZL_walk</t>
  </si>
  <si>
    <t>role_HLSZL_idle</t>
  </si>
  <si>
    <t>role_HLSZL_atk</t>
  </si>
  <si>
    <t>role_HLSZL_defeat</t>
  </si>
  <si>
    <t>金刚宗修士</t>
  </si>
  <si>
    <t>role_JGZ_skin</t>
  </si>
  <si>
    <t>role_JGZ_std</t>
  </si>
  <si>
    <t>role_JGZ_walk</t>
  </si>
  <si>
    <t>role_JGZ_idle</t>
  </si>
  <si>
    <t>role_JGZ_atk</t>
  </si>
  <si>
    <t>role_JGZ_defeat</t>
  </si>
  <si>
    <t>金刚宗长老</t>
  </si>
  <si>
    <t>role_JGZZL_skin</t>
  </si>
  <si>
    <t>role_JGZZL_std</t>
  </si>
  <si>
    <t>role_JGZZL_walk</t>
  </si>
  <si>
    <t>role_JGZZL_idle</t>
  </si>
  <si>
    <t>role_JGZZL_atk</t>
  </si>
  <si>
    <t>role_JGZZL_defeat</t>
  </si>
  <si>
    <t>npc境界配置表</t>
  </si>
  <si>
    <t>流水号</t>
  </si>
  <si>
    <t>境界名称</t>
  </si>
  <si>
    <t>境界id</t>
  </si>
  <si>
    <t>随机npc难度权重</t>
  </si>
  <si>
    <t>难度索引号</t>
  </si>
  <si>
    <t>持续回合</t>
  </si>
  <si>
    <t>真气值</t>
  </si>
  <si>
    <t>拥有卡牌数量最小值</t>
  </si>
  <si>
    <t>拥有卡牌数量最大值</t>
  </si>
  <si>
    <t>血量最小值</t>
  </si>
  <si>
    <t>血量最大值</t>
  </si>
  <si>
    <t>防御力</t>
  </si>
  <si>
    <t>战斗手牌上限</t>
  </si>
  <si>
    <t>五维属性值</t>
  </si>
  <si>
    <t>怪物生命</t>
  </si>
  <si>
    <t>对应卡牌平均伤害</t>
  </si>
  <si>
    <t>玩家攻击力</t>
  </si>
  <si>
    <t>战力（通用事件怪物）</t>
  </si>
  <si>
    <t>战力预期</t>
  </si>
  <si>
    <t>攻击力系数</t>
  </si>
  <si>
    <t>战斗力系数</t>
  </si>
  <si>
    <t>grade</t>
  </si>
  <si>
    <t>energy</t>
  </si>
  <si>
    <t>card_number_min</t>
  </si>
  <si>
    <t>card_number_max</t>
  </si>
  <si>
    <t>min_hp</t>
  </si>
  <si>
    <t>max_hp</t>
  </si>
  <si>
    <t>attack</t>
  </si>
  <si>
    <t>defence</t>
  </si>
  <si>
    <t>card_limit</t>
  </si>
  <si>
    <t>weight</t>
  </si>
  <si>
    <t>凡人</t>
  </si>
  <si>
    <t>炼气</t>
  </si>
  <si>
    <t>筑基</t>
  </si>
  <si>
    <t>金丹</t>
  </si>
  <si>
    <t>元婴</t>
  </si>
  <si>
    <t>化神</t>
  </si>
  <si>
    <t>大乘</t>
  </si>
  <si>
    <t>境界提升增加寿元</t>
  </si>
  <si>
    <t>年龄最小区间</t>
  </si>
  <si>
    <t>年龄最大区间</t>
  </si>
  <si>
    <t>life_increase</t>
  </si>
  <si>
    <t>age_min</t>
  </si>
  <si>
    <t>age_max</t>
  </si>
  <si>
    <t>战斗力藐视表</t>
  </si>
  <si>
    <t>类型
1.玩家对怪物
2.怪物对玩家</t>
  </si>
  <si>
    <t>是否压制
0.否
1.是</t>
  </si>
  <si>
    <t>战斗力区间</t>
  </si>
  <si>
    <t>伤害放大比例</t>
  </si>
  <si>
    <t>if_stifle</t>
  </si>
  <si>
    <t>combat_ability_min</t>
  </si>
  <si>
    <t>combat_ability_max</t>
  </si>
  <si>
    <t>damage_enlarge</t>
  </si>
  <si>
    <t>公式=攻击方战斗力/（攻击方战斗力+受击方战斗力）*10000</t>
  </si>
  <si>
    <t>心法类型表</t>
  </si>
  <si>
    <t>序列号</t>
  </si>
  <si>
    <t>类型
1=普通心法
2=门派</t>
  </si>
  <si>
    <t>武器：
1=拳
2=剑
3=法
4=全</t>
  </si>
  <si>
    <t>类型=1时，普通心法在界面中的位置（九宫格）
类型=2时，奇人心法的顺序</t>
  </si>
  <si>
    <t>图片</t>
  </si>
  <si>
    <t>背景描述</t>
  </si>
  <si>
    <t>等级上限</t>
  </si>
  <si>
    <t>所需境界</t>
  </si>
  <si>
    <t>解锁心法道具（获得时解锁）</t>
  </si>
  <si>
    <t>解锁心法的碎片物品ID组</t>
  </si>
  <si>
    <t>解锁心法的碎片物品ID</t>
  </si>
  <si>
    <t>解锁心法的碎片数量</t>
  </si>
  <si>
    <t>解锁道具兑换碎片id</t>
  </si>
  <si>
    <t>解锁道具兑换碎片数量</t>
  </si>
  <si>
    <t xml:space="preserve">解锁条件组
</t>
  </si>
  <si>
    <t>position</t>
  </si>
  <si>
    <t>level_max</t>
  </si>
  <si>
    <t>grade_requirements</t>
  </si>
  <si>
    <t>unlock_item</t>
  </si>
  <si>
    <t>unlock_fragment</t>
  </si>
  <si>
    <t>unlock_fragment_num</t>
  </si>
  <si>
    <t>to_fragment</t>
  </si>
  <si>
    <t>to_fragment_num</t>
  </si>
  <si>
    <t>unlock_condition</t>
  </si>
  <si>
    <t>太玄门入门心法：锻体拳法，强健根骨。但招式古朴，练至高深处可硬撼山岳，立于不败之地。</t>
  </si>
  <si>
    <t>上古魔拳遗录，功法不分正邪，心法中记录的锻体方法古朴又神秘，可以增强使用者的肉体强度。</t>
  </si>
  <si>
    <t>远古大巫的锻体功法，强大肉身，据说练到极致可以肉身成圣。</t>
  </si>
  <si>
    <t>回天幻本</t>
  </si>
  <si>
    <t>千年前最强金仙所创功法，据传已经突破一般的拳法桎梏，有勘破杀意躲避凶煞的妙法。</t>
  </si>
  <si>
    <t>炁体源流</t>
  </si>
  <si>
    <t>炁，不可名状，不可描述之物，此功法转化灵力为玄妙之炁，使拳法威力翻倍，善用者无所不破。太玄门</t>
  </si>
  <si>
    <t>乾元燃血功</t>
  </si>
  <si>
    <t>血魔宫弟子主修功法，十分实用，极为难杀死，受伤越重，威力越强。</t>
  </si>
  <si>
    <t>万妖淬体决</t>
  </si>
  <si>
    <t>万妖国皇室的至高法诀，以修炼出先天真元为目标，产生罡气罩住全身，为护体不二法门。</t>
  </si>
  <si>
    <t>血魔化心录</t>
  </si>
  <si>
    <t>血魔宫不传之秘，血魔老祖利用此功法配合乾元燃血功称霸了当今修仙界。</t>
  </si>
  <si>
    <t>洞玄真经</t>
  </si>
  <si>
    <t>太玄门心法</t>
  </si>
  <si>
    <t>血煞真罡</t>
  </si>
  <si>
    <t>乾坤逆转大法</t>
  </si>
  <si>
    <t>蜀山必修心法：御剑先练神识，剑气典锤炼神识效果极佳，是蜀山历代宗师不断摸索而成的基础剑诀。</t>
  </si>
  <si>
    <t>蜀山弟子必学心法，历代剑法大师必备。领悟剑道精髓，剑法本纲。从而增强剑法威力。</t>
  </si>
  <si>
    <t>大衍剑抄</t>
  </si>
  <si>
    <t>剑仙遗留的手抄心法，天衍十三，隐十二遁一，此心法可以随机衍变新的剑招。</t>
  </si>
  <si>
    <t>太玄门的剑法，以快攻为主，常常在第一轮打出极强的剑招组合，极为适合爆发。</t>
  </si>
  <si>
    <t>剑神真法</t>
  </si>
  <si>
    <t>蜀山开派祖师秘传心法，传闻中蜀山的前辈们曾依靠此心法越境击杀数位老魔。</t>
  </si>
  <si>
    <t>飞灵台奇卷</t>
  </si>
  <si>
    <t>传说中李太白剑仙的绝技剑法，佳法天成，妙手偶得之，灵台战栗，天外飞剑。</t>
  </si>
  <si>
    <t>杀心剑法</t>
  </si>
  <si>
    <t>此剑法的来源已不可考，据说修炼者必须为心智坚毅之辈，否则极易入魔。</t>
  </si>
  <si>
    <t>诛仙剑图</t>
  </si>
  <si>
    <t>蜀山镇派剑阵，依靠此剑阵，蜀山才列入修仙界第一大派的行列。</t>
  </si>
  <si>
    <t>封魔剑典</t>
  </si>
  <si>
    <t>大觉剑经</t>
  </si>
  <si>
    <t>修仙界法术流派的常用心法之一，实用性极强，强化伤害必备。</t>
  </si>
  <si>
    <t>修仙界流传最广的心法，上至金仙，下至练气都掌握此心法，名气之大连凡人都有所耳闻。</t>
  </si>
  <si>
    <t>莲花宗的镇派心法，减少法力消耗，同一时间可以激发更多法术，配合强力的法术招式可以打出额外的效果。</t>
  </si>
  <si>
    <t>莲花宗的上乘心法，灵气转为寒气，专门用于叠加寒气，控制敌人。</t>
  </si>
  <si>
    <t>金刚宗的秘传心法，刚烈无双，配合法术染上炎息轰击敌人。</t>
  </si>
  <si>
    <t>幽魂噬影大法</t>
  </si>
  <si>
    <t>噬魂宗心法，以诡异无法抵御出名，在修仙界威名赫赫，可止小儿夜啼。</t>
  </si>
  <si>
    <t>北冥彻骨决</t>
  </si>
  <si>
    <t>莲花宗高阶心法：北冥一出，冰封千里。此功法是莲花宗成名心法，威力不俗。</t>
  </si>
  <si>
    <t>纯阳秘法</t>
  </si>
  <si>
    <t>上古金仙纯阳剑仙的秘传心法，每一回合都在燃烧灵气，灼烧敌人。</t>
  </si>
  <si>
    <t>幽冥录</t>
  </si>
  <si>
    <t>每回合回复魂数*悟性*系数的血量</t>
  </si>
  <si>
    <t>广寒飞天曲</t>
  </si>
  <si>
    <t>冰冻生效时，对敌人造成悟性*系数的伤害</t>
  </si>
  <si>
    <t>烈阳元罡</t>
  </si>
  <si>
    <t>回合开始时，对敌人造成炎息层数*悟性*系数的伤害</t>
  </si>
  <si>
    <t>天蚕九变</t>
  </si>
  <si>
    <t>死亡时回复80%的血量</t>
  </si>
  <si>
    <t>五气归元</t>
  </si>
  <si>
    <t>每回合结束时回复10%血量</t>
  </si>
  <si>
    <t>太阴真经</t>
  </si>
  <si>
    <t>每回合概率增加1~2费用</t>
  </si>
  <si>
    <t>心法类型,索引passive_type表</t>
  </si>
  <si>
    <t>全局效果描述</t>
  </si>
  <si>
    <t>即时生效效果类型
（客户端显示&amp;累加数值类型）</t>
  </si>
  <si>
    <t>流派+品质索引号</t>
  </si>
  <si>
    <t>即时生效值</t>
  </si>
  <si>
    <t>全局效果类型
(服务端用，读取具体值类型)</t>
  </si>
  <si>
    <t>全局效果值</t>
  </si>
  <si>
    <t>装备效果描述</t>
  </si>
  <si>
    <t>心法生效时机</t>
  </si>
  <si>
    <t>触发buff概率
万分比</t>
  </si>
  <si>
    <t>对应buff的id</t>
  </si>
  <si>
    <t xml:space="preserve">是否显示在详情页
=1，显示在心法详情页的瓶颈点
=2，显示在心法升级页的高级点
</t>
  </si>
  <si>
    <t>当前重数</t>
  </si>
  <si>
    <t>升级所需消耗参悟点</t>
  </si>
  <si>
    <t xml:space="preserve">升级所需参悟点数量 </t>
  </si>
  <si>
    <t>参悟功法概率万分比</t>
  </si>
  <si>
    <t>升级所需境界</t>
  </si>
  <si>
    <t>升级消耗物品</t>
  </si>
  <si>
    <t>升级时所需物品数量</t>
  </si>
  <si>
    <t>战斗力</t>
  </si>
  <si>
    <t>describe_whole</t>
  </si>
  <si>
    <t>whole_effects</t>
  </si>
  <si>
    <t>whole_effects_value</t>
  </si>
  <si>
    <t>whole_effects1</t>
  </si>
  <si>
    <t>whole_effects_value1</t>
  </si>
  <si>
    <t>describe_equip</t>
  </si>
  <si>
    <t>equip_effects_chance</t>
  </si>
  <si>
    <t>equip_effects</t>
  </si>
  <si>
    <t>uplev_num</t>
  </si>
  <si>
    <t>card_probability</t>
  </si>
  <si>
    <t>item</t>
  </si>
  <si>
    <t>num</t>
  </si>
  <si>
    <t>combat</t>
  </si>
  <si>
    <t>level_condition</t>
  </si>
  <si>
    <t>增加生命值%d点</t>
  </si>
  <si>
    <t>增加攻击力%d点</t>
  </si>
  <si>
    <t>增加防御力%d点</t>
  </si>
  <si>
    <t>怪物被动</t>
  </si>
  <si>
    <t>百毒不侵</t>
  </si>
  <si>
    <t>属性值</t>
  </si>
  <si>
    <t>战斗力—数值</t>
  </si>
  <si>
    <t>拳法</t>
  </si>
  <si>
    <t>生命</t>
  </si>
  <si>
    <t>攻击</t>
  </si>
  <si>
    <t>防御</t>
  </si>
  <si>
    <t>剑法</t>
  </si>
  <si>
    <t>法术</t>
  </si>
  <si>
    <t>对图片表现</t>
  </si>
  <si>
    <t>行为类型</t>
  </si>
  <si>
    <t>建筑类型</t>
  </si>
  <si>
    <t>家装名称</t>
  </si>
  <si>
    <t>物品描述</t>
  </si>
  <si>
    <t>使用位置</t>
  </si>
  <si>
    <t>属性类型</t>
  </si>
  <si>
    <t>学习养成属性类型</t>
  </si>
  <si>
    <t>每次增加的属性的具体数值</t>
  </si>
  <si>
    <t>每次增加的修为的具体数值</t>
  </si>
  <si>
    <t>增加属性说明</t>
  </si>
  <si>
    <t>增加修为值说明</t>
  </si>
  <si>
    <t>耐久度</t>
  </si>
  <si>
    <t>购买上限</t>
  </si>
  <si>
    <t>使用时长锻炼时间</t>
  </si>
  <si>
    <t>基本价格</t>
  </si>
  <si>
    <r>
      <rPr>
        <sz val="11"/>
        <color theme="1"/>
        <rFont val="微软雅黑"/>
        <charset val="134"/>
      </rPr>
      <t>价格增长比例（</t>
    </r>
    <r>
      <rPr>
        <sz val="11"/>
        <color rgb="FFFF0000"/>
        <rFont val="微软雅黑"/>
        <charset val="134"/>
      </rPr>
      <t>万分比</t>
    </r>
    <r>
      <rPr>
        <sz val="11"/>
        <color theme="1"/>
        <rFont val="微软雅黑"/>
        <charset val="134"/>
      </rPr>
      <t>）</t>
    </r>
  </si>
  <si>
    <t>执行动作</t>
  </si>
  <si>
    <t>挂点名称</t>
  </si>
  <si>
    <t>悬挂模型</t>
  </si>
  <si>
    <t>执行动作时原器材隐藏</t>
  </si>
  <si>
    <t>购买所需家具ID</t>
  </si>
  <si>
    <t>购买所需小境界id</t>
  </si>
  <si>
    <t>消耗精力</t>
  </si>
  <si>
    <t>装修表现类型</t>
  </si>
  <si>
    <t>位置坐标</t>
  </si>
  <si>
    <t>标签坐标左x右y</t>
  </si>
  <si>
    <t>特效名称（|1物件下|2;物件上|3;角色上</t>
  </si>
  <si>
    <t>特效具体坐标</t>
  </si>
  <si>
    <t>建造特效位置</t>
  </si>
  <si>
    <t>音频</t>
  </si>
  <si>
    <t>TAB:[STRING]</t>
  </si>
  <si>
    <t>stage_id</t>
  </si>
  <si>
    <t>build_type</t>
  </si>
  <si>
    <t>desc</t>
  </si>
  <si>
    <t>use_localtion</t>
  </si>
  <si>
    <t>train_type</t>
  </si>
  <si>
    <t>add_value</t>
  </si>
  <si>
    <t>add_exp</t>
  </si>
  <si>
    <t>use_explain</t>
  </si>
  <si>
    <t>use_expdes</t>
  </si>
  <si>
    <t>durable</t>
  </si>
  <si>
    <t>purchase_limit</t>
  </si>
  <si>
    <t>time</t>
  </si>
  <si>
    <t>base_cost</t>
  </si>
  <si>
    <t>add_cost</t>
  </si>
  <si>
    <t>motion_id</t>
  </si>
  <si>
    <t>hang_point</t>
  </si>
  <si>
    <t>model_name</t>
  </si>
  <si>
    <t>hide</t>
  </si>
  <si>
    <t>need_type</t>
  </si>
  <si>
    <t>need_level</t>
  </si>
  <si>
    <t>physical_power</t>
  </si>
  <si>
    <t>decorate_type</t>
  </si>
  <si>
    <t>location</t>
  </si>
  <si>
    <t>tag_location</t>
  </si>
  <si>
    <t>sport_effect</t>
  </si>
  <si>
    <t>sport_effect_offset</t>
  </si>
  <si>
    <t>build_effect_location</t>
  </si>
  <si>
    <t>fuzhongdai</t>
  </si>
  <si>
    <t>dl_01</t>
  </si>
  <si>
    <t>装满沙子的缚腿</t>
  </si>
  <si>
    <t>购买后在卧室点击使用</t>
  </si>
  <si>
    <t>每次增加[0]&lt;span style = 'color:#c24848'&gt;[1]&lt;/span&gt;值</t>
  </si>
  <si>
    <t>每次增加修为&lt;span style = 'color:#c24848'&gt;[0]&lt;/span&gt;值</t>
  </si>
  <si>
    <t>event_01</t>
  </si>
  <si>
    <t>1072|783|</t>
  </si>
  <si>
    <t>1027|751|</t>
  </si>
  <si>
    <t>shenzhang.ani|3;</t>
  </si>
  <si>
    <t>1020|783;</t>
  </si>
  <si>
    <t>shisuo</t>
  </si>
  <si>
    <t>dl_02</t>
  </si>
  <si>
    <t>锻炼力气的器具</t>
  </si>
  <si>
    <t>event_02</t>
  </si>
  <si>
    <t>stonelock</t>
  </si>
  <si>
    <t>tools_stonelock</t>
  </si>
  <si>
    <t>841|641|</t>
  </si>
  <si>
    <t>835|617|</t>
  </si>
  <si>
    <t>juzhong.ani|3;</t>
  </si>
  <si>
    <t>888|679;</t>
  </si>
  <si>
    <t>caorenzhuang</t>
  </si>
  <si>
    <t>dl_03</t>
  </si>
  <si>
    <t>专业挨打二十年</t>
  </si>
  <si>
    <t>event_03</t>
  </si>
  <si>
    <t>567|779|</t>
  </si>
  <si>
    <t>551|761|</t>
  </si>
  <si>
    <t>daquan.ani|3;daquan_sj.ani|2;</t>
  </si>
  <si>
    <t>619|890;602|795;</t>
  </si>
  <si>
    <t>chaidui</t>
  </si>
  <si>
    <t>dl_04</t>
  </si>
  <si>
    <t>劈柴也可以锻炼体力</t>
  </si>
  <si>
    <t>event_04</t>
  </si>
  <si>
    <t>772|902|</t>
  </si>
  <si>
    <t>782|887|</t>
  </si>
  <si>
    <t>picai.ani|3;</t>
  </si>
  <si>
    <t>829|934;</t>
  </si>
  <si>
    <t>shu_1</t>
  </si>
  <si>
    <t>dl_05</t>
  </si>
  <si>
    <t>《三字经》</t>
  </si>
  <si>
    <t>蒙童学习启蒙读物</t>
  </si>
  <si>
    <t>基本价格具体数值参数</t>
  </si>
  <si>
    <t>数值增长参数</t>
  </si>
  <si>
    <t>event_05</t>
  </si>
  <si>
    <t>book01</t>
  </si>
  <si>
    <t>tools_book01</t>
  </si>
  <si>
    <t>543|352|</t>
  </si>
  <si>
    <t>543|363|</t>
  </si>
  <si>
    <t>dushu.ani|3;</t>
  </si>
  <si>
    <t>545|405;</t>
  </si>
  <si>
    <t>shu_3</t>
  </si>
  <si>
    <t>dl_07</t>
  </si>
  <si>
    <t>《孙子兵法》</t>
  </si>
  <si>
    <t>知己知彼百战不殆</t>
  </si>
  <si>
    <t>shu_4</t>
  </si>
  <si>
    <t>dl_08</t>
  </si>
  <si>
    <t>《修真新手入门》</t>
  </si>
  <si>
    <t>修真界入门读物</t>
  </si>
  <si>
    <t>shu_2</t>
  </si>
  <si>
    <t>dl_06</t>
  </si>
  <si>
    <t>《金瓶梅》</t>
  </si>
  <si>
    <t>青春期少年启蒙读物</t>
  </si>
  <si>
    <t>bimozhiyan</t>
  </si>
  <si>
    <t>dl_09</t>
  </si>
  <si>
    <t>笔墨纸砚</t>
  </si>
  <si>
    <t>初学者习字必备工具</t>
  </si>
  <si>
    <t>event_06</t>
  </si>
  <si>
    <t>pen</t>
  </si>
  <si>
    <t>tools_pen</t>
  </si>
  <si>
    <t>611|477|</t>
  </si>
  <si>
    <t>614|456|</t>
  </si>
  <si>
    <t>xiezi.ani|3;</t>
  </si>
  <si>
    <t>580|442;</t>
  </si>
  <si>
    <t>qin</t>
  </si>
  <si>
    <t>dl_12</t>
  </si>
  <si>
    <t>古筝</t>
  </si>
  <si>
    <t>初学者必备琴艺器具</t>
  </si>
  <si>
    <t>event_09</t>
  </si>
  <si>
    <t>1024|411|</t>
  </si>
  <si>
    <t>1026|414|</t>
  </si>
  <si>
    <t>yinfutexiao.ani|3;</t>
  </si>
  <si>
    <t>1040|460;</t>
  </si>
  <si>
    <t>6柴堆</t>
  </si>
  <si>
    <t>782</t>
  </si>
  <si>
    <t>901</t>
  </si>
  <si>
    <t>huaju_1</t>
  </si>
  <si>
    <t>dl_10</t>
  </si>
  <si>
    <t>画具</t>
  </si>
  <si>
    <t>丹青朱砂绘制世间万物</t>
  </si>
  <si>
    <t>event_07</t>
  </si>
  <si>
    <t>600|490;</t>
  </si>
  <si>
    <t>4石锁</t>
  </si>
  <si>
    <t>wuziqi</t>
  </si>
  <si>
    <t>dl_11</t>
  </si>
  <si>
    <t>围棋</t>
  </si>
  <si>
    <t>乡野盛行的一种简单棋局</t>
  </si>
  <si>
    <t>event_08</t>
  </si>
  <si>
    <t>1061|612|</t>
  </si>
  <si>
    <t>1066|581|</t>
  </si>
  <si>
    <t>5草人桩</t>
  </si>
  <si>
    <t>601</t>
  </si>
  <si>
    <t>789</t>
  </si>
  <si>
    <t>dl_15</t>
  </si>
  <si>
    <t>玄铁剑</t>
  </si>
  <si>
    <t>重剑无锋，大巧若拙</t>
  </si>
  <si>
    <t>event_12</t>
  </si>
  <si>
    <t>798|694|</t>
  </si>
  <si>
    <t>798|680|</t>
  </si>
  <si>
    <t>putongcanyin.ani|3;</t>
  </si>
  <si>
    <t>849|742;</t>
  </si>
  <si>
    <t>9神</t>
  </si>
  <si>
    <t>909</t>
  </si>
  <si>
    <t>198</t>
  </si>
  <si>
    <t>jianjia_1</t>
  </si>
  <si>
    <t>fuzhongguijia</t>
  </si>
  <si>
    <t>dl_13</t>
  </si>
  <si>
    <t>负重龟甲</t>
  </si>
  <si>
    <t>背着龟甲练武</t>
  </si>
  <si>
    <t>event_10</t>
  </si>
  <si>
    <t>shell</t>
  </si>
  <si>
    <t>tools_shell</t>
  </si>
  <si>
    <t>1180|737|</t>
  </si>
  <si>
    <t>1180|723|</t>
  </si>
  <si>
    <t>1162|701;</t>
  </si>
  <si>
    <t>8古筝</t>
  </si>
  <si>
    <t>428</t>
  </si>
  <si>
    <t>jushi</t>
  </si>
  <si>
    <t>dl_14</t>
  </si>
  <si>
    <t>巨石</t>
  </si>
  <si>
    <t>胸口碎大石专业道具</t>
  </si>
  <si>
    <t>event_11</t>
  </si>
  <si>
    <t>1000|600|</t>
  </si>
  <si>
    <t>1000|586|</t>
  </si>
  <si>
    <t>1053|623;</t>
  </si>
  <si>
    <t/>
  </si>
  <si>
    <t>dl_16</t>
  </si>
  <si>
    <t>火铜剑</t>
  </si>
  <si>
    <t>蕴含火属性灵气的宝剑，也可用作铁板烧。</t>
  </si>
  <si>
    <t>huoyancanyin.ani|3;</t>
  </si>
  <si>
    <t>10缘</t>
  </si>
  <si>
    <t>837</t>
  </si>
  <si>
    <t>770</t>
  </si>
  <si>
    <t>jianjia_3</t>
  </si>
  <si>
    <t>shu_6</t>
  </si>
  <si>
    <t>dl_18</t>
  </si>
  <si>
    <t>《弄炎决》</t>
  </si>
  <si>
    <t>操纵火苗的法决，切记：放火烧山，牢底坐穿。</t>
  </si>
  <si>
    <t>event_13</t>
  </si>
  <si>
    <t>413|389|</t>
  </si>
  <si>
    <t>413|375|</t>
  </si>
  <si>
    <t>huoxilingqi.ani|3;</t>
  </si>
  <si>
    <t>501|463;</t>
  </si>
  <si>
    <t>.ani</t>
  </si>
  <si>
    <t>shu_7</t>
  </si>
  <si>
    <t>dl_19</t>
  </si>
  <si>
    <t>《奔流决》</t>
  </si>
  <si>
    <t>操纵水流的法决，杀伤力有限。</t>
  </si>
  <si>
    <t>shuixilingqi.ani|3;</t>
  </si>
  <si>
    <t>shu_8</t>
  </si>
  <si>
    <t>dl_20</t>
  </si>
  <si>
    <t>《御木决》</t>
  </si>
  <si>
    <t>能够加快植物生长的法决，用来培育灵药。</t>
  </si>
  <si>
    <t>muxilingqi.ani|3;</t>
  </si>
  <si>
    <t>shu_5</t>
  </si>
  <si>
    <t>dl_17</t>
  </si>
  <si>
    <t>《修真-从入门到炼气》</t>
  </si>
  <si>
    <t>入门气功读物</t>
  </si>
  <si>
    <t>baishelingqi.ani|3;</t>
  </si>
  <si>
    <t>dl_42</t>
  </si>
  <si>
    <t>dl_22</t>
  </si>
  <si>
    <t>《富春山居图》</t>
  </si>
  <si>
    <t>扁舟夜入江潭泊，露白风高气萧索。
富春渚上潮未还，天姥岑边月初落。</t>
  </si>
  <si>
    <t>620|552|</t>
  </si>
  <si>
    <t>620|518|</t>
  </si>
  <si>
    <t>642|578;</t>
  </si>
  <si>
    <t>hua</t>
  </si>
  <si>
    <t>yuepu_1</t>
  </si>
  <si>
    <t>dl_24</t>
  </si>
  <si>
    <t>《天龙八音》</t>
  </si>
  <si>
    <t>大威天龙，世尊地藏，般若诸佛，般若巴嘛空！</t>
  </si>
  <si>
    <t>280|937|</t>
  </si>
  <si>
    <t>280|923|</t>
  </si>
  <si>
    <t>280|937;</t>
  </si>
  <si>
    <t>dl_41</t>
  </si>
  <si>
    <t>dl_21</t>
  </si>
  <si>
    <t>《草书千字文》</t>
  </si>
  <si>
    <t>艺术皇帝的传世之作“狂草即是艺术”</t>
  </si>
  <si>
    <t>581|520;</t>
  </si>
  <si>
    <t>zitie</t>
  </si>
  <si>
    <t>yuepu_2</t>
  </si>
  <si>
    <t>dl_23</t>
  </si>
  <si>
    <t>《彩云谱》</t>
  </si>
  <si>
    <t>传说仙人在云端下棋流出的棋谱</t>
  </si>
  <si>
    <t>978|405|</t>
  </si>
  <si>
    <t>978|391|</t>
  </si>
  <si>
    <t>1045|430;</t>
  </si>
  <si>
    <t>dl_26</t>
  </si>
  <si>
    <t>香炉</t>
  </si>
  <si>
    <t>焚香打坐事半功倍。</t>
  </si>
  <si>
    <t>event_15</t>
  </si>
  <si>
    <t>229|556|</t>
  </si>
  <si>
    <t>222|608|</t>
  </si>
  <si>
    <t>muxifalibodong.ani|3;</t>
  </si>
  <si>
    <t>229|668;</t>
  </si>
  <si>
    <t>danlu_1</t>
  </si>
  <si>
    <t>dl_25</t>
  </si>
  <si>
    <t>灵纹木剑</t>
  </si>
  <si>
    <t>能够承载灵力的木剑，适合初学者进行御剑练习</t>
  </si>
  <si>
    <t>event_14</t>
  </si>
  <si>
    <t>yujian_putong.ani|3;</t>
  </si>
  <si>
    <t>jianjia_2</t>
  </si>
  <si>
    <t>dl_27</t>
  </si>
  <si>
    <t>残云丝</t>
  </si>
  <si>
    <t>一种坚韧的丝线，无法被利器砍断。</t>
  </si>
  <si>
    <t>event_16</t>
  </si>
  <si>
    <t>993|856|</t>
  </si>
  <si>
    <t>993|842|</t>
  </si>
  <si>
    <t>990|905;</t>
  </si>
  <si>
    <t>cangyunsi</t>
  </si>
  <si>
    <t>dl_28</t>
  </si>
  <si>
    <t>火晶石</t>
  </si>
  <si>
    <t>蕴含精纯的火属性灵气的宝石</t>
  </si>
  <si>
    <t>huoxifalibodong.ani|3;</t>
  </si>
  <si>
    <t>baoshi</t>
  </si>
  <si>
    <t>dl_32</t>
  </si>
  <si>
    <t>心炎结晶</t>
  </si>
  <si>
    <t>一种珍贵的异火，能够在心里燃烧影响人的情绪。</t>
  </si>
  <si>
    <t>huojingshi</t>
  </si>
  <si>
    <t>dl_29</t>
  </si>
  <si>
    <t>水龙吟</t>
  </si>
  <si>
    <t>以水属灵气凝成水弹，因形似龙头得名的法术</t>
  </si>
  <si>
    <t>481|503;</t>
  </si>
  <si>
    <t>dl_31</t>
  </si>
  <si>
    <t>天啸剑法</t>
  </si>
  <si>
    <t>一种迅捷的御剑法，使用时能发出尖啸</t>
  </si>
  <si>
    <t>yscanyin.ani|3;</t>
  </si>
  <si>
    <t>dl_30</t>
  </si>
  <si>
    <t>土龙吟</t>
  </si>
  <si>
    <t>以土属灵气凝成土弹，因形似龙头得名的法术</t>
  </si>
  <si>
    <t>dl_33</t>
  </si>
  <si>
    <t>地刺术</t>
  </si>
  <si>
    <t>一种阴险的法术，专扎脚板。</t>
  </si>
  <si>
    <t>event_17</t>
  </si>
  <si>
    <t>thorn</t>
  </si>
  <si>
    <t>tools_thorn</t>
  </si>
  <si>
    <t>1122|596|</t>
  </si>
  <si>
    <t>1110|582|</t>
  </si>
  <si>
    <t>dl_34</t>
  </si>
  <si>
    <t>登龙剑决</t>
  </si>
  <si>
    <t>东瀛瓦塔氏的建筑，要大喊出来才能发挥出全部威力！</t>
  </si>
  <si>
    <t>denglongjianjue.ani|2;</t>
  </si>
  <si>
    <t>1033|637;</t>
  </si>
  <si>
    <t>dl_35</t>
  </si>
  <si>
    <t>开山掌</t>
  </si>
  <si>
    <t>力拔山兮气盖世！</t>
  </si>
  <si>
    <t>event_18</t>
  </si>
  <si>
    <t>wall</t>
  </si>
  <si>
    <t>tools_wall</t>
  </si>
  <si>
    <t>dl_36</t>
  </si>
  <si>
    <t>辛金赤霄剑法</t>
  </si>
  <si>
    <t>能发出红色剑光的御剑法！</t>
  </si>
  <si>
    <t>yujian_hongse_shangceng.ani|3;yujian_hongse_xiaceng.ani|2;</t>
  </si>
  <si>
    <t>1033|637;1033|637;</t>
  </si>
  <si>
    <t>dl_37</t>
  </si>
  <si>
    <t>《三年炼气五年筑基》</t>
  </si>
  <si>
    <t>三年筑基五年结丹不是梦想。</t>
  </si>
  <si>
    <t>378|403|</t>
  </si>
  <si>
    <t>378|389|</t>
  </si>
  <si>
    <t>jinjiehuoxilingqi.ani|3;</t>
  </si>
  <si>
    <t>402|441;</t>
  </si>
  <si>
    <t>dl_38</t>
  </si>
  <si>
    <t>《黄冈密卷》</t>
  </si>
  <si>
    <t>只要练不死，就往死里练！</t>
  </si>
  <si>
    <t>jinjietuxilingqi.ani|3;</t>
  </si>
  <si>
    <t>dl_47</t>
  </si>
  <si>
    <t>己土排山决</t>
  </si>
  <si>
    <t>以土行真气勾连大地，形成排山之势！</t>
  </si>
  <si>
    <t>151|399|</t>
  </si>
  <si>
    <t>341|437|</t>
  </si>
  <si>
    <t>dl_48</t>
  </si>
  <si>
    <t>癸水凝神决</t>
  </si>
  <si>
    <t>以水行真气凝聚冰晶，可冻结江河！</t>
  </si>
  <si>
    <t>151|400|</t>
  </si>
  <si>
    <t>jinjieshuixilingqi.ani|3;</t>
  </si>
  <si>
    <t>412|441;</t>
  </si>
  <si>
    <t>《祭侄文稿》</t>
  </si>
  <si>
    <t>墨法苍润，流畅自然。渴笔枯墨，燥而无润，干练流畅，挥洒自如。</t>
  </si>
  <si>
    <t>518|548|</t>
  </si>
  <si>
    <t>518|534|</t>
  </si>
  <si>
    <t>tongqianpiaoluo.ani|3;</t>
  </si>
  <si>
    <t>490|495;</t>
  </si>
  <si>
    <t>这一条有用，等家园测试完毕，再放入购买限制条目中</t>
  </si>
  <si>
    <t>《芙蓉锦鸡图》</t>
  </si>
  <si>
    <t>秋劲拒霜盛，峨冠锦羽鸡，已知全五德，安逸胜凫鷖！</t>
  </si>
  <si>
    <t>fenhuanxuying.ani|2;</t>
  </si>
  <si>
    <t>571|567;</t>
  </si>
  <si>
    <t>dl_44</t>
  </si>
  <si>
    <t>《十面埋伏》</t>
  </si>
  <si>
    <t>我生之初尚无为，我生之后天祚衰。天不仁兮降乱离，地不仁兮使我逢此时。</t>
  </si>
  <si>
    <t>922|917|</t>
  </si>
  <si>
    <t>jinjiemuxifalibodong.ani|3;</t>
  </si>
  <si>
    <t>922|917;</t>
  </si>
  <si>
    <t>dl_43</t>
  </si>
  <si>
    <t>《当湖十局》</t>
  </si>
  <si>
    <t>中军八面将军重，河外尖斜步卒轻。
却凭纹揪聊自笑，雄如刘项亦闲争。</t>
  </si>
  <si>
    <t>641|883|</t>
  </si>
  <si>
    <t>641|869|</t>
  </si>
  <si>
    <t>641|873;</t>
  </si>
  <si>
    <t>dl_40</t>
  </si>
  <si>
    <t>《衡水密卷》</t>
  </si>
  <si>
    <t>来自灵丹派的密封卷宗，内含灵丹派一枝独秀的秘密。</t>
  </si>
  <si>
    <t>dl_39</t>
  </si>
  <si>
    <t>《吕祖修真秘诀》</t>
  </si>
  <si>
    <t>洞庭吕祖的修真法门，修真者的必读书籍。</t>
  </si>
  <si>
    <t>event_20</t>
  </si>
  <si>
    <t>dl_45</t>
  </si>
  <si>
    <t>青龙木</t>
  </si>
  <si>
    <t>青龙为东方之神，五行木之精，主天罚！</t>
  </si>
  <si>
    <t>1054|353|</t>
  </si>
  <si>
    <t>1054|339|</t>
  </si>
  <si>
    <t>1050|287;</t>
  </si>
  <si>
    <t>dl_46</t>
  </si>
  <si>
    <t>太阳石</t>
  </si>
  <si>
    <t>凝练的太阳真火，温度之高可融金铁！</t>
  </si>
  <si>
    <t>1050|310;</t>
  </si>
  <si>
    <t>dl_50</t>
  </si>
  <si>
    <t>《奇门遁甲》</t>
  </si>
  <si>
    <t>使用奇门之术伤敌于无形！</t>
  </si>
  <si>
    <t>dl_49</t>
  </si>
  <si>
    <t>水鞭术</t>
  </si>
  <si>
    <t>能够用来反弹伤害的法术，也可以用来显示影像，不能用来偷窥！</t>
  </si>
  <si>
    <t>event_19</t>
  </si>
  <si>
    <t>378|873|</t>
  </si>
  <si>
    <t>jinjieshuixilingqi_2.ani|3;</t>
  </si>
  <si>
    <t>480|882;</t>
  </si>
  <si>
    <t>dl_51</t>
  </si>
  <si>
    <t>算筹（香案上）</t>
  </si>
  <si>
    <t>神机妙算，未卜先知！</t>
  </si>
  <si>
    <t>event_21</t>
  </si>
  <si>
    <t>tools_qian</t>
  </si>
  <si>
    <t>170|650|</t>
  </si>
  <si>
    <t>40|691|</t>
  </si>
  <si>
    <t>dl_52</t>
  </si>
  <si>
    <t>香火精灵</t>
  </si>
  <si>
    <t>香火鼎盛的寺庙才会生出的精灵，爱吃各种木头！</t>
  </si>
  <si>
    <t>event_22</t>
  </si>
  <si>
    <t>1032|489|</t>
  </si>
  <si>
    <t>1004|489|</t>
  </si>
  <si>
    <t>xianhuojinlin.ani|2;</t>
  </si>
  <si>
    <t>1018|470;</t>
  </si>
  <si>
    <t>床</t>
  </si>
  <si>
    <t>养伤，回复精力用</t>
  </si>
  <si>
    <t>event_0</t>
  </si>
  <si>
    <t>145|375|</t>
  </si>
  <si>
    <t>145|361|</t>
  </si>
  <si>
    <t>shuijiao.ani|3;</t>
  </si>
  <si>
    <t>115|435;</t>
  </si>
  <si>
    <t>7棋局</t>
  </si>
  <si>
    <t>597</t>
  </si>
  <si>
    <t>302|225|</t>
  </si>
  <si>
    <t>302|250|</t>
  </si>
  <si>
    <t>302|250;</t>
  </si>
  <si>
    <t>289|250|</t>
  </si>
  <si>
    <t>238|281;</t>
  </si>
  <si>
    <t>227|345|</t>
  </si>
  <si>
    <t>25|341;</t>
  </si>
  <si>
    <t>yigui</t>
  </si>
  <si>
    <t>衣橱</t>
  </si>
  <si>
    <t>77|591|</t>
  </si>
  <si>
    <t>2_yigui</t>
  </si>
  <si>
    <t>52|702|</t>
  </si>
  <si>
    <t>3_yigui</t>
  </si>
  <si>
    <t>72|513|</t>
  </si>
  <si>
    <t>4_QCDL_01</t>
  </si>
  <si>
    <t>鎏金大锤</t>
  </si>
  <si>
    <t>购买后在院落点击使用</t>
  </si>
  <si>
    <t>event_23</t>
  </si>
  <si>
    <t>wuqi_l</t>
  </si>
  <si>
    <t>tools_hammer</t>
  </si>
  <si>
    <t>791|618|</t>
  </si>
  <si>
    <t>791|618;</t>
  </si>
  <si>
    <t>4_QCDL_02</t>
  </si>
  <si>
    <t>闪电术法</t>
  </si>
  <si>
    <t>event_24</t>
  </si>
  <si>
    <t>wulianbian.ani|3;</t>
  </si>
  <si>
    <t>855|699;</t>
  </si>
  <si>
    <t>4_QCDL_03</t>
  </si>
  <si>
    <t>裂空剑法</t>
  </si>
  <si>
    <t>event_25</t>
  </si>
  <si>
    <t>bishoufeiwu.ani|3;</t>
  </si>
  <si>
    <t>4_QCDL_04</t>
  </si>
  <si>
    <t>混元金斗</t>
  </si>
  <si>
    <t>event_26</t>
  </si>
  <si>
    <t>tools_tripod</t>
  </si>
  <si>
    <t>680|720|</t>
  </si>
  <si>
    <t>4_QCDL_05</t>
  </si>
  <si>
    <t>天魔夺心舞</t>
  </si>
  <si>
    <t>event_27</t>
  </si>
  <si>
    <t>114|742|</t>
  </si>
  <si>
    <t>114|742;</t>
  </si>
  <si>
    <t>4_QCDL_06</t>
  </si>
  <si>
    <t>宿命轮回曲</t>
  </si>
  <si>
    <t>event_29</t>
  </si>
  <si>
    <t>429|951|</t>
  </si>
  <si>
    <t>429|951;</t>
  </si>
  <si>
    <t>4_QCDL_07</t>
  </si>
  <si>
    <t>天魔迷乱舞</t>
  </si>
  <si>
    <t>event_28</t>
  </si>
  <si>
    <t>4_QCDL_08</t>
  </si>
  <si>
    <t>山河社稷图</t>
  </si>
  <si>
    <t>event_31</t>
  </si>
  <si>
    <t>499|561|</t>
  </si>
  <si>
    <t>shanheshejitu.ani|3;</t>
  </si>
  <si>
    <t>626|619;</t>
  </si>
  <si>
    <t>4_QCDL_11</t>
  </si>
  <si>
    <t>蜀山密卷一</t>
  </si>
  <si>
    <t>371|439|</t>
  </si>
  <si>
    <t>zhujian_green.ani|3;</t>
  </si>
  <si>
    <t>464|498;</t>
  </si>
  <si>
    <t>4_QCDL_10</t>
  </si>
  <si>
    <t>蜀山密卷二</t>
  </si>
  <si>
    <t>zhujian_blue.ani|3;</t>
  </si>
  <si>
    <t>4_QCDL_09</t>
  </si>
  <si>
    <t>蜀山密卷三</t>
  </si>
  <si>
    <t>zhujian_violet.ani|3;</t>
  </si>
  <si>
    <t>4_QCDL_12</t>
  </si>
  <si>
    <t>蜀山残卷</t>
  </si>
  <si>
    <t>zhujian_black.ani|3;</t>
  </si>
  <si>
    <t>4_QCDL_13</t>
  </si>
  <si>
    <t>大冥想法</t>
  </si>
  <si>
    <t>event_33</t>
  </si>
  <si>
    <t>645|448|</t>
  </si>
  <si>
    <t>dazuo.ani|3;</t>
  </si>
  <si>
    <t>628|464;</t>
  </si>
  <si>
    <t>4_QCDL_14</t>
  </si>
  <si>
    <t>过去经</t>
  </si>
  <si>
    <t>4_QCDL_15</t>
  </si>
  <si>
    <t>御物诀</t>
  </si>
  <si>
    <t>848|987|</t>
  </si>
  <si>
    <t>feijian.ani|3;</t>
  </si>
  <si>
    <t>848|987;</t>
  </si>
  <si>
    <t>4_QCDL_16</t>
  </si>
  <si>
    <t>身外化身</t>
  </si>
  <si>
    <t>jianying.ani|3;</t>
  </si>
  <si>
    <t>4_QCDL_17</t>
  </si>
  <si>
    <t>丹心囚龙运</t>
  </si>
  <si>
    <t>event_34</t>
  </si>
  <si>
    <t>1122|678|</t>
  </si>
  <si>
    <t>1122|679|</t>
  </si>
  <si>
    <t>ldqys_long.ani|3:</t>
  </si>
  <si>
    <t>4_QCDL_18</t>
  </si>
  <si>
    <t>丹心伏虎运</t>
  </si>
  <si>
    <t>ldqys_hu.ani|3:</t>
  </si>
  <si>
    <t>4_QCDL_19</t>
  </si>
  <si>
    <t>丹心飞鹤运</t>
  </si>
  <si>
    <t>ldqys_he.ani|3:</t>
  </si>
  <si>
    <t>4_QCDL_20</t>
  </si>
  <si>
    <t>丹心落猿运</t>
  </si>
  <si>
    <t>ldqys_yuan.ani|3:</t>
  </si>
  <si>
    <t>类型</t>
  </si>
  <si>
    <t>exp</t>
  </si>
  <si>
    <t>next_exp</t>
  </si>
  <si>
    <t>每一级增加的修为值</t>
  </si>
  <si>
    <t>exp_value</t>
  </si>
  <si>
    <t>add_xuiwei</t>
  </si>
  <si>
    <t>1：根骨</t>
  </si>
  <si>
    <t>2：悟性</t>
  </si>
  <si>
    <t>3：魅力</t>
  </si>
  <si>
    <t>4：神识</t>
  </si>
  <si>
    <t>5：福缘</t>
  </si>
  <si>
    <t xml:space="preserve"> </t>
  </si>
  <si>
    <t>家装类型</t>
  </si>
  <si>
    <t>类型组</t>
  </si>
  <si>
    <t>下一阶段是否产生形态变化</t>
  </si>
  <si>
    <t>物品损坏描述提示</t>
  </si>
  <si>
    <t>该类型对修为获取速度加成万分比(取当前等级速度)</t>
  </si>
  <si>
    <t>影响赚钱对应模块</t>
  </si>
  <si>
    <t>金钱产出倍率(万分比)</t>
  </si>
  <si>
    <t>物件等级</t>
  </si>
  <si>
    <t>每次升级需要的灵石数量</t>
  </si>
  <si>
    <t>下一阶段id</t>
  </si>
  <si>
    <t>解锁丹方</t>
  </si>
  <si>
    <t>发生变化时视角锁定位置坐标</t>
  </si>
  <si>
    <t>建造特效位置坐标</t>
  </si>
  <si>
    <t>icon_index</t>
  </si>
  <si>
    <t>up_star</t>
  </si>
  <si>
    <t>destroy_des</t>
  </si>
  <si>
    <t>exp_add</t>
  </si>
  <si>
    <t>money_type1</t>
  </si>
  <si>
    <t>money_percent1</t>
  </si>
  <si>
    <t>need_cost</t>
  </si>
  <si>
    <t>next_id</t>
  </si>
  <si>
    <t>next_drug</t>
  </si>
  <si>
    <t>chuang_1</t>
  </si>
  <si>
    <t>床-硬木板床</t>
  </si>
  <si>
    <t>A</t>
  </si>
  <si>
    <t>145|375|;</t>
  </si>
  <si>
    <t>这是解锁的丹方，暂时不用了</t>
  </si>
  <si>
    <t>1床</t>
  </si>
  <si>
    <t>140</t>
  </si>
  <si>
    <t>360</t>
  </si>
  <si>
    <t>2桌子</t>
  </si>
  <si>
    <t>616</t>
  </si>
  <si>
    <t>472</t>
  </si>
  <si>
    <t>3书架</t>
  </si>
  <si>
    <t>545</t>
  </si>
  <si>
    <t>355</t>
  </si>
  <si>
    <t>chuang_2</t>
  </si>
  <si>
    <t>床-床头柜</t>
  </si>
  <si>
    <t>chuang_3</t>
  </si>
  <si>
    <t>床-被子</t>
  </si>
  <si>
    <t>shuzhuo2</t>
  </si>
  <si>
    <t>桌子-写字桌</t>
  </si>
  <si>
    <t>B</t>
  </si>
  <si>
    <t>628|482|</t>
  </si>
  <si>
    <t>628|482|;</t>
  </si>
  <si>
    <t>shuzhuo3</t>
  </si>
  <si>
    <t>桌子-四方桌</t>
  </si>
  <si>
    <t>543|536|</t>
  </si>
  <si>
    <t>543|536|;</t>
  </si>
  <si>
    <t>shuzhuo4</t>
  </si>
  <si>
    <t>桌子-台案</t>
  </si>
  <si>
    <t>696|431|</t>
  </si>
  <si>
    <t>696|431|;</t>
  </si>
  <si>
    <t>x</t>
  </si>
  <si>
    <t>y</t>
  </si>
  <si>
    <t>书架-矮书架</t>
  </si>
  <si>
    <t>D</t>
  </si>
  <si>
    <t>540|340|</t>
  </si>
  <si>
    <t>540|340|;</t>
  </si>
  <si>
    <t>shujia1</t>
  </si>
  <si>
    <t>shujia2</t>
  </si>
  <si>
    <t>书架-高书架</t>
  </si>
  <si>
    <t>shujia3</t>
  </si>
  <si>
    <t>书架-书格</t>
  </si>
  <si>
    <t>地板-寒碜地板</t>
  </si>
  <si>
    <t>C</t>
  </si>
  <si>
    <t>292|581|</t>
  </si>
  <si>
    <t>292|581|;156|665|;255|280|;422|518|;</t>
  </si>
  <si>
    <t>diban1</t>
  </si>
  <si>
    <t>diban2</t>
  </si>
  <si>
    <t>地板-普通地板</t>
  </si>
  <si>
    <t>diban3</t>
  </si>
  <si>
    <t>地板-石砖地板</t>
  </si>
  <si>
    <t>墙壁-土墙</t>
  </si>
  <si>
    <t>E</t>
  </si>
  <si>
    <t>591|636|</t>
  </si>
  <si>
    <t>412|702|;679|560|;787|442|;661|361|;432|250|;</t>
  </si>
  <si>
    <t>qiang3_1</t>
  </si>
  <si>
    <t>qiang3_2</t>
  </si>
  <si>
    <t>墙壁-木墙</t>
  </si>
  <si>
    <t>qiang3_3</t>
  </si>
  <si>
    <t>墙壁-石墙</t>
  </si>
  <si>
    <t>院落-石灯</t>
  </si>
  <si>
    <t>F</t>
  </si>
  <si>
    <t>1174|946|</t>
  </si>
  <si>
    <t>1174|946|;</t>
  </si>
  <si>
    <t>shideng</t>
  </si>
  <si>
    <t>zhuzi</t>
  </si>
  <si>
    <t>院落-竹子</t>
  </si>
  <si>
    <t>78|875|</t>
  </si>
  <si>
    <t>78|875|;78|1049|;412|1049|;</t>
  </si>
  <si>
    <t>shuichi_2</t>
  </si>
  <si>
    <t>院落-池塘</t>
  </si>
  <si>
    <t>138|1021|;310|1021|;</t>
  </si>
  <si>
    <t>2_chuang1</t>
  </si>
  <si>
    <t>床-四柱床</t>
  </si>
  <si>
    <t>320|252|</t>
  </si>
  <si>
    <t>311|303|</t>
  </si>
  <si>
    <t>320|252|;</t>
  </si>
  <si>
    <t>2_chuang2</t>
  </si>
  <si>
    <t>床-帷幔</t>
  </si>
  <si>
    <t>2_chuang3</t>
  </si>
  <si>
    <t>床-万工床</t>
  </si>
  <si>
    <t>2_shuzhuo_2</t>
  </si>
  <si>
    <t>桌子-书案</t>
  </si>
  <si>
    <t>620|532|</t>
  </si>
  <si>
    <t>620|552|;</t>
  </si>
  <si>
    <t>2_shuzhuo_3</t>
  </si>
  <si>
    <t>541|590|</t>
  </si>
  <si>
    <t>541|590|;</t>
  </si>
  <si>
    <t>2_shuzhuo_4</t>
  </si>
  <si>
    <t>桌子-画卷桌</t>
  </si>
  <si>
    <t>696|519|</t>
  </si>
  <si>
    <t>696|519|;</t>
  </si>
  <si>
    <t>2_shujia_1</t>
  </si>
  <si>
    <t>书架-书架</t>
  </si>
  <si>
    <t>428|407|</t>
  </si>
  <si>
    <t>415|400|</t>
  </si>
  <si>
    <t>2_shujia_2</t>
  </si>
  <si>
    <t>书架-书橱</t>
  </si>
  <si>
    <t>2_shujia_3</t>
  </si>
  <si>
    <t>书架-精致书橱</t>
  </si>
  <si>
    <t>2_diban_1</t>
  </si>
  <si>
    <t>地板-竹地板</t>
  </si>
  <si>
    <t>264|548|</t>
  </si>
  <si>
    <t>100|320|;480|550|;292|365|;</t>
  </si>
  <si>
    <t>2_diban_2</t>
  </si>
  <si>
    <t>2_diban_3</t>
  </si>
  <si>
    <t>地板-绿波毯</t>
  </si>
  <si>
    <t>地板-云纹毯</t>
  </si>
  <si>
    <t>2_qiang1_1</t>
  </si>
  <si>
    <t>墙壁-方格窗</t>
  </si>
  <si>
    <t>633|645|;775|582|;668|429|;533|366|;776|485|;</t>
  </si>
  <si>
    <t>2_qiang1_2</t>
  </si>
  <si>
    <t>墙壁-圆窗</t>
  </si>
  <si>
    <t>2_qiang1_3</t>
  </si>
  <si>
    <t>墙壁-万寿窗</t>
  </si>
  <si>
    <t>2_hulan1_1</t>
  </si>
  <si>
    <t>院落-护栏</t>
  </si>
  <si>
    <t>775|679|</t>
  </si>
  <si>
    <t>608|972|;917|1009|;992|279|;</t>
  </si>
  <si>
    <t>2_hulan2_1</t>
  </si>
  <si>
    <t>院落-荷叶</t>
  </si>
  <si>
    <t>院落-牧心潭</t>
  </si>
  <si>
    <t>2_hulan3_1</t>
  </si>
  <si>
    <t>院落-小青蛙</t>
  </si>
  <si>
    <t>3_chuang1</t>
  </si>
  <si>
    <t>床-清凉床</t>
  </si>
  <si>
    <t>264|269|</t>
  </si>
  <si>
    <t>313|296|</t>
  </si>
  <si>
    <t>264|269|;</t>
  </si>
  <si>
    <t>3_chuang2</t>
  </si>
  <si>
    <t>床-静思床</t>
  </si>
  <si>
    <t>3_chuang_2</t>
  </si>
  <si>
    <t>3_chuang_3</t>
  </si>
  <si>
    <t>3_shuzhuo_1</t>
  </si>
  <si>
    <t>518|538|</t>
  </si>
  <si>
    <t>518|548|;</t>
  </si>
  <si>
    <t>3_shuzhuo_2</t>
  </si>
  <si>
    <t>桌子-长书案</t>
  </si>
  <si>
    <t>3_shuzhuo_3</t>
  </si>
  <si>
    <t>3_shujia_1</t>
  </si>
  <si>
    <t>341|451|</t>
  </si>
  <si>
    <t>341|451|;</t>
  </si>
  <si>
    <t>3_shujia_2</t>
  </si>
  <si>
    <t>书架-盆景书架</t>
  </si>
  <si>
    <t>451|395|;</t>
  </si>
  <si>
    <t>3_shujia_3</t>
  </si>
  <si>
    <t>书架-巧工书格</t>
  </si>
  <si>
    <t>3_diban_2</t>
  </si>
  <si>
    <t>3_diban_3</t>
  </si>
  <si>
    <t>3_diban_3-1</t>
  </si>
  <si>
    <t>3_qiang_1</t>
  </si>
  <si>
    <t>墙壁-清心窗</t>
  </si>
  <si>
    <t>3_qiang_2</t>
  </si>
  <si>
    <t>3_qiang_3</t>
  </si>
  <si>
    <t>墙壁-燕还窗</t>
  </si>
  <si>
    <t>3_hulan1_2</t>
  </si>
  <si>
    <t>院落-竹心潭</t>
  </si>
  <si>
    <t>350|993|</t>
  </si>
  <si>
    <t>305|1000|;505|1000|;</t>
  </si>
  <si>
    <t>3_hulan2_2</t>
  </si>
  <si>
    <t>院落-九曲荷花</t>
  </si>
  <si>
    <t>3_hulan3_2</t>
  </si>
  <si>
    <t>院落-念魂山</t>
  </si>
  <si>
    <t>icon_yuan_ying_JSZH_1</t>
  </si>
  <si>
    <t>床-凌云床</t>
  </si>
  <si>
    <t xml:space="preserve">219|332| </t>
  </si>
  <si>
    <t>219|332|;</t>
  </si>
  <si>
    <t>icon_yuan_ying_JSZH_2</t>
  </si>
  <si>
    <t>床-摘星床</t>
  </si>
  <si>
    <t>icon_yuan_ying_JSZH_3</t>
  </si>
  <si>
    <t>床-邀月床</t>
  </si>
  <si>
    <t>icon_yuan_ying_JSZH_4</t>
  </si>
  <si>
    <t>桌子-白玉案</t>
  </si>
  <si>
    <t xml:space="preserve">499|561| </t>
  </si>
  <si>
    <t>499|561|;</t>
  </si>
  <si>
    <t>icon_yuan_ying_JSZH_5</t>
  </si>
  <si>
    <t>桌子-古藤案</t>
  </si>
  <si>
    <t>icon_yuan_ying_JSZH_6</t>
  </si>
  <si>
    <t>桌子-夜萤案</t>
  </si>
  <si>
    <t>icon_yuan_ying_JSZH_10</t>
  </si>
  <si>
    <t>书架-桐木架</t>
  </si>
  <si>
    <t xml:space="preserve">371|439| </t>
  </si>
  <si>
    <t>371|439|;</t>
  </si>
  <si>
    <t>icon_yuan_ying_JSZH_11</t>
  </si>
  <si>
    <t>书架-流云架</t>
  </si>
  <si>
    <t>icon_yuan_ying_JSZH_12</t>
  </si>
  <si>
    <t>书架-秉天书格</t>
  </si>
  <si>
    <t>icon_yuan_ying_JSZH_7</t>
  </si>
  <si>
    <t>地板-仙木板</t>
  </si>
  <si>
    <t xml:space="preserve">265|564| </t>
  </si>
  <si>
    <t>48|429|;265|564|;46|715|;</t>
  </si>
  <si>
    <t>icon_yuan_ying_JSZH_8</t>
  </si>
  <si>
    <t>地板-乘云毯</t>
  </si>
  <si>
    <t>icon_yuan_ying_JSZH_9</t>
  </si>
  <si>
    <t>地板-飞云毯</t>
  </si>
  <si>
    <t>icon_yuan_ying_JSZH_19</t>
  </si>
  <si>
    <t>墙壁-简心墙</t>
  </si>
  <si>
    <t xml:space="preserve">373|179| </t>
  </si>
  <si>
    <t>89|145|;373|179|;749|479|;</t>
  </si>
  <si>
    <t>icon_yuan_ying_JSZH_20</t>
  </si>
  <si>
    <t>墙壁-碧玉墙</t>
  </si>
  <si>
    <t>icon_yuan_ying_JSZH_21</t>
  </si>
  <si>
    <t>墙壁-云罩窗</t>
  </si>
  <si>
    <t>icon_yuan_ying_JSZH_18</t>
  </si>
  <si>
    <t>院落-紫云树</t>
  </si>
  <si>
    <t xml:space="preserve">247|894| </t>
  </si>
  <si>
    <t>247|894|;232|1012|;</t>
  </si>
  <si>
    <t>icon_yuan_ying_JSZH_17</t>
  </si>
  <si>
    <t>院落-通天宝瓶</t>
  </si>
  <si>
    <t xml:space="preserve">549|102| </t>
  </si>
  <si>
    <t>738|221|;549|102|;</t>
  </si>
  <si>
    <t>icon_yuan_ying_JSZH_16</t>
  </si>
  <si>
    <t>院落-金鹤灯</t>
  </si>
  <si>
    <t xml:space="preserve">118|509| </t>
  </si>
  <si>
    <t>1177|599|;1218|47|;</t>
  </si>
  <si>
    <t>icon路径</t>
  </si>
  <si>
    <t>消耗</t>
  </si>
  <si>
    <t>灵石产出</t>
  </si>
  <si>
    <t>掉落组id</t>
  </si>
  <si>
    <t>升级升阶id</t>
  </si>
  <si>
    <t>path</t>
  </si>
  <si>
    <t>output</t>
  </si>
  <si>
    <t>drop_group_id</t>
  </si>
  <si>
    <t>share0.jpg</t>
  </si>
  <si>
    <t>share1.jpg</t>
  </si>
  <si>
    <t>洞府建筑等级加成表</t>
  </si>
  <si>
    <t>道具索引ID</t>
  </si>
  <si>
    <t>丹药名称</t>
  </si>
  <si>
    <t>增加对应属性种类</t>
  </si>
  <si>
    <t>增长对应类型的具体数值</t>
  </si>
  <si>
    <t>增加属性值说明</t>
  </si>
  <si>
    <r>
      <rPr>
        <sz val="11"/>
        <color theme="1"/>
        <rFont val="微软雅黑"/>
        <charset val="134"/>
      </rPr>
      <t>价格(</t>
    </r>
    <r>
      <rPr>
        <sz val="11"/>
        <color rgb="FFFF0000"/>
        <rFont val="微软雅黑"/>
        <charset val="134"/>
      </rPr>
      <t>这里是钻石啊，钻石</t>
    </r>
    <r>
      <rPr>
        <sz val="11"/>
        <color theme="1"/>
        <rFont val="微软雅黑"/>
        <charset val="134"/>
      </rPr>
      <t>)</t>
    </r>
  </si>
  <si>
    <t>价格增长比例（万分比）</t>
  </si>
  <si>
    <t>所需境界等级</t>
  </si>
  <si>
    <t>need_value</t>
  </si>
  <si>
    <t>牛肉丸</t>
  </si>
  <si>
    <t>大力丸</t>
  </si>
  <si>
    <t>鹿血散</t>
  </si>
  <si>
    <t>独龙汤</t>
  </si>
  <si>
    <t>龟苓膏</t>
  </si>
  <si>
    <t>恶魄丹</t>
  </si>
  <si>
    <t>清神丸</t>
  </si>
  <si>
    <t>玉露酒</t>
  </si>
  <si>
    <t>400007 根骨</t>
  </si>
  <si>
    <t>风油精</t>
  </si>
  <si>
    <t>400008 悟性</t>
  </si>
  <si>
    <t>花露水</t>
  </si>
  <si>
    <t>400009 魅力</t>
  </si>
  <si>
    <t>乌鸡白凤丸</t>
  </si>
  <si>
    <t xml:space="preserve">400010 神识 </t>
  </si>
  <si>
    <t>冷香丸</t>
  </si>
  <si>
    <t>400011 机缘</t>
  </si>
  <si>
    <t>虎骨汤</t>
  </si>
  <si>
    <t>蛇心丹</t>
  </si>
  <si>
    <t>狮心丹</t>
  </si>
  <si>
    <t>五毒成王酒</t>
  </si>
  <si>
    <t>黄芽丹</t>
  </si>
  <si>
    <t>百里香</t>
  </si>
  <si>
    <t>苦心丸</t>
  </si>
  <si>
    <t>五石散</t>
  </si>
  <si>
    <t>半边红</t>
  </si>
  <si>
    <t>蜜制润丰丹</t>
  </si>
  <si>
    <t>洗身汤</t>
  </si>
  <si>
    <t>长相思</t>
  </si>
  <si>
    <t>金水六君煎</t>
  </si>
  <si>
    <t>安宫牛黄丸</t>
  </si>
  <si>
    <t>增长裂魂丹</t>
  </si>
  <si>
    <t>柔云汤</t>
  </si>
  <si>
    <t>万寿汤</t>
  </si>
  <si>
    <t>神机丸</t>
  </si>
  <si>
    <t>天心散</t>
  </si>
  <si>
    <t>福禄丹</t>
  </si>
  <si>
    <t>壮骨散</t>
  </si>
  <si>
    <t>金石方</t>
  </si>
  <si>
    <t>魔血丹</t>
  </si>
  <si>
    <t>河车丸</t>
  </si>
  <si>
    <t>茯苓糕</t>
  </si>
  <si>
    <t>白露丸</t>
  </si>
  <si>
    <t>金蝉膏</t>
  </si>
  <si>
    <t>灵龟还神汤</t>
  </si>
  <si>
    <t>谜蓝水</t>
  </si>
  <si>
    <t>五花霜</t>
  </si>
  <si>
    <t>玉颜膏</t>
  </si>
  <si>
    <t>和合丹</t>
  </si>
  <si>
    <t>栀子汤</t>
  </si>
  <si>
    <t>银朱石乳散</t>
  </si>
  <si>
    <t>白骨回魂丹</t>
  </si>
  <si>
    <t>天王补心丹</t>
  </si>
  <si>
    <t>娃娃鱼汤</t>
  </si>
  <si>
    <t>七宝丹</t>
  </si>
  <si>
    <t>倒悬丹</t>
  </si>
  <si>
    <t>入劫丹</t>
  </si>
  <si>
    <t>下品淬体丸</t>
  </si>
  <si>
    <t>中品淬体丸</t>
  </si>
  <si>
    <t>上品淬体丸</t>
  </si>
  <si>
    <t>极品淬体丸</t>
  </si>
  <si>
    <t>下品神颜液</t>
  </si>
  <si>
    <t>中品神颜液</t>
  </si>
  <si>
    <t>上品神颜液</t>
  </si>
  <si>
    <t>极品神颜液</t>
  </si>
  <si>
    <t>下品通窍砂</t>
  </si>
  <si>
    <t>中品通窍砂</t>
  </si>
  <si>
    <t>上品通窍砂</t>
  </si>
  <si>
    <t>极品通窍砂</t>
  </si>
  <si>
    <t>下品炼神气</t>
  </si>
  <si>
    <t>中品炼神气</t>
  </si>
  <si>
    <t>上品炼神气</t>
  </si>
  <si>
    <t>极品炼神气</t>
  </si>
  <si>
    <t>下品镇运石</t>
  </si>
  <si>
    <t>中品镇运石</t>
  </si>
  <si>
    <t>上品镇运石</t>
  </si>
  <si>
    <t>极品镇运石</t>
  </si>
  <si>
    <t>npc境界、难度对应技能等级表</t>
  </si>
  <si>
    <t>角色境界id</t>
  </si>
  <si>
    <t>卡牌境界id</t>
  </si>
  <si>
    <t>对应境界技能等级最小值</t>
  </si>
  <si>
    <t>对应境界技能等级最大值</t>
  </si>
  <si>
    <t>level_id</t>
  </si>
  <si>
    <t>skill_level_min</t>
  </si>
  <si>
    <t>skill_level_max</t>
  </si>
  <si>
    <t>掉落分组</t>
  </si>
  <si>
    <t xml:space="preserve">分组类型，掉落类型：1表示轮询集合
2表示权重集合，
3表示子项
</t>
  </si>
  <si>
    <t>Drop_group_type=3时生效，具体物品道具的ID</t>
  </si>
  <si>
    <t>item_id生效时，数量最小值</t>
  </si>
  <si>
    <t>item_id生效时，数量最大值</t>
  </si>
  <si>
    <t>Drop_group_type=1，2时生效，索引Drop_group_id字段</t>
  </si>
  <si>
    <t xml:space="preserve">权重或机率
当Drop_group_type=1时，分母为10000作为轮询分母
当Drop_group_type=2时，Drop_group_id相加总合作为随机权重的分母
</t>
  </si>
  <si>
    <t>格式：Item_id1|数量1|；Item_id2|数量2|；……</t>
  </si>
  <si>
    <t>执行次数
（不填默认执行1次）</t>
  </si>
  <si>
    <t>奖励倍数</t>
  </si>
  <si>
    <t>TAB:[INT]</t>
  </si>
  <si>
    <t>Drop_group_id</t>
  </si>
  <si>
    <t>Drop_group_type</t>
  </si>
  <si>
    <t>Item_id</t>
  </si>
  <si>
    <t>Item_num_min</t>
  </si>
  <si>
    <t>Item_num_max</t>
  </si>
  <si>
    <t>Sub_drop_id</t>
  </si>
  <si>
    <t>chance</t>
  </si>
  <si>
    <t>Drop_show</t>
  </si>
  <si>
    <t>act_times</t>
  </si>
  <si>
    <t>reward_times</t>
  </si>
  <si>
    <t>蓝心碎-练气期</t>
  </si>
  <si>
    <t>蓝心碎-筑基期</t>
  </si>
  <si>
    <t>蓝心碎-金丹期</t>
  </si>
  <si>
    <t>凝气丹</t>
  </si>
  <si>
    <t>月隐砂</t>
  </si>
  <si>
    <t>仙灵草</t>
  </si>
  <si>
    <t>灵初露</t>
  </si>
  <si>
    <t>龙牙草</t>
  </si>
  <si>
    <t>虎睛石</t>
  </si>
  <si>
    <t>石髓</t>
  </si>
  <si>
    <t>洛神花</t>
  </si>
  <si>
    <t>罗汉果</t>
  </si>
  <si>
    <t>筑基丹</t>
  </si>
  <si>
    <t>玄冰露</t>
  </si>
  <si>
    <t>穿心莲</t>
  </si>
  <si>
    <t>赤玉</t>
  </si>
  <si>
    <t>黑云砂</t>
  </si>
  <si>
    <t>刺魔鱼</t>
  </si>
  <si>
    <t>肉灵芝</t>
  </si>
  <si>
    <t>金蝉蜕</t>
  </si>
  <si>
    <t>枫斗石斛</t>
  </si>
  <si>
    <t>金元丹</t>
  </si>
  <si>
    <t>地煞之气</t>
  </si>
  <si>
    <t>玉髓</t>
  </si>
  <si>
    <t>蛇床子</t>
  </si>
  <si>
    <t>五行砂</t>
  </si>
  <si>
    <t>凝气草</t>
  </si>
  <si>
    <t>毒狼蛛</t>
  </si>
  <si>
    <t>百岁参</t>
  </si>
  <si>
    <t>怨灵珠</t>
  </si>
  <si>
    <t>修为</t>
  </si>
  <si>
    <t>参悟点</t>
  </si>
  <si>
    <t>紫心碎-练气期</t>
  </si>
  <si>
    <t>紫心碎-筑基期</t>
  </si>
  <si>
    <t>紫心碎-金丹期</t>
  </si>
  <si>
    <t>蓝心碎-元婴期</t>
  </si>
  <si>
    <t>紫心碎-元婴期</t>
  </si>
  <si>
    <t>专属绿色招式碎片_练气期</t>
  </si>
  <si>
    <t>专属蓝色招式碎片_练气期</t>
  </si>
  <si>
    <t>专属紫色招式碎片_练气期</t>
  </si>
  <si>
    <t>专属绿色招式碎片_筑基期</t>
  </si>
  <si>
    <t>专属蓝色招式碎片_筑基期</t>
  </si>
  <si>
    <t>专属紫色招式碎片_筑基期</t>
  </si>
  <si>
    <t>专属绿色招式碎片_金丹期</t>
  </si>
  <si>
    <t>专属蓝色招式碎片_金丹期</t>
  </si>
  <si>
    <t>专属紫色招式碎片_金丹期</t>
  </si>
  <si>
    <t>专属绿色招式碎片_元婴期</t>
  </si>
  <si>
    <t>专属蓝色招式碎片_元婴期</t>
  </si>
  <si>
    <t>专属紫色招式碎片_元婴期</t>
  </si>
  <si>
    <t>练气期转盘所有奖励</t>
  </si>
  <si>
    <t>筑基期转盘所有奖励</t>
  </si>
  <si>
    <t>金丹期转盘所有奖励</t>
  </si>
  <si>
    <t>元婴期转盘所有奖励</t>
  </si>
  <si>
    <t>精力补充卡</t>
  </si>
  <si>
    <t>体力补充卡</t>
  </si>
  <si>
    <t>重伤恢复卡</t>
  </si>
  <si>
    <t>感悟点*1000</t>
  </si>
  <si>
    <t>招式点*5000</t>
  </si>
  <si>
    <t>灵玉*50</t>
  </si>
  <si>
    <t>灵玉*30</t>
  </si>
  <si>
    <t>灵玉</t>
  </si>
  <si>
    <t>魔渊挑战50层奖励</t>
  </si>
  <si>
    <t>魔渊挑战100层奖励</t>
  </si>
  <si>
    <t>魔渊挑战150层奖励</t>
  </si>
  <si>
    <t>魔渊挑战200层奖励</t>
  </si>
  <si>
    <t>魔渊挑战250层奖励</t>
  </si>
  <si>
    <t>魔渊挑战300层奖励</t>
  </si>
  <si>
    <t>魔渊个人挑战奖励</t>
  </si>
  <si>
    <t>凡术万能碎片（通用白色招式碎片）</t>
  </si>
  <si>
    <t>道法万能碎片（通用蓝色招式碎片）</t>
  </si>
  <si>
    <t>仙法万能碎片（通用紫色招式碎片）</t>
  </si>
  <si>
    <t>神术万能碎片（通用橙色招式碎片）</t>
  </si>
  <si>
    <t>精力令（精力补充卡）</t>
  </si>
  <si>
    <t>体力令（体力补充卡）</t>
  </si>
  <si>
    <t>疗伤玉牌（重伤恢复卡）</t>
  </si>
  <si>
    <t>参悟点*200</t>
  </si>
  <si>
    <t>参悟点*1000</t>
  </si>
  <si>
    <t>参悟点*5000</t>
  </si>
  <si>
    <t>招式心得*3000</t>
  </si>
  <si>
    <t>招式心得*10000</t>
  </si>
  <si>
    <t>招式心得*20000</t>
  </si>
  <si>
    <t>专属白色招式碎片_1</t>
  </si>
  <si>
    <t>专属蓝色招式碎片_1</t>
  </si>
  <si>
    <t>专属紫色招式碎片_1</t>
  </si>
  <si>
    <t>专属橙色招式碎片_1</t>
  </si>
  <si>
    <t>心法碎片_蓝_1</t>
  </si>
  <si>
    <t>心法碎片_紫_1</t>
  </si>
  <si>
    <t>心法碎片_橙_1</t>
  </si>
  <si>
    <t>境界1服装碎片</t>
  </si>
  <si>
    <t>境界1坐骑碎片</t>
  </si>
  <si>
    <t>专属白色招式碎片_2</t>
  </si>
  <si>
    <t>专属蓝色招式碎片_2</t>
  </si>
  <si>
    <t>专属紫色招式碎片_2</t>
  </si>
  <si>
    <t>专属橙色招式碎片_2</t>
  </si>
  <si>
    <t>心法碎片_蓝_2</t>
  </si>
  <si>
    <t>心法碎片_紫_2</t>
  </si>
  <si>
    <t>心法碎片_橙_2</t>
  </si>
  <si>
    <t>境界2服装碎片</t>
  </si>
  <si>
    <t>境界2坐骑碎片</t>
  </si>
  <si>
    <t>专属白色招式碎片_3</t>
  </si>
  <si>
    <t>专属蓝色招式碎片_3</t>
  </si>
  <si>
    <t>专属紫色招式碎片_3</t>
  </si>
  <si>
    <t>专属橙色招式碎片_3</t>
  </si>
  <si>
    <t>心法碎片_蓝_3</t>
  </si>
  <si>
    <t>心法碎片_紫_3</t>
  </si>
  <si>
    <t>心法碎片_橙_3</t>
  </si>
  <si>
    <t>境界3服装碎片</t>
  </si>
  <si>
    <t>境界3坐骑碎片</t>
  </si>
  <si>
    <t>专属白色招式碎片_4</t>
  </si>
  <si>
    <t>专属蓝色招式碎片_4</t>
  </si>
  <si>
    <t>专属紫色招式碎片_4</t>
  </si>
  <si>
    <t>专属橙色招式碎片_4</t>
  </si>
  <si>
    <t>心法碎片_蓝_4</t>
  </si>
  <si>
    <t>心法碎片_紫_4</t>
  </si>
  <si>
    <t>心法碎片_橙_4</t>
  </si>
  <si>
    <t>境界4服装碎片</t>
  </si>
  <si>
    <t>境界4坐骑碎片</t>
  </si>
  <si>
    <t>通幽决</t>
  </si>
  <si>
    <t>玉剑仙</t>
  </si>
  <si>
    <t>青鸾宝剑</t>
  </si>
  <si>
    <t>邪剑仙</t>
  </si>
  <si>
    <t>麒麟</t>
  </si>
  <si>
    <t>玉兔</t>
  </si>
  <si>
    <t>风华绝代</t>
  </si>
  <si>
    <t>酒鬼葫芦</t>
  </si>
  <si>
    <t>耀金飞剑</t>
  </si>
  <si>
    <t>玉剑仙(碎片)</t>
  </si>
  <si>
    <t>邪剑仙(碎片)</t>
  </si>
  <si>
    <t>夏日酷饮(碎片)</t>
  </si>
  <si>
    <t>风华绝代(碎片)</t>
  </si>
  <si>
    <t>凤凰(碎片)</t>
  </si>
  <si>
    <t>麒麟(碎片)</t>
  </si>
  <si>
    <t>玉兔(碎片)</t>
  </si>
  <si>
    <t>酒鬼葫芦(碎片)</t>
  </si>
  <si>
    <t>青鸾宝剑(碎片)</t>
  </si>
  <si>
    <t>耀金飞剑(碎片)</t>
  </si>
  <si>
    <t>飞天魔毯(碎片)</t>
  </si>
  <si>
    <t>冲浪单板(碎片)</t>
  </si>
  <si>
    <t>凡术万能碎片（通用白色招式碎片）*8</t>
  </si>
  <si>
    <t>境界1悟道台</t>
  </si>
  <si>
    <t>道法万能碎片（通用蓝色招式碎片）*4</t>
  </si>
  <si>
    <t>仙法万能碎片（通用紫色招式碎片）*2</t>
  </si>
  <si>
    <t>神术万能碎片（通用橙色招式碎片）*1</t>
  </si>
  <si>
    <t>专属白色招式碎片</t>
  </si>
  <si>
    <t>专属蓝色招式碎片</t>
  </si>
  <si>
    <t>专属紫色招式碎片</t>
  </si>
  <si>
    <t>心法碎片_蓝</t>
  </si>
  <si>
    <t>心法碎片_紫</t>
  </si>
  <si>
    <t>服装碎片</t>
  </si>
  <si>
    <t>坐骑碎片</t>
  </si>
  <si>
    <t>境界2悟道台</t>
  </si>
  <si>
    <t>境界3悟道台</t>
  </si>
  <si>
    <t>境界4悟道台</t>
  </si>
  <si>
    <t>仙法万能碎片（通用紫色招式碎片）*4</t>
  </si>
  <si>
    <t>境界1悟道台保底抽</t>
  </si>
  <si>
    <t>专属橙色招式碎片</t>
  </si>
  <si>
    <t>心法碎片_橙</t>
  </si>
  <si>
    <t>境界2悟道台保底抽</t>
  </si>
  <si>
    <t>境界3悟道台保底抽</t>
  </si>
  <si>
    <t>境界4悟道台保底抽</t>
  </si>
  <si>
    <t>境界1悟道台展示用</t>
  </si>
  <si>
    <t>境界2悟道台展示用</t>
  </si>
  <si>
    <t>境界3悟道台展示用</t>
  </si>
  <si>
    <t>境界4悟道台展示用</t>
  </si>
  <si>
    <t>招式养成礼包奖励68</t>
  </si>
  <si>
    <t>招式养成礼包奖励128</t>
  </si>
  <si>
    <t>招式养成礼包奖励198</t>
  </si>
  <si>
    <t>招式养成礼包奖励328</t>
  </si>
  <si>
    <t>招式养成礼包奖励648</t>
  </si>
  <si>
    <t>仙玉</t>
  </si>
  <si>
    <t>青云道场第一名日奖励</t>
  </si>
  <si>
    <t>青云道场第二名日奖励</t>
  </si>
  <si>
    <t>青云道场第三名日奖励</t>
  </si>
  <si>
    <r>
      <rPr>
        <sz val="11"/>
        <color theme="1"/>
        <rFont val="等线"/>
        <charset val="134"/>
        <scheme val="minor"/>
      </rPr>
      <t>青云道场第4</t>
    </r>
    <r>
      <rPr>
        <sz val="11"/>
        <color theme="1"/>
        <rFont val="等线"/>
        <charset val="134"/>
        <scheme val="minor"/>
      </rPr>
      <t>-6</t>
    </r>
    <r>
      <rPr>
        <sz val="11"/>
        <color theme="1"/>
        <rFont val="等线"/>
        <charset val="134"/>
        <scheme val="minor"/>
      </rPr>
      <t>名日奖励</t>
    </r>
  </si>
  <si>
    <r>
      <rPr>
        <sz val="11"/>
        <color theme="1"/>
        <rFont val="等线"/>
        <charset val="134"/>
        <scheme val="minor"/>
      </rPr>
      <t>青云道场第7</t>
    </r>
    <r>
      <rPr>
        <sz val="11"/>
        <color theme="1"/>
        <rFont val="等线"/>
        <charset val="134"/>
        <scheme val="minor"/>
      </rPr>
      <t>-10</t>
    </r>
    <r>
      <rPr>
        <sz val="11"/>
        <color theme="1"/>
        <rFont val="等线"/>
        <charset val="134"/>
        <scheme val="minor"/>
      </rPr>
      <t>名日奖励</t>
    </r>
  </si>
  <si>
    <r>
      <rPr>
        <sz val="11"/>
        <color theme="1"/>
        <rFont val="等线"/>
        <charset val="134"/>
        <scheme val="minor"/>
      </rPr>
      <t>青云道场第1</t>
    </r>
    <r>
      <rPr>
        <sz val="11"/>
        <color theme="1"/>
        <rFont val="等线"/>
        <charset val="134"/>
        <scheme val="minor"/>
      </rPr>
      <t>1-20</t>
    </r>
    <r>
      <rPr>
        <sz val="11"/>
        <color theme="1"/>
        <rFont val="等线"/>
        <charset val="134"/>
        <scheme val="minor"/>
      </rPr>
      <t>名日奖励</t>
    </r>
  </si>
  <si>
    <r>
      <rPr>
        <sz val="11"/>
        <color theme="1"/>
        <rFont val="等线"/>
        <charset val="134"/>
        <scheme val="minor"/>
      </rPr>
      <t>青云道场第21-50</t>
    </r>
    <r>
      <rPr>
        <sz val="11"/>
        <color theme="1"/>
        <rFont val="等线"/>
        <charset val="134"/>
        <scheme val="minor"/>
      </rPr>
      <t>名日奖励</t>
    </r>
  </si>
  <si>
    <r>
      <rPr>
        <sz val="11"/>
        <color theme="1"/>
        <rFont val="等线"/>
        <charset val="134"/>
        <scheme val="minor"/>
      </rPr>
      <t>青云道场第51-100</t>
    </r>
    <r>
      <rPr>
        <sz val="11"/>
        <color theme="1"/>
        <rFont val="等线"/>
        <charset val="134"/>
        <scheme val="minor"/>
      </rPr>
      <t>名日奖励</t>
    </r>
  </si>
  <si>
    <r>
      <rPr>
        <sz val="11"/>
        <color theme="1"/>
        <rFont val="等线"/>
        <charset val="134"/>
        <scheme val="minor"/>
      </rPr>
      <t>青云道场第1</t>
    </r>
    <r>
      <rPr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>名及之后日奖励</t>
    </r>
  </si>
  <si>
    <t>青云道场第一名周期奖励</t>
  </si>
  <si>
    <t>青云道场第二名周期奖励</t>
  </si>
  <si>
    <t>青云道场第三名周期奖励</t>
  </si>
  <si>
    <r>
      <rPr>
        <sz val="11"/>
        <color theme="1"/>
        <rFont val="等线"/>
        <charset val="134"/>
        <scheme val="minor"/>
      </rPr>
      <t>青云道场第4</t>
    </r>
    <r>
      <rPr>
        <sz val="11"/>
        <color theme="1"/>
        <rFont val="等线"/>
        <charset val="134"/>
        <scheme val="minor"/>
      </rPr>
      <t>-6</t>
    </r>
    <r>
      <rPr>
        <sz val="11"/>
        <color theme="1"/>
        <rFont val="等线"/>
        <charset val="134"/>
        <scheme val="minor"/>
      </rPr>
      <t>名周期奖励</t>
    </r>
  </si>
  <si>
    <r>
      <rPr>
        <sz val="11"/>
        <color theme="1"/>
        <rFont val="等线"/>
        <charset val="134"/>
        <scheme val="minor"/>
      </rPr>
      <t>青云道场第7</t>
    </r>
    <r>
      <rPr>
        <sz val="11"/>
        <color theme="1"/>
        <rFont val="等线"/>
        <charset val="134"/>
        <scheme val="minor"/>
      </rPr>
      <t>-10</t>
    </r>
    <r>
      <rPr>
        <sz val="11"/>
        <color theme="1"/>
        <rFont val="等线"/>
        <charset val="134"/>
        <scheme val="minor"/>
      </rPr>
      <t>名周期奖励</t>
    </r>
  </si>
  <si>
    <r>
      <rPr>
        <sz val="11"/>
        <color theme="1"/>
        <rFont val="等线"/>
        <charset val="134"/>
        <scheme val="minor"/>
      </rPr>
      <t>青云道场第1</t>
    </r>
    <r>
      <rPr>
        <sz val="11"/>
        <color theme="1"/>
        <rFont val="等线"/>
        <charset val="134"/>
        <scheme val="minor"/>
      </rPr>
      <t>1-20</t>
    </r>
    <r>
      <rPr>
        <sz val="11"/>
        <color theme="1"/>
        <rFont val="等线"/>
        <charset val="134"/>
        <scheme val="minor"/>
      </rPr>
      <t>名周期奖励</t>
    </r>
  </si>
  <si>
    <r>
      <rPr>
        <sz val="11"/>
        <color theme="1"/>
        <rFont val="等线"/>
        <charset val="134"/>
        <scheme val="minor"/>
      </rPr>
      <t>青云道场第2</t>
    </r>
    <r>
      <rPr>
        <sz val="11"/>
        <color theme="1"/>
        <rFont val="等线"/>
        <charset val="134"/>
        <scheme val="minor"/>
      </rPr>
      <t>1-50</t>
    </r>
    <r>
      <rPr>
        <sz val="11"/>
        <color theme="1"/>
        <rFont val="等线"/>
        <charset val="134"/>
        <scheme val="minor"/>
      </rPr>
      <t>名周期奖励</t>
    </r>
  </si>
  <si>
    <r>
      <rPr>
        <sz val="11"/>
        <color theme="1"/>
        <rFont val="等线"/>
        <charset val="134"/>
        <scheme val="minor"/>
      </rPr>
      <t>青云道场第51-100名</t>
    </r>
    <r>
      <rPr>
        <sz val="11"/>
        <color theme="1"/>
        <rFont val="等线"/>
        <charset val="134"/>
        <scheme val="minor"/>
      </rPr>
      <t>周期奖励</t>
    </r>
  </si>
  <si>
    <r>
      <rPr>
        <sz val="11"/>
        <color theme="1"/>
        <rFont val="等线"/>
        <charset val="134"/>
        <scheme val="minor"/>
      </rPr>
      <t>青云道场第1</t>
    </r>
    <r>
      <rPr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>名及之后周期奖励</t>
    </r>
  </si>
  <si>
    <t>属性</t>
  </si>
  <si>
    <t xml:space="preserve">对应数字 </t>
  </si>
  <si>
    <t>家具名</t>
  </si>
  <si>
    <t>家具描述</t>
  </si>
  <si>
    <t>金</t>
  </si>
  <si>
    <t>四方桌</t>
  </si>
  <si>
    <t>普普通通的四人小方桌，平平无奇</t>
  </si>
  <si>
    <t>木</t>
  </si>
  <si>
    <t>六仙桌</t>
  </si>
  <si>
    <t>精致的方桌，可以做六个人</t>
  </si>
  <si>
    <t>水</t>
  </si>
  <si>
    <t>八仙桌</t>
  </si>
  <si>
    <t>有些华丽的八仙桌，可以做八个人</t>
  </si>
  <si>
    <t>火</t>
  </si>
  <si>
    <t>硬木板床</t>
  </si>
  <si>
    <t>一块木板搭成的床，勉强凑合着用</t>
  </si>
  <si>
    <t>土</t>
  </si>
  <si>
    <t>罗汉床</t>
  </si>
  <si>
    <t>又称弥勒塌，四方有支架，可以挂上帷帐</t>
  </si>
  <si>
    <t>无</t>
  </si>
  <si>
    <t>四柱万工床</t>
  </si>
  <si>
    <t>精致而又华丽的床，甚至他还有个小隔间</t>
  </si>
  <si>
    <t>土墙</t>
  </si>
  <si>
    <t>什么都没有，空空如也</t>
  </si>
  <si>
    <t>木墙</t>
  </si>
  <si>
    <t>方形的窗户，木质的结构，冬暖夏凉</t>
  </si>
  <si>
    <t>石墙</t>
  </si>
  <si>
    <t>非常精致的圆形窗户，晚上能通过他看到月亮，雕梁画柱精致无比</t>
  </si>
  <si>
    <t>普通地板</t>
  </si>
  <si>
    <t>没有任何装饰</t>
  </si>
  <si>
    <t>木地板</t>
  </si>
  <si>
    <t>平整的木质地板</t>
  </si>
  <si>
    <t>毛毯</t>
  </si>
  <si>
    <t>精致细腻的地毯，光着脚走都不会感到寒冷</t>
  </si>
  <si>
    <t>书桌</t>
  </si>
  <si>
    <t>破破烂啦的小书桌，上面摆放了几本被翻开的书籍</t>
  </si>
  <si>
    <t>木书格</t>
  </si>
  <si>
    <t>比常人还要高的书格，上面放着很多本崭新的书籍，可惜并没有多少人看</t>
  </si>
  <si>
    <t>酸枝红木书格</t>
  </si>
  <si>
    <t>高大精致的书格，不仅有珍惜的书籍，还放着及素雅的盆景，看不到一丝尘土和使用痕迹</t>
  </si>
  <si>
    <t>土路</t>
  </si>
  <si>
    <t>普通的泥土路</t>
  </si>
  <si>
    <t>石子路</t>
  </si>
  <si>
    <t>有些精致的小院子，用干净的鹅卵石铺的小路</t>
  </si>
  <si>
    <t>石板路</t>
  </si>
  <si>
    <t>典雅的院落，不仅用石板铺路，还有棵松柏</t>
  </si>
  <si>
    <t>炼气期桌1</t>
  </si>
  <si>
    <t>炼气期桌2</t>
  </si>
  <si>
    <t>炼气期桌3</t>
  </si>
  <si>
    <t>炼气期床1</t>
  </si>
  <si>
    <t>炼气期床2</t>
  </si>
  <si>
    <t>炼气期床3</t>
  </si>
  <si>
    <t>炼气期墙1</t>
  </si>
  <si>
    <t>炼气期墙2</t>
  </si>
  <si>
    <t>炼气期墙3</t>
  </si>
  <si>
    <t>炼气期地板1</t>
  </si>
  <si>
    <t>炼气期地板2</t>
  </si>
  <si>
    <t>炼气期地板3</t>
  </si>
  <si>
    <t>炼气期书桌1</t>
  </si>
  <si>
    <t>炼气期书桌2</t>
  </si>
  <si>
    <t>炼气期书桌3</t>
  </si>
  <si>
    <t>炼气期路1</t>
  </si>
  <si>
    <t>炼气期路2</t>
  </si>
  <si>
    <t>炼气期路3</t>
  </si>
  <si>
    <t>炼气期炉1</t>
  </si>
  <si>
    <t>炼气期炉2</t>
  </si>
  <si>
    <t>炼气期炉3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</si>
</sst>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7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等线"/>
      <charset val="134"/>
      <scheme val="minor"/>
    </font>
    <font>
      <sz val="11"/>
      <color theme="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rgb="FF111F2C"/>
      <name val="Segoe UI"/>
      <charset val="134"/>
    </font>
    <font>
      <sz val="10.5"/>
      <color theme="1"/>
      <name val="宋体"/>
      <charset val="134"/>
    </font>
    <font>
      <sz val="11"/>
      <color rgb="FF333333"/>
      <name val="宋体"/>
      <charset val="134"/>
    </font>
    <font>
      <sz val="11"/>
      <color rgb="FF333333"/>
      <name val="Arial"/>
      <charset val="134"/>
    </font>
    <font>
      <i/>
      <sz val="11"/>
      <color theme="1"/>
      <name val="微软雅黑"/>
      <charset val="134"/>
    </font>
    <font>
      <sz val="11"/>
      <name val="等线"/>
      <charset val="134"/>
      <scheme val="minor"/>
    </font>
    <font>
      <sz val="11"/>
      <color indexed="8"/>
      <name val="微软雅黑"/>
      <charset val="134"/>
    </font>
    <font>
      <sz val="11"/>
      <color indexed="8"/>
      <name val="等线"/>
      <charset val="134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10.5"/>
      <color rgb="FF111F2C"/>
      <name val="Segoe UI"/>
      <charset val="134"/>
    </font>
    <font>
      <sz val="11"/>
      <color rgb="FF171A1D"/>
      <name val="Segoe UI"/>
      <charset val="134"/>
    </font>
    <font>
      <sz val="10.5"/>
      <color rgb="FF171A1D"/>
      <name val="Segoe UI"/>
      <charset val="134"/>
    </font>
    <font>
      <sz val="11"/>
      <color rgb="FFFF0000"/>
      <name val="宋体"/>
      <charset val="134"/>
    </font>
    <font>
      <sz val="10.5"/>
      <color rgb="FF171A1D"/>
      <name val="宋体"/>
      <charset val="134"/>
    </font>
    <font>
      <sz val="10.5"/>
      <color rgb="FF0000FF"/>
      <name val="宋体"/>
      <charset val="134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indexed="16"/>
      <name val="微软雅黑"/>
      <charset val="134"/>
    </font>
    <font>
      <sz val="11"/>
      <color indexed="63"/>
      <name val="微软雅黑"/>
      <charset val="134"/>
    </font>
    <font>
      <sz val="11"/>
      <name val="宋体"/>
      <charset val="134"/>
    </font>
    <font>
      <sz val="11"/>
      <color indexed="10"/>
      <name val="等线"/>
      <charset val="134"/>
    </font>
    <font>
      <sz val="11"/>
      <name val="等线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sz val="10.5"/>
      <color theme="1"/>
      <name val="等线"/>
      <charset val="134"/>
      <scheme val="minor"/>
    </font>
    <font>
      <sz val="11"/>
      <color theme="1"/>
      <name val="等线 Light"/>
      <charset val="134"/>
      <scheme val="major"/>
    </font>
    <font>
      <u/>
      <sz val="11"/>
      <color theme="10"/>
      <name val="等线"/>
      <charset val="134"/>
      <scheme val="minor"/>
    </font>
    <font>
      <sz val="11"/>
      <color rgb="FF191F25"/>
      <name val="Segoe UI"/>
      <charset val="134"/>
    </font>
    <font>
      <sz val="14"/>
      <color indexed="8"/>
      <name val="微软雅黑"/>
      <charset val="134"/>
    </font>
    <font>
      <b/>
      <sz val="14"/>
      <color rgb="FF000000"/>
      <name val="微软雅黑"/>
      <charset val="134"/>
    </font>
    <font>
      <u/>
      <sz val="11"/>
      <color rgb="FF0000FF"/>
      <name val="微软雅黑"/>
      <charset val="134"/>
    </font>
    <font>
      <u/>
      <sz val="11"/>
      <color rgb="FF800080"/>
      <name val="微软雅黑"/>
      <charset val="134"/>
    </font>
    <font>
      <u/>
      <sz val="11"/>
      <color theme="10"/>
      <name val="微软雅黑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0.5"/>
      <color theme="1"/>
      <name val="微软雅黑"/>
      <charset val="134"/>
    </font>
    <font>
      <sz val="10.5"/>
      <color rgb="FF800080"/>
      <name val="微软雅黑"/>
      <charset val="134"/>
    </font>
    <font>
      <sz val="11"/>
      <color rgb="FF800080"/>
      <name val="微软雅黑"/>
      <charset val="134"/>
    </font>
    <font>
      <sz val="14"/>
      <color rgb="FF800080"/>
      <name val="微软雅黑"/>
      <charset val="134"/>
    </font>
    <font>
      <sz val="11"/>
      <color rgb="FF80008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171A1D"/>
      <name val="微软雅黑"/>
      <charset val="134"/>
    </font>
    <font>
      <sz val="10.5"/>
      <color theme="1"/>
      <name val="Calibri"/>
      <charset val="134"/>
    </font>
    <font>
      <b/>
      <sz val="9"/>
      <name val="宋体"/>
      <charset val="134"/>
    </font>
    <font>
      <sz val="9"/>
      <name val="宋体"/>
      <charset val="134"/>
    </font>
    <font>
      <b/>
      <i/>
      <sz val="9"/>
      <name val="宋体"/>
      <charset val="134"/>
    </font>
    <font>
      <u/>
      <sz val="9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79952391125217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01AB6"/>
        <bgColor indexed="64"/>
      </patternFill>
    </fill>
    <fill>
      <patternFill patternType="solid">
        <fgColor theme="8" tint="0.799584948271126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161E9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523911252174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5" tint="0.399487289040803"/>
        <bgColor indexed="64"/>
      </patternFill>
    </fill>
    <fill>
      <patternFill patternType="solid">
        <fgColor rgb="FF4BACC6"/>
        <bgColor rgb="FF4BACC6"/>
      </patternFill>
    </fill>
    <fill>
      <patternFill patternType="solid">
        <fgColor rgb="FFDAEEF3"/>
        <bgColor rgb="FFDAEEF3"/>
      </patternFill>
    </fill>
    <fill>
      <patternFill patternType="solid">
        <fgColor rgb="FFB7DEE8"/>
        <bgColor rgb="FFB7DEE8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35" borderId="13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7" fillId="0" borderId="1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36" borderId="16" applyNumberFormat="0" applyAlignment="0" applyProtection="0">
      <alignment vertical="center"/>
    </xf>
    <xf numFmtId="0" fontId="59" fillId="37" borderId="17" applyNumberFormat="0" applyAlignment="0" applyProtection="0">
      <alignment vertical="center"/>
    </xf>
    <xf numFmtId="0" fontId="60" fillId="37" borderId="16" applyNumberFormat="0" applyAlignment="0" applyProtection="0">
      <alignment vertical="center"/>
    </xf>
    <xf numFmtId="0" fontId="61" fillId="38" borderId="18" applyNumberFormat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65" fillId="49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65" fillId="52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5" fillId="55" borderId="0" applyNumberFormat="0" applyBorder="0" applyAlignment="0" applyProtection="0">
      <alignment vertical="center"/>
    </xf>
    <xf numFmtId="0" fontId="65" fillId="56" borderId="0" applyNumberFormat="0" applyBorder="0" applyAlignment="0" applyProtection="0">
      <alignment vertical="center"/>
    </xf>
    <xf numFmtId="0" fontId="66" fillId="57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5" fillId="5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</cellStyleXfs>
  <cellXfs count="4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 applyAlignment="1"/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0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Fill="1" applyAlignment="1"/>
    <xf numFmtId="0" fontId="0" fillId="4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" fillId="5" borderId="0" xfId="0" applyFont="1" applyFill="1" applyAlignment="1"/>
    <xf numFmtId="0" fontId="0" fillId="0" borderId="0" xfId="0" applyFont="1" applyFill="1" applyBorder="1" applyAlignment="1">
      <alignment horizontal="left" vertical="center"/>
    </xf>
    <xf numFmtId="0" fontId="6" fillId="0" borderId="0" xfId="0" applyFont="1" applyFill="1" applyAlignment="1"/>
    <xf numFmtId="0" fontId="1" fillId="0" borderId="0" xfId="0" applyFont="1" applyFill="1" applyAlignment="1">
      <alignment horizontal="left"/>
    </xf>
    <xf numFmtId="0" fontId="6" fillId="5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Alignment="1"/>
    <xf numFmtId="0" fontId="6" fillId="6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7" fillId="6" borderId="0" xfId="0" applyFont="1" applyFill="1" applyAlignment="1">
      <alignment horizontal="left" vertical="center"/>
    </xf>
    <xf numFmtId="0" fontId="0" fillId="7" borderId="0" xfId="0" applyFill="1" applyAlignment="1">
      <alignment horizontal="left"/>
    </xf>
    <xf numFmtId="0" fontId="7" fillId="7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5" fillId="9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1" fillId="10" borderId="0" xfId="0" applyFont="1" applyFill="1">
      <alignment vertical="center"/>
    </xf>
    <xf numFmtId="0" fontId="1" fillId="8" borderId="0" xfId="0" applyFont="1" applyFill="1">
      <alignment vertical="center"/>
    </xf>
    <xf numFmtId="0" fontId="7" fillId="0" borderId="0" xfId="49" applyFont="1" applyAlignment="1">
      <alignment vertical="center" wrapText="1"/>
    </xf>
    <xf numFmtId="0" fontId="1" fillId="0" borderId="0" xfId="49" applyFont="1">
      <alignment vertical="center"/>
    </xf>
    <xf numFmtId="0" fontId="0" fillId="0" borderId="0" xfId="0" applyAlignment="1"/>
    <xf numFmtId="0" fontId="7" fillId="0" borderId="0" xfId="49" applyFont="1">
      <alignment vertical="center"/>
    </xf>
    <xf numFmtId="0" fontId="1" fillId="0" borderId="0" xfId="49" applyFont="1" applyAlignment="1">
      <alignment vertical="center" wrapText="1"/>
    </xf>
    <xf numFmtId="0" fontId="1" fillId="0" borderId="0" xfId="49" applyFont="1" applyBorder="1">
      <alignment vertical="center"/>
    </xf>
    <xf numFmtId="0" fontId="1" fillId="0" borderId="0" xfId="49" applyFont="1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49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1" fillId="11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9" borderId="1" xfId="0" applyFill="1" applyBorder="1">
      <alignment vertical="center"/>
    </xf>
    <xf numFmtId="0" fontId="1" fillId="0" borderId="0" xfId="49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49" applyFont="1" applyBorder="1">
      <alignment vertical="center"/>
    </xf>
    <xf numFmtId="0" fontId="8" fillId="0" borderId="0" xfId="49" applyFo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5" borderId="0" xfId="0" applyFont="1" applyFill="1">
      <alignment vertical="center"/>
    </xf>
    <xf numFmtId="0" fontId="1" fillId="11" borderId="0" xfId="0" applyFont="1" applyFill="1">
      <alignment vertical="center"/>
    </xf>
    <xf numFmtId="0" fontId="8" fillId="0" borderId="0" xfId="0" applyFont="1">
      <alignment vertical="center"/>
    </xf>
    <xf numFmtId="0" fontId="1" fillId="0" borderId="0" xfId="0" applyFont="1" applyFill="1" applyAlignment="1"/>
    <xf numFmtId="0" fontId="0" fillId="0" borderId="0" xfId="49" applyFont="1" applyFill="1" applyAlignment="1">
      <alignment vertical="center"/>
    </xf>
    <xf numFmtId="0" fontId="0" fillId="5" borderId="0" xfId="49" applyFont="1" applyFill="1" applyAlignment="1">
      <alignment vertical="center" wrapText="1"/>
    </xf>
    <xf numFmtId="0" fontId="0" fillId="5" borderId="0" xfId="49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1" fillId="0" borderId="0" xfId="49" applyFont="1" applyFill="1" applyBorder="1" applyAlignment="1">
      <alignment vertical="center"/>
    </xf>
    <xf numFmtId="0" fontId="1" fillId="0" borderId="0" xfId="0" applyFont="1" applyFill="1" applyBorder="1" applyAlignment="1"/>
    <xf numFmtId="0" fontId="7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0" fillId="2" borderId="0" xfId="49" applyFont="1" applyFill="1" applyAlignment="1">
      <alignment vertical="center"/>
    </xf>
    <xf numFmtId="0" fontId="1" fillId="5" borderId="0" xfId="0" applyFont="1" applyFill="1">
      <alignment vertical="center"/>
    </xf>
    <xf numFmtId="0" fontId="1" fillId="0" borderId="1" xfId="0" applyFont="1" applyFill="1" applyBorder="1">
      <alignment vertical="center"/>
    </xf>
    <xf numFmtId="0" fontId="1" fillId="12" borderId="0" xfId="0" applyFont="1" applyFill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49" applyFont="1" applyFill="1" applyBorder="1">
      <alignment vertical="center"/>
    </xf>
    <xf numFmtId="0" fontId="9" fillId="0" borderId="0" xfId="0" applyFont="1">
      <alignment vertical="center"/>
    </xf>
    <xf numFmtId="0" fontId="1" fillId="12" borderId="0" xfId="0" applyFont="1" applyFill="1" applyBorder="1" applyAlignment="1"/>
    <xf numFmtId="0" fontId="1" fillId="12" borderId="0" xfId="0" applyFont="1" applyFill="1" applyBorder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1" xfId="49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10" fillId="0" borderId="0" xfId="0" applyFont="1" applyFill="1" applyAlignment="1">
      <alignment horizontal="justify" vertical="center"/>
    </xf>
    <xf numFmtId="0" fontId="1" fillId="0" borderId="1" xfId="0" applyFont="1" applyFill="1" applyBorder="1" applyAlignment="1"/>
    <xf numFmtId="0" fontId="0" fillId="0" borderId="1" xfId="0" applyFill="1" applyBorder="1" applyAlignment="1"/>
    <xf numFmtId="0" fontId="1" fillId="13" borderId="1" xfId="0" applyFont="1" applyFill="1" applyBorder="1" applyAlignment="1">
      <alignment horizontal="center"/>
    </xf>
    <xf numFmtId="0" fontId="1" fillId="13" borderId="0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 vertical="center" wrapText="1"/>
    </xf>
    <xf numFmtId="0" fontId="1" fillId="13" borderId="0" xfId="0" applyFont="1" applyFill="1" applyAlignment="1">
      <alignment horizontal="center"/>
    </xf>
    <xf numFmtId="0" fontId="11" fillId="0" borderId="0" xfId="0" applyFont="1" applyFill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12" fillId="0" borderId="0" xfId="0" applyFont="1" applyFill="1">
      <alignment vertical="center"/>
    </xf>
    <xf numFmtId="0" fontId="8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49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1" fillId="13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13" borderId="1" xfId="0" applyFont="1" applyFill="1" applyBorder="1">
      <alignment vertical="center"/>
    </xf>
    <xf numFmtId="0" fontId="1" fillId="14" borderId="0" xfId="0" applyFont="1" applyFill="1" applyAlignment="1">
      <alignment vertical="center" wrapText="1"/>
    </xf>
    <xf numFmtId="0" fontId="1" fillId="14" borderId="0" xfId="0" applyFont="1" applyFill="1">
      <alignment vertical="center"/>
    </xf>
    <xf numFmtId="0" fontId="13" fillId="0" borderId="1" xfId="0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0" fillId="12" borderId="1" xfId="0" applyFill="1" applyBorder="1" applyAlignment="1">
      <alignment horizontal="center" vertical="center"/>
    </xf>
    <xf numFmtId="0" fontId="0" fillId="0" borderId="0" xfId="0" applyFont="1" applyFill="1" applyAlignment="1"/>
    <xf numFmtId="0" fontId="0" fillId="1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8" fillId="0" borderId="0" xfId="0" applyFont="1" applyFill="1">
      <alignment vertical="center"/>
    </xf>
    <xf numFmtId="0" fontId="8" fillId="0" borderId="0" xfId="0" applyFont="1" applyFill="1" applyAlignment="1">
      <alignment vertical="center"/>
    </xf>
    <xf numFmtId="0" fontId="0" fillId="15" borderId="0" xfId="0" applyFill="1">
      <alignment vertical="center"/>
    </xf>
    <xf numFmtId="0" fontId="0" fillId="5" borderId="0" xfId="0" applyFill="1">
      <alignment vertical="center"/>
    </xf>
    <xf numFmtId="0" fontId="1" fillId="0" borderId="0" xfId="49" applyFont="1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0" fillId="16" borderId="1" xfId="0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 applyProtection="1">
      <alignment vertical="center"/>
    </xf>
    <xf numFmtId="0" fontId="0" fillId="16" borderId="0" xfId="0" applyFill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/>
    <xf numFmtId="0" fontId="15" fillId="0" borderId="0" xfId="0" applyNumberFormat="1" applyFont="1" applyFill="1" applyAlignment="1" applyProtection="1"/>
    <xf numFmtId="0" fontId="1" fillId="0" borderId="0" xfId="0" applyFont="1" applyFill="1" applyBorder="1" applyAlignment="1">
      <alignment vertical="center"/>
    </xf>
    <xf numFmtId="0" fontId="8" fillId="17" borderId="0" xfId="0" applyFont="1" applyFill="1" applyAlignment="1">
      <alignment vertical="center" wrapText="1"/>
    </xf>
    <xf numFmtId="0" fontId="16" fillId="0" borderId="0" xfId="0" applyNumberFormat="1" applyFont="1" applyFill="1" applyBorder="1" applyAlignment="1" applyProtection="1">
      <alignment vertical="center"/>
    </xf>
    <xf numFmtId="0" fontId="16" fillId="0" borderId="0" xfId="0" applyNumberFormat="1" applyFont="1" applyFill="1" applyAlignment="1" applyProtection="1">
      <alignment vertical="center"/>
    </xf>
    <xf numFmtId="0" fontId="1" fillId="2" borderId="0" xfId="49" applyFont="1" applyFill="1" applyAlignment="1">
      <alignment vertical="center"/>
    </xf>
    <xf numFmtId="0" fontId="1" fillId="2" borderId="0" xfId="49" applyFont="1" applyFill="1" applyAlignment="1">
      <alignment vertical="center" wrapText="1"/>
    </xf>
    <xf numFmtId="0" fontId="1" fillId="0" borderId="0" xfId="49" applyFont="1" applyFill="1" applyAlignment="1">
      <alignment vertical="center" wrapText="1"/>
    </xf>
    <xf numFmtId="0" fontId="1" fillId="12" borderId="0" xfId="49" applyFont="1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1" fillId="12" borderId="0" xfId="49" applyFont="1" applyFill="1" applyBorder="1" applyAlignment="1">
      <alignment vertical="center"/>
    </xf>
    <xf numFmtId="0" fontId="1" fillId="12" borderId="0" xfId="49" applyFont="1" applyFill="1" applyAlignment="1">
      <alignment vertical="center"/>
    </xf>
    <xf numFmtId="0" fontId="0" fillId="12" borderId="0" xfId="0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16" fillId="16" borderId="1" xfId="0" applyNumberFormat="1" applyFont="1" applyFill="1" applyBorder="1" applyAlignment="1" applyProtection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0" fontId="16" fillId="16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  <xf numFmtId="0" fontId="0" fillId="13" borderId="0" xfId="0" applyFill="1">
      <alignment vertical="center"/>
    </xf>
    <xf numFmtId="0" fontId="17" fillId="0" borderId="0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16" fillId="0" borderId="0" xfId="0" applyNumberFormat="1" applyFont="1" applyFill="1" applyBorder="1" applyAlignment="1" applyProtection="1">
      <alignment vertical="center" wrapText="1"/>
    </xf>
    <xf numFmtId="0" fontId="16" fillId="0" borderId="0" xfId="0" applyNumberFormat="1" applyFont="1" applyFill="1" applyAlignment="1" applyProtection="1">
      <alignment vertical="center" wrapText="1"/>
    </xf>
    <xf numFmtId="0" fontId="1" fillId="12" borderId="0" xfId="0" applyFont="1" applyFill="1" applyBorder="1">
      <alignment vertical="center"/>
    </xf>
    <xf numFmtId="0" fontId="18" fillId="19" borderId="1" xfId="0" applyNumberFormat="1" applyFont="1" applyFill="1" applyBorder="1" applyAlignment="1">
      <alignment horizontal="center" vertical="center"/>
    </xf>
    <xf numFmtId="0" fontId="16" fillId="0" borderId="2" xfId="0" applyNumberFormat="1" applyFont="1" applyFill="1" applyBorder="1" applyAlignment="1" applyProtection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1" fillId="2" borderId="0" xfId="49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Border="1">
      <alignment vertical="center"/>
    </xf>
    <xf numFmtId="0" fontId="0" fillId="20" borderId="1" xfId="0" applyFill="1" applyBorder="1" applyAlignment="1">
      <alignment vertical="center"/>
    </xf>
    <xf numFmtId="0" fontId="18" fillId="0" borderId="0" xfId="0" applyFo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51" applyFont="1">
      <alignment vertical="center"/>
    </xf>
    <xf numFmtId="0" fontId="1" fillId="0" borderId="0" xfId="51" applyFont="1" applyAlignment="1">
      <alignment vertical="center" wrapText="1"/>
    </xf>
    <xf numFmtId="0" fontId="0" fillId="0" borderId="0" xfId="0" applyAlignment="1">
      <alignment vertical="center"/>
    </xf>
    <xf numFmtId="0" fontId="1" fillId="13" borderId="0" xfId="0" applyFont="1" applyFill="1">
      <alignment vertical="center"/>
    </xf>
    <xf numFmtId="0" fontId="1" fillId="21" borderId="0" xfId="0" applyFont="1" applyFill="1">
      <alignment vertical="center"/>
    </xf>
    <xf numFmtId="0" fontId="7" fillId="0" borderId="0" xfId="49" applyFont="1" applyFill="1" applyAlignment="1">
      <alignment vertical="center" wrapText="1"/>
    </xf>
    <xf numFmtId="0" fontId="1" fillId="12" borderId="0" xfId="0" applyFont="1" applyFill="1" applyAlignment="1">
      <alignment vertical="center" wrapText="1"/>
    </xf>
    <xf numFmtId="0" fontId="1" fillId="12" borderId="0" xfId="49" applyFont="1" applyFill="1">
      <alignment vertical="center"/>
    </xf>
    <xf numFmtId="176" fontId="1" fillId="0" borderId="0" xfId="49" applyNumberFormat="1" applyFont="1">
      <alignment vertical="center"/>
    </xf>
    <xf numFmtId="0" fontId="1" fillId="13" borderId="0" xfId="0" applyFont="1" applyFill="1" applyAlignment="1"/>
    <xf numFmtId="0" fontId="1" fillId="21" borderId="0" xfId="0" applyFont="1" applyFill="1" applyAlignment="1"/>
    <xf numFmtId="0" fontId="1" fillId="5" borderId="0" xfId="51" applyFont="1" applyFill="1">
      <alignment vertical="center"/>
    </xf>
    <xf numFmtId="0" fontId="0" fillId="5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9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1" fillId="2" borderId="0" xfId="49" applyFont="1" applyFill="1" applyAlignment="1">
      <alignment horizontal="left" vertical="center"/>
    </xf>
    <xf numFmtId="0" fontId="20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21" fillId="0" borderId="0" xfId="0" applyFont="1">
      <alignment vertical="center"/>
    </xf>
    <xf numFmtId="0" fontId="1" fillId="2" borderId="0" xfId="0" applyFont="1" applyFill="1">
      <alignment vertical="center"/>
    </xf>
    <xf numFmtId="0" fontId="17" fillId="2" borderId="0" xfId="0" applyFont="1" applyFill="1" applyBorder="1" applyAlignment="1">
      <alignment vertical="center"/>
    </xf>
    <xf numFmtId="0" fontId="22" fillId="2" borderId="0" xfId="0" applyFont="1" applyFill="1">
      <alignment vertical="center"/>
    </xf>
    <xf numFmtId="0" fontId="21" fillId="2" borderId="0" xfId="0" applyFont="1" applyFill="1">
      <alignment vertical="center"/>
    </xf>
    <xf numFmtId="0" fontId="22" fillId="0" borderId="0" xfId="0" applyFont="1" applyFill="1">
      <alignment vertical="center"/>
    </xf>
    <xf numFmtId="0" fontId="5" fillId="2" borderId="0" xfId="0" applyFont="1" applyFill="1">
      <alignment vertical="center"/>
    </xf>
    <xf numFmtId="0" fontId="7" fillId="2" borderId="0" xfId="49" applyFont="1" applyFill="1" applyAlignment="1">
      <alignment vertical="center" wrapText="1"/>
    </xf>
    <xf numFmtId="0" fontId="0" fillId="2" borderId="0" xfId="0" applyFont="1" applyFill="1" applyAlignment="1"/>
    <xf numFmtId="0" fontId="0" fillId="2" borderId="0" xfId="0" applyFill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6" fillId="22" borderId="1" xfId="0" applyNumberFormat="1" applyFont="1" applyFill="1" applyBorder="1" applyAlignment="1" applyProtection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16" fillId="22" borderId="1" xfId="0" applyNumberFormat="1" applyFont="1" applyFill="1" applyBorder="1" applyAlignment="1" applyProtection="1">
      <alignment horizontal="center" vertical="center"/>
    </xf>
    <xf numFmtId="0" fontId="7" fillId="2" borderId="0" xfId="0" applyFont="1" applyFill="1" applyAlignment="1">
      <alignment vertical="center" wrapText="1"/>
    </xf>
    <xf numFmtId="0" fontId="16" fillId="5" borderId="0" xfId="0" applyNumberFormat="1" applyFont="1" applyFill="1" applyBorder="1" applyAlignment="1" applyProtection="1">
      <alignment vertical="center" wrapText="1"/>
    </xf>
    <xf numFmtId="0" fontId="7" fillId="0" borderId="0" xfId="0" applyFont="1" applyFill="1" applyAlignment="1">
      <alignment vertical="center" wrapText="1"/>
    </xf>
    <xf numFmtId="0" fontId="5" fillId="0" borderId="0" xfId="0" applyFont="1">
      <alignment vertical="center"/>
    </xf>
    <xf numFmtId="0" fontId="23" fillId="0" borderId="0" xfId="0" applyFont="1">
      <alignment vertical="center"/>
    </xf>
    <xf numFmtId="0" fontId="0" fillId="2" borderId="0" xfId="0" applyFill="1" applyAlignment="1"/>
    <xf numFmtId="0" fontId="7" fillId="0" borderId="0" xfId="0" applyFont="1" applyFill="1">
      <alignment vertical="center"/>
    </xf>
    <xf numFmtId="0" fontId="18" fillId="0" borderId="0" xfId="0" applyFont="1" applyFill="1" applyAlignment="1">
      <alignment vertical="center" wrapText="1"/>
    </xf>
    <xf numFmtId="0" fontId="1" fillId="2" borderId="0" xfId="0" applyFont="1" applyFill="1" applyAlignment="1"/>
    <xf numFmtId="0" fontId="0" fillId="12" borderId="0" xfId="0" applyFont="1" applyFill="1" applyAlignment="1">
      <alignment vertical="center" wrapText="1"/>
    </xf>
    <xf numFmtId="0" fontId="7" fillId="2" borderId="0" xfId="50" applyFont="1" applyFill="1" applyAlignment="1">
      <alignment vertical="center" wrapText="1"/>
    </xf>
    <xf numFmtId="0" fontId="19" fillId="2" borderId="0" xfId="0" applyFont="1" applyFill="1">
      <alignment vertical="center"/>
    </xf>
    <xf numFmtId="0" fontId="24" fillId="2" borderId="0" xfId="0" applyFont="1" applyFill="1" applyAlignment="1">
      <alignment horizontal="justify"/>
    </xf>
    <xf numFmtId="0" fontId="7" fillId="0" borderId="0" xfId="50" applyFont="1" applyFill="1" applyAlignment="1">
      <alignment vertical="center" wrapText="1"/>
    </xf>
    <xf numFmtId="0" fontId="10" fillId="0" borderId="0" xfId="0" applyFont="1" applyFill="1" applyAlignment="1">
      <alignment horizontal="justify"/>
    </xf>
    <xf numFmtId="0" fontId="2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7" fillId="23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25" fillId="24" borderId="3" xfId="22" applyFont="1" applyFill="1" applyBorder="1">
      <alignment vertical="center"/>
    </xf>
    <xf numFmtId="0" fontId="25" fillId="24" borderId="3" xfId="23" applyFont="1" applyFill="1" applyBorder="1" applyAlignment="1">
      <alignment vertical="center" wrapText="1"/>
    </xf>
    <xf numFmtId="0" fontId="26" fillId="25" borderId="3" xfId="23" applyFont="1" applyFill="1" applyBorder="1" applyAlignment="1">
      <alignment vertical="center" wrapText="1"/>
    </xf>
    <xf numFmtId="0" fontId="27" fillId="26" borderId="3" xfId="24" applyFont="1" applyFill="1" applyBorder="1" applyAlignment="1">
      <alignment vertical="center" wrapText="1"/>
    </xf>
    <xf numFmtId="0" fontId="27" fillId="26" borderId="3" xfId="24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Alignment="1">
      <alignment horizontal="right" vertical="center"/>
    </xf>
    <xf numFmtId="0" fontId="1" fillId="0" borderId="1" xfId="49" applyFont="1" applyFill="1" applyBorder="1">
      <alignment vertical="center"/>
    </xf>
    <xf numFmtId="0" fontId="1" fillId="0" borderId="0" xfId="49" applyFont="1" applyFill="1" applyBorder="1">
      <alignment vertical="center"/>
    </xf>
    <xf numFmtId="0" fontId="1" fillId="0" borderId="0" xfId="49" applyFont="1" applyFill="1">
      <alignment vertical="center"/>
    </xf>
    <xf numFmtId="0" fontId="1" fillId="0" borderId="0" xfId="49" applyFont="1" applyFill="1" applyAlignment="1">
      <alignment horizontal="center" vertical="center"/>
    </xf>
    <xf numFmtId="0" fontId="1" fillId="0" borderId="0" xfId="49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right" vertical="center"/>
    </xf>
    <xf numFmtId="0" fontId="0" fillId="0" borderId="1" xfId="51" applyFont="1" applyFill="1" applyBorder="1">
      <alignment vertical="center"/>
    </xf>
    <xf numFmtId="0" fontId="0" fillId="0" borderId="0" xfId="51" applyFont="1" applyFill="1" applyBorder="1">
      <alignment vertical="center"/>
    </xf>
    <xf numFmtId="0" fontId="0" fillId="0" borderId="0" xfId="51" applyFont="1" applyFill="1">
      <alignment vertical="center"/>
    </xf>
    <xf numFmtId="0" fontId="0" fillId="5" borderId="1" xfId="51" applyFont="1" applyFill="1" applyBorder="1">
      <alignment vertical="center"/>
    </xf>
    <xf numFmtId="0" fontId="0" fillId="5" borderId="0" xfId="51" applyFont="1" applyFill="1" applyBorder="1">
      <alignment vertical="center"/>
    </xf>
    <xf numFmtId="0" fontId="0" fillId="5" borderId="0" xfId="51" applyFont="1" applyFill="1">
      <alignment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49" applyFill="1">
      <alignment vertical="center"/>
    </xf>
    <xf numFmtId="0" fontId="8" fillId="0" borderId="0" xfId="0" applyFont="1" applyAlignment="1">
      <alignment vertical="center" wrapText="1"/>
    </xf>
    <xf numFmtId="0" fontId="1" fillId="17" borderId="0" xfId="49" applyFont="1" applyFill="1" applyAlignment="1">
      <alignment vertical="center" wrapText="1"/>
    </xf>
    <xf numFmtId="0" fontId="1" fillId="17" borderId="0" xfId="0" applyFont="1" applyFill="1" applyAlignment="1">
      <alignment vertical="center" wrapText="1"/>
    </xf>
    <xf numFmtId="0" fontId="1" fillId="27" borderId="0" xfId="0" applyFont="1" applyFill="1" applyAlignment="1">
      <alignment vertical="center" wrapText="1"/>
    </xf>
    <xf numFmtId="0" fontId="1" fillId="27" borderId="0" xfId="49" applyFont="1" applyFill="1" applyAlignment="1">
      <alignment vertical="center" wrapText="1"/>
    </xf>
    <xf numFmtId="0" fontId="8" fillId="0" borderId="0" xfId="49" applyFont="1" applyFill="1" applyAlignment="1">
      <alignment vertical="center"/>
    </xf>
    <xf numFmtId="0" fontId="0" fillId="16" borderId="1" xfId="0" applyFill="1" applyBorder="1" applyAlignment="1">
      <alignment horizontal="left" vertical="center" wrapText="1"/>
    </xf>
    <xf numFmtId="0" fontId="15" fillId="0" borderId="0" xfId="0" applyFont="1" applyFill="1" applyBorder="1" applyAlignment="1">
      <alignment vertical="center" wrapText="1"/>
    </xf>
    <xf numFmtId="0" fontId="0" fillId="16" borderId="0" xfId="0" applyFill="1" applyBorder="1" applyAlignment="1">
      <alignment horizontal="left" vertical="center" wrapText="1"/>
    </xf>
    <xf numFmtId="0" fontId="5" fillId="0" borderId="0" xfId="0" applyFont="1" applyAlignment="1"/>
    <xf numFmtId="0" fontId="0" fillId="0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6" fillId="12" borderId="0" xfId="0" applyNumberFormat="1" applyFont="1" applyFill="1" applyBorder="1" applyAlignment="1" applyProtection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12" borderId="0" xfId="0" applyFont="1" applyFill="1">
      <alignment vertical="center"/>
    </xf>
    <xf numFmtId="0" fontId="0" fillId="0" borderId="0" xfId="0" applyFont="1">
      <alignment vertical="center"/>
    </xf>
    <xf numFmtId="0" fontId="1" fillId="5" borderId="0" xfId="49" applyFont="1" applyFill="1" applyAlignment="1">
      <alignment vertical="center"/>
    </xf>
    <xf numFmtId="0" fontId="15" fillId="0" borderId="0" xfId="0" applyNumberFormat="1" applyFont="1" applyFill="1" applyAlignment="1" applyProtection="1">
      <alignment vertical="center"/>
    </xf>
    <xf numFmtId="0" fontId="1" fillId="5" borderId="0" xfId="49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16" fillId="18" borderId="0" xfId="0" applyNumberFormat="1" applyFont="1" applyFill="1" applyBorder="1" applyAlignment="1" applyProtection="1">
      <alignment vertical="center"/>
    </xf>
    <xf numFmtId="0" fontId="16" fillId="5" borderId="0" xfId="0" applyNumberFormat="1" applyFont="1" applyFill="1" applyBorder="1" applyAlignment="1" applyProtection="1">
      <alignment vertical="center"/>
    </xf>
    <xf numFmtId="0" fontId="16" fillId="13" borderId="0" xfId="0" applyNumberFormat="1" applyFont="1" applyFill="1" applyBorder="1" applyAlignment="1" applyProtection="1">
      <alignment vertical="center" wrapText="1"/>
    </xf>
    <xf numFmtId="0" fontId="1" fillId="13" borderId="0" xfId="49" applyFont="1" applyFill="1" applyAlignment="1">
      <alignment vertical="center"/>
    </xf>
    <xf numFmtId="0" fontId="7" fillId="13" borderId="0" xfId="0" applyFont="1" applyFill="1">
      <alignment vertical="center"/>
    </xf>
    <xf numFmtId="0" fontId="1" fillId="13" borderId="0" xfId="49" applyFont="1" applyFill="1" applyAlignment="1">
      <alignment vertical="center" wrapText="1"/>
    </xf>
    <xf numFmtId="0" fontId="7" fillId="12" borderId="0" xfId="0" applyFont="1" applyFill="1">
      <alignment vertical="center"/>
    </xf>
    <xf numFmtId="0" fontId="15" fillId="13" borderId="0" xfId="0" applyNumberFormat="1" applyFont="1" applyFill="1" applyBorder="1" applyAlignment="1" applyProtection="1">
      <alignment vertical="center"/>
    </xf>
    <xf numFmtId="0" fontId="8" fillId="0" borderId="0" xfId="49" applyFont="1" applyFill="1" applyAlignment="1">
      <alignment vertical="center" wrapText="1"/>
    </xf>
    <xf numFmtId="0" fontId="15" fillId="12" borderId="0" xfId="0" applyNumberFormat="1" applyFont="1" applyFill="1" applyBorder="1" applyAlignment="1" applyProtection="1">
      <alignment vertical="center"/>
    </xf>
    <xf numFmtId="0" fontId="15" fillId="12" borderId="0" xfId="0" applyNumberFormat="1" applyFont="1" applyFill="1" applyAlignment="1" applyProtection="1">
      <alignment vertical="center"/>
    </xf>
    <xf numFmtId="0" fontId="5" fillId="12" borderId="0" xfId="0" applyFont="1" applyFill="1" applyAlignment="1"/>
    <xf numFmtId="0" fontId="0" fillId="12" borderId="1" xfId="0" applyFill="1" applyBorder="1" applyAlignment="1">
      <alignment vertical="center" wrapText="1"/>
    </xf>
    <xf numFmtId="0" fontId="5" fillId="28" borderId="0" xfId="0" applyFont="1" applyFill="1" applyAlignment="1"/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>
      <alignment vertical="center"/>
    </xf>
    <xf numFmtId="0" fontId="8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left" vertical="center"/>
    </xf>
    <xf numFmtId="0" fontId="28" fillId="25" borderId="0" xfId="0" applyNumberFormat="1" applyFont="1" applyFill="1" applyBorder="1" applyAlignment="1" applyProtection="1">
      <alignment vertical="center" wrapText="1"/>
    </xf>
    <xf numFmtId="0" fontId="15" fillId="0" borderId="0" xfId="0" applyNumberFormat="1" applyFont="1" applyFill="1" applyBorder="1" applyAlignment="1" applyProtection="1">
      <alignment horizontal="left" vertical="center" wrapText="1"/>
    </xf>
    <xf numFmtId="0" fontId="15" fillId="0" borderId="0" xfId="0" applyNumberFormat="1" applyFont="1" applyFill="1" applyBorder="1" applyAlignment="1" applyProtection="1">
      <alignment vertical="center" wrapText="1"/>
    </xf>
    <xf numFmtId="0" fontId="28" fillId="25" borderId="0" xfId="0" applyNumberFormat="1" applyFont="1" applyFill="1" applyBorder="1" applyAlignment="1" applyProtection="1">
      <alignment vertical="center"/>
    </xf>
    <xf numFmtId="0" fontId="29" fillId="0" borderId="0" xfId="0" applyNumberFormat="1" applyFont="1" applyFill="1" applyBorder="1" applyAlignment="1" applyProtection="1">
      <alignment vertical="center"/>
    </xf>
    <xf numFmtId="0" fontId="15" fillId="4" borderId="0" xfId="0" applyNumberFormat="1" applyFont="1" applyFill="1" applyBorder="1" applyAlignment="1" applyProtection="1">
      <alignment vertical="center"/>
    </xf>
    <xf numFmtId="0" fontId="29" fillId="4" borderId="0" xfId="0" applyNumberFormat="1" applyFont="1" applyFill="1" applyBorder="1" applyAlignment="1" applyProtection="1">
      <alignment vertical="center"/>
    </xf>
    <xf numFmtId="0" fontId="15" fillId="4" borderId="0" xfId="0" applyNumberFormat="1" applyFont="1" applyFill="1" applyBorder="1" applyAlignment="1" applyProtection="1"/>
    <xf numFmtId="0" fontId="30" fillId="13" borderId="0" xfId="0" applyFont="1" applyFill="1">
      <alignment vertical="center"/>
    </xf>
    <xf numFmtId="0" fontId="5" fillId="13" borderId="0" xfId="0" applyFont="1" applyFill="1">
      <alignment vertical="center"/>
    </xf>
    <xf numFmtId="0" fontId="5" fillId="12" borderId="0" xfId="0" applyFont="1" applyFill="1">
      <alignment vertical="center"/>
    </xf>
    <xf numFmtId="0" fontId="15" fillId="0" borderId="0" xfId="0" applyNumberFormat="1" applyFont="1" applyFill="1" applyBorder="1" applyAlignment="1" applyProtection="1">
      <alignment wrapText="1"/>
    </xf>
    <xf numFmtId="0" fontId="31" fillId="0" borderId="0" xfId="0" applyNumberFormat="1" applyFont="1" applyFill="1" applyBorder="1" applyAlignment="1" applyProtection="1">
      <alignment vertical="center" wrapText="1"/>
    </xf>
    <xf numFmtId="0" fontId="32" fillId="0" borderId="0" xfId="0" applyFont="1" applyFill="1" applyBorder="1" applyAlignment="1">
      <alignment vertical="center" wrapText="1"/>
    </xf>
    <xf numFmtId="0" fontId="32" fillId="13" borderId="0" xfId="0" applyFont="1" applyFill="1" applyBorder="1" applyAlignment="1">
      <alignment vertical="center" wrapText="1"/>
    </xf>
    <xf numFmtId="0" fontId="32" fillId="12" borderId="0" xfId="0" applyFont="1" applyFill="1" applyBorder="1" applyAlignment="1">
      <alignment vertical="center" wrapText="1"/>
    </xf>
    <xf numFmtId="0" fontId="15" fillId="4" borderId="0" xfId="0" applyNumberFormat="1" applyFont="1" applyFill="1" applyBorder="1" applyAlignment="1" applyProtection="1">
      <alignment horizontal="left" vertical="center"/>
    </xf>
    <xf numFmtId="0" fontId="1" fillId="4" borderId="0" xfId="0" applyFont="1" applyFill="1">
      <alignment vertical="center"/>
    </xf>
    <xf numFmtId="0" fontId="1" fillId="4" borderId="0" xfId="0" applyFont="1" applyFill="1" applyBorder="1" applyAlignment="1">
      <alignment horizontal="left" vertical="center"/>
    </xf>
    <xf numFmtId="0" fontId="1" fillId="13" borderId="0" xfId="49" applyFont="1" applyFill="1">
      <alignment vertical="center"/>
    </xf>
    <xf numFmtId="0" fontId="0" fillId="13" borderId="0" xfId="49" applyFill="1">
      <alignment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5" fillId="5" borderId="0" xfId="0" applyFont="1" applyFill="1" applyAlignment="1"/>
    <xf numFmtId="0" fontId="0" fillId="29" borderId="0" xfId="0" applyFill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4" fillId="0" borderId="0" xfId="52" applyFont="1" applyAlignment="1">
      <alignment horizontal="center" vertical="center"/>
    </xf>
    <xf numFmtId="0" fontId="35" fillId="0" borderId="0" xfId="49" applyFont="1" applyFill="1" applyAlignment="1">
      <alignment vertical="center"/>
    </xf>
    <xf numFmtId="0" fontId="36" fillId="0" borderId="0" xfId="52" applyFont="1" applyAlignment="1">
      <alignment horizontal="center" vertical="center"/>
    </xf>
    <xf numFmtId="0" fontId="36" fillId="0" borderId="0" xfId="52" applyFont="1"/>
    <xf numFmtId="0" fontId="0" fillId="0" borderId="0" xfId="51" applyFont="1" applyFill="1" applyAlignment="1">
      <alignment vertical="center"/>
    </xf>
    <xf numFmtId="0" fontId="34" fillId="0" borderId="0" xfId="52" applyFont="1" applyAlignment="1">
      <alignment horizontal="left" vertical="center"/>
    </xf>
    <xf numFmtId="0" fontId="0" fillId="0" borderId="0" xfId="52"/>
    <xf numFmtId="0" fontId="34" fillId="0" borderId="4" xfId="52" applyFont="1" applyBorder="1" applyAlignment="1">
      <alignment horizontal="left" vertical="center"/>
    </xf>
    <xf numFmtId="0" fontId="37" fillId="0" borderId="1" xfId="6" applyFont="1" applyBorder="1" applyAlignment="1">
      <alignment horizontal="left" vertical="center"/>
    </xf>
    <xf numFmtId="0" fontId="34" fillId="0" borderId="1" xfId="52" applyFont="1" applyBorder="1" applyAlignment="1">
      <alignment horizontal="left" vertical="center"/>
    </xf>
    <xf numFmtId="0" fontId="34" fillId="0" borderId="5" xfId="52" applyFont="1" applyBorder="1" applyAlignment="1">
      <alignment horizontal="left" vertical="center"/>
    </xf>
    <xf numFmtId="0" fontId="0" fillId="0" borderId="1" xfId="51" applyFont="1" applyFill="1" applyBorder="1" applyAlignment="1">
      <alignment vertical="center"/>
    </xf>
    <xf numFmtId="0" fontId="34" fillId="0" borderId="6" xfId="52" applyFont="1" applyBorder="1" applyAlignment="1">
      <alignment horizontal="left" vertical="center"/>
    </xf>
    <xf numFmtId="0" fontId="0" fillId="0" borderId="1" xfId="49" applyFont="1" applyFill="1" applyBorder="1" applyAlignment="1">
      <alignment vertical="center"/>
    </xf>
    <xf numFmtId="0" fontId="38" fillId="0" borderId="0" xfId="51" applyFont="1" applyFill="1" applyAlignment="1">
      <alignment vertical="center"/>
    </xf>
    <xf numFmtId="0" fontId="0" fillId="0" borderId="6" xfId="51" applyFont="1" applyFill="1" applyBorder="1" applyAlignment="1">
      <alignment vertical="center"/>
    </xf>
    <xf numFmtId="0" fontId="5" fillId="0" borderId="0" xfId="51" applyFont="1" applyFill="1" applyAlignment="1">
      <alignment vertical="center" wrapText="1"/>
    </xf>
    <xf numFmtId="0" fontId="39" fillId="0" borderId="0" xfId="52" applyFont="1" applyAlignment="1">
      <alignment horizontal="left" vertical="center"/>
    </xf>
    <xf numFmtId="0" fontId="1" fillId="0" borderId="0" xfId="51" applyFont="1" applyFill="1" applyAlignment="1">
      <alignment vertical="center"/>
    </xf>
    <xf numFmtId="0" fontId="33" fillId="0" borderId="0" xfId="51" applyFont="1" applyFill="1" applyAlignment="1">
      <alignment vertical="center"/>
    </xf>
    <xf numFmtId="0" fontId="7" fillId="0" borderId="0" xfId="51" applyFont="1" applyFill="1" applyAlignment="1">
      <alignment vertical="center"/>
    </xf>
    <xf numFmtId="0" fontId="40" fillId="30" borderId="7" xfId="51" applyFont="1" applyFill="1" applyBorder="1" applyAlignment="1">
      <alignment vertical="center"/>
    </xf>
    <xf numFmtId="0" fontId="40" fillId="30" borderId="8" xfId="51" applyFont="1" applyFill="1" applyBorder="1" applyAlignment="1">
      <alignment vertical="center"/>
    </xf>
    <xf numFmtId="0" fontId="40" fillId="30" borderId="9" xfId="51" applyFont="1" applyFill="1" applyBorder="1" applyAlignment="1">
      <alignment vertical="center"/>
    </xf>
    <xf numFmtId="0" fontId="1" fillId="0" borderId="2" xfId="51" applyFont="1" applyFill="1" applyBorder="1" applyAlignment="1">
      <alignment vertical="center"/>
    </xf>
    <xf numFmtId="0" fontId="1" fillId="0" borderId="1" xfId="51" applyFont="1" applyFill="1" applyBorder="1" applyAlignment="1">
      <alignment vertical="center"/>
    </xf>
    <xf numFmtId="0" fontId="33" fillId="31" borderId="1" xfId="51" applyFont="1" applyFill="1" applyBorder="1" applyAlignment="1">
      <alignment vertical="center"/>
    </xf>
    <xf numFmtId="0" fontId="41" fillId="0" borderId="0" xfId="6" applyFont="1" applyFill="1" applyAlignment="1"/>
    <xf numFmtId="0" fontId="42" fillId="0" borderId="0" xfId="6" applyFont="1" applyFill="1" applyAlignment="1"/>
    <xf numFmtId="0" fontId="43" fillId="0" borderId="10" xfId="6" applyFont="1" applyBorder="1">
      <alignment vertical="center"/>
    </xf>
    <xf numFmtId="0" fontId="44" fillId="0" borderId="10" xfId="6" applyBorder="1">
      <alignment vertical="center"/>
    </xf>
    <xf numFmtId="0" fontId="45" fillId="0" borderId="10" xfId="6" applyFont="1" applyBorder="1">
      <alignment vertical="center"/>
    </xf>
    <xf numFmtId="0" fontId="39" fillId="0" borderId="2" xfId="51" applyFont="1" applyFill="1" applyBorder="1" applyAlignment="1">
      <alignment vertical="center"/>
    </xf>
    <xf numFmtId="0" fontId="44" fillId="0" borderId="0" xfId="6" applyFill="1">
      <alignment vertical="center"/>
    </xf>
    <xf numFmtId="0" fontId="33" fillId="32" borderId="2" xfId="51" applyFont="1" applyFill="1" applyBorder="1" applyAlignment="1">
      <alignment vertical="center"/>
    </xf>
    <xf numFmtId="0" fontId="45" fillId="0" borderId="0" xfId="6" applyFont="1" applyFill="1">
      <alignment vertical="center"/>
    </xf>
    <xf numFmtId="0" fontId="33" fillId="32" borderId="11" xfId="51" applyFont="1" applyFill="1" applyBorder="1">
      <alignment vertical="center"/>
    </xf>
    <xf numFmtId="0" fontId="33" fillId="31" borderId="1" xfId="51" applyFont="1" applyFill="1" applyBorder="1">
      <alignment vertical="center"/>
    </xf>
    <xf numFmtId="0" fontId="44" fillId="0" borderId="0" xfId="6">
      <alignment vertical="center"/>
    </xf>
    <xf numFmtId="0" fontId="42" fillId="32" borderId="10" xfId="6" applyFont="1" applyFill="1" applyBorder="1">
      <alignment vertical="center"/>
    </xf>
    <xf numFmtId="0" fontId="42" fillId="32" borderId="10" xfId="6" applyNumberFormat="1" applyFont="1" applyFill="1" applyBorder="1" applyAlignment="1" applyProtection="1">
      <alignment vertical="center"/>
    </xf>
    <xf numFmtId="0" fontId="46" fillId="0" borderId="0" xfId="0" applyFont="1" applyAlignment="1">
      <alignment horizontal="justify"/>
    </xf>
    <xf numFmtId="0" fontId="45" fillId="32" borderId="10" xfId="6" applyNumberFormat="1" applyFont="1" applyFill="1" applyBorder="1" applyAlignment="1" applyProtection="1">
      <alignment vertical="center"/>
    </xf>
    <xf numFmtId="0" fontId="47" fillId="0" borderId="0" xfId="0" applyFont="1" applyAlignment="1">
      <alignment horizontal="justify"/>
    </xf>
    <xf numFmtId="0" fontId="48" fillId="0" borderId="1" xfId="51" applyFont="1" applyFill="1" applyBorder="1" applyAlignment="1">
      <alignment vertical="center"/>
    </xf>
    <xf numFmtId="0" fontId="49" fillId="31" borderId="1" xfId="51" applyFont="1" applyFill="1" applyBorder="1">
      <alignment vertical="center"/>
    </xf>
    <xf numFmtId="0" fontId="39" fillId="33" borderId="2" xfId="51" applyFont="1" applyFill="1" applyBorder="1" applyAlignment="1">
      <alignment vertical="center"/>
    </xf>
    <xf numFmtId="0" fontId="44" fillId="32" borderId="10" xfId="6" applyNumberFormat="1" applyFill="1" applyBorder="1" applyAlignment="1" applyProtection="1">
      <alignment vertical="center"/>
    </xf>
    <xf numFmtId="0" fontId="39" fillId="0" borderId="11" xfId="51" applyFont="1" applyFill="1" applyBorder="1" applyAlignment="1">
      <alignment vertical="center"/>
    </xf>
    <xf numFmtId="0" fontId="1" fillId="0" borderId="11" xfId="51" applyFont="1" applyFill="1" applyBorder="1" applyAlignment="1">
      <alignment vertical="center"/>
    </xf>
    <xf numFmtId="0" fontId="50" fillId="32" borderId="10" xfId="6" applyNumberFormat="1" applyFont="1" applyFill="1" applyBorder="1" applyAlignment="1" applyProtection="1">
      <alignment vertical="center"/>
    </xf>
    <xf numFmtId="0" fontId="33" fillId="32" borderId="11" xfId="51" applyFont="1" applyFill="1" applyBorder="1" applyAlignment="1">
      <alignment vertical="center"/>
    </xf>
    <xf numFmtId="0" fontId="42" fillId="32" borderId="0" xfId="51" applyFont="1" applyFill="1" applyAlignment="1">
      <alignment vertical="center"/>
    </xf>
    <xf numFmtId="0" fontId="39" fillId="32" borderId="2" xfId="51" applyFont="1" applyFill="1" applyBorder="1" applyAlignment="1">
      <alignment vertical="center"/>
    </xf>
    <xf numFmtId="0" fontId="39" fillId="32" borderId="1" xfId="51" applyFont="1" applyFill="1" applyBorder="1" applyAlignment="1">
      <alignment vertical="center"/>
    </xf>
    <xf numFmtId="0" fontId="33" fillId="32" borderId="1" xfId="51" applyFont="1" applyFill="1" applyBorder="1" applyAlignment="1">
      <alignment vertical="center"/>
    </xf>
    <xf numFmtId="0" fontId="39" fillId="31" borderId="11" xfId="51" applyFont="1" applyFill="1" applyBorder="1" applyAlignment="1">
      <alignment vertical="center"/>
    </xf>
    <xf numFmtId="0" fontId="42" fillId="0" borderId="10" xfId="6" applyFont="1" applyBorder="1">
      <alignment vertical="center"/>
    </xf>
    <xf numFmtId="0" fontId="46" fillId="0" borderId="0" xfId="51" applyFont="1" applyFill="1" applyAlignment="1">
      <alignment vertical="center"/>
    </xf>
    <xf numFmtId="0" fontId="33" fillId="31" borderId="11" xfId="51" applyFont="1" applyFill="1" applyBorder="1" applyAlignment="1">
      <alignment vertical="center"/>
    </xf>
    <xf numFmtId="0" fontId="43" fillId="0" borderId="0" xfId="6" applyFont="1">
      <alignment vertical="center"/>
    </xf>
    <xf numFmtId="0" fontId="39" fillId="34" borderId="11" xfId="51" applyFont="1" applyFill="1" applyBorder="1" applyAlignment="1">
      <alignment vertical="center"/>
    </xf>
    <xf numFmtId="0" fontId="39" fillId="34" borderId="0" xfId="51" applyFont="1" applyFill="1" applyAlignment="1">
      <alignment vertical="center"/>
    </xf>
    <xf numFmtId="0" fontId="42" fillId="34" borderId="0" xfId="6" applyFont="1" applyFill="1">
      <alignment vertical="center"/>
    </xf>
    <xf numFmtId="0" fontId="1" fillId="0" borderId="4" xfId="51" applyFont="1" applyFill="1" applyBorder="1" applyAlignment="1">
      <alignment vertical="center"/>
    </xf>
    <xf numFmtId="0" fontId="42" fillId="0" borderId="12" xfId="6" applyFont="1" applyBorder="1">
      <alignment vertical="center"/>
    </xf>
    <xf numFmtId="0" fontId="39" fillId="0" borderId="1" xfId="51" applyFont="1" applyFill="1" applyBorder="1" applyAlignment="1">
      <alignment vertical="center"/>
    </xf>
    <xf numFmtId="0" fontId="39" fillId="0" borderId="4" xfId="51" applyFont="1" applyFill="1" applyBorder="1" applyAlignment="1">
      <alignment vertical="center"/>
    </xf>
    <xf numFmtId="0" fontId="43" fillId="0" borderId="12" xfId="6" applyFont="1" applyBorder="1">
      <alignment vertical="center"/>
    </xf>
    <xf numFmtId="0" fontId="43" fillId="0" borderId="0" xfId="6" applyFont="1" applyFill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" xfId="49"/>
    <cellStyle name="常规 15 2" xfId="50"/>
    <cellStyle name="常规 2" xfId="51"/>
    <cellStyle name="常规 2 2" xfId="52"/>
  </cellStyles>
  <dxfs count="10">
    <dxf>
      <font>
        <name val="微软雅黑"/>
        <scheme val="none"/>
        <strike val="0"/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strike val="0"/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strike val="0"/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strike val="0"/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strike val="0"/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strike val="0"/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strike val="0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CCCCFF"/>
      <color rgb="009999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externalLink" Target="externalLinks/externalLink5.xml"/><Relationship Id="rId35" Type="http://schemas.openxmlformats.org/officeDocument/2006/relationships/externalLink" Target="externalLinks/externalLink4.xml"/><Relationship Id="rId34" Type="http://schemas.openxmlformats.org/officeDocument/2006/relationships/externalLink" Target="externalLinks/externalLink3.xml"/><Relationship Id="rId33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622935</xdr:colOff>
      <xdr:row>88</xdr:row>
      <xdr:rowOff>45720</xdr:rowOff>
    </xdr:from>
    <xdr:to>
      <xdr:col>17</xdr:col>
      <xdr:colOff>184150</xdr:colOff>
      <xdr:row>109</xdr:row>
      <xdr:rowOff>57785</xdr:rowOff>
    </xdr:to>
    <xdr:pic>
      <xdr:nvPicPr>
        <xdr:cNvPr id="3" name="图片 2" descr="lALPD2eDQ9Jk-kLNAdfNAf8_511_47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77465" y="18352770"/>
          <a:ext cx="4565650" cy="40125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1574;&#21010;&#25991;&#26723;\&#20462;&#20185;&#39033;&#30446;\charge1.1\excel\composi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BecomeGodSimulator\Design\branches\charge1.1\&#20462;&#20185;&#21151;&#27861;&#35774;&#2345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BecomeGodSimulator\Design\BecomeGodC\&#20462;&#20185;&#21151;&#27861;&#35774;&#2345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ecomeGodSimulator\Design\BecomeGodC\&#12304;&#26032;&#20462;&#20185;&#12305;&#25968;&#20540;%20V2.0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39118;&#20113;\AppData\Roaming\kingsoft\office6\backup\composit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_config_"/>
      <sheetName val="_table_"/>
      <sheetName val="_language_"/>
      <sheetName val="table符号定义"/>
      <sheetName val="item_type"/>
      <sheetName val="drug_formulation"/>
      <sheetName val="collect_des"/>
      <sheetName val="fox_skin"/>
      <sheetName val="luckdraw"/>
      <sheetName val="introduction"/>
      <sheetName val="属性辅助表"/>
      <sheetName val="旧手札备份"/>
      <sheetName val="task"/>
      <sheetName val="task_type"/>
      <sheetName val="player_face"/>
      <sheetName val="task_price"/>
      <sheetName val="iron_equipment"/>
      <sheetName val="iron_formulation"/>
      <sheetName val="iron_property"/>
      <sheetName val="breakthrough_stage"/>
      <sheetName val="equiptment_formulation"/>
      <sheetName val="stage_level"/>
      <sheetName val="achievement_tag"/>
      <sheetName val="sport_condition"/>
      <sheetName val="sport_makemoney"/>
      <sheetName val="guide"/>
      <sheetName val="guide_group_reward"/>
      <sheetName val="Sheet1"/>
      <sheetName val="cartoon"/>
      <sheetName val="emoji_type"/>
      <sheetName val="notice"/>
      <sheetName val="enlighten_type"/>
      <sheetName val="weapon_type"/>
      <sheetName val="make_type"/>
      <sheetName val="make_consume"/>
      <sheetName val="material_quality"/>
      <sheetName val="make_level"/>
      <sheetName val="finished_product_exp"/>
      <sheetName val="make_chance"/>
    </sheetNames>
    <sheetDataSet>
      <sheetData sheetId="0"/>
      <sheetData sheetId="1"/>
      <sheetData sheetId="2"/>
      <sheetData sheetId="3"/>
      <sheetData sheetId="4">
        <row r="1">
          <cell r="A1" t="str">
            <v>道具表</v>
          </cell>
        </row>
        <row r="2">
          <cell r="G2" t="str">
            <v>产地（对应赚钱模块）</v>
          </cell>
        </row>
        <row r="6">
          <cell r="G6" t="str">
            <v>探索</v>
          </cell>
        </row>
        <row r="7">
          <cell r="G7" t="str">
            <v>探索</v>
          </cell>
        </row>
        <row r="8">
          <cell r="G8" t="str">
            <v>林地</v>
          </cell>
        </row>
        <row r="9">
          <cell r="G9" t="str">
            <v>林地</v>
          </cell>
        </row>
        <row r="10">
          <cell r="G10" t="str">
            <v>探索</v>
          </cell>
        </row>
        <row r="11">
          <cell r="G11" t="str">
            <v>农田</v>
          </cell>
        </row>
        <row r="12">
          <cell r="G12" t="str">
            <v>农田</v>
          </cell>
        </row>
        <row r="13">
          <cell r="G13" t="str">
            <v>农田</v>
          </cell>
        </row>
        <row r="14">
          <cell r="G14" t="str">
            <v>矿洞</v>
          </cell>
        </row>
        <row r="15">
          <cell r="G15" t="str">
            <v>探索</v>
          </cell>
        </row>
        <row r="16">
          <cell r="G16" t="str">
            <v>渔场</v>
          </cell>
        </row>
        <row r="17">
          <cell r="G17" t="str">
            <v>渔场</v>
          </cell>
        </row>
        <row r="18">
          <cell r="G18" t="str">
            <v>探索</v>
          </cell>
        </row>
        <row r="19">
          <cell r="G19" t="str">
            <v>探索</v>
          </cell>
        </row>
        <row r="20">
          <cell r="G20" t="str">
            <v>矿洞</v>
          </cell>
        </row>
        <row r="21">
          <cell r="G21" t="str">
            <v>林地</v>
          </cell>
        </row>
        <row r="22">
          <cell r="G22" t="str">
            <v>探索</v>
          </cell>
        </row>
        <row r="23">
          <cell r="G23" t="str">
            <v>探索</v>
          </cell>
        </row>
        <row r="24">
          <cell r="G24" t="str">
            <v>探索</v>
          </cell>
        </row>
        <row r="25">
          <cell r="G25" t="str">
            <v>林地</v>
          </cell>
        </row>
        <row r="26">
          <cell r="G26" t="str">
            <v>矿洞</v>
          </cell>
        </row>
        <row r="27">
          <cell r="G27" t="str">
            <v>矿洞</v>
          </cell>
        </row>
        <row r="28">
          <cell r="G28" t="str">
            <v>探索</v>
          </cell>
        </row>
        <row r="29">
          <cell r="G29" t="str">
            <v>探索</v>
          </cell>
        </row>
        <row r="30">
          <cell r="G30" t="str">
            <v>探索</v>
          </cell>
        </row>
        <row r="31">
          <cell r="G31" t="str">
            <v>林地</v>
          </cell>
        </row>
        <row r="32">
          <cell r="G32" t="str">
            <v>渔场</v>
          </cell>
        </row>
        <row r="33">
          <cell r="G33" t="str">
            <v>农田</v>
          </cell>
        </row>
        <row r="34">
          <cell r="G34" t="str">
            <v>农田</v>
          </cell>
        </row>
        <row r="35">
          <cell r="G35" t="str">
            <v>探索</v>
          </cell>
        </row>
        <row r="36">
          <cell r="G36" t="str">
            <v>探索</v>
          </cell>
        </row>
        <row r="37">
          <cell r="G37" t="str">
            <v>矿洞</v>
          </cell>
        </row>
        <row r="38">
          <cell r="G38" t="str">
            <v>矿洞</v>
          </cell>
        </row>
        <row r="39">
          <cell r="G39" t="str">
            <v>农田</v>
          </cell>
        </row>
        <row r="40">
          <cell r="G40" t="str">
            <v>探索</v>
          </cell>
        </row>
        <row r="41">
          <cell r="G41" t="str">
            <v>探索</v>
          </cell>
        </row>
        <row r="42">
          <cell r="G42" t="str">
            <v>探索</v>
          </cell>
        </row>
        <row r="43">
          <cell r="G43" t="str">
            <v>渔场</v>
          </cell>
        </row>
        <row r="44">
          <cell r="G44" t="str">
            <v>渔场</v>
          </cell>
        </row>
        <row r="45">
          <cell r="G45" t="str">
            <v>矿洞</v>
          </cell>
        </row>
        <row r="46">
          <cell r="G46" t="str">
            <v>探索</v>
          </cell>
        </row>
        <row r="47">
          <cell r="G47" t="str">
            <v>林地</v>
          </cell>
        </row>
        <row r="48">
          <cell r="G48" t="str">
            <v>探索</v>
          </cell>
        </row>
        <row r="203">
          <cell r="G203">
            <v>1001</v>
          </cell>
        </row>
        <row r="204">
          <cell r="G204">
            <v>1002</v>
          </cell>
        </row>
        <row r="205">
          <cell r="G205">
            <v>1003</v>
          </cell>
        </row>
        <row r="206">
          <cell r="G206">
            <v>1004</v>
          </cell>
        </row>
        <row r="207">
          <cell r="G207">
            <v>1005</v>
          </cell>
        </row>
        <row r="208">
          <cell r="G208">
            <v>1006</v>
          </cell>
        </row>
        <row r="209">
          <cell r="G209">
            <v>1007</v>
          </cell>
        </row>
        <row r="210">
          <cell r="G210">
            <v>1008</v>
          </cell>
        </row>
        <row r="211">
          <cell r="G211">
            <v>1009</v>
          </cell>
        </row>
        <row r="212">
          <cell r="G212">
            <v>1010</v>
          </cell>
        </row>
        <row r="213">
          <cell r="G213">
            <v>1011</v>
          </cell>
        </row>
        <row r="214">
          <cell r="G214">
            <v>1012</v>
          </cell>
        </row>
        <row r="215">
          <cell r="G215">
            <v>1013</v>
          </cell>
        </row>
        <row r="216">
          <cell r="G216">
            <v>1014</v>
          </cell>
        </row>
        <row r="217">
          <cell r="G217">
            <v>1015</v>
          </cell>
        </row>
        <row r="218">
          <cell r="G218">
            <v>1016</v>
          </cell>
        </row>
        <row r="219">
          <cell r="G219">
            <v>1017</v>
          </cell>
        </row>
        <row r="220">
          <cell r="G220">
            <v>1018</v>
          </cell>
        </row>
        <row r="221">
          <cell r="G221">
            <v>1019</v>
          </cell>
        </row>
        <row r="222">
          <cell r="G222">
            <v>1020</v>
          </cell>
        </row>
        <row r="223">
          <cell r="G223">
            <v>1401</v>
          </cell>
        </row>
        <row r="224">
          <cell r="G224">
            <v>1402</v>
          </cell>
        </row>
        <row r="225">
          <cell r="G225">
            <v>1403</v>
          </cell>
        </row>
        <row r="226">
          <cell r="G226">
            <v>1404</v>
          </cell>
        </row>
        <row r="227">
          <cell r="G227">
            <v>1405</v>
          </cell>
        </row>
        <row r="228">
          <cell r="G228">
            <v>1501</v>
          </cell>
        </row>
        <row r="229">
          <cell r="G229">
            <v>1502</v>
          </cell>
        </row>
        <row r="230">
          <cell r="G230">
            <v>1503</v>
          </cell>
        </row>
        <row r="231">
          <cell r="G231">
            <v>1504</v>
          </cell>
        </row>
        <row r="232">
          <cell r="G232">
            <v>1505</v>
          </cell>
        </row>
        <row r="233">
          <cell r="G233">
            <v>1601</v>
          </cell>
        </row>
        <row r="234">
          <cell r="G234">
            <v>1602</v>
          </cell>
        </row>
        <row r="235">
          <cell r="G235">
            <v>1603</v>
          </cell>
        </row>
        <row r="236">
          <cell r="G236">
            <v>1604</v>
          </cell>
        </row>
        <row r="237">
          <cell r="G237">
            <v>2001</v>
          </cell>
        </row>
        <row r="238">
          <cell r="G238">
            <v>2002</v>
          </cell>
        </row>
        <row r="239">
          <cell r="G239">
            <v>2003</v>
          </cell>
        </row>
        <row r="240">
          <cell r="G240">
            <v>2004</v>
          </cell>
        </row>
        <row r="241">
          <cell r="G241">
            <v>2005</v>
          </cell>
        </row>
        <row r="242">
          <cell r="G242">
            <v>2006</v>
          </cell>
        </row>
        <row r="243">
          <cell r="G243">
            <v>2007</v>
          </cell>
        </row>
        <row r="244">
          <cell r="G244">
            <v>2008</v>
          </cell>
        </row>
        <row r="245">
          <cell r="G245">
            <v>2009</v>
          </cell>
        </row>
        <row r="246">
          <cell r="G246">
            <v>2010</v>
          </cell>
        </row>
        <row r="247">
          <cell r="G247">
            <v>2011</v>
          </cell>
        </row>
        <row r="248">
          <cell r="G248">
            <v>2012</v>
          </cell>
        </row>
        <row r="249">
          <cell r="G249">
            <v>2013</v>
          </cell>
        </row>
        <row r="250">
          <cell r="G250">
            <v>2014</v>
          </cell>
        </row>
        <row r="251">
          <cell r="G251">
            <v>2015</v>
          </cell>
        </row>
        <row r="252">
          <cell r="G252">
            <v>2016</v>
          </cell>
        </row>
        <row r="253">
          <cell r="G253">
            <v>2017</v>
          </cell>
        </row>
        <row r="254">
          <cell r="G254">
            <v>2018</v>
          </cell>
        </row>
        <row r="255">
          <cell r="G255">
            <v>2019</v>
          </cell>
        </row>
        <row r="256">
          <cell r="G256">
            <v>2020</v>
          </cell>
        </row>
        <row r="257">
          <cell r="G257">
            <v>2401</v>
          </cell>
        </row>
        <row r="258">
          <cell r="G258">
            <v>2402</v>
          </cell>
        </row>
        <row r="259">
          <cell r="G259">
            <v>2403</v>
          </cell>
        </row>
        <row r="260">
          <cell r="G260">
            <v>2404</v>
          </cell>
        </row>
        <row r="261">
          <cell r="G261">
            <v>2405</v>
          </cell>
        </row>
        <row r="262">
          <cell r="G262">
            <v>2025</v>
          </cell>
        </row>
        <row r="263">
          <cell r="G263">
            <v>2026</v>
          </cell>
        </row>
        <row r="264">
          <cell r="G264">
            <v>2027</v>
          </cell>
        </row>
        <row r="265">
          <cell r="G265">
            <v>2028</v>
          </cell>
        </row>
        <row r="266">
          <cell r="G266">
            <v>2029</v>
          </cell>
        </row>
        <row r="267">
          <cell r="G267">
            <v>2030</v>
          </cell>
        </row>
        <row r="268">
          <cell r="G268">
            <v>3001</v>
          </cell>
        </row>
        <row r="269">
          <cell r="G269">
            <v>3002</v>
          </cell>
        </row>
        <row r="270">
          <cell r="G270">
            <v>3003</v>
          </cell>
        </row>
        <row r="271">
          <cell r="G271">
            <v>3004</v>
          </cell>
        </row>
        <row r="272">
          <cell r="G272">
            <v>3005</v>
          </cell>
        </row>
        <row r="273">
          <cell r="G273">
            <v>3006</v>
          </cell>
        </row>
        <row r="274">
          <cell r="G274">
            <v>3007</v>
          </cell>
        </row>
        <row r="275">
          <cell r="G275">
            <v>3008</v>
          </cell>
        </row>
        <row r="276">
          <cell r="G276">
            <v>3009</v>
          </cell>
        </row>
        <row r="277">
          <cell r="G277">
            <v>3010</v>
          </cell>
        </row>
        <row r="278">
          <cell r="G278">
            <v>3011</v>
          </cell>
        </row>
        <row r="279">
          <cell r="G279">
            <v>3012</v>
          </cell>
        </row>
        <row r="280">
          <cell r="G280">
            <v>3013</v>
          </cell>
        </row>
        <row r="281">
          <cell r="G281">
            <v>3014</v>
          </cell>
        </row>
        <row r="282">
          <cell r="G282">
            <v>3015</v>
          </cell>
        </row>
        <row r="283">
          <cell r="G283">
            <v>3016</v>
          </cell>
        </row>
        <row r="284">
          <cell r="G284">
            <v>3017</v>
          </cell>
        </row>
        <row r="285">
          <cell r="G285">
            <v>3401</v>
          </cell>
        </row>
        <row r="286">
          <cell r="G286">
            <v>3402</v>
          </cell>
        </row>
        <row r="287">
          <cell r="G287">
            <v>3403</v>
          </cell>
        </row>
        <row r="288">
          <cell r="G288">
            <v>3019</v>
          </cell>
        </row>
        <row r="289">
          <cell r="G289">
            <v>3020</v>
          </cell>
        </row>
        <row r="290">
          <cell r="G290">
            <v>3021</v>
          </cell>
        </row>
        <row r="291">
          <cell r="G291">
            <v>3022</v>
          </cell>
        </row>
        <row r="292">
          <cell r="G292">
            <v>3023</v>
          </cell>
        </row>
        <row r="293">
          <cell r="G293">
            <v>3024</v>
          </cell>
        </row>
        <row r="294">
          <cell r="G294">
            <v>3025</v>
          </cell>
        </row>
        <row r="295">
          <cell r="G295">
            <v>3026</v>
          </cell>
        </row>
        <row r="296">
          <cell r="G296">
            <v>3404</v>
          </cell>
        </row>
        <row r="297">
          <cell r="G297">
            <v>3405</v>
          </cell>
        </row>
        <row r="298">
          <cell r="G298">
            <v>3029</v>
          </cell>
        </row>
        <row r="299">
          <cell r="G299">
            <v>3030</v>
          </cell>
        </row>
        <row r="630">
          <cell r="G630" t="str">
            <v>(碎片)</v>
          </cell>
        </row>
        <row r="631">
          <cell r="G631" t="str">
            <v>太玄拳法(碎片)(碎片)</v>
          </cell>
        </row>
        <row r="632">
          <cell r="G632" t="str">
            <v>魔拳真录(碎片)(碎片)</v>
          </cell>
        </row>
        <row r="633">
          <cell r="G633" t="str">
            <v>巫祖玄功(碎片)(碎片)</v>
          </cell>
        </row>
        <row r="634">
          <cell r="G634" t="str">
            <v>回天幻本(碎片)(碎片)</v>
          </cell>
        </row>
        <row r="635">
          <cell r="G635" t="str">
            <v>炁体源流(碎片)(碎片)</v>
          </cell>
        </row>
        <row r="636">
          <cell r="G636" t="str">
            <v>乾元燃血功(碎片)(碎片)</v>
          </cell>
        </row>
        <row r="637">
          <cell r="G637" t="str">
            <v>万妖淬体决(碎片)(碎片)</v>
          </cell>
        </row>
        <row r="638">
          <cell r="G638" t="str">
            <v>血魔化心录(碎片)(碎片)</v>
          </cell>
        </row>
        <row r="639">
          <cell r="G639" t="str">
            <v>剑气典(碎片)(碎片)</v>
          </cell>
        </row>
        <row r="640">
          <cell r="G640" t="str">
            <v>蜀山剑经(碎片)(碎片)</v>
          </cell>
        </row>
        <row r="641">
          <cell r="G641" t="str">
            <v>大衍剑抄(碎片)(碎片)</v>
          </cell>
        </row>
        <row r="642">
          <cell r="G642" t="str">
            <v>冲定仙诀(碎片)(碎片)</v>
          </cell>
        </row>
        <row r="643">
          <cell r="G643" t="str">
            <v>剑神真法(碎片)(碎片)</v>
          </cell>
        </row>
        <row r="644">
          <cell r="G644" t="str">
            <v>飞灵台奇卷(碎片)(碎片)</v>
          </cell>
        </row>
        <row r="645">
          <cell r="G645" t="str">
            <v>杀心剑法(碎片)(碎片)</v>
          </cell>
        </row>
        <row r="646">
          <cell r="G646" t="str">
            <v>诛仙剑图(碎片)(碎片)</v>
          </cell>
        </row>
        <row r="647">
          <cell r="G647" t="str">
            <v>乱星诀(碎片)(碎片)</v>
          </cell>
        </row>
        <row r="648">
          <cell r="G648" t="str">
            <v>五雷正法(碎片)(碎片)</v>
          </cell>
        </row>
        <row r="649">
          <cell r="G649" t="str">
            <v>莲华宝功(碎片)(碎片)</v>
          </cell>
        </row>
        <row r="650">
          <cell r="G650" t="str">
            <v>寒冰真气(碎片)(碎片)</v>
          </cell>
        </row>
        <row r="651">
          <cell r="G651" t="str">
            <v>焚天遗录(碎片)(碎片)</v>
          </cell>
        </row>
        <row r="652">
          <cell r="G652" t="str">
            <v>通幽决(碎片)(碎片)</v>
          </cell>
        </row>
        <row r="653">
          <cell r="G653" t="str">
            <v>北冥彻骨决(碎片)(碎片)</v>
          </cell>
        </row>
        <row r="654">
          <cell r="G654" t="str">
            <v>纯阳秘法(碎片)(碎片)</v>
          </cell>
        </row>
        <row r="655">
          <cell r="G655" t="str">
            <v>灵犀剑诀(碎片)(碎片)</v>
          </cell>
        </row>
        <row r="695">
          <cell r="G695" t="str">
            <v>太玄拳法1</v>
          </cell>
        </row>
        <row r="696">
          <cell r="G696" t="str">
            <v>魔拳真录1</v>
          </cell>
        </row>
        <row r="697">
          <cell r="G697" t="str">
            <v>巫祖玄功1</v>
          </cell>
        </row>
        <row r="698">
          <cell r="G698" t="str">
            <v>回天幻本1</v>
          </cell>
        </row>
        <row r="699">
          <cell r="G699" t="str">
            <v>炁体源流1</v>
          </cell>
        </row>
        <row r="700">
          <cell r="G700" t="str">
            <v>乾元燃血功1</v>
          </cell>
        </row>
        <row r="701">
          <cell r="G701" t="str">
            <v>万妖淬体决1</v>
          </cell>
        </row>
        <row r="702">
          <cell r="G702" t="str">
            <v>血魔化心录1</v>
          </cell>
        </row>
        <row r="703">
          <cell r="G703" t="str">
            <v>剑气典1</v>
          </cell>
        </row>
        <row r="704">
          <cell r="G704" t="str">
            <v>蜀山剑经1</v>
          </cell>
        </row>
        <row r="705">
          <cell r="G705" t="str">
            <v>大衍剑抄1</v>
          </cell>
        </row>
        <row r="706">
          <cell r="G706" t="str">
            <v>冲定仙诀1</v>
          </cell>
        </row>
        <row r="707">
          <cell r="G707" t="str">
            <v>剑神真法1</v>
          </cell>
        </row>
        <row r="708">
          <cell r="G708" t="str">
            <v>飞灵台奇卷1</v>
          </cell>
        </row>
        <row r="709">
          <cell r="G709" t="str">
            <v>杀心剑法1</v>
          </cell>
        </row>
        <row r="710">
          <cell r="G710" t="str">
            <v>诛仙剑图1</v>
          </cell>
        </row>
        <row r="711">
          <cell r="G711" t="str">
            <v>乱星诀1</v>
          </cell>
        </row>
        <row r="712">
          <cell r="G712" t="str">
            <v>五雷正法1</v>
          </cell>
        </row>
        <row r="713">
          <cell r="G713" t="str">
            <v>莲华宝功1</v>
          </cell>
        </row>
        <row r="714">
          <cell r="G714" t="str">
            <v>寒冰真气1</v>
          </cell>
        </row>
        <row r="715">
          <cell r="G715" t="str">
            <v>焚天遗录1</v>
          </cell>
        </row>
        <row r="716">
          <cell r="G716" t="str">
            <v>通幽决1</v>
          </cell>
        </row>
        <row r="717">
          <cell r="G717" t="str">
            <v>北冥彻骨决1</v>
          </cell>
        </row>
        <row r="718">
          <cell r="G718" t="str">
            <v>纯阳秘法1</v>
          </cell>
        </row>
        <row r="719">
          <cell r="G719" t="str">
            <v>灵犀剑诀(碎片)(碎片)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资质对应属性等级伤害模型"/>
      <sheetName val="主角成长"/>
      <sheetName val="怪物强度模型"/>
      <sheetName val="费用分布"/>
      <sheetName val="资质模型"/>
      <sheetName val="心法招式设定"/>
      <sheetName val="品质分布"/>
      <sheetName val="门派心法规划"/>
      <sheetName val="心法规划"/>
      <sheetName val="招式规划"/>
      <sheetName val="Sheet1"/>
    </sheetNames>
    <sheetDataSet>
      <sheetData sheetId="0"/>
      <sheetData sheetId="1"/>
      <sheetData sheetId="2">
        <row r="1">
          <cell r="B1" t="str">
            <v>普通怪</v>
          </cell>
        </row>
        <row r="1">
          <cell r="O1" t="str">
            <v>主角攻击</v>
          </cell>
        </row>
        <row r="2">
          <cell r="A2" t="str">
            <v>难度</v>
          </cell>
          <cell r="B2" t="str">
            <v>境界</v>
          </cell>
        </row>
        <row r="3">
          <cell r="A3">
            <v>1001</v>
          </cell>
          <cell r="B3">
            <v>1</v>
          </cell>
        </row>
        <row r="4">
          <cell r="A4">
            <v>1002</v>
          </cell>
          <cell r="B4">
            <v>1</v>
          </cell>
        </row>
        <row r="5">
          <cell r="A5">
            <v>1003</v>
          </cell>
          <cell r="B5">
            <v>1</v>
          </cell>
        </row>
        <row r="6">
          <cell r="A6">
            <v>1004</v>
          </cell>
          <cell r="B6">
            <v>1</v>
          </cell>
        </row>
        <row r="7">
          <cell r="A7">
            <v>1005</v>
          </cell>
          <cell r="B7">
            <v>1</v>
          </cell>
        </row>
        <row r="8">
          <cell r="A8">
            <v>1006</v>
          </cell>
          <cell r="B8">
            <v>1</v>
          </cell>
        </row>
        <row r="9">
          <cell r="A9">
            <v>1007</v>
          </cell>
          <cell r="B9">
            <v>1</v>
          </cell>
        </row>
        <row r="10">
          <cell r="A10">
            <v>1008</v>
          </cell>
          <cell r="B10">
            <v>1</v>
          </cell>
        </row>
        <row r="11">
          <cell r="A11">
            <v>1009</v>
          </cell>
          <cell r="B11">
            <v>1</v>
          </cell>
        </row>
        <row r="12">
          <cell r="A12">
            <v>1010</v>
          </cell>
          <cell r="B12">
            <v>1</v>
          </cell>
        </row>
        <row r="13">
          <cell r="A13">
            <v>1011</v>
          </cell>
          <cell r="B13">
            <v>1</v>
          </cell>
        </row>
        <row r="14">
          <cell r="A14">
            <v>1012</v>
          </cell>
          <cell r="B14">
            <v>1</v>
          </cell>
        </row>
        <row r="15">
          <cell r="A15">
            <v>1013</v>
          </cell>
          <cell r="B15">
            <v>1</v>
          </cell>
        </row>
        <row r="16">
          <cell r="A16">
            <v>1014</v>
          </cell>
          <cell r="B16">
            <v>1</v>
          </cell>
        </row>
        <row r="17">
          <cell r="A17">
            <v>1015</v>
          </cell>
          <cell r="B17">
            <v>1</v>
          </cell>
        </row>
        <row r="18">
          <cell r="A18">
            <v>1016</v>
          </cell>
          <cell r="B18">
            <v>1</v>
          </cell>
        </row>
        <row r="19">
          <cell r="A19">
            <v>1017</v>
          </cell>
          <cell r="B19">
            <v>1</v>
          </cell>
        </row>
        <row r="20">
          <cell r="A20">
            <v>1018</v>
          </cell>
          <cell r="B20">
            <v>1</v>
          </cell>
        </row>
        <row r="21">
          <cell r="A21">
            <v>1019</v>
          </cell>
          <cell r="B21">
            <v>1</v>
          </cell>
        </row>
        <row r="22">
          <cell r="A22">
            <v>1020</v>
          </cell>
          <cell r="B22">
            <v>1</v>
          </cell>
        </row>
        <row r="23">
          <cell r="A23">
            <v>2021</v>
          </cell>
          <cell r="B23">
            <v>2</v>
          </cell>
        </row>
        <row r="24">
          <cell r="A24">
            <v>2022</v>
          </cell>
          <cell r="B24">
            <v>2</v>
          </cell>
        </row>
        <row r="25">
          <cell r="A25">
            <v>2023</v>
          </cell>
          <cell r="B25">
            <v>2</v>
          </cell>
        </row>
        <row r="26">
          <cell r="A26">
            <v>2024</v>
          </cell>
          <cell r="B26">
            <v>2</v>
          </cell>
        </row>
        <row r="27">
          <cell r="A27">
            <v>2025</v>
          </cell>
          <cell r="B27">
            <v>2</v>
          </cell>
        </row>
        <row r="28">
          <cell r="A28">
            <v>2026</v>
          </cell>
          <cell r="B28">
            <v>2</v>
          </cell>
        </row>
        <row r="29">
          <cell r="A29">
            <v>2027</v>
          </cell>
          <cell r="B29">
            <v>2</v>
          </cell>
        </row>
        <row r="30">
          <cell r="A30">
            <v>2028</v>
          </cell>
          <cell r="B30">
            <v>2</v>
          </cell>
        </row>
        <row r="31">
          <cell r="A31">
            <v>2029</v>
          </cell>
          <cell r="B31">
            <v>2</v>
          </cell>
        </row>
        <row r="32">
          <cell r="A32">
            <v>2030</v>
          </cell>
          <cell r="B32">
            <v>2</v>
          </cell>
        </row>
        <row r="33">
          <cell r="A33">
            <v>3031</v>
          </cell>
          <cell r="B33">
            <v>3</v>
          </cell>
        </row>
        <row r="34">
          <cell r="A34">
            <v>3032</v>
          </cell>
          <cell r="B34">
            <v>3</v>
          </cell>
        </row>
        <row r="35">
          <cell r="A35">
            <v>3033</v>
          </cell>
          <cell r="B35">
            <v>3</v>
          </cell>
        </row>
        <row r="36">
          <cell r="A36">
            <v>3034</v>
          </cell>
          <cell r="B36">
            <v>3</v>
          </cell>
        </row>
        <row r="37">
          <cell r="A37">
            <v>3035</v>
          </cell>
          <cell r="B37">
            <v>3</v>
          </cell>
        </row>
        <row r="38">
          <cell r="A38">
            <v>3036</v>
          </cell>
          <cell r="B38">
            <v>3</v>
          </cell>
        </row>
        <row r="39">
          <cell r="A39">
            <v>3037</v>
          </cell>
          <cell r="B39">
            <v>3</v>
          </cell>
        </row>
        <row r="40">
          <cell r="A40">
            <v>3038</v>
          </cell>
          <cell r="B40">
            <v>3</v>
          </cell>
        </row>
        <row r="41">
          <cell r="A41">
            <v>3039</v>
          </cell>
          <cell r="B41">
            <v>3</v>
          </cell>
        </row>
        <row r="42">
          <cell r="A42">
            <v>3040</v>
          </cell>
          <cell r="B42">
            <v>3</v>
          </cell>
        </row>
        <row r="43">
          <cell r="A43">
            <v>4041</v>
          </cell>
          <cell r="B43">
            <v>4</v>
          </cell>
        </row>
        <row r="44">
          <cell r="A44">
            <v>4042</v>
          </cell>
          <cell r="B44">
            <v>4</v>
          </cell>
        </row>
        <row r="45">
          <cell r="A45">
            <v>4043</v>
          </cell>
          <cell r="B45">
            <v>4</v>
          </cell>
        </row>
        <row r="46">
          <cell r="A46">
            <v>4044</v>
          </cell>
          <cell r="B46">
            <v>4</v>
          </cell>
        </row>
        <row r="47">
          <cell r="A47">
            <v>4045</v>
          </cell>
          <cell r="B47">
            <v>4</v>
          </cell>
        </row>
        <row r="48">
          <cell r="A48">
            <v>4046</v>
          </cell>
          <cell r="B48">
            <v>4</v>
          </cell>
        </row>
        <row r="49">
          <cell r="A49">
            <v>4047</v>
          </cell>
          <cell r="B49">
            <v>4</v>
          </cell>
        </row>
        <row r="50">
          <cell r="A50">
            <v>4048</v>
          </cell>
          <cell r="B50">
            <v>4</v>
          </cell>
        </row>
        <row r="51">
          <cell r="A51">
            <v>4049</v>
          </cell>
          <cell r="B51">
            <v>4</v>
          </cell>
        </row>
        <row r="52">
          <cell r="A52">
            <v>4050</v>
          </cell>
          <cell r="B52">
            <v>4</v>
          </cell>
        </row>
        <row r="53">
          <cell r="A53">
            <v>5051</v>
          </cell>
          <cell r="B53">
            <v>5</v>
          </cell>
        </row>
        <row r="54">
          <cell r="A54">
            <v>5052</v>
          </cell>
          <cell r="B54">
            <v>5</v>
          </cell>
        </row>
        <row r="55">
          <cell r="A55">
            <v>5053</v>
          </cell>
          <cell r="B55">
            <v>5</v>
          </cell>
        </row>
        <row r="56">
          <cell r="A56">
            <v>5054</v>
          </cell>
          <cell r="B56">
            <v>5</v>
          </cell>
        </row>
        <row r="57">
          <cell r="A57">
            <v>5055</v>
          </cell>
          <cell r="B57">
            <v>5</v>
          </cell>
        </row>
        <row r="58">
          <cell r="A58">
            <v>5056</v>
          </cell>
          <cell r="B58">
            <v>5</v>
          </cell>
        </row>
        <row r="59">
          <cell r="A59">
            <v>5057</v>
          </cell>
          <cell r="B59">
            <v>5</v>
          </cell>
        </row>
        <row r="60">
          <cell r="A60">
            <v>5058</v>
          </cell>
          <cell r="B60">
            <v>5</v>
          </cell>
        </row>
        <row r="61">
          <cell r="A61">
            <v>5059</v>
          </cell>
          <cell r="B61">
            <v>5</v>
          </cell>
        </row>
        <row r="62">
          <cell r="A62">
            <v>5060</v>
          </cell>
          <cell r="B62">
            <v>5</v>
          </cell>
        </row>
        <row r="63">
          <cell r="A63">
            <v>6061</v>
          </cell>
          <cell r="B63">
            <v>6</v>
          </cell>
        </row>
        <row r="64">
          <cell r="A64">
            <v>6062</v>
          </cell>
          <cell r="B64">
            <v>6</v>
          </cell>
        </row>
        <row r="65">
          <cell r="A65">
            <v>6063</v>
          </cell>
          <cell r="B65">
            <v>6</v>
          </cell>
        </row>
        <row r="66">
          <cell r="A66">
            <v>6064</v>
          </cell>
          <cell r="B66">
            <v>6</v>
          </cell>
        </row>
        <row r="67">
          <cell r="A67">
            <v>6065</v>
          </cell>
          <cell r="B67">
            <v>6</v>
          </cell>
        </row>
        <row r="68">
          <cell r="A68">
            <v>6066</v>
          </cell>
          <cell r="B68">
            <v>6</v>
          </cell>
        </row>
        <row r="69">
          <cell r="A69">
            <v>6067</v>
          </cell>
          <cell r="B69">
            <v>6</v>
          </cell>
        </row>
        <row r="70">
          <cell r="A70">
            <v>6068</v>
          </cell>
          <cell r="B70">
            <v>6</v>
          </cell>
        </row>
        <row r="71">
          <cell r="A71">
            <v>6069</v>
          </cell>
          <cell r="B71">
            <v>6</v>
          </cell>
        </row>
        <row r="72">
          <cell r="A72">
            <v>6070</v>
          </cell>
          <cell r="B72">
            <v>6</v>
          </cell>
        </row>
        <row r="73">
          <cell r="A73">
            <v>7071</v>
          </cell>
          <cell r="B73">
            <v>7</v>
          </cell>
        </row>
        <row r="74">
          <cell r="A74">
            <v>7072</v>
          </cell>
          <cell r="B74">
            <v>7</v>
          </cell>
        </row>
        <row r="75">
          <cell r="A75">
            <v>7073</v>
          </cell>
          <cell r="B75">
            <v>7</v>
          </cell>
        </row>
        <row r="76">
          <cell r="A76">
            <v>7074</v>
          </cell>
          <cell r="B76">
            <v>7</v>
          </cell>
        </row>
        <row r="77">
          <cell r="A77">
            <v>7075</v>
          </cell>
          <cell r="B77">
            <v>7</v>
          </cell>
        </row>
        <row r="78">
          <cell r="A78">
            <v>7076</v>
          </cell>
          <cell r="B78">
            <v>7</v>
          </cell>
        </row>
        <row r="79">
          <cell r="A79">
            <v>7077</v>
          </cell>
          <cell r="B79">
            <v>7</v>
          </cell>
        </row>
        <row r="80">
          <cell r="A80">
            <v>7078</v>
          </cell>
          <cell r="B80">
            <v>7</v>
          </cell>
        </row>
        <row r="81">
          <cell r="A81">
            <v>7079</v>
          </cell>
          <cell r="B81">
            <v>7</v>
          </cell>
        </row>
        <row r="82">
          <cell r="A82">
            <v>7080</v>
          </cell>
          <cell r="B82">
            <v>7</v>
          </cell>
        </row>
        <row r="83">
          <cell r="A83">
            <v>1001</v>
          </cell>
          <cell r="B83">
            <v>1</v>
          </cell>
        </row>
        <row r="84">
          <cell r="A84">
            <v>1002</v>
          </cell>
          <cell r="B84">
            <v>1</v>
          </cell>
        </row>
        <row r="85">
          <cell r="A85">
            <v>1003</v>
          </cell>
          <cell r="B85">
            <v>1</v>
          </cell>
        </row>
        <row r="86">
          <cell r="A86">
            <v>1004</v>
          </cell>
          <cell r="B86">
            <v>1</v>
          </cell>
        </row>
        <row r="87">
          <cell r="A87">
            <v>1005</v>
          </cell>
          <cell r="B87">
            <v>1</v>
          </cell>
        </row>
        <row r="88">
          <cell r="A88">
            <v>1006</v>
          </cell>
          <cell r="B88">
            <v>1</v>
          </cell>
        </row>
        <row r="89">
          <cell r="A89">
            <v>1007</v>
          </cell>
          <cell r="B89">
            <v>1</v>
          </cell>
        </row>
        <row r="90">
          <cell r="A90">
            <v>1008</v>
          </cell>
          <cell r="B90">
            <v>1</v>
          </cell>
        </row>
        <row r="91">
          <cell r="A91">
            <v>1009</v>
          </cell>
          <cell r="B91">
            <v>1</v>
          </cell>
        </row>
        <row r="92">
          <cell r="A92">
            <v>1010</v>
          </cell>
          <cell r="B92">
            <v>1</v>
          </cell>
        </row>
        <row r="93">
          <cell r="A93">
            <v>1011</v>
          </cell>
          <cell r="B93">
            <v>1</v>
          </cell>
        </row>
        <row r="94">
          <cell r="A94">
            <v>1012</v>
          </cell>
          <cell r="B94">
            <v>1</v>
          </cell>
        </row>
        <row r="95">
          <cell r="A95">
            <v>1013</v>
          </cell>
          <cell r="B95">
            <v>1</v>
          </cell>
        </row>
        <row r="96">
          <cell r="A96">
            <v>1014</v>
          </cell>
          <cell r="B96">
            <v>1</v>
          </cell>
        </row>
        <row r="97">
          <cell r="A97">
            <v>1015</v>
          </cell>
          <cell r="B97">
            <v>1</v>
          </cell>
        </row>
        <row r="98">
          <cell r="A98">
            <v>1016</v>
          </cell>
          <cell r="B98">
            <v>1</v>
          </cell>
        </row>
        <row r="99">
          <cell r="A99">
            <v>1017</v>
          </cell>
          <cell r="B99">
            <v>1</v>
          </cell>
        </row>
        <row r="100">
          <cell r="A100">
            <v>1018</v>
          </cell>
          <cell r="B100">
            <v>1</v>
          </cell>
        </row>
        <row r="101">
          <cell r="A101">
            <v>1019</v>
          </cell>
          <cell r="B101">
            <v>1</v>
          </cell>
        </row>
        <row r="102">
          <cell r="A102">
            <v>1020</v>
          </cell>
          <cell r="B102">
            <v>1</v>
          </cell>
        </row>
        <row r="103">
          <cell r="A103">
            <v>2021</v>
          </cell>
          <cell r="B103">
            <v>2</v>
          </cell>
        </row>
        <row r="104">
          <cell r="A104">
            <v>2022</v>
          </cell>
          <cell r="B104">
            <v>2</v>
          </cell>
        </row>
        <row r="105">
          <cell r="A105">
            <v>2023</v>
          </cell>
          <cell r="B105">
            <v>2</v>
          </cell>
        </row>
        <row r="106">
          <cell r="A106">
            <v>2024</v>
          </cell>
          <cell r="B106">
            <v>2</v>
          </cell>
        </row>
        <row r="107">
          <cell r="A107">
            <v>2025</v>
          </cell>
          <cell r="B107">
            <v>2</v>
          </cell>
        </row>
        <row r="108">
          <cell r="A108">
            <v>2026</v>
          </cell>
          <cell r="B108">
            <v>2</v>
          </cell>
        </row>
        <row r="109">
          <cell r="A109">
            <v>2027</v>
          </cell>
          <cell r="B109">
            <v>2</v>
          </cell>
        </row>
        <row r="110">
          <cell r="A110">
            <v>2028</v>
          </cell>
          <cell r="B110">
            <v>2</v>
          </cell>
        </row>
        <row r="111">
          <cell r="A111">
            <v>2029</v>
          </cell>
          <cell r="B111">
            <v>2</v>
          </cell>
        </row>
        <row r="112">
          <cell r="A112">
            <v>2030</v>
          </cell>
          <cell r="B112">
            <v>2</v>
          </cell>
        </row>
        <row r="113">
          <cell r="A113">
            <v>2031</v>
          </cell>
          <cell r="B113">
            <v>2</v>
          </cell>
        </row>
        <row r="114">
          <cell r="A114">
            <v>3032</v>
          </cell>
          <cell r="B114">
            <v>3</v>
          </cell>
        </row>
        <row r="115">
          <cell r="A115">
            <v>3033</v>
          </cell>
          <cell r="B115">
            <v>3</v>
          </cell>
        </row>
        <row r="116">
          <cell r="A116">
            <v>3034</v>
          </cell>
          <cell r="B116">
            <v>3</v>
          </cell>
        </row>
        <row r="117">
          <cell r="A117">
            <v>3035</v>
          </cell>
          <cell r="B117">
            <v>3</v>
          </cell>
        </row>
        <row r="118">
          <cell r="A118">
            <v>3036</v>
          </cell>
          <cell r="B118">
            <v>3</v>
          </cell>
        </row>
        <row r="119">
          <cell r="A119">
            <v>3037</v>
          </cell>
          <cell r="B119">
            <v>3</v>
          </cell>
        </row>
        <row r="120">
          <cell r="A120">
            <v>3038</v>
          </cell>
          <cell r="B120">
            <v>3</v>
          </cell>
        </row>
        <row r="121">
          <cell r="A121">
            <v>3039</v>
          </cell>
          <cell r="B121">
            <v>3</v>
          </cell>
        </row>
        <row r="122">
          <cell r="A122">
            <v>3040</v>
          </cell>
          <cell r="B122">
            <v>3</v>
          </cell>
        </row>
        <row r="123">
          <cell r="A123">
            <v>3041</v>
          </cell>
          <cell r="B123">
            <v>3</v>
          </cell>
        </row>
        <row r="124">
          <cell r="A124">
            <v>3042</v>
          </cell>
          <cell r="B124">
            <v>3</v>
          </cell>
        </row>
        <row r="125">
          <cell r="A125">
            <v>4043</v>
          </cell>
          <cell r="B125">
            <v>4</v>
          </cell>
        </row>
        <row r="126">
          <cell r="A126">
            <v>4044</v>
          </cell>
          <cell r="B126">
            <v>4</v>
          </cell>
        </row>
        <row r="127">
          <cell r="A127">
            <v>4045</v>
          </cell>
          <cell r="B127">
            <v>4</v>
          </cell>
        </row>
        <row r="128">
          <cell r="A128">
            <v>4046</v>
          </cell>
          <cell r="B128">
            <v>4</v>
          </cell>
        </row>
        <row r="129">
          <cell r="A129">
            <v>4047</v>
          </cell>
          <cell r="B129">
            <v>4</v>
          </cell>
        </row>
        <row r="130">
          <cell r="A130">
            <v>4048</v>
          </cell>
          <cell r="B130">
            <v>4</v>
          </cell>
        </row>
        <row r="131">
          <cell r="A131">
            <v>4049</v>
          </cell>
          <cell r="B131">
            <v>4</v>
          </cell>
        </row>
        <row r="132">
          <cell r="A132">
            <v>4050</v>
          </cell>
          <cell r="B132">
            <v>4</v>
          </cell>
        </row>
        <row r="133">
          <cell r="A133">
            <v>4051</v>
          </cell>
          <cell r="B133">
            <v>4</v>
          </cell>
        </row>
        <row r="134">
          <cell r="A134">
            <v>4052</v>
          </cell>
          <cell r="B134">
            <v>4</v>
          </cell>
        </row>
        <row r="135">
          <cell r="A135">
            <v>4053</v>
          </cell>
          <cell r="B135">
            <v>4</v>
          </cell>
        </row>
        <row r="136">
          <cell r="A136">
            <v>5054</v>
          </cell>
          <cell r="B136">
            <v>5</v>
          </cell>
        </row>
        <row r="137">
          <cell r="A137">
            <v>5055</v>
          </cell>
          <cell r="B137">
            <v>5</v>
          </cell>
        </row>
        <row r="138">
          <cell r="A138">
            <v>5056</v>
          </cell>
          <cell r="B138">
            <v>5</v>
          </cell>
        </row>
        <row r="139">
          <cell r="A139">
            <v>5057</v>
          </cell>
          <cell r="B139">
            <v>5</v>
          </cell>
        </row>
        <row r="140">
          <cell r="A140">
            <v>5058</v>
          </cell>
          <cell r="B140">
            <v>5</v>
          </cell>
        </row>
        <row r="141">
          <cell r="A141">
            <v>5059</v>
          </cell>
          <cell r="B141">
            <v>5</v>
          </cell>
        </row>
        <row r="142">
          <cell r="A142">
            <v>5060</v>
          </cell>
          <cell r="B142">
            <v>5</v>
          </cell>
        </row>
        <row r="143">
          <cell r="A143">
            <v>5061</v>
          </cell>
          <cell r="B143">
            <v>5</v>
          </cell>
        </row>
        <row r="144">
          <cell r="A144">
            <v>5062</v>
          </cell>
          <cell r="B144">
            <v>5</v>
          </cell>
        </row>
        <row r="145">
          <cell r="A145">
            <v>5063</v>
          </cell>
          <cell r="B145">
            <v>5</v>
          </cell>
        </row>
        <row r="146">
          <cell r="A146">
            <v>5064</v>
          </cell>
          <cell r="B146">
            <v>5</v>
          </cell>
        </row>
        <row r="147">
          <cell r="A147">
            <v>6065</v>
          </cell>
          <cell r="B147">
            <v>6</v>
          </cell>
        </row>
        <row r="148">
          <cell r="A148">
            <v>6066</v>
          </cell>
          <cell r="B148">
            <v>6</v>
          </cell>
        </row>
        <row r="149">
          <cell r="A149">
            <v>6067</v>
          </cell>
          <cell r="B149">
            <v>6</v>
          </cell>
        </row>
        <row r="150">
          <cell r="A150">
            <v>6068</v>
          </cell>
          <cell r="B150">
            <v>6</v>
          </cell>
        </row>
        <row r="151">
          <cell r="A151">
            <v>6069</v>
          </cell>
          <cell r="B151">
            <v>6</v>
          </cell>
        </row>
        <row r="152">
          <cell r="A152">
            <v>6070</v>
          </cell>
          <cell r="B152">
            <v>6</v>
          </cell>
        </row>
        <row r="153">
          <cell r="A153">
            <v>6071</v>
          </cell>
          <cell r="B153">
            <v>6</v>
          </cell>
        </row>
        <row r="154">
          <cell r="A154">
            <v>6072</v>
          </cell>
          <cell r="B154">
            <v>6</v>
          </cell>
        </row>
        <row r="155">
          <cell r="A155">
            <v>6073</v>
          </cell>
          <cell r="B155">
            <v>6</v>
          </cell>
        </row>
        <row r="156">
          <cell r="A156">
            <v>6074</v>
          </cell>
          <cell r="B156">
            <v>6</v>
          </cell>
        </row>
        <row r="157">
          <cell r="A157">
            <v>6075</v>
          </cell>
          <cell r="B157">
            <v>6</v>
          </cell>
        </row>
        <row r="158">
          <cell r="A158">
            <v>7076</v>
          </cell>
          <cell r="B158">
            <v>7</v>
          </cell>
        </row>
        <row r="159">
          <cell r="A159">
            <v>7077</v>
          </cell>
          <cell r="B159">
            <v>7</v>
          </cell>
        </row>
        <row r="160">
          <cell r="A160">
            <v>7078</v>
          </cell>
          <cell r="B160">
            <v>7</v>
          </cell>
        </row>
        <row r="161">
          <cell r="A161">
            <v>7079</v>
          </cell>
          <cell r="B161">
            <v>7</v>
          </cell>
        </row>
        <row r="162">
          <cell r="A162">
            <v>7080</v>
          </cell>
          <cell r="B162">
            <v>7</v>
          </cell>
        </row>
        <row r="163">
          <cell r="A163" t="e">
            <v>#VALUE!</v>
          </cell>
          <cell r="B163" t="str">
            <v>精英怪</v>
          </cell>
        </row>
        <row r="164">
          <cell r="A164">
            <v>1010</v>
          </cell>
          <cell r="B164">
            <v>1</v>
          </cell>
        </row>
        <row r="165">
          <cell r="A165">
            <v>1011</v>
          </cell>
          <cell r="B165">
            <v>1</v>
          </cell>
        </row>
        <row r="166">
          <cell r="A166">
            <v>1012</v>
          </cell>
          <cell r="B166">
            <v>1</v>
          </cell>
        </row>
        <row r="167">
          <cell r="A167">
            <v>1013</v>
          </cell>
          <cell r="B167">
            <v>1</v>
          </cell>
        </row>
        <row r="168">
          <cell r="A168">
            <v>1014</v>
          </cell>
          <cell r="B168">
            <v>1</v>
          </cell>
        </row>
        <row r="169">
          <cell r="A169">
            <v>1015</v>
          </cell>
          <cell r="B169">
            <v>1</v>
          </cell>
        </row>
        <row r="170">
          <cell r="A170">
            <v>1016</v>
          </cell>
          <cell r="B170">
            <v>1</v>
          </cell>
        </row>
        <row r="171">
          <cell r="A171">
            <v>1017</v>
          </cell>
          <cell r="B171">
            <v>1</v>
          </cell>
        </row>
        <row r="172">
          <cell r="A172">
            <v>1018</v>
          </cell>
          <cell r="B172">
            <v>1</v>
          </cell>
        </row>
        <row r="173">
          <cell r="A173">
            <v>1019</v>
          </cell>
          <cell r="B173">
            <v>1</v>
          </cell>
        </row>
        <row r="174">
          <cell r="A174">
            <v>1020</v>
          </cell>
          <cell r="B174">
            <v>1</v>
          </cell>
        </row>
        <row r="175">
          <cell r="A175">
            <v>2021</v>
          </cell>
          <cell r="B175">
            <v>2</v>
          </cell>
        </row>
        <row r="176">
          <cell r="A176">
            <v>2022</v>
          </cell>
          <cell r="B176">
            <v>2</v>
          </cell>
        </row>
        <row r="177">
          <cell r="A177">
            <v>2023</v>
          </cell>
          <cell r="B177">
            <v>2</v>
          </cell>
        </row>
        <row r="178">
          <cell r="A178">
            <v>2024</v>
          </cell>
          <cell r="B178">
            <v>2</v>
          </cell>
        </row>
        <row r="179">
          <cell r="A179">
            <v>2025</v>
          </cell>
          <cell r="B179">
            <v>2</v>
          </cell>
        </row>
        <row r="180">
          <cell r="A180">
            <v>2026</v>
          </cell>
          <cell r="B180">
            <v>2</v>
          </cell>
        </row>
        <row r="181">
          <cell r="A181">
            <v>2027</v>
          </cell>
          <cell r="B181">
            <v>2</v>
          </cell>
        </row>
        <row r="182">
          <cell r="A182">
            <v>2028</v>
          </cell>
          <cell r="B182">
            <v>2</v>
          </cell>
        </row>
        <row r="183">
          <cell r="A183">
            <v>2029</v>
          </cell>
          <cell r="B183">
            <v>2</v>
          </cell>
        </row>
        <row r="184">
          <cell r="A184">
            <v>2030</v>
          </cell>
          <cell r="B184">
            <v>2</v>
          </cell>
        </row>
        <row r="185">
          <cell r="A185">
            <v>3031</v>
          </cell>
          <cell r="B185">
            <v>3</v>
          </cell>
        </row>
        <row r="186">
          <cell r="A186">
            <v>3032</v>
          </cell>
          <cell r="B186">
            <v>3</v>
          </cell>
        </row>
        <row r="187">
          <cell r="A187">
            <v>3033</v>
          </cell>
          <cell r="B187">
            <v>3</v>
          </cell>
        </row>
        <row r="188">
          <cell r="A188">
            <v>3034</v>
          </cell>
          <cell r="B188">
            <v>3</v>
          </cell>
        </row>
        <row r="189">
          <cell r="A189">
            <v>3035</v>
          </cell>
          <cell r="B189">
            <v>3</v>
          </cell>
        </row>
        <row r="190">
          <cell r="A190">
            <v>3036</v>
          </cell>
          <cell r="B190">
            <v>3</v>
          </cell>
        </row>
        <row r="191">
          <cell r="A191">
            <v>3037</v>
          </cell>
          <cell r="B191">
            <v>3</v>
          </cell>
        </row>
        <row r="192">
          <cell r="A192">
            <v>3038</v>
          </cell>
          <cell r="B192">
            <v>3</v>
          </cell>
        </row>
        <row r="193">
          <cell r="A193">
            <v>3039</v>
          </cell>
          <cell r="B193">
            <v>3</v>
          </cell>
        </row>
        <row r="194">
          <cell r="A194">
            <v>3040</v>
          </cell>
          <cell r="B194">
            <v>3</v>
          </cell>
        </row>
        <row r="195">
          <cell r="A195">
            <v>4041</v>
          </cell>
          <cell r="B195">
            <v>4</v>
          </cell>
        </row>
        <row r="196">
          <cell r="A196">
            <v>4042</v>
          </cell>
          <cell r="B196">
            <v>4</v>
          </cell>
        </row>
        <row r="197">
          <cell r="A197">
            <v>4043</v>
          </cell>
          <cell r="B197">
            <v>4</v>
          </cell>
        </row>
        <row r="198">
          <cell r="A198">
            <v>4044</v>
          </cell>
          <cell r="B198">
            <v>4</v>
          </cell>
        </row>
        <row r="199">
          <cell r="A199">
            <v>4045</v>
          </cell>
          <cell r="B199">
            <v>4</v>
          </cell>
        </row>
        <row r="200">
          <cell r="A200">
            <v>4046</v>
          </cell>
          <cell r="B200">
            <v>4</v>
          </cell>
        </row>
        <row r="201">
          <cell r="A201">
            <v>4047</v>
          </cell>
          <cell r="B201">
            <v>4</v>
          </cell>
        </row>
        <row r="202">
          <cell r="A202">
            <v>4048</v>
          </cell>
          <cell r="B202">
            <v>4</v>
          </cell>
        </row>
        <row r="203">
          <cell r="A203">
            <v>4049</v>
          </cell>
          <cell r="B203">
            <v>4</v>
          </cell>
        </row>
        <row r="204">
          <cell r="A204">
            <v>4050</v>
          </cell>
          <cell r="B204">
            <v>4</v>
          </cell>
        </row>
        <row r="205">
          <cell r="A205">
            <v>5051</v>
          </cell>
          <cell r="B205">
            <v>5</v>
          </cell>
        </row>
        <row r="206">
          <cell r="A206">
            <v>5052</v>
          </cell>
          <cell r="B206">
            <v>5</v>
          </cell>
        </row>
        <row r="207">
          <cell r="A207">
            <v>5053</v>
          </cell>
          <cell r="B207">
            <v>5</v>
          </cell>
        </row>
        <row r="208">
          <cell r="A208">
            <v>5054</v>
          </cell>
          <cell r="B208">
            <v>5</v>
          </cell>
        </row>
        <row r="209">
          <cell r="A209">
            <v>5055</v>
          </cell>
          <cell r="B209">
            <v>5</v>
          </cell>
        </row>
        <row r="210">
          <cell r="A210">
            <v>5056</v>
          </cell>
          <cell r="B210">
            <v>5</v>
          </cell>
        </row>
        <row r="211">
          <cell r="A211">
            <v>5057</v>
          </cell>
          <cell r="B211">
            <v>5</v>
          </cell>
        </row>
        <row r="212">
          <cell r="A212">
            <v>5058</v>
          </cell>
          <cell r="B212">
            <v>5</v>
          </cell>
        </row>
        <row r="213">
          <cell r="A213">
            <v>5059</v>
          </cell>
          <cell r="B213">
            <v>5</v>
          </cell>
        </row>
        <row r="214">
          <cell r="A214">
            <v>5060</v>
          </cell>
          <cell r="B214">
            <v>5</v>
          </cell>
        </row>
        <row r="215">
          <cell r="A215">
            <v>6061</v>
          </cell>
          <cell r="B215">
            <v>6</v>
          </cell>
        </row>
        <row r="216">
          <cell r="A216">
            <v>6062</v>
          </cell>
          <cell r="B216">
            <v>6</v>
          </cell>
        </row>
        <row r="217">
          <cell r="A217">
            <v>6063</v>
          </cell>
          <cell r="B217">
            <v>6</v>
          </cell>
        </row>
        <row r="218">
          <cell r="A218">
            <v>6064</v>
          </cell>
          <cell r="B218">
            <v>6</v>
          </cell>
        </row>
        <row r="219">
          <cell r="A219">
            <v>6065</v>
          </cell>
          <cell r="B219">
            <v>6</v>
          </cell>
        </row>
        <row r="220">
          <cell r="A220">
            <v>6066</v>
          </cell>
          <cell r="B220">
            <v>6</v>
          </cell>
        </row>
        <row r="221">
          <cell r="A221">
            <v>6067</v>
          </cell>
          <cell r="B221">
            <v>6</v>
          </cell>
        </row>
        <row r="222">
          <cell r="A222">
            <v>6068</v>
          </cell>
          <cell r="B222">
            <v>6</v>
          </cell>
        </row>
        <row r="223">
          <cell r="A223">
            <v>6069</v>
          </cell>
          <cell r="B223">
            <v>6</v>
          </cell>
        </row>
        <row r="224">
          <cell r="A224">
            <v>6070</v>
          </cell>
          <cell r="B224">
            <v>6</v>
          </cell>
        </row>
        <row r="225">
          <cell r="A225">
            <v>7071</v>
          </cell>
          <cell r="B225">
            <v>7</v>
          </cell>
        </row>
        <row r="226">
          <cell r="A226">
            <v>7072</v>
          </cell>
          <cell r="B226">
            <v>7</v>
          </cell>
        </row>
        <row r="227">
          <cell r="A227">
            <v>7073</v>
          </cell>
          <cell r="B227">
            <v>7</v>
          </cell>
        </row>
        <row r="228">
          <cell r="A228">
            <v>7074</v>
          </cell>
          <cell r="B228">
            <v>7</v>
          </cell>
        </row>
        <row r="229">
          <cell r="A229">
            <v>7075</v>
          </cell>
          <cell r="B229">
            <v>7</v>
          </cell>
        </row>
        <row r="230">
          <cell r="A230">
            <v>7076</v>
          </cell>
          <cell r="B230">
            <v>7</v>
          </cell>
        </row>
        <row r="231">
          <cell r="A231">
            <v>7077</v>
          </cell>
          <cell r="B231">
            <v>7</v>
          </cell>
        </row>
        <row r="232">
          <cell r="A232">
            <v>7078</v>
          </cell>
          <cell r="B232">
            <v>7</v>
          </cell>
        </row>
        <row r="233">
          <cell r="A233">
            <v>7079</v>
          </cell>
          <cell r="B233">
            <v>7</v>
          </cell>
        </row>
        <row r="234">
          <cell r="A234">
            <v>7080</v>
          </cell>
          <cell r="B234">
            <v>7</v>
          </cell>
        </row>
        <row r="235">
          <cell r="A235" t="e">
            <v>#VALUE!</v>
          </cell>
          <cell r="B235" t="str">
            <v>boss怪</v>
          </cell>
        </row>
        <row r="236">
          <cell r="A236">
            <v>1010</v>
          </cell>
          <cell r="B236">
            <v>1</v>
          </cell>
        </row>
        <row r="237">
          <cell r="A237">
            <v>1011</v>
          </cell>
          <cell r="B237">
            <v>1</v>
          </cell>
        </row>
        <row r="238">
          <cell r="A238">
            <v>1012</v>
          </cell>
          <cell r="B238">
            <v>1</v>
          </cell>
        </row>
        <row r="239">
          <cell r="A239">
            <v>1013</v>
          </cell>
          <cell r="B239">
            <v>1</v>
          </cell>
        </row>
        <row r="240">
          <cell r="A240">
            <v>1014</v>
          </cell>
          <cell r="B240">
            <v>1</v>
          </cell>
        </row>
        <row r="241">
          <cell r="A241">
            <v>1015</v>
          </cell>
          <cell r="B241">
            <v>1</v>
          </cell>
        </row>
        <row r="242">
          <cell r="A242">
            <v>1016</v>
          </cell>
          <cell r="B242">
            <v>1</v>
          </cell>
        </row>
        <row r="243">
          <cell r="A243">
            <v>1017</v>
          </cell>
          <cell r="B243">
            <v>1</v>
          </cell>
        </row>
        <row r="244">
          <cell r="A244">
            <v>1018</v>
          </cell>
          <cell r="B244">
            <v>1</v>
          </cell>
        </row>
        <row r="245">
          <cell r="A245">
            <v>1019</v>
          </cell>
          <cell r="B245">
            <v>1</v>
          </cell>
        </row>
        <row r="246">
          <cell r="A246">
            <v>1020</v>
          </cell>
          <cell r="B246">
            <v>1</v>
          </cell>
        </row>
        <row r="247">
          <cell r="A247">
            <v>2021</v>
          </cell>
          <cell r="B247">
            <v>2</v>
          </cell>
        </row>
        <row r="248">
          <cell r="A248">
            <v>2022</v>
          </cell>
          <cell r="B248">
            <v>2</v>
          </cell>
        </row>
        <row r="249">
          <cell r="A249">
            <v>2023</v>
          </cell>
          <cell r="B249">
            <v>2</v>
          </cell>
        </row>
        <row r="250">
          <cell r="A250">
            <v>2024</v>
          </cell>
          <cell r="B250">
            <v>2</v>
          </cell>
        </row>
        <row r="251">
          <cell r="A251">
            <v>2025</v>
          </cell>
          <cell r="B251">
            <v>2</v>
          </cell>
        </row>
        <row r="252">
          <cell r="A252">
            <v>2026</v>
          </cell>
          <cell r="B252">
            <v>2</v>
          </cell>
        </row>
        <row r="253">
          <cell r="A253">
            <v>2027</v>
          </cell>
          <cell r="B253">
            <v>2</v>
          </cell>
        </row>
        <row r="254">
          <cell r="A254">
            <v>2028</v>
          </cell>
          <cell r="B254">
            <v>2</v>
          </cell>
        </row>
        <row r="255">
          <cell r="A255">
            <v>2029</v>
          </cell>
          <cell r="B255">
            <v>2</v>
          </cell>
        </row>
        <row r="256">
          <cell r="A256">
            <v>2030</v>
          </cell>
          <cell r="B256">
            <v>2</v>
          </cell>
        </row>
        <row r="257">
          <cell r="A257">
            <v>3031</v>
          </cell>
          <cell r="B257">
            <v>3</v>
          </cell>
        </row>
        <row r="258">
          <cell r="A258">
            <v>3032</v>
          </cell>
          <cell r="B258">
            <v>3</v>
          </cell>
        </row>
        <row r="259">
          <cell r="A259">
            <v>3033</v>
          </cell>
          <cell r="B259">
            <v>3</v>
          </cell>
        </row>
        <row r="260">
          <cell r="A260">
            <v>3034</v>
          </cell>
          <cell r="B260">
            <v>3</v>
          </cell>
        </row>
        <row r="261">
          <cell r="A261">
            <v>3035</v>
          </cell>
          <cell r="B261">
            <v>3</v>
          </cell>
        </row>
        <row r="262">
          <cell r="A262">
            <v>3036</v>
          </cell>
          <cell r="B262">
            <v>3</v>
          </cell>
        </row>
        <row r="263">
          <cell r="A263">
            <v>3037</v>
          </cell>
          <cell r="B263">
            <v>3</v>
          </cell>
        </row>
        <row r="264">
          <cell r="A264">
            <v>3038</v>
          </cell>
          <cell r="B264">
            <v>3</v>
          </cell>
        </row>
        <row r="265">
          <cell r="A265">
            <v>3039</v>
          </cell>
          <cell r="B265">
            <v>3</v>
          </cell>
        </row>
        <row r="266">
          <cell r="A266">
            <v>3040</v>
          </cell>
          <cell r="B266">
            <v>3</v>
          </cell>
        </row>
        <row r="267">
          <cell r="A267">
            <v>4041</v>
          </cell>
          <cell r="B267">
            <v>4</v>
          </cell>
        </row>
        <row r="268">
          <cell r="A268">
            <v>4042</v>
          </cell>
          <cell r="B268">
            <v>4</v>
          </cell>
        </row>
        <row r="269">
          <cell r="A269">
            <v>4043</v>
          </cell>
          <cell r="B269">
            <v>4</v>
          </cell>
        </row>
        <row r="270">
          <cell r="A270">
            <v>4044</v>
          </cell>
          <cell r="B270">
            <v>4</v>
          </cell>
        </row>
        <row r="271">
          <cell r="A271">
            <v>4045</v>
          </cell>
          <cell r="B271">
            <v>4</v>
          </cell>
        </row>
        <row r="272">
          <cell r="A272">
            <v>4046</v>
          </cell>
          <cell r="B272">
            <v>4</v>
          </cell>
        </row>
        <row r="273">
          <cell r="A273">
            <v>4047</v>
          </cell>
          <cell r="B273">
            <v>4</v>
          </cell>
        </row>
        <row r="274">
          <cell r="A274">
            <v>4048</v>
          </cell>
          <cell r="B274">
            <v>4</v>
          </cell>
        </row>
        <row r="275">
          <cell r="A275">
            <v>4049</v>
          </cell>
          <cell r="B275">
            <v>4</v>
          </cell>
        </row>
        <row r="276">
          <cell r="A276">
            <v>4050</v>
          </cell>
          <cell r="B276">
            <v>4</v>
          </cell>
        </row>
        <row r="277">
          <cell r="A277">
            <v>5051</v>
          </cell>
          <cell r="B277">
            <v>5</v>
          </cell>
        </row>
        <row r="278">
          <cell r="A278">
            <v>5052</v>
          </cell>
          <cell r="B278">
            <v>5</v>
          </cell>
        </row>
        <row r="279">
          <cell r="A279">
            <v>5053</v>
          </cell>
          <cell r="B279">
            <v>5</v>
          </cell>
        </row>
        <row r="280">
          <cell r="A280">
            <v>5054</v>
          </cell>
          <cell r="B280">
            <v>5</v>
          </cell>
        </row>
        <row r="281">
          <cell r="A281">
            <v>5055</v>
          </cell>
          <cell r="B281">
            <v>5</v>
          </cell>
        </row>
        <row r="282">
          <cell r="A282">
            <v>5056</v>
          </cell>
          <cell r="B282">
            <v>5</v>
          </cell>
        </row>
        <row r="283">
          <cell r="A283">
            <v>5057</v>
          </cell>
          <cell r="B283">
            <v>5</v>
          </cell>
        </row>
        <row r="284">
          <cell r="A284">
            <v>5058</v>
          </cell>
          <cell r="B284">
            <v>5</v>
          </cell>
        </row>
        <row r="285">
          <cell r="A285">
            <v>5059</v>
          </cell>
          <cell r="B285">
            <v>5</v>
          </cell>
        </row>
        <row r="286">
          <cell r="A286">
            <v>5060</v>
          </cell>
          <cell r="B286">
            <v>5</v>
          </cell>
        </row>
        <row r="287">
          <cell r="A287">
            <v>6061</v>
          </cell>
          <cell r="B287">
            <v>6</v>
          </cell>
        </row>
        <row r="288">
          <cell r="A288">
            <v>6062</v>
          </cell>
          <cell r="B288">
            <v>6</v>
          </cell>
        </row>
        <row r="289">
          <cell r="A289">
            <v>6063</v>
          </cell>
          <cell r="B289">
            <v>6</v>
          </cell>
        </row>
        <row r="290">
          <cell r="A290">
            <v>6064</v>
          </cell>
          <cell r="B290">
            <v>6</v>
          </cell>
        </row>
        <row r="291">
          <cell r="A291">
            <v>6065</v>
          </cell>
          <cell r="B291">
            <v>6</v>
          </cell>
        </row>
        <row r="292">
          <cell r="A292">
            <v>6066</v>
          </cell>
          <cell r="B292">
            <v>6</v>
          </cell>
        </row>
        <row r="293">
          <cell r="A293">
            <v>6067</v>
          </cell>
          <cell r="B293">
            <v>6</v>
          </cell>
        </row>
        <row r="294">
          <cell r="A294">
            <v>6068</v>
          </cell>
          <cell r="B294">
            <v>6</v>
          </cell>
        </row>
        <row r="295">
          <cell r="A295">
            <v>6069</v>
          </cell>
          <cell r="B295">
            <v>6</v>
          </cell>
        </row>
        <row r="296">
          <cell r="A296">
            <v>6070</v>
          </cell>
          <cell r="B296">
            <v>6</v>
          </cell>
        </row>
        <row r="297">
          <cell r="A297">
            <v>7071</v>
          </cell>
          <cell r="B297">
            <v>7</v>
          </cell>
        </row>
        <row r="298">
          <cell r="A298">
            <v>7072</v>
          </cell>
          <cell r="B298">
            <v>7</v>
          </cell>
        </row>
        <row r="299">
          <cell r="A299">
            <v>7073</v>
          </cell>
          <cell r="B299">
            <v>7</v>
          </cell>
        </row>
        <row r="300">
          <cell r="A300">
            <v>7074</v>
          </cell>
          <cell r="B300">
            <v>7</v>
          </cell>
        </row>
        <row r="301">
          <cell r="A301">
            <v>7075</v>
          </cell>
          <cell r="B301">
            <v>7</v>
          </cell>
        </row>
        <row r="302">
          <cell r="A302">
            <v>7076</v>
          </cell>
          <cell r="B302">
            <v>7</v>
          </cell>
        </row>
        <row r="303">
          <cell r="A303">
            <v>7077</v>
          </cell>
          <cell r="B303">
            <v>7</v>
          </cell>
        </row>
        <row r="304">
          <cell r="A304">
            <v>7078</v>
          </cell>
          <cell r="B304">
            <v>7</v>
          </cell>
        </row>
        <row r="305">
          <cell r="A305">
            <v>7079</v>
          </cell>
          <cell r="B305">
            <v>7</v>
          </cell>
        </row>
        <row r="306">
          <cell r="A306">
            <v>7080</v>
          </cell>
          <cell r="B306">
            <v>7</v>
          </cell>
        </row>
        <row r="307">
          <cell r="A307">
            <v>0</v>
          </cell>
        </row>
        <row r="308">
          <cell r="A308">
            <v>1010</v>
          </cell>
          <cell r="B308">
            <v>1</v>
          </cell>
        </row>
        <row r="309">
          <cell r="A309">
            <v>1011</v>
          </cell>
          <cell r="B309">
            <v>1</v>
          </cell>
        </row>
        <row r="310">
          <cell r="A310">
            <v>1012</v>
          </cell>
          <cell r="B310">
            <v>1</v>
          </cell>
        </row>
        <row r="311">
          <cell r="A311">
            <v>1013</v>
          </cell>
          <cell r="B311">
            <v>1</v>
          </cell>
        </row>
        <row r="312">
          <cell r="A312">
            <v>1014</v>
          </cell>
          <cell r="B312">
            <v>1</v>
          </cell>
        </row>
        <row r="313">
          <cell r="A313">
            <v>1015</v>
          </cell>
          <cell r="B313">
            <v>1</v>
          </cell>
        </row>
        <row r="314">
          <cell r="A314">
            <v>1016</v>
          </cell>
          <cell r="B314">
            <v>1</v>
          </cell>
        </row>
        <row r="315">
          <cell r="A315">
            <v>1017</v>
          </cell>
          <cell r="B315">
            <v>1</v>
          </cell>
        </row>
        <row r="316">
          <cell r="A316">
            <v>1018</v>
          </cell>
          <cell r="B316">
            <v>1</v>
          </cell>
        </row>
        <row r="317">
          <cell r="A317">
            <v>1019</v>
          </cell>
          <cell r="B317">
            <v>1</v>
          </cell>
        </row>
        <row r="318">
          <cell r="A318">
            <v>1020</v>
          </cell>
          <cell r="B318">
            <v>1</v>
          </cell>
        </row>
        <row r="319">
          <cell r="A319">
            <v>2021</v>
          </cell>
          <cell r="B319">
            <v>2</v>
          </cell>
        </row>
        <row r="320">
          <cell r="A320">
            <v>2022</v>
          </cell>
          <cell r="B320">
            <v>2</v>
          </cell>
        </row>
        <row r="321">
          <cell r="A321">
            <v>2023</v>
          </cell>
          <cell r="B321">
            <v>2</v>
          </cell>
        </row>
        <row r="322">
          <cell r="A322">
            <v>2024</v>
          </cell>
          <cell r="B322">
            <v>2</v>
          </cell>
        </row>
        <row r="323">
          <cell r="A323">
            <v>2025</v>
          </cell>
          <cell r="B323">
            <v>2</v>
          </cell>
        </row>
        <row r="324">
          <cell r="A324">
            <v>2026</v>
          </cell>
          <cell r="B324">
            <v>2</v>
          </cell>
        </row>
        <row r="325">
          <cell r="A325">
            <v>2027</v>
          </cell>
          <cell r="B325">
            <v>2</v>
          </cell>
        </row>
        <row r="326">
          <cell r="A326">
            <v>2028</v>
          </cell>
          <cell r="B326">
            <v>2</v>
          </cell>
        </row>
        <row r="327">
          <cell r="A327">
            <v>2029</v>
          </cell>
          <cell r="B327">
            <v>2</v>
          </cell>
        </row>
        <row r="328">
          <cell r="A328">
            <v>2030</v>
          </cell>
          <cell r="B328">
            <v>2</v>
          </cell>
        </row>
        <row r="329">
          <cell r="A329">
            <v>3031</v>
          </cell>
          <cell r="B329">
            <v>3</v>
          </cell>
        </row>
        <row r="330">
          <cell r="A330">
            <v>3032</v>
          </cell>
          <cell r="B330">
            <v>3</v>
          </cell>
        </row>
        <row r="331">
          <cell r="A331">
            <v>3033</v>
          </cell>
          <cell r="B331">
            <v>3</v>
          </cell>
        </row>
        <row r="332">
          <cell r="A332">
            <v>3034</v>
          </cell>
          <cell r="B332">
            <v>3</v>
          </cell>
        </row>
        <row r="333">
          <cell r="A333">
            <v>3035</v>
          </cell>
          <cell r="B333">
            <v>3</v>
          </cell>
        </row>
        <row r="334">
          <cell r="A334">
            <v>3036</v>
          </cell>
          <cell r="B334">
            <v>3</v>
          </cell>
        </row>
        <row r="335">
          <cell r="A335">
            <v>3037</v>
          </cell>
          <cell r="B335">
            <v>3</v>
          </cell>
        </row>
        <row r="336">
          <cell r="A336">
            <v>3038</v>
          </cell>
          <cell r="B336">
            <v>3</v>
          </cell>
        </row>
        <row r="337">
          <cell r="A337">
            <v>3039</v>
          </cell>
          <cell r="B337">
            <v>3</v>
          </cell>
        </row>
        <row r="338">
          <cell r="A338">
            <v>3040</v>
          </cell>
          <cell r="B338">
            <v>3</v>
          </cell>
        </row>
        <row r="339">
          <cell r="A339">
            <v>4041</v>
          </cell>
          <cell r="B339">
            <v>4</v>
          </cell>
        </row>
        <row r="340">
          <cell r="A340">
            <v>4042</v>
          </cell>
          <cell r="B340">
            <v>4</v>
          </cell>
        </row>
        <row r="341">
          <cell r="A341">
            <v>4043</v>
          </cell>
          <cell r="B341">
            <v>4</v>
          </cell>
        </row>
        <row r="342">
          <cell r="A342">
            <v>4044</v>
          </cell>
          <cell r="B342">
            <v>4</v>
          </cell>
        </row>
        <row r="343">
          <cell r="A343">
            <v>4045</v>
          </cell>
          <cell r="B343">
            <v>4</v>
          </cell>
        </row>
        <row r="344">
          <cell r="A344">
            <v>4046</v>
          </cell>
          <cell r="B344">
            <v>4</v>
          </cell>
        </row>
        <row r="345">
          <cell r="A345">
            <v>4047</v>
          </cell>
          <cell r="B345">
            <v>4</v>
          </cell>
        </row>
        <row r="346">
          <cell r="A346">
            <v>4048</v>
          </cell>
          <cell r="B346">
            <v>4</v>
          </cell>
        </row>
        <row r="347">
          <cell r="A347">
            <v>4049</v>
          </cell>
          <cell r="B347">
            <v>4</v>
          </cell>
        </row>
        <row r="348">
          <cell r="A348">
            <v>4050</v>
          </cell>
          <cell r="B348">
            <v>4</v>
          </cell>
        </row>
        <row r="349">
          <cell r="A349">
            <v>5051</v>
          </cell>
          <cell r="B349">
            <v>5</v>
          </cell>
        </row>
        <row r="350">
          <cell r="A350">
            <v>5052</v>
          </cell>
          <cell r="B350">
            <v>5</v>
          </cell>
        </row>
        <row r="351">
          <cell r="A351">
            <v>5053</v>
          </cell>
          <cell r="B351">
            <v>5</v>
          </cell>
        </row>
        <row r="352">
          <cell r="A352">
            <v>5054</v>
          </cell>
          <cell r="B352">
            <v>5</v>
          </cell>
        </row>
        <row r="353">
          <cell r="A353">
            <v>5055</v>
          </cell>
          <cell r="B353">
            <v>5</v>
          </cell>
        </row>
        <row r="354">
          <cell r="A354">
            <v>5056</v>
          </cell>
          <cell r="B354">
            <v>5</v>
          </cell>
        </row>
        <row r="355">
          <cell r="A355">
            <v>5057</v>
          </cell>
          <cell r="B355">
            <v>5</v>
          </cell>
        </row>
        <row r="356">
          <cell r="A356">
            <v>5058</v>
          </cell>
          <cell r="B356">
            <v>5</v>
          </cell>
        </row>
        <row r="357">
          <cell r="A357">
            <v>5059</v>
          </cell>
          <cell r="B357">
            <v>5</v>
          </cell>
        </row>
        <row r="358">
          <cell r="A358">
            <v>5060</v>
          </cell>
          <cell r="B358">
            <v>5</v>
          </cell>
        </row>
        <row r="359">
          <cell r="A359">
            <v>6061</v>
          </cell>
          <cell r="B359">
            <v>6</v>
          </cell>
        </row>
        <row r="360">
          <cell r="A360">
            <v>6062</v>
          </cell>
          <cell r="B360">
            <v>6</v>
          </cell>
        </row>
        <row r="361">
          <cell r="A361">
            <v>6063</v>
          </cell>
          <cell r="B361">
            <v>6</v>
          </cell>
        </row>
        <row r="362">
          <cell r="A362">
            <v>6064</v>
          </cell>
          <cell r="B362">
            <v>6</v>
          </cell>
        </row>
        <row r="363">
          <cell r="A363">
            <v>6065</v>
          </cell>
          <cell r="B363">
            <v>6</v>
          </cell>
        </row>
        <row r="364">
          <cell r="A364">
            <v>6066</v>
          </cell>
          <cell r="B364">
            <v>6</v>
          </cell>
        </row>
        <row r="365">
          <cell r="A365">
            <v>6067</v>
          </cell>
          <cell r="B365">
            <v>6</v>
          </cell>
        </row>
        <row r="366">
          <cell r="A366">
            <v>6068</v>
          </cell>
          <cell r="B366">
            <v>6</v>
          </cell>
        </row>
        <row r="367">
          <cell r="A367">
            <v>6069</v>
          </cell>
          <cell r="B367">
            <v>6</v>
          </cell>
        </row>
        <row r="368">
          <cell r="A368">
            <v>6070</v>
          </cell>
          <cell r="B368">
            <v>6</v>
          </cell>
        </row>
        <row r="369">
          <cell r="A369">
            <v>7071</v>
          </cell>
          <cell r="B369">
            <v>7</v>
          </cell>
        </row>
        <row r="370">
          <cell r="A370">
            <v>7072</v>
          </cell>
          <cell r="B370">
            <v>7</v>
          </cell>
        </row>
        <row r="371">
          <cell r="A371">
            <v>7073</v>
          </cell>
          <cell r="B371">
            <v>7</v>
          </cell>
        </row>
        <row r="372">
          <cell r="A372">
            <v>7074</v>
          </cell>
          <cell r="B372">
            <v>7</v>
          </cell>
        </row>
        <row r="373">
          <cell r="A373">
            <v>7075</v>
          </cell>
          <cell r="B373">
            <v>7</v>
          </cell>
        </row>
        <row r="374">
          <cell r="A374">
            <v>7076</v>
          </cell>
          <cell r="B374">
            <v>7</v>
          </cell>
        </row>
        <row r="375">
          <cell r="A375">
            <v>7077</v>
          </cell>
          <cell r="B375">
            <v>7</v>
          </cell>
        </row>
        <row r="376">
          <cell r="A376">
            <v>7078</v>
          </cell>
          <cell r="B376">
            <v>7</v>
          </cell>
        </row>
        <row r="377">
          <cell r="A377">
            <v>7079</v>
          </cell>
          <cell r="B377">
            <v>7</v>
          </cell>
        </row>
        <row r="378">
          <cell r="A378">
            <v>7080</v>
          </cell>
          <cell r="B378">
            <v>7</v>
          </cell>
        </row>
        <row r="379">
          <cell r="A379">
            <v>0</v>
          </cell>
        </row>
        <row r="380">
          <cell r="A380">
            <v>1010</v>
          </cell>
          <cell r="B380">
            <v>1</v>
          </cell>
        </row>
        <row r="381">
          <cell r="A381">
            <v>1011</v>
          </cell>
          <cell r="B381">
            <v>1</v>
          </cell>
        </row>
        <row r="382">
          <cell r="A382">
            <v>1012</v>
          </cell>
          <cell r="B382">
            <v>1</v>
          </cell>
        </row>
        <row r="383">
          <cell r="A383">
            <v>1013</v>
          </cell>
          <cell r="B383">
            <v>1</v>
          </cell>
        </row>
        <row r="384">
          <cell r="A384">
            <v>1014</v>
          </cell>
          <cell r="B384">
            <v>1</v>
          </cell>
        </row>
        <row r="385">
          <cell r="A385">
            <v>1015</v>
          </cell>
          <cell r="B385">
            <v>1</v>
          </cell>
        </row>
        <row r="386">
          <cell r="A386">
            <v>1016</v>
          </cell>
          <cell r="B386">
            <v>1</v>
          </cell>
        </row>
        <row r="387">
          <cell r="A387">
            <v>1017</v>
          </cell>
          <cell r="B387">
            <v>1</v>
          </cell>
        </row>
        <row r="388">
          <cell r="A388">
            <v>1018</v>
          </cell>
          <cell r="B388">
            <v>1</v>
          </cell>
        </row>
        <row r="389">
          <cell r="A389">
            <v>1019</v>
          </cell>
          <cell r="B389">
            <v>1</v>
          </cell>
        </row>
        <row r="390">
          <cell r="A390">
            <v>1020</v>
          </cell>
          <cell r="B390">
            <v>1</v>
          </cell>
        </row>
        <row r="391">
          <cell r="A391">
            <v>2021</v>
          </cell>
          <cell r="B391">
            <v>2</v>
          </cell>
        </row>
        <row r="392">
          <cell r="A392">
            <v>2022</v>
          </cell>
          <cell r="B392">
            <v>2</v>
          </cell>
        </row>
        <row r="393">
          <cell r="A393">
            <v>2023</v>
          </cell>
          <cell r="B393">
            <v>2</v>
          </cell>
        </row>
        <row r="394">
          <cell r="A394">
            <v>2024</v>
          </cell>
          <cell r="B394">
            <v>2</v>
          </cell>
        </row>
        <row r="395">
          <cell r="A395">
            <v>2025</v>
          </cell>
          <cell r="B395">
            <v>2</v>
          </cell>
        </row>
        <row r="396">
          <cell r="A396">
            <v>2026</v>
          </cell>
          <cell r="B396">
            <v>2</v>
          </cell>
        </row>
        <row r="397">
          <cell r="A397">
            <v>2027</v>
          </cell>
          <cell r="B397">
            <v>2</v>
          </cell>
        </row>
        <row r="398">
          <cell r="A398">
            <v>2028</v>
          </cell>
          <cell r="B398">
            <v>2</v>
          </cell>
        </row>
        <row r="399">
          <cell r="A399">
            <v>2029</v>
          </cell>
          <cell r="B399">
            <v>2</v>
          </cell>
        </row>
        <row r="400">
          <cell r="A400">
            <v>2030</v>
          </cell>
          <cell r="B400">
            <v>2</v>
          </cell>
        </row>
        <row r="401">
          <cell r="A401">
            <v>3031</v>
          </cell>
          <cell r="B401">
            <v>3</v>
          </cell>
        </row>
        <row r="402">
          <cell r="A402">
            <v>3032</v>
          </cell>
          <cell r="B402">
            <v>3</v>
          </cell>
        </row>
        <row r="403">
          <cell r="A403">
            <v>3033</v>
          </cell>
          <cell r="B403">
            <v>3</v>
          </cell>
        </row>
        <row r="404">
          <cell r="A404">
            <v>3034</v>
          </cell>
          <cell r="B404">
            <v>3</v>
          </cell>
        </row>
        <row r="405">
          <cell r="A405">
            <v>3035</v>
          </cell>
          <cell r="B405">
            <v>3</v>
          </cell>
        </row>
        <row r="406">
          <cell r="A406">
            <v>3036</v>
          </cell>
          <cell r="B406">
            <v>3</v>
          </cell>
        </row>
        <row r="407">
          <cell r="A407">
            <v>3037</v>
          </cell>
          <cell r="B407">
            <v>3</v>
          </cell>
        </row>
        <row r="408">
          <cell r="A408">
            <v>3038</v>
          </cell>
          <cell r="B408">
            <v>3</v>
          </cell>
        </row>
        <row r="409">
          <cell r="A409">
            <v>3039</v>
          </cell>
          <cell r="B409">
            <v>3</v>
          </cell>
        </row>
        <row r="410">
          <cell r="A410">
            <v>3040</v>
          </cell>
          <cell r="B410">
            <v>3</v>
          </cell>
        </row>
        <row r="411">
          <cell r="A411">
            <v>4041</v>
          </cell>
          <cell r="B411">
            <v>4</v>
          </cell>
        </row>
        <row r="412">
          <cell r="A412">
            <v>4042</v>
          </cell>
          <cell r="B412">
            <v>4</v>
          </cell>
        </row>
        <row r="413">
          <cell r="A413">
            <v>4043</v>
          </cell>
          <cell r="B413">
            <v>4</v>
          </cell>
        </row>
        <row r="414">
          <cell r="A414">
            <v>4044</v>
          </cell>
          <cell r="B414">
            <v>4</v>
          </cell>
        </row>
        <row r="415">
          <cell r="A415">
            <v>4045</v>
          </cell>
          <cell r="B415">
            <v>4</v>
          </cell>
        </row>
        <row r="416">
          <cell r="A416">
            <v>4046</v>
          </cell>
          <cell r="B416">
            <v>4</v>
          </cell>
        </row>
        <row r="417">
          <cell r="A417">
            <v>4047</v>
          </cell>
          <cell r="B417">
            <v>4</v>
          </cell>
        </row>
        <row r="418">
          <cell r="A418">
            <v>4048</v>
          </cell>
          <cell r="B418">
            <v>4</v>
          </cell>
        </row>
        <row r="419">
          <cell r="A419">
            <v>4049</v>
          </cell>
          <cell r="B419">
            <v>4</v>
          </cell>
        </row>
        <row r="420">
          <cell r="A420">
            <v>4050</v>
          </cell>
          <cell r="B420">
            <v>4</v>
          </cell>
        </row>
        <row r="421">
          <cell r="A421">
            <v>5051</v>
          </cell>
          <cell r="B421">
            <v>5</v>
          </cell>
        </row>
        <row r="422">
          <cell r="A422">
            <v>5052</v>
          </cell>
          <cell r="B422">
            <v>5</v>
          </cell>
        </row>
        <row r="423">
          <cell r="A423">
            <v>5053</v>
          </cell>
          <cell r="B423">
            <v>5</v>
          </cell>
        </row>
        <row r="424">
          <cell r="A424">
            <v>5054</v>
          </cell>
          <cell r="B424">
            <v>5</v>
          </cell>
        </row>
        <row r="425">
          <cell r="A425">
            <v>5055</v>
          </cell>
          <cell r="B425">
            <v>5</v>
          </cell>
        </row>
        <row r="426">
          <cell r="A426">
            <v>5056</v>
          </cell>
          <cell r="B426">
            <v>5</v>
          </cell>
        </row>
        <row r="427">
          <cell r="A427">
            <v>5057</v>
          </cell>
          <cell r="B427">
            <v>5</v>
          </cell>
        </row>
        <row r="428">
          <cell r="A428">
            <v>5058</v>
          </cell>
          <cell r="B428">
            <v>5</v>
          </cell>
        </row>
        <row r="429">
          <cell r="A429">
            <v>5059</v>
          </cell>
          <cell r="B429">
            <v>5</v>
          </cell>
        </row>
        <row r="430">
          <cell r="A430">
            <v>5060</v>
          </cell>
          <cell r="B430">
            <v>5</v>
          </cell>
        </row>
        <row r="431">
          <cell r="A431">
            <v>6061</v>
          </cell>
          <cell r="B431">
            <v>6</v>
          </cell>
        </row>
        <row r="432">
          <cell r="A432">
            <v>6062</v>
          </cell>
          <cell r="B432">
            <v>6</v>
          </cell>
        </row>
        <row r="433">
          <cell r="A433">
            <v>6063</v>
          </cell>
          <cell r="B433">
            <v>6</v>
          </cell>
        </row>
        <row r="434">
          <cell r="A434">
            <v>6064</v>
          </cell>
          <cell r="B434">
            <v>6</v>
          </cell>
        </row>
        <row r="435">
          <cell r="A435">
            <v>6065</v>
          </cell>
          <cell r="B435">
            <v>6</v>
          </cell>
        </row>
        <row r="436">
          <cell r="A436">
            <v>6066</v>
          </cell>
          <cell r="B436">
            <v>6</v>
          </cell>
        </row>
        <row r="437">
          <cell r="A437">
            <v>6067</v>
          </cell>
          <cell r="B437">
            <v>6</v>
          </cell>
        </row>
        <row r="438">
          <cell r="A438">
            <v>6068</v>
          </cell>
          <cell r="B438">
            <v>6</v>
          </cell>
        </row>
        <row r="439">
          <cell r="A439">
            <v>6069</v>
          </cell>
          <cell r="B439">
            <v>6</v>
          </cell>
        </row>
        <row r="440">
          <cell r="A440">
            <v>6070</v>
          </cell>
          <cell r="B440">
            <v>6</v>
          </cell>
        </row>
        <row r="441">
          <cell r="A441">
            <v>7071</v>
          </cell>
          <cell r="B441">
            <v>7</v>
          </cell>
        </row>
        <row r="442">
          <cell r="A442">
            <v>7072</v>
          </cell>
          <cell r="B442">
            <v>7</v>
          </cell>
        </row>
        <row r="443">
          <cell r="A443">
            <v>7073</v>
          </cell>
          <cell r="B443">
            <v>7</v>
          </cell>
        </row>
        <row r="444">
          <cell r="A444">
            <v>7074</v>
          </cell>
          <cell r="B444">
            <v>7</v>
          </cell>
        </row>
        <row r="445">
          <cell r="A445">
            <v>7075</v>
          </cell>
          <cell r="B445">
            <v>7</v>
          </cell>
        </row>
        <row r="446">
          <cell r="A446">
            <v>7076</v>
          </cell>
          <cell r="B446">
            <v>7</v>
          </cell>
        </row>
        <row r="447">
          <cell r="A447">
            <v>7077</v>
          </cell>
          <cell r="B447">
            <v>7</v>
          </cell>
        </row>
        <row r="448">
          <cell r="A448">
            <v>7078</v>
          </cell>
          <cell r="B448">
            <v>7</v>
          </cell>
        </row>
        <row r="449">
          <cell r="A449">
            <v>7079</v>
          </cell>
          <cell r="B449">
            <v>7</v>
          </cell>
        </row>
        <row r="450">
          <cell r="A450">
            <v>7080</v>
          </cell>
          <cell r="B450">
            <v>7</v>
          </cell>
        </row>
        <row r="451">
          <cell r="A451">
            <v>0</v>
          </cell>
        </row>
        <row r="452">
          <cell r="A452">
            <v>1010</v>
          </cell>
          <cell r="B452">
            <v>1</v>
          </cell>
        </row>
        <row r="453">
          <cell r="A453">
            <v>1011</v>
          </cell>
          <cell r="B453">
            <v>1</v>
          </cell>
        </row>
        <row r="454">
          <cell r="A454">
            <v>1012</v>
          </cell>
          <cell r="B454">
            <v>1</v>
          </cell>
        </row>
        <row r="455">
          <cell r="A455">
            <v>1013</v>
          </cell>
          <cell r="B455">
            <v>1</v>
          </cell>
        </row>
        <row r="456">
          <cell r="A456">
            <v>1014</v>
          </cell>
          <cell r="B456">
            <v>1</v>
          </cell>
        </row>
        <row r="457">
          <cell r="A457">
            <v>1015</v>
          </cell>
          <cell r="B457">
            <v>1</v>
          </cell>
        </row>
        <row r="458">
          <cell r="A458">
            <v>1016</v>
          </cell>
          <cell r="B458">
            <v>1</v>
          </cell>
        </row>
        <row r="459">
          <cell r="A459">
            <v>1017</v>
          </cell>
          <cell r="B459">
            <v>1</v>
          </cell>
        </row>
        <row r="460">
          <cell r="A460">
            <v>1018</v>
          </cell>
          <cell r="B460">
            <v>1</v>
          </cell>
        </row>
        <row r="461">
          <cell r="A461">
            <v>1019</v>
          </cell>
          <cell r="B461">
            <v>1</v>
          </cell>
        </row>
        <row r="462">
          <cell r="A462">
            <v>1020</v>
          </cell>
          <cell r="B462">
            <v>1</v>
          </cell>
        </row>
        <row r="463">
          <cell r="A463">
            <v>2021</v>
          </cell>
          <cell r="B463">
            <v>2</v>
          </cell>
        </row>
        <row r="464">
          <cell r="A464">
            <v>2022</v>
          </cell>
          <cell r="B464">
            <v>2</v>
          </cell>
        </row>
        <row r="465">
          <cell r="A465">
            <v>2023</v>
          </cell>
          <cell r="B465">
            <v>2</v>
          </cell>
        </row>
        <row r="466">
          <cell r="A466">
            <v>2024</v>
          </cell>
          <cell r="B466">
            <v>2</v>
          </cell>
        </row>
        <row r="467">
          <cell r="A467">
            <v>2025</v>
          </cell>
          <cell r="B467">
            <v>2</v>
          </cell>
        </row>
        <row r="468">
          <cell r="A468">
            <v>2026</v>
          </cell>
          <cell r="B468">
            <v>2</v>
          </cell>
        </row>
        <row r="469">
          <cell r="A469">
            <v>2027</v>
          </cell>
          <cell r="B469">
            <v>2</v>
          </cell>
        </row>
        <row r="470">
          <cell r="A470">
            <v>2028</v>
          </cell>
          <cell r="B470">
            <v>2</v>
          </cell>
        </row>
        <row r="471">
          <cell r="A471">
            <v>2029</v>
          </cell>
          <cell r="B471">
            <v>2</v>
          </cell>
        </row>
        <row r="472">
          <cell r="A472">
            <v>2030</v>
          </cell>
          <cell r="B472">
            <v>2</v>
          </cell>
        </row>
        <row r="473">
          <cell r="A473">
            <v>3031</v>
          </cell>
          <cell r="B473">
            <v>3</v>
          </cell>
        </row>
        <row r="474">
          <cell r="A474">
            <v>3032</v>
          </cell>
          <cell r="B474">
            <v>3</v>
          </cell>
        </row>
        <row r="475">
          <cell r="A475">
            <v>3033</v>
          </cell>
          <cell r="B475">
            <v>3</v>
          </cell>
        </row>
        <row r="476">
          <cell r="A476">
            <v>3034</v>
          </cell>
          <cell r="B476">
            <v>3</v>
          </cell>
        </row>
        <row r="477">
          <cell r="A477">
            <v>3035</v>
          </cell>
          <cell r="B477">
            <v>3</v>
          </cell>
        </row>
        <row r="478">
          <cell r="A478">
            <v>3036</v>
          </cell>
          <cell r="B478">
            <v>3</v>
          </cell>
        </row>
        <row r="479">
          <cell r="A479">
            <v>3037</v>
          </cell>
          <cell r="B479">
            <v>3</v>
          </cell>
        </row>
        <row r="480">
          <cell r="A480">
            <v>3038</v>
          </cell>
          <cell r="B480">
            <v>3</v>
          </cell>
        </row>
        <row r="481">
          <cell r="A481">
            <v>3039</v>
          </cell>
          <cell r="B481">
            <v>3</v>
          </cell>
        </row>
        <row r="482">
          <cell r="A482">
            <v>3040</v>
          </cell>
          <cell r="B482">
            <v>3</v>
          </cell>
        </row>
        <row r="483">
          <cell r="A483">
            <v>4041</v>
          </cell>
          <cell r="B483">
            <v>4</v>
          </cell>
        </row>
        <row r="484">
          <cell r="A484">
            <v>4042</v>
          </cell>
          <cell r="B484">
            <v>4</v>
          </cell>
        </row>
        <row r="485">
          <cell r="A485">
            <v>4043</v>
          </cell>
          <cell r="B485">
            <v>4</v>
          </cell>
        </row>
        <row r="486">
          <cell r="A486">
            <v>4044</v>
          </cell>
          <cell r="B486">
            <v>4</v>
          </cell>
        </row>
        <row r="487">
          <cell r="A487">
            <v>4045</v>
          </cell>
          <cell r="B487">
            <v>4</v>
          </cell>
        </row>
        <row r="488">
          <cell r="A488">
            <v>4046</v>
          </cell>
          <cell r="B488">
            <v>4</v>
          </cell>
        </row>
        <row r="489">
          <cell r="A489">
            <v>4047</v>
          </cell>
          <cell r="B489">
            <v>4</v>
          </cell>
        </row>
        <row r="490">
          <cell r="A490">
            <v>4048</v>
          </cell>
          <cell r="B490">
            <v>4</v>
          </cell>
        </row>
        <row r="491">
          <cell r="A491">
            <v>4049</v>
          </cell>
          <cell r="B491">
            <v>4</v>
          </cell>
        </row>
        <row r="492">
          <cell r="A492">
            <v>4050</v>
          </cell>
          <cell r="B492">
            <v>4</v>
          </cell>
        </row>
        <row r="493">
          <cell r="A493">
            <v>5051</v>
          </cell>
          <cell r="B493">
            <v>5</v>
          </cell>
        </row>
        <row r="494">
          <cell r="A494">
            <v>5052</v>
          </cell>
          <cell r="B494">
            <v>5</v>
          </cell>
        </row>
        <row r="495">
          <cell r="A495">
            <v>5053</v>
          </cell>
          <cell r="B495">
            <v>5</v>
          </cell>
        </row>
        <row r="496">
          <cell r="A496">
            <v>5054</v>
          </cell>
          <cell r="B496">
            <v>5</v>
          </cell>
        </row>
        <row r="497">
          <cell r="A497">
            <v>5055</v>
          </cell>
          <cell r="B497">
            <v>5</v>
          </cell>
        </row>
        <row r="498">
          <cell r="A498">
            <v>5056</v>
          </cell>
          <cell r="B498">
            <v>5</v>
          </cell>
        </row>
        <row r="499">
          <cell r="A499">
            <v>5057</v>
          </cell>
          <cell r="B499">
            <v>5</v>
          </cell>
        </row>
        <row r="500">
          <cell r="A500">
            <v>5058</v>
          </cell>
          <cell r="B500">
            <v>5</v>
          </cell>
        </row>
        <row r="501">
          <cell r="A501">
            <v>5059</v>
          </cell>
          <cell r="B501">
            <v>5</v>
          </cell>
        </row>
        <row r="502">
          <cell r="A502">
            <v>5060</v>
          </cell>
          <cell r="B502">
            <v>5</v>
          </cell>
        </row>
        <row r="503">
          <cell r="A503">
            <v>6061</v>
          </cell>
          <cell r="B503">
            <v>6</v>
          </cell>
        </row>
        <row r="504">
          <cell r="A504">
            <v>6062</v>
          </cell>
          <cell r="B504">
            <v>6</v>
          </cell>
        </row>
        <row r="505">
          <cell r="A505">
            <v>6063</v>
          </cell>
          <cell r="B505">
            <v>6</v>
          </cell>
        </row>
        <row r="506">
          <cell r="A506">
            <v>6064</v>
          </cell>
          <cell r="B506">
            <v>6</v>
          </cell>
        </row>
        <row r="507">
          <cell r="A507">
            <v>6065</v>
          </cell>
          <cell r="B507">
            <v>6</v>
          </cell>
        </row>
        <row r="508">
          <cell r="A508">
            <v>6066</v>
          </cell>
          <cell r="B508">
            <v>6</v>
          </cell>
        </row>
        <row r="509">
          <cell r="A509">
            <v>6067</v>
          </cell>
          <cell r="B509">
            <v>6</v>
          </cell>
        </row>
        <row r="510">
          <cell r="A510">
            <v>6068</v>
          </cell>
          <cell r="B510">
            <v>6</v>
          </cell>
        </row>
        <row r="511">
          <cell r="A511">
            <v>6069</v>
          </cell>
          <cell r="B511">
            <v>6</v>
          </cell>
        </row>
        <row r="512">
          <cell r="A512">
            <v>6070</v>
          </cell>
          <cell r="B512">
            <v>6</v>
          </cell>
        </row>
        <row r="513">
          <cell r="A513">
            <v>7071</v>
          </cell>
          <cell r="B513">
            <v>7</v>
          </cell>
        </row>
        <row r="514">
          <cell r="A514">
            <v>7072</v>
          </cell>
          <cell r="B514">
            <v>7</v>
          </cell>
        </row>
        <row r="515">
          <cell r="A515">
            <v>7073</v>
          </cell>
          <cell r="B515">
            <v>7</v>
          </cell>
        </row>
        <row r="516">
          <cell r="A516">
            <v>7074</v>
          </cell>
          <cell r="B516">
            <v>7</v>
          </cell>
        </row>
        <row r="517">
          <cell r="A517">
            <v>7075</v>
          </cell>
          <cell r="B517">
            <v>7</v>
          </cell>
        </row>
        <row r="518">
          <cell r="A518">
            <v>7076</v>
          </cell>
          <cell r="B518">
            <v>7</v>
          </cell>
        </row>
        <row r="519">
          <cell r="A519">
            <v>7077</v>
          </cell>
          <cell r="B519">
            <v>7</v>
          </cell>
        </row>
        <row r="520">
          <cell r="A520">
            <v>7078</v>
          </cell>
          <cell r="B520">
            <v>7</v>
          </cell>
        </row>
        <row r="521">
          <cell r="A521">
            <v>7079</v>
          </cell>
          <cell r="B521">
            <v>7</v>
          </cell>
        </row>
        <row r="522">
          <cell r="A522">
            <v>7080</v>
          </cell>
          <cell r="B522">
            <v>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资质对应属性等级伤害模型"/>
      <sheetName val="主角成长"/>
      <sheetName val="怪物招式设定"/>
      <sheetName val="怪物强度模型"/>
      <sheetName val="费用分布"/>
      <sheetName val="资质模型"/>
      <sheetName val="心法招式设定"/>
      <sheetName val="品质分布"/>
      <sheetName val="心法"/>
      <sheetName val="招式心法规划"/>
      <sheetName val="心法规划"/>
      <sheetName val="招式规划"/>
    </sheetNames>
    <sheetDataSet>
      <sheetData sheetId="0"/>
      <sheetData sheetId="1"/>
      <sheetData sheetId="2"/>
      <sheetData sheetId="3"/>
      <sheetData sheetId="4">
        <row r="8">
          <cell r="R8">
            <v>2.42990654205607</v>
          </cell>
        </row>
      </sheetData>
      <sheetData sheetId="5">
        <row r="7">
          <cell r="Q7">
            <v>6.62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赚钱"/>
      <sheetName val="规划"/>
      <sheetName val="修改内容"/>
      <sheetName val="赚钱2.0"/>
      <sheetName val="视频点"/>
      <sheetName val="消耗v2.0"/>
      <sheetName val="五属性"/>
      <sheetName val="服装、坐骑"/>
      <sheetName val="任务相关奖励"/>
      <sheetName val="仙玉"/>
      <sheetName val="付费版"/>
      <sheetName val="活动奖励"/>
      <sheetName val="奇珍异宝"/>
      <sheetName val="心法"/>
      <sheetName val="NPC关系"/>
      <sheetName val="NPC关系（new）"/>
      <sheetName val="增益效果"/>
      <sheetName val="寿元"/>
      <sheetName val="副本"/>
      <sheetName val="境界突破"/>
      <sheetName val="体力"/>
      <sheetName val="标准人"/>
      <sheetName val="商人"/>
      <sheetName val="battle"/>
      <sheetName val="填表"/>
      <sheetName val="主线"/>
      <sheetName val="主线数据"/>
      <sheetName val="战力调整"/>
      <sheetName val="辅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1">
          <cell r="D31">
            <v>3000</v>
          </cell>
        </row>
        <row r="32">
          <cell r="D32">
            <v>20000</v>
          </cell>
        </row>
        <row r="33">
          <cell r="D33">
            <v>50000</v>
          </cell>
        </row>
        <row r="34">
          <cell r="D34">
            <v>120000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_config_"/>
      <sheetName val="_table_"/>
      <sheetName val="_language_"/>
      <sheetName val="table符号定义"/>
      <sheetName val="item_type"/>
      <sheetName val="drug_formulation"/>
      <sheetName val="collect_des"/>
      <sheetName val="fox_skin"/>
      <sheetName val="luckdraw"/>
      <sheetName val="introduction"/>
      <sheetName val="属性辅助表"/>
      <sheetName val="旧手札备份"/>
      <sheetName val="task"/>
      <sheetName val="player_face"/>
      <sheetName val="task_type"/>
      <sheetName val="task_price"/>
      <sheetName val="iron_equipment"/>
      <sheetName val="iron_formulation"/>
      <sheetName val="iron_property"/>
      <sheetName val="breakthrough_stage"/>
      <sheetName val="equiptment_formulation"/>
      <sheetName val="stage_level"/>
      <sheetName val="achievement_tag"/>
      <sheetName val="sport_condition"/>
      <sheetName val="sport_makemoney"/>
      <sheetName val="guide"/>
      <sheetName val="guide_group_reward"/>
      <sheetName val="Sheet1"/>
      <sheetName val="cartoon"/>
      <sheetName val="emoji_type"/>
      <sheetName val="notice"/>
      <sheetName val="enlighten_type"/>
    </sheetNames>
    <sheetDataSet>
      <sheetData sheetId="0"/>
      <sheetData sheetId="1"/>
      <sheetData sheetId="2"/>
      <sheetData sheetId="3"/>
      <sheetData sheetId="4">
        <row r="197">
          <cell r="A197">
            <v>302006</v>
          </cell>
        </row>
        <row r="198">
          <cell r="A198">
            <v>302007</v>
          </cell>
        </row>
        <row r="199">
          <cell r="A199">
            <v>302008</v>
          </cell>
        </row>
        <row r="200">
          <cell r="A200">
            <v>302009</v>
          </cell>
        </row>
        <row r="201">
          <cell r="A201">
            <v>302010</v>
          </cell>
        </row>
        <row r="203">
          <cell r="A203">
            <v>302012</v>
          </cell>
        </row>
        <row r="204">
          <cell r="A204">
            <v>302013</v>
          </cell>
        </row>
        <row r="205">
          <cell r="A205">
            <v>302014</v>
          </cell>
        </row>
        <row r="206">
          <cell r="A206">
            <v>302015</v>
          </cell>
        </row>
        <row r="207">
          <cell r="A207">
            <v>302016</v>
          </cell>
        </row>
        <row r="211">
          <cell r="A211">
            <v>302020</v>
          </cell>
        </row>
        <row r="212">
          <cell r="A212">
            <v>302021</v>
          </cell>
        </row>
        <row r="213">
          <cell r="A213">
            <v>302022</v>
          </cell>
        </row>
        <row r="214">
          <cell r="A214">
            <v>302023</v>
          </cell>
        </row>
        <row r="215">
          <cell r="A215">
            <v>302024</v>
          </cell>
        </row>
        <row r="217">
          <cell r="A217">
            <v>302026</v>
          </cell>
        </row>
        <row r="218">
          <cell r="A218">
            <v>302027</v>
          </cell>
        </row>
        <row r="219">
          <cell r="A219">
            <v>302028</v>
          </cell>
        </row>
        <row r="220">
          <cell r="A220">
            <v>302029</v>
          </cell>
        </row>
        <row r="221">
          <cell r="A221">
            <v>302030</v>
          </cell>
        </row>
        <row r="223">
          <cell r="A223">
            <v>303002</v>
          </cell>
        </row>
        <row r="224">
          <cell r="A224">
            <v>303003</v>
          </cell>
        </row>
        <row r="225">
          <cell r="A225">
            <v>303004</v>
          </cell>
        </row>
        <row r="226">
          <cell r="A226">
            <v>303005</v>
          </cell>
        </row>
        <row r="227">
          <cell r="A227">
            <v>303006</v>
          </cell>
        </row>
        <row r="229">
          <cell r="A229">
            <v>303008</v>
          </cell>
        </row>
        <row r="230">
          <cell r="A230">
            <v>303009</v>
          </cell>
        </row>
        <row r="231">
          <cell r="A231">
            <v>303010</v>
          </cell>
        </row>
        <row r="232">
          <cell r="A232">
            <v>303011</v>
          </cell>
        </row>
        <row r="233">
          <cell r="A233">
            <v>303012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ables/table1.xml><?xml version="1.0" encoding="utf-8"?>
<table xmlns="http://schemas.openxmlformats.org/spreadsheetml/2006/main" id="1" name="表3" displayName="表3" ref="A3:G51" totalsRowShown="0">
  <sortState ref="A3:G51">
    <sortCondition ref="A3:A64"/>
  </sortState>
  <tableColumns count="7">
    <tableColumn id="1" name="表名" dataDxfId="0"/>
    <tableColumn id="2" name="生成文件名" dataDxfId="1"/>
    <tableColumn id="3" name="是否输出" dataDxfId="2"/>
    <tableColumn id="4" name="id重复" dataDxfId="3"/>
    <tableColumn id="5" name="是否是多语言" dataDxfId="4"/>
    <tableColumn id="6" name="关联" dataDxfId="5"/>
    <tableColumn id="7" name="列1" dataDxfId="6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2:B6" totalsRowShown="0">
  <autoFilter xmlns:etc="http://www.wps.cn/officeDocument/2017/etCustomData" ref="A2:B6" etc:filterBottomFollowUsedRange="0"/>
  <tableColumns count="2">
    <tableColumn id="1" name="符号" dataDxfId="7"/>
    <tableColumn id="2" name="作用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.xml"/><Relationship Id="rId1" Type="http://schemas.openxmlformats.org/officeDocument/2006/relationships/comments" Target="../comments1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1"/>
  <sheetViews>
    <sheetView topLeftCell="A4" workbookViewId="0">
      <selection activeCell="F12" sqref="F12"/>
    </sheetView>
  </sheetViews>
  <sheetFormatPr defaultColWidth="9" defaultRowHeight="15" outlineLevelCol="6"/>
  <cols>
    <col min="1" max="1" width="32.2477876106195" style="375" customWidth="1"/>
    <col min="2" max="2" width="33.1238938053097" style="375" customWidth="1"/>
    <col min="3" max="3" width="20.1238938053097" style="375" customWidth="1"/>
    <col min="4" max="4" width="11.5044247787611" style="375" customWidth="1"/>
    <col min="5" max="5" width="17" style="375" customWidth="1"/>
    <col min="6" max="6" width="27.8761061946903" style="375" customWidth="1"/>
    <col min="7" max="16384" width="9" style="375"/>
  </cols>
  <sheetData>
    <row r="1" ht="19.1" spans="1:6">
      <c r="A1" s="376" t="s">
        <v>0</v>
      </c>
      <c r="B1" s="376"/>
      <c r="C1" s="376"/>
      <c r="D1" s="376"/>
      <c r="E1" s="376"/>
      <c r="F1" s="377"/>
    </row>
    <row r="3" ht="20.25" spans="1:7">
      <c r="A3" s="378" t="s">
        <v>1</v>
      </c>
      <c r="B3" s="379" t="s">
        <v>2</v>
      </c>
      <c r="C3" s="379" t="s">
        <v>3</v>
      </c>
      <c r="D3" s="379" t="s">
        <v>4</v>
      </c>
      <c r="E3" s="379" t="s">
        <v>5</v>
      </c>
      <c r="F3" s="380" t="s">
        <v>6</v>
      </c>
      <c r="G3" s="375" t="s">
        <v>7</v>
      </c>
    </row>
    <row r="4" ht="19.1" spans="1:6">
      <c r="A4" s="381" t="s">
        <v>8</v>
      </c>
      <c r="B4" s="382" t="str">
        <f>表3[[#This Row],[表名]]&amp;".json"</f>
        <v>card_type.json</v>
      </c>
      <c r="C4" s="383" t="s">
        <v>9</v>
      </c>
      <c r="D4" s="383" t="s">
        <v>10</v>
      </c>
      <c r="E4" s="383" t="s">
        <v>10</v>
      </c>
      <c r="F4" s="384" t="s">
        <v>11</v>
      </c>
    </row>
    <row r="5" ht="19.1" spans="1:6">
      <c r="A5" s="381" t="s">
        <v>12</v>
      </c>
      <c r="B5" s="382" t="str">
        <f>表3[[#This Row],[表名]]&amp;".json"</f>
        <v>card.json</v>
      </c>
      <c r="C5" s="383" t="s">
        <v>9</v>
      </c>
      <c r="D5" s="383" t="s">
        <v>10</v>
      </c>
      <c r="E5" s="383" t="s">
        <v>10</v>
      </c>
      <c r="F5" s="385" t="s">
        <v>13</v>
      </c>
    </row>
    <row r="6" ht="19.1" spans="1:6">
      <c r="A6" s="381" t="s">
        <v>14</v>
      </c>
      <c r="B6" s="382" t="str">
        <f>表3[[#This Row],[表名]]&amp;".json"</f>
        <v>skill.json</v>
      </c>
      <c r="C6" s="383" t="s">
        <v>9</v>
      </c>
      <c r="D6" s="383" t="s">
        <v>10</v>
      </c>
      <c r="E6" s="383" t="s">
        <v>10</v>
      </c>
      <c r="F6" s="386" t="s">
        <v>15</v>
      </c>
    </row>
    <row r="7" ht="19.1" spans="1:6">
      <c r="A7" s="381" t="s">
        <v>16</v>
      </c>
      <c r="B7" s="382" t="str">
        <f>表3[[#This Row],[表名]]&amp;".json"</f>
        <v>buff.json</v>
      </c>
      <c r="C7" s="383" t="s">
        <v>9</v>
      </c>
      <c r="D7" s="383" t="s">
        <v>10</v>
      </c>
      <c r="E7" s="383" t="s">
        <v>10</v>
      </c>
      <c r="F7" s="387" t="s">
        <v>17</v>
      </c>
    </row>
    <row r="8" ht="19.1" spans="1:6">
      <c r="A8" s="381" t="s">
        <v>18</v>
      </c>
      <c r="B8" s="382" t="str">
        <f>表3[[#This Row],[表名]]&amp;".json"</f>
        <v>passive_type.json</v>
      </c>
      <c r="C8" s="383" t="s">
        <v>9</v>
      </c>
      <c r="D8" s="383" t="s">
        <v>10</v>
      </c>
      <c r="E8" s="383" t="s">
        <v>10</v>
      </c>
      <c r="F8" s="388" t="s">
        <v>19</v>
      </c>
    </row>
    <row r="9" ht="19.1" spans="1:6">
      <c r="A9" s="381" t="s">
        <v>20</v>
      </c>
      <c r="B9" s="382" t="str">
        <f>表3[[#This Row],[表名]]&amp;".json"</f>
        <v>passive.json</v>
      </c>
      <c r="C9" s="383" t="s">
        <v>9</v>
      </c>
      <c r="D9" s="383" t="s">
        <v>10</v>
      </c>
      <c r="E9" s="383" t="s">
        <v>10</v>
      </c>
      <c r="F9" s="388" t="s">
        <v>21</v>
      </c>
    </row>
    <row r="10" ht="19.1" spans="1:6">
      <c r="A10" s="389" t="s">
        <v>22</v>
      </c>
      <c r="B10" s="382" t="str">
        <f>表3[[#This Row],[表名]]&amp;".json"</f>
        <v>battle_group.json</v>
      </c>
      <c r="C10" s="383" t="s">
        <v>9</v>
      </c>
      <c r="D10" s="383" t="s">
        <v>10</v>
      </c>
      <c r="E10" s="383" t="s">
        <v>10</v>
      </c>
      <c r="F10" s="390" t="s">
        <v>23</v>
      </c>
    </row>
    <row r="11" ht="19.1" spans="1:6">
      <c r="A11" s="391" t="s">
        <v>24</v>
      </c>
      <c r="B11" s="382" t="str">
        <f>表3[[#This Row],[表名]]&amp;".json"</f>
        <v>monster.json</v>
      </c>
      <c r="C11" s="383" t="s">
        <v>9</v>
      </c>
      <c r="D11" s="383" t="s">
        <v>10</v>
      </c>
      <c r="E11" s="383" t="s">
        <v>10</v>
      </c>
      <c r="F11" s="392" t="s">
        <v>25</v>
      </c>
    </row>
    <row r="12" ht="19.1" spans="1:6">
      <c r="A12" s="393" t="s">
        <v>26</v>
      </c>
      <c r="B12" s="382" t="str">
        <f>表3[[#This Row],[表名]]&amp;".json"</f>
        <v>drop.json</v>
      </c>
      <c r="C12" s="394" t="s">
        <v>9</v>
      </c>
      <c r="D12" s="394" t="s">
        <v>10</v>
      </c>
      <c r="E12" s="394" t="s">
        <v>10</v>
      </c>
      <c r="F12" s="395" t="s">
        <v>27</v>
      </c>
    </row>
    <row r="13" ht="19.1" spans="1:6">
      <c r="A13" s="200" t="s">
        <v>28</v>
      </c>
      <c r="B13" s="382" t="str">
        <f>表3[[#This Row],[表名]]&amp;".json"</f>
        <v>property_exp.json</v>
      </c>
      <c r="C13" s="394" t="s">
        <v>9</v>
      </c>
      <c r="D13" s="394" t="s">
        <v>10</v>
      </c>
      <c r="E13" s="394" t="s">
        <v>10</v>
      </c>
      <c r="F13" s="396" t="s">
        <v>29</v>
      </c>
    </row>
    <row r="14" ht="19.1" spans="1:6">
      <c r="A14" s="200" t="s">
        <v>30</v>
      </c>
      <c r="B14" s="382" t="str">
        <f>表3[[#This Row],[表名]]&amp;".json"</f>
        <v>home_shop.json</v>
      </c>
      <c r="C14" s="394" t="s">
        <v>9</v>
      </c>
      <c r="D14" s="394" t="s">
        <v>10</v>
      </c>
      <c r="E14" s="394" t="s">
        <v>10</v>
      </c>
      <c r="F14" s="397" t="s">
        <v>31</v>
      </c>
    </row>
    <row r="15" s="200" customFormat="1" ht="18" customHeight="1" spans="1:6">
      <c r="A15" s="200" t="s">
        <v>32</v>
      </c>
      <c r="B15" s="382" t="str">
        <f>表3[[#This Row],[表名]]&amp;".json"</f>
        <v>home_decorate.json</v>
      </c>
      <c r="C15" s="394" t="s">
        <v>9</v>
      </c>
      <c r="D15" s="394" t="s">
        <v>10</v>
      </c>
      <c r="E15" s="394" t="s">
        <v>10</v>
      </c>
      <c r="F15" s="396" t="s">
        <v>33</v>
      </c>
    </row>
    <row r="16" ht="19.1" spans="1:6">
      <c r="A16" s="398" t="s">
        <v>34</v>
      </c>
      <c r="B16" s="382" t="str">
        <f>表3[[#This Row],[表名]]&amp;".json"</f>
        <v>collect_type.json</v>
      </c>
      <c r="C16" s="394" t="s">
        <v>9</v>
      </c>
      <c r="D16" s="394" t="s">
        <v>10</v>
      </c>
      <c r="E16" s="394" t="s">
        <v>10</v>
      </c>
      <c r="F16" s="399" t="s">
        <v>35</v>
      </c>
    </row>
    <row r="17" ht="19.1" spans="1:6">
      <c r="A17" s="400" t="s">
        <v>36</v>
      </c>
      <c r="B17" s="401" t="str">
        <f>表3[[#This Row],[表名]]&amp;".json"</f>
        <v>home_sport.json</v>
      </c>
      <c r="C17" s="402" t="s">
        <v>9</v>
      </c>
      <c r="D17" s="402" t="s">
        <v>10</v>
      </c>
      <c r="E17" s="402" t="s">
        <v>10</v>
      </c>
      <c r="F17" s="399" t="s">
        <v>37</v>
      </c>
    </row>
    <row r="18" ht="19.1" spans="1:6">
      <c r="A18" s="403" t="s">
        <v>38</v>
      </c>
      <c r="B18" s="382" t="str">
        <f>表3[[#This Row],[表名]]&amp;".json"</f>
        <v>effect.json</v>
      </c>
      <c r="C18" s="394" t="s">
        <v>9</v>
      </c>
      <c r="D18" s="394" t="s">
        <v>10</v>
      </c>
      <c r="E18" s="394" t="s">
        <v>10</v>
      </c>
      <c r="F18" s="404" t="s">
        <v>39</v>
      </c>
    </row>
    <row r="19" ht="19.1" spans="1:6">
      <c r="A19" s="403" t="s">
        <v>40</v>
      </c>
      <c r="B19" s="382" t="str">
        <f>表3[[#This Row],[表名]]&amp;".json"</f>
        <v>model.json</v>
      </c>
      <c r="C19" s="394" t="s">
        <v>9</v>
      </c>
      <c r="D19" s="394" t="s">
        <v>10</v>
      </c>
      <c r="E19" s="394" t="s">
        <v>10</v>
      </c>
      <c r="F19" s="392" t="s">
        <v>41</v>
      </c>
    </row>
    <row r="20" ht="19.1" spans="1:6">
      <c r="A20" s="405" t="s">
        <v>42</v>
      </c>
      <c r="B20" s="382" t="str">
        <f>表3[[#This Row],[表名]]&amp;".json"</f>
        <v>npc_level_config.json</v>
      </c>
      <c r="C20" s="402" t="s">
        <v>9</v>
      </c>
      <c r="D20" s="402" t="s">
        <v>10</v>
      </c>
      <c r="E20" s="402" t="s">
        <v>10</v>
      </c>
      <c r="F20" s="404" t="s">
        <v>43</v>
      </c>
    </row>
    <row r="21" ht="19.1" spans="1:6">
      <c r="A21" s="405" t="s">
        <v>44</v>
      </c>
      <c r="B21" s="382" t="str">
        <f>表3[[#This Row],[表名]]&amp;".json"</f>
        <v>sound_effect.json</v>
      </c>
      <c r="C21" s="402" t="s">
        <v>9</v>
      </c>
      <c r="D21" s="402" t="s">
        <v>10</v>
      </c>
      <c r="E21" s="402" t="s">
        <v>10</v>
      </c>
      <c r="F21" s="399" t="s">
        <v>45</v>
      </c>
    </row>
    <row r="22" ht="19.1" spans="1:6">
      <c r="A22" s="406" t="s">
        <v>46</v>
      </c>
      <c r="B22" s="382" t="str">
        <f>表3[[#This Row],[表名]]&amp;".json"</f>
        <v>npc_growth.json</v>
      </c>
      <c r="C22" s="402" t="s">
        <v>9</v>
      </c>
      <c r="D22" s="402" t="s">
        <v>10</v>
      </c>
      <c r="E22" s="402" t="s">
        <v>10</v>
      </c>
      <c r="F22" s="399" t="s">
        <v>47</v>
      </c>
    </row>
    <row r="23" ht="19.1" spans="1:6">
      <c r="A23" s="406" t="s">
        <v>48</v>
      </c>
      <c r="B23" s="382" t="str">
        <f>表3[[#This Row],[表名]]&amp;".json"</f>
        <v>combat_ability.json</v>
      </c>
      <c r="C23" s="402" t="s">
        <v>9</v>
      </c>
      <c r="D23" s="402" t="s">
        <v>10</v>
      </c>
      <c r="E23" s="402" t="s">
        <v>10</v>
      </c>
      <c r="F23" s="399" t="s">
        <v>49</v>
      </c>
    </row>
    <row r="24" ht="19.1" spans="1:6">
      <c r="A24" s="406" t="s">
        <v>50</v>
      </c>
      <c r="B24" s="382" t="str">
        <f>表3[[#This Row],[表名]]&amp;".json"</f>
        <v>talent_type.json</v>
      </c>
      <c r="C24" s="402" t="s">
        <v>9</v>
      </c>
      <c r="D24" s="402" t="s">
        <v>10</v>
      </c>
      <c r="E24" s="402" t="s">
        <v>10</v>
      </c>
      <c r="F24" s="407" t="s">
        <v>51</v>
      </c>
    </row>
    <row r="25" ht="19.1" spans="1:6">
      <c r="A25" s="406" t="s">
        <v>52</v>
      </c>
      <c r="B25" s="382" t="str">
        <f>表3[[#This Row],[表名]]&amp;".json"</f>
        <v>home_decorate_level.json</v>
      </c>
      <c r="C25" s="402" t="s">
        <v>9</v>
      </c>
      <c r="D25" s="402" t="s">
        <v>10</v>
      </c>
      <c r="E25" s="402" t="s">
        <v>10</v>
      </c>
      <c r="F25" s="407" t="s">
        <v>53</v>
      </c>
    </row>
    <row r="26" ht="19.1" spans="1:6">
      <c r="A26" s="391"/>
      <c r="B26" s="391"/>
      <c r="C26" s="408"/>
      <c r="D26" s="408"/>
      <c r="E26" s="408"/>
      <c r="F26" s="409"/>
    </row>
    <row r="27" ht="19.1" spans="1:6">
      <c r="A27" s="410"/>
      <c r="B27" s="411"/>
      <c r="C27" s="412"/>
      <c r="D27" s="412"/>
      <c r="E27" s="412"/>
      <c r="F27" s="396"/>
    </row>
    <row r="28" ht="19.1" spans="1:6">
      <c r="A28" s="381"/>
      <c r="B28" s="382"/>
      <c r="C28" s="413"/>
      <c r="D28" s="413"/>
      <c r="E28" s="413"/>
      <c r="F28" s="414"/>
    </row>
    <row r="29" ht="19.1" spans="1:6">
      <c r="A29" s="405"/>
      <c r="B29" s="415"/>
      <c r="C29" s="416"/>
      <c r="D29" s="416"/>
      <c r="E29" s="416"/>
      <c r="F29" s="417"/>
    </row>
    <row r="30" ht="19.1" spans="1:6">
      <c r="A30" s="418"/>
      <c r="B30" s="419"/>
      <c r="C30" s="413"/>
      <c r="D30" s="413"/>
      <c r="E30" s="413"/>
      <c r="F30" s="420"/>
    </row>
    <row r="31" ht="19.1" spans="1:6">
      <c r="A31" s="406"/>
      <c r="B31" s="421"/>
      <c r="C31" s="413"/>
      <c r="D31" s="413"/>
      <c r="E31" s="413"/>
      <c r="F31" s="422"/>
    </row>
    <row r="32" ht="19.1" spans="1:6">
      <c r="A32" s="406"/>
      <c r="B32" s="421"/>
      <c r="C32" s="413"/>
      <c r="D32" s="413"/>
      <c r="E32" s="413"/>
      <c r="F32" s="422"/>
    </row>
    <row r="33" ht="19.1" spans="1:6">
      <c r="A33" s="381"/>
      <c r="B33" s="382"/>
      <c r="C33" s="413"/>
      <c r="D33" s="413"/>
      <c r="E33" s="413"/>
      <c r="F33" s="414"/>
    </row>
    <row r="34" ht="19.1" spans="1:6">
      <c r="A34" s="389"/>
      <c r="B34" s="423"/>
      <c r="C34" s="413"/>
      <c r="D34" s="413"/>
      <c r="E34" s="413"/>
      <c r="F34" s="414"/>
    </row>
    <row r="35" ht="19.1" spans="1:6">
      <c r="A35" s="389"/>
      <c r="B35" s="423"/>
      <c r="C35" s="413"/>
      <c r="D35" s="413"/>
      <c r="E35" s="413"/>
      <c r="F35" s="414"/>
    </row>
    <row r="36" ht="19.1" spans="1:6">
      <c r="A36" s="389"/>
      <c r="B36" s="423"/>
      <c r="C36" s="416"/>
      <c r="D36" s="416"/>
      <c r="E36" s="416"/>
      <c r="F36" s="386"/>
    </row>
    <row r="37" ht="19.1" spans="1:6">
      <c r="A37" s="381"/>
      <c r="B37" s="382"/>
      <c r="C37" s="416"/>
      <c r="D37" s="416"/>
      <c r="E37" s="416"/>
      <c r="F37" s="386"/>
    </row>
    <row r="38" ht="19.1" spans="1:6">
      <c r="A38" s="405"/>
      <c r="B38" s="424"/>
      <c r="C38" s="416"/>
      <c r="D38" s="416"/>
      <c r="E38" s="416"/>
      <c r="F38" s="422"/>
    </row>
    <row r="39" ht="19.1" spans="1:6">
      <c r="A39" s="389"/>
      <c r="B39" s="423"/>
      <c r="C39" s="416"/>
      <c r="D39" s="416"/>
      <c r="E39" s="416"/>
      <c r="F39" s="414"/>
    </row>
    <row r="40" ht="19.1" spans="1:6">
      <c r="A40" s="405"/>
      <c r="B40" s="424"/>
      <c r="C40" s="416"/>
      <c r="D40" s="416"/>
      <c r="E40" s="416"/>
      <c r="F40" s="425"/>
    </row>
    <row r="41" ht="19.1" spans="1:6">
      <c r="A41" s="405"/>
      <c r="B41" s="415"/>
      <c r="C41" s="416"/>
      <c r="D41" s="416"/>
      <c r="E41" s="416"/>
      <c r="F41" s="425"/>
    </row>
    <row r="42" ht="19.1" spans="1:6">
      <c r="A42" s="405"/>
      <c r="B42" s="405"/>
      <c r="C42" s="416"/>
      <c r="D42" s="416"/>
      <c r="E42" s="416"/>
      <c r="F42" s="425"/>
    </row>
    <row r="43" ht="19.1" spans="1:6">
      <c r="A43" s="405"/>
      <c r="B43" s="424"/>
      <c r="C43" s="416"/>
      <c r="D43" s="416"/>
      <c r="E43" s="416"/>
      <c r="F43" s="425"/>
    </row>
    <row r="44" ht="19.1" spans="1:6">
      <c r="A44" s="405"/>
      <c r="B44" s="405"/>
      <c r="C44" s="416"/>
      <c r="D44" s="416"/>
      <c r="E44" s="416"/>
      <c r="F44" s="425"/>
    </row>
    <row r="45" ht="19.1" spans="1:6">
      <c r="A45" s="405"/>
      <c r="B45" s="405"/>
      <c r="C45" s="416"/>
      <c r="D45" s="416"/>
      <c r="E45" s="416"/>
      <c r="F45" s="425"/>
    </row>
    <row r="46" ht="19.1" spans="1:6">
      <c r="A46" s="405"/>
      <c r="B46" s="405"/>
      <c r="C46" s="416"/>
      <c r="D46" s="416"/>
      <c r="E46" s="416"/>
      <c r="F46" s="425"/>
    </row>
    <row r="47" ht="19.1" spans="1:6">
      <c r="A47" s="405"/>
      <c r="B47" s="405"/>
      <c r="C47" s="416"/>
      <c r="D47" s="416"/>
      <c r="E47" s="416"/>
      <c r="F47" s="425"/>
    </row>
    <row r="48" ht="19.1" spans="1:6">
      <c r="A48" s="405"/>
      <c r="B48" s="405"/>
      <c r="C48" s="416"/>
      <c r="D48" s="416"/>
      <c r="E48" s="416"/>
      <c r="F48" s="425"/>
    </row>
    <row r="49" ht="19.1" spans="1:6">
      <c r="A49" s="405"/>
      <c r="B49" s="405"/>
      <c r="C49" s="416"/>
      <c r="D49" s="416"/>
      <c r="E49" s="416"/>
      <c r="F49" s="426"/>
    </row>
    <row r="50" ht="19.1" spans="1:6">
      <c r="A50" s="405"/>
      <c r="B50" s="405"/>
      <c r="C50" s="416"/>
      <c r="D50" s="416"/>
      <c r="E50" s="416"/>
      <c r="F50" s="425"/>
    </row>
    <row r="51" ht="19.1" spans="1:6">
      <c r="A51" s="405"/>
      <c r="B51" s="424"/>
      <c r="C51" s="416"/>
      <c r="D51" s="416"/>
      <c r="E51" s="416"/>
      <c r="F51" s="425"/>
    </row>
  </sheetData>
  <hyperlinks>
    <hyperlink ref="F5" location="card!A1" display="卡牌表"/>
    <hyperlink ref="F6" location="skill!A1" display="技能表"/>
    <hyperlink ref="F4" location="card_type!A1" display="卡牌类型表"/>
    <hyperlink ref="F13" location="property_exp!A1" display="五种属性升级所需要的经验值"/>
    <hyperlink ref="F14" location="home_shop!A1" display="丹药商品表"/>
    <hyperlink ref="F15" location="home_decorate!A1" display="房屋装饰表"/>
    <hyperlink ref="F16" location="collect_type!A1" display="建造经营配置表"/>
    <hyperlink ref="F17" location="home_sport!A1" display="锻炼器材表"/>
    <hyperlink ref="A17:F17" location="home_sport!A1" display="home_sport"/>
    <hyperlink ref="F18" location="effect!A1" display="特效表"/>
    <hyperlink ref="B18:F18" location="home_sport!A1" display="=[@表名]&amp;&quot;.json&quot;"/>
    <hyperlink ref="F10" location="battle_group!A1" display="战斗卡牌表"/>
    <hyperlink ref="F11" location="monster!A1" display="怪物表"/>
    <hyperlink ref="F12" location="drop!A1" display="掉落表"/>
    <hyperlink ref="B20:E20" location="home_sport!A1" display="=[@表名]&amp;&quot;.json&quot;"/>
    <hyperlink ref="F7" location="buff!A1" display="状态表"/>
    <hyperlink ref="F8" location="passive_type!A1" display="心法类型"/>
    <hyperlink ref="F9" location="passive!A1" display="心法表"/>
    <hyperlink ref="F20" location="npc_level_config!A1" display="npc强度配置表"/>
    <hyperlink ref="B21:E21" location="home_sport!A1" display="=[@表名]&amp;&quot;.json&quot;"/>
    <hyperlink ref="F21" location="sound_effect!A1" display="音效配置表"/>
    <hyperlink ref="B21" location="home_sport!A1" display="=[@表名]&amp;&quot;.json&quot;"/>
    <hyperlink ref="B22" location="home_sport!A1" display="=[@表名]&amp;&quot;.json&quot;"/>
    <hyperlink ref="C21" location="home_sport!A1" display="YES"/>
    <hyperlink ref="C22" location="home_sport!A1" display="YES"/>
    <hyperlink ref="D21" location="home_sport!A1" display="NO"/>
    <hyperlink ref="D22" location="home_sport!A1" display="NO"/>
    <hyperlink ref="E21" location="home_sport!A1" display="NO"/>
    <hyperlink ref="E22" location="home_sport!A1" display="NO"/>
    <hyperlink ref="F22" location="npc_growth!A1" display="npc境界表"/>
    <hyperlink ref="B23" location="home_sport!A1" display="=[@表名]&amp;&quot;.json&quot;"/>
    <hyperlink ref="C23" location="home_sport!A1" display="YES"/>
    <hyperlink ref="D23" location="home_sport!A1" display="NO"/>
    <hyperlink ref="E23" location="home_sport!A1" display="NO"/>
    <hyperlink ref="F23" location="npc_growth!A1" display="战斗力压制表"/>
    <hyperlink ref="F19" location="model!A1" display="模型表"/>
    <hyperlink ref="B24" location="home_sport!A1" display="=[@表名]&amp;&quot;.json&quot;"/>
    <hyperlink ref="C24" location="home_sport!A1" display="YES"/>
    <hyperlink ref="D24" location="home_sport!A1" display="NO"/>
    <hyperlink ref="E24" location="home_sport!A1" display="NO"/>
    <hyperlink ref="F24" location="talent_type!A1" display="灵根效果表"/>
    <hyperlink ref="B25" location="home_sport!A1" display="=[@表名]&amp;&quot;.json&quot;"/>
    <hyperlink ref="C25" location="home_sport!A1" display="YES"/>
    <hyperlink ref="D25" location="home_sport!A1" display="NO"/>
    <hyperlink ref="E25" location="home_sport!A1" display="NO"/>
    <hyperlink ref="F25" location="talent_type!A1" display="建筑等级加成表"/>
  </hyperlink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30"/>
  <sheetViews>
    <sheetView workbookViewId="0">
      <selection activeCell="M118" sqref="M118"/>
    </sheetView>
  </sheetViews>
  <sheetFormatPr defaultColWidth="9" defaultRowHeight="13.85"/>
  <cols>
    <col min="1" max="1" width="9" style="361"/>
    <col min="2" max="2" width="15.5044247787611" style="361" customWidth="1"/>
    <col min="3" max="3" width="21" style="361" customWidth="1"/>
    <col min="4" max="4" width="16.6283185840708" style="361" customWidth="1"/>
    <col min="5" max="5" width="24.6283185840708" style="361" customWidth="1"/>
    <col min="6" max="6" width="12.1238938053097" style="361" customWidth="1"/>
    <col min="7" max="16384" width="9" style="361"/>
  </cols>
  <sheetData>
    <row r="1" ht="19.1" spans="1:7">
      <c r="A1" s="362" t="s">
        <v>54</v>
      </c>
      <c r="B1" s="363"/>
      <c r="C1" s="363"/>
      <c r="D1" s="363"/>
      <c r="E1" s="363"/>
      <c r="F1" s="363"/>
      <c r="G1" s="363"/>
    </row>
    <row r="2" ht="19.1" spans="1:7">
      <c r="A2" s="362" t="s">
        <v>55</v>
      </c>
      <c r="B2" s="362" t="s">
        <v>56</v>
      </c>
      <c r="C2" s="362" t="s">
        <v>57</v>
      </c>
      <c r="D2" s="362" t="s">
        <v>58</v>
      </c>
      <c r="E2" s="362" t="s">
        <v>59</v>
      </c>
      <c r="F2" s="362" t="s">
        <v>60</v>
      </c>
      <c r="G2" s="362" t="s">
        <v>61</v>
      </c>
    </row>
    <row r="3" ht="19.1" spans="1:7">
      <c r="A3" s="364" t="s">
        <v>62</v>
      </c>
      <c r="B3" s="364" t="s">
        <v>63</v>
      </c>
      <c r="C3" s="364" t="s">
        <v>64</v>
      </c>
      <c r="D3" s="364" t="s">
        <v>65</v>
      </c>
      <c r="E3" s="364" t="s">
        <v>66</v>
      </c>
      <c r="F3" s="364" t="s">
        <v>67</v>
      </c>
      <c r="G3" s="364"/>
    </row>
    <row r="4" ht="19.1" spans="1:9">
      <c r="A4" s="365">
        <v>101</v>
      </c>
      <c r="B4" s="366" t="s">
        <v>68</v>
      </c>
      <c r="C4" s="366" t="s">
        <v>69</v>
      </c>
      <c r="D4" s="366" t="s">
        <v>70</v>
      </c>
      <c r="E4" s="366" t="s">
        <v>71</v>
      </c>
      <c r="F4" s="366" t="s">
        <v>72</v>
      </c>
      <c r="G4" s="366"/>
      <c r="H4" s="363"/>
      <c r="I4" s="362" t="s">
        <v>73</v>
      </c>
    </row>
    <row r="5" ht="19.1" spans="1:9">
      <c r="A5" s="366">
        <v>101</v>
      </c>
      <c r="B5" s="366" t="s">
        <v>68</v>
      </c>
      <c r="C5" s="366" t="s">
        <v>69</v>
      </c>
      <c r="D5" s="366" t="s">
        <v>74</v>
      </c>
      <c r="E5" s="366" t="s">
        <v>75</v>
      </c>
      <c r="F5" s="366" t="s">
        <v>72</v>
      </c>
      <c r="G5" s="366"/>
      <c r="H5" s="363"/>
      <c r="I5" s="362" t="s">
        <v>73</v>
      </c>
    </row>
    <row r="6" ht="19.85" spans="1:9">
      <c r="A6" s="366"/>
      <c r="B6" s="366"/>
      <c r="C6" s="366"/>
      <c r="D6" s="367"/>
      <c r="E6" s="366"/>
      <c r="F6" s="366"/>
      <c r="G6" s="366"/>
      <c r="I6" s="362" t="s">
        <v>76</v>
      </c>
    </row>
    <row r="7" ht="19.85" spans="1:9">
      <c r="A7" s="367"/>
      <c r="B7" s="367"/>
      <c r="C7" s="366"/>
      <c r="D7" s="366"/>
      <c r="E7" s="367"/>
      <c r="F7" s="367"/>
      <c r="G7" s="367"/>
      <c r="I7" s="362" t="s">
        <v>76</v>
      </c>
    </row>
    <row r="8" ht="19.1" spans="1:9">
      <c r="A8" s="368"/>
      <c r="B8" s="368"/>
      <c r="C8" s="368"/>
      <c r="D8" s="368"/>
      <c r="E8" s="368"/>
      <c r="F8" s="368"/>
      <c r="G8" s="368"/>
      <c r="I8" s="362" t="s">
        <v>77</v>
      </c>
    </row>
    <row r="9" ht="19.1" spans="1:9">
      <c r="A9" s="368"/>
      <c r="B9" s="368"/>
      <c r="C9" s="368"/>
      <c r="D9" s="369"/>
      <c r="E9" s="368"/>
      <c r="F9" s="368"/>
      <c r="G9" s="368"/>
      <c r="I9" s="362" t="s">
        <v>77</v>
      </c>
    </row>
    <row r="10" ht="19.1" spans="1:9">
      <c r="A10" s="368"/>
      <c r="B10" s="368"/>
      <c r="C10" s="368"/>
      <c r="D10" s="368"/>
      <c r="E10" s="368"/>
      <c r="F10" s="368"/>
      <c r="G10" s="368"/>
      <c r="I10" s="362" t="s">
        <v>78</v>
      </c>
    </row>
    <row r="11" ht="19.1" spans="1:9">
      <c r="A11" s="368"/>
      <c r="B11" s="368"/>
      <c r="C11" s="368"/>
      <c r="D11" s="368"/>
      <c r="E11" s="368"/>
      <c r="F11" s="368"/>
      <c r="G11" s="368"/>
      <c r="I11" s="362" t="s">
        <v>78</v>
      </c>
    </row>
    <row r="12" spans="1:9">
      <c r="A12" s="368"/>
      <c r="B12" s="368"/>
      <c r="C12" s="368"/>
      <c r="E12" s="368"/>
      <c r="F12" s="368"/>
      <c r="G12" s="368"/>
      <c r="I12" s="361" t="s">
        <v>79</v>
      </c>
    </row>
    <row r="13" spans="1:9">
      <c r="A13" s="368"/>
      <c r="B13" s="368"/>
      <c r="C13" s="368"/>
      <c r="D13" s="368"/>
      <c r="E13" s="368"/>
      <c r="F13" s="368"/>
      <c r="G13" s="368"/>
      <c r="I13" s="361" t="s">
        <v>79</v>
      </c>
    </row>
    <row r="14" ht="16.5" spans="1:9">
      <c r="A14" s="370"/>
      <c r="B14" s="371"/>
      <c r="C14" s="370"/>
      <c r="D14" s="370"/>
      <c r="E14" s="368"/>
      <c r="F14" s="370"/>
      <c r="G14" s="370"/>
      <c r="H14" s="79"/>
      <c r="I14" s="79" t="s">
        <v>80</v>
      </c>
    </row>
    <row r="15" ht="16.5" spans="1:9">
      <c r="A15" s="370"/>
      <c r="B15" s="371"/>
      <c r="C15" s="370"/>
      <c r="D15" s="368"/>
      <c r="E15" s="368"/>
      <c r="F15" s="370"/>
      <c r="G15" s="368"/>
      <c r="I15" s="79" t="s">
        <v>80</v>
      </c>
    </row>
    <row r="16" ht="16.5" spans="1:9">
      <c r="A16" s="370"/>
      <c r="B16" s="371"/>
      <c r="C16" s="370"/>
      <c r="D16" s="368"/>
      <c r="E16" s="368"/>
      <c r="F16" s="370"/>
      <c r="G16" s="368"/>
      <c r="I16" s="79" t="s">
        <v>80</v>
      </c>
    </row>
    <row r="17" spans="1:9">
      <c r="A17" s="368"/>
      <c r="B17" s="368"/>
      <c r="C17" s="368"/>
      <c r="D17" s="368"/>
      <c r="E17" s="372"/>
      <c r="F17" s="368"/>
      <c r="G17" s="368"/>
      <c r="I17" s="79" t="s">
        <v>81</v>
      </c>
    </row>
    <row r="18" spans="1:7">
      <c r="A18" s="368"/>
      <c r="B18" s="368"/>
      <c r="C18" s="368"/>
      <c r="D18" s="368"/>
      <c r="E18" s="368"/>
      <c r="F18" s="368"/>
      <c r="G18" s="368"/>
    </row>
    <row r="19" spans="1:7">
      <c r="A19" s="368"/>
      <c r="B19" s="368"/>
      <c r="C19" s="368"/>
      <c r="D19" s="368"/>
      <c r="E19" s="368"/>
      <c r="F19" s="368"/>
      <c r="G19" s="368"/>
    </row>
    <row r="20" spans="1:7">
      <c r="A20" s="368"/>
      <c r="B20" s="368"/>
      <c r="C20" s="373"/>
      <c r="D20" s="368"/>
      <c r="E20" s="373"/>
      <c r="F20" s="373"/>
      <c r="G20" s="368"/>
    </row>
    <row r="21" spans="1:7">
      <c r="A21" s="368"/>
      <c r="B21" s="368"/>
      <c r="C21" s="373"/>
      <c r="D21" s="368"/>
      <c r="E21" s="373"/>
      <c r="F21" s="373"/>
      <c r="G21" s="368"/>
    </row>
    <row r="22" spans="1:7">
      <c r="A22" s="368"/>
      <c r="B22" s="368"/>
      <c r="C22" s="373"/>
      <c r="D22" s="368"/>
      <c r="E22" s="373"/>
      <c r="F22" s="373"/>
      <c r="G22" s="368"/>
    </row>
    <row r="23" spans="1:7">
      <c r="A23" s="368"/>
      <c r="B23" s="368"/>
      <c r="C23" s="368"/>
      <c r="D23" s="368"/>
      <c r="E23" s="368"/>
      <c r="F23" s="368"/>
      <c r="G23" s="368"/>
    </row>
    <row r="24" spans="1:7">
      <c r="A24" s="368"/>
      <c r="B24" s="368"/>
      <c r="C24" s="368"/>
      <c r="D24" s="368"/>
      <c r="E24" s="368"/>
      <c r="F24" s="368"/>
      <c r="G24" s="368"/>
    </row>
    <row r="25" spans="1:7">
      <c r="A25" s="368"/>
      <c r="B25" s="368"/>
      <c r="C25" s="368"/>
      <c r="D25" s="368"/>
      <c r="E25" s="368"/>
      <c r="F25" s="368"/>
      <c r="G25" s="368"/>
    </row>
    <row r="28" ht="19.1" spans="21:24">
      <c r="U28" s="374"/>
      <c r="X28" s="363"/>
    </row>
    <row r="29" ht="19.1" spans="21:21">
      <c r="U29" s="374"/>
    </row>
    <row r="30" ht="19.1" spans="21:21">
      <c r="U30" s="374"/>
    </row>
  </sheetData>
  <hyperlinks>
    <hyperlink ref="A4" location="drop!B3" display="101"/>
  </hyperlink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3"/>
  <sheetViews>
    <sheetView workbookViewId="0">
      <selection activeCell="M118" sqref="M118"/>
    </sheetView>
  </sheetViews>
  <sheetFormatPr defaultColWidth="9" defaultRowHeight="13.85" outlineLevelRow="2" outlineLevelCol="2"/>
  <cols>
    <col min="1" max="1" width="8.87610619469027" style="79" customWidth="1"/>
    <col min="2" max="2" width="11.3716814159292" style="79" customWidth="1"/>
    <col min="3" max="3" width="6.50442477876106" style="79" customWidth="1"/>
    <col min="4" max="16384" width="9" style="79"/>
  </cols>
  <sheetData>
    <row r="1" spans="1:3">
      <c r="A1" s="359" t="s">
        <v>82</v>
      </c>
      <c r="B1" s="360"/>
      <c r="C1" s="360"/>
    </row>
    <row r="2" spans="1:3">
      <c r="A2" s="359" t="s">
        <v>55</v>
      </c>
      <c r="B2" s="359" t="s">
        <v>83</v>
      </c>
      <c r="C2" s="359" t="s">
        <v>84</v>
      </c>
    </row>
    <row r="3" spans="1:3">
      <c r="A3" s="359">
        <v>1</v>
      </c>
      <c r="B3" s="359" t="s">
        <v>85</v>
      </c>
      <c r="C3" s="359" t="s">
        <v>86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6"/>
  <sheetViews>
    <sheetView workbookViewId="0">
      <selection activeCell="M118" sqref="M118"/>
    </sheetView>
  </sheetViews>
  <sheetFormatPr defaultColWidth="9" defaultRowHeight="13.85" outlineLevelRow="5" outlineLevelCol="3"/>
  <cols>
    <col min="1" max="1" width="9" style="79"/>
    <col min="2" max="2" width="29.2477876106195" style="79" customWidth="1"/>
    <col min="3" max="16384" width="9" style="79"/>
  </cols>
  <sheetData>
    <row r="1" spans="1:1">
      <c r="A1" s="79" t="s">
        <v>87</v>
      </c>
    </row>
    <row r="2" ht="19.1" spans="1:2">
      <c r="A2" s="357" t="s">
        <v>88</v>
      </c>
      <c r="B2" s="357" t="s">
        <v>89</v>
      </c>
    </row>
    <row r="3" ht="19.1" spans="1:4">
      <c r="A3" s="357" t="s">
        <v>90</v>
      </c>
      <c r="B3" s="357" t="s">
        <v>91</v>
      </c>
      <c r="D3" s="358" t="s">
        <v>92</v>
      </c>
    </row>
    <row r="4" ht="19.1" spans="1:4">
      <c r="A4" s="357" t="s">
        <v>93</v>
      </c>
      <c r="B4" s="357" t="s">
        <v>94</v>
      </c>
      <c r="D4" s="358" t="s">
        <v>95</v>
      </c>
    </row>
    <row r="5" ht="19.1" spans="1:4">
      <c r="A5" s="357" t="s">
        <v>96</v>
      </c>
      <c r="B5" s="357" t="s">
        <v>97</v>
      </c>
      <c r="D5" s="358" t="s">
        <v>98</v>
      </c>
    </row>
    <row r="6" ht="19.1" spans="1:4">
      <c r="A6" s="357" t="s">
        <v>99</v>
      </c>
      <c r="B6" s="357" t="s">
        <v>100</v>
      </c>
      <c r="D6" s="358" t="s">
        <v>101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95"/>
  <sheetViews>
    <sheetView workbookViewId="0">
      <selection activeCell="I39" sqref="I39"/>
    </sheetView>
  </sheetViews>
  <sheetFormatPr defaultColWidth="9" defaultRowHeight="13.85"/>
  <cols>
    <col min="2" max="2" width="19.1238938053097" customWidth="1"/>
    <col min="3" max="3" width="16.3716814159292" customWidth="1"/>
    <col min="9" max="9" width="6.12389380530973" customWidth="1"/>
    <col min="10" max="10" width="10.8761061946903" customWidth="1"/>
  </cols>
  <sheetData>
    <row r="1" ht="19.1" spans="1:11">
      <c r="A1" s="348" t="s">
        <v>45</v>
      </c>
      <c r="B1" s="348" t="s">
        <v>102</v>
      </c>
      <c r="C1" s="245"/>
      <c r="D1" s="245"/>
      <c r="E1" s="245"/>
      <c r="F1" s="245"/>
      <c r="G1" s="245"/>
      <c r="H1" s="245"/>
      <c r="I1" s="294"/>
      <c r="J1" s="294"/>
      <c r="K1" s="294"/>
    </row>
    <row r="2" ht="40.5" spans="1:11">
      <c r="A2" s="349" t="s">
        <v>62</v>
      </c>
      <c r="B2" s="349"/>
      <c r="C2" s="349" t="s">
        <v>103</v>
      </c>
      <c r="D2" s="350" t="s">
        <v>104</v>
      </c>
      <c r="E2" s="350" t="s">
        <v>105</v>
      </c>
      <c r="F2" s="351" t="s">
        <v>106</v>
      </c>
      <c r="G2" s="350" t="s">
        <v>107</v>
      </c>
      <c r="H2" s="351" t="s">
        <v>108</v>
      </c>
      <c r="I2" s="294"/>
      <c r="J2" s="294"/>
      <c r="K2" s="294"/>
    </row>
    <row r="3" ht="19.1" spans="1:11">
      <c r="A3" s="348" t="s">
        <v>109</v>
      </c>
      <c r="B3" s="348"/>
      <c r="C3" s="236" t="s">
        <v>110</v>
      </c>
      <c r="D3" s="348" t="s">
        <v>109</v>
      </c>
      <c r="E3" s="348" t="s">
        <v>109</v>
      </c>
      <c r="F3" s="348" t="s">
        <v>109</v>
      </c>
      <c r="G3" s="348" t="s">
        <v>109</v>
      </c>
      <c r="H3" s="348" t="s">
        <v>109</v>
      </c>
      <c r="I3" s="294"/>
      <c r="J3" s="294"/>
      <c r="K3" s="294"/>
    </row>
    <row r="4" ht="19.1" spans="1:11">
      <c r="A4" s="348" t="s">
        <v>62</v>
      </c>
      <c r="B4" s="348"/>
      <c r="C4" s="348" t="s">
        <v>111</v>
      </c>
      <c r="D4" s="348" t="s">
        <v>112</v>
      </c>
      <c r="E4" s="348" t="s">
        <v>113</v>
      </c>
      <c r="F4" s="348" t="s">
        <v>114</v>
      </c>
      <c r="G4" s="348" t="s">
        <v>115</v>
      </c>
      <c r="H4" s="348" t="s">
        <v>116</v>
      </c>
      <c r="I4" s="294"/>
      <c r="J4" s="294"/>
      <c r="K4" s="294"/>
    </row>
    <row r="5" ht="19.1" spans="1:11">
      <c r="A5" s="348"/>
      <c r="B5" s="245"/>
      <c r="C5" s="348"/>
      <c r="D5" s="348"/>
      <c r="E5" s="348"/>
      <c r="F5" s="245"/>
      <c r="G5" s="245"/>
      <c r="H5" s="245"/>
      <c r="I5" s="294"/>
      <c r="J5" s="294"/>
      <c r="K5" s="294"/>
    </row>
    <row r="6" spans="1:11">
      <c r="A6" s="294">
        <v>1</v>
      </c>
      <c r="B6" s="352" t="s">
        <v>117</v>
      </c>
      <c r="C6" t="s">
        <v>118</v>
      </c>
      <c r="D6" s="294">
        <v>1</v>
      </c>
      <c r="E6" s="294">
        <v>2500</v>
      </c>
      <c r="F6" s="294">
        <v>9000</v>
      </c>
      <c r="G6" s="294">
        <v>1</v>
      </c>
      <c r="H6" s="294"/>
      <c r="I6" s="294"/>
      <c r="J6" s="294"/>
      <c r="K6" s="294"/>
    </row>
    <row r="7" spans="1:11">
      <c r="A7" s="294">
        <v>2</v>
      </c>
      <c r="B7" s="294" t="s">
        <v>119</v>
      </c>
      <c r="C7" s="294" t="s">
        <v>120</v>
      </c>
      <c r="D7" s="294">
        <v>0</v>
      </c>
      <c r="E7" s="294"/>
      <c r="F7" s="294">
        <v>10000</v>
      </c>
      <c r="G7" s="294"/>
      <c r="H7" s="294"/>
      <c r="I7" s="294"/>
      <c r="J7" s="294"/>
      <c r="K7" s="294"/>
    </row>
    <row r="8" spans="1:11">
      <c r="A8" s="294">
        <v>3</v>
      </c>
      <c r="B8" s="294" t="s">
        <v>121</v>
      </c>
      <c r="C8" s="294" t="s">
        <v>122</v>
      </c>
      <c r="D8" s="294">
        <v>0</v>
      </c>
      <c r="E8" s="294"/>
      <c r="F8" s="294">
        <v>10000</v>
      </c>
      <c r="G8" s="294"/>
      <c r="H8" s="294"/>
      <c r="I8" s="294"/>
      <c r="J8" s="294"/>
      <c r="K8" s="294"/>
    </row>
    <row r="9" spans="1:11">
      <c r="A9" s="294">
        <v>4</v>
      </c>
      <c r="B9" s="294" t="s">
        <v>123</v>
      </c>
      <c r="C9" s="294" t="s">
        <v>124</v>
      </c>
      <c r="D9" s="294">
        <v>0</v>
      </c>
      <c r="E9" s="294">
        <v>2500</v>
      </c>
      <c r="F9" s="294">
        <v>10000</v>
      </c>
      <c r="G9" s="294">
        <v>0</v>
      </c>
      <c r="H9" s="294"/>
      <c r="I9" s="294"/>
      <c r="J9" s="294"/>
      <c r="K9" s="294"/>
    </row>
    <row r="10" ht="13.5" customHeight="1" spans="1:11">
      <c r="A10" s="320">
        <v>5</v>
      </c>
      <c r="B10" s="320" t="s">
        <v>125</v>
      </c>
      <c r="C10" s="320" t="s">
        <v>126</v>
      </c>
      <c r="D10" s="320">
        <v>1</v>
      </c>
      <c r="E10" s="294">
        <v>2500</v>
      </c>
      <c r="F10" s="294">
        <v>7000</v>
      </c>
      <c r="G10" s="294">
        <v>1</v>
      </c>
      <c r="H10" s="294"/>
      <c r="I10" s="355" t="s">
        <v>127</v>
      </c>
      <c r="J10" s="355"/>
      <c r="K10" s="294"/>
    </row>
    <row r="11" spans="1:11">
      <c r="A11" s="320">
        <v>6</v>
      </c>
      <c r="B11" s="320" t="s">
        <v>128</v>
      </c>
      <c r="C11" s="320" t="s">
        <v>126</v>
      </c>
      <c r="D11" s="320">
        <v>1</v>
      </c>
      <c r="E11" s="294">
        <v>2500</v>
      </c>
      <c r="F11" s="294">
        <v>10000</v>
      </c>
      <c r="G11" s="294">
        <v>1</v>
      </c>
      <c r="H11" s="294"/>
      <c r="I11" s="355"/>
      <c r="J11" s="355"/>
      <c r="K11" s="294"/>
    </row>
    <row r="12" spans="1:11">
      <c r="A12" s="320">
        <v>7</v>
      </c>
      <c r="B12" s="320" t="s">
        <v>129</v>
      </c>
      <c r="C12" s="320" t="s">
        <v>130</v>
      </c>
      <c r="D12" s="320">
        <v>0</v>
      </c>
      <c r="E12" s="320"/>
      <c r="F12" s="294">
        <v>10000</v>
      </c>
      <c r="G12" s="294"/>
      <c r="H12" s="294"/>
      <c r="I12" s="294"/>
      <c r="J12" s="294"/>
      <c r="K12" s="294">
        <v>1</v>
      </c>
    </row>
    <row r="13" spans="1:11">
      <c r="A13" s="320">
        <v>8</v>
      </c>
      <c r="B13" s="320" t="s">
        <v>131</v>
      </c>
      <c r="C13" s="320" t="s">
        <v>132</v>
      </c>
      <c r="D13" s="320">
        <v>0</v>
      </c>
      <c r="E13" s="320"/>
      <c r="F13" s="294">
        <v>10000</v>
      </c>
      <c r="G13" s="294"/>
      <c r="H13" s="294"/>
      <c r="I13" s="294"/>
      <c r="J13" s="294"/>
      <c r="K13" s="294">
        <v>2</v>
      </c>
    </row>
    <row r="14" spans="1:11">
      <c r="A14" s="320">
        <v>9</v>
      </c>
      <c r="B14" s="320" t="s">
        <v>133</v>
      </c>
      <c r="C14" s="320" t="s">
        <v>134</v>
      </c>
      <c r="D14" s="320">
        <v>0</v>
      </c>
      <c r="E14" s="320"/>
      <c r="F14" s="294">
        <v>10000</v>
      </c>
      <c r="G14" s="294"/>
      <c r="H14" s="294">
        <v>200</v>
      </c>
      <c r="I14" s="294"/>
      <c r="J14" s="294"/>
      <c r="K14" s="294">
        <v>3</v>
      </c>
    </row>
    <row r="15" spans="1:11">
      <c r="A15" s="320">
        <v>10</v>
      </c>
      <c r="B15" s="320" t="s">
        <v>135</v>
      </c>
      <c r="C15" s="320" t="s">
        <v>136</v>
      </c>
      <c r="D15" s="320">
        <v>0</v>
      </c>
      <c r="E15" s="320"/>
      <c r="F15" s="294">
        <v>10000</v>
      </c>
      <c r="G15" s="294"/>
      <c r="H15" s="294"/>
      <c r="I15" s="294"/>
      <c r="J15" s="294"/>
      <c r="K15" s="294">
        <v>4</v>
      </c>
    </row>
    <row r="16" spans="1:11">
      <c r="A16" s="320">
        <v>11</v>
      </c>
      <c r="B16" s="320" t="s">
        <v>137</v>
      </c>
      <c r="C16" s="320" t="s">
        <v>138</v>
      </c>
      <c r="D16" s="320">
        <v>0</v>
      </c>
      <c r="E16" s="320"/>
      <c r="F16" s="294">
        <v>10000</v>
      </c>
      <c r="G16" s="294"/>
      <c r="H16" s="294"/>
      <c r="I16" s="294"/>
      <c r="J16" s="294"/>
      <c r="K16" s="294">
        <v>5</v>
      </c>
    </row>
    <row r="17" ht="13.5" customHeight="1" spans="1:11">
      <c r="A17" s="294">
        <v>12</v>
      </c>
      <c r="B17" s="294" t="s">
        <v>139</v>
      </c>
      <c r="C17" s="294" t="s">
        <v>140</v>
      </c>
      <c r="D17" s="294">
        <v>1</v>
      </c>
      <c r="E17" s="294"/>
      <c r="F17" s="294">
        <v>10000</v>
      </c>
      <c r="G17" s="294"/>
      <c r="H17" s="294"/>
      <c r="I17" s="294" t="s">
        <v>141</v>
      </c>
      <c r="J17" s="356" t="s">
        <v>142</v>
      </c>
      <c r="K17" s="356"/>
    </row>
    <row r="18" spans="1:11">
      <c r="A18" s="294">
        <v>13</v>
      </c>
      <c r="B18" s="294" t="s">
        <v>139</v>
      </c>
      <c r="C18" s="294" t="s">
        <v>143</v>
      </c>
      <c r="D18" s="294">
        <v>1</v>
      </c>
      <c r="E18" s="294"/>
      <c r="F18" s="294">
        <v>10000</v>
      </c>
      <c r="G18" s="294"/>
      <c r="H18" s="294"/>
      <c r="I18" s="294" t="s">
        <v>144</v>
      </c>
      <c r="J18" s="356"/>
      <c r="K18" s="356"/>
    </row>
    <row r="19" spans="1:8">
      <c r="A19" s="294">
        <v>14</v>
      </c>
      <c r="B19" t="s">
        <v>145</v>
      </c>
      <c r="C19" t="s">
        <v>146</v>
      </c>
      <c r="D19" s="294">
        <v>1</v>
      </c>
      <c r="E19" s="294"/>
      <c r="F19" s="294">
        <v>10000</v>
      </c>
      <c r="G19" s="294"/>
      <c r="H19" s="294"/>
    </row>
    <row r="20" spans="1:8">
      <c r="A20" s="294">
        <v>15</v>
      </c>
      <c r="B20" t="s">
        <v>147</v>
      </c>
      <c r="C20" t="s">
        <v>148</v>
      </c>
      <c r="D20" s="294">
        <v>0</v>
      </c>
      <c r="E20" s="294"/>
      <c r="F20" s="294">
        <v>10000</v>
      </c>
      <c r="G20" s="294"/>
      <c r="H20" s="294"/>
    </row>
    <row r="21" spans="1:8">
      <c r="A21" s="294">
        <v>16</v>
      </c>
      <c r="B21" t="s">
        <v>149</v>
      </c>
      <c r="C21" t="s">
        <v>150</v>
      </c>
      <c r="D21" s="294">
        <v>0</v>
      </c>
      <c r="E21" s="294"/>
      <c r="F21" s="294">
        <v>10000</v>
      </c>
      <c r="G21" s="294"/>
      <c r="H21" s="294"/>
    </row>
    <row r="22" spans="1:8">
      <c r="A22" s="294">
        <v>17</v>
      </c>
      <c r="B22" t="s">
        <v>151</v>
      </c>
      <c r="C22" t="s">
        <v>152</v>
      </c>
      <c r="D22" s="294">
        <v>0</v>
      </c>
      <c r="E22" s="294"/>
      <c r="F22" s="294">
        <v>10000</v>
      </c>
      <c r="G22" s="294"/>
      <c r="H22" s="294"/>
    </row>
    <row r="23" spans="1:8">
      <c r="A23" s="294">
        <v>18</v>
      </c>
      <c r="B23" t="s">
        <v>153</v>
      </c>
      <c r="C23" t="s">
        <v>154</v>
      </c>
      <c r="D23" s="294">
        <v>0</v>
      </c>
      <c r="E23" s="294"/>
      <c r="F23" s="294">
        <v>10000</v>
      </c>
      <c r="G23" s="294"/>
      <c r="H23" s="294"/>
    </row>
    <row r="24" spans="1:8">
      <c r="A24" s="294">
        <v>19</v>
      </c>
      <c r="B24" t="s">
        <v>155</v>
      </c>
      <c r="C24" t="s">
        <v>156</v>
      </c>
      <c r="D24" s="294">
        <v>0</v>
      </c>
      <c r="E24" s="294"/>
      <c r="F24" s="294">
        <v>10000</v>
      </c>
      <c r="G24" s="294"/>
      <c r="H24" s="294">
        <v>250</v>
      </c>
    </row>
    <row r="25" spans="1:8">
      <c r="A25" s="294">
        <v>20</v>
      </c>
      <c r="B25" t="s">
        <v>157</v>
      </c>
      <c r="C25" t="s">
        <v>158</v>
      </c>
      <c r="D25" s="294">
        <v>0</v>
      </c>
      <c r="E25" s="294"/>
      <c r="F25" s="294">
        <v>10000</v>
      </c>
      <c r="G25" s="294"/>
      <c r="H25" s="294">
        <v>400</v>
      </c>
    </row>
    <row r="26" spans="1:8">
      <c r="A26" s="294">
        <v>21</v>
      </c>
      <c r="B26" t="s">
        <v>159</v>
      </c>
      <c r="C26" t="s">
        <v>160</v>
      </c>
      <c r="D26" s="294">
        <v>0</v>
      </c>
      <c r="E26" s="294"/>
      <c r="F26" s="294">
        <v>10000</v>
      </c>
      <c r="G26" s="294"/>
      <c r="H26" s="294">
        <v>350</v>
      </c>
    </row>
    <row r="27" spans="1:8">
      <c r="A27" s="294">
        <v>22</v>
      </c>
      <c r="B27" t="s">
        <v>161</v>
      </c>
      <c r="C27" t="s">
        <v>162</v>
      </c>
      <c r="D27" s="294">
        <v>0</v>
      </c>
      <c r="E27" s="294"/>
      <c r="F27" s="294">
        <v>10000</v>
      </c>
      <c r="G27" s="294"/>
      <c r="H27" s="294"/>
    </row>
    <row r="28" spans="1:8">
      <c r="A28" s="294">
        <v>23</v>
      </c>
      <c r="B28" t="s">
        <v>163</v>
      </c>
      <c r="C28" t="s">
        <v>164</v>
      </c>
      <c r="D28" s="294">
        <v>0</v>
      </c>
      <c r="E28" s="294"/>
      <c r="F28" s="294">
        <v>10000</v>
      </c>
      <c r="G28" s="294"/>
      <c r="H28" s="294"/>
    </row>
    <row r="29" spans="1:8">
      <c r="A29" s="294">
        <v>24</v>
      </c>
      <c r="B29" t="s">
        <v>165</v>
      </c>
      <c r="C29" t="s">
        <v>166</v>
      </c>
      <c r="D29" s="294">
        <v>0</v>
      </c>
      <c r="E29" s="294"/>
      <c r="F29" s="294">
        <v>10000</v>
      </c>
      <c r="G29" s="294"/>
      <c r="H29" s="294"/>
    </row>
    <row r="30" spans="1:7">
      <c r="A30" s="294">
        <v>25</v>
      </c>
      <c r="B30" t="s">
        <v>167</v>
      </c>
      <c r="C30" t="s">
        <v>168</v>
      </c>
      <c r="D30" s="294">
        <v>0</v>
      </c>
      <c r="E30" s="294"/>
      <c r="F30" s="294">
        <v>10000</v>
      </c>
      <c r="G30" s="294"/>
    </row>
    <row r="31" spans="1:7">
      <c r="A31" s="294">
        <v>26</v>
      </c>
      <c r="B31" t="s">
        <v>169</v>
      </c>
      <c r="C31" t="s">
        <v>170</v>
      </c>
      <c r="D31" s="294">
        <v>0</v>
      </c>
      <c r="E31" s="294"/>
      <c r="F31" s="294">
        <v>10000</v>
      </c>
      <c r="G31" s="294"/>
    </row>
    <row r="32" spans="1:7">
      <c r="A32" s="294">
        <v>27</v>
      </c>
      <c r="B32" t="s">
        <v>171</v>
      </c>
      <c r="C32" t="s">
        <v>172</v>
      </c>
      <c r="D32" s="294">
        <v>0</v>
      </c>
      <c r="E32" s="294"/>
      <c r="F32" s="294">
        <v>10000</v>
      </c>
      <c r="G32" s="294"/>
    </row>
    <row r="33" spans="1:8">
      <c r="A33" s="294">
        <v>28</v>
      </c>
      <c r="B33" t="s">
        <v>173</v>
      </c>
      <c r="C33" t="s">
        <v>174</v>
      </c>
      <c r="D33" s="294">
        <v>0</v>
      </c>
      <c r="E33" s="294"/>
      <c r="F33" s="294">
        <v>10000</v>
      </c>
      <c r="G33" s="294"/>
      <c r="H33">
        <v>400</v>
      </c>
    </row>
    <row r="34" spans="1:7">
      <c r="A34" s="294">
        <v>29</v>
      </c>
      <c r="B34" t="s">
        <v>175</v>
      </c>
      <c r="C34" t="s">
        <v>176</v>
      </c>
      <c r="D34" s="294">
        <v>0</v>
      </c>
      <c r="E34" s="294"/>
      <c r="F34" s="294">
        <v>10000</v>
      </c>
      <c r="G34" s="294"/>
    </row>
    <row r="35" spans="1:7">
      <c r="A35" s="294">
        <v>30</v>
      </c>
      <c r="B35" t="s">
        <v>177</v>
      </c>
      <c r="C35" t="s">
        <v>178</v>
      </c>
      <c r="D35" s="294">
        <v>0</v>
      </c>
      <c r="E35" s="294"/>
      <c r="F35" s="294">
        <v>10000</v>
      </c>
      <c r="G35" s="294"/>
    </row>
    <row r="36" spans="1:7">
      <c r="A36" s="294">
        <v>31</v>
      </c>
      <c r="B36" t="s">
        <v>179</v>
      </c>
      <c r="C36" t="s">
        <v>180</v>
      </c>
      <c r="D36" s="294">
        <v>0</v>
      </c>
      <c r="E36" s="294"/>
      <c r="F36" s="294">
        <v>10000</v>
      </c>
      <c r="G36" s="294"/>
    </row>
    <row r="37" spans="1:7">
      <c r="A37" s="294">
        <v>32</v>
      </c>
      <c r="B37" t="s">
        <v>181</v>
      </c>
      <c r="C37" t="s">
        <v>182</v>
      </c>
      <c r="D37" s="294">
        <v>0</v>
      </c>
      <c r="E37" s="294"/>
      <c r="F37" s="294">
        <v>10000</v>
      </c>
      <c r="G37" s="294"/>
    </row>
    <row r="38" spans="1:7">
      <c r="A38" s="294">
        <v>33</v>
      </c>
      <c r="B38" t="s">
        <v>183</v>
      </c>
      <c r="C38" t="s">
        <v>184</v>
      </c>
      <c r="D38" s="294">
        <v>0</v>
      </c>
      <c r="E38" s="294"/>
      <c r="F38" s="294">
        <v>10000</v>
      </c>
      <c r="G38" s="294"/>
    </row>
    <row r="39" spans="1:7">
      <c r="A39" s="294">
        <v>34</v>
      </c>
      <c r="B39" s="152" t="s">
        <v>185</v>
      </c>
      <c r="C39" t="s">
        <v>186</v>
      </c>
      <c r="D39" s="294">
        <v>0</v>
      </c>
      <c r="E39" s="294"/>
      <c r="F39" s="294">
        <v>10000</v>
      </c>
      <c r="G39" s="294"/>
    </row>
    <row r="40" spans="1:7">
      <c r="A40">
        <v>35</v>
      </c>
      <c r="B40" s="152" t="s">
        <v>187</v>
      </c>
      <c r="C40" t="s">
        <v>188</v>
      </c>
      <c r="D40" s="294">
        <v>0</v>
      </c>
      <c r="E40" s="294"/>
      <c r="F40" s="294">
        <v>10000</v>
      </c>
      <c r="G40" s="294"/>
    </row>
    <row r="41" spans="1:7">
      <c r="A41">
        <v>36</v>
      </c>
      <c r="B41" s="152" t="s">
        <v>189</v>
      </c>
      <c r="C41" t="s">
        <v>190</v>
      </c>
      <c r="D41" s="294">
        <v>0</v>
      </c>
      <c r="E41" s="294"/>
      <c r="F41" s="294">
        <v>10000</v>
      </c>
      <c r="G41" s="294"/>
    </row>
    <row r="42" spans="1:7">
      <c r="A42">
        <v>37</v>
      </c>
      <c r="B42" s="152" t="s">
        <v>191</v>
      </c>
      <c r="C42" t="s">
        <v>192</v>
      </c>
      <c r="D42" s="294">
        <v>0</v>
      </c>
      <c r="E42" s="294"/>
      <c r="F42" s="294">
        <v>10000</v>
      </c>
      <c r="G42" s="294"/>
    </row>
    <row r="43" spans="1:7">
      <c r="A43">
        <v>38</v>
      </c>
      <c r="B43" s="152" t="s">
        <v>193</v>
      </c>
      <c r="C43" t="s">
        <v>194</v>
      </c>
      <c r="D43" s="294">
        <v>0</v>
      </c>
      <c r="E43" s="294"/>
      <c r="F43" s="294">
        <v>10000</v>
      </c>
      <c r="G43" s="294"/>
    </row>
    <row r="44" spans="1:7">
      <c r="A44">
        <v>39</v>
      </c>
      <c r="B44" s="152" t="s">
        <v>195</v>
      </c>
      <c r="C44" t="s">
        <v>196</v>
      </c>
      <c r="D44" s="294">
        <v>0</v>
      </c>
      <c r="E44" s="294"/>
      <c r="F44" s="294">
        <v>10000</v>
      </c>
      <c r="G44" s="294"/>
    </row>
    <row r="45" spans="1:7">
      <c r="A45">
        <v>40</v>
      </c>
      <c r="B45" s="152" t="s">
        <v>197</v>
      </c>
      <c r="C45" t="s">
        <v>198</v>
      </c>
      <c r="D45" s="294">
        <v>0</v>
      </c>
      <c r="E45" s="294"/>
      <c r="F45" s="294">
        <v>10000</v>
      </c>
      <c r="G45" s="294"/>
    </row>
    <row r="46" spans="1:7">
      <c r="A46">
        <v>41</v>
      </c>
      <c r="B46" s="152" t="s">
        <v>199</v>
      </c>
      <c r="C46" t="s">
        <v>200</v>
      </c>
      <c r="D46" s="294">
        <v>0</v>
      </c>
      <c r="E46" s="294"/>
      <c r="F46" s="294">
        <v>10000</v>
      </c>
      <c r="G46" s="294"/>
    </row>
    <row r="47" spans="1:7">
      <c r="A47">
        <v>42</v>
      </c>
      <c r="B47" s="152" t="s">
        <v>201</v>
      </c>
      <c r="C47" t="s">
        <v>202</v>
      </c>
      <c r="D47" s="294">
        <v>0</v>
      </c>
      <c r="E47" s="294"/>
      <c r="F47" s="294">
        <v>10000</v>
      </c>
      <c r="G47" s="294"/>
    </row>
    <row r="48" spans="1:7">
      <c r="A48">
        <v>43</v>
      </c>
      <c r="B48" s="152" t="s">
        <v>203</v>
      </c>
      <c r="C48" t="s">
        <v>204</v>
      </c>
      <c r="D48" s="294">
        <v>0</v>
      </c>
      <c r="E48" s="294"/>
      <c r="F48" s="294">
        <v>10000</v>
      </c>
      <c r="G48" s="294"/>
    </row>
    <row r="49" spans="1:7">
      <c r="A49">
        <v>44</v>
      </c>
      <c r="B49" s="152" t="s">
        <v>205</v>
      </c>
      <c r="C49" t="s">
        <v>206</v>
      </c>
      <c r="D49" s="294">
        <v>0</v>
      </c>
      <c r="E49" s="294"/>
      <c r="F49" s="294">
        <v>10000</v>
      </c>
      <c r="G49" s="294"/>
    </row>
    <row r="50" spans="1:7">
      <c r="A50">
        <v>45</v>
      </c>
      <c r="B50" s="152" t="s">
        <v>207</v>
      </c>
      <c r="C50" t="s">
        <v>208</v>
      </c>
      <c r="D50" s="294">
        <v>0</v>
      </c>
      <c r="E50" s="294">
        <v>2500</v>
      </c>
      <c r="F50" s="294">
        <v>10000</v>
      </c>
      <c r="G50" s="294"/>
    </row>
    <row r="51" spans="1:7">
      <c r="A51">
        <v>46</v>
      </c>
      <c r="B51" s="152" t="s">
        <v>209</v>
      </c>
      <c r="C51" t="s">
        <v>210</v>
      </c>
      <c r="D51" s="294">
        <v>0</v>
      </c>
      <c r="E51" s="294">
        <v>2500</v>
      </c>
      <c r="F51" s="294">
        <v>10000</v>
      </c>
      <c r="G51" s="294"/>
    </row>
    <row r="52" spans="1:10">
      <c r="A52">
        <v>47</v>
      </c>
      <c r="B52" s="353" t="s">
        <v>211</v>
      </c>
      <c r="C52" t="s">
        <v>212</v>
      </c>
      <c r="D52" s="294">
        <v>1</v>
      </c>
      <c r="E52" s="294">
        <v>1000</v>
      </c>
      <c r="F52" s="294">
        <v>6000</v>
      </c>
      <c r="G52" s="294">
        <v>1</v>
      </c>
      <c r="H52">
        <v>300</v>
      </c>
      <c r="J52" t="s">
        <v>213</v>
      </c>
    </row>
    <row r="53" spans="1:8">
      <c r="A53">
        <v>48</v>
      </c>
      <c r="B53" s="353" t="s">
        <v>214</v>
      </c>
      <c r="C53" t="s">
        <v>118</v>
      </c>
      <c r="D53">
        <v>1</v>
      </c>
      <c r="E53">
        <v>1000</v>
      </c>
      <c r="F53">
        <v>6000</v>
      </c>
      <c r="G53">
        <v>1</v>
      </c>
      <c r="H53">
        <v>300</v>
      </c>
    </row>
    <row r="54" spans="1:8">
      <c r="A54">
        <v>49</v>
      </c>
      <c r="B54" s="353" t="s">
        <v>215</v>
      </c>
      <c r="C54" t="s">
        <v>216</v>
      </c>
      <c r="D54">
        <v>1</v>
      </c>
      <c r="E54">
        <v>1000</v>
      </c>
      <c r="F54">
        <v>7000</v>
      </c>
      <c r="G54">
        <v>1</v>
      </c>
      <c r="H54">
        <v>200</v>
      </c>
    </row>
    <row r="55" spans="1:10">
      <c r="A55">
        <v>50</v>
      </c>
      <c r="B55" t="s">
        <v>217</v>
      </c>
      <c r="C55" t="s">
        <v>218</v>
      </c>
      <c r="F55">
        <v>9000</v>
      </c>
      <c r="J55" t="s">
        <v>213</v>
      </c>
    </row>
    <row r="56" spans="1:4">
      <c r="A56">
        <v>51</v>
      </c>
      <c r="B56" t="s">
        <v>219</v>
      </c>
      <c r="C56" t="s">
        <v>220</v>
      </c>
      <c r="D56">
        <v>0</v>
      </c>
    </row>
    <row r="57" spans="1:3">
      <c r="A57">
        <v>52</v>
      </c>
      <c r="B57" t="s">
        <v>221</v>
      </c>
      <c r="C57" t="s">
        <v>222</v>
      </c>
    </row>
    <row r="58" spans="1:6">
      <c r="A58">
        <v>53</v>
      </c>
      <c r="B58" t="s">
        <v>223</v>
      </c>
      <c r="C58" t="s">
        <v>224</v>
      </c>
      <c r="D58">
        <v>0</v>
      </c>
      <c r="F58" s="294">
        <v>10000</v>
      </c>
    </row>
    <row r="59" spans="1:6">
      <c r="A59">
        <v>54</v>
      </c>
      <c r="B59" t="s">
        <v>225</v>
      </c>
      <c r="C59" t="s">
        <v>226</v>
      </c>
      <c r="D59">
        <v>0</v>
      </c>
      <c r="F59" s="294">
        <v>10000</v>
      </c>
    </row>
    <row r="60" spans="1:6">
      <c r="A60">
        <v>55</v>
      </c>
      <c r="B60" t="s">
        <v>227</v>
      </c>
      <c r="C60" t="s">
        <v>228</v>
      </c>
      <c r="D60">
        <v>0</v>
      </c>
      <c r="F60" s="294">
        <v>10000</v>
      </c>
    </row>
    <row r="61" spans="1:6">
      <c r="A61">
        <v>56</v>
      </c>
      <c r="B61" t="s">
        <v>229</v>
      </c>
      <c r="C61" t="s">
        <v>230</v>
      </c>
      <c r="D61">
        <v>0</v>
      </c>
      <c r="F61" s="294">
        <v>10000</v>
      </c>
    </row>
    <row r="62" spans="1:6">
      <c r="A62" s="354">
        <v>57</v>
      </c>
      <c r="B62" s="66" t="s">
        <v>231</v>
      </c>
      <c r="C62" s="11" t="s">
        <v>232</v>
      </c>
      <c r="D62" s="66">
        <v>0</v>
      </c>
      <c r="F62" s="66">
        <v>10000</v>
      </c>
    </row>
    <row r="63" spans="1:6">
      <c r="A63" s="354">
        <v>58</v>
      </c>
      <c r="B63" s="66" t="s">
        <v>233</v>
      </c>
      <c r="C63" s="11" t="s">
        <v>234</v>
      </c>
      <c r="D63" s="66">
        <v>0</v>
      </c>
      <c r="F63" s="66">
        <v>10000</v>
      </c>
    </row>
    <row r="64" spans="1:6">
      <c r="A64" s="354">
        <v>59</v>
      </c>
      <c r="B64" s="66" t="s">
        <v>233</v>
      </c>
      <c r="C64" s="11" t="s">
        <v>235</v>
      </c>
      <c r="D64" s="66">
        <v>0</v>
      </c>
      <c r="F64" s="66">
        <v>10000</v>
      </c>
    </row>
    <row r="65" spans="1:6">
      <c r="A65" s="354">
        <v>60</v>
      </c>
      <c r="B65" s="66" t="s">
        <v>233</v>
      </c>
      <c r="C65" s="11" t="s">
        <v>236</v>
      </c>
      <c r="D65" s="66">
        <v>0</v>
      </c>
      <c r="F65" s="66">
        <v>10000</v>
      </c>
    </row>
    <row r="66" spans="1:10">
      <c r="A66" s="354">
        <v>61</v>
      </c>
      <c r="B66" t="s">
        <v>237</v>
      </c>
      <c r="C66" s="66" t="s">
        <v>238</v>
      </c>
      <c r="D66" s="66">
        <v>0</v>
      </c>
      <c r="F66" s="66">
        <v>10000</v>
      </c>
      <c r="G66" s="66"/>
      <c r="H66" s="66"/>
      <c r="I66" s="66"/>
      <c r="J66" s="66"/>
    </row>
    <row r="67" spans="1:10">
      <c r="A67" s="354">
        <v>62</v>
      </c>
      <c r="B67" t="s">
        <v>237</v>
      </c>
      <c r="C67" s="66" t="s">
        <v>239</v>
      </c>
      <c r="D67" s="66">
        <v>0</v>
      </c>
      <c r="F67" s="66">
        <v>10000</v>
      </c>
      <c r="G67" s="66"/>
      <c r="H67" s="66"/>
      <c r="I67" s="66"/>
      <c r="J67" s="66"/>
    </row>
    <row r="68" spans="1:10">
      <c r="A68" s="354">
        <v>63</v>
      </c>
      <c r="B68" t="s">
        <v>237</v>
      </c>
      <c r="C68" s="66" t="s">
        <v>240</v>
      </c>
      <c r="D68" s="66">
        <v>0</v>
      </c>
      <c r="F68" s="66">
        <v>10000</v>
      </c>
      <c r="G68" s="66"/>
      <c r="H68" s="66"/>
      <c r="I68" s="66"/>
      <c r="J68" s="66"/>
    </row>
    <row r="69" spans="1:10">
      <c r="A69" s="354">
        <v>64</v>
      </c>
      <c r="B69" t="s">
        <v>237</v>
      </c>
      <c r="C69" s="66" t="s">
        <v>241</v>
      </c>
      <c r="D69" s="66">
        <v>0</v>
      </c>
      <c r="F69" s="66">
        <v>10000</v>
      </c>
      <c r="G69" s="66"/>
      <c r="H69" s="66"/>
      <c r="I69" s="66"/>
      <c r="J69" s="66"/>
    </row>
    <row r="70" spans="1:6">
      <c r="A70" s="354">
        <v>65</v>
      </c>
      <c r="B70" t="s">
        <v>237</v>
      </c>
      <c r="C70" s="66" t="s">
        <v>242</v>
      </c>
      <c r="D70" s="66">
        <v>0</v>
      </c>
      <c r="F70" s="66">
        <v>10000</v>
      </c>
    </row>
    <row r="71" spans="1:6">
      <c r="A71" s="354">
        <v>66</v>
      </c>
      <c r="B71" t="s">
        <v>237</v>
      </c>
      <c r="C71" s="66" t="s">
        <v>243</v>
      </c>
      <c r="D71" s="66">
        <v>0</v>
      </c>
      <c r="F71" s="66">
        <v>10000</v>
      </c>
    </row>
    <row r="72" spans="1:6">
      <c r="A72" s="354">
        <v>67</v>
      </c>
      <c r="B72" t="s">
        <v>237</v>
      </c>
      <c r="C72" s="66" t="s">
        <v>244</v>
      </c>
      <c r="D72" s="66">
        <v>0</v>
      </c>
      <c r="F72" s="66">
        <v>10000</v>
      </c>
    </row>
    <row r="73" spans="1:6">
      <c r="A73" s="354">
        <v>68</v>
      </c>
      <c r="B73" t="s">
        <v>237</v>
      </c>
      <c r="C73" s="66" t="s">
        <v>245</v>
      </c>
      <c r="D73" s="66">
        <v>0</v>
      </c>
      <c r="F73" s="66">
        <v>10000</v>
      </c>
    </row>
    <row r="74" spans="1:6">
      <c r="A74" s="354">
        <v>69</v>
      </c>
      <c r="B74" t="s">
        <v>237</v>
      </c>
      <c r="C74" s="66" t="s">
        <v>246</v>
      </c>
      <c r="D74" s="66">
        <v>0</v>
      </c>
      <c r="F74" s="66">
        <v>10000</v>
      </c>
    </row>
    <row r="75" spans="1:6">
      <c r="A75" s="354">
        <v>70</v>
      </c>
      <c r="B75" t="s">
        <v>237</v>
      </c>
      <c r="C75" s="66" t="s">
        <v>247</v>
      </c>
      <c r="D75" s="66">
        <v>0</v>
      </c>
      <c r="F75" s="66">
        <v>10000</v>
      </c>
    </row>
    <row r="76" spans="1:6">
      <c r="A76" s="354">
        <v>71</v>
      </c>
      <c r="B76" t="s">
        <v>237</v>
      </c>
      <c r="C76" s="66" t="s">
        <v>248</v>
      </c>
      <c r="D76" s="66">
        <v>0</v>
      </c>
      <c r="F76" s="66">
        <v>10000</v>
      </c>
    </row>
    <row r="77" spans="1:6">
      <c r="A77" s="354">
        <v>72</v>
      </c>
      <c r="B77" t="s">
        <v>237</v>
      </c>
      <c r="C77" s="66" t="s">
        <v>249</v>
      </c>
      <c r="D77" s="66">
        <v>0</v>
      </c>
      <c r="F77" s="66">
        <v>10000</v>
      </c>
    </row>
    <row r="78" spans="1:6">
      <c r="A78" s="354">
        <v>73</v>
      </c>
      <c r="B78" t="s">
        <v>237</v>
      </c>
      <c r="C78" s="66" t="s">
        <v>250</v>
      </c>
      <c r="D78" s="66">
        <v>0</v>
      </c>
      <c r="F78" s="66">
        <v>10000</v>
      </c>
    </row>
    <row r="79" spans="1:6">
      <c r="A79" s="354">
        <v>74</v>
      </c>
      <c r="B79" t="s">
        <v>237</v>
      </c>
      <c r="C79" s="66" t="s">
        <v>251</v>
      </c>
      <c r="D79" s="66">
        <v>0</v>
      </c>
      <c r="F79" s="66">
        <v>10000</v>
      </c>
    </row>
    <row r="80" spans="1:6">
      <c r="A80" s="354">
        <v>75</v>
      </c>
      <c r="B80" t="s">
        <v>237</v>
      </c>
      <c r="C80" s="66" t="s">
        <v>252</v>
      </c>
      <c r="D80" s="66">
        <v>0</v>
      </c>
      <c r="F80" s="66">
        <v>10000</v>
      </c>
    </row>
    <row r="81" spans="1:6">
      <c r="A81" s="354">
        <v>76</v>
      </c>
      <c r="B81" t="s">
        <v>237</v>
      </c>
      <c r="C81" s="66" t="s">
        <v>253</v>
      </c>
      <c r="D81" s="66">
        <v>0</v>
      </c>
      <c r="F81" s="66">
        <v>10000</v>
      </c>
    </row>
    <row r="82" spans="1:6">
      <c r="A82" s="354">
        <v>77</v>
      </c>
      <c r="B82" t="s">
        <v>237</v>
      </c>
      <c r="C82" s="66" t="s">
        <v>254</v>
      </c>
      <c r="D82" s="66">
        <v>0</v>
      </c>
      <c r="F82" s="66">
        <v>10000</v>
      </c>
    </row>
    <row r="83" spans="1:6">
      <c r="A83" s="354">
        <v>78</v>
      </c>
      <c r="B83" t="s">
        <v>237</v>
      </c>
      <c r="C83" s="66" t="s">
        <v>255</v>
      </c>
      <c r="D83" s="66">
        <v>0</v>
      </c>
      <c r="F83" s="66">
        <v>10000</v>
      </c>
    </row>
    <row r="84" spans="1:6">
      <c r="A84" s="354">
        <v>79</v>
      </c>
      <c r="B84" t="s">
        <v>237</v>
      </c>
      <c r="C84" s="66" t="s">
        <v>256</v>
      </c>
      <c r="D84" s="66">
        <v>0</v>
      </c>
      <c r="F84" s="66">
        <v>10000</v>
      </c>
    </row>
    <row r="85" spans="1:6">
      <c r="A85" s="354">
        <v>80</v>
      </c>
      <c r="B85" t="s">
        <v>237</v>
      </c>
      <c r="C85" s="66" t="s">
        <v>257</v>
      </c>
      <c r="D85" s="66">
        <v>0</v>
      </c>
      <c r="F85" s="66">
        <v>10000</v>
      </c>
    </row>
    <row r="86" spans="1:6">
      <c r="A86" s="354">
        <v>81</v>
      </c>
      <c r="B86" t="s">
        <v>237</v>
      </c>
      <c r="C86" s="66" t="s">
        <v>258</v>
      </c>
      <c r="D86" s="66">
        <v>0</v>
      </c>
      <c r="F86" s="66">
        <v>10000</v>
      </c>
    </row>
    <row r="87" spans="1:6">
      <c r="A87" s="354">
        <v>82</v>
      </c>
      <c r="B87" t="s">
        <v>237</v>
      </c>
      <c r="C87" s="66" t="s">
        <v>259</v>
      </c>
      <c r="D87" s="66">
        <v>0</v>
      </c>
      <c r="F87" s="66">
        <v>10000</v>
      </c>
    </row>
    <row r="88" spans="1:6">
      <c r="A88" s="354">
        <v>83</v>
      </c>
      <c r="B88" t="s">
        <v>237</v>
      </c>
      <c r="C88" s="66" t="s">
        <v>260</v>
      </c>
      <c r="D88" s="66">
        <v>0</v>
      </c>
      <c r="F88" s="66">
        <v>10000</v>
      </c>
    </row>
    <row r="89" spans="1:6">
      <c r="A89" s="354">
        <v>84</v>
      </c>
      <c r="B89" t="s">
        <v>237</v>
      </c>
      <c r="C89" s="66" t="s">
        <v>261</v>
      </c>
      <c r="D89" s="66">
        <v>0</v>
      </c>
      <c r="F89" s="66">
        <v>10000</v>
      </c>
    </row>
    <row r="90" spans="1:6">
      <c r="A90" s="354">
        <v>85</v>
      </c>
      <c r="B90" t="s">
        <v>237</v>
      </c>
      <c r="C90" s="66" t="s">
        <v>262</v>
      </c>
      <c r="D90" s="66">
        <v>0</v>
      </c>
      <c r="F90" s="66">
        <v>10000</v>
      </c>
    </row>
    <row r="91" spans="1:6">
      <c r="A91" s="354">
        <v>86</v>
      </c>
      <c r="B91" t="s">
        <v>237</v>
      </c>
      <c r="C91" s="66" t="s">
        <v>263</v>
      </c>
      <c r="D91" s="66">
        <v>0</v>
      </c>
      <c r="F91" s="66">
        <v>10000</v>
      </c>
    </row>
    <row r="92" spans="1:6">
      <c r="A92" s="354">
        <v>87</v>
      </c>
      <c r="B92" t="s">
        <v>237</v>
      </c>
      <c r="C92" s="66" t="s">
        <v>264</v>
      </c>
      <c r="D92" s="66">
        <v>0</v>
      </c>
      <c r="F92" s="66">
        <v>10000</v>
      </c>
    </row>
    <row r="93" spans="1:6">
      <c r="A93" s="354">
        <v>88</v>
      </c>
      <c r="B93" t="s">
        <v>237</v>
      </c>
      <c r="C93" s="66" t="s">
        <v>265</v>
      </c>
      <c r="D93" s="66">
        <v>0</v>
      </c>
      <c r="F93" s="66">
        <v>10000</v>
      </c>
    </row>
    <row r="94" spans="1:6">
      <c r="A94" s="354">
        <v>89</v>
      </c>
      <c r="B94" s="302" t="s">
        <v>266</v>
      </c>
      <c r="C94" s="92" t="s">
        <v>267</v>
      </c>
      <c r="D94" s="66">
        <v>0</v>
      </c>
      <c r="F94" s="66">
        <v>10000</v>
      </c>
    </row>
    <row r="95" spans="1:6">
      <c r="A95" s="354">
        <v>90</v>
      </c>
      <c r="B95" s="302" t="s">
        <v>268</v>
      </c>
      <c r="C95" s="302" t="s">
        <v>269</v>
      </c>
      <c r="D95" s="66">
        <v>0</v>
      </c>
      <c r="F95" s="66">
        <v>10000</v>
      </c>
    </row>
  </sheetData>
  <mergeCells count="2">
    <mergeCell ref="I10:J11"/>
    <mergeCell ref="J17:K18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O120"/>
  <sheetViews>
    <sheetView workbookViewId="0">
      <pane xSplit="2" ySplit="5" topLeftCell="C108" activePane="bottomRight" state="frozen"/>
      <selection/>
      <selection pane="topRight"/>
      <selection pane="bottomLeft"/>
      <selection pane="bottomRight" activeCell="B111" sqref="B111"/>
    </sheetView>
  </sheetViews>
  <sheetFormatPr defaultColWidth="9" defaultRowHeight="13.85"/>
  <cols>
    <col min="1" max="1" width="11.2477876106195" customWidth="1"/>
    <col min="2" max="3" width="21.6283185840708" customWidth="1"/>
    <col min="4" max="4" width="22.6283185840708" customWidth="1"/>
    <col min="6" max="6" width="12" customWidth="1"/>
    <col min="7" max="7" width="14.6283185840708" customWidth="1"/>
    <col min="8" max="8" width="19" customWidth="1"/>
    <col min="9" max="9" width="13.5044247787611" customWidth="1"/>
    <col min="10" max="10" width="19" customWidth="1"/>
    <col min="12" max="12" width="36.1238938053097" customWidth="1"/>
  </cols>
  <sheetData>
    <row r="1" ht="15" spans="1:13">
      <c r="A1" s="157" t="s">
        <v>39</v>
      </c>
      <c r="B1" s="326"/>
      <c r="C1" s="326"/>
      <c r="D1" s="326"/>
      <c r="E1" s="157"/>
      <c r="F1" s="157"/>
      <c r="G1" s="157"/>
      <c r="H1" s="157"/>
      <c r="I1" s="161"/>
      <c r="J1" s="326"/>
      <c r="K1" s="51"/>
      <c r="L1" s="51"/>
      <c r="M1" s="51"/>
    </row>
    <row r="2" ht="90" spans="1:14">
      <c r="A2" s="327" t="s">
        <v>270</v>
      </c>
      <c r="B2" s="328" t="s">
        <v>271</v>
      </c>
      <c r="C2" s="328"/>
      <c r="D2" s="329" t="s">
        <v>272</v>
      </c>
      <c r="E2" s="329" t="s">
        <v>273</v>
      </c>
      <c r="F2" s="329" t="s">
        <v>274</v>
      </c>
      <c r="G2" s="329" t="s">
        <v>275</v>
      </c>
      <c r="H2" s="329" t="s">
        <v>276</v>
      </c>
      <c r="I2" s="329" t="s">
        <v>277</v>
      </c>
      <c r="J2" s="329" t="s">
        <v>278</v>
      </c>
      <c r="K2" s="53" t="s">
        <v>279</v>
      </c>
      <c r="L2" s="53" t="s">
        <v>280</v>
      </c>
      <c r="M2" s="53" t="s">
        <v>281</v>
      </c>
      <c r="N2" t="s">
        <v>282</v>
      </c>
    </row>
    <row r="3" ht="15" spans="1:13">
      <c r="A3" s="157" t="s">
        <v>109</v>
      </c>
      <c r="B3" s="326" t="s">
        <v>110</v>
      </c>
      <c r="C3" s="326"/>
      <c r="D3" s="157" t="s">
        <v>110</v>
      </c>
      <c r="E3" s="157" t="s">
        <v>283</v>
      </c>
      <c r="F3" s="157" t="s">
        <v>109</v>
      </c>
      <c r="G3" s="157" t="s">
        <v>109</v>
      </c>
      <c r="H3" s="157" t="s">
        <v>109</v>
      </c>
      <c r="I3" s="157" t="s">
        <v>109</v>
      </c>
      <c r="J3" s="157" t="s">
        <v>109</v>
      </c>
      <c r="K3" s="50"/>
      <c r="L3" s="51"/>
      <c r="M3" s="50"/>
    </row>
    <row r="4" ht="15" spans="1:13">
      <c r="A4" s="330" t="s">
        <v>270</v>
      </c>
      <c r="B4" s="326" t="s">
        <v>64</v>
      </c>
      <c r="C4" s="326"/>
      <c r="D4" s="157" t="s">
        <v>284</v>
      </c>
      <c r="E4" s="157" t="s">
        <v>285</v>
      </c>
      <c r="F4" s="157" t="s">
        <v>286</v>
      </c>
      <c r="G4" s="157" t="s">
        <v>287</v>
      </c>
      <c r="H4" s="157" t="s">
        <v>288</v>
      </c>
      <c r="I4" s="157" t="s">
        <v>289</v>
      </c>
      <c r="J4" s="157" t="s">
        <v>290</v>
      </c>
      <c r="K4" s="59"/>
      <c r="L4" s="59"/>
      <c r="M4" s="59"/>
    </row>
    <row r="5" ht="15" spans="1:13">
      <c r="A5" s="330"/>
      <c r="B5" s="326"/>
      <c r="C5" s="326"/>
      <c r="D5" s="157"/>
      <c r="E5" s="157"/>
      <c r="F5" s="157"/>
      <c r="G5" s="157"/>
      <c r="H5" s="157"/>
      <c r="I5" s="157"/>
      <c r="J5" s="157"/>
      <c r="K5" s="59"/>
      <c r="L5" s="59"/>
      <c r="M5" s="59"/>
    </row>
    <row r="6" ht="15.75" spans="1:15">
      <c r="A6" s="314">
        <v>1</v>
      </c>
      <c r="B6" s="314" t="s">
        <v>291</v>
      </c>
      <c r="C6" s="157"/>
      <c r="D6" s="331" t="s">
        <v>292</v>
      </c>
      <c r="E6" s="157">
        <v>1</v>
      </c>
      <c r="F6" s="157">
        <v>1</v>
      </c>
      <c r="G6" s="157">
        <v>0</v>
      </c>
      <c r="H6" s="161"/>
      <c r="I6" s="157">
        <v>0</v>
      </c>
      <c r="J6" s="326">
        <v>100</v>
      </c>
      <c r="K6" s="1"/>
      <c r="L6" s="61">
        <v>4</v>
      </c>
      <c r="M6">
        <v>1</v>
      </c>
      <c r="N6" s="223" t="s">
        <v>293</v>
      </c>
      <c r="O6" t="s">
        <v>294</v>
      </c>
    </row>
    <row r="7" ht="15.75" spans="1:15">
      <c r="A7" s="314">
        <v>2</v>
      </c>
      <c r="B7" s="314" t="s">
        <v>295</v>
      </c>
      <c r="C7" s="314" t="s">
        <v>296</v>
      </c>
      <c r="D7" s="331" t="s">
        <v>297</v>
      </c>
      <c r="E7" s="157">
        <v>1</v>
      </c>
      <c r="F7" s="157">
        <v>1</v>
      </c>
      <c r="G7" s="157">
        <v>0</v>
      </c>
      <c r="H7" s="161"/>
      <c r="I7" s="157">
        <v>0</v>
      </c>
      <c r="J7" s="326">
        <v>100</v>
      </c>
      <c r="K7" s="1"/>
      <c r="L7" s="61"/>
      <c r="M7">
        <v>2</v>
      </c>
      <c r="N7" s="223" t="s">
        <v>293</v>
      </c>
      <c r="O7" t="s">
        <v>294</v>
      </c>
    </row>
    <row r="8" ht="15.75" spans="1:15">
      <c r="A8" s="314">
        <v>3</v>
      </c>
      <c r="B8" s="314" t="s">
        <v>298</v>
      </c>
      <c r="C8" s="314"/>
      <c r="D8" s="331" t="s">
        <v>299</v>
      </c>
      <c r="E8" s="157">
        <v>1</v>
      </c>
      <c r="F8" s="157">
        <v>1</v>
      </c>
      <c r="G8" s="157">
        <v>0</v>
      </c>
      <c r="H8" s="161"/>
      <c r="I8" s="157">
        <v>0</v>
      </c>
      <c r="J8" s="326">
        <v>0</v>
      </c>
      <c r="K8" s="1"/>
      <c r="L8" s="61"/>
      <c r="M8">
        <v>3</v>
      </c>
      <c r="N8" s="223" t="s">
        <v>300</v>
      </c>
      <c r="O8" t="s">
        <v>301</v>
      </c>
    </row>
    <row r="9" ht="15.75" spans="1:15">
      <c r="A9" s="314">
        <v>4</v>
      </c>
      <c r="B9" s="314" t="s">
        <v>302</v>
      </c>
      <c r="C9" s="157"/>
      <c r="D9" t="s">
        <v>303</v>
      </c>
      <c r="E9" s="157">
        <v>1</v>
      </c>
      <c r="F9" s="157">
        <v>1</v>
      </c>
      <c r="G9" s="157">
        <v>1</v>
      </c>
      <c r="H9" s="161">
        <v>2</v>
      </c>
      <c r="I9" s="157">
        <v>0</v>
      </c>
      <c r="J9" s="326">
        <v>0</v>
      </c>
      <c r="K9" s="1"/>
      <c r="L9" s="61"/>
      <c r="M9">
        <v>4</v>
      </c>
      <c r="N9" s="223" t="s">
        <v>304</v>
      </c>
      <c r="O9" t="s">
        <v>305</v>
      </c>
    </row>
    <row r="10" ht="15" spans="1:13">
      <c r="A10" s="314">
        <v>5</v>
      </c>
      <c r="B10" s="182" t="s">
        <v>306</v>
      </c>
      <c r="C10" s="332" t="s">
        <v>307</v>
      </c>
      <c r="D10" s="333" t="s">
        <v>308</v>
      </c>
      <c r="E10" s="332">
        <v>1</v>
      </c>
      <c r="F10" s="332">
        <v>1</v>
      </c>
      <c r="G10" s="332">
        <v>0</v>
      </c>
      <c r="H10" s="334">
        <v>2</v>
      </c>
      <c r="I10" s="332">
        <v>0</v>
      </c>
      <c r="J10" s="343">
        <v>0</v>
      </c>
      <c r="K10" s="344"/>
      <c r="L10" s="345"/>
      <c r="M10" s="344"/>
    </row>
    <row r="11" ht="15" spans="1:13">
      <c r="A11" s="314">
        <v>6</v>
      </c>
      <c r="B11" s="314" t="s">
        <v>309</v>
      </c>
      <c r="C11" s="157"/>
      <c r="D11" s="331" t="s">
        <v>310</v>
      </c>
      <c r="E11" s="157">
        <v>1</v>
      </c>
      <c r="F11" s="157">
        <v>1</v>
      </c>
      <c r="G11" s="157">
        <v>0</v>
      </c>
      <c r="H11" s="161"/>
      <c r="I11" s="157">
        <v>0</v>
      </c>
      <c r="J11" s="326">
        <v>0</v>
      </c>
      <c r="K11" s="1"/>
      <c r="L11" s="61"/>
      <c r="M11" s="1"/>
    </row>
    <row r="12" ht="15" spans="1:13">
      <c r="A12" s="314">
        <v>7</v>
      </c>
      <c r="B12" s="157" t="s">
        <v>311</v>
      </c>
      <c r="C12" s="157"/>
      <c r="D12" s="331" t="s">
        <v>312</v>
      </c>
      <c r="E12" s="157">
        <v>1</v>
      </c>
      <c r="F12" s="157">
        <v>1</v>
      </c>
      <c r="G12" s="157">
        <v>0</v>
      </c>
      <c r="H12" s="161"/>
      <c r="I12" s="157">
        <v>0</v>
      </c>
      <c r="J12" s="326">
        <v>0</v>
      </c>
      <c r="K12" s="1"/>
      <c r="L12" s="61"/>
      <c r="M12" s="1"/>
    </row>
    <row r="13" ht="15" spans="1:13">
      <c r="A13" s="314">
        <v>8</v>
      </c>
      <c r="B13" s="157" t="s">
        <v>313</v>
      </c>
      <c r="C13" s="157"/>
      <c r="D13" s="331" t="s">
        <v>314</v>
      </c>
      <c r="E13" s="157">
        <v>1</v>
      </c>
      <c r="F13" s="157">
        <v>1</v>
      </c>
      <c r="G13" s="157">
        <v>0</v>
      </c>
      <c r="H13" s="161"/>
      <c r="I13" s="157">
        <v>0</v>
      </c>
      <c r="J13" s="326">
        <v>0</v>
      </c>
      <c r="K13" s="1"/>
      <c r="L13" s="61"/>
      <c r="M13" s="1"/>
    </row>
    <row r="14" ht="15" spans="1:13">
      <c r="A14" s="314">
        <v>9</v>
      </c>
      <c r="B14" s="157" t="s">
        <v>315</v>
      </c>
      <c r="C14" s="157"/>
      <c r="D14" s="331" t="s">
        <v>316</v>
      </c>
      <c r="E14" s="157">
        <v>1</v>
      </c>
      <c r="F14" s="157">
        <v>1</v>
      </c>
      <c r="G14" s="157">
        <v>0</v>
      </c>
      <c r="H14" s="161"/>
      <c r="I14" s="157">
        <v>0</v>
      </c>
      <c r="J14" s="326">
        <v>150</v>
      </c>
      <c r="K14" s="1"/>
      <c r="L14" s="61"/>
      <c r="M14" s="1"/>
    </row>
    <row r="15" ht="15" spans="1:13">
      <c r="A15" s="314">
        <v>10</v>
      </c>
      <c r="B15" s="157" t="s">
        <v>317</v>
      </c>
      <c r="C15" s="157"/>
      <c r="D15" s="331" t="s">
        <v>318</v>
      </c>
      <c r="E15" s="157">
        <v>1</v>
      </c>
      <c r="F15" s="157">
        <v>1</v>
      </c>
      <c r="G15" s="157">
        <v>0</v>
      </c>
      <c r="H15" s="161"/>
      <c r="I15" s="157">
        <v>0</v>
      </c>
      <c r="J15" s="326">
        <v>0</v>
      </c>
      <c r="K15" s="1"/>
      <c r="L15" s="61"/>
      <c r="M15" s="1"/>
    </row>
    <row r="16" ht="15" spans="1:12">
      <c r="A16" s="314">
        <v>11</v>
      </c>
      <c r="B16" s="157" t="s">
        <v>319</v>
      </c>
      <c r="C16" s="157"/>
      <c r="D16" s="331" t="s">
        <v>320</v>
      </c>
      <c r="E16" s="157">
        <v>1</v>
      </c>
      <c r="F16" s="157">
        <v>1</v>
      </c>
      <c r="G16" s="157">
        <v>0</v>
      </c>
      <c r="H16" s="161"/>
      <c r="I16" s="157">
        <v>0</v>
      </c>
      <c r="J16" s="326">
        <v>0</v>
      </c>
      <c r="K16" s="1"/>
      <c r="L16" s="61"/>
    </row>
    <row r="17" ht="15" spans="1:12">
      <c r="A17" s="314">
        <v>12</v>
      </c>
      <c r="B17" s="157" t="s">
        <v>321</v>
      </c>
      <c r="C17" s="157"/>
      <c r="D17" s="331" t="s">
        <v>322</v>
      </c>
      <c r="E17" s="157">
        <v>1</v>
      </c>
      <c r="F17" s="157">
        <v>1</v>
      </c>
      <c r="G17" s="157">
        <v>0</v>
      </c>
      <c r="H17" s="161"/>
      <c r="I17" s="157">
        <v>0</v>
      </c>
      <c r="J17" s="326">
        <v>0</v>
      </c>
      <c r="K17" s="1"/>
      <c r="L17" s="61">
        <v>6</v>
      </c>
    </row>
    <row r="18" s="91" customFormat="1" ht="15" spans="1:12">
      <c r="A18" s="314">
        <v>13</v>
      </c>
      <c r="B18" s="157" t="s">
        <v>323</v>
      </c>
      <c r="C18" s="157"/>
      <c r="D18" s="331" t="s">
        <v>324</v>
      </c>
      <c r="E18" s="157">
        <v>1</v>
      </c>
      <c r="F18" s="157">
        <v>1</v>
      </c>
      <c r="G18" s="157">
        <v>0</v>
      </c>
      <c r="H18" s="161">
        <v>1</v>
      </c>
      <c r="I18" s="157">
        <v>0</v>
      </c>
      <c r="J18" s="326">
        <v>0</v>
      </c>
      <c r="K18" s="107">
        <v>6</v>
      </c>
      <c r="L18" s="155"/>
    </row>
    <row r="19" ht="15" spans="1:12">
      <c r="A19" s="314">
        <v>14</v>
      </c>
      <c r="B19" s="165" t="s">
        <v>325</v>
      </c>
      <c r="C19" s="165"/>
      <c r="D19" s="331" t="s">
        <v>326</v>
      </c>
      <c r="E19" s="157">
        <v>1</v>
      </c>
      <c r="F19" s="157">
        <v>1</v>
      </c>
      <c r="G19" s="157">
        <v>0</v>
      </c>
      <c r="H19" s="161">
        <v>1</v>
      </c>
      <c r="I19" s="157">
        <v>0</v>
      </c>
      <c r="J19" s="326">
        <v>0</v>
      </c>
      <c r="K19" s="1">
        <v>4</v>
      </c>
      <c r="L19" s="155"/>
    </row>
    <row r="20" ht="15" spans="1:11">
      <c r="A20" s="314">
        <v>15</v>
      </c>
      <c r="B20" s="165" t="s">
        <v>327</v>
      </c>
      <c r="C20" s="165"/>
      <c r="D20" s="331" t="s">
        <v>328</v>
      </c>
      <c r="E20" s="157">
        <v>1</v>
      </c>
      <c r="F20" s="157">
        <v>1</v>
      </c>
      <c r="G20" s="157">
        <v>0</v>
      </c>
      <c r="H20" s="161">
        <v>1</v>
      </c>
      <c r="I20" s="157">
        <v>0</v>
      </c>
      <c r="J20" s="326">
        <v>0</v>
      </c>
      <c r="K20" s="157">
        <v>1</v>
      </c>
    </row>
    <row r="21" ht="15" spans="1:11">
      <c r="A21" s="314">
        <v>16</v>
      </c>
      <c r="B21" s="165" t="s">
        <v>329</v>
      </c>
      <c r="C21" s="165"/>
      <c r="D21" s="331" t="s">
        <v>330</v>
      </c>
      <c r="E21" s="157">
        <v>1</v>
      </c>
      <c r="F21" s="157">
        <v>1</v>
      </c>
      <c r="G21" s="157">
        <v>0</v>
      </c>
      <c r="H21" s="161">
        <v>1</v>
      </c>
      <c r="I21" s="157">
        <v>0</v>
      </c>
      <c r="J21" s="326">
        <v>0</v>
      </c>
      <c r="K21" s="1">
        <v>2</v>
      </c>
    </row>
    <row r="22" ht="15" spans="1:11">
      <c r="A22" s="314">
        <v>17</v>
      </c>
      <c r="B22" s="165" t="s">
        <v>331</v>
      </c>
      <c r="C22" s="165"/>
      <c r="D22" s="331" t="s">
        <v>332</v>
      </c>
      <c r="E22" s="157">
        <v>1</v>
      </c>
      <c r="F22" s="157">
        <v>1</v>
      </c>
      <c r="G22" s="157">
        <v>0</v>
      </c>
      <c r="H22" s="161">
        <v>1</v>
      </c>
      <c r="I22" s="157">
        <v>0</v>
      </c>
      <c r="J22" s="326">
        <v>0</v>
      </c>
      <c r="K22" s="1">
        <v>3</v>
      </c>
    </row>
    <row r="23" ht="15" spans="1:11">
      <c r="A23" s="314">
        <v>18</v>
      </c>
      <c r="B23" s="165" t="s">
        <v>333</v>
      </c>
      <c r="C23" s="165"/>
      <c r="D23" s="331" t="s">
        <v>334</v>
      </c>
      <c r="E23" s="157">
        <v>1</v>
      </c>
      <c r="F23" s="157">
        <v>1</v>
      </c>
      <c r="G23" s="157">
        <v>0</v>
      </c>
      <c r="H23" s="161">
        <v>1</v>
      </c>
      <c r="I23" s="157">
        <v>0</v>
      </c>
      <c r="J23" s="326">
        <v>0</v>
      </c>
      <c r="K23" s="1">
        <v>5</v>
      </c>
    </row>
    <row r="24" ht="16.5" spans="1:10">
      <c r="A24" s="314">
        <v>19</v>
      </c>
      <c r="B24" s="165" t="s">
        <v>335</v>
      </c>
      <c r="C24" s="165"/>
      <c r="D24" s="100" t="s">
        <v>336</v>
      </c>
      <c r="E24" s="157">
        <v>1</v>
      </c>
      <c r="F24" s="157">
        <v>1</v>
      </c>
      <c r="G24" s="157">
        <v>0</v>
      </c>
      <c r="H24" s="161">
        <v>3</v>
      </c>
      <c r="I24" s="157">
        <v>0</v>
      </c>
      <c r="J24" s="326">
        <v>0</v>
      </c>
    </row>
    <row r="25" ht="15" spans="1:10">
      <c r="A25" s="314">
        <v>20</v>
      </c>
      <c r="B25" s="165" t="s">
        <v>337</v>
      </c>
      <c r="C25" s="165"/>
      <c r="D25" s="331" t="s">
        <v>338</v>
      </c>
      <c r="E25" s="157">
        <v>1</v>
      </c>
      <c r="F25" s="157">
        <v>1</v>
      </c>
      <c r="G25" s="157">
        <v>0</v>
      </c>
      <c r="H25" s="161"/>
      <c r="I25" s="157">
        <v>0</v>
      </c>
      <c r="J25" s="326">
        <v>0</v>
      </c>
    </row>
    <row r="26" ht="15" spans="1:10">
      <c r="A26" s="314">
        <v>21</v>
      </c>
      <c r="B26" s="245" t="s">
        <v>339</v>
      </c>
      <c r="C26" s="166"/>
      <c r="D26" s="245" t="s">
        <v>340</v>
      </c>
      <c r="E26" s="157">
        <v>1</v>
      </c>
      <c r="F26" s="157">
        <v>1</v>
      </c>
      <c r="G26" s="157">
        <v>0</v>
      </c>
      <c r="H26" s="161">
        <v>2</v>
      </c>
      <c r="I26" s="157">
        <v>0</v>
      </c>
      <c r="J26" s="326">
        <v>0</v>
      </c>
    </row>
    <row r="27" ht="15" spans="1:10">
      <c r="A27" s="314">
        <v>22</v>
      </c>
      <c r="B27" s="245" t="s">
        <v>341</v>
      </c>
      <c r="D27" s="245" t="s">
        <v>342</v>
      </c>
      <c r="E27" s="157">
        <v>1</v>
      </c>
      <c r="F27" s="157">
        <v>1</v>
      </c>
      <c r="G27" s="157">
        <v>0</v>
      </c>
      <c r="H27" s="161"/>
      <c r="I27" s="157">
        <v>0</v>
      </c>
      <c r="J27" s="326">
        <v>0</v>
      </c>
    </row>
    <row r="28" ht="15" spans="1:10">
      <c r="A28" s="314">
        <v>24</v>
      </c>
      <c r="B28" s="335" t="s">
        <v>343</v>
      </c>
      <c r="C28" s="182"/>
      <c r="D28" s="336" t="s">
        <v>344</v>
      </c>
      <c r="E28" s="157">
        <v>1</v>
      </c>
      <c r="F28" s="157">
        <v>1</v>
      </c>
      <c r="G28" s="157">
        <v>0</v>
      </c>
      <c r="H28" s="161">
        <v>2</v>
      </c>
      <c r="I28" s="157">
        <v>0</v>
      </c>
      <c r="J28" s="326">
        <v>0</v>
      </c>
    </row>
    <row r="29" ht="15" spans="1:10">
      <c r="A29" s="314">
        <v>25</v>
      </c>
      <c r="B29" s="335" t="s">
        <v>345</v>
      </c>
      <c r="C29" s="182"/>
      <c r="D29" s="336" t="s">
        <v>346</v>
      </c>
      <c r="E29" s="157">
        <v>1</v>
      </c>
      <c r="F29" s="157">
        <v>1</v>
      </c>
      <c r="G29" s="157">
        <v>0</v>
      </c>
      <c r="H29" s="161"/>
      <c r="I29" s="157">
        <v>0</v>
      </c>
      <c r="J29" s="326">
        <v>0</v>
      </c>
    </row>
    <row r="30" ht="15" spans="1:10">
      <c r="A30" s="314">
        <v>26</v>
      </c>
      <c r="B30" s="337" t="s">
        <v>347</v>
      </c>
      <c r="D30" s="337" t="s">
        <v>348</v>
      </c>
      <c r="E30" s="157">
        <v>1</v>
      </c>
      <c r="F30" s="157">
        <v>1</v>
      </c>
      <c r="G30" s="157">
        <v>0</v>
      </c>
      <c r="H30" s="161"/>
      <c r="I30" s="157">
        <v>0</v>
      </c>
      <c r="J30" s="326">
        <v>0</v>
      </c>
    </row>
    <row r="31" ht="15" spans="1:10">
      <c r="A31" s="314">
        <v>27</v>
      </c>
      <c r="B31" s="245" t="s">
        <v>349</v>
      </c>
      <c r="D31" s="337" t="s">
        <v>350</v>
      </c>
      <c r="E31" s="157">
        <v>1</v>
      </c>
      <c r="F31" s="157">
        <v>1</v>
      </c>
      <c r="G31" s="157">
        <v>0</v>
      </c>
      <c r="H31" s="161">
        <v>2</v>
      </c>
      <c r="I31" s="157">
        <v>0</v>
      </c>
      <c r="J31" s="326">
        <v>0</v>
      </c>
    </row>
    <row r="32" ht="15" spans="1:10">
      <c r="A32" s="314">
        <v>28</v>
      </c>
      <c r="B32" s="245" t="s">
        <v>351</v>
      </c>
      <c r="D32" s="337" t="s">
        <v>352</v>
      </c>
      <c r="E32" s="157">
        <v>1</v>
      </c>
      <c r="F32" s="157">
        <v>1</v>
      </c>
      <c r="G32" s="157">
        <v>0</v>
      </c>
      <c r="H32" s="161"/>
      <c r="I32" s="157">
        <v>0</v>
      </c>
      <c r="J32" s="326">
        <v>0</v>
      </c>
    </row>
    <row r="33" ht="15" spans="1:10">
      <c r="A33" s="314">
        <v>29</v>
      </c>
      <c r="B33" s="245" t="s">
        <v>353</v>
      </c>
      <c r="D33" s="337" t="s">
        <v>354</v>
      </c>
      <c r="E33" s="157">
        <v>1</v>
      </c>
      <c r="F33" s="157">
        <v>1</v>
      </c>
      <c r="G33" s="157">
        <v>0</v>
      </c>
      <c r="H33" s="338">
        <v>2</v>
      </c>
      <c r="I33" s="157">
        <v>0</v>
      </c>
      <c r="J33" s="326">
        <v>0</v>
      </c>
    </row>
    <row r="34" ht="15" spans="1:10">
      <c r="A34" s="314">
        <v>30</v>
      </c>
      <c r="B34" s="245" t="s">
        <v>355</v>
      </c>
      <c r="D34" s="245" t="s">
        <v>356</v>
      </c>
      <c r="E34" s="157">
        <v>1</v>
      </c>
      <c r="F34" s="157">
        <v>1</v>
      </c>
      <c r="G34" s="157">
        <v>0</v>
      </c>
      <c r="H34" s="161"/>
      <c r="I34" s="157">
        <v>0</v>
      </c>
      <c r="J34" s="326">
        <v>0</v>
      </c>
    </row>
    <row r="35" ht="15" spans="1:10">
      <c r="A35" s="314">
        <v>31</v>
      </c>
      <c r="B35" s="336" t="s">
        <v>357</v>
      </c>
      <c r="D35" s="245" t="s">
        <v>358</v>
      </c>
      <c r="E35" s="157">
        <v>1</v>
      </c>
      <c r="F35" s="157">
        <v>1</v>
      </c>
      <c r="G35" s="157">
        <v>0</v>
      </c>
      <c r="H35" s="161"/>
      <c r="I35" s="157">
        <v>0</v>
      </c>
      <c r="J35" s="326">
        <v>0</v>
      </c>
    </row>
    <row r="36" ht="15" spans="1:10">
      <c r="A36" s="314">
        <v>32</v>
      </c>
      <c r="B36" s="336" t="s">
        <v>359</v>
      </c>
      <c r="C36" s="174"/>
      <c r="D36" s="337" t="s">
        <v>360</v>
      </c>
      <c r="E36" s="157">
        <v>1</v>
      </c>
      <c r="F36" s="157">
        <v>1</v>
      </c>
      <c r="G36" s="157">
        <v>0</v>
      </c>
      <c r="H36" s="161"/>
      <c r="I36" s="157">
        <v>0</v>
      </c>
      <c r="J36" s="326">
        <v>0</v>
      </c>
    </row>
    <row r="37" ht="15" spans="1:10">
      <c r="A37" s="314">
        <v>33</v>
      </c>
      <c r="B37" s="336" t="s">
        <v>361</v>
      </c>
      <c r="D37" s="245" t="s">
        <v>362</v>
      </c>
      <c r="E37" s="157">
        <v>1</v>
      </c>
      <c r="F37" s="157">
        <v>1</v>
      </c>
      <c r="G37" s="157">
        <v>0</v>
      </c>
      <c r="H37" s="161"/>
      <c r="I37" s="157">
        <v>0</v>
      </c>
      <c r="J37" s="326">
        <v>0</v>
      </c>
    </row>
    <row r="38" ht="15" spans="1:10">
      <c r="A38" s="314">
        <v>34</v>
      </c>
      <c r="B38" s="245" t="s">
        <v>363</v>
      </c>
      <c r="D38" s="245" t="s">
        <v>364</v>
      </c>
      <c r="E38" s="157">
        <v>1</v>
      </c>
      <c r="F38" s="157">
        <v>1</v>
      </c>
      <c r="G38" s="157">
        <v>0</v>
      </c>
      <c r="H38" s="161"/>
      <c r="I38" s="157">
        <v>0</v>
      </c>
      <c r="J38" s="326">
        <v>0</v>
      </c>
    </row>
    <row r="39" ht="15" spans="1:10">
      <c r="A39" s="314">
        <v>35</v>
      </c>
      <c r="B39" s="336" t="s">
        <v>365</v>
      </c>
      <c r="C39" s="182"/>
      <c r="D39" s="336" t="s">
        <v>366</v>
      </c>
      <c r="E39" s="157">
        <v>1</v>
      </c>
      <c r="F39" s="157">
        <v>1</v>
      </c>
      <c r="G39" s="157">
        <v>0</v>
      </c>
      <c r="H39" s="161"/>
      <c r="I39" s="157">
        <v>0</v>
      </c>
      <c r="J39" s="326">
        <v>0</v>
      </c>
    </row>
    <row r="40" ht="15" spans="1:10">
      <c r="A40" s="314">
        <v>36</v>
      </c>
      <c r="B40" s="336" t="s">
        <v>367</v>
      </c>
      <c r="D40" s="245" t="s">
        <v>368</v>
      </c>
      <c r="E40" s="157">
        <v>1</v>
      </c>
      <c r="F40" s="157">
        <v>1</v>
      </c>
      <c r="G40" s="157">
        <v>0</v>
      </c>
      <c r="H40" s="161"/>
      <c r="I40" s="157">
        <v>0</v>
      </c>
      <c r="J40" s="326">
        <v>0</v>
      </c>
    </row>
    <row r="41" ht="15" spans="1:10">
      <c r="A41" s="314">
        <v>37</v>
      </c>
      <c r="B41" s="91" t="s">
        <v>369</v>
      </c>
      <c r="D41" s="245" t="s">
        <v>370</v>
      </c>
      <c r="E41" s="157">
        <v>1</v>
      </c>
      <c r="F41" s="157">
        <v>1</v>
      </c>
      <c r="G41" s="157">
        <v>0</v>
      </c>
      <c r="H41" s="161"/>
      <c r="I41" s="157">
        <v>0</v>
      </c>
      <c r="J41" s="326">
        <v>0</v>
      </c>
    </row>
    <row r="42" ht="15" spans="1:10">
      <c r="A42" s="314">
        <v>38</v>
      </c>
      <c r="B42" s="245" t="s">
        <v>371</v>
      </c>
      <c r="D42" s="337" t="s">
        <v>372</v>
      </c>
      <c r="E42" s="157">
        <v>1</v>
      </c>
      <c r="F42" s="157">
        <v>1</v>
      </c>
      <c r="G42" s="157">
        <v>0</v>
      </c>
      <c r="H42" s="161"/>
      <c r="I42" s="157">
        <v>0</v>
      </c>
      <c r="J42" s="326">
        <v>-200</v>
      </c>
    </row>
    <row r="43" ht="15" spans="1:10">
      <c r="A43" s="314">
        <v>39</v>
      </c>
      <c r="B43" s="245" t="s">
        <v>373</v>
      </c>
      <c r="D43" s="245" t="s">
        <v>374</v>
      </c>
      <c r="E43" s="157">
        <v>1</v>
      </c>
      <c r="F43" s="157">
        <v>1</v>
      </c>
      <c r="G43" s="157">
        <v>0</v>
      </c>
      <c r="H43" s="161"/>
      <c r="I43" s="157">
        <v>0</v>
      </c>
      <c r="J43" s="326">
        <v>0</v>
      </c>
    </row>
    <row r="44" ht="15" spans="1:10">
      <c r="A44" s="314">
        <v>40</v>
      </c>
      <c r="B44" s="336" t="s">
        <v>375</v>
      </c>
      <c r="D44" s="245" t="s">
        <v>376</v>
      </c>
      <c r="E44" s="157">
        <v>1</v>
      </c>
      <c r="F44" s="157">
        <v>1</v>
      </c>
      <c r="G44" s="157">
        <v>0</v>
      </c>
      <c r="H44" s="161"/>
      <c r="I44" s="157">
        <v>0</v>
      </c>
      <c r="J44" s="326">
        <v>0</v>
      </c>
    </row>
    <row r="45" ht="15" spans="1:10">
      <c r="A45" s="314">
        <v>41</v>
      </c>
      <c r="B45" t="s">
        <v>377</v>
      </c>
      <c r="D45" t="s">
        <v>378</v>
      </c>
      <c r="E45" s="157">
        <v>1.5</v>
      </c>
      <c r="F45" s="157">
        <v>1</v>
      </c>
      <c r="G45" s="157">
        <v>0</v>
      </c>
      <c r="H45" s="161"/>
      <c r="I45" s="157">
        <v>0</v>
      </c>
      <c r="J45" s="326">
        <v>0</v>
      </c>
    </row>
    <row r="46" ht="15" spans="1:10">
      <c r="A46" s="314">
        <v>42</v>
      </c>
      <c r="B46" s="309" t="s">
        <v>379</v>
      </c>
      <c r="C46" s="174"/>
      <c r="D46" s="174" t="s">
        <v>380</v>
      </c>
      <c r="E46" s="157">
        <v>1</v>
      </c>
      <c r="F46" s="157">
        <v>1</v>
      </c>
      <c r="G46" s="157">
        <v>0</v>
      </c>
      <c r="H46" s="161"/>
      <c r="I46" s="157">
        <v>0</v>
      </c>
      <c r="J46" s="326">
        <v>0</v>
      </c>
    </row>
    <row r="47" ht="15" spans="1:10">
      <c r="A47" s="314">
        <v>43</v>
      </c>
      <c r="B47" s="297" t="s">
        <v>381</v>
      </c>
      <c r="C47" s="174"/>
      <c r="D47" s="174" t="s">
        <v>382</v>
      </c>
      <c r="E47" s="157">
        <v>1</v>
      </c>
      <c r="F47" s="157">
        <v>1</v>
      </c>
      <c r="G47" s="157">
        <v>0</v>
      </c>
      <c r="H47" s="161">
        <v>1</v>
      </c>
      <c r="I47" s="157">
        <v>0</v>
      </c>
      <c r="J47" s="326">
        <v>0</v>
      </c>
    </row>
    <row r="48" ht="15" spans="1:10">
      <c r="A48" s="314">
        <v>44</v>
      </c>
      <c r="B48" s="186" t="s">
        <v>383</v>
      </c>
      <c r="D48" t="s">
        <v>384</v>
      </c>
      <c r="E48" s="157">
        <v>1</v>
      </c>
      <c r="F48" s="157">
        <v>1</v>
      </c>
      <c r="G48" s="157">
        <v>0</v>
      </c>
      <c r="H48" s="161"/>
      <c r="I48" s="157">
        <v>0</v>
      </c>
      <c r="J48" s="326">
        <v>0</v>
      </c>
    </row>
    <row r="49" ht="15" spans="1:10">
      <c r="A49" s="314">
        <v>45</v>
      </c>
      <c r="B49" s="186" t="s">
        <v>385</v>
      </c>
      <c r="D49" t="s">
        <v>386</v>
      </c>
      <c r="E49" s="157">
        <v>1</v>
      </c>
      <c r="F49" s="157">
        <v>1</v>
      </c>
      <c r="G49" s="157">
        <v>0</v>
      </c>
      <c r="H49" s="161"/>
      <c r="I49" s="157">
        <v>0</v>
      </c>
      <c r="J49" s="326">
        <v>0</v>
      </c>
    </row>
    <row r="50" ht="15" spans="1:10">
      <c r="A50" s="314">
        <v>46</v>
      </c>
      <c r="B50" s="186" t="s">
        <v>387</v>
      </c>
      <c r="D50" t="s">
        <v>388</v>
      </c>
      <c r="E50" s="157">
        <v>1</v>
      </c>
      <c r="F50" s="157">
        <v>1</v>
      </c>
      <c r="G50" s="157">
        <v>0</v>
      </c>
      <c r="H50" s="161"/>
      <c r="I50" s="157">
        <v>0</v>
      </c>
      <c r="J50" s="326">
        <v>0</v>
      </c>
    </row>
    <row r="51" ht="15" spans="1:10">
      <c r="A51" s="314">
        <v>47</v>
      </c>
      <c r="B51" s="339" t="s">
        <v>389</v>
      </c>
      <c r="D51" t="s">
        <v>390</v>
      </c>
      <c r="E51" s="157">
        <v>1</v>
      </c>
      <c r="F51" s="157">
        <v>1</v>
      </c>
      <c r="G51" s="157">
        <v>0</v>
      </c>
      <c r="H51" s="161"/>
      <c r="I51" s="157">
        <v>0</v>
      </c>
      <c r="J51" s="326">
        <v>0</v>
      </c>
    </row>
    <row r="52" ht="15" spans="1:10">
      <c r="A52" s="314">
        <v>48</v>
      </c>
      <c r="B52" s="309" t="s">
        <v>391</v>
      </c>
      <c r="D52" t="s">
        <v>392</v>
      </c>
      <c r="E52" s="157">
        <v>1</v>
      </c>
      <c r="F52" s="157">
        <v>1</v>
      </c>
      <c r="G52" s="157">
        <v>0</v>
      </c>
      <c r="H52" s="161"/>
      <c r="I52" s="157">
        <v>0</v>
      </c>
      <c r="J52" s="326">
        <v>0</v>
      </c>
    </row>
    <row r="53" ht="15" spans="1:10">
      <c r="A53" s="314">
        <v>49</v>
      </c>
      <c r="B53" s="340" t="s">
        <v>393</v>
      </c>
      <c r="D53" t="s">
        <v>394</v>
      </c>
      <c r="E53" s="157">
        <v>1</v>
      </c>
      <c r="F53" s="157">
        <v>1</v>
      </c>
      <c r="G53" s="157">
        <v>0</v>
      </c>
      <c r="H53" s="161"/>
      <c r="I53" s="157">
        <v>0</v>
      </c>
      <c r="J53" s="326">
        <v>0</v>
      </c>
    </row>
    <row r="54" ht="15" spans="1:10">
      <c r="A54" s="314">
        <v>50</v>
      </c>
      <c r="B54" s="340" t="s">
        <v>395</v>
      </c>
      <c r="D54" t="s">
        <v>396</v>
      </c>
      <c r="E54" s="157">
        <v>1</v>
      </c>
      <c r="F54" s="157">
        <v>1</v>
      </c>
      <c r="G54" s="157">
        <v>0</v>
      </c>
      <c r="H54" s="161">
        <v>3</v>
      </c>
      <c r="I54" s="157">
        <v>0</v>
      </c>
      <c r="J54" s="326">
        <v>0</v>
      </c>
    </row>
    <row r="55" ht="15" spans="1:10">
      <c r="A55" s="314">
        <v>51</v>
      </c>
      <c r="B55" s="165" t="s">
        <v>397</v>
      </c>
      <c r="D55" t="s">
        <v>398</v>
      </c>
      <c r="E55" s="157">
        <v>1</v>
      </c>
      <c r="F55" s="157">
        <v>1</v>
      </c>
      <c r="G55" s="157">
        <v>0</v>
      </c>
      <c r="H55" s="161"/>
      <c r="I55" s="157">
        <v>0</v>
      </c>
      <c r="J55" s="326">
        <v>0</v>
      </c>
    </row>
    <row r="56" ht="15" spans="1:10">
      <c r="A56" s="314">
        <v>52</v>
      </c>
      <c r="B56" s="165" t="s">
        <v>399</v>
      </c>
      <c r="D56" t="s">
        <v>400</v>
      </c>
      <c r="E56" s="157">
        <v>1</v>
      </c>
      <c r="F56" s="157">
        <v>1</v>
      </c>
      <c r="G56" s="157">
        <v>0</v>
      </c>
      <c r="H56" s="161">
        <v>3</v>
      </c>
      <c r="I56" s="157">
        <v>0</v>
      </c>
      <c r="J56" s="326">
        <v>0</v>
      </c>
    </row>
    <row r="57" ht="15" spans="1:10">
      <c r="A57" s="314">
        <v>53</v>
      </c>
      <c r="B57" s="341" t="s">
        <v>401</v>
      </c>
      <c r="C57" s="174"/>
      <c r="D57" s="174" t="s">
        <v>402</v>
      </c>
      <c r="E57" s="157">
        <v>1</v>
      </c>
      <c r="F57" s="157">
        <v>1</v>
      </c>
      <c r="G57" s="157">
        <v>0</v>
      </c>
      <c r="H57" s="161"/>
      <c r="I57" s="157">
        <v>0</v>
      </c>
      <c r="J57" s="326">
        <v>0</v>
      </c>
    </row>
    <row r="58" ht="15" spans="1:10">
      <c r="A58" s="314">
        <v>54</v>
      </c>
      <c r="B58" s="340" t="s">
        <v>403</v>
      </c>
      <c r="D58" t="s">
        <v>404</v>
      </c>
      <c r="E58" s="157">
        <v>1</v>
      </c>
      <c r="F58" s="157">
        <v>1</v>
      </c>
      <c r="G58" s="157">
        <v>0</v>
      </c>
      <c r="H58" s="161"/>
      <c r="I58" s="157">
        <v>0</v>
      </c>
      <c r="J58" s="326">
        <v>0</v>
      </c>
    </row>
    <row r="59" ht="15" spans="1:10">
      <c r="A59" s="314">
        <v>55</v>
      </c>
      <c r="B59" s="340" t="s">
        <v>405</v>
      </c>
      <c r="D59" t="s">
        <v>406</v>
      </c>
      <c r="E59" s="157">
        <v>1</v>
      </c>
      <c r="F59" s="157">
        <v>1</v>
      </c>
      <c r="G59" s="157">
        <v>0</v>
      </c>
      <c r="H59" s="161"/>
      <c r="I59" s="157">
        <v>0</v>
      </c>
      <c r="J59" s="326">
        <v>0</v>
      </c>
    </row>
    <row r="60" ht="15" spans="1:10">
      <c r="A60" s="314">
        <v>56</v>
      </c>
      <c r="B60" s="342" t="s">
        <v>407</v>
      </c>
      <c r="C60" s="174"/>
      <c r="D60" s="174" t="s">
        <v>408</v>
      </c>
      <c r="E60" s="157">
        <v>1</v>
      </c>
      <c r="F60" s="157">
        <v>1</v>
      </c>
      <c r="G60" s="157">
        <v>0</v>
      </c>
      <c r="H60" s="161"/>
      <c r="I60" s="157">
        <v>0</v>
      </c>
      <c r="J60" s="326">
        <v>0</v>
      </c>
    </row>
    <row r="61" ht="15" spans="1:10">
      <c r="A61" s="314">
        <v>57</v>
      </c>
      <c r="B61" s="341" t="s">
        <v>409</v>
      </c>
      <c r="C61" s="182"/>
      <c r="D61" s="182" t="s">
        <v>410</v>
      </c>
      <c r="E61" s="157">
        <v>1</v>
      </c>
      <c r="F61" s="157">
        <v>1</v>
      </c>
      <c r="G61" s="157">
        <v>0</v>
      </c>
      <c r="H61" s="161"/>
      <c r="I61" s="157">
        <v>0</v>
      </c>
      <c r="J61" s="326">
        <v>0</v>
      </c>
    </row>
    <row r="62" ht="15" spans="1:10">
      <c r="A62" s="314">
        <v>59</v>
      </c>
      <c r="B62" s="340" t="s">
        <v>411</v>
      </c>
      <c r="D62" t="s">
        <v>412</v>
      </c>
      <c r="E62" s="157">
        <v>1</v>
      </c>
      <c r="F62" s="157">
        <v>1</v>
      </c>
      <c r="G62" s="157">
        <v>0</v>
      </c>
      <c r="H62" s="161"/>
      <c r="I62" s="157">
        <v>0</v>
      </c>
      <c r="J62" s="326">
        <v>0</v>
      </c>
    </row>
    <row r="63" ht="15" spans="1:10">
      <c r="A63" s="314">
        <v>60</v>
      </c>
      <c r="B63" s="340" t="s">
        <v>413</v>
      </c>
      <c r="D63" t="s">
        <v>414</v>
      </c>
      <c r="E63" s="157">
        <v>1</v>
      </c>
      <c r="F63" s="157">
        <v>1</v>
      </c>
      <c r="G63" s="157">
        <v>0</v>
      </c>
      <c r="H63" s="161"/>
      <c r="I63" s="157">
        <v>0</v>
      </c>
      <c r="J63" s="326">
        <v>0</v>
      </c>
    </row>
    <row r="64" ht="15" spans="1:10">
      <c r="A64" s="314">
        <v>61</v>
      </c>
      <c r="B64" t="s">
        <v>415</v>
      </c>
      <c r="D64" t="s">
        <v>416</v>
      </c>
      <c r="E64" s="157">
        <v>1</v>
      </c>
      <c r="F64" s="157">
        <v>1</v>
      </c>
      <c r="G64" s="157">
        <v>0</v>
      </c>
      <c r="H64" s="161"/>
      <c r="I64" s="157">
        <v>0</v>
      </c>
      <c r="J64" s="326">
        <v>0</v>
      </c>
    </row>
    <row r="65" ht="15" spans="1:10">
      <c r="A65" s="314">
        <v>62</v>
      </c>
      <c r="B65" s="186" t="s">
        <v>417</v>
      </c>
      <c r="D65" t="s">
        <v>418</v>
      </c>
      <c r="E65" s="157">
        <v>1</v>
      </c>
      <c r="F65" s="157">
        <v>1</v>
      </c>
      <c r="G65" s="157">
        <v>0</v>
      </c>
      <c r="H65" s="161"/>
      <c r="I65" s="157">
        <v>0</v>
      </c>
      <c r="J65" s="326">
        <v>0</v>
      </c>
    </row>
    <row r="66" ht="15" spans="1:10">
      <c r="A66" s="314">
        <v>63</v>
      </c>
      <c r="B66" s="186" t="s">
        <v>419</v>
      </c>
      <c r="D66" t="s">
        <v>420</v>
      </c>
      <c r="E66" s="157">
        <v>1</v>
      </c>
      <c r="F66" s="157">
        <v>1</v>
      </c>
      <c r="G66" s="157">
        <v>0</v>
      </c>
      <c r="H66" s="161"/>
      <c r="I66" s="157">
        <v>0</v>
      </c>
      <c r="J66" s="326">
        <v>0</v>
      </c>
    </row>
    <row r="67" ht="15" spans="1:10">
      <c r="A67" s="314">
        <v>66</v>
      </c>
      <c r="B67" s="46" t="s">
        <v>421</v>
      </c>
      <c r="D67" t="s">
        <v>422</v>
      </c>
      <c r="E67" s="157">
        <v>1</v>
      </c>
      <c r="F67" s="157">
        <v>1</v>
      </c>
      <c r="G67" s="157">
        <v>0</v>
      </c>
      <c r="I67" s="157">
        <v>0</v>
      </c>
      <c r="J67">
        <v>-300</v>
      </c>
    </row>
    <row r="68" ht="15" spans="1:9">
      <c r="A68" s="314">
        <v>67</v>
      </c>
      <c r="B68" s="46" t="s">
        <v>423</v>
      </c>
      <c r="D68" t="s">
        <v>424</v>
      </c>
      <c r="E68" s="157">
        <v>1</v>
      </c>
      <c r="F68" s="157">
        <v>1</v>
      </c>
      <c r="G68" s="157">
        <v>0</v>
      </c>
      <c r="I68" s="157">
        <v>0</v>
      </c>
    </row>
    <row r="69" ht="15" spans="1:9">
      <c r="A69" s="314">
        <v>68</v>
      </c>
      <c r="B69" s="346" t="s">
        <v>425</v>
      </c>
      <c r="D69" t="s">
        <v>426</v>
      </c>
      <c r="E69" s="157">
        <v>1</v>
      </c>
      <c r="F69" s="157">
        <v>1</v>
      </c>
      <c r="G69" s="157">
        <v>0</v>
      </c>
      <c r="I69" s="157">
        <v>0</v>
      </c>
    </row>
    <row r="70" ht="15" spans="1:9">
      <c r="A70" s="314">
        <v>69</v>
      </c>
      <c r="B70" s="46" t="s">
        <v>427</v>
      </c>
      <c r="D70" t="s">
        <v>428</v>
      </c>
      <c r="E70" s="157">
        <v>1</v>
      </c>
      <c r="F70" s="157">
        <v>1</v>
      </c>
      <c r="G70" s="157">
        <v>0</v>
      </c>
      <c r="H70">
        <v>3</v>
      </c>
      <c r="I70" s="157">
        <v>0</v>
      </c>
    </row>
    <row r="71" ht="15" spans="1:9">
      <c r="A71" s="314">
        <v>70</v>
      </c>
      <c r="B71" s="46" t="s">
        <v>429</v>
      </c>
      <c r="D71" t="s">
        <v>430</v>
      </c>
      <c r="E71" s="157">
        <v>1</v>
      </c>
      <c r="F71" s="157">
        <v>1</v>
      </c>
      <c r="G71" s="157">
        <v>0</v>
      </c>
      <c r="I71" s="157">
        <v>0</v>
      </c>
    </row>
    <row r="72" ht="15" spans="1:9">
      <c r="A72" s="314">
        <v>71</v>
      </c>
      <c r="B72" s="182" t="s">
        <v>431</v>
      </c>
      <c r="C72" s="174"/>
      <c r="D72" s="174" t="s">
        <v>432</v>
      </c>
      <c r="E72" s="157">
        <v>1</v>
      </c>
      <c r="F72" s="157">
        <v>1</v>
      </c>
      <c r="G72" s="157">
        <v>1</v>
      </c>
      <c r="H72" s="179">
        <v>2</v>
      </c>
      <c r="I72" s="157">
        <v>0</v>
      </c>
    </row>
    <row r="73" ht="15" spans="1:9">
      <c r="A73" s="314">
        <v>72</v>
      </c>
      <c r="B73" s="182" t="s">
        <v>433</v>
      </c>
      <c r="C73" s="174"/>
      <c r="D73" s="174" t="s">
        <v>434</v>
      </c>
      <c r="E73" s="157">
        <v>1</v>
      </c>
      <c r="F73" s="157">
        <v>1</v>
      </c>
      <c r="G73" s="157">
        <v>0</v>
      </c>
      <c r="I73" s="157">
        <v>0</v>
      </c>
    </row>
    <row r="74" ht="15" spans="1:9">
      <c r="A74" s="314">
        <v>73</v>
      </c>
      <c r="B74" s="46" t="s">
        <v>435</v>
      </c>
      <c r="D74" t="s">
        <v>436</v>
      </c>
      <c r="E74" s="157">
        <v>1</v>
      </c>
      <c r="F74" s="157">
        <v>1</v>
      </c>
      <c r="G74" s="157">
        <v>0</v>
      </c>
      <c r="I74" s="157">
        <v>0</v>
      </c>
    </row>
    <row r="75" ht="15" spans="1:9">
      <c r="A75" s="314">
        <v>74</v>
      </c>
      <c r="B75" s="46" t="s">
        <v>437</v>
      </c>
      <c r="D75" t="s">
        <v>438</v>
      </c>
      <c r="E75" s="157">
        <v>1</v>
      </c>
      <c r="F75" s="157">
        <v>1</v>
      </c>
      <c r="G75" s="157">
        <v>0</v>
      </c>
      <c r="I75" s="157">
        <v>0</v>
      </c>
    </row>
    <row r="76" ht="15" spans="1:9">
      <c r="A76" s="314">
        <v>75</v>
      </c>
      <c r="B76" s="346" t="s">
        <v>439</v>
      </c>
      <c r="D76" t="s">
        <v>440</v>
      </c>
      <c r="E76" s="157">
        <v>1</v>
      </c>
      <c r="F76" s="157">
        <v>1</v>
      </c>
      <c r="G76" s="157">
        <v>0</v>
      </c>
      <c r="I76" s="157">
        <v>0</v>
      </c>
    </row>
    <row r="77" ht="15" spans="1:9">
      <c r="A77" s="314">
        <v>76</v>
      </c>
      <c r="B77" s="46" t="s">
        <v>441</v>
      </c>
      <c r="D77" t="s">
        <v>442</v>
      </c>
      <c r="E77" s="157">
        <v>1</v>
      </c>
      <c r="F77" s="157">
        <v>1</v>
      </c>
      <c r="G77" s="157">
        <v>0</v>
      </c>
      <c r="I77" s="157">
        <v>0</v>
      </c>
    </row>
    <row r="78" ht="15" spans="1:9">
      <c r="A78" s="314">
        <v>77</v>
      </c>
      <c r="B78" s="46" t="s">
        <v>443</v>
      </c>
      <c r="D78" t="s">
        <v>444</v>
      </c>
      <c r="E78" s="157">
        <v>1</v>
      </c>
      <c r="F78" s="157">
        <v>1</v>
      </c>
      <c r="G78" s="157">
        <v>0</v>
      </c>
      <c r="H78">
        <v>3</v>
      </c>
      <c r="I78" s="157">
        <v>0</v>
      </c>
    </row>
    <row r="79" ht="15" spans="1:9">
      <c r="A79" s="314">
        <v>78</v>
      </c>
      <c r="B79" s="91" t="s">
        <v>445</v>
      </c>
      <c r="D79" t="s">
        <v>446</v>
      </c>
      <c r="E79" s="157">
        <v>1</v>
      </c>
      <c r="F79" s="157">
        <v>1</v>
      </c>
      <c r="G79" s="157">
        <v>0</v>
      </c>
      <c r="I79" s="157">
        <v>0</v>
      </c>
    </row>
    <row r="80" ht="15" spans="1:9">
      <c r="A80" s="314">
        <v>79</v>
      </c>
      <c r="B80" s="91" t="s">
        <v>447</v>
      </c>
      <c r="D80" t="s">
        <v>448</v>
      </c>
      <c r="E80" s="157">
        <v>1</v>
      </c>
      <c r="F80" s="157">
        <v>1</v>
      </c>
      <c r="G80" s="157">
        <v>0</v>
      </c>
      <c r="I80" s="157">
        <v>0</v>
      </c>
    </row>
    <row r="81" ht="15" spans="1:9">
      <c r="A81" s="314">
        <v>80</v>
      </c>
      <c r="B81" s="46" t="s">
        <v>449</v>
      </c>
      <c r="D81" t="s">
        <v>450</v>
      </c>
      <c r="E81" s="157">
        <v>1</v>
      </c>
      <c r="F81" s="157">
        <v>1</v>
      </c>
      <c r="G81" s="157">
        <v>0</v>
      </c>
      <c r="H81">
        <v>3</v>
      </c>
      <c r="I81" s="157">
        <v>0</v>
      </c>
    </row>
    <row r="82" ht="15" spans="1:9">
      <c r="A82" s="314">
        <v>81</v>
      </c>
      <c r="B82" s="46" t="s">
        <v>451</v>
      </c>
      <c r="D82" t="s">
        <v>452</v>
      </c>
      <c r="E82" s="157">
        <v>1</v>
      </c>
      <c r="F82" s="157">
        <v>1</v>
      </c>
      <c r="G82" s="157">
        <v>0</v>
      </c>
      <c r="I82" s="157">
        <v>0</v>
      </c>
    </row>
    <row r="83" ht="15" spans="1:9">
      <c r="A83" s="314">
        <v>82</v>
      </c>
      <c r="B83" s="91" t="s">
        <v>453</v>
      </c>
      <c r="D83" t="s">
        <v>454</v>
      </c>
      <c r="E83" s="157">
        <v>1</v>
      </c>
      <c r="F83" s="157">
        <v>1</v>
      </c>
      <c r="G83" s="157">
        <v>0</v>
      </c>
      <c r="I83" s="157">
        <v>0</v>
      </c>
    </row>
    <row r="84" ht="15" spans="1:9">
      <c r="A84" s="314">
        <v>83</v>
      </c>
      <c r="B84" t="s">
        <v>455</v>
      </c>
      <c r="D84" t="s">
        <v>456</v>
      </c>
      <c r="E84" s="157">
        <v>1</v>
      </c>
      <c r="F84" s="157">
        <v>1</v>
      </c>
      <c r="G84" s="157">
        <v>0</v>
      </c>
      <c r="I84" s="157">
        <v>0</v>
      </c>
    </row>
    <row r="85" ht="15" spans="1:8">
      <c r="A85" s="314">
        <v>84</v>
      </c>
      <c r="B85" s="182" t="s">
        <v>457</v>
      </c>
      <c r="C85" s="182"/>
      <c r="D85" s="174" t="s">
        <v>458</v>
      </c>
      <c r="E85" s="157">
        <v>1</v>
      </c>
      <c r="F85" s="157">
        <v>1</v>
      </c>
      <c r="G85" s="157">
        <v>0</v>
      </c>
      <c r="H85">
        <v>2</v>
      </c>
    </row>
    <row r="86" ht="15" spans="1:7">
      <c r="A86" s="314">
        <v>85</v>
      </c>
      <c r="B86" s="182" t="s">
        <v>459</v>
      </c>
      <c r="C86" s="182"/>
      <c r="D86" s="174" t="s">
        <v>460</v>
      </c>
      <c r="E86" s="157">
        <v>1</v>
      </c>
      <c r="F86" s="157">
        <v>1</v>
      </c>
      <c r="G86" s="157">
        <v>0</v>
      </c>
    </row>
    <row r="87" ht="15" spans="1:4">
      <c r="A87" s="314">
        <v>86</v>
      </c>
      <c r="B87" s="182" t="s">
        <v>461</v>
      </c>
      <c r="C87" s="182"/>
      <c r="D87" s="182" t="s">
        <v>462</v>
      </c>
    </row>
    <row r="88" ht="15" spans="1:6">
      <c r="A88" s="314">
        <v>87</v>
      </c>
      <c r="B88" s="182" t="s">
        <v>463</v>
      </c>
      <c r="C88" s="182"/>
      <c r="D88" s="182" t="s">
        <v>464</v>
      </c>
      <c r="E88" s="157">
        <v>1</v>
      </c>
      <c r="F88" s="157">
        <v>1</v>
      </c>
    </row>
    <row r="89" ht="15" spans="1:8">
      <c r="A89" s="314">
        <v>88</v>
      </c>
      <c r="B89" s="182" t="s">
        <v>465</v>
      </c>
      <c r="C89" s="182"/>
      <c r="D89" s="182" t="s">
        <v>466</v>
      </c>
      <c r="E89" s="157">
        <v>1</v>
      </c>
      <c r="F89" s="157">
        <v>1</v>
      </c>
      <c r="G89">
        <v>1</v>
      </c>
      <c r="H89" s="179">
        <v>1</v>
      </c>
    </row>
    <row r="90" ht="15" spans="1:6">
      <c r="A90" s="314">
        <v>89</v>
      </c>
      <c r="B90" s="347" t="s">
        <v>467</v>
      </c>
      <c r="C90" s="182"/>
      <c r="D90" t="s">
        <v>468</v>
      </c>
      <c r="E90" s="157">
        <v>1</v>
      </c>
      <c r="F90" s="157">
        <v>1</v>
      </c>
    </row>
    <row r="91" ht="15" spans="1:6">
      <c r="A91" s="314">
        <v>90</v>
      </c>
      <c r="B91" s="347" t="s">
        <v>469</v>
      </c>
      <c r="C91" s="182"/>
      <c r="D91" t="s">
        <v>470</v>
      </c>
      <c r="E91" s="157">
        <v>1</v>
      </c>
      <c r="F91" s="157">
        <v>1</v>
      </c>
    </row>
    <row r="92" ht="15" spans="1:6">
      <c r="A92" s="314">
        <v>91</v>
      </c>
      <c r="B92" s="91" t="s">
        <v>471</v>
      </c>
      <c r="C92" s="174"/>
      <c r="D92" s="174" t="s">
        <v>472</v>
      </c>
      <c r="E92" s="157">
        <v>1</v>
      </c>
      <c r="F92" s="157">
        <v>1</v>
      </c>
    </row>
    <row r="93" ht="15" spans="1:8">
      <c r="A93" s="314">
        <v>92</v>
      </c>
      <c r="B93" s="182" t="s">
        <v>473</v>
      </c>
      <c r="C93" s="174"/>
      <c r="D93" s="174" t="s">
        <v>474</v>
      </c>
      <c r="E93" s="157">
        <v>1</v>
      </c>
      <c r="F93" s="157">
        <v>1</v>
      </c>
      <c r="G93">
        <v>1</v>
      </c>
      <c r="H93">
        <v>1</v>
      </c>
    </row>
    <row r="94" ht="15" spans="1:6">
      <c r="A94" s="314">
        <v>93</v>
      </c>
      <c r="B94" s="174" t="s">
        <v>403</v>
      </c>
      <c r="C94" s="174"/>
      <c r="D94" s="174" t="s">
        <v>475</v>
      </c>
      <c r="E94" s="157">
        <v>1</v>
      </c>
      <c r="F94" s="157">
        <v>1</v>
      </c>
    </row>
    <row r="95" ht="15" spans="1:6">
      <c r="A95" s="314">
        <v>94</v>
      </c>
      <c r="B95" s="182" t="s">
        <v>476</v>
      </c>
      <c r="D95" t="s">
        <v>477</v>
      </c>
      <c r="E95" s="157">
        <v>1</v>
      </c>
      <c r="F95" s="157">
        <v>1</v>
      </c>
    </row>
    <row r="96" ht="15" spans="1:6">
      <c r="A96" s="314">
        <v>95</v>
      </c>
      <c r="B96" s="182" t="s">
        <v>478</v>
      </c>
      <c r="D96" t="s">
        <v>479</v>
      </c>
      <c r="E96" s="157">
        <v>1</v>
      </c>
      <c r="F96" s="157">
        <v>1</v>
      </c>
    </row>
    <row r="97" ht="15" spans="1:6">
      <c r="A97" s="314">
        <v>96</v>
      </c>
      <c r="B97" t="s">
        <v>480</v>
      </c>
      <c r="D97" t="s">
        <v>481</v>
      </c>
      <c r="E97" s="157">
        <v>1</v>
      </c>
      <c r="F97" s="157">
        <v>1</v>
      </c>
    </row>
    <row r="98" ht="15" spans="1:8">
      <c r="A98" s="314">
        <v>97</v>
      </c>
      <c r="B98" t="s">
        <v>482</v>
      </c>
      <c r="D98" t="s">
        <v>483</v>
      </c>
      <c r="E98" s="157">
        <v>1</v>
      </c>
      <c r="F98" s="157">
        <v>1</v>
      </c>
      <c r="G98">
        <v>1</v>
      </c>
      <c r="H98">
        <v>1</v>
      </c>
    </row>
    <row r="99" ht="15" spans="1:6">
      <c r="A99" s="314">
        <v>98</v>
      </c>
      <c r="B99" s="91" t="s">
        <v>484</v>
      </c>
      <c r="D99" t="s">
        <v>485</v>
      </c>
      <c r="E99" s="157">
        <v>1</v>
      </c>
      <c r="F99" s="157">
        <v>1</v>
      </c>
    </row>
    <row r="100" ht="15" spans="1:6">
      <c r="A100" s="314">
        <v>99</v>
      </c>
      <c r="B100" s="91" t="s">
        <v>486</v>
      </c>
      <c r="D100" t="s">
        <v>487</v>
      </c>
      <c r="E100" s="157">
        <v>1</v>
      </c>
      <c r="F100" s="157">
        <v>1</v>
      </c>
    </row>
    <row r="101" ht="15" spans="1:6">
      <c r="A101" s="314">
        <v>100</v>
      </c>
      <c r="B101" s="91" t="s">
        <v>488</v>
      </c>
      <c r="D101" t="s">
        <v>489</v>
      </c>
      <c r="E101" s="157">
        <v>1</v>
      </c>
      <c r="F101" s="157">
        <v>1</v>
      </c>
    </row>
    <row r="102" ht="15" spans="1:6">
      <c r="A102" s="314">
        <v>101</v>
      </c>
      <c r="B102" s="270" t="s">
        <v>490</v>
      </c>
      <c r="D102" t="s">
        <v>491</v>
      </c>
      <c r="E102" s="157">
        <v>1</v>
      </c>
      <c r="F102" s="157">
        <v>1</v>
      </c>
    </row>
    <row r="103" ht="15" spans="1:8">
      <c r="A103" s="314">
        <v>102</v>
      </c>
      <c r="B103" s="270" t="s">
        <v>492</v>
      </c>
      <c r="D103" t="s">
        <v>493</v>
      </c>
      <c r="E103" s="157">
        <v>1</v>
      </c>
      <c r="F103" s="157">
        <v>1</v>
      </c>
      <c r="G103">
        <v>1</v>
      </c>
      <c r="H103">
        <v>2</v>
      </c>
    </row>
    <row r="104" ht="15" spans="1:6">
      <c r="A104" s="314">
        <v>103</v>
      </c>
      <c r="B104" s="91" t="s">
        <v>494</v>
      </c>
      <c r="D104" t="s">
        <v>495</v>
      </c>
      <c r="E104" s="157">
        <v>1</v>
      </c>
      <c r="F104" s="157">
        <v>1</v>
      </c>
    </row>
    <row r="105" ht="15" spans="1:6">
      <c r="A105" s="314">
        <v>104</v>
      </c>
      <c r="B105" s="91" t="s">
        <v>496</v>
      </c>
      <c r="D105" t="s">
        <v>497</v>
      </c>
      <c r="E105" s="157">
        <v>1</v>
      </c>
      <c r="F105" s="157">
        <v>1</v>
      </c>
    </row>
    <row r="106" ht="15" spans="1:8">
      <c r="A106" s="314">
        <v>105</v>
      </c>
      <c r="B106" s="91" t="s">
        <v>498</v>
      </c>
      <c r="D106" t="s">
        <v>499</v>
      </c>
      <c r="E106" s="157">
        <v>1</v>
      </c>
      <c r="F106" s="157">
        <v>1</v>
      </c>
      <c r="G106">
        <v>1</v>
      </c>
      <c r="H106">
        <v>2</v>
      </c>
    </row>
    <row r="107" ht="15" spans="1:6">
      <c r="A107" s="314">
        <v>106</v>
      </c>
      <c r="B107" s="91" t="s">
        <v>500</v>
      </c>
      <c r="D107" t="s">
        <v>501</v>
      </c>
      <c r="E107" s="157">
        <v>1</v>
      </c>
      <c r="F107" s="157">
        <v>1</v>
      </c>
    </row>
    <row r="108" ht="15" spans="1:6">
      <c r="A108" s="314">
        <v>107</v>
      </c>
      <c r="B108" s="91" t="s">
        <v>502</v>
      </c>
      <c r="D108" t="s">
        <v>503</v>
      </c>
      <c r="E108" s="157">
        <v>1</v>
      </c>
      <c r="F108" s="157">
        <v>1</v>
      </c>
    </row>
    <row r="109" ht="15" spans="1:8">
      <c r="A109" s="314">
        <v>108</v>
      </c>
      <c r="B109" s="91" t="s">
        <v>504</v>
      </c>
      <c r="D109" t="s">
        <v>505</v>
      </c>
      <c r="E109" s="157">
        <v>1</v>
      </c>
      <c r="F109" s="157">
        <v>1</v>
      </c>
      <c r="G109">
        <v>1</v>
      </c>
      <c r="H109">
        <v>2</v>
      </c>
    </row>
    <row r="110" ht="15" spans="1:6">
      <c r="A110" s="314">
        <v>109</v>
      </c>
      <c r="B110" t="s">
        <v>506</v>
      </c>
      <c r="D110" t="s">
        <v>507</v>
      </c>
      <c r="E110" s="157">
        <v>1</v>
      </c>
      <c r="F110" s="157">
        <v>1</v>
      </c>
    </row>
    <row r="111" ht="15" spans="1:6">
      <c r="A111" s="314">
        <v>110</v>
      </c>
      <c r="B111" t="s">
        <v>508</v>
      </c>
      <c r="D111" t="s">
        <v>509</v>
      </c>
      <c r="E111" s="157">
        <v>1</v>
      </c>
      <c r="F111" s="157">
        <v>1</v>
      </c>
    </row>
    <row r="112" ht="15" spans="1:8">
      <c r="A112" s="314">
        <v>111</v>
      </c>
      <c r="B112" t="s">
        <v>510</v>
      </c>
      <c r="D112" t="s">
        <v>511</v>
      </c>
      <c r="E112" s="157">
        <v>1</v>
      </c>
      <c r="F112" s="157">
        <v>1</v>
      </c>
      <c r="G112">
        <v>1</v>
      </c>
      <c r="H112">
        <v>2</v>
      </c>
    </row>
    <row r="113" ht="15" spans="1:6">
      <c r="A113" s="314">
        <v>112</v>
      </c>
      <c r="B113" t="s">
        <v>512</v>
      </c>
      <c r="D113" t="s">
        <v>513</v>
      </c>
      <c r="E113" s="157"/>
      <c r="F113" s="157"/>
    </row>
    <row r="114" ht="15" spans="1:6">
      <c r="A114" s="314">
        <v>113</v>
      </c>
      <c r="B114" t="s">
        <v>514</v>
      </c>
      <c r="D114" t="s">
        <v>515</v>
      </c>
      <c r="E114" s="157">
        <v>1</v>
      </c>
      <c r="F114" s="157">
        <v>1</v>
      </c>
    </row>
    <row r="115" ht="15" spans="1:6">
      <c r="A115" s="314">
        <v>114</v>
      </c>
      <c r="B115" t="s">
        <v>516</v>
      </c>
      <c r="D115" t="s">
        <v>517</v>
      </c>
      <c r="E115" s="157">
        <v>1</v>
      </c>
      <c r="F115" s="157">
        <v>1</v>
      </c>
    </row>
    <row r="116" ht="15" spans="1:8">
      <c r="A116" s="314">
        <v>115</v>
      </c>
      <c r="B116" t="s">
        <v>518</v>
      </c>
      <c r="D116" t="s">
        <v>519</v>
      </c>
      <c r="E116" s="157">
        <v>1</v>
      </c>
      <c r="F116" s="157">
        <v>1</v>
      </c>
      <c r="G116">
        <v>1</v>
      </c>
      <c r="H116">
        <v>2</v>
      </c>
    </row>
    <row r="117" ht="15" spans="1:6">
      <c r="A117" s="314">
        <v>116</v>
      </c>
      <c r="B117" t="s">
        <v>520</v>
      </c>
      <c r="D117" t="s">
        <v>521</v>
      </c>
      <c r="E117" s="157">
        <v>1</v>
      </c>
      <c r="F117" s="157">
        <v>1</v>
      </c>
    </row>
    <row r="118" ht="15" spans="1:6">
      <c r="A118" s="314">
        <v>117</v>
      </c>
      <c r="B118" t="s">
        <v>522</v>
      </c>
      <c r="D118" t="s">
        <v>523</v>
      </c>
      <c r="E118" s="157">
        <v>1</v>
      </c>
      <c r="F118" s="157">
        <v>1</v>
      </c>
    </row>
    <row r="119" ht="15" spans="1:6">
      <c r="A119" s="314">
        <v>118</v>
      </c>
      <c r="B119" t="s">
        <v>524</v>
      </c>
      <c r="D119" t="s">
        <v>525</v>
      </c>
      <c r="E119" s="157">
        <v>1</v>
      </c>
      <c r="F119" s="157">
        <v>1</v>
      </c>
    </row>
    <row r="120" ht="15" spans="1:6">
      <c r="A120" s="314">
        <v>119</v>
      </c>
      <c r="B120" t="s">
        <v>526</v>
      </c>
      <c r="D120" t="s">
        <v>527</v>
      </c>
      <c r="E120" s="157">
        <v>1</v>
      </c>
      <c r="F120" s="157">
        <v>1</v>
      </c>
    </row>
  </sheetData>
  <conditionalFormatting sqref="B67">
    <cfRule type="duplicateValues" dxfId="9" priority="13"/>
  </conditionalFormatting>
  <conditionalFormatting sqref="B68">
    <cfRule type="duplicateValues" dxfId="9" priority="12"/>
  </conditionalFormatting>
  <conditionalFormatting sqref="B69">
    <cfRule type="duplicateValues" dxfId="9" priority="11"/>
  </conditionalFormatting>
  <conditionalFormatting sqref="B70">
    <cfRule type="duplicateValues" dxfId="9" priority="9"/>
  </conditionalFormatting>
  <conditionalFormatting sqref="B71">
    <cfRule type="duplicateValues" dxfId="9" priority="10"/>
  </conditionalFormatting>
  <conditionalFormatting sqref="B74">
    <cfRule type="duplicateValues" dxfId="9" priority="8"/>
  </conditionalFormatting>
  <conditionalFormatting sqref="B75">
    <cfRule type="duplicateValues" dxfId="9" priority="7"/>
  </conditionalFormatting>
  <conditionalFormatting sqref="B76">
    <cfRule type="duplicateValues" dxfId="9" priority="6"/>
  </conditionalFormatting>
  <conditionalFormatting sqref="B77">
    <cfRule type="duplicateValues" dxfId="9" priority="5"/>
  </conditionalFormatting>
  <conditionalFormatting sqref="B78">
    <cfRule type="duplicateValues" dxfId="9" priority="4"/>
  </conditionalFormatting>
  <conditionalFormatting sqref="B81">
    <cfRule type="duplicateValues" dxfId="9" priority="2"/>
  </conditionalFormatting>
  <conditionalFormatting sqref="B82">
    <cfRule type="duplicateValues" dxfId="9" priority="3"/>
  </conditionalFormatting>
  <conditionalFormatting sqref="B102:B103">
    <cfRule type="duplicateValues" dxfId="9" priority="1"/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K112"/>
  <sheetViews>
    <sheetView zoomScale="85" zoomScaleNormal="85" workbookViewId="0">
      <pane xSplit="2" ySplit="5" topLeftCell="C96" activePane="bottomRight" state="frozen"/>
      <selection/>
      <selection pane="topRight"/>
      <selection pane="bottomLeft"/>
      <selection pane="bottomRight" activeCell="V65" sqref="V65"/>
    </sheetView>
  </sheetViews>
  <sheetFormatPr defaultColWidth="9" defaultRowHeight="15"/>
  <cols>
    <col min="1" max="1" width="6.87610619469027" style="153" customWidth="1"/>
    <col min="2" max="2" width="10.8761061946903" style="79" customWidth="1"/>
    <col min="3" max="3" width="17.7522123893805" style="79" customWidth="1"/>
    <col min="4" max="4" width="7.24778761061947" style="79" customWidth="1"/>
    <col min="5" max="7" width="9.24778761061947" style="153" customWidth="1"/>
    <col min="8" max="8" width="8.75221238938053" style="153" customWidth="1"/>
    <col min="9" max="9" width="10.6283185840708" style="153" customWidth="1"/>
    <col min="10" max="10" width="9" style="153" customWidth="1"/>
    <col min="11" max="11" width="6.6283185840708" style="153" customWidth="1"/>
    <col min="12" max="12" width="10" style="153" customWidth="1"/>
    <col min="13" max="13" width="9.6283185840708" style="153" customWidth="1"/>
    <col min="14" max="14" width="4.75221238938053" style="153" customWidth="1"/>
    <col min="15" max="15" width="11.5044247787611" style="153" customWidth="1"/>
    <col min="16" max="16" width="10.7522123893805" style="169" customWidth="1"/>
    <col min="17" max="17" width="6.24778761061947" style="153" customWidth="1"/>
    <col min="18" max="19" width="9.75221238938053" style="153" customWidth="1"/>
    <col min="20" max="21" width="10.8761061946903" style="153" customWidth="1"/>
    <col min="22" max="22" width="26.2477876106195" style="153" customWidth="1"/>
    <col min="23" max="23" width="11.5044247787611" style="153" customWidth="1"/>
    <col min="24" max="25" width="8.75221238938053" style="153" customWidth="1"/>
    <col min="26" max="26" width="6.75221238938053" style="153" customWidth="1"/>
    <col min="27" max="27" width="9.6283185840708" style="153" customWidth="1"/>
    <col min="28" max="28" width="27" style="153" customWidth="1"/>
    <col min="29" max="29" width="44.5044247787611" style="169" customWidth="1"/>
    <col min="30" max="30" width="13" style="153" customWidth="1"/>
    <col min="31" max="31" width="42.8761061946903" style="153" customWidth="1"/>
    <col min="32" max="32" width="14.8761061946903" style="153" customWidth="1"/>
    <col min="33" max="34" width="17.5044247787611" style="153" customWidth="1"/>
    <col min="35" max="16384" width="9" style="153"/>
  </cols>
  <sheetData>
    <row r="1" spans="1:37">
      <c r="A1" s="153" t="s">
        <v>11</v>
      </c>
      <c r="B1" s="153"/>
      <c r="C1" s="153"/>
      <c r="D1" s="153"/>
      <c r="V1" s="153" t="s">
        <v>90</v>
      </c>
      <c r="W1" s="153" t="s">
        <v>528</v>
      </c>
      <c r="X1" s="153">
        <v>400023</v>
      </c>
      <c r="AI1" s="107"/>
      <c r="AJ1" s="107"/>
      <c r="AK1" s="107"/>
    </row>
    <row r="2" s="169" customFormat="1" ht="120" spans="1:37">
      <c r="A2" s="169" t="s">
        <v>270</v>
      </c>
      <c r="B2" s="153" t="s">
        <v>271</v>
      </c>
      <c r="C2" s="153"/>
      <c r="D2" s="169" t="s">
        <v>529</v>
      </c>
      <c r="E2" s="169" t="s">
        <v>530</v>
      </c>
      <c r="F2" s="169" t="s">
        <v>531</v>
      </c>
      <c r="G2" s="169" t="s">
        <v>532</v>
      </c>
      <c r="H2" s="169" t="s">
        <v>533</v>
      </c>
      <c r="I2" s="169" t="s">
        <v>534</v>
      </c>
      <c r="J2" s="169" t="s">
        <v>535</v>
      </c>
      <c r="K2" s="169" t="s">
        <v>536</v>
      </c>
      <c r="L2" s="169" t="s">
        <v>537</v>
      </c>
      <c r="M2" s="169" t="s">
        <v>538</v>
      </c>
      <c r="N2" s="169" t="s">
        <v>539</v>
      </c>
      <c r="O2" s="169" t="s">
        <v>540</v>
      </c>
      <c r="P2" s="169" t="s">
        <v>541</v>
      </c>
      <c r="R2" s="169" t="s">
        <v>542</v>
      </c>
      <c r="S2" s="315" t="s">
        <v>543</v>
      </c>
      <c r="T2" s="169" t="s">
        <v>544</v>
      </c>
      <c r="U2" s="305" t="s">
        <v>545</v>
      </c>
      <c r="V2" s="179" t="s">
        <v>546</v>
      </c>
      <c r="W2" s="179" t="s">
        <v>547</v>
      </c>
      <c r="X2" s="179" t="s">
        <v>548</v>
      </c>
      <c r="Y2" s="179"/>
      <c r="Z2" s="170" t="s">
        <v>549</v>
      </c>
      <c r="AA2" s="153" t="s">
        <v>550</v>
      </c>
      <c r="AB2" s="169" t="s">
        <v>551</v>
      </c>
      <c r="AC2" s="170" t="s">
        <v>551</v>
      </c>
      <c r="AD2" s="169" t="s">
        <v>552</v>
      </c>
      <c r="AE2" s="169" t="s">
        <v>553</v>
      </c>
      <c r="AF2" s="134" t="s">
        <v>554</v>
      </c>
      <c r="AG2" s="169" t="s">
        <v>555</v>
      </c>
      <c r="AI2" s="107"/>
      <c r="AJ2" s="107"/>
      <c r="AK2" s="107"/>
    </row>
    <row r="3" spans="1:37">
      <c r="A3" s="153" t="s">
        <v>109</v>
      </c>
      <c r="B3" s="153" t="s">
        <v>110</v>
      </c>
      <c r="C3" s="153"/>
      <c r="D3" s="153" t="s">
        <v>109</v>
      </c>
      <c r="E3" s="153" t="s">
        <v>109</v>
      </c>
      <c r="G3" s="153" t="s">
        <v>109</v>
      </c>
      <c r="H3" s="153" t="s">
        <v>109</v>
      </c>
      <c r="I3" s="153" t="s">
        <v>109</v>
      </c>
      <c r="J3" s="153" t="s">
        <v>109</v>
      </c>
      <c r="L3" s="153" t="s">
        <v>110</v>
      </c>
      <c r="M3" s="153" t="s">
        <v>109</v>
      </c>
      <c r="O3" s="169" t="s">
        <v>109</v>
      </c>
      <c r="P3" s="169" t="s">
        <v>109</v>
      </c>
      <c r="R3" s="153" t="s">
        <v>109</v>
      </c>
      <c r="S3" s="153" t="s">
        <v>109</v>
      </c>
      <c r="T3" s="153" t="s">
        <v>109</v>
      </c>
      <c r="U3" s="303" t="s">
        <v>109</v>
      </c>
      <c r="V3" s="153" t="s">
        <v>110</v>
      </c>
      <c r="Z3" s="173" t="s">
        <v>109</v>
      </c>
      <c r="AA3" s="153" t="s">
        <v>110</v>
      </c>
      <c r="AB3" s="153" t="s">
        <v>110</v>
      </c>
      <c r="AC3" s="170" t="s">
        <v>110</v>
      </c>
      <c r="AD3" s="153" t="s">
        <v>109</v>
      </c>
      <c r="AE3" s="153" t="s">
        <v>110</v>
      </c>
      <c r="AF3" s="107" t="s">
        <v>110</v>
      </c>
      <c r="AI3" s="107"/>
      <c r="AJ3" s="107"/>
      <c r="AK3" s="107"/>
    </row>
    <row r="4" ht="30" spans="1:37">
      <c r="A4" s="153" t="s">
        <v>270</v>
      </c>
      <c r="B4" s="153" t="s">
        <v>64</v>
      </c>
      <c r="C4" s="153"/>
      <c r="D4" s="153" t="s">
        <v>556</v>
      </c>
      <c r="E4" s="153" t="s">
        <v>557</v>
      </c>
      <c r="G4" s="153" t="s">
        <v>558</v>
      </c>
      <c r="H4" s="153" t="s">
        <v>559</v>
      </c>
      <c r="I4" s="153" t="s">
        <v>560</v>
      </c>
      <c r="J4" s="153" t="s">
        <v>561</v>
      </c>
      <c r="L4" s="153" t="s">
        <v>562</v>
      </c>
      <c r="M4" s="153" t="s">
        <v>563</v>
      </c>
      <c r="O4" s="153" t="s">
        <v>564</v>
      </c>
      <c r="P4" s="169" t="s">
        <v>565</v>
      </c>
      <c r="R4" s="153" t="s">
        <v>566</v>
      </c>
      <c r="S4" s="290" t="s">
        <v>567</v>
      </c>
      <c r="T4" s="153" t="s">
        <v>568</v>
      </c>
      <c r="U4" s="303" t="s">
        <v>569</v>
      </c>
      <c r="V4" s="153" t="s">
        <v>570</v>
      </c>
      <c r="Z4" s="173" t="s">
        <v>44</v>
      </c>
      <c r="AA4" s="153" t="s">
        <v>571</v>
      </c>
      <c r="AB4" s="153" t="s">
        <v>572</v>
      </c>
      <c r="AC4" s="170" t="s">
        <v>573</v>
      </c>
      <c r="AD4" s="153" t="s">
        <v>574</v>
      </c>
      <c r="AE4" s="153" t="s">
        <v>575</v>
      </c>
      <c r="AF4" s="107" t="s">
        <v>576</v>
      </c>
      <c r="AI4" s="107"/>
      <c r="AJ4" s="107"/>
      <c r="AK4" s="107"/>
    </row>
    <row r="5" spans="1:37">
      <c r="A5" s="153" t="s">
        <v>270</v>
      </c>
      <c r="B5" s="153"/>
      <c r="C5" s="153"/>
      <c r="D5" s="153"/>
      <c r="E5" s="153" t="s">
        <v>557</v>
      </c>
      <c r="G5" s="153" t="s">
        <v>558</v>
      </c>
      <c r="H5" s="153" t="s">
        <v>559</v>
      </c>
      <c r="I5" s="153" t="s">
        <v>560</v>
      </c>
      <c r="J5" s="153" t="s">
        <v>561</v>
      </c>
      <c r="S5" s="290"/>
      <c r="T5" s="153" t="s">
        <v>568</v>
      </c>
      <c r="U5" s="303" t="s">
        <v>569</v>
      </c>
      <c r="V5" s="153" t="s">
        <v>570</v>
      </c>
      <c r="Z5" s="173"/>
      <c r="AC5" s="170"/>
      <c r="AD5" s="153" t="s">
        <v>574</v>
      </c>
      <c r="AI5" s="107"/>
      <c r="AJ5" s="107"/>
      <c r="AK5" s="107"/>
    </row>
    <row r="6" ht="45" spans="1:37">
      <c r="A6" s="307">
        <v>1001</v>
      </c>
      <c r="B6" s="91" t="s">
        <v>508</v>
      </c>
      <c r="C6" s="298" t="s">
        <v>577</v>
      </c>
      <c r="D6" s="186">
        <v>1</v>
      </c>
      <c r="E6" s="186">
        <v>1000</v>
      </c>
      <c r="F6" s="186">
        <v>1</v>
      </c>
      <c r="G6" s="186">
        <v>1</v>
      </c>
      <c r="H6" s="186">
        <v>1</v>
      </c>
      <c r="I6" s="186">
        <v>6</v>
      </c>
      <c r="J6" s="153">
        <v>30</v>
      </c>
      <c r="K6" s="187">
        <f t="shared" ref="K6:K25" si="0">IF(H6=H5,K5+1,1)</f>
        <v>1</v>
      </c>
      <c r="L6" s="153" t="s">
        <v>578</v>
      </c>
      <c r="M6" s="309">
        <f ca="1" t="shared" ref="M6:M11" si="1">P6+1</f>
        <v>111</v>
      </c>
      <c r="N6" s="310">
        <v>1</v>
      </c>
      <c r="O6" s="311">
        <v>2</v>
      </c>
      <c r="P6" s="312">
        <f ca="1" t="shared" ref="P6:P13" si="2">Q6</f>
        <v>110</v>
      </c>
      <c r="Q6" s="314">
        <f ca="1">OFFSET(effect!$A$1,MATCH(B6,effect!B:B,0)-1,0)</f>
        <v>110</v>
      </c>
      <c r="R6" s="314"/>
      <c r="S6" s="290">
        <v>10</v>
      </c>
      <c r="T6" s="153">
        <v>1</v>
      </c>
      <c r="U6" s="153">
        <v>1</v>
      </c>
      <c r="V6" s="153" t="str">
        <f>W6&amp;$V$1&amp;X6&amp;$V$1&amp;$W$1&amp;$X$1&amp;$V$1&amp;Y6&amp;$V$1&amp;$W$1</f>
        <v>301001|10|;400023|500|;</v>
      </c>
      <c r="W6" s="153">
        <f>300000+A6</f>
        <v>301001</v>
      </c>
      <c r="X6" s="153">
        <v>10</v>
      </c>
      <c r="Y6" s="153">
        <v>500</v>
      </c>
      <c r="Z6" s="173">
        <v>20</v>
      </c>
      <c r="AA6" s="153" t="s">
        <v>579</v>
      </c>
      <c r="AB6" s="153" t="s">
        <v>580</v>
      </c>
      <c r="AC6" s="170" t="s">
        <v>581</v>
      </c>
      <c r="AD6" s="22">
        <v>2</v>
      </c>
      <c r="AE6" s="173" t="s">
        <v>582</v>
      </c>
      <c r="AF6" s="153" t="s">
        <v>583</v>
      </c>
      <c r="AG6" s="321" t="s">
        <v>584</v>
      </c>
      <c r="AH6" s="322"/>
      <c r="AI6" s="107"/>
      <c r="AJ6" s="107"/>
      <c r="AK6" s="107"/>
    </row>
    <row r="7" ht="30" spans="1:37">
      <c r="A7" s="307">
        <v>1002</v>
      </c>
      <c r="B7" s="91" t="s">
        <v>471</v>
      </c>
      <c r="C7" s="298" t="s">
        <v>577</v>
      </c>
      <c r="D7" s="186">
        <v>1</v>
      </c>
      <c r="E7" s="186">
        <v>1000</v>
      </c>
      <c r="F7" s="186">
        <v>1</v>
      </c>
      <c r="G7" s="186">
        <v>1</v>
      </c>
      <c r="H7" s="186">
        <v>1</v>
      </c>
      <c r="I7" s="186">
        <v>6</v>
      </c>
      <c r="J7" s="153">
        <v>30</v>
      </c>
      <c r="K7" s="187">
        <f t="shared" si="0"/>
        <v>2</v>
      </c>
      <c r="L7" s="153" t="s">
        <v>578</v>
      </c>
      <c r="M7" s="309">
        <f>effect!A93</f>
        <v>92</v>
      </c>
      <c r="N7" s="310">
        <v>1</v>
      </c>
      <c r="O7" s="311">
        <v>2</v>
      </c>
      <c r="P7" s="312">
        <f ca="1" t="shared" si="2"/>
        <v>91</v>
      </c>
      <c r="Q7" s="314">
        <f ca="1">OFFSET(effect!$A$1,MATCH(B7,effect!B:B,0)-1,0)</f>
        <v>91</v>
      </c>
      <c r="R7" s="314"/>
      <c r="S7" s="290">
        <v>10</v>
      </c>
      <c r="T7" s="153">
        <v>1</v>
      </c>
      <c r="U7" s="153">
        <v>1</v>
      </c>
      <c r="V7" s="153" t="str">
        <f>W7&amp;$V$1&amp;X7&amp;$V$1&amp;$W$1&amp;$X$1&amp;$V$1&amp;Y7&amp;$V$1&amp;$W$1</f>
        <v>301002|10|;400023|500|;</v>
      </c>
      <c r="W7" s="153">
        <f t="shared" ref="W7:W29" si="3">300000+A7</f>
        <v>301002</v>
      </c>
      <c r="X7" s="153">
        <v>10</v>
      </c>
      <c r="Y7" s="153">
        <v>500</v>
      </c>
      <c r="Z7" s="173">
        <v>11</v>
      </c>
      <c r="AA7" s="153" t="s">
        <v>585</v>
      </c>
      <c r="AB7" s="153" t="s">
        <v>580</v>
      </c>
      <c r="AC7" s="170" t="s">
        <v>586</v>
      </c>
      <c r="AD7" s="22">
        <v>2</v>
      </c>
      <c r="AE7" s="173" t="s">
        <v>582</v>
      </c>
      <c r="AF7" s="153" t="s">
        <v>587</v>
      </c>
      <c r="AG7" s="321" t="s">
        <v>588</v>
      </c>
      <c r="AH7" s="322"/>
      <c r="AI7" s="107"/>
      <c r="AJ7" s="107"/>
      <c r="AK7" s="107"/>
    </row>
    <row r="8" ht="55.5" spans="1:37">
      <c r="A8" s="307">
        <v>1003</v>
      </c>
      <c r="B8" s="91" t="s">
        <v>589</v>
      </c>
      <c r="C8" s="298" t="s">
        <v>590</v>
      </c>
      <c r="D8" s="186">
        <v>1</v>
      </c>
      <c r="E8" s="186">
        <v>1000</v>
      </c>
      <c r="F8" s="186">
        <v>1</v>
      </c>
      <c r="G8" s="186">
        <v>1</v>
      </c>
      <c r="H8" s="186">
        <v>1</v>
      </c>
      <c r="I8" s="186">
        <v>6</v>
      </c>
      <c r="J8" s="153">
        <v>30</v>
      </c>
      <c r="K8" s="187">
        <f t="shared" si="0"/>
        <v>3</v>
      </c>
      <c r="L8" s="153" t="s">
        <v>578</v>
      </c>
      <c r="M8" s="309">
        <f>effect!A89</f>
        <v>88</v>
      </c>
      <c r="N8" s="310">
        <v>1</v>
      </c>
      <c r="O8" s="311">
        <v>2</v>
      </c>
      <c r="P8" s="312">
        <v>12</v>
      </c>
      <c r="Q8" s="314" t="e">
        <f ca="1">OFFSET(effect!$A$1,MATCH(B8,effect!B:B,0)-1,0)</f>
        <v>#N/A</v>
      </c>
      <c r="R8" s="316"/>
      <c r="S8" s="290">
        <v>10</v>
      </c>
      <c r="T8" s="153">
        <v>1</v>
      </c>
      <c r="U8" s="153">
        <v>1</v>
      </c>
      <c r="V8" s="153" t="str">
        <f t="shared" ref="V8:V29" si="4">W8&amp;$V$1&amp;X8&amp;$V$1&amp;$W$1&amp;$X$1&amp;$V$1&amp;Y8&amp;$V$1&amp;$W$1</f>
        <v>301003|10|;400023|500|;</v>
      </c>
      <c r="W8" s="153">
        <f t="shared" si="3"/>
        <v>301003</v>
      </c>
      <c r="X8" s="153">
        <v>10</v>
      </c>
      <c r="Y8" s="153">
        <v>500</v>
      </c>
      <c r="Z8" s="173">
        <v>20</v>
      </c>
      <c r="AA8" s="153" t="s">
        <v>591</v>
      </c>
      <c r="AB8" s="153" t="s">
        <v>580</v>
      </c>
      <c r="AC8" s="170" t="s">
        <v>592</v>
      </c>
      <c r="AD8" s="22">
        <v>2</v>
      </c>
      <c r="AE8" s="173" t="s">
        <v>582</v>
      </c>
      <c r="AF8" s="153" t="s">
        <v>593</v>
      </c>
      <c r="AG8" s="321" t="s">
        <v>594</v>
      </c>
      <c r="AH8" s="322"/>
      <c r="AI8" s="107"/>
      <c r="AJ8" s="107"/>
      <c r="AK8" s="107"/>
    </row>
    <row r="9" ht="55.5" spans="1:37">
      <c r="A9" s="307">
        <v>1004</v>
      </c>
      <c r="B9" s="91" t="s">
        <v>500</v>
      </c>
      <c r="C9" s="298" t="s">
        <v>595</v>
      </c>
      <c r="D9" s="186">
        <v>1</v>
      </c>
      <c r="E9" s="186">
        <v>1000</v>
      </c>
      <c r="F9" s="186">
        <v>1</v>
      </c>
      <c r="G9" s="186">
        <v>2</v>
      </c>
      <c r="H9" s="186">
        <v>1</v>
      </c>
      <c r="I9" s="186">
        <v>6</v>
      </c>
      <c r="J9" s="153">
        <v>30</v>
      </c>
      <c r="K9" s="187">
        <f t="shared" si="0"/>
        <v>4</v>
      </c>
      <c r="L9" s="153" t="s">
        <v>596</v>
      </c>
      <c r="M9" s="309"/>
      <c r="N9" s="310">
        <v>1</v>
      </c>
      <c r="O9" s="311">
        <v>2</v>
      </c>
      <c r="P9" s="312">
        <f ca="1" t="shared" si="2"/>
        <v>106</v>
      </c>
      <c r="Q9" s="314">
        <f ca="1">OFFSET(effect!$A$1,MATCH(B9,effect!B:B,0)-1,0)</f>
        <v>106</v>
      </c>
      <c r="R9" s="314"/>
      <c r="S9" s="290">
        <v>10</v>
      </c>
      <c r="T9" s="153">
        <v>1</v>
      </c>
      <c r="U9" s="153">
        <v>1</v>
      </c>
      <c r="V9" s="153" t="str">
        <f t="shared" si="4"/>
        <v>301004|10|;400023|750|;</v>
      </c>
      <c r="W9" s="153">
        <f t="shared" si="3"/>
        <v>301004</v>
      </c>
      <c r="X9" s="153">
        <v>10</v>
      </c>
      <c r="Y9" s="153">
        <v>750</v>
      </c>
      <c r="Z9" s="173">
        <v>20</v>
      </c>
      <c r="AA9" s="153" t="s">
        <v>597</v>
      </c>
      <c r="AB9" s="153" t="s">
        <v>580</v>
      </c>
      <c r="AC9" s="170" t="s">
        <v>598</v>
      </c>
      <c r="AD9" s="22">
        <v>2</v>
      </c>
      <c r="AE9" s="173" t="s">
        <v>582</v>
      </c>
      <c r="AF9" s="153" t="s">
        <v>599</v>
      </c>
      <c r="AG9" s="321" t="s">
        <v>600</v>
      </c>
      <c r="AH9" s="322"/>
      <c r="AI9" s="107"/>
      <c r="AJ9" s="107"/>
      <c r="AK9" s="107"/>
    </row>
    <row r="10" ht="41.65" spans="1:37">
      <c r="A10" s="307">
        <v>1005</v>
      </c>
      <c r="B10" s="91" t="s">
        <v>516</v>
      </c>
      <c r="C10" s="179" t="s">
        <v>601</v>
      </c>
      <c r="D10" s="186">
        <v>1</v>
      </c>
      <c r="E10" s="186">
        <v>1000</v>
      </c>
      <c r="F10" s="186">
        <v>1</v>
      </c>
      <c r="G10" s="186">
        <v>2</v>
      </c>
      <c r="H10" s="186">
        <v>1</v>
      </c>
      <c r="I10" s="186">
        <v>6</v>
      </c>
      <c r="J10" s="153">
        <v>30</v>
      </c>
      <c r="K10" s="187">
        <f t="shared" si="0"/>
        <v>5</v>
      </c>
      <c r="L10" s="153" t="s">
        <v>602</v>
      </c>
      <c r="M10" s="309">
        <f ca="1" t="shared" si="1"/>
        <v>115</v>
      </c>
      <c r="N10" s="310">
        <v>1</v>
      </c>
      <c r="O10" s="311">
        <v>2</v>
      </c>
      <c r="P10" s="312">
        <f ca="1" t="shared" si="2"/>
        <v>114</v>
      </c>
      <c r="Q10" s="314">
        <f ca="1">OFFSET(effect!$A$1,MATCH(B10,effect!B:B,0)-1,0)</f>
        <v>114</v>
      </c>
      <c r="R10" s="314"/>
      <c r="S10" s="290">
        <v>10</v>
      </c>
      <c r="T10" s="153">
        <v>1</v>
      </c>
      <c r="U10" s="153">
        <v>1</v>
      </c>
      <c r="V10" s="153" t="str">
        <f t="shared" si="4"/>
        <v>301005|10|;400023|750|;</v>
      </c>
      <c r="W10" s="153">
        <f t="shared" si="3"/>
        <v>301005</v>
      </c>
      <c r="X10" s="153">
        <v>10</v>
      </c>
      <c r="Y10" s="153">
        <v>750</v>
      </c>
      <c r="Z10" s="173">
        <v>20</v>
      </c>
      <c r="AA10" s="153" t="s">
        <v>603</v>
      </c>
      <c r="AB10" s="153" t="s">
        <v>604</v>
      </c>
      <c r="AC10" s="170" t="s">
        <v>605</v>
      </c>
      <c r="AD10" s="22">
        <v>2</v>
      </c>
      <c r="AE10" s="173" t="s">
        <v>582</v>
      </c>
      <c r="AF10" s="153" t="s">
        <v>606</v>
      </c>
      <c r="AG10" s="321"/>
      <c r="AH10" s="322"/>
      <c r="AI10" s="78"/>
      <c r="AJ10" s="78"/>
      <c r="AK10" s="107"/>
    </row>
    <row r="11" ht="55.5" spans="1:37">
      <c r="A11" s="307">
        <v>1006</v>
      </c>
      <c r="B11" s="91" t="s">
        <v>496</v>
      </c>
      <c r="C11" s="179" t="s">
        <v>590</v>
      </c>
      <c r="D11" s="186">
        <v>1</v>
      </c>
      <c r="E11" s="186">
        <v>1003</v>
      </c>
      <c r="F11" s="186">
        <v>1</v>
      </c>
      <c r="G11" s="186">
        <v>1</v>
      </c>
      <c r="H11" s="186">
        <v>1</v>
      </c>
      <c r="I11" s="186">
        <v>6</v>
      </c>
      <c r="J11" s="153">
        <v>30</v>
      </c>
      <c r="K11" s="187">
        <f t="shared" si="0"/>
        <v>6</v>
      </c>
      <c r="L11" s="153" t="s">
        <v>578</v>
      </c>
      <c r="M11" s="309">
        <f ca="1" t="shared" si="1"/>
        <v>105</v>
      </c>
      <c r="N11" s="310">
        <v>1</v>
      </c>
      <c r="O11" s="311">
        <v>2</v>
      </c>
      <c r="P11" s="312">
        <f ca="1" t="shared" si="2"/>
        <v>104</v>
      </c>
      <c r="Q11" s="314">
        <f ca="1">OFFSET(effect!$A$1,MATCH(B11,effect!B:B,0)-1,0)</f>
        <v>104</v>
      </c>
      <c r="R11" s="314"/>
      <c r="S11" s="290">
        <v>10</v>
      </c>
      <c r="T11" s="153">
        <v>1</v>
      </c>
      <c r="U11" s="153">
        <v>1</v>
      </c>
      <c r="V11" s="153" t="str">
        <f t="shared" si="4"/>
        <v>301006|10|;400023|500|;</v>
      </c>
      <c r="W11" s="153">
        <f t="shared" si="3"/>
        <v>301006</v>
      </c>
      <c r="X11" s="153">
        <v>10</v>
      </c>
      <c r="Y11" s="153">
        <v>500</v>
      </c>
      <c r="Z11" s="173">
        <v>20</v>
      </c>
      <c r="AA11" s="153" t="s">
        <v>607</v>
      </c>
      <c r="AB11" s="153" t="s">
        <v>608</v>
      </c>
      <c r="AC11" s="170" t="s">
        <v>609</v>
      </c>
      <c r="AD11" s="22">
        <v>2</v>
      </c>
      <c r="AE11" s="173" t="s">
        <v>582</v>
      </c>
      <c r="AF11" s="153" t="s">
        <v>610</v>
      </c>
      <c r="AG11" s="321"/>
      <c r="AH11" s="322"/>
      <c r="AI11" s="107"/>
      <c r="AJ11" s="107"/>
      <c r="AK11" s="107"/>
    </row>
    <row r="12" ht="41.65" spans="1:37">
      <c r="A12" s="307">
        <v>1007</v>
      </c>
      <c r="B12" s="91" t="s">
        <v>413</v>
      </c>
      <c r="C12" s="179" t="s">
        <v>611</v>
      </c>
      <c r="D12" s="186">
        <v>1</v>
      </c>
      <c r="E12" s="186">
        <v>1003</v>
      </c>
      <c r="F12" s="186">
        <v>1</v>
      </c>
      <c r="G12" s="186">
        <v>2</v>
      </c>
      <c r="H12" s="186">
        <v>1</v>
      </c>
      <c r="I12" s="186">
        <v>6</v>
      </c>
      <c r="J12" s="153">
        <v>30</v>
      </c>
      <c r="K12" s="187">
        <f t="shared" si="0"/>
        <v>7</v>
      </c>
      <c r="L12" s="153" t="s">
        <v>578</v>
      </c>
      <c r="M12" s="309">
        <f ca="1">IF(N12=1,OFFSET(effect!$A$1,MATCH(I12,effect!K:K,0)-1,0),0)</f>
        <v>13</v>
      </c>
      <c r="N12" s="310">
        <v>1</v>
      </c>
      <c r="O12" s="311">
        <v>2</v>
      </c>
      <c r="P12" s="312">
        <f ca="1" t="shared" si="2"/>
        <v>60</v>
      </c>
      <c r="Q12" s="314">
        <f ca="1">OFFSET(effect!$A$1,MATCH(B12,effect!B:B,0)-1,0)</f>
        <v>60</v>
      </c>
      <c r="R12" s="314"/>
      <c r="S12" s="290">
        <v>10</v>
      </c>
      <c r="T12" s="153">
        <v>1</v>
      </c>
      <c r="U12" s="153">
        <v>1</v>
      </c>
      <c r="V12" s="153" t="str">
        <f t="shared" si="4"/>
        <v>301007|10|;400023|750|;</v>
      </c>
      <c r="W12" s="153">
        <f t="shared" si="3"/>
        <v>301007</v>
      </c>
      <c r="X12" s="153">
        <v>10</v>
      </c>
      <c r="Y12" s="153">
        <v>750</v>
      </c>
      <c r="Z12" s="173">
        <v>20</v>
      </c>
      <c r="AA12" s="153" t="s">
        <v>612</v>
      </c>
      <c r="AB12" s="153" t="s">
        <v>608</v>
      </c>
      <c r="AC12" s="170" t="s">
        <v>613</v>
      </c>
      <c r="AD12" s="22">
        <v>2</v>
      </c>
      <c r="AE12" s="173" t="s">
        <v>582</v>
      </c>
      <c r="AF12" s="153" t="s">
        <v>614</v>
      </c>
      <c r="AG12" s="321"/>
      <c r="AH12" s="322"/>
      <c r="AI12" s="107"/>
      <c r="AJ12" s="107"/>
      <c r="AK12" s="107"/>
    </row>
    <row r="13" ht="55.5" spans="1:37">
      <c r="A13" s="307">
        <v>1008</v>
      </c>
      <c r="B13" s="91" t="s">
        <v>447</v>
      </c>
      <c r="C13" s="179" t="s">
        <v>615</v>
      </c>
      <c r="D13" s="186">
        <v>1</v>
      </c>
      <c r="E13" s="186">
        <v>1003</v>
      </c>
      <c r="F13" s="186">
        <v>1</v>
      </c>
      <c r="G13" s="186">
        <v>2</v>
      </c>
      <c r="H13" s="186">
        <v>1</v>
      </c>
      <c r="I13" s="186">
        <v>4</v>
      </c>
      <c r="J13" s="153">
        <v>30</v>
      </c>
      <c r="K13" s="187">
        <f t="shared" si="0"/>
        <v>8</v>
      </c>
      <c r="L13" s="153" t="s">
        <v>578</v>
      </c>
      <c r="M13" s="309">
        <f ca="1">IF(N13=1,OFFSET(effect!$A$1,MATCH(I13,effect!K:K,0)-1,0),0)</f>
        <v>14</v>
      </c>
      <c r="N13" s="310">
        <v>1</v>
      </c>
      <c r="O13" s="311">
        <v>2</v>
      </c>
      <c r="P13" s="312">
        <f ca="1" t="shared" si="2"/>
        <v>79</v>
      </c>
      <c r="Q13" s="314">
        <f ca="1">OFFSET(effect!$A$1,MATCH(B13,effect!B:B,0)-1,0)</f>
        <v>79</v>
      </c>
      <c r="R13" s="314"/>
      <c r="S13" s="290">
        <v>10</v>
      </c>
      <c r="T13" s="153">
        <v>1</v>
      </c>
      <c r="U13" s="153">
        <v>1</v>
      </c>
      <c r="V13" s="153" t="str">
        <f t="shared" si="4"/>
        <v>301008|10|;400023|750|;</v>
      </c>
      <c r="W13" s="153">
        <f t="shared" si="3"/>
        <v>301008</v>
      </c>
      <c r="X13" s="153">
        <v>10</v>
      </c>
      <c r="Y13" s="153">
        <v>750</v>
      </c>
      <c r="Z13" s="318">
        <v>20</v>
      </c>
      <c r="AA13" s="153" t="s">
        <v>616</v>
      </c>
      <c r="AB13" s="153" t="s">
        <v>608</v>
      </c>
      <c r="AC13" s="170" t="s">
        <v>617</v>
      </c>
      <c r="AD13" s="22">
        <v>2</v>
      </c>
      <c r="AE13" s="173" t="s">
        <v>582</v>
      </c>
      <c r="AF13" s="153" t="s">
        <v>618</v>
      </c>
      <c r="AG13" s="321"/>
      <c r="AH13" s="322"/>
      <c r="AI13" s="78"/>
      <c r="AJ13" s="78"/>
      <c r="AK13" s="107"/>
    </row>
    <row r="14" ht="55.5" spans="1:37">
      <c r="A14" s="307">
        <v>1009</v>
      </c>
      <c r="B14" s="91" t="s">
        <v>619</v>
      </c>
      <c r="C14" s="179" t="s">
        <v>620</v>
      </c>
      <c r="D14" s="186">
        <v>1</v>
      </c>
      <c r="E14" s="186">
        <v>1003</v>
      </c>
      <c r="F14" s="186">
        <v>1</v>
      </c>
      <c r="G14" s="186">
        <v>1</v>
      </c>
      <c r="H14" s="186">
        <v>1</v>
      </c>
      <c r="I14" s="186">
        <v>4</v>
      </c>
      <c r="J14" s="153">
        <v>30</v>
      </c>
      <c r="K14" s="187">
        <f t="shared" si="0"/>
        <v>9</v>
      </c>
      <c r="L14" s="153" t="s">
        <v>602</v>
      </c>
      <c r="M14" s="297">
        <f ca="1">IF(N14=1,OFFSET(effect!$A$1,MATCH(I14,effect!K:K,0)-1,0),0)</f>
        <v>14</v>
      </c>
      <c r="N14" s="153">
        <v>1</v>
      </c>
      <c r="O14" s="313">
        <v>2</v>
      </c>
      <c r="P14" s="170">
        <v>79</v>
      </c>
      <c r="Q14" s="314" t="e">
        <f ca="1">OFFSET(effect!$A$1,MATCH(B14,effect!B:B,0)-1,0)</f>
        <v>#N/A</v>
      </c>
      <c r="R14" s="316"/>
      <c r="S14" s="290">
        <v>10</v>
      </c>
      <c r="T14" s="153">
        <v>1</v>
      </c>
      <c r="U14" s="153">
        <v>1</v>
      </c>
      <c r="V14" s="153" t="str">
        <f t="shared" si="4"/>
        <v>301009|10|;400023|500|;</v>
      </c>
      <c r="W14" s="153">
        <f t="shared" si="3"/>
        <v>301009</v>
      </c>
      <c r="X14" s="153">
        <v>10</v>
      </c>
      <c r="Y14" s="153">
        <v>500</v>
      </c>
      <c r="Z14" s="318">
        <v>20</v>
      </c>
      <c r="AA14" s="153" t="s">
        <v>621</v>
      </c>
      <c r="AB14" s="153" t="s">
        <v>608</v>
      </c>
      <c r="AC14" s="170" t="s">
        <v>622</v>
      </c>
      <c r="AD14" s="22">
        <v>2</v>
      </c>
      <c r="AE14" s="173" t="s">
        <v>582</v>
      </c>
      <c r="AF14" s="153" t="s">
        <v>623</v>
      </c>
      <c r="AG14" s="321"/>
      <c r="AH14" s="322"/>
      <c r="AI14" s="78"/>
      <c r="AJ14" s="78"/>
      <c r="AK14" s="107"/>
    </row>
    <row r="15" ht="55.5" spans="1:37">
      <c r="A15" s="307">
        <v>1010</v>
      </c>
      <c r="B15" s="91" t="s">
        <v>365</v>
      </c>
      <c r="C15" s="179" t="s">
        <v>624</v>
      </c>
      <c r="D15" s="186">
        <v>1</v>
      </c>
      <c r="E15" s="186">
        <v>1003</v>
      </c>
      <c r="F15" s="186">
        <v>1</v>
      </c>
      <c r="G15" s="186">
        <v>3</v>
      </c>
      <c r="H15" s="186">
        <v>1</v>
      </c>
      <c r="I15" s="186">
        <v>6</v>
      </c>
      <c r="J15" s="153">
        <v>30</v>
      </c>
      <c r="K15" s="187">
        <f t="shared" si="0"/>
        <v>10</v>
      </c>
      <c r="L15" s="153" t="s">
        <v>578</v>
      </c>
      <c r="M15" s="309">
        <f ca="1">IF(N15=1,OFFSET(effect!$A$1,MATCH(I15,effect!K:K,0)-1,0),0)</f>
        <v>13</v>
      </c>
      <c r="N15" s="310">
        <v>1</v>
      </c>
      <c r="O15" s="311">
        <v>2</v>
      </c>
      <c r="P15" s="312">
        <f ca="1" t="shared" ref="P15:P18" si="5">Q15</f>
        <v>35</v>
      </c>
      <c r="Q15" s="314">
        <f ca="1">OFFSET(effect!$A$1,MATCH(B15,effect!B:B,0)-1,0)</f>
        <v>35</v>
      </c>
      <c r="R15" s="314"/>
      <c r="S15" s="290">
        <v>10</v>
      </c>
      <c r="T15" s="153">
        <v>1</v>
      </c>
      <c r="U15" s="153">
        <v>1</v>
      </c>
      <c r="V15" s="153" t="str">
        <f t="shared" si="4"/>
        <v>301010|10|;400023|1000|;</v>
      </c>
      <c r="W15" s="153">
        <f t="shared" si="3"/>
        <v>301010</v>
      </c>
      <c r="X15" s="153">
        <v>10</v>
      </c>
      <c r="Y15" s="153">
        <v>1000</v>
      </c>
      <c r="Z15" s="173">
        <v>20</v>
      </c>
      <c r="AA15" s="153" t="s">
        <v>625</v>
      </c>
      <c r="AB15" s="153" t="s">
        <v>608</v>
      </c>
      <c r="AC15" s="170" t="s">
        <v>626</v>
      </c>
      <c r="AD15" s="22">
        <v>2</v>
      </c>
      <c r="AE15" s="173" t="s">
        <v>582</v>
      </c>
      <c r="AF15" s="153" t="s">
        <v>627</v>
      </c>
      <c r="AG15" s="321"/>
      <c r="AH15" s="322"/>
      <c r="AI15" s="107"/>
      <c r="AJ15" s="107"/>
      <c r="AK15" s="107"/>
    </row>
    <row r="16" ht="30" spans="1:37">
      <c r="A16" s="307">
        <v>1011</v>
      </c>
      <c r="B16" s="91" t="s">
        <v>363</v>
      </c>
      <c r="C16" s="179" t="s">
        <v>628</v>
      </c>
      <c r="D16" s="186">
        <v>1</v>
      </c>
      <c r="E16" s="186">
        <v>1003</v>
      </c>
      <c r="F16" s="186">
        <v>2</v>
      </c>
      <c r="G16" s="186">
        <v>1</v>
      </c>
      <c r="H16" s="186">
        <v>1</v>
      </c>
      <c r="I16" s="186">
        <v>6</v>
      </c>
      <c r="J16" s="153">
        <v>30</v>
      </c>
      <c r="K16" s="187">
        <f t="shared" si="0"/>
        <v>11</v>
      </c>
      <c r="L16" s="153" t="s">
        <v>602</v>
      </c>
      <c r="M16" s="309">
        <f ca="1">IF(N16=1,OFFSET(effect!$A$1,MATCH(I16,effect!K:K,0)-1,0),0)</f>
        <v>0</v>
      </c>
      <c r="N16" s="310">
        <v>0</v>
      </c>
      <c r="O16" s="311">
        <v>1</v>
      </c>
      <c r="P16" s="312">
        <f ca="1" t="shared" si="5"/>
        <v>34</v>
      </c>
      <c r="Q16" s="314">
        <f ca="1">OFFSET(effect!$A$1,MATCH(B16,effect!B:B,0)-1,0)</f>
        <v>34</v>
      </c>
      <c r="R16" s="314"/>
      <c r="S16" s="290">
        <v>10</v>
      </c>
      <c r="T16" s="153">
        <v>1</v>
      </c>
      <c r="U16" s="153">
        <v>1</v>
      </c>
      <c r="V16" s="153" t="str">
        <f t="shared" si="4"/>
        <v>301011|10|;400023|500|;</v>
      </c>
      <c r="W16" s="153">
        <f t="shared" si="3"/>
        <v>301011</v>
      </c>
      <c r="X16" s="153">
        <v>10</v>
      </c>
      <c r="Y16" s="153">
        <v>500</v>
      </c>
      <c r="Z16" s="173">
        <v>16</v>
      </c>
      <c r="AA16" s="153" t="s">
        <v>629</v>
      </c>
      <c r="AB16" s="153" t="s">
        <v>630</v>
      </c>
      <c r="AC16" s="170" t="s">
        <v>631</v>
      </c>
      <c r="AD16" s="22">
        <v>2</v>
      </c>
      <c r="AE16" s="173" t="s">
        <v>582</v>
      </c>
      <c r="AF16" s="153" t="s">
        <v>632</v>
      </c>
      <c r="AG16" s="321"/>
      <c r="AH16" s="322"/>
      <c r="AI16" s="78"/>
      <c r="AJ16" s="78"/>
      <c r="AK16" s="107"/>
    </row>
    <row r="17" ht="30" spans="1:37">
      <c r="A17" s="307">
        <v>1012</v>
      </c>
      <c r="B17" s="91" t="s">
        <v>633</v>
      </c>
      <c r="C17" s="179" t="s">
        <v>634</v>
      </c>
      <c r="D17" s="186">
        <v>1</v>
      </c>
      <c r="E17" s="186">
        <v>1003</v>
      </c>
      <c r="F17" s="186">
        <v>2</v>
      </c>
      <c r="G17" s="186">
        <v>3</v>
      </c>
      <c r="H17" s="186">
        <v>1</v>
      </c>
      <c r="I17" s="186">
        <v>6</v>
      </c>
      <c r="J17" s="153">
        <v>30</v>
      </c>
      <c r="K17" s="187">
        <f t="shared" si="0"/>
        <v>12</v>
      </c>
      <c r="L17" s="153" t="s">
        <v>602</v>
      </c>
      <c r="M17" s="297">
        <f ca="1">IF(N17=1,OFFSET(effect!$A$1,MATCH(I17,effect!K:K,0)-1,0),0)</f>
        <v>13</v>
      </c>
      <c r="N17" s="153">
        <v>1</v>
      </c>
      <c r="O17" s="313">
        <v>2</v>
      </c>
      <c r="P17" s="170">
        <v>41</v>
      </c>
      <c r="Q17" s="314" t="e">
        <f ca="1">OFFSET(effect!$A$1,MATCH(B17,effect!B:B,0)-1,0)</f>
        <v>#N/A</v>
      </c>
      <c r="R17" s="316">
        <v>76</v>
      </c>
      <c r="S17" s="290">
        <v>10</v>
      </c>
      <c r="T17" s="153">
        <v>1</v>
      </c>
      <c r="U17" s="153">
        <v>1</v>
      </c>
      <c r="V17" s="153" t="str">
        <f t="shared" si="4"/>
        <v>301012|10|;400023|1000|;</v>
      </c>
      <c r="W17" s="153">
        <f t="shared" si="3"/>
        <v>301012</v>
      </c>
      <c r="X17" s="153">
        <v>10</v>
      </c>
      <c r="Y17" s="153">
        <v>1000</v>
      </c>
      <c r="Z17" s="173">
        <v>20</v>
      </c>
      <c r="AA17" s="153" t="s">
        <v>635</v>
      </c>
      <c r="AB17" s="153" t="s">
        <v>630</v>
      </c>
      <c r="AC17" s="170" t="s">
        <v>636</v>
      </c>
      <c r="AD17" s="22">
        <v>2</v>
      </c>
      <c r="AE17" s="173" t="s">
        <v>582</v>
      </c>
      <c r="AF17" s="153" t="s">
        <v>637</v>
      </c>
      <c r="AG17" s="321"/>
      <c r="AH17" s="322"/>
      <c r="AI17" s="78"/>
      <c r="AJ17" s="78"/>
      <c r="AK17" s="107"/>
    </row>
    <row r="18" ht="41.65" spans="1:37">
      <c r="A18" s="307">
        <v>1013</v>
      </c>
      <c r="B18" s="91" t="s">
        <v>377</v>
      </c>
      <c r="C18" s="179" t="s">
        <v>638</v>
      </c>
      <c r="D18" s="186">
        <v>1</v>
      </c>
      <c r="E18" s="186">
        <v>2000</v>
      </c>
      <c r="F18" s="186">
        <v>2</v>
      </c>
      <c r="G18" s="186">
        <v>2</v>
      </c>
      <c r="H18" s="186">
        <v>1</v>
      </c>
      <c r="I18" s="186">
        <v>5</v>
      </c>
      <c r="J18" s="153">
        <v>30</v>
      </c>
      <c r="K18" s="187">
        <f t="shared" si="0"/>
        <v>13</v>
      </c>
      <c r="L18" s="153" t="s">
        <v>596</v>
      </c>
      <c r="M18" s="309">
        <f ca="1">IF(N18=1,OFFSET(effect!$A$1,MATCH(I18,effect!K:K,0)-1,0),0)</f>
        <v>18</v>
      </c>
      <c r="N18" s="310">
        <v>1</v>
      </c>
      <c r="O18" s="311">
        <v>2</v>
      </c>
      <c r="P18" s="312">
        <f ca="1" t="shared" si="5"/>
        <v>41</v>
      </c>
      <c r="Q18" s="314">
        <f ca="1">OFFSET(effect!$A$1,MATCH(B18,effect!B:B,0)-1,0)</f>
        <v>41</v>
      </c>
      <c r="R18" s="314"/>
      <c r="S18" s="290">
        <v>10</v>
      </c>
      <c r="T18" s="153">
        <v>1</v>
      </c>
      <c r="U18" s="153">
        <v>1</v>
      </c>
      <c r="V18" s="153" t="str">
        <f t="shared" si="4"/>
        <v>301013|10|;400023|750|;</v>
      </c>
      <c r="W18" s="153">
        <f t="shared" si="3"/>
        <v>301013</v>
      </c>
      <c r="X18" s="153">
        <v>10</v>
      </c>
      <c r="Y18" s="153">
        <v>750</v>
      </c>
      <c r="Z18" s="173">
        <v>11</v>
      </c>
      <c r="AA18" s="153" t="s">
        <v>639</v>
      </c>
      <c r="AB18" s="153" t="s">
        <v>630</v>
      </c>
      <c r="AC18" s="170" t="s">
        <v>640</v>
      </c>
      <c r="AD18" s="22">
        <v>2</v>
      </c>
      <c r="AE18" s="173" t="s">
        <v>582</v>
      </c>
      <c r="AF18" s="153" t="s">
        <v>641</v>
      </c>
      <c r="AG18" s="321"/>
      <c r="AH18" s="322"/>
      <c r="AI18" s="78"/>
      <c r="AJ18" s="78"/>
      <c r="AK18" s="107"/>
    </row>
    <row r="19" ht="41.65" spans="1:37">
      <c r="A19" s="307">
        <v>1014</v>
      </c>
      <c r="B19" s="91" t="s">
        <v>642</v>
      </c>
      <c r="C19" s="187" t="s">
        <v>643</v>
      </c>
      <c r="D19" s="186">
        <v>1</v>
      </c>
      <c r="E19" s="186">
        <v>2000</v>
      </c>
      <c r="F19" s="186">
        <v>2</v>
      </c>
      <c r="G19" s="186">
        <v>1</v>
      </c>
      <c r="H19" s="186">
        <v>1</v>
      </c>
      <c r="I19" s="186">
        <v>6</v>
      </c>
      <c r="J19" s="153">
        <v>30</v>
      </c>
      <c r="K19" s="187">
        <f t="shared" si="0"/>
        <v>14</v>
      </c>
      <c r="L19" s="153" t="s">
        <v>602</v>
      </c>
      <c r="M19" s="297">
        <f ca="1">IF(N19=1,OFFSET(effect!$A$1,MATCH(I19,effect!K:K,0)-1,0),0)</f>
        <v>13</v>
      </c>
      <c r="N19" s="153">
        <v>1</v>
      </c>
      <c r="O19" s="313">
        <v>2</v>
      </c>
      <c r="P19" s="170">
        <v>85</v>
      </c>
      <c r="Q19" s="314" t="e">
        <f ca="1">OFFSET(effect!$A$1,MATCH(B19,effect!B:B,0)-1,0)</f>
        <v>#N/A</v>
      </c>
      <c r="R19" s="316"/>
      <c r="S19" s="290">
        <v>10</v>
      </c>
      <c r="T19" s="153">
        <v>1</v>
      </c>
      <c r="U19" s="153">
        <v>1</v>
      </c>
      <c r="V19" s="153" t="str">
        <f t="shared" si="4"/>
        <v>301014|10|;400023|500|;</v>
      </c>
      <c r="W19" s="153">
        <f t="shared" si="3"/>
        <v>301014</v>
      </c>
      <c r="X19" s="153">
        <v>10</v>
      </c>
      <c r="Y19" s="153">
        <v>500</v>
      </c>
      <c r="Z19" s="173">
        <v>20</v>
      </c>
      <c r="AA19" s="153" t="s">
        <v>644</v>
      </c>
      <c r="AB19" s="153" t="s">
        <v>630</v>
      </c>
      <c r="AC19" s="170" t="s">
        <v>645</v>
      </c>
      <c r="AD19" s="22">
        <v>2</v>
      </c>
      <c r="AE19" s="173" t="s">
        <v>582</v>
      </c>
      <c r="AF19" s="153" t="s">
        <v>646</v>
      </c>
      <c r="AG19" s="321"/>
      <c r="AH19" s="322"/>
      <c r="AI19" s="78"/>
      <c r="AJ19" s="78"/>
      <c r="AK19" s="107"/>
    </row>
    <row r="20" ht="41.65" spans="1:37">
      <c r="A20" s="307">
        <v>1015</v>
      </c>
      <c r="B20" s="91" t="s">
        <v>445</v>
      </c>
      <c r="C20" s="179" t="s">
        <v>647</v>
      </c>
      <c r="D20" s="186">
        <v>1</v>
      </c>
      <c r="E20" s="186">
        <v>2000</v>
      </c>
      <c r="F20" s="186">
        <v>3</v>
      </c>
      <c r="G20" s="186">
        <v>1</v>
      </c>
      <c r="H20" s="186">
        <v>1</v>
      </c>
      <c r="I20" s="186">
        <v>5</v>
      </c>
      <c r="J20" s="153">
        <v>30</v>
      </c>
      <c r="K20" s="187">
        <f t="shared" si="0"/>
        <v>15</v>
      </c>
      <c r="L20" s="153" t="s">
        <v>602</v>
      </c>
      <c r="M20" s="309"/>
      <c r="N20" s="310">
        <v>1</v>
      </c>
      <c r="O20" s="311">
        <v>2</v>
      </c>
      <c r="P20" s="312">
        <f ca="1" t="shared" ref="P20:P26" si="6">Q20</f>
        <v>78</v>
      </c>
      <c r="Q20" s="314">
        <f ca="1">OFFSET(effect!$A$1,MATCH(B20,effect!B:B,0)-1,0)</f>
        <v>78</v>
      </c>
      <c r="R20" s="314"/>
      <c r="S20" s="290">
        <v>10</v>
      </c>
      <c r="T20" s="153">
        <v>1</v>
      </c>
      <c r="U20" s="153">
        <v>1</v>
      </c>
      <c r="V20" s="153" t="str">
        <f t="shared" si="4"/>
        <v>301015|10|;400023|500|;</v>
      </c>
      <c r="W20" s="153">
        <f t="shared" si="3"/>
        <v>301015</v>
      </c>
      <c r="X20" s="153">
        <v>10</v>
      </c>
      <c r="Y20" s="153">
        <v>500</v>
      </c>
      <c r="Z20" s="173">
        <v>11</v>
      </c>
      <c r="AA20" s="153" t="s">
        <v>648</v>
      </c>
      <c r="AB20" s="153" t="s">
        <v>649</v>
      </c>
      <c r="AC20" s="170" t="s">
        <v>650</v>
      </c>
      <c r="AD20" s="22">
        <v>2</v>
      </c>
      <c r="AE20" s="173" t="s">
        <v>582</v>
      </c>
      <c r="AF20" s="153" t="s">
        <v>651</v>
      </c>
      <c r="AG20" s="321"/>
      <c r="AH20" s="322"/>
      <c r="AI20" s="78"/>
      <c r="AJ20" s="78"/>
      <c r="AK20" s="107"/>
    </row>
    <row r="21" ht="41.65" spans="1:37">
      <c r="A21" s="307">
        <v>1016</v>
      </c>
      <c r="B21" s="91" t="s">
        <v>652</v>
      </c>
      <c r="C21" s="179" t="s">
        <v>653</v>
      </c>
      <c r="D21" s="186">
        <v>1</v>
      </c>
      <c r="E21" s="186">
        <v>2000</v>
      </c>
      <c r="F21" s="186">
        <v>3</v>
      </c>
      <c r="G21" s="186">
        <v>2</v>
      </c>
      <c r="H21" s="186">
        <v>1</v>
      </c>
      <c r="I21" s="186">
        <v>2</v>
      </c>
      <c r="J21" s="153">
        <v>30</v>
      </c>
      <c r="K21" s="187">
        <f t="shared" si="0"/>
        <v>16</v>
      </c>
      <c r="L21" s="153" t="s">
        <v>578</v>
      </c>
      <c r="M21" s="309">
        <f ca="1">IF(N21=1,OFFSET(effect!$A$1,MATCH(I21,effect!K:K,0)-1,0),0)</f>
        <v>16</v>
      </c>
      <c r="N21" s="310">
        <v>1</v>
      </c>
      <c r="O21" s="311">
        <v>2</v>
      </c>
      <c r="P21" s="312">
        <v>12</v>
      </c>
      <c r="Q21" s="314" t="e">
        <f ca="1">OFFSET(effect!$A$1,MATCH(B21,effect!B:B,0)-1,0)</f>
        <v>#N/A</v>
      </c>
      <c r="R21" s="314"/>
      <c r="S21" s="290">
        <v>10</v>
      </c>
      <c r="T21" s="153">
        <v>1</v>
      </c>
      <c r="U21" s="153">
        <v>1</v>
      </c>
      <c r="V21" s="153" t="str">
        <f t="shared" si="4"/>
        <v>301016|10|;400023|750|;</v>
      </c>
      <c r="W21" s="153">
        <f t="shared" si="3"/>
        <v>301016</v>
      </c>
      <c r="X21" s="153">
        <v>10</v>
      </c>
      <c r="Y21" s="153">
        <v>750</v>
      </c>
      <c r="Z21" s="173">
        <v>16</v>
      </c>
      <c r="AA21" s="153" t="s">
        <v>654</v>
      </c>
      <c r="AB21" s="153" t="s">
        <v>649</v>
      </c>
      <c r="AC21" s="170" t="s">
        <v>655</v>
      </c>
      <c r="AD21" s="22">
        <v>2</v>
      </c>
      <c r="AE21" s="173" t="s">
        <v>582</v>
      </c>
      <c r="AF21" s="153" t="s">
        <v>656</v>
      </c>
      <c r="AG21" s="321"/>
      <c r="AH21" s="322"/>
      <c r="AI21" s="78"/>
      <c r="AJ21" s="78"/>
      <c r="AK21" s="107"/>
    </row>
    <row r="22" ht="30" spans="1:37">
      <c r="A22" s="307">
        <v>1017</v>
      </c>
      <c r="B22" s="91" t="s">
        <v>480</v>
      </c>
      <c r="C22" s="179" t="s">
        <v>657</v>
      </c>
      <c r="D22" s="186">
        <v>1</v>
      </c>
      <c r="E22" s="186">
        <v>3000</v>
      </c>
      <c r="F22" s="186">
        <v>3</v>
      </c>
      <c r="G22" s="186">
        <v>2</v>
      </c>
      <c r="H22" s="186">
        <v>1</v>
      </c>
      <c r="I22" s="186">
        <v>4</v>
      </c>
      <c r="J22" s="153">
        <v>30</v>
      </c>
      <c r="K22" s="187">
        <f t="shared" si="0"/>
        <v>17</v>
      </c>
      <c r="L22" s="153" t="s">
        <v>602</v>
      </c>
      <c r="M22" s="309"/>
      <c r="N22" s="310">
        <v>1</v>
      </c>
      <c r="O22" s="311">
        <v>2</v>
      </c>
      <c r="P22" s="312">
        <f ca="1" t="shared" si="6"/>
        <v>96</v>
      </c>
      <c r="Q22" s="314">
        <f ca="1">OFFSET(effect!$A$1,MATCH(B22,effect!B:B,0)-1,0)</f>
        <v>96</v>
      </c>
      <c r="R22" s="314"/>
      <c r="S22" s="290">
        <v>10</v>
      </c>
      <c r="T22" s="153">
        <v>1</v>
      </c>
      <c r="U22" s="153">
        <v>1</v>
      </c>
      <c r="V22" s="153" t="str">
        <f t="shared" si="4"/>
        <v>301017|10|;400023|750|;</v>
      </c>
      <c r="W22" s="153">
        <f t="shared" si="3"/>
        <v>301017</v>
      </c>
      <c r="X22" s="153">
        <v>10</v>
      </c>
      <c r="Y22" s="153">
        <v>750</v>
      </c>
      <c r="Z22" s="173">
        <v>20</v>
      </c>
      <c r="AA22" s="153" t="s">
        <v>658</v>
      </c>
      <c r="AB22" s="153" t="s">
        <v>649</v>
      </c>
      <c r="AC22" s="170" t="s">
        <v>659</v>
      </c>
      <c r="AD22" s="22">
        <v>2</v>
      </c>
      <c r="AE22" s="173" t="s">
        <v>582</v>
      </c>
      <c r="AF22" s="153" t="s">
        <v>660</v>
      </c>
      <c r="AG22" s="321"/>
      <c r="AH22" s="322"/>
      <c r="AI22" s="107"/>
      <c r="AJ22" s="107"/>
      <c r="AK22" s="107"/>
    </row>
    <row r="23" ht="55.5" spans="1:37">
      <c r="A23" s="307">
        <v>1018</v>
      </c>
      <c r="B23" s="91" t="s">
        <v>661</v>
      </c>
      <c r="C23" s="179" t="s">
        <v>662</v>
      </c>
      <c r="D23" s="186">
        <v>1</v>
      </c>
      <c r="E23" s="186">
        <v>3000</v>
      </c>
      <c r="F23" s="186">
        <v>3</v>
      </c>
      <c r="G23" s="186">
        <v>3</v>
      </c>
      <c r="H23" s="186">
        <v>1</v>
      </c>
      <c r="I23" s="186">
        <v>6</v>
      </c>
      <c r="J23" s="153">
        <v>30</v>
      </c>
      <c r="K23" s="187">
        <f t="shared" si="0"/>
        <v>18</v>
      </c>
      <c r="L23" s="153" t="s">
        <v>596</v>
      </c>
      <c r="M23" s="297">
        <f ca="1">IF(N23=1,OFFSET(effect!$A$1,MATCH(I23,effect!K:K,0)-1,0),0)</f>
        <v>13</v>
      </c>
      <c r="N23" s="153">
        <v>1</v>
      </c>
      <c r="O23" s="313">
        <v>2</v>
      </c>
      <c r="P23" s="170">
        <v>41</v>
      </c>
      <c r="Q23" s="314" t="e">
        <f ca="1">OFFSET(effect!$A$1,MATCH(B23,effect!B:B,0)-1,0)</f>
        <v>#N/A</v>
      </c>
      <c r="R23" s="316"/>
      <c r="S23" s="290">
        <v>10</v>
      </c>
      <c r="T23" s="153">
        <v>1</v>
      </c>
      <c r="U23" s="153">
        <v>1</v>
      </c>
      <c r="V23" s="153" t="str">
        <f t="shared" si="4"/>
        <v>301018|10|;400023|1000|;</v>
      </c>
      <c r="W23" s="153">
        <f t="shared" si="3"/>
        <v>301018</v>
      </c>
      <c r="X23" s="153">
        <v>10</v>
      </c>
      <c r="Y23" s="153">
        <v>1000</v>
      </c>
      <c r="Z23" s="318">
        <v>20</v>
      </c>
      <c r="AA23" s="153" t="s">
        <v>663</v>
      </c>
      <c r="AB23" s="153" t="s">
        <v>649</v>
      </c>
      <c r="AC23" s="170" t="s">
        <v>664</v>
      </c>
      <c r="AD23" s="22">
        <v>2</v>
      </c>
      <c r="AE23" s="173" t="s">
        <v>582</v>
      </c>
      <c r="AF23" s="153" t="s">
        <v>665</v>
      </c>
      <c r="AG23" s="321"/>
      <c r="AH23" s="322"/>
      <c r="AI23" s="78"/>
      <c r="AJ23" s="78"/>
      <c r="AK23" s="107"/>
    </row>
    <row r="24" ht="41.65" spans="1:37">
      <c r="A24" s="307">
        <v>1019</v>
      </c>
      <c r="B24" s="91" t="s">
        <v>522</v>
      </c>
      <c r="C24" s="179" t="s">
        <v>666</v>
      </c>
      <c r="D24" s="186">
        <v>1</v>
      </c>
      <c r="E24" s="186">
        <v>3000</v>
      </c>
      <c r="F24" s="186">
        <v>2</v>
      </c>
      <c r="G24" s="186">
        <v>4</v>
      </c>
      <c r="H24" s="186">
        <v>1</v>
      </c>
      <c r="I24" s="186">
        <v>5</v>
      </c>
      <c r="J24" s="153">
        <v>30</v>
      </c>
      <c r="K24" s="187">
        <f t="shared" si="0"/>
        <v>19</v>
      </c>
      <c r="L24" s="153" t="s">
        <v>602</v>
      </c>
      <c r="M24" s="309">
        <f>effect!A9</f>
        <v>4</v>
      </c>
      <c r="N24" s="310">
        <v>1</v>
      </c>
      <c r="O24" s="311">
        <v>2</v>
      </c>
      <c r="P24" s="312">
        <f ca="1" t="shared" si="6"/>
        <v>117</v>
      </c>
      <c r="Q24" s="314">
        <f ca="1">OFFSET(effect!$A$1,MATCH(B24,effect!B:B,0)-1,0)</f>
        <v>117</v>
      </c>
      <c r="R24" s="314"/>
      <c r="S24" s="290">
        <v>10</v>
      </c>
      <c r="T24" s="153">
        <v>1</v>
      </c>
      <c r="V24" s="153" t="str">
        <f t="shared" si="4"/>
        <v>301019|10|;400023|1500|;</v>
      </c>
      <c r="W24" s="153">
        <f t="shared" si="3"/>
        <v>301019</v>
      </c>
      <c r="X24" s="153">
        <v>10</v>
      </c>
      <c r="Y24" s="153">
        <v>1500</v>
      </c>
      <c r="Z24" s="173">
        <v>20</v>
      </c>
      <c r="AA24" s="153" t="s">
        <v>667</v>
      </c>
      <c r="AB24" s="153" t="s">
        <v>630</v>
      </c>
      <c r="AC24" s="170" t="s">
        <v>668</v>
      </c>
      <c r="AD24" s="22">
        <v>2</v>
      </c>
      <c r="AE24" s="173" t="s">
        <v>582</v>
      </c>
      <c r="AF24" s="153" t="s">
        <v>669</v>
      </c>
      <c r="AG24" s="321"/>
      <c r="AH24" s="322"/>
      <c r="AI24" s="107"/>
      <c r="AJ24" s="107"/>
      <c r="AK24" s="107"/>
    </row>
    <row r="25" ht="55.5" spans="1:37">
      <c r="A25" s="307">
        <v>1020</v>
      </c>
      <c r="B25" s="91" t="s">
        <v>461</v>
      </c>
      <c r="C25" s="179" t="s">
        <v>615</v>
      </c>
      <c r="D25" s="186">
        <v>1</v>
      </c>
      <c r="E25" s="186">
        <v>3000</v>
      </c>
      <c r="F25" s="186">
        <v>3</v>
      </c>
      <c r="G25" s="186">
        <v>4</v>
      </c>
      <c r="H25" s="186">
        <v>1</v>
      </c>
      <c r="I25" s="186">
        <v>4</v>
      </c>
      <c r="J25" s="153">
        <v>30</v>
      </c>
      <c r="K25" s="187">
        <f t="shared" si="0"/>
        <v>20</v>
      </c>
      <c r="L25" s="153" t="s">
        <v>602</v>
      </c>
      <c r="M25" s="309">
        <f ca="1">IF(N25=1,OFFSET(effect!$A$1,MATCH(I25,effect!K:K,0)-1,0),0)</f>
        <v>14</v>
      </c>
      <c r="N25" s="310">
        <v>1</v>
      </c>
      <c r="O25" s="311">
        <v>2</v>
      </c>
      <c r="P25" s="312">
        <f ca="1" t="shared" si="6"/>
        <v>86</v>
      </c>
      <c r="Q25" s="314">
        <f ca="1">OFFSET(effect!$A$1,MATCH(B25,effect!B:B,0)-1,0)</f>
        <v>86</v>
      </c>
      <c r="R25" s="314"/>
      <c r="S25" s="290">
        <v>10</v>
      </c>
      <c r="T25" s="153">
        <v>1</v>
      </c>
      <c r="V25" s="153" t="str">
        <f t="shared" si="4"/>
        <v>301020|10|;400023|1500|;</v>
      </c>
      <c r="W25" s="153">
        <f t="shared" si="3"/>
        <v>301020</v>
      </c>
      <c r="X25" s="153">
        <v>10</v>
      </c>
      <c r="Y25" s="153">
        <v>1500</v>
      </c>
      <c r="Z25" s="173">
        <v>20</v>
      </c>
      <c r="AA25" s="153" t="s">
        <v>670</v>
      </c>
      <c r="AB25" s="153" t="s">
        <v>649</v>
      </c>
      <c r="AC25" s="170" t="s">
        <v>671</v>
      </c>
      <c r="AD25" s="22">
        <v>2</v>
      </c>
      <c r="AE25" s="173" t="s">
        <v>582</v>
      </c>
      <c r="AF25" s="153" t="s">
        <v>672</v>
      </c>
      <c r="AG25" s="321"/>
      <c r="AH25" s="322"/>
      <c r="AI25" s="107"/>
      <c r="AJ25" s="107"/>
      <c r="AK25" s="107"/>
    </row>
    <row r="26" ht="55.5" spans="1:37">
      <c r="A26" s="308">
        <f t="shared" ref="A26:A39" si="7">H26*1000+F26*100+K26</f>
        <v>1401</v>
      </c>
      <c r="B26" s="152" t="s">
        <v>306</v>
      </c>
      <c r="C26" s="179" t="s">
        <v>673</v>
      </c>
      <c r="D26" s="186">
        <v>1</v>
      </c>
      <c r="E26" s="186">
        <v>4000</v>
      </c>
      <c r="F26" s="186">
        <v>4</v>
      </c>
      <c r="G26" s="186">
        <v>2</v>
      </c>
      <c r="H26" s="186">
        <v>1</v>
      </c>
      <c r="I26" s="186">
        <v>4</v>
      </c>
      <c r="J26" s="153">
        <v>30</v>
      </c>
      <c r="K26" s="187">
        <f t="shared" ref="K26:K30" si="8">IF(F26=F25,K25+1,1)</f>
        <v>1</v>
      </c>
      <c r="L26" s="153" t="s">
        <v>602</v>
      </c>
      <c r="M26" s="297">
        <f>effect!A9</f>
        <v>4</v>
      </c>
      <c r="N26" s="153">
        <v>1</v>
      </c>
      <c r="O26" s="313">
        <v>2</v>
      </c>
      <c r="P26" s="170">
        <f ca="1" t="shared" si="6"/>
        <v>5</v>
      </c>
      <c r="Q26" s="314">
        <f ca="1">OFFSET(effect!$A$1,MATCH(B26,effect!B:B,0)-1,0)</f>
        <v>5</v>
      </c>
      <c r="R26" s="316"/>
      <c r="S26" s="290">
        <v>10</v>
      </c>
      <c r="T26" s="153">
        <v>1</v>
      </c>
      <c r="V26" s="153" t="str">
        <f t="shared" si="4"/>
        <v>301401|10|;400023|750|;</v>
      </c>
      <c r="W26" s="153">
        <f t="shared" si="3"/>
        <v>301401</v>
      </c>
      <c r="X26" s="153">
        <v>10</v>
      </c>
      <c r="Y26" s="153">
        <v>750</v>
      </c>
      <c r="Z26" s="173">
        <v>20</v>
      </c>
      <c r="AB26" s="153" t="s">
        <v>674</v>
      </c>
      <c r="AC26" s="319" t="s">
        <v>675</v>
      </c>
      <c r="AD26" s="22">
        <v>2</v>
      </c>
      <c r="AE26" s="173" t="s">
        <v>582</v>
      </c>
      <c r="AF26" s="153" t="s">
        <v>676</v>
      </c>
      <c r="AG26" s="321"/>
      <c r="AH26" s="322"/>
      <c r="AI26" s="78"/>
      <c r="AJ26" s="78"/>
      <c r="AK26" s="107"/>
    </row>
    <row r="27" ht="30" spans="1:37">
      <c r="A27" s="308">
        <f t="shared" si="7"/>
        <v>1402</v>
      </c>
      <c r="B27" s="152" t="s">
        <v>677</v>
      </c>
      <c r="C27" s="179" t="s">
        <v>678</v>
      </c>
      <c r="D27" s="186">
        <v>1</v>
      </c>
      <c r="E27" s="186">
        <v>4000</v>
      </c>
      <c r="F27" s="186">
        <v>4</v>
      </c>
      <c r="G27" s="186">
        <v>2</v>
      </c>
      <c r="H27" s="186">
        <v>1</v>
      </c>
      <c r="I27" s="186">
        <v>4</v>
      </c>
      <c r="J27" s="153">
        <v>30</v>
      </c>
      <c r="K27" s="187">
        <f t="shared" si="8"/>
        <v>2</v>
      </c>
      <c r="L27" s="153" t="s">
        <v>596</v>
      </c>
      <c r="M27" s="297">
        <f ca="1">IF(N27=1,OFFSET(effect!$A$1,MATCH(I27,effect!K:K,0)-1,0),0)</f>
        <v>14</v>
      </c>
      <c r="N27" s="153">
        <v>1</v>
      </c>
      <c r="O27" s="313">
        <v>2</v>
      </c>
      <c r="P27" s="170">
        <v>13</v>
      </c>
      <c r="Q27" s="314" t="e">
        <f ca="1">OFFSET(effect!$A$1,MATCH(B27,effect!B:B,0)-1,0)</f>
        <v>#N/A</v>
      </c>
      <c r="R27" s="316"/>
      <c r="S27" s="290">
        <v>10</v>
      </c>
      <c r="T27" s="153">
        <v>1</v>
      </c>
      <c r="V27" s="153" t="str">
        <f t="shared" si="4"/>
        <v>301402|10|;400023|750|;</v>
      </c>
      <c r="W27" s="153">
        <f t="shared" si="3"/>
        <v>301402</v>
      </c>
      <c r="X27" s="153">
        <v>10</v>
      </c>
      <c r="Y27" s="153">
        <v>750</v>
      </c>
      <c r="Z27" s="173">
        <v>20</v>
      </c>
      <c r="AB27" s="153" t="s">
        <v>674</v>
      </c>
      <c r="AC27" s="170" t="s">
        <v>679</v>
      </c>
      <c r="AD27" s="22">
        <v>2</v>
      </c>
      <c r="AE27" s="173" t="s">
        <v>582</v>
      </c>
      <c r="AF27" s="153" t="s">
        <v>680</v>
      </c>
      <c r="AG27" s="321"/>
      <c r="AH27" s="322"/>
      <c r="AI27" s="78"/>
      <c r="AJ27" s="78"/>
      <c r="AK27" s="107"/>
    </row>
    <row r="28" ht="41.65" spans="1:37">
      <c r="A28" s="308">
        <f t="shared" si="7"/>
        <v>1403</v>
      </c>
      <c r="B28" s="152" t="s">
        <v>681</v>
      </c>
      <c r="C28" s="179" t="s">
        <v>682</v>
      </c>
      <c r="D28" s="186">
        <v>1</v>
      </c>
      <c r="E28" s="186">
        <v>4000</v>
      </c>
      <c r="F28" s="186">
        <v>4</v>
      </c>
      <c r="G28" s="186">
        <v>2</v>
      </c>
      <c r="H28" s="186">
        <v>1</v>
      </c>
      <c r="I28" s="186">
        <v>6</v>
      </c>
      <c r="J28" s="153">
        <v>30</v>
      </c>
      <c r="K28" s="187">
        <f t="shared" si="8"/>
        <v>3</v>
      </c>
      <c r="L28" s="153" t="s">
        <v>602</v>
      </c>
      <c r="M28" s="297">
        <f ca="1">IF(N28=1,OFFSET(effect!$A$1,MATCH(I28,effect!K:K,0)-1,0),0)</f>
        <v>13</v>
      </c>
      <c r="N28" s="153">
        <v>1</v>
      </c>
      <c r="O28" s="313">
        <v>2</v>
      </c>
      <c r="P28" s="170">
        <v>12</v>
      </c>
      <c r="Q28" s="314" t="e">
        <f ca="1">OFFSET(effect!$A$1,MATCH(B28,effect!B:B,0)-1,0)</f>
        <v>#N/A</v>
      </c>
      <c r="R28" s="316"/>
      <c r="S28" s="290">
        <v>10</v>
      </c>
      <c r="T28" s="153">
        <v>1</v>
      </c>
      <c r="V28" s="153" t="str">
        <f t="shared" si="4"/>
        <v>301403|10|;400023|750|;</v>
      </c>
      <c r="W28" s="153">
        <f t="shared" si="3"/>
        <v>301403</v>
      </c>
      <c r="X28" s="153">
        <v>10</v>
      </c>
      <c r="Y28" s="153">
        <v>750</v>
      </c>
      <c r="Z28" s="173">
        <v>20</v>
      </c>
      <c r="AB28" s="153" t="s">
        <v>674</v>
      </c>
      <c r="AC28" s="319" t="s">
        <v>683</v>
      </c>
      <c r="AD28" s="22">
        <v>2</v>
      </c>
      <c r="AE28" s="173" t="s">
        <v>582</v>
      </c>
      <c r="AF28" s="153" t="s">
        <v>684</v>
      </c>
      <c r="AG28" s="321"/>
      <c r="AH28" s="322"/>
      <c r="AI28" s="78"/>
      <c r="AJ28" s="78"/>
      <c r="AK28" s="107"/>
    </row>
    <row r="29" ht="30" spans="1:37">
      <c r="A29" s="308">
        <f t="shared" si="7"/>
        <v>1404</v>
      </c>
      <c r="B29" s="152" t="s">
        <v>685</v>
      </c>
      <c r="C29" s="179" t="s">
        <v>686</v>
      </c>
      <c r="D29" s="186">
        <v>1</v>
      </c>
      <c r="E29" s="186">
        <v>4000</v>
      </c>
      <c r="F29" s="186">
        <v>4</v>
      </c>
      <c r="G29" s="186">
        <v>3</v>
      </c>
      <c r="H29" s="186">
        <v>1</v>
      </c>
      <c r="I29" s="186">
        <v>5</v>
      </c>
      <c r="J29" s="153">
        <v>30</v>
      </c>
      <c r="K29" s="187">
        <f t="shared" si="8"/>
        <v>4</v>
      </c>
      <c r="L29" s="153" t="s">
        <v>602</v>
      </c>
      <c r="M29" s="297">
        <f ca="1">IF(N29=1,OFFSET(effect!$A$1,MATCH(I29,effect!K:K,0)-1,0),0)</f>
        <v>18</v>
      </c>
      <c r="N29" s="153">
        <v>1</v>
      </c>
      <c r="O29" s="313">
        <v>2</v>
      </c>
      <c r="P29" s="170">
        <v>12</v>
      </c>
      <c r="Q29" s="314" t="e">
        <f ca="1">OFFSET(effect!$A$1,MATCH(B29,effect!B:B,0)-1,0)</f>
        <v>#N/A</v>
      </c>
      <c r="R29" s="316"/>
      <c r="S29" s="290">
        <v>10</v>
      </c>
      <c r="T29" s="153">
        <v>1</v>
      </c>
      <c r="V29" s="153" t="str">
        <f t="shared" si="4"/>
        <v>301404|10|;400023|1000|;</v>
      </c>
      <c r="W29" s="153">
        <f t="shared" si="3"/>
        <v>301404</v>
      </c>
      <c r="X29" s="153">
        <v>10</v>
      </c>
      <c r="Y29" s="153">
        <v>1000</v>
      </c>
      <c r="Z29" s="173">
        <v>9</v>
      </c>
      <c r="AB29" s="153" t="s">
        <v>674</v>
      </c>
      <c r="AC29" s="170" t="s">
        <v>687</v>
      </c>
      <c r="AD29" s="22">
        <v>2</v>
      </c>
      <c r="AE29" s="173" t="s">
        <v>582</v>
      </c>
      <c r="AF29" s="153" t="s">
        <v>688</v>
      </c>
      <c r="AG29" s="321"/>
      <c r="AH29" s="322"/>
      <c r="AI29" s="78"/>
      <c r="AJ29" s="78"/>
      <c r="AK29" s="107"/>
    </row>
    <row r="30" ht="55.5" spans="1:37">
      <c r="A30" s="308">
        <f t="shared" si="7"/>
        <v>1405</v>
      </c>
      <c r="B30" s="152" t="s">
        <v>689</v>
      </c>
      <c r="C30" s="179" t="s">
        <v>690</v>
      </c>
      <c r="D30" s="186">
        <v>1</v>
      </c>
      <c r="E30" s="186">
        <v>4000</v>
      </c>
      <c r="F30" s="186">
        <v>4</v>
      </c>
      <c r="G30" s="186">
        <v>4</v>
      </c>
      <c r="H30" s="186">
        <v>1</v>
      </c>
      <c r="I30" s="186">
        <v>1</v>
      </c>
      <c r="J30" s="153">
        <v>30</v>
      </c>
      <c r="K30" s="187">
        <f t="shared" si="8"/>
        <v>5</v>
      </c>
      <c r="M30" s="297"/>
      <c r="O30" s="313"/>
      <c r="P30" s="170"/>
      <c r="Q30" s="314"/>
      <c r="R30" s="317"/>
      <c r="S30" s="290"/>
      <c r="V30" s="153" t="str">
        <f t="shared" ref="V30:V61" si="9">W30&amp;$V$1&amp;X30&amp;$V$1&amp;$W$1&amp;$X$1&amp;$V$1&amp;Y30&amp;$V$1&amp;$W$1</f>
        <v>301405|10|;400023|1500|;</v>
      </c>
      <c r="W30" s="153">
        <f t="shared" ref="W30:W61" si="10">300000+A30</f>
        <v>301405</v>
      </c>
      <c r="X30" s="153">
        <v>10</v>
      </c>
      <c r="Y30" s="153">
        <v>1500</v>
      </c>
      <c r="Z30" s="173"/>
      <c r="AC30" s="319"/>
      <c r="AD30" s="22"/>
      <c r="AE30" s="173"/>
      <c r="AG30" s="321"/>
      <c r="AH30" s="322"/>
      <c r="AI30" s="78"/>
      <c r="AJ30" s="78"/>
      <c r="AK30" s="107"/>
    </row>
    <row r="31" ht="41.65" spans="1:37">
      <c r="A31" s="165">
        <f t="shared" si="7"/>
        <v>1501</v>
      </c>
      <c r="B31" s="153" t="s">
        <v>691</v>
      </c>
      <c r="C31" s="187" t="s">
        <v>692</v>
      </c>
      <c r="D31" s="186">
        <v>1</v>
      </c>
      <c r="E31" s="186">
        <v>5000</v>
      </c>
      <c r="F31" s="186">
        <v>5</v>
      </c>
      <c r="G31" s="186">
        <v>2</v>
      </c>
      <c r="H31" s="186">
        <v>1</v>
      </c>
      <c r="I31" s="186">
        <v>6</v>
      </c>
      <c r="J31" s="153">
        <v>30</v>
      </c>
      <c r="K31" s="187">
        <f>IF(F31=F29,K29+1,1)</f>
        <v>1</v>
      </c>
      <c r="L31" s="153" t="s">
        <v>602</v>
      </c>
      <c r="M31" s="297">
        <f ca="1">IF(N31=1,OFFSET(effect!$A$1,MATCH(I31,effect!K:K,0)-1,0),0)</f>
        <v>13</v>
      </c>
      <c r="N31" s="153">
        <v>1</v>
      </c>
      <c r="O31" s="313">
        <v>2</v>
      </c>
      <c r="P31" s="170">
        <v>12</v>
      </c>
      <c r="Q31" s="314" t="e">
        <f ca="1">OFFSET(effect!$A$1,MATCH(B31,effect!B:B,0)-1,0)</f>
        <v>#N/A</v>
      </c>
      <c r="R31" s="173"/>
      <c r="S31" s="290">
        <v>10</v>
      </c>
      <c r="T31" s="153">
        <v>1</v>
      </c>
      <c r="V31" s="153" t="str">
        <f t="shared" si="9"/>
        <v>301501|10|;400023|750|;</v>
      </c>
      <c r="W31" s="153">
        <f t="shared" si="10"/>
        <v>301501</v>
      </c>
      <c r="X31" s="153">
        <v>10</v>
      </c>
      <c r="Y31" s="153">
        <v>750</v>
      </c>
      <c r="Z31" s="318">
        <v>16</v>
      </c>
      <c r="AB31" s="153" t="s">
        <v>674</v>
      </c>
      <c r="AC31" s="319" t="s">
        <v>693</v>
      </c>
      <c r="AD31" s="22">
        <v>2</v>
      </c>
      <c r="AE31" s="173" t="s">
        <v>582</v>
      </c>
      <c r="AF31" s="153" t="s">
        <v>694</v>
      </c>
      <c r="AG31" s="321"/>
      <c r="AH31" s="322"/>
      <c r="AI31" s="78"/>
      <c r="AJ31" s="78"/>
      <c r="AK31" s="107"/>
    </row>
    <row r="32" ht="30" spans="1:37">
      <c r="A32" s="165">
        <f t="shared" si="7"/>
        <v>1502</v>
      </c>
      <c r="B32" s="153" t="s">
        <v>695</v>
      </c>
      <c r="C32" s="187" t="s">
        <v>696</v>
      </c>
      <c r="D32" s="186">
        <v>1</v>
      </c>
      <c r="E32" s="186">
        <v>5000</v>
      </c>
      <c r="F32" s="186">
        <v>5</v>
      </c>
      <c r="G32" s="186">
        <v>2</v>
      </c>
      <c r="H32" s="186">
        <v>1</v>
      </c>
      <c r="I32" s="186">
        <v>5</v>
      </c>
      <c r="J32" s="153">
        <v>30</v>
      </c>
      <c r="K32" s="187">
        <f t="shared" ref="K32:K35" si="11">IF(F32=F31,K31+1,1)</f>
        <v>2</v>
      </c>
      <c r="L32" s="153" t="s">
        <v>602</v>
      </c>
      <c r="M32" s="297">
        <f ca="1">IF(N32=1,OFFSET(effect!$A$1,MATCH(I32,effect!K:K,0)-1,0),0)</f>
        <v>0</v>
      </c>
      <c r="N32" s="153">
        <v>0</v>
      </c>
      <c r="O32" s="313">
        <v>2</v>
      </c>
      <c r="P32" s="170">
        <v>12</v>
      </c>
      <c r="Q32" s="314" t="e">
        <f ca="1">OFFSET(effect!$A$1,MATCH(B32,effect!B:B,0)-1,0)</f>
        <v>#N/A</v>
      </c>
      <c r="R32" s="316"/>
      <c r="S32" s="290">
        <v>10</v>
      </c>
      <c r="T32" s="153">
        <v>1</v>
      </c>
      <c r="V32" s="153" t="str">
        <f t="shared" si="9"/>
        <v>301502|10|;400023|750|;</v>
      </c>
      <c r="W32" s="153">
        <f t="shared" si="10"/>
        <v>301502</v>
      </c>
      <c r="X32" s="153">
        <v>10</v>
      </c>
      <c r="Y32" s="153">
        <v>750</v>
      </c>
      <c r="Z32" s="173">
        <v>20</v>
      </c>
      <c r="AB32" s="153" t="s">
        <v>608</v>
      </c>
      <c r="AC32" s="170" t="s">
        <v>697</v>
      </c>
      <c r="AD32" s="22">
        <v>2</v>
      </c>
      <c r="AE32" s="173" t="s">
        <v>582</v>
      </c>
      <c r="AF32" s="153" t="s">
        <v>698</v>
      </c>
      <c r="AG32" s="321"/>
      <c r="AH32" s="322"/>
      <c r="AI32" s="78"/>
      <c r="AJ32" s="78"/>
      <c r="AK32" s="107"/>
    </row>
    <row r="33" ht="55.5" spans="1:37">
      <c r="A33" s="165">
        <f t="shared" si="7"/>
        <v>1503</v>
      </c>
      <c r="B33" s="300" t="s">
        <v>699</v>
      </c>
      <c r="C33" s="179" t="s">
        <v>700</v>
      </c>
      <c r="D33" s="186">
        <v>1</v>
      </c>
      <c r="E33" s="186">
        <v>5000</v>
      </c>
      <c r="F33" s="186">
        <v>5</v>
      </c>
      <c r="G33" s="186">
        <v>2</v>
      </c>
      <c r="H33" s="186">
        <v>1</v>
      </c>
      <c r="I33" s="186">
        <v>6</v>
      </c>
      <c r="J33" s="153">
        <v>30</v>
      </c>
      <c r="K33" s="187">
        <f t="shared" si="11"/>
        <v>3</v>
      </c>
      <c r="L33" s="153" t="s">
        <v>602</v>
      </c>
      <c r="M33" s="297">
        <f ca="1">IF(N33=1,OFFSET(effect!$A$1,MATCH(I33,effect!K:K,0)-1,0),0)</f>
        <v>13</v>
      </c>
      <c r="N33" s="153">
        <v>1</v>
      </c>
      <c r="O33" s="313">
        <v>2</v>
      </c>
      <c r="P33" s="170">
        <v>90</v>
      </c>
      <c r="Q33" s="314" t="e">
        <f ca="1">OFFSET(effect!$A$1,MATCH(B33,effect!B:B,0)-1,0)</f>
        <v>#N/A</v>
      </c>
      <c r="R33" s="316"/>
      <c r="S33" s="290">
        <v>10</v>
      </c>
      <c r="T33" s="153">
        <v>1</v>
      </c>
      <c r="V33" s="153" t="str">
        <f t="shared" si="9"/>
        <v>301503|10|;400023|750|;</v>
      </c>
      <c r="W33" s="153">
        <f t="shared" si="10"/>
        <v>301503</v>
      </c>
      <c r="X33" s="153">
        <v>10</v>
      </c>
      <c r="Y33" s="153">
        <v>750</v>
      </c>
      <c r="Z33" s="173">
        <v>33</v>
      </c>
      <c r="AB33" s="153" t="s">
        <v>608</v>
      </c>
      <c r="AC33" s="170" t="s">
        <v>701</v>
      </c>
      <c r="AD33" s="22">
        <v>2</v>
      </c>
      <c r="AE33" s="173" t="s">
        <v>582</v>
      </c>
      <c r="AF33" s="153" t="s">
        <v>702</v>
      </c>
      <c r="AG33" s="321"/>
      <c r="AH33" s="60"/>
      <c r="AI33" s="107"/>
      <c r="AJ33" s="107"/>
      <c r="AK33" s="107"/>
    </row>
    <row r="34" ht="27.75" spans="1:37">
      <c r="A34" s="165">
        <f t="shared" si="7"/>
        <v>1504</v>
      </c>
      <c r="B34" s="300" t="s">
        <v>703</v>
      </c>
      <c r="C34" s="179" t="s">
        <v>704</v>
      </c>
      <c r="D34" s="186">
        <v>1</v>
      </c>
      <c r="E34" s="186">
        <v>5000</v>
      </c>
      <c r="F34" s="186">
        <v>5</v>
      </c>
      <c r="G34" s="186">
        <v>3</v>
      </c>
      <c r="H34" s="186">
        <v>1</v>
      </c>
      <c r="I34" s="186">
        <v>4</v>
      </c>
      <c r="J34" s="153">
        <v>30</v>
      </c>
      <c r="K34" s="187">
        <f t="shared" si="11"/>
        <v>4</v>
      </c>
      <c r="M34" s="297"/>
      <c r="O34" s="313"/>
      <c r="P34" s="170"/>
      <c r="Q34" s="314"/>
      <c r="R34" s="316"/>
      <c r="S34" s="290"/>
      <c r="V34" s="153" t="str">
        <f t="shared" si="9"/>
        <v>301504|10|;400023|1000|;</v>
      </c>
      <c r="W34" s="153">
        <f t="shared" si="10"/>
        <v>301504</v>
      </c>
      <c r="X34" s="153">
        <v>10</v>
      </c>
      <c r="Y34" s="153">
        <v>1000</v>
      </c>
      <c r="Z34" s="173"/>
      <c r="AC34" s="170"/>
      <c r="AD34" s="22"/>
      <c r="AE34" s="173"/>
      <c r="AG34" s="321"/>
      <c r="AH34" s="60"/>
      <c r="AI34" s="107"/>
      <c r="AJ34" s="107"/>
      <c r="AK34" s="107"/>
    </row>
    <row r="35" ht="41.65" spans="1:37">
      <c r="A35" s="165">
        <f t="shared" si="7"/>
        <v>1505</v>
      </c>
      <c r="B35" s="300" t="s">
        <v>705</v>
      </c>
      <c r="C35" s="179" t="s">
        <v>706</v>
      </c>
      <c r="D35" s="186">
        <v>1</v>
      </c>
      <c r="E35" s="186">
        <v>5000</v>
      </c>
      <c r="F35" s="186">
        <v>5</v>
      </c>
      <c r="G35" s="186">
        <v>4</v>
      </c>
      <c r="H35" s="186">
        <v>1</v>
      </c>
      <c r="I35" s="186">
        <v>5</v>
      </c>
      <c r="J35" s="153">
        <v>30</v>
      </c>
      <c r="K35" s="187">
        <f t="shared" si="11"/>
        <v>5</v>
      </c>
      <c r="M35" s="297"/>
      <c r="O35" s="313"/>
      <c r="P35" s="170"/>
      <c r="Q35" s="314"/>
      <c r="R35" s="316"/>
      <c r="S35" s="290"/>
      <c r="V35" s="153" t="str">
        <f t="shared" si="9"/>
        <v>301505|10|;400023|1500|;</v>
      </c>
      <c r="W35" s="153">
        <f t="shared" si="10"/>
        <v>301505</v>
      </c>
      <c r="X35" s="153">
        <v>10</v>
      </c>
      <c r="Y35" s="153">
        <v>1500</v>
      </c>
      <c r="Z35" s="173"/>
      <c r="AC35" s="170"/>
      <c r="AD35" s="22"/>
      <c r="AE35" s="173"/>
      <c r="AG35" s="321"/>
      <c r="AH35" s="60"/>
      <c r="AI35" s="107"/>
      <c r="AJ35" s="107"/>
      <c r="AK35" s="107"/>
    </row>
    <row r="36" ht="55.5" spans="1:37">
      <c r="A36" s="165">
        <f t="shared" si="7"/>
        <v>1601</v>
      </c>
      <c r="B36" s="91" t="s">
        <v>707</v>
      </c>
      <c r="C36" s="179" t="s">
        <v>708</v>
      </c>
      <c r="D36" s="186">
        <v>0</v>
      </c>
      <c r="E36" s="186">
        <v>6000</v>
      </c>
      <c r="F36" s="186">
        <v>6</v>
      </c>
      <c r="G36" s="186">
        <v>3</v>
      </c>
      <c r="H36" s="186">
        <v>1</v>
      </c>
      <c r="I36" s="186">
        <v>6</v>
      </c>
      <c r="J36" s="153">
        <v>30</v>
      </c>
      <c r="K36" s="187">
        <f>IF(F36=F33,K33+1,1)</f>
        <v>1</v>
      </c>
      <c r="L36" s="153" t="s">
        <v>602</v>
      </c>
      <c r="M36" s="297">
        <v>10</v>
      </c>
      <c r="N36" s="153">
        <v>1</v>
      </c>
      <c r="O36" s="313">
        <v>2</v>
      </c>
      <c r="P36" s="170">
        <v>13</v>
      </c>
      <c r="Q36" s="314" t="e">
        <f ca="1">OFFSET(effect!$A$1,MATCH(B36,effect!B:B,0)-1,0)</f>
        <v>#N/A</v>
      </c>
      <c r="R36" s="316"/>
      <c r="S36" s="290">
        <v>10</v>
      </c>
      <c r="T36" s="153">
        <v>1</v>
      </c>
      <c r="V36" s="153" t="str">
        <f t="shared" si="9"/>
        <v>301601|10|;400023|1000|;</v>
      </c>
      <c r="W36" s="153">
        <f t="shared" si="10"/>
        <v>301601</v>
      </c>
      <c r="X36" s="153">
        <v>10</v>
      </c>
      <c r="Y36" s="153">
        <v>1000</v>
      </c>
      <c r="Z36" s="173">
        <v>20</v>
      </c>
      <c r="AB36" s="153" t="s">
        <v>608</v>
      </c>
      <c r="AC36" s="170" t="s">
        <v>709</v>
      </c>
      <c r="AD36" s="22">
        <v>2</v>
      </c>
      <c r="AE36" s="173" t="s">
        <v>582</v>
      </c>
      <c r="AF36" s="153" t="s">
        <v>710</v>
      </c>
      <c r="AG36" s="321"/>
      <c r="AH36" s="322"/>
      <c r="AI36" s="107"/>
      <c r="AJ36" s="107"/>
      <c r="AK36" s="107"/>
    </row>
    <row r="37" ht="55.5" spans="1:37">
      <c r="A37" s="165">
        <f t="shared" si="7"/>
        <v>1602</v>
      </c>
      <c r="B37" s="153" t="s">
        <v>711</v>
      </c>
      <c r="C37" s="179" t="s">
        <v>712</v>
      </c>
      <c r="D37" s="186">
        <v>0</v>
      </c>
      <c r="E37" s="186">
        <v>6000</v>
      </c>
      <c r="F37" s="186">
        <v>6</v>
      </c>
      <c r="G37" s="186">
        <v>4</v>
      </c>
      <c r="H37" s="186">
        <v>1</v>
      </c>
      <c r="I37" s="186">
        <v>5</v>
      </c>
      <c r="J37" s="153">
        <v>30</v>
      </c>
      <c r="K37" s="187">
        <f t="shared" ref="K37:K39" si="12">IF(F37=F36,K36+1,1)</f>
        <v>2</v>
      </c>
      <c r="L37" s="153" t="s">
        <v>602</v>
      </c>
      <c r="M37" s="297">
        <f ca="1">IF(N37=1,OFFSET(effect!$A$1,MATCH(I37,effect!K:K,0)-1,0),0)</f>
        <v>18</v>
      </c>
      <c r="N37" s="153">
        <v>1</v>
      </c>
      <c r="O37" s="313">
        <v>2</v>
      </c>
      <c r="P37" s="170">
        <v>1</v>
      </c>
      <c r="Q37" s="314" t="e">
        <f ca="1">OFFSET(effect!$A$1,MATCH(B37,effect!B:B,0)-1,0)</f>
        <v>#N/A</v>
      </c>
      <c r="R37" s="316"/>
      <c r="S37" s="290">
        <v>10</v>
      </c>
      <c r="T37" s="153">
        <v>1</v>
      </c>
      <c r="V37" s="153" t="str">
        <f t="shared" si="9"/>
        <v>301602|10|;400023|1500|;</v>
      </c>
      <c r="W37" s="153">
        <f t="shared" si="10"/>
        <v>301602</v>
      </c>
      <c r="X37" s="153">
        <v>10</v>
      </c>
      <c r="Y37" s="153">
        <v>1500</v>
      </c>
      <c r="Z37" s="173">
        <v>11</v>
      </c>
      <c r="AB37" s="153" t="s">
        <v>630</v>
      </c>
      <c r="AC37" s="170" t="s">
        <v>713</v>
      </c>
      <c r="AD37" s="22">
        <v>2</v>
      </c>
      <c r="AE37" s="173" t="s">
        <v>582</v>
      </c>
      <c r="AF37" s="153" t="s">
        <v>714</v>
      </c>
      <c r="AG37" s="321"/>
      <c r="AH37" s="322"/>
      <c r="AI37" s="107"/>
      <c r="AJ37" s="107"/>
      <c r="AK37" s="107"/>
    </row>
    <row r="38" ht="27.75" spans="1:37">
      <c r="A38" s="165">
        <f t="shared" si="7"/>
        <v>1603</v>
      </c>
      <c r="B38" s="91" t="s">
        <v>715</v>
      </c>
      <c r="C38" s="179" t="s">
        <v>716</v>
      </c>
      <c r="D38" s="186">
        <v>0</v>
      </c>
      <c r="E38" s="186">
        <v>6000</v>
      </c>
      <c r="F38" s="186">
        <v>6</v>
      </c>
      <c r="G38" s="186">
        <v>4</v>
      </c>
      <c r="H38" s="186">
        <v>1</v>
      </c>
      <c r="I38" s="186">
        <v>5</v>
      </c>
      <c r="J38" s="153">
        <v>30</v>
      </c>
      <c r="K38" s="187">
        <f t="shared" si="12"/>
        <v>3</v>
      </c>
      <c r="L38" s="153" t="s">
        <v>596</v>
      </c>
      <c r="M38" s="297">
        <f ca="1">IF(N38=1,OFFSET(effect!$A$1,MATCH(I38,effect!K:K,0)-1,0),0)</f>
        <v>18</v>
      </c>
      <c r="N38" s="153">
        <v>1</v>
      </c>
      <c r="O38" s="313">
        <v>2</v>
      </c>
      <c r="P38" s="170">
        <v>1</v>
      </c>
      <c r="Q38" s="314" t="e">
        <f ca="1">OFFSET(effect!$A$1,MATCH(B38,effect!B:B,0)-1,0)</f>
        <v>#N/A</v>
      </c>
      <c r="R38" s="316"/>
      <c r="S38" s="290">
        <v>10</v>
      </c>
      <c r="T38" s="153">
        <v>1</v>
      </c>
      <c r="V38" s="153" t="str">
        <f t="shared" si="9"/>
        <v>301603|10|;400023|1500|;</v>
      </c>
      <c r="W38" s="153">
        <f t="shared" si="10"/>
        <v>301603</v>
      </c>
      <c r="X38" s="153">
        <v>10</v>
      </c>
      <c r="Y38" s="153">
        <v>1500</v>
      </c>
      <c r="Z38" s="173">
        <v>11</v>
      </c>
      <c r="AB38" s="153" t="s">
        <v>630</v>
      </c>
      <c r="AC38" s="170" t="s">
        <v>717</v>
      </c>
      <c r="AD38" s="22">
        <v>2</v>
      </c>
      <c r="AE38" s="173" t="s">
        <v>582</v>
      </c>
      <c r="AF38" s="153" t="s">
        <v>718</v>
      </c>
      <c r="AG38" s="321"/>
      <c r="AH38" s="322"/>
      <c r="AI38" s="107"/>
      <c r="AJ38" s="107"/>
      <c r="AK38" s="107"/>
    </row>
    <row r="39" spans="1:37">
      <c r="A39" s="165">
        <f t="shared" si="7"/>
        <v>1604</v>
      </c>
      <c r="B39" s="300" t="s">
        <v>719</v>
      </c>
      <c r="C39" s="300" t="s">
        <v>720</v>
      </c>
      <c r="D39" s="186">
        <v>0</v>
      </c>
      <c r="E39" s="186">
        <v>6000</v>
      </c>
      <c r="F39" s="186">
        <v>6</v>
      </c>
      <c r="G39" s="186">
        <v>4</v>
      </c>
      <c r="H39" s="186">
        <v>1</v>
      </c>
      <c r="I39" s="186">
        <v>5</v>
      </c>
      <c r="J39" s="153">
        <v>30</v>
      </c>
      <c r="K39" s="187">
        <f t="shared" si="12"/>
        <v>4</v>
      </c>
      <c r="L39" s="153" t="s">
        <v>596</v>
      </c>
      <c r="M39" s="297">
        <f ca="1">IF(N39=1,OFFSET(effect!$A$1,MATCH(I39,effect!K:K,0)-1,0),0)</f>
        <v>18</v>
      </c>
      <c r="N39" s="153">
        <v>1</v>
      </c>
      <c r="O39" s="313">
        <v>2</v>
      </c>
      <c r="P39" s="170">
        <v>1</v>
      </c>
      <c r="Q39" s="314" t="e">
        <f ca="1">OFFSET(effect!$A$1,MATCH(B39,effect!B:B,0)-1,0)</f>
        <v>#N/A</v>
      </c>
      <c r="R39" s="316"/>
      <c r="S39" s="290">
        <v>10</v>
      </c>
      <c r="T39" s="153">
        <v>1</v>
      </c>
      <c r="V39" s="153" t="str">
        <f t="shared" si="9"/>
        <v>301604|10|;400023|1500|;</v>
      </c>
      <c r="W39" s="153">
        <f t="shared" si="10"/>
        <v>301604</v>
      </c>
      <c r="X39" s="153">
        <v>10</v>
      </c>
      <c r="Y39" s="153">
        <v>1500</v>
      </c>
      <c r="Z39" s="173">
        <v>11</v>
      </c>
      <c r="AB39" s="153" t="s">
        <v>630</v>
      </c>
      <c r="AC39" s="170" t="s">
        <v>717</v>
      </c>
      <c r="AD39" s="22">
        <v>2</v>
      </c>
      <c r="AE39" s="173" t="s">
        <v>582</v>
      </c>
      <c r="AF39" s="153" t="s">
        <v>718</v>
      </c>
      <c r="AG39" s="321"/>
      <c r="AH39" s="322"/>
      <c r="AI39" s="107"/>
      <c r="AJ39" s="107"/>
      <c r="AK39" s="107"/>
    </row>
    <row r="40" ht="30" spans="1:37">
      <c r="A40" s="307">
        <v>2001</v>
      </c>
      <c r="B40" s="91" t="s">
        <v>403</v>
      </c>
      <c r="C40" s="298" t="s">
        <v>721</v>
      </c>
      <c r="D40" s="186">
        <v>1</v>
      </c>
      <c r="E40" s="186">
        <v>1000</v>
      </c>
      <c r="F40" s="186">
        <v>1</v>
      </c>
      <c r="G40" s="186">
        <v>1</v>
      </c>
      <c r="H40" s="186">
        <v>2</v>
      </c>
      <c r="I40" s="186">
        <v>1</v>
      </c>
      <c r="J40" s="153">
        <v>30</v>
      </c>
      <c r="K40" s="187">
        <f>IF(H40=H38,K38+1,1)</f>
        <v>1</v>
      </c>
      <c r="L40" s="153" t="s">
        <v>602</v>
      </c>
      <c r="M40" s="309">
        <f ca="1">IF(N40=1,OFFSET(effect!$A$1,MATCH(I40,effect!K:K,0)-1,0),0)</f>
        <v>15</v>
      </c>
      <c r="N40" s="310">
        <v>1</v>
      </c>
      <c r="O40" s="311">
        <v>2</v>
      </c>
      <c r="P40" s="312">
        <f ca="1" t="shared" ref="P40:P44" si="13">Q40</f>
        <v>54</v>
      </c>
      <c r="Q40" s="314">
        <f ca="1">OFFSET(effect!$A$1,MATCH(B40,effect!B:B,0)-1,0)</f>
        <v>54</v>
      </c>
      <c r="R40" s="314"/>
      <c r="S40" s="290">
        <v>10</v>
      </c>
      <c r="T40" s="153">
        <v>1</v>
      </c>
      <c r="U40" s="153">
        <v>1</v>
      </c>
      <c r="V40" s="153" t="str">
        <f t="shared" si="9"/>
        <v>302001|10|;400023|500|;</v>
      </c>
      <c r="W40" s="153">
        <f t="shared" si="10"/>
        <v>302001</v>
      </c>
      <c r="X40" s="153">
        <v>10</v>
      </c>
      <c r="Y40" s="153">
        <v>500</v>
      </c>
      <c r="Z40" s="294">
        <v>31</v>
      </c>
      <c r="AA40" s="153" t="s">
        <v>722</v>
      </c>
      <c r="AB40" s="153" t="s">
        <v>580</v>
      </c>
      <c r="AC40" s="170" t="s">
        <v>723</v>
      </c>
      <c r="AD40" s="22">
        <v>2</v>
      </c>
      <c r="AE40" s="173" t="s">
        <v>582</v>
      </c>
      <c r="AF40" s="153" t="s">
        <v>724</v>
      </c>
      <c r="AG40" s="321"/>
      <c r="AH40" s="322"/>
      <c r="AI40" s="78"/>
      <c r="AJ40" s="78"/>
      <c r="AK40" s="107"/>
    </row>
    <row r="41" ht="30" spans="1:37">
      <c r="A41" s="307">
        <v>2002</v>
      </c>
      <c r="B41" s="91" t="s">
        <v>401</v>
      </c>
      <c r="C41" s="298" t="s">
        <v>721</v>
      </c>
      <c r="D41" s="186">
        <v>1</v>
      </c>
      <c r="E41" s="186">
        <v>1000</v>
      </c>
      <c r="F41" s="186">
        <v>1</v>
      </c>
      <c r="G41" s="186">
        <v>1</v>
      </c>
      <c r="H41" s="186">
        <v>2</v>
      </c>
      <c r="I41" s="186">
        <v>1</v>
      </c>
      <c r="J41" s="153">
        <v>30</v>
      </c>
      <c r="K41" s="187">
        <f t="shared" ref="K41:K59" si="14">IF(H41=H40,K40+1,1)</f>
        <v>2</v>
      </c>
      <c r="L41" s="153" t="s">
        <v>602</v>
      </c>
      <c r="M41" s="309">
        <f ca="1">IF(N41=1,OFFSET(effect!$A$1,MATCH(I41,effect!K:K,0)-1,0),0)</f>
        <v>15</v>
      </c>
      <c r="N41" s="310">
        <v>1</v>
      </c>
      <c r="O41" s="311">
        <v>2</v>
      </c>
      <c r="P41" s="312">
        <f ca="1" t="shared" si="13"/>
        <v>53</v>
      </c>
      <c r="Q41" s="314">
        <f ca="1">OFFSET(effect!$A$1,MATCH(B41,effect!B:B,0)-1,0)</f>
        <v>53</v>
      </c>
      <c r="R41" s="314"/>
      <c r="S41" s="290">
        <v>10</v>
      </c>
      <c r="T41" s="153">
        <v>1</v>
      </c>
      <c r="U41" s="153">
        <v>1</v>
      </c>
      <c r="V41" s="153" t="str">
        <f t="shared" si="9"/>
        <v>302002|10|;400023|500|;</v>
      </c>
      <c r="W41" s="153">
        <f t="shared" si="10"/>
        <v>302002</v>
      </c>
      <c r="X41" s="153">
        <v>10</v>
      </c>
      <c r="Y41" s="153">
        <v>500</v>
      </c>
      <c r="Z41" s="294">
        <v>31</v>
      </c>
      <c r="AA41" s="153" t="s">
        <v>725</v>
      </c>
      <c r="AB41" s="153" t="s">
        <v>580</v>
      </c>
      <c r="AC41" s="170" t="s">
        <v>726</v>
      </c>
      <c r="AD41" s="22">
        <v>2</v>
      </c>
      <c r="AE41" s="173" t="s">
        <v>582</v>
      </c>
      <c r="AF41" s="153" t="s">
        <v>727</v>
      </c>
      <c r="AG41" s="321"/>
      <c r="AH41" s="60"/>
      <c r="AI41" s="107"/>
      <c r="AJ41" s="107"/>
      <c r="AK41" s="107"/>
    </row>
    <row r="42" ht="41.65" spans="1:37">
      <c r="A42" s="307">
        <v>2003</v>
      </c>
      <c r="B42" s="91" t="s">
        <v>379</v>
      </c>
      <c r="C42" s="298" t="s">
        <v>728</v>
      </c>
      <c r="D42" s="186">
        <v>1</v>
      </c>
      <c r="E42" s="186">
        <v>1000</v>
      </c>
      <c r="F42" s="186">
        <v>1</v>
      </c>
      <c r="G42" s="186">
        <v>2</v>
      </c>
      <c r="H42" s="186">
        <v>2</v>
      </c>
      <c r="I42" s="186">
        <v>1</v>
      </c>
      <c r="J42" s="153">
        <v>30</v>
      </c>
      <c r="K42" s="187">
        <f t="shared" si="14"/>
        <v>3</v>
      </c>
      <c r="L42" s="153" t="s">
        <v>602</v>
      </c>
      <c r="M42" s="309">
        <f ca="1">IF(N42=1,OFFSET(effect!$A$1,MATCH(I42,effect!K:K,0)-1,0),0)</f>
        <v>15</v>
      </c>
      <c r="N42" s="310">
        <v>1</v>
      </c>
      <c r="O42" s="311">
        <v>2</v>
      </c>
      <c r="P42" s="312">
        <f ca="1" t="shared" si="13"/>
        <v>42</v>
      </c>
      <c r="Q42" s="314">
        <f ca="1">OFFSET(effect!$A$1,MATCH(B42,effect!B:B,0)-1,0)</f>
        <v>42</v>
      </c>
      <c r="R42" s="310"/>
      <c r="S42" s="290">
        <v>10</v>
      </c>
      <c r="T42" s="153">
        <v>1</v>
      </c>
      <c r="U42" s="153">
        <v>1</v>
      </c>
      <c r="V42" s="153" t="str">
        <f t="shared" si="9"/>
        <v>302003|10|;400023|750|;</v>
      </c>
      <c r="W42" s="153">
        <f t="shared" si="10"/>
        <v>302003</v>
      </c>
      <c r="X42" s="153">
        <v>10</v>
      </c>
      <c r="Y42" s="153">
        <v>750</v>
      </c>
      <c r="Z42" s="320">
        <v>7</v>
      </c>
      <c r="AA42" s="153" t="s">
        <v>729</v>
      </c>
      <c r="AB42" s="153" t="s">
        <v>580</v>
      </c>
      <c r="AC42" s="170" t="s">
        <v>730</v>
      </c>
      <c r="AD42" s="22">
        <v>2</v>
      </c>
      <c r="AE42" s="173" t="s">
        <v>582</v>
      </c>
      <c r="AF42" s="153" t="s">
        <v>731</v>
      </c>
      <c r="AG42" s="129"/>
      <c r="AH42" s="60"/>
      <c r="AI42" s="107"/>
      <c r="AJ42" s="107"/>
      <c r="AK42" s="107"/>
    </row>
    <row r="43" ht="41.65" spans="1:37">
      <c r="A43" s="307">
        <v>2004</v>
      </c>
      <c r="B43" s="91" t="s">
        <v>411</v>
      </c>
      <c r="C43" s="298" t="s">
        <v>732</v>
      </c>
      <c r="D43" s="186">
        <v>1</v>
      </c>
      <c r="E43" s="186">
        <v>1000</v>
      </c>
      <c r="F43" s="186">
        <v>1</v>
      </c>
      <c r="G43" s="186">
        <v>1</v>
      </c>
      <c r="H43" s="186">
        <v>2</v>
      </c>
      <c r="I43" s="186">
        <v>1</v>
      </c>
      <c r="J43" s="153">
        <v>30</v>
      </c>
      <c r="K43" s="187">
        <f t="shared" si="14"/>
        <v>4</v>
      </c>
      <c r="L43" s="153" t="s">
        <v>602</v>
      </c>
      <c r="M43" s="309"/>
      <c r="N43" s="310">
        <v>1</v>
      </c>
      <c r="O43" s="311">
        <v>2</v>
      </c>
      <c r="P43" s="312">
        <f ca="1" t="shared" si="13"/>
        <v>59</v>
      </c>
      <c r="Q43" s="314">
        <f ca="1">OFFSET(effect!$A$1,MATCH(B43,effect!B:B,0)-1,0)</f>
        <v>59</v>
      </c>
      <c r="R43" s="310"/>
      <c r="S43" s="290">
        <v>10</v>
      </c>
      <c r="T43" s="153">
        <v>1</v>
      </c>
      <c r="U43" s="153">
        <v>1</v>
      </c>
      <c r="V43" s="153" t="str">
        <f t="shared" si="9"/>
        <v>302004|10|;400023|500|;</v>
      </c>
      <c r="W43" s="153">
        <f t="shared" si="10"/>
        <v>302004</v>
      </c>
      <c r="X43" s="153">
        <v>10</v>
      </c>
      <c r="Y43" s="153">
        <v>500</v>
      </c>
      <c r="Z43" s="294">
        <v>31</v>
      </c>
      <c r="AA43" s="153" t="s">
        <v>733</v>
      </c>
      <c r="AB43" s="153" t="s">
        <v>580</v>
      </c>
      <c r="AC43" s="170" t="s">
        <v>734</v>
      </c>
      <c r="AD43" s="22">
        <v>2</v>
      </c>
      <c r="AE43" s="173" t="s">
        <v>582</v>
      </c>
      <c r="AF43" s="153" t="s">
        <v>735</v>
      </c>
      <c r="AG43" s="112"/>
      <c r="AH43" s="323"/>
      <c r="AI43" s="107"/>
      <c r="AJ43" s="107"/>
      <c r="AK43" s="107"/>
    </row>
    <row r="44" ht="41.65" spans="1:37">
      <c r="A44" s="307">
        <v>2005</v>
      </c>
      <c r="B44" s="91" t="s">
        <v>433</v>
      </c>
      <c r="C44" s="179" t="s">
        <v>736</v>
      </c>
      <c r="D44" s="186">
        <v>1</v>
      </c>
      <c r="E44" s="186">
        <v>1000</v>
      </c>
      <c r="F44" s="186">
        <v>1</v>
      </c>
      <c r="G44" s="186">
        <v>2</v>
      </c>
      <c r="H44" s="186">
        <v>2</v>
      </c>
      <c r="I44" s="186">
        <v>1</v>
      </c>
      <c r="J44" s="153">
        <v>30</v>
      </c>
      <c r="K44" s="187">
        <f t="shared" si="14"/>
        <v>5</v>
      </c>
      <c r="L44" s="153" t="s">
        <v>602</v>
      </c>
      <c r="M44" s="309">
        <f>effect!A72</f>
        <v>71</v>
      </c>
      <c r="N44" s="310">
        <v>1</v>
      </c>
      <c r="O44" s="311">
        <v>2</v>
      </c>
      <c r="P44" s="312">
        <f ca="1" t="shared" si="13"/>
        <v>72</v>
      </c>
      <c r="Q44" s="314">
        <f ca="1">OFFSET(effect!$A$1,MATCH(B44,effect!B:B,0)-1,0)</f>
        <v>72</v>
      </c>
      <c r="R44" s="310"/>
      <c r="S44" s="290">
        <v>10</v>
      </c>
      <c r="T44" s="153">
        <v>1</v>
      </c>
      <c r="U44" s="153">
        <v>1</v>
      </c>
      <c r="V44" s="153" t="str">
        <f t="shared" si="9"/>
        <v>302005|10|;400023|750|;</v>
      </c>
      <c r="W44" s="153">
        <f t="shared" si="10"/>
        <v>302005</v>
      </c>
      <c r="X44" s="153">
        <v>10</v>
      </c>
      <c r="Y44" s="153">
        <v>750</v>
      </c>
      <c r="Z44" s="320">
        <v>7</v>
      </c>
      <c r="AA44" s="153" t="s">
        <v>737</v>
      </c>
      <c r="AB44" s="153" t="s">
        <v>604</v>
      </c>
      <c r="AC44" s="170" t="s">
        <v>738</v>
      </c>
      <c r="AD44" s="22">
        <v>2</v>
      </c>
      <c r="AE44" s="173" t="s">
        <v>582</v>
      </c>
      <c r="AF44" s="153" t="s">
        <v>739</v>
      </c>
      <c r="AG44" s="322"/>
      <c r="AH44" s="322"/>
      <c r="AI44" s="107"/>
      <c r="AJ44" s="107"/>
      <c r="AK44" s="107"/>
    </row>
    <row r="45" ht="27.75" spans="1:37">
      <c r="A45" s="307">
        <v>2006</v>
      </c>
      <c r="B45" s="91" t="s">
        <v>740</v>
      </c>
      <c r="C45" s="179" t="s">
        <v>741</v>
      </c>
      <c r="D45" s="186">
        <v>1</v>
      </c>
      <c r="E45" s="186">
        <v>1003</v>
      </c>
      <c r="F45" s="186">
        <v>1</v>
      </c>
      <c r="G45" s="186">
        <v>1</v>
      </c>
      <c r="H45" s="186">
        <v>2</v>
      </c>
      <c r="I45" s="186">
        <v>4</v>
      </c>
      <c r="J45" s="153">
        <v>30</v>
      </c>
      <c r="K45" s="187">
        <f t="shared" si="14"/>
        <v>6</v>
      </c>
      <c r="L45" s="153" t="s">
        <v>596</v>
      </c>
      <c r="M45" s="309">
        <f ca="1">IF(N45=1,OFFSET(effect!$A$1,MATCH(I45,effect!K:K,0)-1,0),0)</f>
        <v>14</v>
      </c>
      <c r="N45" s="310">
        <v>1</v>
      </c>
      <c r="O45" s="311">
        <v>2</v>
      </c>
      <c r="P45" s="312">
        <v>1</v>
      </c>
      <c r="Q45" s="314" t="e">
        <f ca="1">OFFSET(effect!$A$1,MATCH(B45,effect!B:B,0)-1,0)</f>
        <v>#N/A</v>
      </c>
      <c r="R45" s="314"/>
      <c r="S45" s="290">
        <v>10</v>
      </c>
      <c r="T45" s="153">
        <v>1</v>
      </c>
      <c r="U45" s="153">
        <v>1</v>
      </c>
      <c r="V45" s="153" t="str">
        <f t="shared" si="9"/>
        <v>302006|10|;400023|500|;</v>
      </c>
      <c r="W45" s="153">
        <f t="shared" si="10"/>
        <v>302006</v>
      </c>
      <c r="X45" s="153">
        <v>10</v>
      </c>
      <c r="Y45" s="153">
        <v>500</v>
      </c>
      <c r="Z45" s="320">
        <v>10</v>
      </c>
      <c r="AA45" s="153" t="s">
        <v>742</v>
      </c>
      <c r="AB45" s="153" t="s">
        <v>608</v>
      </c>
      <c r="AC45" s="170" t="s">
        <v>743</v>
      </c>
      <c r="AD45" s="22">
        <v>2</v>
      </c>
      <c r="AE45" s="173" t="s">
        <v>582</v>
      </c>
      <c r="AF45" s="153" t="s">
        <v>744</v>
      </c>
      <c r="AG45" s="112"/>
      <c r="AH45" s="323"/>
      <c r="AI45" s="107"/>
      <c r="AJ45" s="107"/>
      <c r="AK45" s="107"/>
    </row>
    <row r="46" ht="27.75" spans="1:37">
      <c r="A46" s="307">
        <v>2007</v>
      </c>
      <c r="B46" s="91" t="s">
        <v>341</v>
      </c>
      <c r="C46" s="179" t="s">
        <v>745</v>
      </c>
      <c r="D46" s="186">
        <v>1</v>
      </c>
      <c r="E46" s="186">
        <v>1003</v>
      </c>
      <c r="F46" s="186">
        <v>1</v>
      </c>
      <c r="G46" s="186">
        <v>1</v>
      </c>
      <c r="H46" s="186">
        <v>2</v>
      </c>
      <c r="I46" s="186">
        <v>3</v>
      </c>
      <c r="J46" s="153">
        <v>30</v>
      </c>
      <c r="K46" s="187">
        <f t="shared" si="14"/>
        <v>7</v>
      </c>
      <c r="L46" s="153" t="s">
        <v>602</v>
      </c>
      <c r="M46" s="309">
        <f>effect!A26</f>
        <v>21</v>
      </c>
      <c r="N46" s="310">
        <v>1</v>
      </c>
      <c r="O46" s="311">
        <v>2</v>
      </c>
      <c r="P46" s="312">
        <f ca="1" t="shared" ref="P46:P49" si="15">Q46</f>
        <v>22</v>
      </c>
      <c r="Q46" s="314">
        <f ca="1">OFFSET(effect!$A$1,MATCH(B46,effect!B:B,0)-1,0)</f>
        <v>22</v>
      </c>
      <c r="R46" s="310"/>
      <c r="S46" s="290">
        <v>10</v>
      </c>
      <c r="T46" s="153">
        <v>1</v>
      </c>
      <c r="U46" s="153">
        <v>1</v>
      </c>
      <c r="V46" s="153" t="str">
        <f t="shared" si="9"/>
        <v>302007|10|;400023|500|;</v>
      </c>
      <c r="W46" s="153">
        <f t="shared" si="10"/>
        <v>302007</v>
      </c>
      <c r="X46" s="153">
        <v>10</v>
      </c>
      <c r="Y46" s="153">
        <v>500</v>
      </c>
      <c r="Z46" s="294">
        <v>21</v>
      </c>
      <c r="AA46" s="153" t="s">
        <v>746</v>
      </c>
      <c r="AB46" s="153" t="s">
        <v>608</v>
      </c>
      <c r="AC46" s="170" t="s">
        <v>747</v>
      </c>
      <c r="AD46" s="22">
        <v>2</v>
      </c>
      <c r="AE46" s="173" t="s">
        <v>582</v>
      </c>
      <c r="AF46" s="153" t="s">
        <v>748</v>
      </c>
      <c r="AG46" s="322"/>
      <c r="AH46" s="322"/>
      <c r="AI46" s="107"/>
      <c r="AJ46" s="107"/>
      <c r="AK46" s="107"/>
    </row>
    <row r="47" ht="41.65" spans="1:37">
      <c r="A47" s="307">
        <v>2008</v>
      </c>
      <c r="B47" s="91" t="s">
        <v>353</v>
      </c>
      <c r="C47" s="179" t="s">
        <v>749</v>
      </c>
      <c r="D47" s="186">
        <v>1</v>
      </c>
      <c r="E47" s="186">
        <v>1003</v>
      </c>
      <c r="F47" s="186">
        <v>1</v>
      </c>
      <c r="G47" s="186">
        <v>2</v>
      </c>
      <c r="H47" s="186">
        <v>2</v>
      </c>
      <c r="I47" s="186">
        <v>2</v>
      </c>
      <c r="J47" s="153">
        <v>30</v>
      </c>
      <c r="K47" s="187">
        <f t="shared" si="14"/>
        <v>8</v>
      </c>
      <c r="L47" s="153" t="s">
        <v>602</v>
      </c>
      <c r="M47" s="309">
        <f>effect!A33</f>
        <v>29</v>
      </c>
      <c r="N47" s="310">
        <v>1</v>
      </c>
      <c r="O47" s="311">
        <v>2</v>
      </c>
      <c r="P47" s="312">
        <v>17</v>
      </c>
      <c r="Q47" s="314">
        <f ca="1">OFFSET(effect!$A$1,MATCH(B47,effect!B:B,0)-1,0)</f>
        <v>29</v>
      </c>
      <c r="R47" s="310"/>
      <c r="S47" s="290">
        <v>10</v>
      </c>
      <c r="T47" s="153">
        <v>1</v>
      </c>
      <c r="U47" s="153">
        <v>1</v>
      </c>
      <c r="V47" s="153" t="str">
        <f t="shared" si="9"/>
        <v>302008|10|;400023|750|;</v>
      </c>
      <c r="W47" s="153">
        <f t="shared" si="10"/>
        <v>302008</v>
      </c>
      <c r="X47" s="153">
        <v>10</v>
      </c>
      <c r="Y47" s="153">
        <v>750</v>
      </c>
      <c r="Z47" s="294">
        <v>27</v>
      </c>
      <c r="AA47" s="153" t="s">
        <v>750</v>
      </c>
      <c r="AB47" s="153" t="s">
        <v>608</v>
      </c>
      <c r="AC47" s="170" t="s">
        <v>751</v>
      </c>
      <c r="AD47" s="22">
        <v>2</v>
      </c>
      <c r="AE47" s="173" t="s">
        <v>582</v>
      </c>
      <c r="AF47" s="153" t="s">
        <v>752</v>
      </c>
      <c r="AG47" s="129"/>
      <c r="AH47" s="60"/>
      <c r="AI47" s="107"/>
      <c r="AJ47" s="107"/>
      <c r="AK47" s="107"/>
    </row>
    <row r="48" ht="41.65" spans="1:37">
      <c r="A48" s="307">
        <v>2009</v>
      </c>
      <c r="B48" s="91" t="s">
        <v>295</v>
      </c>
      <c r="C48" s="179" t="s">
        <v>753</v>
      </c>
      <c r="D48" s="186">
        <v>1</v>
      </c>
      <c r="E48" s="186">
        <v>1003</v>
      </c>
      <c r="F48" s="186">
        <v>1</v>
      </c>
      <c r="G48" s="186">
        <v>3</v>
      </c>
      <c r="H48" s="186">
        <v>2</v>
      </c>
      <c r="I48" s="186">
        <v>1</v>
      </c>
      <c r="J48" s="153">
        <v>30</v>
      </c>
      <c r="K48" s="187">
        <f t="shared" si="14"/>
        <v>9</v>
      </c>
      <c r="L48" s="153" t="s">
        <v>602</v>
      </c>
      <c r="M48" s="309"/>
      <c r="N48" s="310">
        <v>1</v>
      </c>
      <c r="O48" s="311">
        <v>2</v>
      </c>
      <c r="P48" s="312">
        <f ca="1" t="shared" si="15"/>
        <v>2</v>
      </c>
      <c r="Q48" s="314">
        <f ca="1">OFFSET(effect!$A$1,MATCH(B48,effect!B:B,0)-1,0)</f>
        <v>2</v>
      </c>
      <c r="R48" s="314"/>
      <c r="S48" s="290">
        <v>10</v>
      </c>
      <c r="T48" s="153">
        <v>1</v>
      </c>
      <c r="U48" s="153">
        <v>1</v>
      </c>
      <c r="V48" s="153" t="str">
        <f t="shared" si="9"/>
        <v>302009|10|;400023|1000|;</v>
      </c>
      <c r="W48" s="153">
        <f t="shared" si="10"/>
        <v>302009</v>
      </c>
      <c r="X48" s="153">
        <v>10</v>
      </c>
      <c r="Y48" s="153">
        <v>1000</v>
      </c>
      <c r="Z48" s="294">
        <v>31</v>
      </c>
      <c r="AA48" s="153" t="s">
        <v>754</v>
      </c>
      <c r="AB48" s="153" t="s">
        <v>608</v>
      </c>
      <c r="AC48" s="170" t="s">
        <v>636</v>
      </c>
      <c r="AD48" s="22">
        <v>2</v>
      </c>
      <c r="AE48" s="173" t="s">
        <v>582</v>
      </c>
      <c r="AF48" s="153" t="s">
        <v>755</v>
      </c>
      <c r="AG48" s="129"/>
      <c r="AH48" s="324"/>
      <c r="AI48" s="107"/>
      <c r="AJ48" s="107"/>
      <c r="AK48" s="107"/>
    </row>
    <row r="49" ht="69.4" spans="1:37">
      <c r="A49" s="307">
        <v>2010</v>
      </c>
      <c r="B49" s="91" t="s">
        <v>347</v>
      </c>
      <c r="C49" s="179" t="s">
        <v>756</v>
      </c>
      <c r="D49" s="186">
        <v>1</v>
      </c>
      <c r="E49" s="186">
        <v>1003</v>
      </c>
      <c r="F49" s="186">
        <v>1</v>
      </c>
      <c r="G49" s="186">
        <v>2</v>
      </c>
      <c r="H49" s="186">
        <v>2</v>
      </c>
      <c r="I49" s="186">
        <v>1</v>
      </c>
      <c r="J49" s="153">
        <v>30</v>
      </c>
      <c r="K49" s="187">
        <f t="shared" si="14"/>
        <v>10</v>
      </c>
      <c r="L49" s="153" t="s">
        <v>596</v>
      </c>
      <c r="M49" s="309">
        <f ca="1">IF(N49=1,OFFSET(effect!$A$1,MATCH(I49,effect!K:K,0)-1,0),0)</f>
        <v>15</v>
      </c>
      <c r="N49" s="310">
        <v>1</v>
      </c>
      <c r="O49" s="311">
        <v>2</v>
      </c>
      <c r="P49" s="312">
        <f ca="1" t="shared" si="15"/>
        <v>26</v>
      </c>
      <c r="Q49" s="314">
        <f ca="1">OFFSET(effect!$A$1,MATCH(B49,effect!B:B,0)-1,0)</f>
        <v>26</v>
      </c>
      <c r="R49" s="310"/>
      <c r="S49" s="290">
        <v>10</v>
      </c>
      <c r="T49" s="153">
        <v>1</v>
      </c>
      <c r="U49" s="153">
        <v>1</v>
      </c>
      <c r="V49" s="153" t="str">
        <f t="shared" si="9"/>
        <v>302010|10|;400023|750|;</v>
      </c>
      <c r="W49" s="153">
        <f t="shared" si="10"/>
        <v>302010</v>
      </c>
      <c r="X49" s="153">
        <v>10</v>
      </c>
      <c r="Y49" s="153">
        <v>750</v>
      </c>
      <c r="Z49" s="294">
        <v>31</v>
      </c>
      <c r="AA49" s="153" t="s">
        <v>757</v>
      </c>
      <c r="AB49" s="153" t="s">
        <v>608</v>
      </c>
      <c r="AC49" s="170" t="s">
        <v>758</v>
      </c>
      <c r="AD49" s="22">
        <v>2</v>
      </c>
      <c r="AE49" s="173" t="s">
        <v>582</v>
      </c>
      <c r="AF49" s="153" t="s">
        <v>759</v>
      </c>
      <c r="AG49" s="129"/>
      <c r="AH49" s="60"/>
      <c r="AI49" s="107"/>
      <c r="AJ49" s="107"/>
      <c r="AK49" s="107"/>
    </row>
    <row r="50" ht="41.65" spans="1:37">
      <c r="A50" s="307">
        <v>2011</v>
      </c>
      <c r="B50" s="91" t="s">
        <v>760</v>
      </c>
      <c r="C50" s="179" t="s">
        <v>761</v>
      </c>
      <c r="D50" s="186">
        <v>1</v>
      </c>
      <c r="E50" s="186">
        <v>1003</v>
      </c>
      <c r="F50" s="186">
        <v>2</v>
      </c>
      <c r="G50" s="186">
        <v>1</v>
      </c>
      <c r="H50" s="186">
        <v>2</v>
      </c>
      <c r="I50" s="186">
        <v>5</v>
      </c>
      <c r="J50" s="153">
        <v>30</v>
      </c>
      <c r="K50" s="187">
        <f t="shared" si="14"/>
        <v>11</v>
      </c>
      <c r="L50" s="153" t="s">
        <v>596</v>
      </c>
      <c r="M50" s="309">
        <f ca="1">IF(N50=1,OFFSET(effect!$A$1,MATCH(I50,effect!K:K,0)-1,0),0)</f>
        <v>18</v>
      </c>
      <c r="N50" s="310">
        <v>1</v>
      </c>
      <c r="O50" s="311">
        <v>2</v>
      </c>
      <c r="P50" s="312">
        <v>12</v>
      </c>
      <c r="Q50" s="314" t="e">
        <f ca="1">OFFSET(effect!$A$1,MATCH(B50,effect!B:B,0)-1,0)</f>
        <v>#N/A</v>
      </c>
      <c r="R50" s="310"/>
      <c r="S50" s="290">
        <v>10</v>
      </c>
      <c r="T50" s="153">
        <v>1</v>
      </c>
      <c r="U50" s="153">
        <v>1</v>
      </c>
      <c r="V50" s="153" t="str">
        <f t="shared" si="9"/>
        <v>302011|10|;400023|500|;</v>
      </c>
      <c r="W50" s="153">
        <f t="shared" si="10"/>
        <v>302011</v>
      </c>
      <c r="X50" s="153">
        <v>10</v>
      </c>
      <c r="Y50" s="153">
        <v>500</v>
      </c>
      <c r="Z50" s="294">
        <v>31</v>
      </c>
      <c r="AA50" s="153" t="s">
        <v>762</v>
      </c>
      <c r="AB50" s="153" t="s">
        <v>630</v>
      </c>
      <c r="AC50" s="170" t="s">
        <v>763</v>
      </c>
      <c r="AD50" s="22">
        <v>2</v>
      </c>
      <c r="AE50" s="173" t="s">
        <v>582</v>
      </c>
      <c r="AF50" s="153" t="s">
        <v>764</v>
      </c>
      <c r="AG50" s="129"/>
      <c r="AH50" s="60"/>
      <c r="AI50" s="107"/>
      <c r="AJ50" s="107"/>
      <c r="AK50" s="107"/>
    </row>
    <row r="51" ht="41.65" spans="1:37">
      <c r="A51" s="307">
        <v>2012</v>
      </c>
      <c r="B51" s="91" t="s">
        <v>486</v>
      </c>
      <c r="C51" s="179" t="s">
        <v>732</v>
      </c>
      <c r="D51" s="186">
        <v>1</v>
      </c>
      <c r="E51" s="186">
        <v>1003</v>
      </c>
      <c r="F51" s="186">
        <v>2</v>
      </c>
      <c r="G51" s="186">
        <v>2</v>
      </c>
      <c r="H51" s="186">
        <v>2</v>
      </c>
      <c r="I51" s="186">
        <v>1</v>
      </c>
      <c r="J51" s="153">
        <v>30</v>
      </c>
      <c r="K51" s="187">
        <f t="shared" si="14"/>
        <v>12</v>
      </c>
      <c r="L51" s="153" t="s">
        <v>602</v>
      </c>
      <c r="M51" s="309">
        <f ca="1">IF(N51=1,OFFSET(effect!$A$1,MATCH(I51,effect!K:K,0)-1,0),0)</f>
        <v>15</v>
      </c>
      <c r="N51" s="310">
        <v>1</v>
      </c>
      <c r="O51" s="311">
        <v>2</v>
      </c>
      <c r="P51" s="312">
        <f ca="1" t="shared" ref="P51:P58" si="16">Q51</f>
        <v>99</v>
      </c>
      <c r="Q51" s="314">
        <f ca="1">OFFSET(effect!$A$1,MATCH(B51,effect!B:B,0)-1,0)</f>
        <v>99</v>
      </c>
      <c r="R51" s="314"/>
      <c r="S51" s="290">
        <v>10</v>
      </c>
      <c r="T51" s="153">
        <v>1</v>
      </c>
      <c r="U51" s="153">
        <v>1</v>
      </c>
      <c r="V51" s="153" t="str">
        <f t="shared" si="9"/>
        <v>302012|10|;400023|750|;</v>
      </c>
      <c r="W51" s="153">
        <f t="shared" si="10"/>
        <v>302012</v>
      </c>
      <c r="X51" s="153">
        <v>10</v>
      </c>
      <c r="Y51" s="153">
        <v>750</v>
      </c>
      <c r="Z51" s="294">
        <v>31</v>
      </c>
      <c r="AA51" s="153" t="s">
        <v>765</v>
      </c>
      <c r="AB51" s="153" t="s">
        <v>630</v>
      </c>
      <c r="AC51" s="170" t="s">
        <v>766</v>
      </c>
      <c r="AD51" s="22">
        <v>2</v>
      </c>
      <c r="AE51" s="173" t="s">
        <v>582</v>
      </c>
      <c r="AF51" s="153" t="s">
        <v>767</v>
      </c>
      <c r="AG51" s="129"/>
      <c r="AH51" s="60"/>
      <c r="AI51" s="107"/>
      <c r="AJ51" s="107"/>
      <c r="AK51" s="107"/>
    </row>
    <row r="52" ht="55.5" spans="1:37">
      <c r="A52" s="307">
        <v>2013</v>
      </c>
      <c r="B52" s="91" t="s">
        <v>768</v>
      </c>
      <c r="C52" s="179" t="s">
        <v>769</v>
      </c>
      <c r="D52" s="186">
        <v>1</v>
      </c>
      <c r="E52" s="186">
        <v>2000</v>
      </c>
      <c r="F52" s="186">
        <v>2</v>
      </c>
      <c r="G52" s="186">
        <v>4</v>
      </c>
      <c r="H52" s="186">
        <v>2</v>
      </c>
      <c r="I52" s="186">
        <v>1</v>
      </c>
      <c r="J52" s="153">
        <v>30</v>
      </c>
      <c r="K52" s="187">
        <f t="shared" si="14"/>
        <v>13</v>
      </c>
      <c r="L52" s="153" t="s">
        <v>602</v>
      </c>
      <c r="M52" s="309">
        <v>27</v>
      </c>
      <c r="N52" s="310">
        <v>1</v>
      </c>
      <c r="O52" s="311">
        <v>2</v>
      </c>
      <c r="P52" s="312">
        <v>28</v>
      </c>
      <c r="Q52" s="314" t="e">
        <f ca="1">OFFSET(effect!$A$1,MATCH(B52,effect!B:B,0)-1,0)</f>
        <v>#N/A</v>
      </c>
      <c r="R52" s="316"/>
      <c r="S52" s="290">
        <v>10</v>
      </c>
      <c r="T52" s="153">
        <v>1</v>
      </c>
      <c r="V52" s="153" t="str">
        <f t="shared" si="9"/>
        <v>302013|10|;400023|1500|;</v>
      </c>
      <c r="W52" s="153">
        <f t="shared" si="10"/>
        <v>302013</v>
      </c>
      <c r="X52" s="153">
        <v>10</v>
      </c>
      <c r="Y52" s="153">
        <v>1500</v>
      </c>
      <c r="Z52" s="173">
        <v>30</v>
      </c>
      <c r="AA52" s="153" t="s">
        <v>770</v>
      </c>
      <c r="AB52" s="153" t="s">
        <v>630</v>
      </c>
      <c r="AC52" s="170" t="s">
        <v>771</v>
      </c>
      <c r="AD52" s="22">
        <v>2</v>
      </c>
      <c r="AE52" s="173" t="s">
        <v>582</v>
      </c>
      <c r="AF52" s="153" t="s">
        <v>772</v>
      </c>
      <c r="AG52" s="129"/>
      <c r="AH52" s="60"/>
      <c r="AI52" s="107"/>
      <c r="AJ52" s="107"/>
      <c r="AK52" s="107"/>
    </row>
    <row r="53" ht="41.65" spans="1:37">
      <c r="A53" s="307">
        <v>2014</v>
      </c>
      <c r="B53" s="91" t="s">
        <v>357</v>
      </c>
      <c r="C53" s="179" t="s">
        <v>773</v>
      </c>
      <c r="D53" s="186">
        <v>1</v>
      </c>
      <c r="E53" s="186">
        <v>2000</v>
      </c>
      <c r="F53" s="186">
        <v>2</v>
      </c>
      <c r="G53" s="186">
        <v>3</v>
      </c>
      <c r="H53" s="186">
        <v>2</v>
      </c>
      <c r="I53" s="186">
        <v>5</v>
      </c>
      <c r="J53" s="153">
        <v>30</v>
      </c>
      <c r="K53" s="187">
        <f t="shared" si="14"/>
        <v>14</v>
      </c>
      <c r="L53" s="153" t="s">
        <v>602</v>
      </c>
      <c r="M53" s="309">
        <f ca="1">IF(N53=1,OFFSET(effect!$A$1,MATCH(I53,effect!K:K,0)-1,0),0)</f>
        <v>18</v>
      </c>
      <c r="N53" s="310">
        <v>1</v>
      </c>
      <c r="O53" s="313">
        <v>2</v>
      </c>
      <c r="P53" s="312">
        <f ca="1" t="shared" si="16"/>
        <v>31</v>
      </c>
      <c r="Q53" s="314">
        <f ca="1">OFFSET(effect!$A$1,MATCH(B53,effect!B:B,0)-1,0)</f>
        <v>31</v>
      </c>
      <c r="R53" s="314"/>
      <c r="S53" s="290">
        <v>10</v>
      </c>
      <c r="T53" s="153">
        <v>1</v>
      </c>
      <c r="U53" s="153">
        <v>1</v>
      </c>
      <c r="V53" s="153" t="str">
        <f t="shared" si="9"/>
        <v>302014|10|;400023|1000|;</v>
      </c>
      <c r="W53" s="153">
        <f t="shared" si="10"/>
        <v>302014</v>
      </c>
      <c r="X53" s="153">
        <v>10</v>
      </c>
      <c r="Y53" s="153">
        <v>1000</v>
      </c>
      <c r="Z53" s="320">
        <v>7</v>
      </c>
      <c r="AA53" s="153" t="s">
        <v>774</v>
      </c>
      <c r="AB53" s="153" t="s">
        <v>630</v>
      </c>
      <c r="AC53" s="170" t="s">
        <v>775</v>
      </c>
      <c r="AD53" s="22">
        <v>2</v>
      </c>
      <c r="AE53" s="173" t="s">
        <v>582</v>
      </c>
      <c r="AF53" s="153" t="s">
        <v>776</v>
      </c>
      <c r="AG53" s="131"/>
      <c r="AH53" s="324"/>
      <c r="AI53" s="107"/>
      <c r="AJ53" s="107"/>
      <c r="AK53" s="107"/>
    </row>
    <row r="54" ht="30" spans="1:37">
      <c r="A54" s="307">
        <v>2015</v>
      </c>
      <c r="B54" s="91" t="s">
        <v>393</v>
      </c>
      <c r="C54" s="179" t="s">
        <v>777</v>
      </c>
      <c r="D54" s="186">
        <v>1</v>
      </c>
      <c r="E54" s="186">
        <v>2000</v>
      </c>
      <c r="F54" s="186">
        <v>2</v>
      </c>
      <c r="G54" s="186">
        <v>1</v>
      </c>
      <c r="H54" s="186">
        <v>2</v>
      </c>
      <c r="I54" s="186">
        <v>1</v>
      </c>
      <c r="J54" s="153">
        <v>30</v>
      </c>
      <c r="K54" s="187">
        <f t="shared" si="14"/>
        <v>15</v>
      </c>
      <c r="L54" s="153" t="s">
        <v>602</v>
      </c>
      <c r="M54" s="314"/>
      <c r="N54" s="310">
        <v>0</v>
      </c>
      <c r="O54" s="311">
        <v>1</v>
      </c>
      <c r="P54" s="312">
        <f ca="1" t="shared" si="16"/>
        <v>49</v>
      </c>
      <c r="Q54" s="314">
        <f ca="1">OFFSET(effect!$A$1,MATCH(B54,effect!B:B,0)-1,0)</f>
        <v>49</v>
      </c>
      <c r="R54" s="314">
        <f>effect!A54</f>
        <v>50</v>
      </c>
      <c r="S54" s="290">
        <v>10</v>
      </c>
      <c r="T54" s="153">
        <v>1</v>
      </c>
      <c r="U54" s="153">
        <v>1</v>
      </c>
      <c r="V54" s="153" t="str">
        <f t="shared" si="9"/>
        <v>302015|10|;400023|500|;</v>
      </c>
      <c r="W54" s="153">
        <f t="shared" si="10"/>
        <v>302015</v>
      </c>
      <c r="X54" s="153">
        <v>10</v>
      </c>
      <c r="Y54" s="153">
        <v>500</v>
      </c>
      <c r="Z54" s="318">
        <v>16</v>
      </c>
      <c r="AA54" s="153" t="s">
        <v>778</v>
      </c>
      <c r="AB54" s="153" t="s">
        <v>630</v>
      </c>
      <c r="AC54" s="170" t="s">
        <v>636</v>
      </c>
      <c r="AD54" s="22">
        <v>2</v>
      </c>
      <c r="AE54" s="173" t="s">
        <v>582</v>
      </c>
      <c r="AF54" s="153" t="s">
        <v>779</v>
      </c>
      <c r="AG54" s="129"/>
      <c r="AH54" s="60"/>
      <c r="AI54" s="107"/>
      <c r="AJ54" s="107"/>
      <c r="AK54" s="107"/>
    </row>
    <row r="55" ht="55.5" spans="1:37">
      <c r="A55" s="307">
        <v>2016</v>
      </c>
      <c r="B55" s="91" t="s">
        <v>514</v>
      </c>
      <c r="C55" s="179" t="s">
        <v>780</v>
      </c>
      <c r="D55" s="186">
        <v>1</v>
      </c>
      <c r="E55" s="186">
        <v>2000</v>
      </c>
      <c r="F55" s="186">
        <v>3</v>
      </c>
      <c r="G55" s="186">
        <v>2</v>
      </c>
      <c r="H55" s="186">
        <v>2</v>
      </c>
      <c r="I55" s="186">
        <v>1</v>
      </c>
      <c r="J55" s="153">
        <v>30</v>
      </c>
      <c r="K55" s="187">
        <f t="shared" si="14"/>
        <v>16</v>
      </c>
      <c r="L55" s="153" t="s">
        <v>602</v>
      </c>
      <c r="M55" s="309">
        <f ca="1">IF(N55=1,OFFSET(effect!$A$1,MATCH(I55,effect!K:K,0)-1,0),0)</f>
        <v>15</v>
      </c>
      <c r="N55" s="310">
        <v>1</v>
      </c>
      <c r="O55" s="311">
        <v>2</v>
      </c>
      <c r="P55" s="312">
        <f ca="1" t="shared" si="16"/>
        <v>113</v>
      </c>
      <c r="Q55" s="314">
        <f ca="1">OFFSET(effect!$A$1,MATCH(B55,effect!B:B,0)-1,0)</f>
        <v>113</v>
      </c>
      <c r="R55" s="314"/>
      <c r="S55" s="290">
        <v>10</v>
      </c>
      <c r="T55" s="153">
        <v>1</v>
      </c>
      <c r="U55" s="153">
        <v>1</v>
      </c>
      <c r="V55" s="153" t="str">
        <f t="shared" si="9"/>
        <v>302016|10|;400023|750|;</v>
      </c>
      <c r="W55" s="153">
        <f t="shared" si="10"/>
        <v>302016</v>
      </c>
      <c r="X55" s="153">
        <v>10</v>
      </c>
      <c r="Y55" s="153">
        <v>750</v>
      </c>
      <c r="Z55" s="320">
        <v>7</v>
      </c>
      <c r="AA55" s="153" t="s">
        <v>781</v>
      </c>
      <c r="AB55" s="153" t="s">
        <v>649</v>
      </c>
      <c r="AC55" s="170" t="s">
        <v>782</v>
      </c>
      <c r="AD55" s="22">
        <v>2</v>
      </c>
      <c r="AE55" s="173" t="s">
        <v>582</v>
      </c>
      <c r="AF55" s="153" t="s">
        <v>783</v>
      </c>
      <c r="AG55" s="129"/>
      <c r="AH55" s="60"/>
      <c r="AI55" s="107"/>
      <c r="AJ55" s="107"/>
      <c r="AK55" s="107"/>
    </row>
    <row r="56" ht="27.75" spans="1:37">
      <c r="A56" s="307">
        <v>2017</v>
      </c>
      <c r="B56" s="91" t="s">
        <v>291</v>
      </c>
      <c r="C56" s="179" t="s">
        <v>784</v>
      </c>
      <c r="D56" s="186">
        <v>1</v>
      </c>
      <c r="E56" s="186">
        <v>2000</v>
      </c>
      <c r="F56" s="186">
        <v>3</v>
      </c>
      <c r="G56" s="186">
        <v>1</v>
      </c>
      <c r="H56" s="186">
        <v>2</v>
      </c>
      <c r="I56" s="186">
        <v>4</v>
      </c>
      <c r="J56" s="153">
        <v>30</v>
      </c>
      <c r="K56" s="187">
        <f t="shared" si="14"/>
        <v>17</v>
      </c>
      <c r="L56" s="153" t="s">
        <v>602</v>
      </c>
      <c r="M56" s="309">
        <f ca="1">IF(N56=1,OFFSET(effect!$A$1,MATCH(I56,effect!K:K,0)-1,0),0)</f>
        <v>14</v>
      </c>
      <c r="N56" s="310">
        <v>1</v>
      </c>
      <c r="O56" s="311">
        <v>2</v>
      </c>
      <c r="P56" s="312">
        <f ca="1" t="shared" si="16"/>
        <v>1</v>
      </c>
      <c r="Q56" s="314">
        <f ca="1">OFFSET(effect!$A$1,MATCH(B56,effect!B:B,0)-1,0)</f>
        <v>1</v>
      </c>
      <c r="R56" s="314"/>
      <c r="S56" s="290">
        <v>10</v>
      </c>
      <c r="T56" s="153">
        <v>1</v>
      </c>
      <c r="U56" s="153">
        <v>1</v>
      </c>
      <c r="V56" s="153" t="str">
        <f t="shared" si="9"/>
        <v>302017|10|;400023|500|;</v>
      </c>
      <c r="W56" s="153">
        <f t="shared" si="10"/>
        <v>302017</v>
      </c>
      <c r="X56" s="153">
        <v>10</v>
      </c>
      <c r="Y56" s="153">
        <v>500</v>
      </c>
      <c r="Z56" s="320">
        <v>10</v>
      </c>
      <c r="AA56" s="153" t="s">
        <v>785</v>
      </c>
      <c r="AB56" s="153" t="s">
        <v>649</v>
      </c>
      <c r="AC56" s="170" t="s">
        <v>786</v>
      </c>
      <c r="AD56" s="22">
        <v>2</v>
      </c>
      <c r="AE56" s="173" t="s">
        <v>582</v>
      </c>
      <c r="AF56" s="153" t="s">
        <v>787</v>
      </c>
      <c r="AG56" s="129"/>
      <c r="AH56" s="60"/>
      <c r="AI56" s="107"/>
      <c r="AJ56" s="107"/>
      <c r="AK56" s="107"/>
    </row>
    <row r="57" ht="41.65" spans="1:37">
      <c r="A57" s="307">
        <v>2018</v>
      </c>
      <c r="B57" s="91" t="s">
        <v>351</v>
      </c>
      <c r="C57" s="179" t="s">
        <v>788</v>
      </c>
      <c r="D57" s="186">
        <v>1</v>
      </c>
      <c r="E57" s="186">
        <v>3000</v>
      </c>
      <c r="F57" s="186">
        <v>3</v>
      </c>
      <c r="G57" s="186">
        <v>2</v>
      </c>
      <c r="H57" s="186">
        <v>2</v>
      </c>
      <c r="I57" s="186">
        <v>1</v>
      </c>
      <c r="J57" s="153">
        <v>30</v>
      </c>
      <c r="K57" s="187">
        <f t="shared" si="14"/>
        <v>18</v>
      </c>
      <c r="L57" s="153" t="s">
        <v>602</v>
      </c>
      <c r="M57" s="309">
        <v>33</v>
      </c>
      <c r="N57" s="310">
        <v>1</v>
      </c>
      <c r="O57" s="311">
        <v>2</v>
      </c>
      <c r="P57" s="312">
        <f ca="1" t="shared" si="16"/>
        <v>28</v>
      </c>
      <c r="Q57" s="314">
        <f ca="1">OFFSET(effect!$A$1,MATCH(B57,effect!B:B,0)-1,0)</f>
        <v>28</v>
      </c>
      <c r="R57" s="314"/>
      <c r="S57" s="290">
        <v>10</v>
      </c>
      <c r="T57" s="153">
        <v>1</v>
      </c>
      <c r="U57" s="153">
        <v>1</v>
      </c>
      <c r="V57" s="153" t="str">
        <f t="shared" si="9"/>
        <v>302018|10|;400023|750|;</v>
      </c>
      <c r="W57" s="153">
        <f t="shared" si="10"/>
        <v>302018</v>
      </c>
      <c r="X57" s="153">
        <v>10</v>
      </c>
      <c r="Y57" s="153">
        <v>750</v>
      </c>
      <c r="Z57" s="173">
        <v>30</v>
      </c>
      <c r="AA57" s="153" t="s">
        <v>789</v>
      </c>
      <c r="AB57" s="153" t="s">
        <v>649</v>
      </c>
      <c r="AC57" s="170" t="s">
        <v>790</v>
      </c>
      <c r="AD57" s="22">
        <v>2</v>
      </c>
      <c r="AE57" s="173" t="s">
        <v>582</v>
      </c>
      <c r="AF57" s="153" t="s">
        <v>791</v>
      </c>
      <c r="AG57" s="129"/>
      <c r="AH57" s="60"/>
      <c r="AI57" s="107"/>
      <c r="AJ57" s="107"/>
      <c r="AK57" s="107"/>
    </row>
    <row r="58" ht="55.5" spans="1:37">
      <c r="A58" s="307">
        <v>2019</v>
      </c>
      <c r="B58" s="91" t="s">
        <v>409</v>
      </c>
      <c r="C58" s="179" t="s">
        <v>792</v>
      </c>
      <c r="D58" s="186">
        <v>1</v>
      </c>
      <c r="E58" s="186">
        <v>3000</v>
      </c>
      <c r="F58" s="186">
        <v>3</v>
      </c>
      <c r="G58" s="186">
        <v>3</v>
      </c>
      <c r="H58" s="186">
        <v>2</v>
      </c>
      <c r="I58" s="186">
        <v>1</v>
      </c>
      <c r="J58" s="153">
        <v>30</v>
      </c>
      <c r="K58" s="187">
        <f t="shared" si="14"/>
        <v>19</v>
      </c>
      <c r="L58" s="153" t="s">
        <v>596</v>
      </c>
      <c r="M58" s="309">
        <f ca="1">IF(N58=1,OFFSET(effect!$A$1,MATCH(I58,effect!K:K,0)-1,0),0)</f>
        <v>15</v>
      </c>
      <c r="N58" s="310">
        <v>1</v>
      </c>
      <c r="O58" s="311">
        <v>2</v>
      </c>
      <c r="P58" s="312">
        <f ca="1" t="shared" si="16"/>
        <v>57</v>
      </c>
      <c r="Q58" s="314">
        <f ca="1">OFFSET(effect!$A$1,MATCH(B58,effect!B:B,0)-1,0)</f>
        <v>57</v>
      </c>
      <c r="R58" s="316"/>
      <c r="S58" s="290">
        <v>10</v>
      </c>
      <c r="T58" s="153">
        <v>1</v>
      </c>
      <c r="U58" s="153">
        <v>1</v>
      </c>
      <c r="V58" s="153" t="str">
        <f t="shared" si="9"/>
        <v>302019|10|;400023|1000|;</v>
      </c>
      <c r="W58" s="153">
        <f t="shared" si="10"/>
        <v>302019</v>
      </c>
      <c r="X58" s="153">
        <v>10</v>
      </c>
      <c r="Y58" s="153">
        <v>1000</v>
      </c>
      <c r="Z58" s="320">
        <v>7</v>
      </c>
      <c r="AA58" s="153" t="s">
        <v>793</v>
      </c>
      <c r="AB58" s="153" t="s">
        <v>649</v>
      </c>
      <c r="AC58" s="170" t="s">
        <v>794</v>
      </c>
      <c r="AD58" s="22">
        <v>2</v>
      </c>
      <c r="AE58" s="173" t="s">
        <v>582</v>
      </c>
      <c r="AF58" s="153" t="s">
        <v>795</v>
      </c>
      <c r="AH58" s="322"/>
      <c r="AI58" s="107"/>
      <c r="AJ58" s="107"/>
      <c r="AK58" s="107"/>
    </row>
    <row r="59" ht="41.65" spans="1:37">
      <c r="A59" s="307">
        <v>2020</v>
      </c>
      <c r="B59" s="91" t="s">
        <v>796</v>
      </c>
      <c r="C59" s="179" t="s">
        <v>797</v>
      </c>
      <c r="D59" s="186">
        <v>1</v>
      </c>
      <c r="E59" s="186">
        <v>3000</v>
      </c>
      <c r="F59" s="186">
        <v>3</v>
      </c>
      <c r="G59" s="186">
        <v>4</v>
      </c>
      <c r="H59" s="186">
        <v>2</v>
      </c>
      <c r="I59" s="186">
        <v>1</v>
      </c>
      <c r="J59" s="153">
        <v>30</v>
      </c>
      <c r="K59" s="187">
        <f t="shared" si="14"/>
        <v>20</v>
      </c>
      <c r="L59" s="153" t="s">
        <v>602</v>
      </c>
      <c r="M59" s="297">
        <f ca="1">IF(N59=1,OFFSET(effect!$A$1,MATCH(I59,effect!K:K,0)-1,0),0)</f>
        <v>15</v>
      </c>
      <c r="N59" s="153">
        <v>1</v>
      </c>
      <c r="O59" s="313">
        <v>2</v>
      </c>
      <c r="P59" s="170">
        <v>57</v>
      </c>
      <c r="Q59" s="314" t="e">
        <f ca="1">OFFSET(effect!$A$1,MATCH(B59,effect!B:B,0)-1,0)</f>
        <v>#N/A</v>
      </c>
      <c r="R59" s="316"/>
      <c r="S59" s="290">
        <v>10</v>
      </c>
      <c r="T59" s="153">
        <v>1</v>
      </c>
      <c r="V59" s="153" t="str">
        <f t="shared" si="9"/>
        <v>302020|10|;400023|1500|;</v>
      </c>
      <c r="W59" s="153">
        <f t="shared" si="10"/>
        <v>302020</v>
      </c>
      <c r="X59" s="153">
        <v>10</v>
      </c>
      <c r="Y59" s="153">
        <v>1500</v>
      </c>
      <c r="Z59" s="320">
        <v>7</v>
      </c>
      <c r="AA59" s="153" t="s">
        <v>798</v>
      </c>
      <c r="AB59" s="153" t="s">
        <v>649</v>
      </c>
      <c r="AC59" s="170" t="s">
        <v>799</v>
      </c>
      <c r="AD59" s="22">
        <v>2</v>
      </c>
      <c r="AE59" s="173" t="s">
        <v>582</v>
      </c>
      <c r="AF59" s="153" t="s">
        <v>800</v>
      </c>
      <c r="AG59" s="321"/>
      <c r="AH59" s="322"/>
      <c r="AI59" s="78"/>
      <c r="AJ59" s="78"/>
      <c r="AK59" s="107"/>
    </row>
    <row r="60" ht="55.5" spans="1:37">
      <c r="A60" s="308">
        <f t="shared" ref="A60:A64" si="17">H60*1000+F60*100+K60</f>
        <v>2401</v>
      </c>
      <c r="B60" s="91" t="s">
        <v>801</v>
      </c>
      <c r="C60" s="179" t="s">
        <v>802</v>
      </c>
      <c r="D60" s="186">
        <v>1</v>
      </c>
      <c r="E60" s="186">
        <f t="shared" ref="E60:E67" si="18">F60*1000</f>
        <v>4000</v>
      </c>
      <c r="F60" s="186">
        <v>4</v>
      </c>
      <c r="G60" s="186">
        <v>2</v>
      </c>
      <c r="H60" s="186">
        <v>2</v>
      </c>
      <c r="I60" s="186">
        <v>1</v>
      </c>
      <c r="J60" s="153">
        <v>30</v>
      </c>
      <c r="K60" s="187">
        <f t="shared" ref="K60:K64" si="19">IF(F60=F59,K59+1,1)</f>
        <v>1</v>
      </c>
      <c r="L60" s="153" t="s">
        <v>596</v>
      </c>
      <c r="M60" s="297">
        <f ca="1">IF(N60=1,OFFSET(effect!$A$1,MATCH(I60,effect!K:K,0)-1,0),0)</f>
        <v>15</v>
      </c>
      <c r="N60" s="153">
        <v>1</v>
      </c>
      <c r="O60" s="313">
        <v>2</v>
      </c>
      <c r="P60" s="170" t="e">
        <f ca="1" t="shared" ref="P60:P63" si="20">Q60</f>
        <v>#N/A</v>
      </c>
      <c r="Q60" s="314" t="e">
        <f ca="1">OFFSET(effect!$A$1,MATCH(B60,effect!B:B,0)-1,0)</f>
        <v>#N/A</v>
      </c>
      <c r="R60" s="316"/>
      <c r="S60" s="290">
        <v>10</v>
      </c>
      <c r="T60" s="153">
        <v>1</v>
      </c>
      <c r="V60" s="153" t="str">
        <f t="shared" si="9"/>
        <v>302401|10|;400023|750|;</v>
      </c>
      <c r="W60" s="153">
        <f t="shared" si="10"/>
        <v>302401</v>
      </c>
      <c r="X60" s="153">
        <v>10</v>
      </c>
      <c r="Y60" s="153">
        <v>750</v>
      </c>
      <c r="Z60" s="173">
        <v>11</v>
      </c>
      <c r="AB60" s="153" t="s">
        <v>630</v>
      </c>
      <c r="AC60" s="170" t="s">
        <v>803</v>
      </c>
      <c r="AD60" s="22">
        <v>2</v>
      </c>
      <c r="AE60" s="173" t="s">
        <v>582</v>
      </c>
      <c r="AF60" s="153" t="s">
        <v>804</v>
      </c>
      <c r="AG60" s="129"/>
      <c r="AH60" s="60"/>
      <c r="AI60" s="107"/>
      <c r="AJ60" s="107"/>
      <c r="AK60" s="107"/>
    </row>
    <row r="61" ht="41.65" spans="1:37">
      <c r="A61" s="308">
        <f t="shared" si="17"/>
        <v>2402</v>
      </c>
      <c r="B61" s="91" t="s">
        <v>385</v>
      </c>
      <c r="C61" s="179" t="s">
        <v>805</v>
      </c>
      <c r="D61" s="186">
        <v>1</v>
      </c>
      <c r="E61" s="186">
        <f t="shared" si="18"/>
        <v>4000</v>
      </c>
      <c r="F61" s="186">
        <v>4</v>
      </c>
      <c r="G61" s="186">
        <v>2</v>
      </c>
      <c r="H61" s="186">
        <v>2</v>
      </c>
      <c r="I61" s="186">
        <v>1</v>
      </c>
      <c r="J61" s="153">
        <v>30</v>
      </c>
      <c r="K61" s="187">
        <f t="shared" si="19"/>
        <v>2</v>
      </c>
      <c r="L61" s="153" t="s">
        <v>578</v>
      </c>
      <c r="M61" s="309">
        <f ca="1">IF(N61=1,OFFSET(effect!$A$1,MATCH(I61,effect!K:K,0)-1,0),0)</f>
        <v>15</v>
      </c>
      <c r="N61" s="310">
        <v>1</v>
      </c>
      <c r="O61" s="313">
        <v>2</v>
      </c>
      <c r="P61" s="312">
        <f ca="1" t="shared" si="20"/>
        <v>45</v>
      </c>
      <c r="Q61" s="314">
        <f ca="1">OFFSET(effect!$A$1,MATCH(B61,effect!B:B,0)-1,0)</f>
        <v>45</v>
      </c>
      <c r="R61" s="310"/>
      <c r="S61" s="290">
        <v>10</v>
      </c>
      <c r="T61" s="153">
        <v>1</v>
      </c>
      <c r="V61" s="153" t="str">
        <f t="shared" si="9"/>
        <v>302402|10|;400023|750|;</v>
      </c>
      <c r="W61" s="153">
        <f t="shared" si="10"/>
        <v>302402</v>
      </c>
      <c r="X61" s="153">
        <v>10</v>
      </c>
      <c r="Y61" s="153">
        <v>750</v>
      </c>
      <c r="Z61" s="173">
        <v>7</v>
      </c>
      <c r="AB61" s="153" t="s">
        <v>630</v>
      </c>
      <c r="AC61" s="170" t="s">
        <v>806</v>
      </c>
      <c r="AD61" s="22">
        <v>2</v>
      </c>
      <c r="AE61" s="173" t="s">
        <v>582</v>
      </c>
      <c r="AF61" s="153" t="s">
        <v>807</v>
      </c>
      <c r="AG61" s="321"/>
      <c r="AH61" s="322"/>
      <c r="AI61" s="107"/>
      <c r="AJ61" s="107"/>
      <c r="AK61" s="107"/>
    </row>
    <row r="62" spans="1:37">
      <c r="A62" s="308">
        <f t="shared" si="17"/>
        <v>2403</v>
      </c>
      <c r="B62" s="300" t="s">
        <v>808</v>
      </c>
      <c r="C62" s="300" t="s">
        <v>809</v>
      </c>
      <c r="D62" s="186">
        <v>1</v>
      </c>
      <c r="E62" s="186">
        <f t="shared" si="18"/>
        <v>4000</v>
      </c>
      <c r="F62" s="186">
        <v>4</v>
      </c>
      <c r="G62" s="186">
        <v>2</v>
      </c>
      <c r="H62" s="186">
        <v>2</v>
      </c>
      <c r="I62" s="186">
        <v>3</v>
      </c>
      <c r="J62" s="153">
        <v>30</v>
      </c>
      <c r="K62" s="187">
        <f t="shared" si="19"/>
        <v>3</v>
      </c>
      <c r="M62" s="309"/>
      <c r="N62" s="310"/>
      <c r="O62" s="313"/>
      <c r="P62" s="312"/>
      <c r="Q62" s="314"/>
      <c r="R62" s="310"/>
      <c r="S62" s="290"/>
      <c r="V62" s="153" t="str">
        <f t="shared" ref="V62:V93" si="21">W62&amp;$V$1&amp;X62&amp;$V$1&amp;$W$1&amp;$X$1&amp;$V$1&amp;Y62&amp;$V$1&amp;$W$1</f>
        <v>302403|10|;400023|750|;</v>
      </c>
      <c r="W62" s="153">
        <f t="shared" ref="W62:W93" si="22">300000+A62</f>
        <v>302403</v>
      </c>
      <c r="X62" s="153">
        <v>10</v>
      </c>
      <c r="Y62" s="153">
        <v>750</v>
      </c>
      <c r="Z62" s="173"/>
      <c r="AC62" s="170"/>
      <c r="AD62" s="22"/>
      <c r="AE62" s="173"/>
      <c r="AG62" s="321"/>
      <c r="AH62" s="322"/>
      <c r="AI62" s="107"/>
      <c r="AJ62" s="107"/>
      <c r="AK62" s="107"/>
    </row>
    <row r="63" ht="41.65" spans="1:37">
      <c r="A63" s="308">
        <f t="shared" si="17"/>
        <v>2404</v>
      </c>
      <c r="B63" s="91" t="s">
        <v>345</v>
      </c>
      <c r="C63" s="179" t="s">
        <v>810</v>
      </c>
      <c r="D63" s="186">
        <v>1</v>
      </c>
      <c r="E63" s="186">
        <f t="shared" si="18"/>
        <v>4000</v>
      </c>
      <c r="F63" s="186">
        <v>4</v>
      </c>
      <c r="G63" s="186">
        <v>3</v>
      </c>
      <c r="H63" s="186">
        <v>2</v>
      </c>
      <c r="I63" s="186">
        <v>1</v>
      </c>
      <c r="J63" s="153">
        <v>30</v>
      </c>
      <c r="K63" s="187">
        <f t="shared" si="19"/>
        <v>4</v>
      </c>
      <c r="L63" s="153" t="s">
        <v>596</v>
      </c>
      <c r="M63" s="309">
        <f>effect!A28</f>
        <v>24</v>
      </c>
      <c r="N63" s="310">
        <v>1</v>
      </c>
      <c r="O63" s="311">
        <v>2</v>
      </c>
      <c r="P63" s="312">
        <f ca="1" t="shared" si="20"/>
        <v>25</v>
      </c>
      <c r="Q63" s="314">
        <f ca="1">OFFSET(effect!$A$1,MATCH(B63,effect!B:B,0)-1,0)</f>
        <v>25</v>
      </c>
      <c r="R63" s="314"/>
      <c r="S63" s="290">
        <v>10</v>
      </c>
      <c r="T63" s="153">
        <v>1</v>
      </c>
      <c r="V63" s="153" t="str">
        <f t="shared" si="21"/>
        <v>302404|10|;400023|1000|;</v>
      </c>
      <c r="W63" s="153">
        <f t="shared" si="22"/>
        <v>302404</v>
      </c>
      <c r="X63" s="153">
        <v>10</v>
      </c>
      <c r="Y63" s="153">
        <v>1000</v>
      </c>
      <c r="Z63" s="173">
        <v>32</v>
      </c>
      <c r="AB63" s="153" t="s">
        <v>630</v>
      </c>
      <c r="AC63" s="170" t="s">
        <v>811</v>
      </c>
      <c r="AD63" s="22">
        <v>2</v>
      </c>
      <c r="AE63" s="173" t="s">
        <v>582</v>
      </c>
      <c r="AF63" s="153" t="s">
        <v>812</v>
      </c>
      <c r="AG63" s="129"/>
      <c r="AH63" s="60"/>
      <c r="AI63" s="107"/>
      <c r="AJ63" s="107"/>
      <c r="AK63" s="107"/>
    </row>
    <row r="64" ht="41.65" spans="1:37">
      <c r="A64" s="308">
        <f t="shared" si="17"/>
        <v>2405</v>
      </c>
      <c r="B64" s="91" t="s">
        <v>813</v>
      </c>
      <c r="C64" s="179" t="s">
        <v>814</v>
      </c>
      <c r="D64" s="186">
        <v>1</v>
      </c>
      <c r="E64" s="186">
        <f t="shared" si="18"/>
        <v>4000</v>
      </c>
      <c r="F64" s="186">
        <v>4</v>
      </c>
      <c r="G64" s="186">
        <v>4</v>
      </c>
      <c r="H64" s="186">
        <v>2</v>
      </c>
      <c r="I64" s="186">
        <v>1</v>
      </c>
      <c r="J64" s="153">
        <v>30</v>
      </c>
      <c r="K64" s="187">
        <f t="shared" si="19"/>
        <v>5</v>
      </c>
      <c r="L64" s="153" t="s">
        <v>602</v>
      </c>
      <c r="M64" s="297">
        <f ca="1">IF(N64=1,OFFSET(effect!$A$1,MATCH(I64,effect!K:K,0)-1,0),0)</f>
        <v>15</v>
      </c>
      <c r="N64" s="153">
        <v>1</v>
      </c>
      <c r="O64" s="313">
        <v>2</v>
      </c>
      <c r="P64" s="170">
        <v>13</v>
      </c>
      <c r="Q64" s="314" t="e">
        <f ca="1">OFFSET(effect!$A$1,MATCH(B64,effect!B:B,0)-1,0)</f>
        <v>#N/A</v>
      </c>
      <c r="R64" s="316"/>
      <c r="S64" s="290">
        <v>10</v>
      </c>
      <c r="T64" s="153">
        <v>1</v>
      </c>
      <c r="V64" s="153" t="str">
        <f t="shared" si="21"/>
        <v>302405|10|;400023|1500|;</v>
      </c>
      <c r="W64" s="153">
        <f t="shared" si="22"/>
        <v>302405</v>
      </c>
      <c r="X64" s="153">
        <v>10</v>
      </c>
      <c r="Y64" s="153">
        <v>1500</v>
      </c>
      <c r="Z64" s="173">
        <v>30</v>
      </c>
      <c r="AB64" s="153" t="s">
        <v>630</v>
      </c>
      <c r="AC64" s="170" t="s">
        <v>815</v>
      </c>
      <c r="AD64" s="22">
        <v>2</v>
      </c>
      <c r="AE64" s="173" t="s">
        <v>582</v>
      </c>
      <c r="AF64" s="153" t="s">
        <v>816</v>
      </c>
      <c r="AG64" s="129"/>
      <c r="AH64" s="60"/>
      <c r="AI64" s="107"/>
      <c r="AJ64" s="107"/>
      <c r="AK64" s="107"/>
    </row>
    <row r="65" ht="55.5" spans="1:37">
      <c r="A65" s="165">
        <v>2025</v>
      </c>
      <c r="B65" s="91" t="s">
        <v>817</v>
      </c>
      <c r="C65" s="179" t="s">
        <v>818</v>
      </c>
      <c r="D65" s="186">
        <v>0</v>
      </c>
      <c r="E65" s="186">
        <f t="shared" si="18"/>
        <v>5000</v>
      </c>
      <c r="F65" s="186">
        <v>5</v>
      </c>
      <c r="G65" s="186">
        <v>2</v>
      </c>
      <c r="H65" s="186">
        <v>2</v>
      </c>
      <c r="I65" s="186">
        <v>1</v>
      </c>
      <c r="J65" s="153">
        <v>30</v>
      </c>
      <c r="K65" s="187">
        <f>IF(H65=H61,K61+1,1)</f>
        <v>3</v>
      </c>
      <c r="L65" s="153" t="s">
        <v>578</v>
      </c>
      <c r="M65" s="297">
        <f ca="1">IF(N65=1,OFFSET(effect!$A$1,MATCH(I65,effect!K:K,0)-1,0),0)</f>
        <v>15</v>
      </c>
      <c r="N65" s="153">
        <v>1</v>
      </c>
      <c r="O65" s="313">
        <v>2</v>
      </c>
      <c r="P65" s="170">
        <v>13</v>
      </c>
      <c r="Q65" s="314" t="e">
        <f ca="1">OFFSET(effect!$A$1,MATCH(B65,effect!B:B,0)-1,0)</f>
        <v>#N/A</v>
      </c>
      <c r="R65" s="173"/>
      <c r="S65" s="290">
        <v>10</v>
      </c>
      <c r="T65" s="153">
        <v>1</v>
      </c>
      <c r="V65" s="153" t="str">
        <f t="shared" si="21"/>
        <v>302025|10|;400023|750|;</v>
      </c>
      <c r="W65" s="153">
        <f t="shared" si="22"/>
        <v>302025</v>
      </c>
      <c r="X65" s="153">
        <v>10</v>
      </c>
      <c r="Y65" s="153">
        <v>750</v>
      </c>
      <c r="Z65" s="173">
        <v>7</v>
      </c>
      <c r="AB65" s="153" t="s">
        <v>630</v>
      </c>
      <c r="AC65" s="170" t="s">
        <v>819</v>
      </c>
      <c r="AD65" s="22">
        <v>2</v>
      </c>
      <c r="AE65" s="173" t="s">
        <v>582</v>
      </c>
      <c r="AF65" s="153" t="s">
        <v>820</v>
      </c>
      <c r="AG65" s="129"/>
      <c r="AH65" s="60"/>
      <c r="AI65" s="107"/>
      <c r="AJ65" s="107"/>
      <c r="AK65" s="107"/>
    </row>
    <row r="66" ht="41.65" spans="1:37">
      <c r="A66" s="165">
        <v>2026</v>
      </c>
      <c r="B66" s="91" t="s">
        <v>821</v>
      </c>
      <c r="C66" s="179" t="s">
        <v>822</v>
      </c>
      <c r="D66" s="186">
        <v>0</v>
      </c>
      <c r="E66" s="186">
        <f t="shared" si="18"/>
        <v>5000</v>
      </c>
      <c r="F66" s="186">
        <v>5</v>
      </c>
      <c r="G66" s="186">
        <v>3</v>
      </c>
      <c r="H66" s="186">
        <v>2</v>
      </c>
      <c r="I66" s="186">
        <v>1</v>
      </c>
      <c r="J66" s="153">
        <v>30</v>
      </c>
      <c r="K66" s="187">
        <f t="shared" ref="K66:K87" si="23">IF(H66=H65,K65+1,1)</f>
        <v>4</v>
      </c>
      <c r="L66" s="153" t="s">
        <v>602</v>
      </c>
      <c r="M66" s="297">
        <f ca="1">IF(N66=1,OFFSET(effect!$A$1,MATCH(I66,effect!K:K,0)-1,0),0)</f>
        <v>15</v>
      </c>
      <c r="N66" s="153">
        <v>1</v>
      </c>
      <c r="O66" s="313">
        <v>2</v>
      </c>
      <c r="P66" s="170">
        <v>13</v>
      </c>
      <c r="Q66" s="314" t="e">
        <f ca="1">OFFSET(effect!$A$1,MATCH(B66,effect!B:B,0)-1,0)</f>
        <v>#N/A</v>
      </c>
      <c r="R66" s="173"/>
      <c r="S66" s="290">
        <v>10</v>
      </c>
      <c r="T66" s="153">
        <v>1</v>
      </c>
      <c r="V66" s="153" t="str">
        <f t="shared" si="21"/>
        <v>302026|10|;400023|1000|;</v>
      </c>
      <c r="W66" s="153">
        <f t="shared" si="22"/>
        <v>302026</v>
      </c>
      <c r="X66" s="153">
        <v>10</v>
      </c>
      <c r="Y66" s="153">
        <v>1000</v>
      </c>
      <c r="Z66" s="173">
        <v>7</v>
      </c>
      <c r="AB66" s="153" t="s">
        <v>630</v>
      </c>
      <c r="AC66" s="170" t="s">
        <v>823</v>
      </c>
      <c r="AD66" s="22">
        <v>2</v>
      </c>
      <c r="AE66" s="173" t="s">
        <v>582</v>
      </c>
      <c r="AF66" s="153" t="s">
        <v>824</v>
      </c>
      <c r="AG66" s="129"/>
      <c r="AH66" s="60"/>
      <c r="AI66" s="107"/>
      <c r="AJ66" s="107"/>
      <c r="AK66" s="107"/>
    </row>
    <row r="67" ht="41.65" spans="1:37">
      <c r="A67" s="165">
        <v>2027</v>
      </c>
      <c r="B67" s="91" t="s">
        <v>355</v>
      </c>
      <c r="C67" s="179" t="s">
        <v>825</v>
      </c>
      <c r="D67" s="186">
        <v>0</v>
      </c>
      <c r="E67" s="186">
        <f t="shared" si="18"/>
        <v>6000</v>
      </c>
      <c r="F67" s="186">
        <v>6</v>
      </c>
      <c r="G67" s="186">
        <v>2</v>
      </c>
      <c r="H67" s="186">
        <v>2</v>
      </c>
      <c r="I67" s="186">
        <v>1</v>
      </c>
      <c r="J67" s="153">
        <v>30</v>
      </c>
      <c r="K67" s="187">
        <f t="shared" si="23"/>
        <v>5</v>
      </c>
      <c r="L67" s="153" t="s">
        <v>602</v>
      </c>
      <c r="M67" s="297"/>
      <c r="N67" s="153">
        <v>1</v>
      </c>
      <c r="O67" s="313">
        <v>2</v>
      </c>
      <c r="P67" s="312">
        <f ca="1" t="shared" ref="P67:P73" si="24">Q67</f>
        <v>30</v>
      </c>
      <c r="Q67" s="314">
        <f ca="1">OFFSET(effect!$A$1,MATCH(B67,effect!B:B,0)-1,0)</f>
        <v>30</v>
      </c>
      <c r="R67" s="173"/>
      <c r="S67" s="290">
        <v>10</v>
      </c>
      <c r="T67" s="153">
        <v>1</v>
      </c>
      <c r="V67" s="153" t="str">
        <f t="shared" si="21"/>
        <v>302027|10|;400023|750|;</v>
      </c>
      <c r="W67" s="153">
        <f t="shared" si="22"/>
        <v>302027</v>
      </c>
      <c r="X67" s="153">
        <v>10</v>
      </c>
      <c r="Y67" s="153">
        <v>750</v>
      </c>
      <c r="Z67" s="173">
        <v>7</v>
      </c>
      <c r="AB67" s="153" t="s">
        <v>630</v>
      </c>
      <c r="AC67" s="170" t="s">
        <v>826</v>
      </c>
      <c r="AD67" s="22">
        <v>2</v>
      </c>
      <c r="AE67" s="173" t="s">
        <v>582</v>
      </c>
      <c r="AF67" s="153" t="s">
        <v>827</v>
      </c>
      <c r="AG67" s="321"/>
      <c r="AH67" s="322"/>
      <c r="AI67" s="107"/>
      <c r="AJ67" s="107"/>
      <c r="AK67" s="107"/>
    </row>
    <row r="68" ht="41.65" spans="1:37">
      <c r="A68" s="165">
        <v>2028</v>
      </c>
      <c r="B68" s="91" t="s">
        <v>828</v>
      </c>
      <c r="C68" s="179" t="s">
        <v>829</v>
      </c>
      <c r="D68" s="186">
        <v>0</v>
      </c>
      <c r="E68" s="186">
        <v>6000</v>
      </c>
      <c r="F68" s="186">
        <v>6</v>
      </c>
      <c r="G68" s="186">
        <v>4</v>
      </c>
      <c r="H68" s="186">
        <v>2</v>
      </c>
      <c r="I68" s="186">
        <v>1</v>
      </c>
      <c r="J68" s="153">
        <v>30</v>
      </c>
      <c r="K68" s="187">
        <f t="shared" si="23"/>
        <v>6</v>
      </c>
      <c r="L68" s="153" t="s">
        <v>596</v>
      </c>
      <c r="M68" s="297">
        <f ca="1">IF(N68=1,OFFSET(effect!$A$1,MATCH(I68,effect!K:K,0)-1,0),0)</f>
        <v>15</v>
      </c>
      <c r="N68" s="153">
        <v>1</v>
      </c>
      <c r="O68" s="313">
        <v>2</v>
      </c>
      <c r="P68" s="170">
        <v>13</v>
      </c>
      <c r="Q68" s="314" t="e">
        <f ca="1">OFFSET(effect!$A$1,MATCH(B68,effect!B:B,0)-1,0)</f>
        <v>#N/A</v>
      </c>
      <c r="R68" s="173"/>
      <c r="S68" s="290">
        <v>10</v>
      </c>
      <c r="T68" s="153">
        <v>1</v>
      </c>
      <c r="V68" s="153" t="str">
        <f t="shared" si="21"/>
        <v>302028|10|;400023|1500|;</v>
      </c>
      <c r="W68" s="153">
        <f t="shared" si="22"/>
        <v>302028</v>
      </c>
      <c r="X68" s="153">
        <v>10</v>
      </c>
      <c r="Y68" s="153">
        <v>1500</v>
      </c>
      <c r="Z68" s="173">
        <v>7</v>
      </c>
      <c r="AB68" s="153" t="s">
        <v>630</v>
      </c>
      <c r="AC68" s="170" t="s">
        <v>830</v>
      </c>
      <c r="AD68" s="22">
        <v>2</v>
      </c>
      <c r="AE68" s="173" t="s">
        <v>582</v>
      </c>
      <c r="AF68" s="153" t="s">
        <v>831</v>
      </c>
      <c r="AG68" s="321"/>
      <c r="AH68" s="322"/>
      <c r="AI68" s="107"/>
      <c r="AJ68" s="107"/>
      <c r="AK68" s="107"/>
    </row>
    <row r="69" ht="30" spans="1:37">
      <c r="A69" s="165">
        <v>2029</v>
      </c>
      <c r="B69" s="91" t="s">
        <v>832</v>
      </c>
      <c r="C69" s="179" t="s">
        <v>833</v>
      </c>
      <c r="D69" s="186">
        <v>0</v>
      </c>
      <c r="E69" s="186">
        <v>6000</v>
      </c>
      <c r="F69" s="186">
        <v>6</v>
      </c>
      <c r="G69" s="186">
        <v>3</v>
      </c>
      <c r="H69" s="186">
        <v>2</v>
      </c>
      <c r="I69" s="186">
        <v>1</v>
      </c>
      <c r="J69" s="153">
        <v>30</v>
      </c>
      <c r="K69" s="187">
        <f t="shared" si="23"/>
        <v>7</v>
      </c>
      <c r="L69" s="153" t="s">
        <v>602</v>
      </c>
      <c r="M69" s="297">
        <f ca="1">IF(N69=1,OFFSET(effect!$A$1,MATCH(I69,effect!K:K,0)-1,0),0)</f>
        <v>0</v>
      </c>
      <c r="N69" s="153">
        <v>0</v>
      </c>
      <c r="O69" s="313">
        <v>2</v>
      </c>
      <c r="P69" s="170">
        <v>13</v>
      </c>
      <c r="Q69" s="314" t="e">
        <f ca="1">OFFSET(effect!$A$1,MATCH(B69,effect!B:B,0)-1,0)</f>
        <v>#N/A</v>
      </c>
      <c r="R69" s="173"/>
      <c r="S69" s="290">
        <v>10</v>
      </c>
      <c r="T69" s="153">
        <v>1</v>
      </c>
      <c r="V69" s="153" t="str">
        <f t="shared" si="21"/>
        <v>302029|10|;400023|1000|;</v>
      </c>
      <c r="W69" s="153">
        <f t="shared" si="22"/>
        <v>302029</v>
      </c>
      <c r="X69" s="153">
        <v>10</v>
      </c>
      <c r="Y69" s="153">
        <v>1000</v>
      </c>
      <c r="Z69" s="173">
        <v>7</v>
      </c>
      <c r="AB69" s="153" t="s">
        <v>630</v>
      </c>
      <c r="AC69" s="170" t="s">
        <v>834</v>
      </c>
      <c r="AD69" s="22">
        <v>2</v>
      </c>
      <c r="AE69" s="173" t="s">
        <v>582</v>
      </c>
      <c r="AF69" s="153" t="s">
        <v>835</v>
      </c>
      <c r="AG69" s="321"/>
      <c r="AH69" s="322"/>
      <c r="AI69" s="107"/>
      <c r="AJ69" s="107"/>
      <c r="AK69" s="107"/>
    </row>
    <row r="70" ht="41.65" spans="1:37">
      <c r="A70" s="165">
        <v>2030</v>
      </c>
      <c r="B70" s="91" t="s">
        <v>836</v>
      </c>
      <c r="C70" s="179" t="s">
        <v>837</v>
      </c>
      <c r="D70" s="186">
        <v>0</v>
      </c>
      <c r="E70" s="186">
        <v>6000</v>
      </c>
      <c r="F70" s="186">
        <v>6</v>
      </c>
      <c r="G70" s="186">
        <v>4</v>
      </c>
      <c r="H70" s="186">
        <v>2</v>
      </c>
      <c r="I70" s="186">
        <v>1</v>
      </c>
      <c r="J70" s="153">
        <v>30</v>
      </c>
      <c r="K70" s="187">
        <f t="shared" si="23"/>
        <v>8</v>
      </c>
      <c r="L70" s="153" t="s">
        <v>578</v>
      </c>
      <c r="M70" s="297">
        <v>51</v>
      </c>
      <c r="N70" s="153">
        <v>1</v>
      </c>
      <c r="O70" s="313">
        <v>2</v>
      </c>
      <c r="P70" s="170" t="e">
        <f ca="1" t="shared" si="24"/>
        <v>#N/A</v>
      </c>
      <c r="Q70" s="314" t="e">
        <f ca="1">OFFSET(effect!$A$1,MATCH(B70,effect!B:B,0)-1,0)</f>
        <v>#N/A</v>
      </c>
      <c r="R70" s="316"/>
      <c r="S70" s="290">
        <v>10</v>
      </c>
      <c r="T70" s="153">
        <v>1</v>
      </c>
      <c r="V70" s="153" t="str">
        <f t="shared" si="21"/>
        <v>302030|10|;400023|1500|;</v>
      </c>
      <c r="W70" s="153">
        <f t="shared" si="22"/>
        <v>302030</v>
      </c>
      <c r="X70" s="153">
        <v>10</v>
      </c>
      <c r="Y70" s="153">
        <v>1500</v>
      </c>
      <c r="Z70" s="173">
        <v>9</v>
      </c>
      <c r="AB70" s="153" t="s">
        <v>674</v>
      </c>
      <c r="AC70" s="170" t="s">
        <v>838</v>
      </c>
      <c r="AD70" s="22">
        <v>2</v>
      </c>
      <c r="AE70" s="173" t="s">
        <v>582</v>
      </c>
      <c r="AF70" s="153" t="s">
        <v>839</v>
      </c>
      <c r="AG70" s="321"/>
      <c r="AH70" s="322"/>
      <c r="AI70" s="107"/>
      <c r="AJ70" s="107"/>
      <c r="AK70" s="107"/>
    </row>
    <row r="71" ht="30" spans="1:37">
      <c r="A71" s="307">
        <v>3001</v>
      </c>
      <c r="B71" s="153" t="s">
        <v>490</v>
      </c>
      <c r="C71" s="298" t="s">
        <v>840</v>
      </c>
      <c r="D71" s="186">
        <v>1</v>
      </c>
      <c r="E71" s="186">
        <v>1000</v>
      </c>
      <c r="F71" s="186">
        <v>1</v>
      </c>
      <c r="G71" s="186">
        <v>1</v>
      </c>
      <c r="H71" s="186">
        <v>3</v>
      </c>
      <c r="I71" s="186">
        <v>3</v>
      </c>
      <c r="J71" s="153">
        <v>30</v>
      </c>
      <c r="K71" s="187">
        <f t="shared" si="23"/>
        <v>1</v>
      </c>
      <c r="L71" s="153" t="s">
        <v>602</v>
      </c>
      <c r="M71" s="309">
        <f ca="1">P71+1</f>
        <v>102</v>
      </c>
      <c r="N71" s="310">
        <v>1</v>
      </c>
      <c r="O71" s="311">
        <v>2</v>
      </c>
      <c r="P71" s="312">
        <f ca="1" t="shared" si="24"/>
        <v>101</v>
      </c>
      <c r="Q71" s="314">
        <f ca="1">OFFSET(effect!$A$1,MATCH(B71,effect!B:B,0)-1,0)</f>
        <v>101</v>
      </c>
      <c r="R71" s="314"/>
      <c r="S71" s="290">
        <v>10</v>
      </c>
      <c r="T71" s="153">
        <v>1</v>
      </c>
      <c r="U71" s="153">
        <v>1</v>
      </c>
      <c r="V71" s="153" t="str">
        <f t="shared" si="21"/>
        <v>303001|10|;400023|500|;</v>
      </c>
      <c r="W71" s="153">
        <f t="shared" si="22"/>
        <v>303001</v>
      </c>
      <c r="X71" s="153">
        <v>10</v>
      </c>
      <c r="Y71" s="153">
        <v>500</v>
      </c>
      <c r="Z71" s="173">
        <v>20</v>
      </c>
      <c r="AA71" s="153" t="s">
        <v>841</v>
      </c>
      <c r="AB71" s="153" t="s">
        <v>580</v>
      </c>
      <c r="AC71" s="170" t="s">
        <v>842</v>
      </c>
      <c r="AD71" s="22">
        <v>2</v>
      </c>
      <c r="AE71" s="173" t="s">
        <v>582</v>
      </c>
      <c r="AF71" s="153" t="s">
        <v>843</v>
      </c>
      <c r="AG71" s="321"/>
      <c r="AH71" s="322"/>
      <c r="AI71" s="107"/>
      <c r="AJ71" s="107"/>
      <c r="AK71" s="107"/>
    </row>
    <row r="72" ht="30" spans="1:37">
      <c r="A72" s="307">
        <v>3002</v>
      </c>
      <c r="B72" s="91" t="s">
        <v>494</v>
      </c>
      <c r="C72" s="298" t="s">
        <v>840</v>
      </c>
      <c r="D72" s="186">
        <v>1</v>
      </c>
      <c r="E72" s="186">
        <v>1000</v>
      </c>
      <c r="F72" s="186">
        <v>1</v>
      </c>
      <c r="G72" s="186">
        <v>1</v>
      </c>
      <c r="H72" s="186">
        <v>3</v>
      </c>
      <c r="I72" s="186">
        <v>5</v>
      </c>
      <c r="J72" s="153">
        <v>30</v>
      </c>
      <c r="K72" s="187">
        <f t="shared" si="23"/>
        <v>2</v>
      </c>
      <c r="L72" s="153" t="s">
        <v>602</v>
      </c>
      <c r="M72" s="309"/>
      <c r="N72" s="310">
        <v>1</v>
      </c>
      <c r="O72" s="311">
        <v>2</v>
      </c>
      <c r="P72" s="314">
        <f ca="1" t="shared" si="24"/>
        <v>103</v>
      </c>
      <c r="Q72" s="314">
        <f ca="1">OFFSET(effect!$A$1,MATCH(B72,effect!B:B,0)-1,0)</f>
        <v>103</v>
      </c>
      <c r="R72" s="310"/>
      <c r="S72" s="290">
        <v>10</v>
      </c>
      <c r="T72" s="153">
        <v>1</v>
      </c>
      <c r="U72" s="153">
        <v>1</v>
      </c>
      <c r="V72" s="153" t="str">
        <f t="shared" si="21"/>
        <v>303002|10|;400023|500|;</v>
      </c>
      <c r="W72" s="153">
        <f t="shared" si="22"/>
        <v>303002</v>
      </c>
      <c r="X72" s="153">
        <v>10</v>
      </c>
      <c r="Y72" s="153">
        <v>500</v>
      </c>
      <c r="Z72" s="173">
        <v>20</v>
      </c>
      <c r="AA72" s="153" t="s">
        <v>844</v>
      </c>
      <c r="AB72" s="153" t="s">
        <v>580</v>
      </c>
      <c r="AC72" s="170" t="s">
        <v>845</v>
      </c>
      <c r="AD72" s="22">
        <v>2</v>
      </c>
      <c r="AE72" s="173" t="s">
        <v>582</v>
      </c>
      <c r="AF72" s="153" t="s">
        <v>846</v>
      </c>
      <c r="AG72" s="321"/>
      <c r="AH72" s="322"/>
      <c r="AI72" s="107"/>
      <c r="AJ72" s="107"/>
      <c r="AK72" s="107"/>
    </row>
    <row r="73" ht="55.5" spans="1:37">
      <c r="A73" s="307">
        <v>3003</v>
      </c>
      <c r="B73" s="91" t="s">
        <v>524</v>
      </c>
      <c r="C73" s="298" t="s">
        <v>847</v>
      </c>
      <c r="D73" s="186">
        <v>1</v>
      </c>
      <c r="E73" s="186">
        <v>1000</v>
      </c>
      <c r="F73" s="186">
        <v>1</v>
      </c>
      <c r="G73" s="186">
        <v>2</v>
      </c>
      <c r="H73" s="186">
        <v>3</v>
      </c>
      <c r="I73" s="186">
        <v>6</v>
      </c>
      <c r="J73" s="153">
        <v>30</v>
      </c>
      <c r="K73" s="187">
        <f t="shared" si="23"/>
        <v>3</v>
      </c>
      <c r="L73" s="153" t="s">
        <v>602</v>
      </c>
      <c r="M73" s="309">
        <f ca="1">IF(N73=1,OFFSET(effect!$A$1,MATCH(I73,effect!K:K,0)-1,0),0)</f>
        <v>13</v>
      </c>
      <c r="N73" s="310">
        <v>1</v>
      </c>
      <c r="O73" s="311">
        <v>2</v>
      </c>
      <c r="P73" s="312">
        <f ca="1" t="shared" si="24"/>
        <v>118</v>
      </c>
      <c r="Q73" s="314">
        <f ca="1">OFFSET(effect!$A$1,MATCH(B73,effect!B:B,0)-1,0)</f>
        <v>118</v>
      </c>
      <c r="R73" s="314"/>
      <c r="S73" s="290">
        <v>10</v>
      </c>
      <c r="T73" s="153">
        <v>1</v>
      </c>
      <c r="U73" s="153">
        <v>1</v>
      </c>
      <c r="V73" s="153" t="str">
        <f t="shared" si="21"/>
        <v>303003|10|;400023|750|;</v>
      </c>
      <c r="W73" s="153">
        <f t="shared" si="22"/>
        <v>303003</v>
      </c>
      <c r="X73" s="153">
        <v>10</v>
      </c>
      <c r="Y73" s="153">
        <v>750</v>
      </c>
      <c r="Z73" s="173">
        <v>20</v>
      </c>
      <c r="AA73" s="153" t="s">
        <v>848</v>
      </c>
      <c r="AB73" s="153" t="s">
        <v>580</v>
      </c>
      <c r="AC73" s="170" t="s">
        <v>849</v>
      </c>
      <c r="AD73" s="22">
        <v>2</v>
      </c>
      <c r="AE73" s="173" t="s">
        <v>582</v>
      </c>
      <c r="AF73" s="153" t="s">
        <v>850</v>
      </c>
      <c r="AG73" s="321"/>
      <c r="AH73" s="322"/>
      <c r="AI73" s="107"/>
      <c r="AJ73" s="107"/>
      <c r="AK73" s="107"/>
    </row>
    <row r="74" ht="27.75" spans="1:37">
      <c r="A74" s="307">
        <v>3004</v>
      </c>
      <c r="B74" s="91" t="s">
        <v>851</v>
      </c>
      <c r="C74" s="298" t="s">
        <v>852</v>
      </c>
      <c r="D74" s="186">
        <v>1</v>
      </c>
      <c r="E74" s="186">
        <v>1000</v>
      </c>
      <c r="F74" s="186">
        <v>1</v>
      </c>
      <c r="G74" s="186">
        <v>1</v>
      </c>
      <c r="H74" s="186">
        <v>3</v>
      </c>
      <c r="I74" s="186">
        <v>4</v>
      </c>
      <c r="J74" s="153">
        <v>30</v>
      </c>
      <c r="K74" s="187">
        <f t="shared" si="23"/>
        <v>4</v>
      </c>
      <c r="L74" s="153" t="s">
        <v>602</v>
      </c>
      <c r="M74" s="309">
        <f ca="1">IF(N74=1,OFFSET(effect!$A$1,MATCH(I74,effect!K:K,0)-1,0),0)</f>
        <v>14</v>
      </c>
      <c r="N74" s="310">
        <v>1</v>
      </c>
      <c r="O74" s="311">
        <v>2</v>
      </c>
      <c r="P74" s="312">
        <f>effect!A52</f>
        <v>48</v>
      </c>
      <c r="Q74" s="314" t="e">
        <f ca="1">OFFSET(effect!$A$1,MATCH(B74,effect!B:B,0)-1,0)</f>
        <v>#N/A</v>
      </c>
      <c r="R74" s="314"/>
      <c r="S74" s="290">
        <v>10</v>
      </c>
      <c r="T74" s="153">
        <v>1</v>
      </c>
      <c r="U74" s="153">
        <v>1</v>
      </c>
      <c r="V74" s="153" t="str">
        <f t="shared" si="21"/>
        <v>303004|10|;400023|500|;</v>
      </c>
      <c r="W74" s="153">
        <f t="shared" si="22"/>
        <v>303004</v>
      </c>
      <c r="X74" s="153">
        <v>10</v>
      </c>
      <c r="Y74" s="153">
        <v>500</v>
      </c>
      <c r="Z74" s="320">
        <v>10</v>
      </c>
      <c r="AA74" s="153" t="s">
        <v>853</v>
      </c>
      <c r="AB74" s="153" t="s">
        <v>580</v>
      </c>
      <c r="AC74" s="170" t="s">
        <v>854</v>
      </c>
      <c r="AD74" s="22">
        <v>2</v>
      </c>
      <c r="AE74" s="173" t="s">
        <v>582</v>
      </c>
      <c r="AF74" s="153" t="s">
        <v>855</v>
      </c>
      <c r="AG74" s="321"/>
      <c r="AH74" s="322"/>
      <c r="AI74" s="107"/>
      <c r="AJ74" s="107"/>
      <c r="AK74" s="107"/>
    </row>
    <row r="75" ht="30" spans="1:37">
      <c r="A75" s="307">
        <v>3005</v>
      </c>
      <c r="B75" s="91" t="s">
        <v>419</v>
      </c>
      <c r="C75" s="179" t="s">
        <v>856</v>
      </c>
      <c r="D75" s="186">
        <v>1</v>
      </c>
      <c r="E75" s="186">
        <v>2000</v>
      </c>
      <c r="F75" s="186">
        <v>2</v>
      </c>
      <c r="G75" s="186">
        <v>2</v>
      </c>
      <c r="H75" s="186">
        <v>3</v>
      </c>
      <c r="I75" s="186">
        <v>4</v>
      </c>
      <c r="J75" s="153">
        <v>30</v>
      </c>
      <c r="K75" s="187">
        <f t="shared" si="23"/>
        <v>5</v>
      </c>
      <c r="L75" s="153" t="s">
        <v>578</v>
      </c>
      <c r="M75" s="309">
        <f ca="1">IF(N75=1,OFFSET(effect!$A$1,MATCH(I75,effect!K:K,0)-1,0),0)</f>
        <v>14</v>
      </c>
      <c r="N75" s="310">
        <v>1</v>
      </c>
      <c r="O75" s="311">
        <v>2</v>
      </c>
      <c r="P75" s="312">
        <f ca="1" t="shared" ref="P75:P80" si="25">Q75</f>
        <v>63</v>
      </c>
      <c r="Q75" s="314">
        <f ca="1">OFFSET(effect!$A$1,MATCH(B75,effect!B:B,0)-1,0)</f>
        <v>63</v>
      </c>
      <c r="R75" s="314"/>
      <c r="S75" s="290">
        <v>10</v>
      </c>
      <c r="T75" s="153">
        <v>1</v>
      </c>
      <c r="U75" s="153">
        <v>1</v>
      </c>
      <c r="V75" s="153" t="str">
        <f t="shared" si="21"/>
        <v>303005|10|;400023|750|;</v>
      </c>
      <c r="W75" s="153">
        <f t="shared" si="22"/>
        <v>303005</v>
      </c>
      <c r="X75" s="153">
        <v>10</v>
      </c>
      <c r="Y75" s="153">
        <v>750</v>
      </c>
      <c r="Z75" s="320">
        <v>10</v>
      </c>
      <c r="AA75" s="153" t="s">
        <v>857</v>
      </c>
      <c r="AB75" s="153" t="s">
        <v>630</v>
      </c>
      <c r="AC75" s="170" t="s">
        <v>858</v>
      </c>
      <c r="AD75" s="22">
        <v>2</v>
      </c>
      <c r="AE75" s="173" t="s">
        <v>582</v>
      </c>
      <c r="AF75" s="153" t="s">
        <v>859</v>
      </c>
      <c r="AG75" s="321"/>
      <c r="AH75" s="322"/>
      <c r="AI75" s="107"/>
      <c r="AJ75" s="107"/>
      <c r="AK75" s="107"/>
    </row>
    <row r="76" ht="27.75" spans="1:37">
      <c r="A76" s="165">
        <v>3006</v>
      </c>
      <c r="B76" s="91" t="s">
        <v>860</v>
      </c>
      <c r="C76" s="179" t="s">
        <v>861</v>
      </c>
      <c r="D76" s="186">
        <v>0</v>
      </c>
      <c r="E76" s="186">
        <v>6000</v>
      </c>
      <c r="F76" s="186">
        <v>6</v>
      </c>
      <c r="G76" s="186">
        <v>3</v>
      </c>
      <c r="H76" s="186">
        <v>3</v>
      </c>
      <c r="I76" s="186">
        <v>4</v>
      </c>
      <c r="J76" s="153">
        <v>30</v>
      </c>
      <c r="K76" s="187">
        <f t="shared" si="23"/>
        <v>6</v>
      </c>
      <c r="L76" s="153" t="s">
        <v>578</v>
      </c>
      <c r="M76" s="309">
        <f ca="1">IF(N76=1,OFFSET(effect!$A$1,MATCH(I76,effect!K:K,0)-1,0),0)</f>
        <v>14</v>
      </c>
      <c r="N76" s="310">
        <v>1</v>
      </c>
      <c r="O76" s="311">
        <v>2</v>
      </c>
      <c r="P76" s="312">
        <f>effect!A8</f>
        <v>3</v>
      </c>
      <c r="Q76" s="314" t="e">
        <f ca="1">OFFSET(effect!$A$1,MATCH(B76,effect!B:B,0)-1,0)</f>
        <v>#N/A</v>
      </c>
      <c r="R76" s="314"/>
      <c r="S76" s="290">
        <v>10</v>
      </c>
      <c r="T76" s="153">
        <v>1</v>
      </c>
      <c r="V76" s="153" t="str">
        <f t="shared" si="21"/>
        <v>303006|10|;400023|1000|;</v>
      </c>
      <c r="W76" s="153">
        <f t="shared" si="22"/>
        <v>303006</v>
      </c>
      <c r="X76" s="153">
        <v>10</v>
      </c>
      <c r="Y76" s="153">
        <v>1000</v>
      </c>
      <c r="Z76" s="173">
        <v>21</v>
      </c>
      <c r="AB76" s="153" t="s">
        <v>630</v>
      </c>
      <c r="AC76" s="170" t="s">
        <v>862</v>
      </c>
      <c r="AD76" s="22">
        <v>2</v>
      </c>
      <c r="AE76" s="173" t="s">
        <v>582</v>
      </c>
      <c r="AF76" s="153" t="s">
        <v>863</v>
      </c>
      <c r="AG76" s="321"/>
      <c r="AH76" s="322"/>
      <c r="AI76" s="107"/>
      <c r="AJ76" s="107"/>
      <c r="AK76" s="107"/>
    </row>
    <row r="77" spans="1:37">
      <c r="A77" s="307">
        <v>3007</v>
      </c>
      <c r="B77" s="91" t="s">
        <v>488</v>
      </c>
      <c r="C77" s="179" t="s">
        <v>864</v>
      </c>
      <c r="D77" s="186">
        <v>1</v>
      </c>
      <c r="E77" s="186">
        <v>2000</v>
      </c>
      <c r="F77" s="186">
        <v>3</v>
      </c>
      <c r="G77" s="186">
        <v>1</v>
      </c>
      <c r="H77" s="186">
        <v>3</v>
      </c>
      <c r="I77" s="186">
        <v>4</v>
      </c>
      <c r="J77" s="153">
        <v>30</v>
      </c>
      <c r="K77" s="187">
        <f t="shared" si="23"/>
        <v>7</v>
      </c>
      <c r="L77" s="153" t="s">
        <v>602</v>
      </c>
      <c r="M77" s="309">
        <f ca="1">IF(N77=1,OFFSET(effect!$A$1,MATCH(I77,effect!K:K,0)-1,0),0)</f>
        <v>0</v>
      </c>
      <c r="N77" s="310">
        <v>0</v>
      </c>
      <c r="O77" s="311">
        <v>1</v>
      </c>
      <c r="P77" s="312">
        <f ca="1" t="shared" si="25"/>
        <v>100</v>
      </c>
      <c r="Q77" s="314">
        <f ca="1">OFFSET(effect!$A$1,MATCH(B77,effect!B:B,0)-1,0)</f>
        <v>100</v>
      </c>
      <c r="R77" s="314"/>
      <c r="S77" s="290">
        <v>10</v>
      </c>
      <c r="T77" s="153">
        <v>1</v>
      </c>
      <c r="U77" s="153">
        <v>1</v>
      </c>
      <c r="V77" s="153" t="str">
        <f t="shared" si="21"/>
        <v>303007|10|;400023|500|;</v>
      </c>
      <c r="W77" s="153">
        <f t="shared" si="22"/>
        <v>303007</v>
      </c>
      <c r="X77" s="153">
        <v>10</v>
      </c>
      <c r="Y77" s="153">
        <v>500</v>
      </c>
      <c r="Z77" s="320">
        <v>10</v>
      </c>
      <c r="AA77" s="153" t="s">
        <v>865</v>
      </c>
      <c r="AB77" s="153" t="s">
        <v>649</v>
      </c>
      <c r="AC77" s="170" t="s">
        <v>866</v>
      </c>
      <c r="AD77" s="22">
        <v>2</v>
      </c>
      <c r="AE77" s="173" t="s">
        <v>582</v>
      </c>
      <c r="AF77" s="153" t="s">
        <v>867</v>
      </c>
      <c r="AG77" s="321"/>
      <c r="AH77" s="322"/>
      <c r="AI77" s="107"/>
      <c r="AJ77" s="107"/>
      <c r="AK77" s="107"/>
    </row>
    <row r="78" ht="41.65" spans="1:37">
      <c r="A78" s="307">
        <v>3008</v>
      </c>
      <c r="B78" s="283" t="s">
        <v>298</v>
      </c>
      <c r="C78" s="179" t="s">
        <v>868</v>
      </c>
      <c r="D78" s="186">
        <v>1</v>
      </c>
      <c r="E78" s="186">
        <v>1000</v>
      </c>
      <c r="F78" s="186">
        <v>1</v>
      </c>
      <c r="G78" s="186">
        <v>2</v>
      </c>
      <c r="H78" s="186">
        <v>3</v>
      </c>
      <c r="I78" s="186">
        <v>4</v>
      </c>
      <c r="J78" s="153">
        <v>30</v>
      </c>
      <c r="K78" s="187">
        <f t="shared" si="23"/>
        <v>8</v>
      </c>
      <c r="L78" s="153" t="s">
        <v>602</v>
      </c>
      <c r="M78" s="309"/>
      <c r="N78" s="310">
        <v>1</v>
      </c>
      <c r="O78" s="311">
        <v>2</v>
      </c>
      <c r="P78" s="312">
        <v>3</v>
      </c>
      <c r="Q78" s="314">
        <f ca="1">OFFSET(effect!$A$1,MATCH(B78,effect!B:B,0)-1,0)</f>
        <v>3</v>
      </c>
      <c r="R78" s="314"/>
      <c r="S78" s="290">
        <v>10</v>
      </c>
      <c r="T78" s="153">
        <v>1</v>
      </c>
      <c r="U78" s="153">
        <v>1</v>
      </c>
      <c r="V78" s="153" t="str">
        <f t="shared" si="21"/>
        <v>303008|10|;400023|750|;</v>
      </c>
      <c r="W78" s="153">
        <f t="shared" si="22"/>
        <v>303008</v>
      </c>
      <c r="X78" s="153">
        <v>10</v>
      </c>
      <c r="Y78" s="153">
        <v>750</v>
      </c>
      <c r="Z78" s="320">
        <v>10</v>
      </c>
      <c r="AA78" s="153" t="s">
        <v>869</v>
      </c>
      <c r="AB78" s="153" t="s">
        <v>604</v>
      </c>
      <c r="AC78" s="170" t="s">
        <v>870</v>
      </c>
      <c r="AD78" s="22">
        <v>2</v>
      </c>
      <c r="AE78" s="173" t="s">
        <v>582</v>
      </c>
      <c r="AF78" s="153" t="s">
        <v>871</v>
      </c>
      <c r="AG78" s="321"/>
      <c r="AH78" s="322"/>
      <c r="AI78" s="107"/>
      <c r="AJ78" s="107"/>
      <c r="AK78" s="107"/>
    </row>
    <row r="79" ht="55.5" spans="1:37">
      <c r="A79" s="307">
        <v>3009</v>
      </c>
      <c r="B79" s="91" t="s">
        <v>502</v>
      </c>
      <c r="C79" s="179" t="s">
        <v>872</v>
      </c>
      <c r="D79" s="186">
        <v>1</v>
      </c>
      <c r="E79" s="186">
        <v>1003</v>
      </c>
      <c r="F79" s="186">
        <v>1</v>
      </c>
      <c r="G79" s="186">
        <v>3</v>
      </c>
      <c r="H79" s="186">
        <v>3</v>
      </c>
      <c r="I79" s="186">
        <v>4</v>
      </c>
      <c r="J79" s="153">
        <v>30</v>
      </c>
      <c r="K79" s="187">
        <f t="shared" si="23"/>
        <v>9</v>
      </c>
      <c r="L79" s="153" t="s">
        <v>602</v>
      </c>
      <c r="M79" s="309">
        <f ca="1">P79+1</f>
        <v>108</v>
      </c>
      <c r="N79" s="310">
        <v>1</v>
      </c>
      <c r="O79" s="311">
        <v>2</v>
      </c>
      <c r="P79" s="312">
        <f ca="1" t="shared" si="25"/>
        <v>107</v>
      </c>
      <c r="Q79" s="314">
        <f ca="1">OFFSET(effect!$A$1,MATCH(B79,effect!B:B,0)-1,0)</f>
        <v>107</v>
      </c>
      <c r="R79" s="310"/>
      <c r="S79" s="290">
        <v>10</v>
      </c>
      <c r="T79" s="153">
        <v>1</v>
      </c>
      <c r="U79" s="153">
        <v>1</v>
      </c>
      <c r="V79" s="153" t="str">
        <f t="shared" si="21"/>
        <v>303009|10|;400023|1000|;</v>
      </c>
      <c r="W79" s="153">
        <f t="shared" si="22"/>
        <v>303009</v>
      </c>
      <c r="X79" s="153">
        <v>10</v>
      </c>
      <c r="Y79" s="153">
        <v>1000</v>
      </c>
      <c r="Z79" s="320">
        <v>10</v>
      </c>
      <c r="AA79" s="153" t="s">
        <v>873</v>
      </c>
      <c r="AB79" s="153" t="s">
        <v>608</v>
      </c>
      <c r="AC79" s="170" t="s">
        <v>874</v>
      </c>
      <c r="AD79" s="22">
        <v>2</v>
      </c>
      <c r="AE79" s="173" t="s">
        <v>582</v>
      </c>
      <c r="AF79" s="153" t="s">
        <v>875</v>
      </c>
      <c r="AG79" s="129"/>
      <c r="AH79" s="60"/>
      <c r="AI79" s="107"/>
      <c r="AJ79" s="107"/>
      <c r="AK79" s="107"/>
    </row>
    <row r="80" ht="30" spans="1:37">
      <c r="A80" s="307">
        <v>3010</v>
      </c>
      <c r="B80" s="153" t="s">
        <v>506</v>
      </c>
      <c r="C80" s="186" t="s">
        <v>876</v>
      </c>
      <c r="D80" s="186">
        <v>1</v>
      </c>
      <c r="E80" s="186">
        <v>1003</v>
      </c>
      <c r="F80" s="186">
        <v>1</v>
      </c>
      <c r="G80" s="186">
        <v>2</v>
      </c>
      <c r="H80" s="186">
        <v>3</v>
      </c>
      <c r="I80" s="186">
        <v>4</v>
      </c>
      <c r="J80" s="153">
        <v>30</v>
      </c>
      <c r="K80" s="187">
        <f t="shared" si="23"/>
        <v>10</v>
      </c>
      <c r="L80" s="153" t="s">
        <v>578</v>
      </c>
      <c r="M80" s="309">
        <f ca="1">IF(N80=1,OFFSET(effect!$A$1,MATCH(I80,effect!K:K,0)-1,0),0)</f>
        <v>0</v>
      </c>
      <c r="N80" s="310">
        <v>0</v>
      </c>
      <c r="O80" s="311">
        <v>1</v>
      </c>
      <c r="P80" s="312">
        <f ca="1" t="shared" si="25"/>
        <v>109</v>
      </c>
      <c r="Q80" s="314">
        <f ca="1">OFFSET(effect!$A$1,MATCH(B80,effect!B:B,0)-1,0)</f>
        <v>109</v>
      </c>
      <c r="R80" s="310"/>
      <c r="S80" s="290">
        <v>10</v>
      </c>
      <c r="T80" s="153">
        <v>1</v>
      </c>
      <c r="U80" s="153">
        <v>1</v>
      </c>
      <c r="V80" s="153" t="str">
        <f t="shared" si="21"/>
        <v>303010|10|;400023|750|;</v>
      </c>
      <c r="W80" s="153">
        <f t="shared" si="22"/>
        <v>303010</v>
      </c>
      <c r="X80" s="153">
        <v>10</v>
      </c>
      <c r="Y80" s="153">
        <v>750</v>
      </c>
      <c r="Z80" s="320">
        <v>10</v>
      </c>
      <c r="AA80" s="153" t="s">
        <v>877</v>
      </c>
      <c r="AB80" s="153" t="s">
        <v>608</v>
      </c>
      <c r="AC80" s="170" t="s">
        <v>878</v>
      </c>
      <c r="AD80" s="22">
        <v>2</v>
      </c>
      <c r="AE80" s="173" t="s">
        <v>582</v>
      </c>
      <c r="AF80" s="153" t="s">
        <v>879</v>
      </c>
      <c r="AG80" s="325"/>
      <c r="AH80" s="54"/>
      <c r="AI80" s="107"/>
      <c r="AJ80" s="107"/>
      <c r="AK80" s="107"/>
    </row>
    <row r="81" ht="41.65" spans="1:32">
      <c r="A81" s="307">
        <v>3011</v>
      </c>
      <c r="B81" s="91" t="s">
        <v>880</v>
      </c>
      <c r="C81" s="179" t="s">
        <v>868</v>
      </c>
      <c r="D81" s="186">
        <v>1</v>
      </c>
      <c r="E81" s="186">
        <v>1003</v>
      </c>
      <c r="F81" s="186">
        <v>1</v>
      </c>
      <c r="G81" s="186">
        <v>1</v>
      </c>
      <c r="H81" s="186">
        <v>3</v>
      </c>
      <c r="I81" s="186">
        <v>4</v>
      </c>
      <c r="J81" s="153">
        <v>30</v>
      </c>
      <c r="K81" s="187">
        <f t="shared" si="23"/>
        <v>11</v>
      </c>
      <c r="L81" s="153" t="s">
        <v>578</v>
      </c>
      <c r="M81" s="297"/>
      <c r="N81" s="153">
        <v>1</v>
      </c>
      <c r="O81" s="313">
        <v>2</v>
      </c>
      <c r="P81" s="170">
        <v>12</v>
      </c>
      <c r="Q81" s="314" t="e">
        <f ca="1">OFFSET(effect!$A$1,MATCH(B81,effect!B:B,0)-1,0)</f>
        <v>#N/A</v>
      </c>
      <c r="R81" s="173"/>
      <c r="S81" s="290">
        <v>10</v>
      </c>
      <c r="T81" s="153">
        <v>1</v>
      </c>
      <c r="U81" s="153">
        <v>1</v>
      </c>
      <c r="V81" s="153" t="str">
        <f t="shared" si="21"/>
        <v>303011|10|;400023|500|;</v>
      </c>
      <c r="W81" s="153">
        <f t="shared" si="22"/>
        <v>303011</v>
      </c>
      <c r="X81" s="153">
        <v>10</v>
      </c>
      <c r="Y81" s="153">
        <v>500</v>
      </c>
      <c r="Z81" s="320">
        <v>10</v>
      </c>
      <c r="AA81" s="153" t="s">
        <v>881</v>
      </c>
      <c r="AB81" s="153" t="s">
        <v>608</v>
      </c>
      <c r="AC81" s="170" t="s">
        <v>882</v>
      </c>
      <c r="AD81" s="22">
        <v>2</v>
      </c>
      <c r="AE81" s="173" t="s">
        <v>582</v>
      </c>
      <c r="AF81" s="153" t="s">
        <v>883</v>
      </c>
    </row>
    <row r="82" ht="55.5" spans="1:32">
      <c r="A82" s="165">
        <v>3012</v>
      </c>
      <c r="B82" s="91" t="s">
        <v>884</v>
      </c>
      <c r="C82" s="179" t="s">
        <v>885</v>
      </c>
      <c r="D82" s="186">
        <v>0</v>
      </c>
      <c r="E82" s="186">
        <v>5000</v>
      </c>
      <c r="F82" s="186">
        <v>5</v>
      </c>
      <c r="G82" s="186">
        <v>4</v>
      </c>
      <c r="H82" s="186">
        <v>3</v>
      </c>
      <c r="I82" s="186">
        <v>4</v>
      </c>
      <c r="J82" s="153">
        <v>30</v>
      </c>
      <c r="K82" s="187">
        <f t="shared" si="23"/>
        <v>12</v>
      </c>
      <c r="L82" s="153" t="s">
        <v>602</v>
      </c>
      <c r="M82" s="297">
        <f ca="1">IF(N82=1,OFFSET(effect!$A$1,MATCH(I82,effect!K:K,0)-1,0),0)</f>
        <v>14</v>
      </c>
      <c r="N82" s="153">
        <v>1</v>
      </c>
      <c r="O82" s="313">
        <v>2</v>
      </c>
      <c r="P82" s="170">
        <v>13</v>
      </c>
      <c r="Q82" s="314" t="e">
        <f ca="1">OFFSET(effect!$A$1,MATCH(B82,effect!B:B,0)-1,0)</f>
        <v>#N/A</v>
      </c>
      <c r="R82" s="173"/>
      <c r="S82" s="290">
        <v>10</v>
      </c>
      <c r="T82" s="153">
        <v>1</v>
      </c>
      <c r="V82" s="153" t="str">
        <f t="shared" si="21"/>
        <v>303012|10|;400023|1500|;</v>
      </c>
      <c r="W82" s="153">
        <f t="shared" si="22"/>
        <v>303012</v>
      </c>
      <c r="X82" s="153">
        <v>10</v>
      </c>
      <c r="Y82" s="153">
        <v>1500</v>
      </c>
      <c r="Z82" s="173">
        <v>21</v>
      </c>
      <c r="AB82" s="153" t="s">
        <v>630</v>
      </c>
      <c r="AC82" s="170" t="s">
        <v>886</v>
      </c>
      <c r="AD82" s="22">
        <v>2</v>
      </c>
      <c r="AE82" s="173" t="s">
        <v>582</v>
      </c>
      <c r="AF82" s="153" t="s">
        <v>887</v>
      </c>
    </row>
    <row r="83" ht="30" spans="1:32">
      <c r="A83" s="307">
        <v>3013</v>
      </c>
      <c r="B83" s="91" t="s">
        <v>359</v>
      </c>
      <c r="C83" s="179" t="s">
        <v>888</v>
      </c>
      <c r="D83" s="186">
        <v>1</v>
      </c>
      <c r="E83" s="186">
        <v>1003</v>
      </c>
      <c r="F83" s="186">
        <v>1</v>
      </c>
      <c r="G83" s="186">
        <v>1</v>
      </c>
      <c r="H83" s="186">
        <v>3</v>
      </c>
      <c r="I83" s="186">
        <v>3</v>
      </c>
      <c r="J83" s="153">
        <v>30</v>
      </c>
      <c r="K83" s="187">
        <f t="shared" si="23"/>
        <v>13</v>
      </c>
      <c r="L83" s="153" t="s">
        <v>602</v>
      </c>
      <c r="M83" s="309"/>
      <c r="N83" s="310">
        <v>1</v>
      </c>
      <c r="O83" s="313">
        <v>2</v>
      </c>
      <c r="P83" s="312">
        <f ca="1" t="shared" ref="P83:P85" si="26">Q83</f>
        <v>32</v>
      </c>
      <c r="Q83" s="314">
        <f ca="1">OFFSET(effect!$A$1,MATCH(B83,effect!B:B,0)-1,0)</f>
        <v>32</v>
      </c>
      <c r="R83" s="310"/>
      <c r="S83" s="290">
        <v>10</v>
      </c>
      <c r="T83" s="153">
        <v>1</v>
      </c>
      <c r="U83" s="153">
        <v>1</v>
      </c>
      <c r="V83" s="153" t="str">
        <f t="shared" si="21"/>
        <v>303013|10|;400023|500|;</v>
      </c>
      <c r="W83" s="153">
        <f t="shared" si="22"/>
        <v>303013</v>
      </c>
      <c r="X83" s="153">
        <v>10</v>
      </c>
      <c r="Y83" s="153">
        <v>500</v>
      </c>
      <c r="Z83" s="294">
        <v>21</v>
      </c>
      <c r="AA83" s="153" t="s">
        <v>889</v>
      </c>
      <c r="AB83" s="153" t="s">
        <v>608</v>
      </c>
      <c r="AC83" s="170" t="s">
        <v>890</v>
      </c>
      <c r="AD83" s="22">
        <v>2</v>
      </c>
      <c r="AE83" s="173" t="s">
        <v>582</v>
      </c>
      <c r="AF83" s="153" t="s">
        <v>891</v>
      </c>
    </row>
    <row r="84" ht="30" spans="1:32">
      <c r="A84" s="307">
        <v>3014</v>
      </c>
      <c r="B84" s="91" t="s">
        <v>361</v>
      </c>
      <c r="C84" s="179" t="s">
        <v>892</v>
      </c>
      <c r="D84" s="186">
        <v>1</v>
      </c>
      <c r="E84" s="186">
        <v>1003</v>
      </c>
      <c r="F84" s="186">
        <v>1</v>
      </c>
      <c r="G84" s="186">
        <v>2</v>
      </c>
      <c r="H84" s="186">
        <v>3</v>
      </c>
      <c r="I84" s="186">
        <v>3</v>
      </c>
      <c r="J84" s="153">
        <v>30</v>
      </c>
      <c r="K84" s="187">
        <f t="shared" si="23"/>
        <v>14</v>
      </c>
      <c r="L84" s="153" t="s">
        <v>602</v>
      </c>
      <c r="M84" s="309"/>
      <c r="N84" s="310">
        <v>1</v>
      </c>
      <c r="O84" s="313">
        <v>2</v>
      </c>
      <c r="P84" s="312">
        <f ca="1" t="shared" si="26"/>
        <v>33</v>
      </c>
      <c r="Q84" s="314">
        <f ca="1">OFFSET(effect!$A$1,MATCH(B84,effect!B:B,0)-1,0)</f>
        <v>33</v>
      </c>
      <c r="R84" s="310"/>
      <c r="S84" s="290">
        <v>10</v>
      </c>
      <c r="T84" s="153">
        <v>1</v>
      </c>
      <c r="U84" s="153">
        <v>1</v>
      </c>
      <c r="V84" s="153" t="str">
        <f t="shared" si="21"/>
        <v>303014|10|;400023|750|;</v>
      </c>
      <c r="W84" s="153">
        <f t="shared" si="22"/>
        <v>303014</v>
      </c>
      <c r="X84" s="153">
        <v>10</v>
      </c>
      <c r="Y84" s="153">
        <v>750</v>
      </c>
      <c r="Z84" s="294">
        <v>21</v>
      </c>
      <c r="AA84" s="153" t="s">
        <v>893</v>
      </c>
      <c r="AB84" s="153" t="s">
        <v>608</v>
      </c>
      <c r="AC84" s="170" t="s">
        <v>894</v>
      </c>
      <c r="AD84" s="22">
        <v>2</v>
      </c>
      <c r="AE84" s="173" t="s">
        <v>582</v>
      </c>
      <c r="AF84" s="153" t="s">
        <v>895</v>
      </c>
    </row>
    <row r="85" ht="41.65" spans="1:32">
      <c r="A85" s="307">
        <v>3015</v>
      </c>
      <c r="B85" s="91" t="s">
        <v>367</v>
      </c>
      <c r="C85" s="179" t="s">
        <v>896</v>
      </c>
      <c r="D85" s="186">
        <v>1</v>
      </c>
      <c r="E85" s="186">
        <v>2000</v>
      </c>
      <c r="F85" s="186">
        <v>2</v>
      </c>
      <c r="G85" s="186">
        <v>1</v>
      </c>
      <c r="H85" s="186">
        <v>3</v>
      </c>
      <c r="I85" s="186">
        <v>3</v>
      </c>
      <c r="J85" s="153">
        <v>30</v>
      </c>
      <c r="K85" s="187">
        <f t="shared" si="23"/>
        <v>15</v>
      </c>
      <c r="L85" s="153" t="s">
        <v>602</v>
      </c>
      <c r="M85" s="309"/>
      <c r="N85" s="310">
        <v>1</v>
      </c>
      <c r="O85" s="313">
        <v>2</v>
      </c>
      <c r="P85" s="312">
        <f ca="1" t="shared" si="26"/>
        <v>36</v>
      </c>
      <c r="Q85" s="314">
        <f ca="1">OFFSET(effect!$A$1,MATCH(B85,effect!B:B,0)-1,0)</f>
        <v>36</v>
      </c>
      <c r="R85" s="310"/>
      <c r="S85" s="290">
        <v>10</v>
      </c>
      <c r="T85" s="153">
        <v>1</v>
      </c>
      <c r="U85" s="153">
        <v>1</v>
      </c>
      <c r="V85" s="153" t="str">
        <f t="shared" si="21"/>
        <v>303015|10|;400023|500|;</v>
      </c>
      <c r="W85" s="153">
        <f t="shared" si="22"/>
        <v>303015</v>
      </c>
      <c r="X85" s="153">
        <v>10</v>
      </c>
      <c r="Y85" s="153">
        <v>500</v>
      </c>
      <c r="Z85" s="294">
        <v>21</v>
      </c>
      <c r="AA85" s="153" t="s">
        <v>897</v>
      </c>
      <c r="AB85" s="153" t="s">
        <v>630</v>
      </c>
      <c r="AC85" s="170" t="s">
        <v>898</v>
      </c>
      <c r="AD85" s="22">
        <v>2</v>
      </c>
      <c r="AE85" s="173" t="s">
        <v>582</v>
      </c>
      <c r="AF85" s="153" t="s">
        <v>899</v>
      </c>
    </row>
    <row r="86" ht="55.5" spans="1:32">
      <c r="A86" s="307">
        <v>3016</v>
      </c>
      <c r="B86" s="91" t="s">
        <v>369</v>
      </c>
      <c r="C86" s="179" t="s">
        <v>900</v>
      </c>
      <c r="D86" s="186">
        <v>1</v>
      </c>
      <c r="E86" s="186">
        <v>3000</v>
      </c>
      <c r="F86" s="186">
        <v>2</v>
      </c>
      <c r="G86" s="186">
        <v>4</v>
      </c>
      <c r="H86" s="186">
        <v>3</v>
      </c>
      <c r="I86" s="186">
        <v>3</v>
      </c>
      <c r="J86" s="153">
        <v>30</v>
      </c>
      <c r="K86" s="187">
        <f t="shared" si="23"/>
        <v>16</v>
      </c>
      <c r="L86" s="153" t="s">
        <v>602</v>
      </c>
      <c r="M86" s="314"/>
      <c r="N86" s="153">
        <v>1</v>
      </c>
      <c r="O86" s="313">
        <v>2</v>
      </c>
      <c r="P86" s="312">
        <f>effect!A41</f>
        <v>37</v>
      </c>
      <c r="Q86" s="314">
        <f ca="1">OFFSET(effect!$A$1,MATCH(B86,effect!B:B,0)-1,0)</f>
        <v>37</v>
      </c>
      <c r="R86" s="310"/>
      <c r="S86" s="290">
        <v>10</v>
      </c>
      <c r="T86" s="153">
        <v>1</v>
      </c>
      <c r="V86" s="153" t="str">
        <f t="shared" si="21"/>
        <v>303016|10|;400023|1500|;</v>
      </c>
      <c r="W86" s="153">
        <f t="shared" si="22"/>
        <v>303016</v>
      </c>
      <c r="X86" s="153">
        <v>10</v>
      </c>
      <c r="Y86" s="153">
        <v>1500</v>
      </c>
      <c r="Z86" s="294">
        <v>21</v>
      </c>
      <c r="AA86" s="153" t="s">
        <v>901</v>
      </c>
      <c r="AB86" s="153" t="s">
        <v>630</v>
      </c>
      <c r="AC86" s="170" t="s">
        <v>902</v>
      </c>
      <c r="AD86" s="22">
        <v>2</v>
      </c>
      <c r="AE86" s="173" t="s">
        <v>582</v>
      </c>
      <c r="AF86" s="153" t="s">
        <v>903</v>
      </c>
    </row>
    <row r="87" ht="55.5" spans="1:32">
      <c r="A87" s="307">
        <v>3017</v>
      </c>
      <c r="B87" s="91" t="s">
        <v>904</v>
      </c>
      <c r="C87" s="179" t="s">
        <v>905</v>
      </c>
      <c r="D87" s="186">
        <v>1</v>
      </c>
      <c r="E87" s="186">
        <v>3000</v>
      </c>
      <c r="F87" s="186">
        <v>3</v>
      </c>
      <c r="G87" s="186">
        <v>3</v>
      </c>
      <c r="H87" s="186">
        <v>3</v>
      </c>
      <c r="I87" s="186">
        <v>3</v>
      </c>
      <c r="J87" s="153">
        <v>30</v>
      </c>
      <c r="K87" s="187">
        <f t="shared" si="23"/>
        <v>17</v>
      </c>
      <c r="L87" s="153" t="s">
        <v>578</v>
      </c>
      <c r="M87" s="316"/>
      <c r="N87" s="153">
        <v>1</v>
      </c>
      <c r="O87" s="313">
        <v>2</v>
      </c>
      <c r="P87" s="170">
        <v>36</v>
      </c>
      <c r="Q87" s="314" t="e">
        <f ca="1">OFFSET(effect!$A$1,MATCH(B87,effect!B:B,0)-1,0)</f>
        <v>#N/A</v>
      </c>
      <c r="R87" s="173"/>
      <c r="S87" s="290">
        <v>10</v>
      </c>
      <c r="T87" s="153">
        <v>1</v>
      </c>
      <c r="U87" s="153">
        <v>1</v>
      </c>
      <c r="V87" s="153" t="str">
        <f t="shared" si="21"/>
        <v>303017|10|;400023|1000|;</v>
      </c>
      <c r="W87" s="153">
        <f t="shared" si="22"/>
        <v>303017</v>
      </c>
      <c r="X87" s="153">
        <v>10</v>
      </c>
      <c r="Y87" s="153">
        <v>1000</v>
      </c>
      <c r="Z87" s="294">
        <v>21</v>
      </c>
      <c r="AA87" s="153" t="s">
        <v>906</v>
      </c>
      <c r="AB87" s="153" t="s">
        <v>649</v>
      </c>
      <c r="AC87" s="170" t="s">
        <v>907</v>
      </c>
      <c r="AD87" s="22">
        <v>2</v>
      </c>
      <c r="AE87" s="173" t="s">
        <v>582</v>
      </c>
      <c r="AF87" s="153" t="s">
        <v>908</v>
      </c>
    </row>
    <row r="88" spans="1:32">
      <c r="A88" s="308">
        <f t="shared" ref="A88:A90" si="27">H88*1000+F88*100+K88</f>
        <v>3401</v>
      </c>
      <c r="B88" s="299" t="s">
        <v>909</v>
      </c>
      <c r="C88" s="66" t="s">
        <v>896</v>
      </c>
      <c r="D88" s="186">
        <v>1</v>
      </c>
      <c r="E88" s="186">
        <v>6000</v>
      </c>
      <c r="F88" s="66">
        <v>4</v>
      </c>
      <c r="G88" s="66">
        <v>2</v>
      </c>
      <c r="H88" s="66">
        <v>3</v>
      </c>
      <c r="I88" s="186">
        <v>3</v>
      </c>
      <c r="J88" s="153">
        <v>30</v>
      </c>
      <c r="K88" s="187">
        <v>1</v>
      </c>
      <c r="L88" s="153" t="s">
        <v>578</v>
      </c>
      <c r="M88" s="316"/>
      <c r="N88" s="153">
        <v>1</v>
      </c>
      <c r="O88" s="313">
        <v>2</v>
      </c>
      <c r="P88" s="170" t="e">
        <f ca="1" t="shared" ref="P88:P92" si="28">Q88</f>
        <v>#N/A</v>
      </c>
      <c r="Q88" s="314" t="e">
        <f ca="1">OFFSET(effect!$A$1,MATCH(B88,effect!B:B,0)-1,0)</f>
        <v>#N/A</v>
      </c>
      <c r="R88" s="173"/>
      <c r="S88" s="290">
        <v>10</v>
      </c>
      <c r="T88" s="153">
        <v>1</v>
      </c>
      <c r="V88" s="153" t="str">
        <f t="shared" si="21"/>
        <v>303401|10|;400023|750|;</v>
      </c>
      <c r="W88" s="153">
        <f t="shared" si="22"/>
        <v>303401</v>
      </c>
      <c r="X88" s="153">
        <v>10</v>
      </c>
      <c r="Y88" s="153">
        <v>750</v>
      </c>
      <c r="Z88" s="173">
        <v>32</v>
      </c>
      <c r="AB88" s="153" t="s">
        <v>674</v>
      </c>
      <c r="AC88" s="170" t="s">
        <v>910</v>
      </c>
      <c r="AD88" s="22">
        <v>2</v>
      </c>
      <c r="AE88" s="173" t="s">
        <v>582</v>
      </c>
      <c r="AF88" s="153" t="s">
        <v>911</v>
      </c>
    </row>
    <row r="89" spans="1:31">
      <c r="A89" s="308">
        <f t="shared" si="27"/>
        <v>3402</v>
      </c>
      <c r="B89" s="299" t="s">
        <v>912</v>
      </c>
      <c r="C89" s="66" t="s">
        <v>913</v>
      </c>
      <c r="D89" s="186">
        <v>1</v>
      </c>
      <c r="E89" s="186"/>
      <c r="F89" s="66">
        <v>4</v>
      </c>
      <c r="G89" s="66">
        <v>2</v>
      </c>
      <c r="H89" s="66">
        <v>3</v>
      </c>
      <c r="I89" s="186">
        <v>3</v>
      </c>
      <c r="J89" s="153">
        <v>30</v>
      </c>
      <c r="K89" s="187">
        <v>2</v>
      </c>
      <c r="M89" s="316"/>
      <c r="O89" s="313"/>
      <c r="P89" s="170"/>
      <c r="Q89" s="314"/>
      <c r="R89" s="173"/>
      <c r="S89" s="290"/>
      <c r="V89" s="153" t="str">
        <f t="shared" si="21"/>
        <v>303402|10|;400023|750|;</v>
      </c>
      <c r="W89" s="153">
        <f t="shared" si="22"/>
        <v>303402</v>
      </c>
      <c r="X89" s="153">
        <v>10</v>
      </c>
      <c r="Y89" s="153">
        <v>750</v>
      </c>
      <c r="Z89" s="173"/>
      <c r="AC89" s="170"/>
      <c r="AD89" s="22"/>
      <c r="AE89" s="173"/>
    </row>
    <row r="90" spans="1:31">
      <c r="A90" s="308">
        <f t="shared" si="27"/>
        <v>3403</v>
      </c>
      <c r="B90" s="299" t="s">
        <v>914</v>
      </c>
      <c r="C90" s="66" t="s">
        <v>915</v>
      </c>
      <c r="D90" s="186">
        <v>1</v>
      </c>
      <c r="E90" s="186"/>
      <c r="F90" s="66">
        <v>4</v>
      </c>
      <c r="G90" s="66">
        <v>2</v>
      </c>
      <c r="H90" s="66">
        <v>3</v>
      </c>
      <c r="I90" s="186">
        <v>4</v>
      </c>
      <c r="J90" s="153">
        <v>30</v>
      </c>
      <c r="K90" s="187">
        <v>3</v>
      </c>
      <c r="M90" s="316"/>
      <c r="O90" s="313"/>
      <c r="P90" s="170"/>
      <c r="Q90" s="314"/>
      <c r="R90" s="173"/>
      <c r="S90" s="290"/>
      <c r="V90" s="153" t="str">
        <f t="shared" si="21"/>
        <v>303403|10|;400023|750|;</v>
      </c>
      <c r="W90" s="153">
        <f t="shared" si="22"/>
        <v>303403</v>
      </c>
      <c r="X90" s="153">
        <v>10</v>
      </c>
      <c r="Y90" s="153">
        <v>750</v>
      </c>
      <c r="Z90" s="173"/>
      <c r="AC90" s="170"/>
      <c r="AD90" s="22"/>
      <c r="AE90" s="173"/>
    </row>
    <row r="91" ht="30" spans="1:32">
      <c r="A91" s="165">
        <v>3019</v>
      </c>
      <c r="B91" s="91" t="s">
        <v>405</v>
      </c>
      <c r="C91" s="179" t="s">
        <v>916</v>
      </c>
      <c r="D91" s="186">
        <v>0</v>
      </c>
      <c r="E91" s="186">
        <v>6000</v>
      </c>
      <c r="F91" s="186">
        <v>5</v>
      </c>
      <c r="G91" s="186">
        <v>3</v>
      </c>
      <c r="H91" s="186">
        <v>3</v>
      </c>
      <c r="I91" s="186">
        <v>3</v>
      </c>
      <c r="J91" s="153">
        <v>30</v>
      </c>
      <c r="K91" s="187">
        <f>IF(H91=H88,K88+1,1)</f>
        <v>2</v>
      </c>
      <c r="L91" s="153" t="s">
        <v>578</v>
      </c>
      <c r="M91" s="314"/>
      <c r="N91" s="310">
        <v>1</v>
      </c>
      <c r="O91" s="311">
        <v>2</v>
      </c>
      <c r="P91" s="312">
        <f ca="1" t="shared" si="28"/>
        <v>55</v>
      </c>
      <c r="Q91" s="314">
        <f ca="1">OFFSET(effect!$A$1,MATCH(B91,effect!B:B,0)-1,0)</f>
        <v>55</v>
      </c>
      <c r="R91" s="310"/>
      <c r="S91" s="290">
        <v>10</v>
      </c>
      <c r="T91" s="153">
        <v>1</v>
      </c>
      <c r="V91" s="153" t="str">
        <f t="shared" si="21"/>
        <v>303019|10|;400023|1000|;</v>
      </c>
      <c r="W91" s="153">
        <f t="shared" si="22"/>
        <v>303019</v>
      </c>
      <c r="X91" s="153">
        <v>10</v>
      </c>
      <c r="Y91" s="153">
        <v>1000</v>
      </c>
      <c r="Z91" s="173">
        <v>32</v>
      </c>
      <c r="AB91" s="153" t="s">
        <v>608</v>
      </c>
      <c r="AC91" s="170" t="s">
        <v>917</v>
      </c>
      <c r="AD91" s="22">
        <v>2</v>
      </c>
      <c r="AE91" s="173" t="s">
        <v>582</v>
      </c>
      <c r="AF91" s="153" t="s">
        <v>918</v>
      </c>
    </row>
    <row r="92" ht="27.75" spans="1:32">
      <c r="A92" s="165">
        <v>3020</v>
      </c>
      <c r="B92" s="91" t="s">
        <v>919</v>
      </c>
      <c r="C92" s="179" t="s">
        <v>920</v>
      </c>
      <c r="D92" s="186">
        <v>0</v>
      </c>
      <c r="E92" s="186">
        <v>6000</v>
      </c>
      <c r="F92" s="186">
        <v>5</v>
      </c>
      <c r="G92" s="186">
        <v>2</v>
      </c>
      <c r="H92" s="186">
        <v>3</v>
      </c>
      <c r="I92" s="186">
        <v>3</v>
      </c>
      <c r="J92" s="153">
        <v>30</v>
      </c>
      <c r="K92" s="187">
        <f t="shared" ref="K92:K98" si="29">IF(H92=H91,K91+1,1)</f>
        <v>3</v>
      </c>
      <c r="L92" s="153" t="s">
        <v>578</v>
      </c>
      <c r="M92" s="316"/>
      <c r="N92" s="153">
        <v>0</v>
      </c>
      <c r="O92" s="313">
        <v>1</v>
      </c>
      <c r="P92" s="170" t="e">
        <f ca="1" t="shared" si="28"/>
        <v>#N/A</v>
      </c>
      <c r="Q92" s="314" t="e">
        <f ca="1">OFFSET(effect!$A$1,MATCH(B92,effect!B:B,0)-1,0)</f>
        <v>#N/A</v>
      </c>
      <c r="R92" s="173"/>
      <c r="S92" s="290">
        <v>10</v>
      </c>
      <c r="T92" s="153">
        <v>1</v>
      </c>
      <c r="V92" s="153" t="str">
        <f t="shared" si="21"/>
        <v>303020|10|;400023|750|;</v>
      </c>
      <c r="W92" s="153">
        <f t="shared" si="22"/>
        <v>303020</v>
      </c>
      <c r="X92" s="153">
        <v>10</v>
      </c>
      <c r="Y92" s="153">
        <v>750</v>
      </c>
      <c r="Z92" s="318">
        <v>18</v>
      </c>
      <c r="AB92" s="153" t="s">
        <v>608</v>
      </c>
      <c r="AC92" s="297" t="s">
        <v>921</v>
      </c>
      <c r="AD92" s="22">
        <v>2</v>
      </c>
      <c r="AE92" s="173" t="s">
        <v>582</v>
      </c>
      <c r="AF92" s="153" t="s">
        <v>922</v>
      </c>
    </row>
    <row r="93" ht="30" spans="1:32">
      <c r="A93" s="165">
        <v>3021</v>
      </c>
      <c r="B93" s="91" t="s">
        <v>923</v>
      </c>
      <c r="C93" s="179" t="s">
        <v>924</v>
      </c>
      <c r="D93" s="186">
        <v>0</v>
      </c>
      <c r="E93" s="186">
        <v>6000</v>
      </c>
      <c r="F93" s="186">
        <v>6</v>
      </c>
      <c r="G93" s="186">
        <v>2</v>
      </c>
      <c r="H93" s="186">
        <v>3</v>
      </c>
      <c r="I93" s="186">
        <v>3</v>
      </c>
      <c r="J93" s="153">
        <v>30</v>
      </c>
      <c r="K93" s="187">
        <f t="shared" si="29"/>
        <v>4</v>
      </c>
      <c r="L93" s="153" t="s">
        <v>578</v>
      </c>
      <c r="M93" s="297">
        <f ca="1">IF(N93=1,OFFSET(effect!$A$1,MATCH(I93,effect!K:K,0)-1,0),0)</f>
        <v>0</v>
      </c>
      <c r="N93" s="153">
        <v>0</v>
      </c>
      <c r="O93" s="313">
        <v>2</v>
      </c>
      <c r="P93" s="170">
        <v>13</v>
      </c>
      <c r="Q93" s="314" t="e">
        <f ca="1">OFFSET(effect!$A$1,MATCH(B93,effect!B:B,0)-1,0)</f>
        <v>#N/A</v>
      </c>
      <c r="R93" s="173"/>
      <c r="S93" s="290">
        <v>10</v>
      </c>
      <c r="T93" s="153">
        <v>1</v>
      </c>
      <c r="V93" s="153" t="str">
        <f t="shared" si="21"/>
        <v>303021|10|;400023|750|;</v>
      </c>
      <c r="W93" s="153">
        <f t="shared" si="22"/>
        <v>303021</v>
      </c>
      <c r="X93" s="153">
        <v>10</v>
      </c>
      <c r="Y93" s="153">
        <v>750</v>
      </c>
      <c r="Z93" s="318">
        <v>18</v>
      </c>
      <c r="AB93" s="153" t="s">
        <v>608</v>
      </c>
      <c r="AC93" s="170" t="s">
        <v>925</v>
      </c>
      <c r="AD93" s="22">
        <v>2</v>
      </c>
      <c r="AE93" s="173" t="s">
        <v>582</v>
      </c>
      <c r="AF93" s="153" t="s">
        <v>926</v>
      </c>
    </row>
    <row r="94" ht="30" spans="1:32">
      <c r="A94" s="307">
        <v>3022</v>
      </c>
      <c r="B94" s="91" t="s">
        <v>476</v>
      </c>
      <c r="C94" s="179" t="s">
        <v>927</v>
      </c>
      <c r="D94" s="186">
        <v>1</v>
      </c>
      <c r="E94" s="186">
        <v>1003</v>
      </c>
      <c r="F94" s="186">
        <v>2</v>
      </c>
      <c r="G94" s="186">
        <v>1</v>
      </c>
      <c r="H94" s="186">
        <v>3</v>
      </c>
      <c r="I94" s="186">
        <v>2</v>
      </c>
      <c r="J94" s="153">
        <v>30</v>
      </c>
      <c r="K94" s="187">
        <f t="shared" si="29"/>
        <v>5</v>
      </c>
      <c r="L94" s="153" t="s">
        <v>578</v>
      </c>
      <c r="M94" s="309"/>
      <c r="N94" s="310">
        <v>1</v>
      </c>
      <c r="O94" s="311">
        <v>2</v>
      </c>
      <c r="P94" s="312">
        <f ca="1" t="shared" ref="P94:P98" si="30">Q94</f>
        <v>94</v>
      </c>
      <c r="Q94" s="314">
        <f ca="1">OFFSET(effect!$A$1,MATCH(B94,effect!B:B,0)-1,0)</f>
        <v>94</v>
      </c>
      <c r="R94" s="310"/>
      <c r="S94" s="290">
        <v>10</v>
      </c>
      <c r="T94" s="153">
        <v>1</v>
      </c>
      <c r="U94" s="153">
        <v>1</v>
      </c>
      <c r="V94" s="153" t="str">
        <f t="shared" ref="V94:V102" si="31">W94&amp;$V$1&amp;X94&amp;$V$1&amp;$W$1&amp;$X$1&amp;$V$1&amp;Y94&amp;$V$1&amp;$W$1</f>
        <v>303022|10|;400023|500|;</v>
      </c>
      <c r="W94" s="153">
        <f t="shared" ref="W94:W102" si="32">300000+A94</f>
        <v>303022</v>
      </c>
      <c r="X94" s="153">
        <v>10</v>
      </c>
      <c r="Y94" s="153">
        <v>500</v>
      </c>
      <c r="Z94" s="294">
        <v>17</v>
      </c>
      <c r="AA94" s="153" t="s">
        <v>928</v>
      </c>
      <c r="AB94" s="153" t="s">
        <v>630</v>
      </c>
      <c r="AC94" s="170" t="s">
        <v>929</v>
      </c>
      <c r="AD94" s="22">
        <v>2</v>
      </c>
      <c r="AE94" s="173" t="s">
        <v>582</v>
      </c>
      <c r="AF94" s="153" t="s">
        <v>930</v>
      </c>
    </row>
    <row r="95" ht="30" spans="1:32">
      <c r="A95" s="307">
        <v>3023</v>
      </c>
      <c r="B95" s="91" t="s">
        <v>451</v>
      </c>
      <c r="C95" s="179" t="s">
        <v>931</v>
      </c>
      <c r="D95" s="186">
        <v>1</v>
      </c>
      <c r="E95" s="186">
        <v>1003</v>
      </c>
      <c r="F95" s="186">
        <v>3</v>
      </c>
      <c r="G95" s="186">
        <v>2</v>
      </c>
      <c r="H95" s="186">
        <v>3</v>
      </c>
      <c r="I95" s="186">
        <v>2</v>
      </c>
      <c r="J95" s="153">
        <v>30</v>
      </c>
      <c r="K95" s="187">
        <f t="shared" si="29"/>
        <v>6</v>
      </c>
      <c r="L95" s="153" t="s">
        <v>578</v>
      </c>
      <c r="M95" s="309"/>
      <c r="N95" s="310">
        <v>1</v>
      </c>
      <c r="O95" s="311">
        <v>2</v>
      </c>
      <c r="P95" s="312">
        <f ca="1" t="shared" si="30"/>
        <v>81</v>
      </c>
      <c r="Q95" s="314">
        <f ca="1">OFFSET(effect!$A$1,MATCH(B95,effect!B:B,0)-1,0)</f>
        <v>81</v>
      </c>
      <c r="R95" s="310"/>
      <c r="S95" s="290">
        <v>10</v>
      </c>
      <c r="T95" s="153">
        <v>1</v>
      </c>
      <c r="U95" s="153">
        <v>1</v>
      </c>
      <c r="V95" s="153" t="str">
        <f t="shared" si="31"/>
        <v>303023|10|;400023|750|;</v>
      </c>
      <c r="W95" s="153">
        <f t="shared" si="32"/>
        <v>303023</v>
      </c>
      <c r="X95" s="153">
        <v>10</v>
      </c>
      <c r="Y95" s="153">
        <v>750</v>
      </c>
      <c r="Z95" s="294">
        <v>17</v>
      </c>
      <c r="AA95" s="153" t="s">
        <v>932</v>
      </c>
      <c r="AB95" s="153" t="s">
        <v>649</v>
      </c>
      <c r="AC95" s="170" t="s">
        <v>933</v>
      </c>
      <c r="AD95" s="22">
        <v>2</v>
      </c>
      <c r="AE95" s="173" t="s">
        <v>582</v>
      </c>
      <c r="AF95" s="153" t="s">
        <v>934</v>
      </c>
    </row>
    <row r="96" ht="55.5" spans="1:32">
      <c r="A96" s="307">
        <v>3024</v>
      </c>
      <c r="B96" s="91" t="s">
        <v>453</v>
      </c>
      <c r="C96" s="179" t="s">
        <v>935</v>
      </c>
      <c r="D96" s="186">
        <v>1</v>
      </c>
      <c r="E96" s="186">
        <v>2000</v>
      </c>
      <c r="F96" s="186">
        <v>2</v>
      </c>
      <c r="G96" s="186">
        <v>3</v>
      </c>
      <c r="H96" s="186">
        <v>3</v>
      </c>
      <c r="I96" s="186">
        <v>2</v>
      </c>
      <c r="J96" s="153">
        <v>30</v>
      </c>
      <c r="K96" s="187">
        <f t="shared" si="29"/>
        <v>7</v>
      </c>
      <c r="L96" s="153" t="s">
        <v>578</v>
      </c>
      <c r="M96" s="309">
        <f ca="1">IF(N96=1,OFFSET(effect!$A$1,MATCH(I96,effect!K:K,0)-1,0),0)</f>
        <v>16</v>
      </c>
      <c r="N96" s="310">
        <v>1</v>
      </c>
      <c r="O96" s="311">
        <v>2</v>
      </c>
      <c r="P96" s="312">
        <f ca="1" t="shared" si="30"/>
        <v>82</v>
      </c>
      <c r="Q96" s="314">
        <f ca="1">OFFSET(effect!$A$1,MATCH(B96,effect!B:B,0)-1,0)</f>
        <v>82</v>
      </c>
      <c r="R96" s="310"/>
      <c r="S96" s="290">
        <v>10</v>
      </c>
      <c r="T96" s="153">
        <v>1</v>
      </c>
      <c r="U96" s="153">
        <v>1</v>
      </c>
      <c r="V96" s="153" t="str">
        <f t="shared" si="31"/>
        <v>303024|10|;400023|1000|;</v>
      </c>
      <c r="W96" s="153">
        <f t="shared" si="32"/>
        <v>303024</v>
      </c>
      <c r="X96" s="153">
        <v>10</v>
      </c>
      <c r="Y96" s="153">
        <v>1000</v>
      </c>
      <c r="Z96" s="294">
        <v>17</v>
      </c>
      <c r="AA96" s="153" t="s">
        <v>936</v>
      </c>
      <c r="AB96" s="153" t="s">
        <v>630</v>
      </c>
      <c r="AC96" s="170" t="s">
        <v>937</v>
      </c>
      <c r="AD96" s="22">
        <v>2</v>
      </c>
      <c r="AE96" s="173" t="s">
        <v>582</v>
      </c>
      <c r="AF96" s="153" t="s">
        <v>938</v>
      </c>
    </row>
    <row r="97" ht="41.65" spans="1:32">
      <c r="A97" s="307">
        <v>3025</v>
      </c>
      <c r="B97" s="91" t="s">
        <v>435</v>
      </c>
      <c r="C97" s="179" t="s">
        <v>939</v>
      </c>
      <c r="D97" s="186">
        <v>1</v>
      </c>
      <c r="E97" s="186">
        <v>2000</v>
      </c>
      <c r="F97" s="186">
        <v>3</v>
      </c>
      <c r="G97" s="186">
        <v>2</v>
      </c>
      <c r="H97" s="186">
        <v>3</v>
      </c>
      <c r="I97" s="186">
        <v>2</v>
      </c>
      <c r="J97" s="153">
        <v>30</v>
      </c>
      <c r="K97" s="187">
        <f t="shared" si="29"/>
        <v>8</v>
      </c>
      <c r="L97" s="153" t="s">
        <v>578</v>
      </c>
      <c r="M97" s="309">
        <f ca="1">IF(N97=1,OFFSET(effect!$A$1,MATCH(I97,effect!K:K,0)-1,0),0)</f>
        <v>16</v>
      </c>
      <c r="N97" s="310">
        <v>1</v>
      </c>
      <c r="O97" s="311">
        <v>2</v>
      </c>
      <c r="P97" s="312">
        <f ca="1" t="shared" si="30"/>
        <v>73</v>
      </c>
      <c r="Q97" s="314">
        <f ca="1">OFFSET(effect!$A$1,MATCH(B97,effect!B:B,0)-1,0)</f>
        <v>73</v>
      </c>
      <c r="R97" s="310"/>
      <c r="S97" s="290">
        <v>10</v>
      </c>
      <c r="T97" s="153">
        <v>1</v>
      </c>
      <c r="U97" s="153">
        <v>1</v>
      </c>
      <c r="V97" s="153" t="str">
        <f t="shared" si="31"/>
        <v>303025|10|;400023|750|;</v>
      </c>
      <c r="W97" s="153">
        <f t="shared" si="32"/>
        <v>303025</v>
      </c>
      <c r="X97" s="153">
        <v>10</v>
      </c>
      <c r="Y97" s="153">
        <v>750</v>
      </c>
      <c r="Z97" s="294">
        <v>17</v>
      </c>
      <c r="AA97" s="153" t="s">
        <v>940</v>
      </c>
      <c r="AB97" s="153" t="s">
        <v>649</v>
      </c>
      <c r="AC97" s="170" t="s">
        <v>941</v>
      </c>
      <c r="AD97" s="22">
        <v>2</v>
      </c>
      <c r="AE97" s="173" t="s">
        <v>582</v>
      </c>
      <c r="AF97" s="153" t="s">
        <v>942</v>
      </c>
    </row>
    <row r="98" ht="41.65" spans="1:32">
      <c r="A98" s="307">
        <v>3026</v>
      </c>
      <c r="B98" s="91" t="s">
        <v>478</v>
      </c>
      <c r="C98" s="179" t="s">
        <v>943</v>
      </c>
      <c r="D98" s="186">
        <v>1</v>
      </c>
      <c r="E98" s="186">
        <v>3000</v>
      </c>
      <c r="F98" s="186">
        <v>3</v>
      </c>
      <c r="G98" s="186">
        <v>4</v>
      </c>
      <c r="H98" s="186">
        <v>3</v>
      </c>
      <c r="I98" s="186">
        <v>2</v>
      </c>
      <c r="J98" s="153">
        <v>30</v>
      </c>
      <c r="K98" s="187">
        <f t="shared" si="29"/>
        <v>9</v>
      </c>
      <c r="L98" s="153" t="s">
        <v>578</v>
      </c>
      <c r="M98" s="309"/>
      <c r="N98" s="310">
        <v>1</v>
      </c>
      <c r="O98" s="311">
        <v>2</v>
      </c>
      <c r="P98" s="312">
        <f ca="1" t="shared" si="30"/>
        <v>95</v>
      </c>
      <c r="Q98" s="314">
        <f ca="1">OFFSET(effect!$A$1,MATCH(B98,effect!B:B,0)-1,0)</f>
        <v>95</v>
      </c>
      <c r="R98" s="310"/>
      <c r="S98" s="290">
        <v>10</v>
      </c>
      <c r="T98" s="153">
        <v>1</v>
      </c>
      <c r="V98" s="153" t="str">
        <f t="shared" si="31"/>
        <v>303026|10|;400023|1500|;</v>
      </c>
      <c r="W98" s="153">
        <f t="shared" si="32"/>
        <v>303026</v>
      </c>
      <c r="X98" s="153">
        <v>10</v>
      </c>
      <c r="Y98" s="153">
        <v>1500</v>
      </c>
      <c r="Z98" s="294">
        <v>17</v>
      </c>
      <c r="AA98" s="153" t="s">
        <v>944</v>
      </c>
      <c r="AB98" s="153" t="s">
        <v>649</v>
      </c>
      <c r="AC98" s="170" t="s">
        <v>945</v>
      </c>
      <c r="AD98" s="22">
        <v>2</v>
      </c>
      <c r="AE98" s="173" t="s">
        <v>582</v>
      </c>
      <c r="AF98" s="153" t="s">
        <v>946</v>
      </c>
    </row>
    <row r="99" ht="27.75" spans="1:32">
      <c r="A99" s="308">
        <f>H99*1000+F99*100+K99</f>
        <v>3404</v>
      </c>
      <c r="B99" s="91" t="s">
        <v>947</v>
      </c>
      <c r="C99" s="179" t="s">
        <v>948</v>
      </c>
      <c r="D99" s="186">
        <v>0</v>
      </c>
      <c r="E99" s="186">
        <v>6000</v>
      </c>
      <c r="F99" s="186">
        <v>4</v>
      </c>
      <c r="G99" s="186">
        <v>3</v>
      </c>
      <c r="H99" s="186">
        <v>3</v>
      </c>
      <c r="I99" s="186">
        <v>2</v>
      </c>
      <c r="J99" s="153">
        <v>30</v>
      </c>
      <c r="K99" s="187">
        <v>4</v>
      </c>
      <c r="L99" s="153" t="s">
        <v>578</v>
      </c>
      <c r="M99" s="297">
        <f ca="1">IF(N99=1,OFFSET(effect!$A$1,MATCH(I99,effect!K:K,0)-1,0),0)</f>
        <v>0</v>
      </c>
      <c r="N99" s="153">
        <v>0</v>
      </c>
      <c r="O99" s="313">
        <v>2</v>
      </c>
      <c r="P99" s="170">
        <v>13</v>
      </c>
      <c r="Q99" s="314" t="e">
        <f ca="1">OFFSET(effect!$A$1,MATCH(B99,effect!B:B,0)-1,0)</f>
        <v>#N/A</v>
      </c>
      <c r="R99" s="173"/>
      <c r="S99" s="290">
        <v>10</v>
      </c>
      <c r="T99" s="153">
        <v>1</v>
      </c>
      <c r="V99" s="153" t="str">
        <f t="shared" si="31"/>
        <v>303404|10|;400023|1000|;</v>
      </c>
      <c r="W99" s="153">
        <f t="shared" si="32"/>
        <v>303404</v>
      </c>
      <c r="X99" s="153">
        <v>10</v>
      </c>
      <c r="Y99" s="153">
        <v>1000</v>
      </c>
      <c r="Z99" s="173">
        <v>7</v>
      </c>
      <c r="AB99" s="153" t="s">
        <v>630</v>
      </c>
      <c r="AC99" s="170" t="s">
        <v>949</v>
      </c>
      <c r="AD99" s="22">
        <v>2</v>
      </c>
      <c r="AE99" s="173" t="s">
        <v>582</v>
      </c>
      <c r="AF99" s="153" t="s">
        <v>950</v>
      </c>
    </row>
    <row r="100" ht="41.65" spans="1:32">
      <c r="A100" s="308">
        <f>H100*1000+F100*100+K100</f>
        <v>3405</v>
      </c>
      <c r="B100" s="91" t="s">
        <v>484</v>
      </c>
      <c r="C100" s="179" t="s">
        <v>951</v>
      </c>
      <c r="D100" s="186">
        <v>0</v>
      </c>
      <c r="E100" s="186">
        <v>6000</v>
      </c>
      <c r="F100" s="186">
        <v>4</v>
      </c>
      <c r="G100" s="186">
        <v>4</v>
      </c>
      <c r="H100" s="186">
        <v>3</v>
      </c>
      <c r="I100" s="186">
        <v>2</v>
      </c>
      <c r="J100" s="153">
        <v>30</v>
      </c>
      <c r="K100" s="187">
        <v>5</v>
      </c>
      <c r="L100" s="153" t="s">
        <v>578</v>
      </c>
      <c r="M100" s="309">
        <f>effect!A98</f>
        <v>97</v>
      </c>
      <c r="N100" s="310">
        <v>1</v>
      </c>
      <c r="O100" s="311">
        <v>2</v>
      </c>
      <c r="P100" s="312">
        <f ca="1" t="shared" ref="P100:P105" si="33">Q100</f>
        <v>98</v>
      </c>
      <c r="Q100" s="314">
        <f ca="1">OFFSET(effect!$A$1,MATCH(B100,effect!B:B,0)-1,0)</f>
        <v>98</v>
      </c>
      <c r="R100" s="310"/>
      <c r="S100" s="290">
        <v>10</v>
      </c>
      <c r="T100" s="153">
        <v>1</v>
      </c>
      <c r="V100" s="153" t="str">
        <f t="shared" si="31"/>
        <v>303405|10|;400023|1500|;</v>
      </c>
      <c r="W100" s="153">
        <f t="shared" si="32"/>
        <v>303405</v>
      </c>
      <c r="X100" s="153">
        <v>10</v>
      </c>
      <c r="Y100" s="153">
        <v>1500</v>
      </c>
      <c r="Z100" s="318">
        <v>18</v>
      </c>
      <c r="AB100" s="153" t="s">
        <v>630</v>
      </c>
      <c r="AC100" s="170" t="s">
        <v>952</v>
      </c>
      <c r="AD100" s="22">
        <v>2</v>
      </c>
      <c r="AE100" s="173" t="s">
        <v>582</v>
      </c>
      <c r="AF100" s="153" t="s">
        <v>953</v>
      </c>
    </row>
    <row r="101" ht="41.65" spans="1:32">
      <c r="A101" s="165">
        <v>3029</v>
      </c>
      <c r="B101" s="91" t="s">
        <v>954</v>
      </c>
      <c r="C101" s="179" t="s">
        <v>955</v>
      </c>
      <c r="D101" s="186">
        <v>0</v>
      </c>
      <c r="E101" s="186">
        <v>6000</v>
      </c>
      <c r="F101" s="186">
        <v>5</v>
      </c>
      <c r="G101" s="186">
        <v>3</v>
      </c>
      <c r="H101" s="186">
        <v>3</v>
      </c>
      <c r="I101" s="186">
        <v>2</v>
      </c>
      <c r="J101" s="153">
        <v>30</v>
      </c>
      <c r="K101" s="187">
        <f>IF(H101=H99,K99+1,1)</f>
        <v>5</v>
      </c>
      <c r="L101" s="153" t="s">
        <v>578</v>
      </c>
      <c r="M101" s="297">
        <f ca="1">IF(N101=1,OFFSET(effect!$A$1,MATCH(I101,effect!K:K,0)-1,0),0)</f>
        <v>16</v>
      </c>
      <c r="N101" s="153">
        <v>1</v>
      </c>
      <c r="O101" s="313">
        <v>2</v>
      </c>
      <c r="P101" s="170">
        <v>22</v>
      </c>
      <c r="Q101" s="314" t="e">
        <f ca="1">OFFSET(effect!$A$1,MATCH(B101,effect!B:B,0)-1,0)</f>
        <v>#N/A</v>
      </c>
      <c r="R101" s="173"/>
      <c r="S101" s="290">
        <v>10</v>
      </c>
      <c r="T101" s="153">
        <v>1</v>
      </c>
      <c r="V101" s="153" t="str">
        <f t="shared" si="31"/>
        <v>303029|10|;400023|1000|;</v>
      </c>
      <c r="W101" s="153">
        <f t="shared" si="32"/>
        <v>303029</v>
      </c>
      <c r="X101" s="153">
        <v>10</v>
      </c>
      <c r="Y101" s="153">
        <v>1000</v>
      </c>
      <c r="Z101" s="173">
        <v>20</v>
      </c>
      <c r="AB101" s="153" t="s">
        <v>630</v>
      </c>
      <c r="AC101" s="170" t="s">
        <v>956</v>
      </c>
      <c r="AD101" s="22">
        <v>2</v>
      </c>
      <c r="AE101" s="173" t="s">
        <v>582</v>
      </c>
      <c r="AF101" s="153" t="s">
        <v>957</v>
      </c>
    </row>
    <row r="102" ht="27.75" spans="1:32">
      <c r="A102" s="165">
        <v>3030</v>
      </c>
      <c r="B102" s="91" t="s">
        <v>958</v>
      </c>
      <c r="C102" s="179" t="s">
        <v>959</v>
      </c>
      <c r="D102" s="186">
        <v>0</v>
      </c>
      <c r="E102" s="186">
        <v>6000</v>
      </c>
      <c r="F102" s="186">
        <v>6</v>
      </c>
      <c r="G102" s="186">
        <v>3</v>
      </c>
      <c r="H102" s="186">
        <v>3</v>
      </c>
      <c r="I102" s="186">
        <v>2</v>
      </c>
      <c r="J102" s="153">
        <v>30</v>
      </c>
      <c r="K102" s="187">
        <f>IF(H102=H101,K101+1,1)</f>
        <v>6</v>
      </c>
      <c r="L102" s="153" t="s">
        <v>578</v>
      </c>
      <c r="M102" s="297">
        <f ca="1">IF(N102=1,OFFSET(effect!$A$1,MATCH(I102,effect!K:K,0)-1,0),0)</f>
        <v>16</v>
      </c>
      <c r="N102" s="153">
        <v>1</v>
      </c>
      <c r="O102" s="313">
        <v>2</v>
      </c>
      <c r="P102" s="170">
        <v>13</v>
      </c>
      <c r="Q102" s="314" t="e">
        <f ca="1">OFFSET(effect!$A$1,MATCH(B102,effect!B:B,0)-1,0)</f>
        <v>#N/A</v>
      </c>
      <c r="R102" s="173"/>
      <c r="S102" s="290">
        <v>10</v>
      </c>
      <c r="T102" s="153">
        <v>1</v>
      </c>
      <c r="V102" s="153" t="str">
        <f t="shared" si="31"/>
        <v>303030|10|;400023|1000|;</v>
      </c>
      <c r="W102" s="153">
        <f t="shared" si="32"/>
        <v>303030</v>
      </c>
      <c r="X102" s="153">
        <v>10</v>
      </c>
      <c r="Y102" s="153">
        <v>1000</v>
      </c>
      <c r="Z102" s="173">
        <v>7</v>
      </c>
      <c r="AB102" s="153" t="s">
        <v>630</v>
      </c>
      <c r="AC102" s="170" t="s">
        <v>960</v>
      </c>
      <c r="AD102" s="22">
        <v>2</v>
      </c>
      <c r="AE102" s="173" t="s">
        <v>582</v>
      </c>
      <c r="AF102" s="153" t="s">
        <v>961</v>
      </c>
    </row>
    <row r="103" ht="27.75" spans="1:32">
      <c r="A103" s="307">
        <v>10001</v>
      </c>
      <c r="B103" s="153" t="s">
        <v>962</v>
      </c>
      <c r="C103" s="186" t="s">
        <v>577</v>
      </c>
      <c r="D103" s="186">
        <v>0</v>
      </c>
      <c r="E103" s="186">
        <v>9000</v>
      </c>
      <c r="F103" s="153">
        <v>1</v>
      </c>
      <c r="G103" s="153">
        <v>1</v>
      </c>
      <c r="H103" s="186">
        <v>1</v>
      </c>
      <c r="I103" s="153">
        <v>6</v>
      </c>
      <c r="J103" s="153">
        <v>30</v>
      </c>
      <c r="K103" s="187">
        <v>1</v>
      </c>
      <c r="L103" s="153" t="s">
        <v>578</v>
      </c>
      <c r="M103" s="309">
        <v>0</v>
      </c>
      <c r="N103" s="310">
        <v>1</v>
      </c>
      <c r="O103" s="311">
        <v>2</v>
      </c>
      <c r="P103" s="314">
        <v>79</v>
      </c>
      <c r="Q103" s="314" t="e">
        <f ca="1">OFFSET(effect!$A$1,MATCH(B103,effect!B:B,0)-1,0)</f>
        <v>#N/A</v>
      </c>
      <c r="R103" s="310"/>
      <c r="S103" s="290">
        <v>10</v>
      </c>
      <c r="T103" s="153">
        <v>1</v>
      </c>
      <c r="Z103" s="173">
        <v>20</v>
      </c>
      <c r="AA103" s="153" t="s">
        <v>963</v>
      </c>
      <c r="AC103" s="170"/>
      <c r="AD103" s="22">
        <v>2</v>
      </c>
      <c r="AE103" s="173"/>
      <c r="AF103" s="153" t="s">
        <v>964</v>
      </c>
    </row>
    <row r="104" ht="27.75" spans="1:32">
      <c r="A104" s="307">
        <v>10002</v>
      </c>
      <c r="B104" s="153" t="s">
        <v>439</v>
      </c>
      <c r="C104" s="179" t="s">
        <v>686</v>
      </c>
      <c r="D104" s="186">
        <v>0</v>
      </c>
      <c r="E104" s="186">
        <v>9000</v>
      </c>
      <c r="F104" s="153">
        <v>1</v>
      </c>
      <c r="G104" s="153">
        <v>1</v>
      </c>
      <c r="H104" s="186">
        <v>1</v>
      </c>
      <c r="I104" s="153">
        <v>6</v>
      </c>
      <c r="J104" s="153">
        <v>30</v>
      </c>
      <c r="K104" s="187">
        <v>2</v>
      </c>
      <c r="L104" s="153" t="s">
        <v>578</v>
      </c>
      <c r="M104" s="309">
        <v>0</v>
      </c>
      <c r="N104" s="310">
        <v>1</v>
      </c>
      <c r="O104" s="311">
        <v>2</v>
      </c>
      <c r="P104" s="312">
        <f ca="1" t="shared" si="33"/>
        <v>75</v>
      </c>
      <c r="Q104" s="314">
        <f ca="1">OFFSET(effect!$A$1,MATCH(B104,effect!B:B,0)-1,0)</f>
        <v>75</v>
      </c>
      <c r="R104" s="310"/>
      <c r="S104" s="290">
        <v>10</v>
      </c>
      <c r="T104" s="153">
        <v>1</v>
      </c>
      <c r="Z104" s="173">
        <v>20</v>
      </c>
      <c r="AA104" s="153" t="s">
        <v>965</v>
      </c>
      <c r="AC104" s="170"/>
      <c r="AD104" s="22">
        <v>2</v>
      </c>
      <c r="AE104" s="173"/>
      <c r="AF104" s="153" t="s">
        <v>966</v>
      </c>
    </row>
    <row r="105" ht="27.75" spans="1:32">
      <c r="A105" s="307">
        <v>10003</v>
      </c>
      <c r="B105" s="153" t="s">
        <v>455</v>
      </c>
      <c r="C105" s="186" t="s">
        <v>967</v>
      </c>
      <c r="D105" s="186">
        <v>0</v>
      </c>
      <c r="E105" s="186">
        <v>9000</v>
      </c>
      <c r="F105" s="153">
        <v>1</v>
      </c>
      <c r="G105" s="153">
        <v>1</v>
      </c>
      <c r="H105" s="186">
        <v>1</v>
      </c>
      <c r="I105" s="153">
        <v>6</v>
      </c>
      <c r="J105" s="153">
        <v>30</v>
      </c>
      <c r="K105" s="187">
        <v>3</v>
      </c>
      <c r="L105" s="153" t="s">
        <v>578</v>
      </c>
      <c r="M105" s="309">
        <v>0</v>
      </c>
      <c r="N105" s="310">
        <v>1</v>
      </c>
      <c r="O105" s="311">
        <v>2</v>
      </c>
      <c r="P105" s="312">
        <f ca="1" t="shared" si="33"/>
        <v>83</v>
      </c>
      <c r="Q105" s="314">
        <f ca="1">OFFSET(effect!$A$1,MATCH(B105,effect!B:B,0)-1,0)</f>
        <v>83</v>
      </c>
      <c r="R105" s="310"/>
      <c r="S105" s="290">
        <v>10</v>
      </c>
      <c r="T105" s="153">
        <v>1</v>
      </c>
      <c r="Z105" s="173">
        <v>7</v>
      </c>
      <c r="AA105" s="153" t="s">
        <v>968</v>
      </c>
      <c r="AC105" s="170"/>
      <c r="AD105" s="22">
        <v>2</v>
      </c>
      <c r="AE105" s="173"/>
      <c r="AF105" s="153" t="s">
        <v>969</v>
      </c>
    </row>
    <row r="106" ht="27.75" spans="1:32">
      <c r="A106" s="307">
        <v>30004</v>
      </c>
      <c r="B106" s="153" t="s">
        <v>970</v>
      </c>
      <c r="C106" s="186" t="s">
        <v>971</v>
      </c>
      <c r="D106" s="186">
        <v>0</v>
      </c>
      <c r="E106" s="186">
        <v>9000</v>
      </c>
      <c r="F106" s="153">
        <v>1</v>
      </c>
      <c r="G106" s="153">
        <v>1</v>
      </c>
      <c r="H106" s="186">
        <v>3</v>
      </c>
      <c r="I106" s="153">
        <v>3</v>
      </c>
      <c r="J106" s="153">
        <v>30</v>
      </c>
      <c r="K106" s="187">
        <v>4</v>
      </c>
      <c r="L106" s="153" t="s">
        <v>578</v>
      </c>
      <c r="M106" s="309"/>
      <c r="N106" s="310">
        <v>1</v>
      </c>
      <c r="O106" s="311">
        <v>2</v>
      </c>
      <c r="P106" s="314">
        <f>effect!A44</f>
        <v>40</v>
      </c>
      <c r="Q106" s="314" t="e">
        <f ca="1">OFFSET(effect!$A$1,MATCH(B106,effect!B:B,0)-1,0)</f>
        <v>#N/A</v>
      </c>
      <c r="R106" s="310"/>
      <c r="S106" s="290">
        <v>10</v>
      </c>
      <c r="T106" s="153">
        <v>1</v>
      </c>
      <c r="Z106" s="173">
        <v>28</v>
      </c>
      <c r="AA106" s="153" t="s">
        <v>972</v>
      </c>
      <c r="AC106" s="170"/>
      <c r="AD106" s="22">
        <v>2</v>
      </c>
      <c r="AE106" s="173"/>
      <c r="AF106" s="153" t="s">
        <v>973</v>
      </c>
    </row>
    <row r="107" spans="1:32">
      <c r="A107" s="307">
        <v>30005</v>
      </c>
      <c r="B107" s="153" t="s">
        <v>974</v>
      </c>
      <c r="C107" s="186" t="s">
        <v>975</v>
      </c>
      <c r="D107" s="186">
        <v>0</v>
      </c>
      <c r="E107" s="186">
        <v>9000</v>
      </c>
      <c r="F107" s="153">
        <v>1</v>
      </c>
      <c r="G107" s="153">
        <v>1</v>
      </c>
      <c r="H107" s="186">
        <v>3</v>
      </c>
      <c r="I107" s="153">
        <v>3</v>
      </c>
      <c r="J107" s="153">
        <v>30</v>
      </c>
      <c r="K107" s="187">
        <v>5</v>
      </c>
      <c r="L107" s="153" t="s">
        <v>578</v>
      </c>
      <c r="M107" s="297">
        <f ca="1">IF(N107=1,OFFSET(effect!$A$1,MATCH(I107,effect!K:K,0)-1,0),0)</f>
        <v>17</v>
      </c>
      <c r="N107" s="153">
        <v>1</v>
      </c>
      <c r="O107" s="313">
        <v>1</v>
      </c>
      <c r="P107" s="170">
        <f ca="1">IF(M107=0,0,12)</f>
        <v>12</v>
      </c>
      <c r="Q107" s="314" t="e">
        <f ca="1">OFFSET(effect!$A$1,MATCH(B107,effect!B:B,0)-1,0)</f>
        <v>#N/A</v>
      </c>
      <c r="R107" s="316"/>
      <c r="S107" s="290">
        <v>10</v>
      </c>
      <c r="T107" s="153">
        <v>1</v>
      </c>
      <c r="Z107" s="318">
        <v>16</v>
      </c>
      <c r="AA107" s="153" t="s">
        <v>976</v>
      </c>
      <c r="AC107" s="170"/>
      <c r="AD107" s="22">
        <v>2</v>
      </c>
      <c r="AE107" s="173"/>
      <c r="AF107" s="153" t="s">
        <v>977</v>
      </c>
    </row>
    <row r="108" spans="1:32">
      <c r="A108" s="307">
        <v>30006</v>
      </c>
      <c r="B108" s="153" t="s">
        <v>978</v>
      </c>
      <c r="C108" s="186" t="s">
        <v>979</v>
      </c>
      <c r="D108" s="186">
        <v>0</v>
      </c>
      <c r="E108" s="186">
        <v>9000</v>
      </c>
      <c r="F108" s="153">
        <v>1</v>
      </c>
      <c r="G108" s="153">
        <v>1</v>
      </c>
      <c r="H108" s="186">
        <v>3</v>
      </c>
      <c r="I108" s="153">
        <v>6</v>
      </c>
      <c r="J108" s="153">
        <v>30</v>
      </c>
      <c r="K108" s="187">
        <v>6</v>
      </c>
      <c r="L108" s="153" t="s">
        <v>578</v>
      </c>
      <c r="M108" s="309">
        <f ca="1">IF(N108=1,OFFSET(effect!$A$1,MATCH(I108,effect!K:K,0)-1,0),0)</f>
        <v>0</v>
      </c>
      <c r="N108" s="310">
        <v>3</v>
      </c>
      <c r="O108" s="311">
        <v>1</v>
      </c>
      <c r="P108" s="312">
        <f>effect!A64</f>
        <v>61</v>
      </c>
      <c r="Q108" s="314" t="e">
        <f ca="1">OFFSET(effect!$A$1,MATCH(B108,effect!B:B,0)-1,0)</f>
        <v>#N/A</v>
      </c>
      <c r="R108" s="310"/>
      <c r="S108" s="290">
        <v>10</v>
      </c>
      <c r="T108" s="153">
        <v>1</v>
      </c>
      <c r="Z108" s="318">
        <v>24</v>
      </c>
      <c r="AA108" s="153" t="s">
        <v>980</v>
      </c>
      <c r="AC108" s="170"/>
      <c r="AD108" s="22">
        <v>2</v>
      </c>
      <c r="AE108" s="173"/>
      <c r="AF108" s="153" t="s">
        <v>981</v>
      </c>
    </row>
    <row r="109" spans="1:32">
      <c r="A109" s="307">
        <v>30007</v>
      </c>
      <c r="B109" s="153" t="s">
        <v>982</v>
      </c>
      <c r="C109" s="186" t="s">
        <v>983</v>
      </c>
      <c r="D109" s="186">
        <v>0</v>
      </c>
      <c r="E109" s="186">
        <v>9000</v>
      </c>
      <c r="F109" s="153">
        <v>1</v>
      </c>
      <c r="G109" s="153">
        <v>1</v>
      </c>
      <c r="H109" s="186">
        <v>3</v>
      </c>
      <c r="I109" s="153">
        <v>2</v>
      </c>
      <c r="J109" s="153">
        <v>30</v>
      </c>
      <c r="K109" s="187">
        <v>7</v>
      </c>
      <c r="L109" s="153" t="s">
        <v>578</v>
      </c>
      <c r="M109" s="309"/>
      <c r="N109" s="310">
        <v>1</v>
      </c>
      <c r="O109" s="311">
        <v>1</v>
      </c>
      <c r="P109" s="314">
        <v>76</v>
      </c>
      <c r="Q109" s="314" t="e">
        <f ca="1">OFFSET(effect!$A$1,MATCH(B109,effect!B:B,0)-1,0)</f>
        <v>#N/A</v>
      </c>
      <c r="R109" s="310"/>
      <c r="S109" s="290">
        <v>10</v>
      </c>
      <c r="T109" s="153">
        <v>1</v>
      </c>
      <c r="Z109" s="318">
        <v>16</v>
      </c>
      <c r="AA109" s="153" t="s">
        <v>984</v>
      </c>
      <c r="AC109" s="170"/>
      <c r="AD109" s="22">
        <v>2</v>
      </c>
      <c r="AE109" s="173"/>
      <c r="AF109" s="153" t="s">
        <v>985</v>
      </c>
    </row>
    <row r="110" ht="27.75" spans="1:32">
      <c r="A110" s="307">
        <v>10008</v>
      </c>
      <c r="B110" s="153" t="s">
        <v>459</v>
      </c>
      <c r="C110" s="186" t="s">
        <v>986</v>
      </c>
      <c r="D110" s="186">
        <v>0</v>
      </c>
      <c r="E110" s="186">
        <v>9000</v>
      </c>
      <c r="F110" s="153">
        <v>1</v>
      </c>
      <c r="G110" s="153">
        <v>2</v>
      </c>
      <c r="H110" s="186">
        <v>1</v>
      </c>
      <c r="I110" s="153">
        <v>6</v>
      </c>
      <c r="J110" s="153">
        <v>30</v>
      </c>
      <c r="K110" s="187">
        <v>8</v>
      </c>
      <c r="L110" s="153" t="s">
        <v>578</v>
      </c>
      <c r="M110" s="309">
        <f>effect!A85</f>
        <v>84</v>
      </c>
      <c r="N110" s="310">
        <v>1</v>
      </c>
      <c r="O110" s="311">
        <v>2</v>
      </c>
      <c r="P110" s="312">
        <f ca="1" t="shared" ref="P110:P112" si="34">Q110</f>
        <v>85</v>
      </c>
      <c r="Q110" s="314">
        <f ca="1">OFFSET(effect!$A$1,MATCH(B110,effect!B:B,0)-1,0)</f>
        <v>85</v>
      </c>
      <c r="R110" s="310"/>
      <c r="S110" s="290">
        <v>10</v>
      </c>
      <c r="T110" s="153">
        <v>1</v>
      </c>
      <c r="Z110" s="173">
        <v>20</v>
      </c>
      <c r="AA110" s="153" t="s">
        <v>987</v>
      </c>
      <c r="AC110" s="170"/>
      <c r="AD110" s="22">
        <v>2</v>
      </c>
      <c r="AE110" s="173"/>
      <c r="AF110" s="153" t="s">
        <v>988</v>
      </c>
    </row>
    <row r="111" ht="27.75" spans="1:31">
      <c r="A111" s="307">
        <v>30009</v>
      </c>
      <c r="B111" s="79" t="s">
        <v>467</v>
      </c>
      <c r="C111" s="186" t="s">
        <v>971</v>
      </c>
      <c r="D111" s="186">
        <v>0</v>
      </c>
      <c r="E111" s="186">
        <v>9000</v>
      </c>
      <c r="F111" s="153">
        <v>1</v>
      </c>
      <c r="G111" s="153">
        <v>2</v>
      </c>
      <c r="H111" s="186">
        <v>3</v>
      </c>
      <c r="I111" s="153">
        <v>1</v>
      </c>
      <c r="J111" s="153">
        <v>30</v>
      </c>
      <c r="K111" s="187">
        <v>9</v>
      </c>
      <c r="L111" s="153" t="s">
        <v>989</v>
      </c>
      <c r="M111" s="310"/>
      <c r="N111" s="310">
        <v>1</v>
      </c>
      <c r="O111" s="311">
        <v>2</v>
      </c>
      <c r="P111" s="312">
        <f ca="1" t="shared" si="34"/>
        <v>89</v>
      </c>
      <c r="Q111" s="314">
        <f ca="1">OFFSET(effect!$A$1,MATCH(B111,effect!B:B,0)-1,0)</f>
        <v>89</v>
      </c>
      <c r="R111" s="310"/>
      <c r="T111" s="153">
        <v>1</v>
      </c>
      <c r="Z111" s="173">
        <v>30</v>
      </c>
      <c r="AA111" s="153" t="s">
        <v>990</v>
      </c>
      <c r="AC111" s="170"/>
      <c r="AD111" s="22">
        <v>2</v>
      </c>
      <c r="AE111" s="173"/>
    </row>
    <row r="112" ht="27.75" spans="1:31">
      <c r="A112" s="307">
        <v>30010</v>
      </c>
      <c r="B112" s="79" t="s">
        <v>469</v>
      </c>
      <c r="C112" s="186" t="s">
        <v>971</v>
      </c>
      <c r="D112" s="186">
        <v>0</v>
      </c>
      <c r="E112" s="186">
        <v>9000</v>
      </c>
      <c r="F112" s="153">
        <v>1</v>
      </c>
      <c r="G112" s="153">
        <v>2</v>
      </c>
      <c r="H112" s="186">
        <v>3</v>
      </c>
      <c r="I112" s="153">
        <v>1</v>
      </c>
      <c r="J112" s="153">
        <v>30</v>
      </c>
      <c r="K112" s="187">
        <v>10</v>
      </c>
      <c r="L112" s="153" t="s">
        <v>991</v>
      </c>
      <c r="M112" s="310"/>
      <c r="N112" s="310">
        <v>1</v>
      </c>
      <c r="O112" s="311">
        <v>2</v>
      </c>
      <c r="P112" s="312">
        <f ca="1" t="shared" si="34"/>
        <v>90</v>
      </c>
      <c r="Q112" s="314">
        <f ca="1">OFFSET(effect!$A$1,MATCH(B112,effect!B:B,0)-1,0)</f>
        <v>90</v>
      </c>
      <c r="R112" s="310"/>
      <c r="T112" s="153">
        <v>1</v>
      </c>
      <c r="Z112" s="173">
        <v>29</v>
      </c>
      <c r="AA112" s="153" t="s">
        <v>992</v>
      </c>
      <c r="AC112" s="170"/>
      <c r="AD112" s="22">
        <v>2</v>
      </c>
      <c r="AE112" s="173"/>
    </row>
  </sheetData>
  <autoFilter xmlns:etc="http://www.wps.cn/officeDocument/2017/etCustomData" ref="A5:AK112" etc:filterBottomFollowUsedRange="0">
    <extLst/>
  </autoFilter>
  <conditionalFormatting sqref="AD3">
    <cfRule type="duplicateValues" dxfId="9" priority="9"/>
  </conditionalFormatting>
  <conditionalFormatting sqref="AA39">
    <cfRule type="duplicateValues" dxfId="9" priority="1"/>
  </conditionalFormatting>
  <conditionalFormatting sqref="B71">
    <cfRule type="duplicateValues" dxfId="9" priority="3"/>
  </conditionalFormatting>
  <conditionalFormatting sqref="B80">
    <cfRule type="duplicateValues" dxfId="9" priority="4"/>
  </conditionalFormatting>
  <conditionalFormatting sqref="B110">
    <cfRule type="duplicateValues" dxfId="9" priority="6"/>
  </conditionalFormatting>
  <conditionalFormatting sqref="A1:A5">
    <cfRule type="duplicateValues" dxfId="9" priority="10"/>
  </conditionalFormatting>
  <conditionalFormatting sqref="B108:B109">
    <cfRule type="duplicateValues" dxfId="9" priority="7"/>
  </conditionalFormatting>
  <conditionalFormatting sqref="AA1:AA38 AA40:AA1048576">
    <cfRule type="duplicateValues" dxfId="9" priority="2"/>
  </conditionalFormatting>
  <conditionalFormatting sqref="B31:B32 B37">
    <cfRule type="duplicateValues" dxfId="9" priority="5"/>
  </conditionalFormatting>
  <conditionalFormatting sqref="B104:B105 B107">
    <cfRule type="duplicateValues" dxfId="9" priority="8"/>
  </conditionalFormatting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Q2458"/>
  <sheetViews>
    <sheetView zoomScale="70" zoomScaleNormal="70" workbookViewId="0">
      <pane xSplit="4" ySplit="5" topLeftCell="E1963" activePane="bottomRight" state="frozen"/>
      <selection/>
      <selection pane="topRight"/>
      <selection pane="bottomLeft"/>
      <selection pane="bottomRight" activeCell="F1967" sqref="F1967"/>
    </sheetView>
  </sheetViews>
  <sheetFormatPr defaultColWidth="9" defaultRowHeight="15"/>
  <cols>
    <col min="1" max="1" width="9.6283185840708" style="153" customWidth="1"/>
    <col min="2" max="2" width="9.12389380530973" style="153" customWidth="1"/>
    <col min="3" max="3" width="8.75221238938053" style="153" customWidth="1"/>
    <col min="4" max="4" width="8.24778761061947" style="153" customWidth="1"/>
    <col min="5" max="5" width="24.1238938053097" style="153" customWidth="1"/>
    <col min="6" max="6" width="55.7522123893805" style="153" customWidth="1"/>
    <col min="7" max="7" width="7.12389380530973" style="153" customWidth="1"/>
    <col min="8" max="9" width="6" style="153" customWidth="1"/>
    <col min="10" max="10" width="5.12389380530973" style="79" customWidth="1"/>
    <col min="11" max="11" width="5.12389380530973" style="81" customWidth="1"/>
    <col min="12" max="13" width="8.12389380530973" style="153" customWidth="1"/>
    <col min="14" max="14" width="10.2477876106195" style="153" customWidth="1"/>
    <col min="15" max="15" width="7" style="153" customWidth="1"/>
    <col min="16" max="16" width="8" style="153" customWidth="1"/>
    <col min="17" max="17" width="9.24778761061947" style="153" customWidth="1"/>
    <col min="18" max="18" width="7.87610619469027" style="153" customWidth="1"/>
    <col min="19" max="19" width="11.6283185840708" style="153" customWidth="1"/>
    <col min="20" max="20" width="9.75221238938053" style="153" customWidth="1"/>
    <col min="21" max="21" width="8.3716814159292" style="153" customWidth="1"/>
    <col min="22" max="22" width="21" style="153" customWidth="1"/>
    <col min="23" max="23" width="8.87610619469027" style="153" customWidth="1"/>
    <col min="24" max="24" width="9.24778761061947" style="153" customWidth="1"/>
    <col min="25" max="25" width="4.75221238938053" style="153" customWidth="1"/>
    <col min="26" max="26" width="5.50442477876106" style="153" customWidth="1"/>
    <col min="27" max="28" width="13.6283185840708" style="153" customWidth="1"/>
    <col min="29" max="30" width="9.12389380530973" style="153" customWidth="1"/>
    <col min="31" max="31" width="9.50442477876106" style="153" customWidth="1"/>
    <col min="32" max="33" width="11.5044247787611" style="153" customWidth="1"/>
    <col min="34" max="34" width="5.50442477876106" style="153" customWidth="1"/>
    <col min="35" max="35" width="6.24778761061947" style="153" customWidth="1"/>
    <col min="36" max="36" width="25" style="153" customWidth="1"/>
    <col min="37" max="37" width="8.12389380530973" style="153" customWidth="1"/>
    <col min="38" max="38" width="4.3716814159292" style="153" customWidth="1"/>
    <col min="39" max="39" width="10" style="153" customWidth="1"/>
    <col min="40" max="40" width="17.5044247787611" style="153" customWidth="1"/>
    <col min="41" max="41" width="13.5044247787611" style="153" customWidth="1"/>
    <col min="42" max="42" width="14.8761061946903" style="153" customWidth="1"/>
    <col min="43" max="16384" width="9" style="153"/>
  </cols>
  <sheetData>
    <row r="1" spans="1:39">
      <c r="A1" s="153" t="s">
        <v>13</v>
      </c>
      <c r="J1" s="153">
        <v>5</v>
      </c>
      <c r="K1" s="303">
        <v>4</v>
      </c>
      <c r="L1" s="153">
        <v>5</v>
      </c>
      <c r="M1" s="153">
        <v>5</v>
      </c>
      <c r="N1" s="153">
        <v>10</v>
      </c>
      <c r="S1" s="153">
        <v>3</v>
      </c>
      <c r="W1" s="153">
        <v>0.3</v>
      </c>
      <c r="AA1" s="153">
        <v>6</v>
      </c>
      <c r="AF1" s="153" t="s">
        <v>90</v>
      </c>
      <c r="AJ1" s="153" t="s">
        <v>528</v>
      </c>
      <c r="AM1" s="153">
        <v>400023</v>
      </c>
    </row>
    <row r="2" s="169" customFormat="1" ht="195" spans="1:43">
      <c r="A2" s="153" t="s">
        <v>270</v>
      </c>
      <c r="B2" s="153" t="s">
        <v>271</v>
      </c>
      <c r="C2" s="169" t="s">
        <v>533</v>
      </c>
      <c r="D2" s="169" t="s">
        <v>534</v>
      </c>
      <c r="E2" s="153" t="s">
        <v>993</v>
      </c>
      <c r="F2" s="153" t="s">
        <v>551</v>
      </c>
      <c r="G2" s="169" t="s">
        <v>994</v>
      </c>
      <c r="H2" s="169" t="s">
        <v>995</v>
      </c>
      <c r="I2" s="169" t="s">
        <v>996</v>
      </c>
      <c r="J2" s="153" t="s">
        <v>997</v>
      </c>
      <c r="K2" s="303" t="s">
        <v>998</v>
      </c>
      <c r="L2" s="169" t="s">
        <v>999</v>
      </c>
      <c r="M2" s="169" t="s">
        <v>1000</v>
      </c>
      <c r="N2" s="169" t="s">
        <v>1001</v>
      </c>
      <c r="O2" s="169" t="s">
        <v>1002</v>
      </c>
      <c r="P2" s="169" t="s">
        <v>1003</v>
      </c>
      <c r="Q2" s="169" t="s">
        <v>1004</v>
      </c>
      <c r="R2" s="169" t="s">
        <v>539</v>
      </c>
      <c r="S2" s="169" t="s">
        <v>1005</v>
      </c>
      <c r="T2" s="169" t="s">
        <v>1006</v>
      </c>
      <c r="U2" s="169" t="s">
        <v>1007</v>
      </c>
      <c r="V2" s="169" t="s">
        <v>1008</v>
      </c>
      <c r="W2" s="168" t="s">
        <v>1009</v>
      </c>
      <c r="X2" s="169" t="s">
        <v>1010</v>
      </c>
      <c r="Y2" s="169" t="s">
        <v>1011</v>
      </c>
      <c r="Z2" s="169" t="s">
        <v>1012</v>
      </c>
      <c r="AA2" s="169" t="s">
        <v>1013</v>
      </c>
      <c r="AB2" s="169" t="s">
        <v>1014</v>
      </c>
      <c r="AC2" s="169" t="s">
        <v>1015</v>
      </c>
      <c r="AD2" s="169" t="s">
        <v>1016</v>
      </c>
      <c r="AE2" s="169" t="s">
        <v>1017</v>
      </c>
      <c r="AF2" s="169" t="s">
        <v>1018</v>
      </c>
      <c r="AG2" s="169" t="s">
        <v>1019</v>
      </c>
      <c r="AH2" s="168" t="s">
        <v>1020</v>
      </c>
      <c r="AI2" s="168" t="s">
        <v>1021</v>
      </c>
      <c r="AJ2" s="169" t="s">
        <v>1022</v>
      </c>
      <c r="AK2" s="169" t="s">
        <v>1023</v>
      </c>
      <c r="AL2" s="169" t="s">
        <v>548</v>
      </c>
      <c r="AM2" s="169" t="s">
        <v>1024</v>
      </c>
      <c r="AN2" s="169" t="s">
        <v>1025</v>
      </c>
      <c r="AO2" s="305" t="s">
        <v>1026</v>
      </c>
      <c r="AP2" s="169" t="s">
        <v>1027</v>
      </c>
      <c r="AQ2" s="169" t="s">
        <v>1028</v>
      </c>
    </row>
    <row r="3" spans="1:43">
      <c r="A3" s="153" t="s">
        <v>109</v>
      </c>
      <c r="B3" s="153" t="s">
        <v>110</v>
      </c>
      <c r="C3" s="153" t="s">
        <v>109</v>
      </c>
      <c r="D3" s="153" t="s">
        <v>109</v>
      </c>
      <c r="E3" s="153" t="s">
        <v>110</v>
      </c>
      <c r="F3" s="153" t="s">
        <v>110</v>
      </c>
      <c r="J3" s="153"/>
      <c r="K3" s="303"/>
      <c r="L3" s="153" t="s">
        <v>109</v>
      </c>
      <c r="N3" s="153" t="s">
        <v>109</v>
      </c>
      <c r="O3" s="153" t="s">
        <v>110</v>
      </c>
      <c r="P3" s="153" t="s">
        <v>109</v>
      </c>
      <c r="Q3" s="153" t="s">
        <v>109</v>
      </c>
      <c r="R3" s="153" t="s">
        <v>109</v>
      </c>
      <c r="S3" s="153" t="s">
        <v>109</v>
      </c>
      <c r="T3" s="153" t="s">
        <v>109</v>
      </c>
      <c r="V3" s="153" t="s">
        <v>283</v>
      </c>
      <c r="W3" s="167"/>
      <c r="AA3" s="153" t="s">
        <v>109</v>
      </c>
      <c r="AC3" s="153" t="s">
        <v>109</v>
      </c>
      <c r="AD3" s="153" t="s">
        <v>109</v>
      </c>
      <c r="AE3" s="153" t="s">
        <v>109</v>
      </c>
      <c r="AF3" s="153" t="s">
        <v>110</v>
      </c>
      <c r="AH3" s="167" t="s">
        <v>109</v>
      </c>
      <c r="AI3" s="167" t="s">
        <v>109</v>
      </c>
      <c r="AJ3" s="153" t="s">
        <v>110</v>
      </c>
      <c r="AN3" s="153" t="s">
        <v>109</v>
      </c>
      <c r="AO3" s="303" t="s">
        <v>109</v>
      </c>
      <c r="AP3" s="153" t="s">
        <v>110</v>
      </c>
      <c r="AQ3" s="153" t="s">
        <v>109</v>
      </c>
    </row>
    <row r="4" spans="1:43">
      <c r="A4" s="153" t="s">
        <v>270</v>
      </c>
      <c r="B4" s="153" t="s">
        <v>64</v>
      </c>
      <c r="C4" s="153" t="s">
        <v>559</v>
      </c>
      <c r="D4" s="153" t="s">
        <v>560</v>
      </c>
      <c r="E4" s="153" t="s">
        <v>1029</v>
      </c>
      <c r="F4" s="153" t="s">
        <v>1030</v>
      </c>
      <c r="J4" s="153"/>
      <c r="K4" s="303"/>
      <c r="L4" s="153" t="s">
        <v>1031</v>
      </c>
      <c r="N4" s="153" t="s">
        <v>1032</v>
      </c>
      <c r="O4" s="153" t="s">
        <v>1033</v>
      </c>
      <c r="P4" s="153" t="s">
        <v>1034</v>
      </c>
      <c r="Q4" s="153" t="s">
        <v>8</v>
      </c>
      <c r="R4" s="153" t="s">
        <v>67</v>
      </c>
      <c r="S4" s="153" t="s">
        <v>1035</v>
      </c>
      <c r="T4" s="153" t="s">
        <v>1036</v>
      </c>
      <c r="V4" s="153" t="s">
        <v>1037</v>
      </c>
      <c r="W4" s="167"/>
      <c r="AA4" s="153" t="s">
        <v>1038</v>
      </c>
      <c r="AC4" s="153" t="s">
        <v>1039</v>
      </c>
      <c r="AD4" s="153" t="s">
        <v>1040</v>
      </c>
      <c r="AE4" s="153" t="s">
        <v>1041</v>
      </c>
      <c r="AF4" s="153" t="s">
        <v>1042</v>
      </c>
      <c r="AH4" s="167" t="s">
        <v>1043</v>
      </c>
      <c r="AI4" s="167" t="s">
        <v>1044</v>
      </c>
      <c r="AJ4" s="153" t="s">
        <v>1045</v>
      </c>
      <c r="AN4" s="153" t="s">
        <v>1046</v>
      </c>
      <c r="AO4" s="303" t="s">
        <v>1047</v>
      </c>
      <c r="AP4" s="153" t="s">
        <v>1048</v>
      </c>
      <c r="AQ4" s="153" t="s">
        <v>1049</v>
      </c>
    </row>
    <row r="5" spans="1:41">
      <c r="A5" s="153" t="s">
        <v>270</v>
      </c>
      <c r="C5" s="153" t="s">
        <v>559</v>
      </c>
      <c r="D5" s="153" t="s">
        <v>560</v>
      </c>
      <c r="K5" s="303"/>
      <c r="L5" s="153" t="s">
        <v>1031</v>
      </c>
      <c r="N5" s="153" t="s">
        <v>1032</v>
      </c>
      <c r="O5" s="153" t="s">
        <v>1033</v>
      </c>
      <c r="P5" s="153" t="s">
        <v>1034</v>
      </c>
      <c r="Q5" s="153" t="s">
        <v>8</v>
      </c>
      <c r="R5" s="153" t="s">
        <v>67</v>
      </c>
      <c r="S5" s="153" t="s">
        <v>1035</v>
      </c>
      <c r="T5" s="153" t="s">
        <v>1036</v>
      </c>
      <c r="V5" s="153" t="s">
        <v>1037</v>
      </c>
      <c r="W5" s="167"/>
      <c r="AA5" s="153" t="s">
        <v>1038</v>
      </c>
      <c r="AC5" s="153" t="s">
        <v>1039</v>
      </c>
      <c r="AD5" s="153" t="s">
        <v>1040</v>
      </c>
      <c r="AE5" s="153" t="s">
        <v>1041</v>
      </c>
      <c r="AF5" s="153" t="s">
        <v>1042</v>
      </c>
      <c r="AH5" s="167" t="s">
        <v>1043</v>
      </c>
      <c r="AI5" s="167" t="s">
        <v>1044</v>
      </c>
      <c r="AJ5" s="153" t="s">
        <v>1045</v>
      </c>
      <c r="AN5" s="153" t="s">
        <v>1046</v>
      </c>
      <c r="AO5" s="303"/>
    </row>
    <row r="6" spans="1:42">
      <c r="A6" s="153">
        <f ca="1" t="shared" ref="A6:A69" si="0">Q6*1000+N6</f>
        <v>1001001</v>
      </c>
      <c r="B6" s="91" t="s">
        <v>508</v>
      </c>
      <c r="C6" s="186">
        <v>1</v>
      </c>
      <c r="D6" s="186">
        <v>6</v>
      </c>
      <c r="E6" s="165" t="s">
        <v>577</v>
      </c>
      <c r="F6" s="165"/>
      <c r="G6" s="186">
        <v>-3</v>
      </c>
      <c r="H6" s="186">
        <f ca="1" t="shared" ref="H6:H65" si="1">IF(R6=0,Y6,0)</f>
        <v>0</v>
      </c>
      <c r="I6" s="186"/>
      <c r="J6" s="186">
        <f ca="1">OFFSET(card_type!$F$1,MATCH(Q6,card_type!A:A,0)-1,0)</f>
        <v>1</v>
      </c>
      <c r="K6" s="243">
        <f ca="1">OFFSET(card_type!$G$1,MATCH(Q6,card_type!A:A,0)-1,0)</f>
        <v>1</v>
      </c>
      <c r="L6" s="157">
        <v>1</v>
      </c>
      <c r="M6" s="157">
        <f ca="1">L6-H6</f>
        <v>1</v>
      </c>
      <c r="N6" s="153">
        <f t="shared" ref="N6:N69" si="2">IF(B5=B6,N5+1,1)</f>
        <v>1</v>
      </c>
      <c r="O6" s="157"/>
      <c r="P6" s="157"/>
      <c r="Q6" s="153">
        <f ca="1">OFFSET(card_type!$A$1,MATCH(card!B6,card_type!B:B,0)-1,0)</f>
        <v>1001</v>
      </c>
      <c r="R6" s="153">
        <v>1</v>
      </c>
      <c r="S6" s="157">
        <f ca="1">ROUND(IF(R6=0,0,IF(R6=1,X6*$S$1,IF(R6=2,X6*$S$1*buff的资质计算!$E$2,IF(R6=3,X6*$S$1*buff的资质计算!$E$3,0)))),0)*0</f>
        <v>0</v>
      </c>
      <c r="T6" s="153">
        <v>1</v>
      </c>
      <c r="U6" s="153">
        <f ca="1" t="shared" ref="U6:U69" si="3">J6*10+K6</f>
        <v>11</v>
      </c>
      <c r="V6" s="153">
        <f ca="1">ROUND((OFFSET(卡牌辅助配置表!$O$1,MATCH(U6,卡牌辅助配置表!M:M,0)-1,0)+(N6-1)*OFFSET(卡牌辅助配置表!$P$1,MATCH(U6,卡牌辅助配置表!M:M,0)-1,0))*M6,2)</f>
        <v>6.27</v>
      </c>
      <c r="W6" s="157">
        <f ca="1">ROUND(IF(R6=0,0,IF(R6=1,X6*$W$1,IF(R6=2,X6*$W$1*buff的资质计算!$E$2,IF(R6=3,X6*$W$1*buff的资质计算!$E$3,0)))),2)</f>
        <v>0.6</v>
      </c>
      <c r="X6" s="157">
        <f ca="1" t="shared" ref="X6:X69" si="4">M6*($M$1+(J6-1)*$J$1+(K6-1)*$K$1)+G6+$J$1*(N6-1)/$N$1</f>
        <v>2</v>
      </c>
      <c r="Y6" s="157">
        <f ca="1" t="shared" ref="Y6:Y69" si="5">X6+H6</f>
        <v>2</v>
      </c>
      <c r="Z6" s="304">
        <f ca="1" t="shared" ref="Z6:Z69" si="6">Y6/M6</f>
        <v>2</v>
      </c>
      <c r="AA6" s="304">
        <f ca="1">OFFSET(卡牌辅助配置表!$AD$1,MATCH(AB6,卡牌辅助配置表!AB:AB,0)-1,0)</f>
        <v>18</v>
      </c>
      <c r="AB6" s="304">
        <f ca="1" t="shared" ref="AB6:AB69" si="7">J6*1000+K6*100+N6</f>
        <v>1101</v>
      </c>
      <c r="AF6" s="153" t="str">
        <f ca="1" t="shared" ref="AF6:AF69" si="8">((Q6*1000+1)*10+1)&amp;$AF$1</f>
        <v>10010011|</v>
      </c>
      <c r="AJ6" s="205" t="str">
        <f ca="1" t="shared" ref="AJ6:AJ69" si="9">IF(AN6=0,0,IF(AL6=0,$AM$1&amp;$AF$1&amp;AM6&amp;$AF$1&amp;$AJ$1,AK6&amp;$AF$1&amp;AL6&amp;$AF$1&amp;$AJ$1&amp;$AM$1&amp;$AF$1&amp;AM6&amp;$AF$1&amp;$AJ$1))</f>
        <v>400023|700|;</v>
      </c>
      <c r="AK6" s="205">
        <f ca="1">OFFSET([1]item_type!$A$1,MATCH(Q6,[1]item_type!$G:$G,0)-1,0)</f>
        <v>301001</v>
      </c>
      <c r="AL6" s="205"/>
      <c r="AM6" s="205">
        <f ca="1">IF(B6=B7,OFFSET(卡牌辅助配置表!$AE$1,MATCH(AB6,卡牌辅助配置表!AB:AB,0),0),0)</f>
        <v>700</v>
      </c>
      <c r="AN6" s="153">
        <f ca="1" t="shared" ref="AN6:AN69" si="10">IF(B6=B7,A6+1,0)</f>
        <v>1001002</v>
      </c>
      <c r="AP6" s="153">
        <f ca="1">IF(AC6=0,0,IF(AC6=12,0,OFFSET(effect!$N$1,MATCH(K6,effect!M:M,0)-1,0)))</f>
        <v>0</v>
      </c>
    </row>
    <row r="7" spans="1:42">
      <c r="A7" s="153">
        <f ca="1" t="shared" si="0"/>
        <v>1001002</v>
      </c>
      <c r="B7" s="91" t="s">
        <v>508</v>
      </c>
      <c r="C7" s="186">
        <v>1</v>
      </c>
      <c r="D7" s="186">
        <v>6</v>
      </c>
      <c r="E7" s="165" t="s">
        <v>577</v>
      </c>
      <c r="F7" s="165"/>
      <c r="G7" s="186">
        <v>-3</v>
      </c>
      <c r="H7" s="186">
        <f ca="1" t="shared" si="1"/>
        <v>0</v>
      </c>
      <c r="I7" s="186"/>
      <c r="J7" s="186">
        <f ca="1">OFFSET(card_type!$F$1,MATCH(Q7,card_type!A:A,0)-1,0)</f>
        <v>1</v>
      </c>
      <c r="K7" s="243">
        <f ca="1">OFFSET(card_type!$G$1,MATCH(Q7,card_type!A:A,0)-1,0)</f>
        <v>1</v>
      </c>
      <c r="L7" s="157">
        <v>1</v>
      </c>
      <c r="M7" s="157">
        <v>1</v>
      </c>
      <c r="N7" s="153">
        <f t="shared" si="2"/>
        <v>2</v>
      </c>
      <c r="O7" s="157"/>
      <c r="P7" s="157"/>
      <c r="Q7" s="153">
        <f ca="1">OFFSET(card_type!$A$1,MATCH(card!B7,card_type!B:B,0)-1,0)</f>
        <v>1001</v>
      </c>
      <c r="R7" s="153">
        <v>1</v>
      </c>
      <c r="S7" s="157">
        <f ca="1">ROUND(IF(R7=0,0,IF(R7=1,X7*$S$1,IF(R7=2,X7*$S$1*buff的资质计算!$E$2,IF(R7=3,X7*$S$1*buff的资质计算!$E$3,0)))),0)*0</f>
        <v>0</v>
      </c>
      <c r="T7" s="153">
        <v>1</v>
      </c>
      <c r="U7" s="153">
        <f ca="1" t="shared" si="3"/>
        <v>11</v>
      </c>
      <c r="V7" s="153">
        <f ca="1">ROUND((OFFSET(卡牌辅助配置表!$O$1,MATCH(U7,卡牌辅助配置表!M:M,0)-1,0)+(N7-1)*OFFSET(卡牌辅助配置表!$P$1,MATCH(U7,卡牌辅助配置表!M:M,0)-1,0))*M7,2)</f>
        <v>6.48</v>
      </c>
      <c r="W7" s="157">
        <f ca="1">ROUND(IF(R7=0,0,IF(R7=1,X7*$W$1,IF(R7=2,X7*$W$1*buff的资质计算!$E$2,IF(R7=3,X7*$W$1*buff的资质计算!$E$3,0)))),2)</f>
        <v>0.75</v>
      </c>
      <c r="X7" s="157">
        <f ca="1" t="shared" si="4"/>
        <v>2.5</v>
      </c>
      <c r="Y7" s="157">
        <f ca="1" t="shared" si="5"/>
        <v>2.5</v>
      </c>
      <c r="Z7" s="304">
        <f ca="1" t="shared" si="6"/>
        <v>2.5</v>
      </c>
      <c r="AA7" s="304">
        <f ca="1">OFFSET(卡牌辅助配置表!$AD$1,MATCH(AB7,卡牌辅助配置表!AB:AB,0)-1,0)</f>
        <v>36</v>
      </c>
      <c r="AB7" s="304">
        <f ca="1" t="shared" si="7"/>
        <v>1102</v>
      </c>
      <c r="AF7" s="153" t="str">
        <f ca="1" t="shared" si="8"/>
        <v>10010011|</v>
      </c>
      <c r="AJ7" s="205" t="str">
        <f ca="1" t="shared" si="9"/>
        <v>400023|900|;</v>
      </c>
      <c r="AK7" s="205">
        <f ca="1">OFFSET([1]item_type!$A$1,MATCH(Q7,[1]item_type!$G:$G,0)-1,0)</f>
        <v>301001</v>
      </c>
      <c r="AL7" s="205"/>
      <c r="AM7" s="205">
        <f ca="1">IF(B7=B8,OFFSET(卡牌辅助配置表!$AE$1,MATCH(AB7,卡牌辅助配置表!AB:AB,0),0),0)</f>
        <v>900</v>
      </c>
      <c r="AN7" s="153">
        <f ca="1" t="shared" si="10"/>
        <v>1001003</v>
      </c>
      <c r="AP7" s="153">
        <f ca="1">IF(AC7=0,0,IF(AC7=12,0,OFFSET(effect!$N$1,MATCH(K7,effect!M:M,0)-1,0)))</f>
        <v>0</v>
      </c>
    </row>
    <row r="8" spans="1:42">
      <c r="A8" s="153">
        <f ca="1" t="shared" si="0"/>
        <v>1001003</v>
      </c>
      <c r="B8" s="91" t="s">
        <v>508</v>
      </c>
      <c r="C8" s="186">
        <v>1</v>
      </c>
      <c r="D8" s="186">
        <v>6</v>
      </c>
      <c r="E8" s="165" t="s">
        <v>577</v>
      </c>
      <c r="F8" s="165"/>
      <c r="G8" s="186">
        <v>-3</v>
      </c>
      <c r="H8" s="186">
        <f ca="1" t="shared" si="1"/>
        <v>0</v>
      </c>
      <c r="I8" s="186"/>
      <c r="J8" s="186">
        <f ca="1">OFFSET(card_type!$F$1,MATCH(Q8,card_type!A:A,0)-1,0)</f>
        <v>1</v>
      </c>
      <c r="K8" s="243">
        <f ca="1">OFFSET(card_type!$G$1,MATCH(Q8,card_type!A:A,0)-1,0)</f>
        <v>1</v>
      </c>
      <c r="L8" s="157">
        <v>1</v>
      </c>
      <c r="M8" s="157">
        <v>1</v>
      </c>
      <c r="N8" s="153">
        <f t="shared" si="2"/>
        <v>3</v>
      </c>
      <c r="O8" s="157"/>
      <c r="P8" s="157"/>
      <c r="Q8" s="153">
        <f ca="1">OFFSET(card_type!$A$1,MATCH(card!B8,card_type!B:B,0)-1,0)</f>
        <v>1001</v>
      </c>
      <c r="R8" s="153">
        <v>1</v>
      </c>
      <c r="S8" s="157">
        <f ca="1">ROUND(IF(R8=0,0,IF(R8=1,X8*$S$1,IF(R8=2,X8*$S$1*buff的资质计算!$E$2,IF(R8=3,X8*$S$1*buff的资质计算!$E$3,0)))),0)*0</f>
        <v>0</v>
      </c>
      <c r="T8" s="153">
        <v>1</v>
      </c>
      <c r="U8" s="153">
        <f ca="1" t="shared" si="3"/>
        <v>11</v>
      </c>
      <c r="V8" s="153">
        <f ca="1">ROUND((OFFSET(卡牌辅助配置表!$O$1,MATCH(U8,卡牌辅助配置表!M:M,0)-1,0)+(N8-1)*OFFSET(卡牌辅助配置表!$P$1,MATCH(U8,卡牌辅助配置表!M:M,0)-1,0))*M8,2)</f>
        <v>6.69</v>
      </c>
      <c r="W8" s="157">
        <f ca="1">ROUND(IF(R8=0,0,IF(R8=1,X8*$W$1,IF(R8=2,X8*$W$1*buff的资质计算!$E$2,IF(R8=3,X8*$W$1*buff的资质计算!$E$3,0)))),2)</f>
        <v>0.9</v>
      </c>
      <c r="X8" s="157">
        <f ca="1" t="shared" si="4"/>
        <v>3</v>
      </c>
      <c r="Y8" s="157">
        <f ca="1" t="shared" si="5"/>
        <v>3</v>
      </c>
      <c r="Z8" s="304">
        <f ca="1" t="shared" si="6"/>
        <v>3</v>
      </c>
      <c r="AA8" s="304">
        <f ca="1">OFFSET(卡牌辅助配置表!$AD$1,MATCH(AB8,卡牌辅助配置表!AB:AB,0)-1,0)</f>
        <v>54</v>
      </c>
      <c r="AB8" s="304">
        <f ca="1" t="shared" si="7"/>
        <v>1103</v>
      </c>
      <c r="AF8" s="153" t="str">
        <f ca="1" t="shared" si="8"/>
        <v>10010011|</v>
      </c>
      <c r="AJ8" s="205" t="str">
        <f ca="1" t="shared" si="9"/>
        <v>400023|1100|;</v>
      </c>
      <c r="AK8" s="205">
        <f ca="1">OFFSET([1]item_type!$A$1,MATCH(Q8,[1]item_type!$G:$G,0)-1,0)</f>
        <v>301001</v>
      </c>
      <c r="AL8" s="205"/>
      <c r="AM8" s="205">
        <f ca="1">IF(B8=B9,OFFSET(卡牌辅助配置表!$AE$1,MATCH(AB8,卡牌辅助配置表!AB:AB,0),0),0)</f>
        <v>1100</v>
      </c>
      <c r="AN8" s="153">
        <f ca="1" t="shared" si="10"/>
        <v>1001004</v>
      </c>
      <c r="AP8" s="153">
        <f ca="1">IF(AC8=0,0,IF(AC8=12,0,OFFSET(effect!$N$1,MATCH(K8,effect!M:M,0)-1,0)))</f>
        <v>0</v>
      </c>
    </row>
    <row r="9" spans="1:42">
      <c r="A9" s="153">
        <f ca="1" t="shared" si="0"/>
        <v>1001004</v>
      </c>
      <c r="B9" s="91" t="s">
        <v>508</v>
      </c>
      <c r="C9" s="186">
        <v>1</v>
      </c>
      <c r="D9" s="186">
        <v>6</v>
      </c>
      <c r="E9" s="165" t="s">
        <v>577</v>
      </c>
      <c r="F9" s="165"/>
      <c r="G9" s="186">
        <v>-3</v>
      </c>
      <c r="H9" s="186">
        <f ca="1" t="shared" si="1"/>
        <v>0</v>
      </c>
      <c r="I9" s="186"/>
      <c r="J9" s="186">
        <f ca="1">OFFSET(card_type!$F$1,MATCH(Q9,card_type!A:A,0)-1,0)</f>
        <v>1</v>
      </c>
      <c r="K9" s="243">
        <f ca="1">OFFSET(card_type!$G$1,MATCH(Q9,card_type!A:A,0)-1,0)</f>
        <v>1</v>
      </c>
      <c r="L9" s="157">
        <v>1</v>
      </c>
      <c r="M9" s="157">
        <v>1</v>
      </c>
      <c r="N9" s="153">
        <f t="shared" si="2"/>
        <v>4</v>
      </c>
      <c r="O9" s="157"/>
      <c r="P9" s="157"/>
      <c r="Q9" s="153">
        <f ca="1">OFFSET(card_type!$A$1,MATCH(card!B9,card_type!B:B,0)-1,0)</f>
        <v>1001</v>
      </c>
      <c r="R9" s="153">
        <v>1</v>
      </c>
      <c r="S9" s="157">
        <f ca="1">ROUND(IF(R9=0,0,IF(R9=1,X9*$S$1,IF(R9=2,X9*$S$1*buff的资质计算!$E$2,IF(R9=3,X9*$S$1*buff的资质计算!$E$3,0)))),0)*0</f>
        <v>0</v>
      </c>
      <c r="T9" s="153">
        <v>1</v>
      </c>
      <c r="U9" s="153">
        <f ca="1" t="shared" si="3"/>
        <v>11</v>
      </c>
      <c r="V9" s="153">
        <f ca="1">ROUND((OFFSET(卡牌辅助配置表!$O$1,MATCH(U9,卡牌辅助配置表!M:M,0)-1,0)+(N9-1)*OFFSET(卡牌辅助配置表!$P$1,MATCH(U9,卡牌辅助配置表!M:M,0)-1,0))*M9,2)</f>
        <v>6.9</v>
      </c>
      <c r="W9" s="157">
        <f ca="1">ROUND(IF(R9=0,0,IF(R9=1,X9*$W$1,IF(R9=2,X9*$W$1*buff的资质计算!$E$2,IF(R9=3,X9*$W$1*buff的资质计算!$E$3,0)))),2)</f>
        <v>1.05</v>
      </c>
      <c r="X9" s="157">
        <f ca="1" t="shared" si="4"/>
        <v>3.5</v>
      </c>
      <c r="Y9" s="157">
        <f ca="1" t="shared" si="5"/>
        <v>3.5</v>
      </c>
      <c r="Z9" s="304">
        <f ca="1" t="shared" si="6"/>
        <v>3.5</v>
      </c>
      <c r="AA9" s="304">
        <f ca="1">OFFSET(卡牌辅助配置表!$AD$1,MATCH(AB9,卡牌辅助配置表!AB:AB,0)-1,0)</f>
        <v>72</v>
      </c>
      <c r="AB9" s="304">
        <f ca="1" t="shared" si="7"/>
        <v>1104</v>
      </c>
      <c r="AF9" s="153" t="str">
        <f ca="1" t="shared" si="8"/>
        <v>10010011|</v>
      </c>
      <c r="AJ9" s="205" t="str">
        <f ca="1" t="shared" si="9"/>
        <v>400023|1300|;</v>
      </c>
      <c r="AK9" s="205">
        <f ca="1">OFFSET([1]item_type!$A$1,MATCH(Q9,[1]item_type!$G:$G,0)-1,0)</f>
        <v>301001</v>
      </c>
      <c r="AL9" s="205"/>
      <c r="AM9" s="205">
        <f ca="1">IF(B9=B10,OFFSET(卡牌辅助配置表!$AE$1,MATCH(AB9,卡牌辅助配置表!AB:AB,0),0),0)</f>
        <v>1300</v>
      </c>
      <c r="AN9" s="153">
        <f ca="1" t="shared" si="10"/>
        <v>1001005</v>
      </c>
      <c r="AP9" s="153">
        <f ca="1">IF(AC9=0,0,IF(AC9=12,0,OFFSET(effect!$N$1,MATCH(K9,effect!M:M,0)-1,0)))</f>
        <v>0</v>
      </c>
    </row>
    <row r="10" spans="1:42">
      <c r="A10" s="153">
        <f ca="1" t="shared" si="0"/>
        <v>1001005</v>
      </c>
      <c r="B10" s="91" t="s">
        <v>508</v>
      </c>
      <c r="C10" s="186">
        <v>1</v>
      </c>
      <c r="D10" s="186">
        <v>6</v>
      </c>
      <c r="E10" s="165" t="s">
        <v>577</v>
      </c>
      <c r="F10" s="165"/>
      <c r="G10" s="186">
        <v>-3</v>
      </c>
      <c r="H10" s="186">
        <f ca="1" t="shared" si="1"/>
        <v>0</v>
      </c>
      <c r="I10" s="186"/>
      <c r="J10" s="186">
        <f ca="1">OFFSET(card_type!$F$1,MATCH(Q10,card_type!A:A,0)-1,0)</f>
        <v>1</v>
      </c>
      <c r="K10" s="243">
        <f ca="1">OFFSET(card_type!$G$1,MATCH(Q10,card_type!A:A,0)-1,0)</f>
        <v>1</v>
      </c>
      <c r="L10" s="157">
        <v>1</v>
      </c>
      <c r="M10" s="157">
        <v>1</v>
      </c>
      <c r="N10" s="153">
        <f t="shared" si="2"/>
        <v>5</v>
      </c>
      <c r="O10" s="157"/>
      <c r="P10" s="157"/>
      <c r="Q10" s="153">
        <f ca="1">OFFSET(card_type!$A$1,MATCH(card!B10,card_type!B:B,0)-1,0)</f>
        <v>1001</v>
      </c>
      <c r="R10" s="153">
        <v>1</v>
      </c>
      <c r="S10" s="157">
        <f ca="1">ROUND(IF(R10=0,0,IF(R10=1,X10*$S$1,IF(R10=2,X10*$S$1*buff的资质计算!$E$2,IF(R10=3,X10*$S$1*buff的资质计算!$E$3,0)))),0)*0</f>
        <v>0</v>
      </c>
      <c r="T10" s="153">
        <v>1</v>
      </c>
      <c r="U10" s="153">
        <f ca="1" t="shared" si="3"/>
        <v>11</v>
      </c>
      <c r="V10" s="153">
        <f ca="1">ROUND((OFFSET(卡牌辅助配置表!$O$1,MATCH(U10,卡牌辅助配置表!M:M,0)-1,0)+(N10-1)*OFFSET(卡牌辅助配置表!$P$1,MATCH(U10,卡牌辅助配置表!M:M,0)-1,0))*M10,2)</f>
        <v>7.11</v>
      </c>
      <c r="W10" s="157">
        <f ca="1">ROUND(IF(R10=0,0,IF(R10=1,X10*$W$1,IF(R10=2,X10*$W$1*buff的资质计算!$E$2,IF(R10=3,X10*$W$1*buff的资质计算!$E$3,0)))),2)</f>
        <v>1.2</v>
      </c>
      <c r="X10" s="157">
        <f ca="1" t="shared" si="4"/>
        <v>4</v>
      </c>
      <c r="Y10" s="157">
        <f ca="1" t="shared" si="5"/>
        <v>4</v>
      </c>
      <c r="Z10" s="304">
        <f ca="1" t="shared" si="6"/>
        <v>4</v>
      </c>
      <c r="AA10" s="304">
        <f ca="1">OFFSET(卡牌辅助配置表!$AD$1,MATCH(AB10,卡牌辅助配置表!AB:AB,0)-1,0)</f>
        <v>90</v>
      </c>
      <c r="AB10" s="304">
        <f ca="1" t="shared" si="7"/>
        <v>1105</v>
      </c>
      <c r="AF10" s="153" t="str">
        <f ca="1" t="shared" si="8"/>
        <v>10010011|</v>
      </c>
      <c r="AJ10" s="205" t="str">
        <f ca="1" t="shared" si="9"/>
        <v>400023|1500|;</v>
      </c>
      <c r="AK10" s="205">
        <f ca="1">OFFSET([1]item_type!$A$1,MATCH(Q10,[1]item_type!$G:$G,0)-1,0)</f>
        <v>301001</v>
      </c>
      <c r="AL10" s="205"/>
      <c r="AM10" s="205">
        <f ca="1">IF(B10=B11,OFFSET(卡牌辅助配置表!$AE$1,MATCH(AB10,卡牌辅助配置表!AB:AB,0),0),0)</f>
        <v>1500</v>
      </c>
      <c r="AN10" s="153">
        <f ca="1" t="shared" si="10"/>
        <v>1001006</v>
      </c>
      <c r="AP10" s="153">
        <f ca="1">IF(AC10=0,0,IF(AC10=12,0,OFFSET(effect!$N$1,MATCH(K10,effect!M:M,0)-1,0)))</f>
        <v>0</v>
      </c>
    </row>
    <row r="11" spans="1:42">
      <c r="A11" s="153">
        <f ca="1" t="shared" si="0"/>
        <v>1001006</v>
      </c>
      <c r="B11" s="91" t="s">
        <v>508</v>
      </c>
      <c r="C11" s="186">
        <v>1</v>
      </c>
      <c r="D11" s="186">
        <v>6</v>
      </c>
      <c r="E11" s="165" t="s">
        <v>577</v>
      </c>
      <c r="F11" s="165"/>
      <c r="G11" s="186">
        <v>-3</v>
      </c>
      <c r="H11" s="186">
        <f ca="1" t="shared" si="1"/>
        <v>0</v>
      </c>
      <c r="I11" s="186"/>
      <c r="J11" s="186">
        <f ca="1">OFFSET(card_type!$F$1,MATCH(Q11,card_type!A:A,0)-1,0)</f>
        <v>1</v>
      </c>
      <c r="K11" s="243">
        <f ca="1">OFFSET(card_type!$G$1,MATCH(Q11,card_type!A:A,0)-1,0)</f>
        <v>1</v>
      </c>
      <c r="L11" s="157">
        <v>1</v>
      </c>
      <c r="M11" s="157">
        <v>1</v>
      </c>
      <c r="N11" s="153">
        <f t="shared" si="2"/>
        <v>6</v>
      </c>
      <c r="O11" s="157"/>
      <c r="P11" s="157"/>
      <c r="Q11" s="153">
        <f ca="1">OFFSET(card_type!$A$1,MATCH(card!B11,card_type!B:B,0)-1,0)</f>
        <v>1001</v>
      </c>
      <c r="R11" s="153">
        <v>1</v>
      </c>
      <c r="S11" s="157">
        <f ca="1">ROUND(IF(R11=0,0,IF(R11=1,X11*$S$1,IF(R11=2,X11*$S$1*buff的资质计算!$E$2,IF(R11=3,X11*$S$1*buff的资质计算!$E$3,0)))),0)*0</f>
        <v>0</v>
      </c>
      <c r="T11" s="153">
        <v>1</v>
      </c>
      <c r="U11" s="153">
        <f ca="1" t="shared" si="3"/>
        <v>11</v>
      </c>
      <c r="V11" s="153">
        <f ca="1">ROUND((OFFSET(卡牌辅助配置表!$O$1,MATCH(U11,卡牌辅助配置表!M:M,0)-1,0)+(N11-1)*OFFSET(卡牌辅助配置表!$P$1,MATCH(U11,卡牌辅助配置表!M:M,0)-1,0))*M11,2)</f>
        <v>7.32</v>
      </c>
      <c r="W11" s="157">
        <f ca="1">ROUND(IF(R11=0,0,IF(R11=1,X11*$W$1,IF(R11=2,X11*$W$1*buff的资质计算!$E$2,IF(R11=3,X11*$W$1*buff的资质计算!$E$3,0)))),2)</f>
        <v>1.35</v>
      </c>
      <c r="X11" s="157">
        <f ca="1" t="shared" si="4"/>
        <v>4.5</v>
      </c>
      <c r="Y11" s="157">
        <f ca="1" t="shared" si="5"/>
        <v>4.5</v>
      </c>
      <c r="Z11" s="304">
        <f ca="1" t="shared" si="6"/>
        <v>4.5</v>
      </c>
      <c r="AA11" s="304">
        <f ca="1">OFFSET(卡牌辅助配置表!$AD$1,MATCH(AB11,卡牌辅助配置表!AB:AB,0)-1,0)</f>
        <v>108</v>
      </c>
      <c r="AB11" s="304">
        <f ca="1" t="shared" si="7"/>
        <v>1106</v>
      </c>
      <c r="AF11" s="153" t="str">
        <f ca="1" t="shared" si="8"/>
        <v>10010011|</v>
      </c>
      <c r="AJ11" s="205" t="str">
        <f ca="1" t="shared" si="9"/>
        <v>400023|1700|;</v>
      </c>
      <c r="AK11" s="205">
        <f ca="1">OFFSET([1]item_type!$A$1,MATCH(Q11,[1]item_type!$G:$G,0)-1,0)</f>
        <v>301001</v>
      </c>
      <c r="AL11" s="205"/>
      <c r="AM11" s="205">
        <f ca="1">IF(B11=B12,OFFSET(卡牌辅助配置表!$AE$1,MATCH(AB11,卡牌辅助配置表!AB:AB,0),0),0)</f>
        <v>1700</v>
      </c>
      <c r="AN11" s="153">
        <f ca="1" t="shared" si="10"/>
        <v>1001007</v>
      </c>
      <c r="AP11" s="153">
        <f ca="1">IF(AC11=0,0,IF(AC11=12,0,OFFSET(effect!$N$1,MATCH(K11,effect!M:M,0)-1,0)))</f>
        <v>0</v>
      </c>
    </row>
    <row r="12" spans="1:42">
      <c r="A12" s="153">
        <f ca="1" t="shared" si="0"/>
        <v>1001007</v>
      </c>
      <c r="B12" s="91" t="s">
        <v>508</v>
      </c>
      <c r="C12" s="186">
        <v>1</v>
      </c>
      <c r="D12" s="186">
        <v>6</v>
      </c>
      <c r="E12" s="165" t="s">
        <v>577</v>
      </c>
      <c r="F12" s="165"/>
      <c r="G12" s="186">
        <v>-3</v>
      </c>
      <c r="H12" s="186">
        <f ca="1" t="shared" si="1"/>
        <v>0</v>
      </c>
      <c r="I12" s="186"/>
      <c r="J12" s="186">
        <f ca="1">OFFSET(card_type!$F$1,MATCH(Q12,card_type!A:A,0)-1,0)</f>
        <v>1</v>
      </c>
      <c r="K12" s="243">
        <f ca="1">OFFSET(card_type!$G$1,MATCH(Q12,card_type!A:A,0)-1,0)</f>
        <v>1</v>
      </c>
      <c r="L12" s="157">
        <v>1</v>
      </c>
      <c r="M12" s="157">
        <v>1</v>
      </c>
      <c r="N12" s="153">
        <f t="shared" si="2"/>
        <v>7</v>
      </c>
      <c r="O12" s="157"/>
      <c r="P12" s="157"/>
      <c r="Q12" s="153">
        <f ca="1">OFFSET(card_type!$A$1,MATCH(card!B12,card_type!B:B,0)-1,0)</f>
        <v>1001</v>
      </c>
      <c r="R12" s="153">
        <v>1</v>
      </c>
      <c r="S12" s="157">
        <f ca="1">ROUND(IF(R12=0,0,IF(R12=1,X12*$S$1,IF(R12=2,X12*$S$1*buff的资质计算!$E$2,IF(R12=3,X12*$S$1*buff的资质计算!$E$3,0)))),0)*0</f>
        <v>0</v>
      </c>
      <c r="T12" s="153">
        <v>1</v>
      </c>
      <c r="U12" s="153">
        <f ca="1" t="shared" si="3"/>
        <v>11</v>
      </c>
      <c r="V12" s="153">
        <f ca="1">ROUND((OFFSET(卡牌辅助配置表!$O$1,MATCH(U12,卡牌辅助配置表!M:M,0)-1,0)+(N12-1)*OFFSET(卡牌辅助配置表!$P$1,MATCH(U12,卡牌辅助配置表!M:M,0)-1,0))*M12,2)</f>
        <v>7.52</v>
      </c>
      <c r="W12" s="157">
        <f ca="1">ROUND(IF(R12=0,0,IF(R12=1,X12*$W$1,IF(R12=2,X12*$W$1*buff的资质计算!$E$2,IF(R12=3,X12*$W$1*buff的资质计算!$E$3,0)))),2)</f>
        <v>1.5</v>
      </c>
      <c r="X12" s="157">
        <f ca="1" t="shared" si="4"/>
        <v>5</v>
      </c>
      <c r="Y12" s="157">
        <f ca="1" t="shared" si="5"/>
        <v>5</v>
      </c>
      <c r="Z12" s="304">
        <f ca="1" t="shared" si="6"/>
        <v>5</v>
      </c>
      <c r="AA12" s="304">
        <f ca="1">OFFSET(卡牌辅助配置表!$AD$1,MATCH(AB12,卡牌辅助配置表!AB:AB,0)-1,0)</f>
        <v>126</v>
      </c>
      <c r="AB12" s="304">
        <f ca="1" t="shared" si="7"/>
        <v>1107</v>
      </c>
      <c r="AF12" s="153" t="str">
        <f ca="1" t="shared" si="8"/>
        <v>10010011|</v>
      </c>
      <c r="AJ12" s="205" t="str">
        <f ca="1" t="shared" si="9"/>
        <v>400023|1900|;</v>
      </c>
      <c r="AK12" s="205">
        <f ca="1">OFFSET([1]item_type!$A$1,MATCH(Q12,[1]item_type!$G:$G,0)-1,0)</f>
        <v>301001</v>
      </c>
      <c r="AL12" s="205"/>
      <c r="AM12" s="205">
        <f ca="1">IF(B12=B13,OFFSET(卡牌辅助配置表!$AE$1,MATCH(AB12,卡牌辅助配置表!AB:AB,0),0),0)</f>
        <v>1900</v>
      </c>
      <c r="AN12" s="153">
        <f ca="1" t="shared" si="10"/>
        <v>1001008</v>
      </c>
      <c r="AP12" s="153">
        <f ca="1">IF(AC12=0,0,IF(AC12=12,0,OFFSET(effect!$N$1,MATCH(K12,effect!M:M,0)-1,0)))</f>
        <v>0</v>
      </c>
    </row>
    <row r="13" spans="1:42">
      <c r="A13" s="153">
        <f ca="1" t="shared" si="0"/>
        <v>1001008</v>
      </c>
      <c r="B13" s="91" t="s">
        <v>508</v>
      </c>
      <c r="C13" s="186">
        <v>1</v>
      </c>
      <c r="D13" s="186">
        <v>6</v>
      </c>
      <c r="E13" s="165" t="s">
        <v>577</v>
      </c>
      <c r="F13" s="165"/>
      <c r="G13" s="186">
        <v>-3</v>
      </c>
      <c r="H13" s="186">
        <f ca="1" t="shared" si="1"/>
        <v>0</v>
      </c>
      <c r="I13" s="186"/>
      <c r="J13" s="186">
        <f ca="1">OFFSET(card_type!$F$1,MATCH(Q13,card_type!A:A,0)-1,0)</f>
        <v>1</v>
      </c>
      <c r="K13" s="243">
        <f ca="1">OFFSET(card_type!$G$1,MATCH(Q13,card_type!A:A,0)-1,0)</f>
        <v>1</v>
      </c>
      <c r="L13" s="157">
        <v>1</v>
      </c>
      <c r="M13" s="157">
        <v>1</v>
      </c>
      <c r="N13" s="153">
        <f t="shared" si="2"/>
        <v>8</v>
      </c>
      <c r="O13" s="157"/>
      <c r="P13" s="157"/>
      <c r="Q13" s="153">
        <f ca="1">OFFSET(card_type!$A$1,MATCH(card!B13,card_type!B:B,0)-1,0)</f>
        <v>1001</v>
      </c>
      <c r="R13" s="153">
        <v>1</v>
      </c>
      <c r="S13" s="157">
        <f ca="1">ROUND(IF(R13=0,0,IF(R13=1,X13*$S$1,IF(R13=2,X13*$S$1*buff的资质计算!$E$2,IF(R13=3,X13*$S$1*buff的资质计算!$E$3,0)))),0)*0</f>
        <v>0</v>
      </c>
      <c r="T13" s="153">
        <v>1</v>
      </c>
      <c r="U13" s="153">
        <f ca="1" t="shared" si="3"/>
        <v>11</v>
      </c>
      <c r="V13" s="153">
        <f ca="1">ROUND((OFFSET(卡牌辅助配置表!$O$1,MATCH(U13,卡牌辅助配置表!M:M,0)-1,0)+(N13-1)*OFFSET(卡牌辅助配置表!$P$1,MATCH(U13,卡牌辅助配置表!M:M,0)-1,0))*M13,2)</f>
        <v>7.73</v>
      </c>
      <c r="W13" s="157">
        <f ca="1">ROUND(IF(R13=0,0,IF(R13=1,X13*$W$1,IF(R13=2,X13*$W$1*buff的资质计算!$E$2,IF(R13=3,X13*$W$1*buff的资质计算!$E$3,0)))),2)</f>
        <v>1.65</v>
      </c>
      <c r="X13" s="157">
        <f ca="1" t="shared" si="4"/>
        <v>5.5</v>
      </c>
      <c r="Y13" s="157">
        <f ca="1" t="shared" si="5"/>
        <v>5.5</v>
      </c>
      <c r="Z13" s="304">
        <f ca="1" t="shared" si="6"/>
        <v>5.5</v>
      </c>
      <c r="AA13" s="304">
        <f ca="1">OFFSET(卡牌辅助配置表!$AD$1,MATCH(AB13,卡牌辅助配置表!AB:AB,0)-1,0)</f>
        <v>144</v>
      </c>
      <c r="AB13" s="304">
        <f ca="1" t="shared" si="7"/>
        <v>1108</v>
      </c>
      <c r="AF13" s="153" t="str">
        <f ca="1" t="shared" si="8"/>
        <v>10010011|</v>
      </c>
      <c r="AJ13" s="205" t="str">
        <f ca="1" t="shared" si="9"/>
        <v>400023|2100|;</v>
      </c>
      <c r="AK13" s="205">
        <f ca="1">OFFSET([1]item_type!$A$1,MATCH(Q13,[1]item_type!$G:$G,0)-1,0)</f>
        <v>301001</v>
      </c>
      <c r="AL13" s="205"/>
      <c r="AM13" s="205">
        <f ca="1">IF(B13=B14,OFFSET(卡牌辅助配置表!$AE$1,MATCH(AB13,卡牌辅助配置表!AB:AB,0),0),0)</f>
        <v>2100</v>
      </c>
      <c r="AN13" s="153">
        <f ca="1" t="shared" si="10"/>
        <v>1001009</v>
      </c>
      <c r="AP13" s="153">
        <f ca="1">IF(AC13=0,0,IF(AC13=12,0,OFFSET(effect!$N$1,MATCH(K13,effect!M:M,0)-1,0)))</f>
        <v>0</v>
      </c>
    </row>
    <row r="14" spans="1:42">
      <c r="A14" s="153">
        <f ca="1" t="shared" si="0"/>
        <v>1001009</v>
      </c>
      <c r="B14" s="91" t="s">
        <v>508</v>
      </c>
      <c r="C14" s="186">
        <v>1</v>
      </c>
      <c r="D14" s="186">
        <v>6</v>
      </c>
      <c r="E14" s="165" t="s">
        <v>577</v>
      </c>
      <c r="G14" s="186">
        <v>-3</v>
      </c>
      <c r="H14" s="186">
        <f ca="1" t="shared" si="1"/>
        <v>0</v>
      </c>
      <c r="I14" s="186"/>
      <c r="J14" s="186">
        <f ca="1">OFFSET(card_type!$F$1,MATCH(Q14,card_type!A:A,0)-1,0)</f>
        <v>1</v>
      </c>
      <c r="K14" s="243">
        <f ca="1">OFFSET(card_type!$G$1,MATCH(Q14,card_type!A:A,0)-1,0)</f>
        <v>1</v>
      </c>
      <c r="L14" s="157">
        <v>1</v>
      </c>
      <c r="M14" s="157">
        <v>1</v>
      </c>
      <c r="N14" s="153">
        <f t="shared" si="2"/>
        <v>9</v>
      </c>
      <c r="O14" s="157"/>
      <c r="P14" s="157"/>
      <c r="Q14" s="153">
        <f ca="1">OFFSET(card_type!$A$1,MATCH(card!B14,card_type!B:B,0)-1,0)</f>
        <v>1001</v>
      </c>
      <c r="R14" s="153">
        <v>1</v>
      </c>
      <c r="S14" s="157">
        <f ca="1">ROUND(IF(R14=0,0,IF(R14=1,X14*$S$1,IF(R14=2,X14*$S$1*buff的资质计算!$E$2,IF(R14=3,X14*$S$1*buff的资质计算!$E$3,0)))),0)*0</f>
        <v>0</v>
      </c>
      <c r="T14" s="153">
        <v>1</v>
      </c>
      <c r="U14" s="153">
        <f ca="1" t="shared" si="3"/>
        <v>11</v>
      </c>
      <c r="V14" s="153">
        <f ca="1">ROUND((OFFSET(卡牌辅助配置表!$O$1,MATCH(U14,卡牌辅助配置表!M:M,0)-1,0)+(N14-1)*OFFSET(卡牌辅助配置表!$P$1,MATCH(U14,卡牌辅助配置表!M:M,0)-1,0))*M14,2)</f>
        <v>7.94</v>
      </c>
      <c r="W14" s="157">
        <f ca="1">ROUND(IF(R14=0,0,IF(R14=1,X14*$W$1,IF(R14=2,X14*$W$1*buff的资质计算!$E$2,IF(R14=3,X14*$W$1*buff的资质计算!$E$3,0)))),2)</f>
        <v>1.8</v>
      </c>
      <c r="X14" s="157">
        <f ca="1" t="shared" si="4"/>
        <v>6</v>
      </c>
      <c r="Y14" s="157">
        <f ca="1" t="shared" si="5"/>
        <v>6</v>
      </c>
      <c r="Z14" s="304">
        <f ca="1" t="shared" si="6"/>
        <v>6</v>
      </c>
      <c r="AA14" s="304">
        <f ca="1">OFFSET(卡牌辅助配置表!$AD$1,MATCH(AB14,卡牌辅助配置表!AB:AB,0)-1,0)</f>
        <v>162</v>
      </c>
      <c r="AB14" s="304">
        <f ca="1" t="shared" si="7"/>
        <v>1109</v>
      </c>
      <c r="AF14" s="153" t="str">
        <f ca="1" t="shared" si="8"/>
        <v>10010011|</v>
      </c>
      <c r="AJ14" s="205" t="str">
        <f ca="1" t="shared" si="9"/>
        <v>301001|15|;400023|2300|;</v>
      </c>
      <c r="AK14" s="205">
        <f ca="1">OFFSET([1]item_type!$A$1,MATCH(Q14,[1]item_type!$G:$G,0)-1,0)</f>
        <v>301001</v>
      </c>
      <c r="AL14" s="205">
        <v>15</v>
      </c>
      <c r="AM14" s="205">
        <f ca="1">IF(B14=B15,OFFSET(卡牌辅助配置表!$AE$1,MATCH(AB14,卡牌辅助配置表!AB:AB,0),0),0)</f>
        <v>2300</v>
      </c>
      <c r="AN14" s="153">
        <f ca="1" t="shared" si="10"/>
        <v>1001010</v>
      </c>
      <c r="AP14" s="153">
        <f ca="1">IF(AC14=0,0,IF(AC14=12,0,OFFSET(effect!$N$1,MATCH(K14,effect!M:M,0)-1,0)))</f>
        <v>0</v>
      </c>
    </row>
    <row r="15" spans="1:42">
      <c r="A15" s="153">
        <f ca="1" t="shared" si="0"/>
        <v>1001010</v>
      </c>
      <c r="B15" s="91" t="s">
        <v>508</v>
      </c>
      <c r="C15" s="186">
        <v>1</v>
      </c>
      <c r="D15" s="186">
        <v>6</v>
      </c>
      <c r="E15" s="165" t="s">
        <v>577</v>
      </c>
      <c r="F15" s="165"/>
      <c r="G15" s="186">
        <v>-3</v>
      </c>
      <c r="H15" s="186">
        <f ca="1" t="shared" si="1"/>
        <v>0</v>
      </c>
      <c r="I15" s="186"/>
      <c r="J15" s="186">
        <f ca="1">OFFSET(card_type!$F$1,MATCH(Q15,card_type!A:A,0)-1,0)</f>
        <v>1</v>
      </c>
      <c r="K15" s="243">
        <f ca="1">OFFSET(card_type!$G$1,MATCH(Q15,card_type!A:A,0)-1,0)</f>
        <v>1</v>
      </c>
      <c r="L15" s="157">
        <v>1</v>
      </c>
      <c r="M15" s="157">
        <v>1</v>
      </c>
      <c r="N15" s="153">
        <f t="shared" si="2"/>
        <v>10</v>
      </c>
      <c r="O15" s="157"/>
      <c r="P15" s="157"/>
      <c r="Q15" s="153">
        <f ca="1">OFFSET(card_type!$A$1,MATCH(card!B15,card_type!B:B,0)-1,0)</f>
        <v>1001</v>
      </c>
      <c r="R15" s="153">
        <v>1</v>
      </c>
      <c r="S15" s="157">
        <f ca="1">ROUND(IF(R15=0,0,IF(R15=1,X15*$S$1,IF(R15=2,X15*$S$1*buff的资质计算!$E$2,IF(R15=3,X15*$S$1*buff的资质计算!$E$3,0)))),0)*0</f>
        <v>0</v>
      </c>
      <c r="T15" s="153">
        <v>1</v>
      </c>
      <c r="U15" s="153">
        <f ca="1" t="shared" si="3"/>
        <v>11</v>
      </c>
      <c r="V15" s="153">
        <f ca="1">ROUND((OFFSET(卡牌辅助配置表!$O$1,MATCH(U15,卡牌辅助配置表!M:M,0)-1,0)+(N15-1)*OFFSET(卡牌辅助配置表!$P$1,MATCH(U15,卡牌辅助配置表!M:M,0)-1,0))*M15,2)</f>
        <v>8.15</v>
      </c>
      <c r="W15" s="157">
        <f ca="1">ROUND(IF(R15=0,0,IF(R15=1,X15*$W$1,IF(R15=2,X15*$W$1*buff的资质计算!$E$2,IF(R15=3,X15*$W$1*buff的资质计算!$E$3,0)))),2)</f>
        <v>1.95</v>
      </c>
      <c r="X15" s="157">
        <f ca="1" t="shared" si="4"/>
        <v>6.5</v>
      </c>
      <c r="Y15" s="157">
        <f ca="1" t="shared" si="5"/>
        <v>6.5</v>
      </c>
      <c r="Z15" s="304">
        <f ca="1" t="shared" si="6"/>
        <v>6.5</v>
      </c>
      <c r="AA15" s="304">
        <f ca="1">OFFSET(卡牌辅助配置表!$AD$1,MATCH(AB15,卡牌辅助配置表!AB:AB,0)-1,0)</f>
        <v>180</v>
      </c>
      <c r="AB15" s="304">
        <f ca="1" t="shared" si="7"/>
        <v>1110</v>
      </c>
      <c r="AF15" s="153" t="str">
        <f ca="1" t="shared" si="8"/>
        <v>10010011|</v>
      </c>
      <c r="AJ15" s="205" t="str">
        <f ca="1" t="shared" si="9"/>
        <v>400023|2700|;</v>
      </c>
      <c r="AK15" s="205">
        <f ca="1">OFFSET([1]item_type!$A$1,MATCH(Q15,[1]item_type!$G:$G,0)-1,0)</f>
        <v>301001</v>
      </c>
      <c r="AL15" s="205"/>
      <c r="AM15" s="205">
        <f ca="1">IF(B15=B16,OFFSET(卡牌辅助配置表!$AE$1,MATCH(AB15,卡牌辅助配置表!AB:AB,0),0),0)</f>
        <v>2700</v>
      </c>
      <c r="AN15" s="153">
        <f ca="1" t="shared" si="10"/>
        <v>1001011</v>
      </c>
      <c r="AP15" s="153">
        <f ca="1">IF(AC15=0,0,IF(AC15=12,0,OFFSET(effect!$N$1,MATCH(K15,effect!M:M,0)-1,0)))</f>
        <v>0</v>
      </c>
    </row>
    <row r="16" spans="1:42">
      <c r="A16" s="153">
        <f ca="1" t="shared" si="0"/>
        <v>1001011</v>
      </c>
      <c r="B16" s="91" t="s">
        <v>508</v>
      </c>
      <c r="C16" s="186">
        <v>1</v>
      </c>
      <c r="D16" s="186">
        <v>6</v>
      </c>
      <c r="E16" s="165" t="s">
        <v>577</v>
      </c>
      <c r="F16" s="165"/>
      <c r="G16" s="186">
        <v>-3</v>
      </c>
      <c r="H16" s="186">
        <f ca="1" t="shared" si="1"/>
        <v>0</v>
      </c>
      <c r="I16" s="186"/>
      <c r="J16" s="186">
        <f ca="1">OFFSET(card_type!$F$1,MATCH(Q16,card_type!A:A,0)-1,0)</f>
        <v>1</v>
      </c>
      <c r="K16" s="243">
        <f ca="1">OFFSET(card_type!$G$1,MATCH(Q16,card_type!A:A,0)-1,0)</f>
        <v>1</v>
      </c>
      <c r="L16" s="157">
        <v>1</v>
      </c>
      <c r="M16" s="157">
        <v>1</v>
      </c>
      <c r="N16" s="153">
        <f t="shared" si="2"/>
        <v>11</v>
      </c>
      <c r="O16" s="157"/>
      <c r="P16" s="157"/>
      <c r="Q16" s="153">
        <f ca="1">OFFSET(card_type!$A$1,MATCH(card!B16,card_type!B:B,0)-1,0)</f>
        <v>1001</v>
      </c>
      <c r="R16" s="153">
        <v>1</v>
      </c>
      <c r="S16" s="157">
        <f ca="1">ROUND(IF(R16=0,0,IF(R16=1,X16*$S$1,IF(R16=2,X16*$S$1*buff的资质计算!$E$2,IF(R16=3,X16*$S$1*buff的资质计算!$E$3,0)))),0)*0</f>
        <v>0</v>
      </c>
      <c r="T16" s="153">
        <v>1</v>
      </c>
      <c r="U16" s="153">
        <f ca="1" t="shared" si="3"/>
        <v>11</v>
      </c>
      <c r="V16" s="153">
        <f ca="1">ROUND((OFFSET(卡牌辅助配置表!$O$1,MATCH(U16,卡牌辅助配置表!M:M,0)-1,0)+(N16-1)*OFFSET(卡牌辅助配置表!$P$1,MATCH(U16,卡牌辅助配置表!M:M,0)-1,0))*M16,2)</f>
        <v>8.36</v>
      </c>
      <c r="W16" s="157">
        <f ca="1">ROUND(IF(R16=0,0,IF(R16=1,X16*$W$1,IF(R16=2,X16*$W$1*buff的资质计算!$E$2,IF(R16=3,X16*$W$1*buff的资质计算!$E$3,0)))),2)</f>
        <v>2.1</v>
      </c>
      <c r="X16" s="157">
        <f ca="1" t="shared" si="4"/>
        <v>7</v>
      </c>
      <c r="Y16" s="157">
        <f ca="1" t="shared" si="5"/>
        <v>7</v>
      </c>
      <c r="Z16" s="304">
        <f ca="1" t="shared" si="6"/>
        <v>7</v>
      </c>
      <c r="AA16" s="304">
        <f ca="1">OFFSET(卡牌辅助配置表!$AD$1,MATCH(AB16,卡牌辅助配置表!AB:AB,0)-1,0)</f>
        <v>207</v>
      </c>
      <c r="AB16" s="304">
        <f ca="1" t="shared" si="7"/>
        <v>1111</v>
      </c>
      <c r="AF16" s="153" t="str">
        <f ca="1" t="shared" si="8"/>
        <v>10010011|</v>
      </c>
      <c r="AJ16" s="205" t="str">
        <f ca="1" t="shared" si="9"/>
        <v>400023|3100|;</v>
      </c>
      <c r="AK16" s="205">
        <f ca="1">OFFSET([1]item_type!$A$1,MATCH(Q16,[1]item_type!$G:$G,0)-1,0)</f>
        <v>301001</v>
      </c>
      <c r="AL16" s="205"/>
      <c r="AM16" s="205">
        <f ca="1">IF(B16=B17,OFFSET(卡牌辅助配置表!$AE$1,MATCH(AB16,卡牌辅助配置表!AB:AB,0),0),0)</f>
        <v>3100</v>
      </c>
      <c r="AN16" s="153">
        <f ca="1" t="shared" si="10"/>
        <v>1001012</v>
      </c>
      <c r="AP16" s="153">
        <f ca="1">IF(AC16=0,0,IF(AC16=12,0,OFFSET(effect!$N$1,MATCH(K16,effect!M:M,0)-1,0)))</f>
        <v>0</v>
      </c>
    </row>
    <row r="17" spans="1:42">
      <c r="A17" s="153">
        <f ca="1" t="shared" si="0"/>
        <v>1001012</v>
      </c>
      <c r="B17" s="91" t="s">
        <v>508</v>
      </c>
      <c r="C17" s="186">
        <v>1</v>
      </c>
      <c r="D17" s="186">
        <v>6</v>
      </c>
      <c r="E17" s="165" t="s">
        <v>577</v>
      </c>
      <c r="F17" s="165"/>
      <c r="G17" s="186">
        <v>-3</v>
      </c>
      <c r="H17" s="186">
        <f ca="1" t="shared" si="1"/>
        <v>0</v>
      </c>
      <c r="I17" s="186"/>
      <c r="J17" s="186">
        <f ca="1">OFFSET(card_type!$F$1,MATCH(Q17,card_type!A:A,0)-1,0)</f>
        <v>1</v>
      </c>
      <c r="K17" s="243">
        <f ca="1">OFFSET(card_type!$G$1,MATCH(Q17,card_type!A:A,0)-1,0)</f>
        <v>1</v>
      </c>
      <c r="L17" s="157">
        <v>1</v>
      </c>
      <c r="M17" s="157">
        <v>1</v>
      </c>
      <c r="N17" s="153">
        <f t="shared" si="2"/>
        <v>12</v>
      </c>
      <c r="O17" s="157"/>
      <c r="P17" s="157"/>
      <c r="Q17" s="153">
        <f ca="1">OFFSET(card_type!$A$1,MATCH(card!B17,card_type!B:B,0)-1,0)</f>
        <v>1001</v>
      </c>
      <c r="R17" s="153">
        <v>1</v>
      </c>
      <c r="S17" s="157">
        <f ca="1">ROUND(IF(R17=0,0,IF(R17=1,X17*$S$1,IF(R17=2,X17*$S$1*buff的资质计算!$E$2,IF(R17=3,X17*$S$1*buff的资质计算!$E$3,0)))),0)*0</f>
        <v>0</v>
      </c>
      <c r="T17" s="153">
        <v>1</v>
      </c>
      <c r="U17" s="153">
        <f ca="1" t="shared" si="3"/>
        <v>11</v>
      </c>
      <c r="V17" s="153">
        <f ca="1">ROUND((OFFSET(卡牌辅助配置表!$O$1,MATCH(U17,卡牌辅助配置表!M:M,0)-1,0)+(N17-1)*OFFSET(卡牌辅助配置表!$P$1,MATCH(U17,卡牌辅助配置表!M:M,0)-1,0))*M17,2)</f>
        <v>8.57</v>
      </c>
      <c r="W17" s="157">
        <f ca="1">ROUND(IF(R17=0,0,IF(R17=1,X17*$W$1,IF(R17=2,X17*$W$1*buff的资质计算!$E$2,IF(R17=3,X17*$W$1*buff的资质计算!$E$3,0)))),2)</f>
        <v>2.25</v>
      </c>
      <c r="X17" s="157">
        <f ca="1" t="shared" si="4"/>
        <v>7.5</v>
      </c>
      <c r="Y17" s="157">
        <f ca="1" t="shared" si="5"/>
        <v>7.5</v>
      </c>
      <c r="Z17" s="304">
        <f ca="1" t="shared" si="6"/>
        <v>7.5</v>
      </c>
      <c r="AA17" s="304">
        <f ca="1">OFFSET(卡牌辅助配置表!$AD$1,MATCH(AB17,卡牌辅助配置表!AB:AB,0)-1,0)</f>
        <v>234</v>
      </c>
      <c r="AB17" s="304">
        <f ca="1" t="shared" si="7"/>
        <v>1112</v>
      </c>
      <c r="AF17" s="153" t="str">
        <f ca="1" t="shared" si="8"/>
        <v>10010011|</v>
      </c>
      <c r="AJ17" s="205" t="str">
        <f ca="1" t="shared" si="9"/>
        <v>400023|3500|;</v>
      </c>
      <c r="AK17" s="205">
        <f ca="1">OFFSET([1]item_type!$A$1,MATCH(Q17,[1]item_type!$G:$G,0)-1,0)</f>
        <v>301001</v>
      </c>
      <c r="AL17" s="205"/>
      <c r="AM17" s="205">
        <f ca="1">IF(B17=B18,OFFSET(卡牌辅助配置表!$AE$1,MATCH(AB17,卡牌辅助配置表!AB:AB,0),0),0)</f>
        <v>3500</v>
      </c>
      <c r="AN17" s="153">
        <f ca="1" t="shared" si="10"/>
        <v>1001013</v>
      </c>
      <c r="AP17" s="153">
        <f ca="1">IF(AC17=0,0,IF(AC17=12,0,OFFSET(effect!$N$1,MATCH(K17,effect!M:M,0)-1,0)))</f>
        <v>0</v>
      </c>
    </row>
    <row r="18" spans="1:42">
      <c r="A18" s="153">
        <f ca="1" t="shared" si="0"/>
        <v>1001013</v>
      </c>
      <c r="B18" s="91" t="s">
        <v>508</v>
      </c>
      <c r="C18" s="186">
        <v>1</v>
      </c>
      <c r="D18" s="186">
        <v>6</v>
      </c>
      <c r="E18" s="165" t="s">
        <v>577</v>
      </c>
      <c r="F18" s="165"/>
      <c r="G18" s="186">
        <v>-3</v>
      </c>
      <c r="H18" s="186">
        <f ca="1" t="shared" si="1"/>
        <v>0</v>
      </c>
      <c r="I18" s="186"/>
      <c r="J18" s="186">
        <f ca="1">OFFSET(card_type!$F$1,MATCH(Q18,card_type!A:A,0)-1,0)</f>
        <v>1</v>
      </c>
      <c r="K18" s="243">
        <f ca="1">OFFSET(card_type!$G$1,MATCH(Q18,card_type!A:A,0)-1,0)</f>
        <v>1</v>
      </c>
      <c r="L18" s="157">
        <v>1</v>
      </c>
      <c r="M18" s="157">
        <v>1</v>
      </c>
      <c r="N18" s="153">
        <f t="shared" si="2"/>
        <v>13</v>
      </c>
      <c r="O18" s="157"/>
      <c r="P18" s="157"/>
      <c r="Q18" s="153">
        <f ca="1">OFFSET(card_type!$A$1,MATCH(card!B18,card_type!B:B,0)-1,0)</f>
        <v>1001</v>
      </c>
      <c r="R18" s="153">
        <v>1</v>
      </c>
      <c r="S18" s="157">
        <f ca="1">ROUND(IF(R18=0,0,IF(R18=1,X18*$S$1,IF(R18=2,X18*$S$1*buff的资质计算!$E$2,IF(R18=3,X18*$S$1*buff的资质计算!$E$3,0)))),0)*0</f>
        <v>0</v>
      </c>
      <c r="T18" s="153">
        <v>1</v>
      </c>
      <c r="U18" s="153">
        <f ca="1" t="shared" si="3"/>
        <v>11</v>
      </c>
      <c r="V18" s="153">
        <f ca="1">ROUND((OFFSET(卡牌辅助配置表!$O$1,MATCH(U18,卡牌辅助配置表!M:M,0)-1,0)+(N18-1)*OFFSET(卡牌辅助配置表!$P$1,MATCH(U18,卡牌辅助配置表!M:M,0)-1,0))*M18,2)</f>
        <v>8.78</v>
      </c>
      <c r="W18" s="157">
        <f ca="1">ROUND(IF(R18=0,0,IF(R18=1,X18*$W$1,IF(R18=2,X18*$W$1*buff的资质计算!$E$2,IF(R18=3,X18*$W$1*buff的资质计算!$E$3,0)))),2)</f>
        <v>2.4</v>
      </c>
      <c r="X18" s="157">
        <f ca="1" t="shared" si="4"/>
        <v>8</v>
      </c>
      <c r="Y18" s="157">
        <f ca="1" t="shared" si="5"/>
        <v>8</v>
      </c>
      <c r="Z18" s="304">
        <f ca="1" t="shared" si="6"/>
        <v>8</v>
      </c>
      <c r="AA18" s="304">
        <f ca="1">OFFSET(卡牌辅助配置表!$AD$1,MATCH(AB18,卡牌辅助配置表!AB:AB,0)-1,0)</f>
        <v>261</v>
      </c>
      <c r="AB18" s="304">
        <f ca="1" t="shared" si="7"/>
        <v>1113</v>
      </c>
      <c r="AF18" s="153" t="str">
        <f ca="1" t="shared" si="8"/>
        <v>10010011|</v>
      </c>
      <c r="AJ18" s="205" t="str">
        <f ca="1" t="shared" si="9"/>
        <v>400023|3900|;</v>
      </c>
      <c r="AK18" s="205">
        <f ca="1">OFFSET([1]item_type!$A$1,MATCH(Q18,[1]item_type!$G:$G,0)-1,0)</f>
        <v>301001</v>
      </c>
      <c r="AL18" s="205"/>
      <c r="AM18" s="205">
        <f ca="1">IF(B18=B19,OFFSET(卡牌辅助配置表!$AE$1,MATCH(AB18,卡牌辅助配置表!AB:AB,0),0),0)</f>
        <v>3900</v>
      </c>
      <c r="AN18" s="153">
        <f ca="1" t="shared" si="10"/>
        <v>1001014</v>
      </c>
      <c r="AP18" s="153">
        <f ca="1">IF(AC18=0,0,IF(AC18=12,0,OFFSET(effect!$N$1,MATCH(K18,effect!M:M,0)-1,0)))</f>
        <v>0</v>
      </c>
    </row>
    <row r="19" spans="1:42">
      <c r="A19" s="153">
        <f ca="1" t="shared" si="0"/>
        <v>1001014</v>
      </c>
      <c r="B19" s="91" t="s">
        <v>508</v>
      </c>
      <c r="C19" s="186">
        <v>1</v>
      </c>
      <c r="D19" s="186">
        <v>6</v>
      </c>
      <c r="E19" s="165" t="s">
        <v>577</v>
      </c>
      <c r="F19" s="165"/>
      <c r="G19" s="186">
        <v>-3</v>
      </c>
      <c r="H19" s="186">
        <f ca="1" t="shared" si="1"/>
        <v>0</v>
      </c>
      <c r="I19" s="186"/>
      <c r="J19" s="186">
        <f ca="1">OFFSET(card_type!$F$1,MATCH(Q19,card_type!A:A,0)-1,0)</f>
        <v>1</v>
      </c>
      <c r="K19" s="243">
        <f ca="1">OFFSET(card_type!$G$1,MATCH(Q19,card_type!A:A,0)-1,0)</f>
        <v>1</v>
      </c>
      <c r="L19" s="157">
        <v>1</v>
      </c>
      <c r="M19" s="157">
        <v>1</v>
      </c>
      <c r="N19" s="153">
        <f t="shared" si="2"/>
        <v>14</v>
      </c>
      <c r="O19" s="157"/>
      <c r="P19" s="157"/>
      <c r="Q19" s="153">
        <f ca="1">OFFSET(card_type!$A$1,MATCH(card!B19,card_type!B:B,0)-1,0)</f>
        <v>1001</v>
      </c>
      <c r="R19" s="153">
        <v>1</v>
      </c>
      <c r="S19" s="157">
        <f ca="1">ROUND(IF(R19=0,0,IF(R19=1,X19*$S$1,IF(R19=2,X19*$S$1*buff的资质计算!$E$2,IF(R19=3,X19*$S$1*buff的资质计算!$E$3,0)))),0)*0</f>
        <v>0</v>
      </c>
      <c r="T19" s="153">
        <v>1</v>
      </c>
      <c r="U19" s="153">
        <f ca="1" t="shared" si="3"/>
        <v>11</v>
      </c>
      <c r="V19" s="153">
        <f ca="1">ROUND((OFFSET(卡牌辅助配置表!$O$1,MATCH(U19,卡牌辅助配置表!M:M,0)-1,0)+(N19-1)*OFFSET(卡牌辅助配置表!$P$1,MATCH(U19,卡牌辅助配置表!M:M,0)-1,0))*M19,2)</f>
        <v>8.99</v>
      </c>
      <c r="W19" s="157">
        <f ca="1">ROUND(IF(R19=0,0,IF(R19=1,X19*$W$1,IF(R19=2,X19*$W$1*buff的资质计算!$E$2,IF(R19=3,X19*$W$1*buff的资质计算!$E$3,0)))),2)</f>
        <v>2.55</v>
      </c>
      <c r="X19" s="157">
        <f ca="1" t="shared" si="4"/>
        <v>8.5</v>
      </c>
      <c r="Y19" s="157">
        <f ca="1" t="shared" si="5"/>
        <v>8.5</v>
      </c>
      <c r="Z19" s="304">
        <f ca="1" t="shared" si="6"/>
        <v>8.5</v>
      </c>
      <c r="AA19" s="304">
        <f ca="1">OFFSET(卡牌辅助配置表!$AD$1,MATCH(AB19,卡牌辅助配置表!AB:AB,0)-1,0)</f>
        <v>288</v>
      </c>
      <c r="AB19" s="304">
        <f ca="1" t="shared" si="7"/>
        <v>1114</v>
      </c>
      <c r="AF19" s="153" t="str">
        <f ca="1" t="shared" si="8"/>
        <v>10010011|</v>
      </c>
      <c r="AJ19" s="205" t="str">
        <f ca="1" t="shared" si="9"/>
        <v>400023|4300|;</v>
      </c>
      <c r="AK19" s="205">
        <f ca="1">OFFSET([1]item_type!$A$1,MATCH(Q19,[1]item_type!$G:$G,0)-1,0)</f>
        <v>301001</v>
      </c>
      <c r="AL19" s="205"/>
      <c r="AM19" s="205">
        <f ca="1">IF(B19=B20,OFFSET(卡牌辅助配置表!$AE$1,MATCH(AB19,卡牌辅助配置表!AB:AB,0),0),0)</f>
        <v>4300</v>
      </c>
      <c r="AN19" s="153">
        <f ca="1" t="shared" si="10"/>
        <v>1001015</v>
      </c>
      <c r="AP19" s="153">
        <f ca="1">IF(AC19=0,0,IF(AC19=12,0,OFFSET(effect!$N$1,MATCH(K19,effect!M:M,0)-1,0)))</f>
        <v>0</v>
      </c>
    </row>
    <row r="20" spans="1:42">
      <c r="A20" s="153">
        <f ca="1" t="shared" si="0"/>
        <v>1001015</v>
      </c>
      <c r="B20" s="91" t="s">
        <v>508</v>
      </c>
      <c r="C20" s="186">
        <v>1</v>
      </c>
      <c r="D20" s="186">
        <v>6</v>
      </c>
      <c r="E20" s="165" t="s">
        <v>577</v>
      </c>
      <c r="F20" s="165"/>
      <c r="G20" s="186">
        <v>-3</v>
      </c>
      <c r="H20" s="186">
        <f ca="1" t="shared" si="1"/>
        <v>0</v>
      </c>
      <c r="I20" s="186"/>
      <c r="J20" s="186">
        <f ca="1">OFFSET(card_type!$F$1,MATCH(Q20,card_type!A:A,0)-1,0)</f>
        <v>1</v>
      </c>
      <c r="K20" s="243">
        <f ca="1">OFFSET(card_type!$G$1,MATCH(Q20,card_type!A:A,0)-1,0)</f>
        <v>1</v>
      </c>
      <c r="L20" s="157">
        <v>1</v>
      </c>
      <c r="M20" s="157">
        <v>1</v>
      </c>
      <c r="N20" s="153">
        <f t="shared" si="2"/>
        <v>15</v>
      </c>
      <c r="O20" s="157"/>
      <c r="P20" s="157"/>
      <c r="Q20" s="153">
        <f ca="1">OFFSET(card_type!$A$1,MATCH(card!B20,card_type!B:B,0)-1,0)</f>
        <v>1001</v>
      </c>
      <c r="R20" s="153">
        <v>1</v>
      </c>
      <c r="S20" s="157">
        <f ca="1">ROUND(IF(R20=0,0,IF(R20=1,X20*$S$1,IF(R20=2,X20*$S$1*buff的资质计算!$E$2,IF(R20=3,X20*$S$1*buff的资质计算!$E$3,0)))),0)*0</f>
        <v>0</v>
      </c>
      <c r="T20" s="153">
        <v>1</v>
      </c>
      <c r="U20" s="153">
        <f ca="1" t="shared" si="3"/>
        <v>11</v>
      </c>
      <c r="V20" s="153">
        <f ca="1">ROUND((OFFSET(卡牌辅助配置表!$O$1,MATCH(U20,卡牌辅助配置表!M:M,0)-1,0)+(N20-1)*OFFSET(卡牌辅助配置表!$P$1,MATCH(U20,卡牌辅助配置表!M:M,0)-1,0))*M20,2)</f>
        <v>9.2</v>
      </c>
      <c r="W20" s="157">
        <f ca="1">ROUND(IF(R20=0,0,IF(R20=1,X20*$W$1,IF(R20=2,X20*$W$1*buff的资质计算!$E$2,IF(R20=3,X20*$W$1*buff的资质计算!$E$3,0)))),2)</f>
        <v>2.7</v>
      </c>
      <c r="X20" s="157">
        <f ca="1" t="shared" si="4"/>
        <v>9</v>
      </c>
      <c r="Y20" s="157">
        <f ca="1" t="shared" si="5"/>
        <v>9</v>
      </c>
      <c r="Z20" s="304">
        <f ca="1" t="shared" si="6"/>
        <v>9</v>
      </c>
      <c r="AA20" s="304">
        <f ca="1">OFFSET(卡牌辅助配置表!$AD$1,MATCH(AB20,卡牌辅助配置表!AB:AB,0)-1,0)</f>
        <v>315</v>
      </c>
      <c r="AB20" s="304">
        <f ca="1" t="shared" si="7"/>
        <v>1115</v>
      </c>
      <c r="AF20" s="153" t="str">
        <f ca="1" t="shared" si="8"/>
        <v>10010011|</v>
      </c>
      <c r="AJ20" s="205" t="str">
        <f ca="1" t="shared" si="9"/>
        <v>400023|4700|;</v>
      </c>
      <c r="AK20" s="205">
        <f ca="1">OFFSET([1]item_type!$A$1,MATCH(Q20,[1]item_type!$G:$G,0)-1,0)</f>
        <v>301001</v>
      </c>
      <c r="AL20" s="205"/>
      <c r="AM20" s="205">
        <f ca="1">IF(B20=B21,OFFSET(卡牌辅助配置表!$AE$1,MATCH(AB20,卡牌辅助配置表!AB:AB,0),0),0)</f>
        <v>4700</v>
      </c>
      <c r="AN20" s="153">
        <f ca="1" t="shared" si="10"/>
        <v>1001016</v>
      </c>
      <c r="AP20" s="153">
        <f ca="1">IF(AC20=0,0,IF(AC20=12,0,OFFSET(effect!$N$1,MATCH(K20,effect!M:M,0)-1,0)))</f>
        <v>0</v>
      </c>
    </row>
    <row r="21" spans="1:42">
      <c r="A21" s="153">
        <f ca="1" t="shared" si="0"/>
        <v>1001016</v>
      </c>
      <c r="B21" s="91" t="s">
        <v>508</v>
      </c>
      <c r="C21" s="186">
        <v>1</v>
      </c>
      <c r="D21" s="186">
        <v>6</v>
      </c>
      <c r="E21" s="165" t="s">
        <v>577</v>
      </c>
      <c r="F21" s="165"/>
      <c r="G21" s="186">
        <v>-3</v>
      </c>
      <c r="H21" s="186">
        <f ca="1" t="shared" si="1"/>
        <v>0</v>
      </c>
      <c r="I21" s="186"/>
      <c r="J21" s="186">
        <f ca="1">OFFSET(card_type!$F$1,MATCH(Q21,card_type!A:A,0)-1,0)</f>
        <v>1</v>
      </c>
      <c r="K21" s="243">
        <f ca="1">OFFSET(card_type!$G$1,MATCH(Q21,card_type!A:A,0)-1,0)</f>
        <v>1</v>
      </c>
      <c r="L21" s="157">
        <v>1</v>
      </c>
      <c r="M21" s="157">
        <v>1</v>
      </c>
      <c r="N21" s="153">
        <f t="shared" si="2"/>
        <v>16</v>
      </c>
      <c r="O21" s="157"/>
      <c r="P21" s="157"/>
      <c r="Q21" s="153">
        <f ca="1">OFFSET(card_type!$A$1,MATCH(card!B21,card_type!B:B,0)-1,0)</f>
        <v>1001</v>
      </c>
      <c r="R21" s="153">
        <v>1</v>
      </c>
      <c r="S21" s="157">
        <f ca="1">ROUND(IF(R21=0,0,IF(R21=1,X21*$S$1,IF(R21=2,X21*$S$1*buff的资质计算!$E$2,IF(R21=3,X21*$S$1*buff的资质计算!$E$3,0)))),0)*0</f>
        <v>0</v>
      </c>
      <c r="T21" s="153">
        <v>1</v>
      </c>
      <c r="U21" s="153">
        <f ca="1" t="shared" si="3"/>
        <v>11</v>
      </c>
      <c r="V21" s="153">
        <f ca="1">ROUND((OFFSET(卡牌辅助配置表!$O$1,MATCH(U21,卡牌辅助配置表!M:M,0)-1,0)+(N21-1)*OFFSET(卡牌辅助配置表!$P$1,MATCH(U21,卡牌辅助配置表!M:M,0)-1,0))*M21,2)</f>
        <v>9.41</v>
      </c>
      <c r="W21" s="157">
        <f ca="1">ROUND(IF(R21=0,0,IF(R21=1,X21*$W$1,IF(R21=2,X21*$W$1*buff的资质计算!$E$2,IF(R21=3,X21*$W$1*buff的资质计算!$E$3,0)))),2)</f>
        <v>2.85</v>
      </c>
      <c r="X21" s="157">
        <f ca="1" t="shared" si="4"/>
        <v>9.5</v>
      </c>
      <c r="Y21" s="157">
        <f ca="1" t="shared" si="5"/>
        <v>9.5</v>
      </c>
      <c r="Z21" s="304">
        <f ca="1" t="shared" si="6"/>
        <v>9.5</v>
      </c>
      <c r="AA21" s="304">
        <f ca="1">OFFSET(卡牌辅助配置表!$AD$1,MATCH(AB21,卡牌辅助配置表!AB:AB,0)-1,0)</f>
        <v>342</v>
      </c>
      <c r="AB21" s="304">
        <f ca="1" t="shared" si="7"/>
        <v>1116</v>
      </c>
      <c r="AF21" s="153" t="str">
        <f ca="1" t="shared" si="8"/>
        <v>10010011|</v>
      </c>
      <c r="AJ21" s="205" t="str">
        <f ca="1" t="shared" si="9"/>
        <v>400023|5100|;</v>
      </c>
      <c r="AK21" s="205">
        <f ca="1">OFFSET([1]item_type!$A$1,MATCH(Q21,[1]item_type!$G:$G,0)-1,0)</f>
        <v>301001</v>
      </c>
      <c r="AL21" s="205"/>
      <c r="AM21" s="205">
        <f ca="1">IF(B21=B22,OFFSET(卡牌辅助配置表!$AE$1,MATCH(AB21,卡牌辅助配置表!AB:AB,0),0),0)</f>
        <v>5100</v>
      </c>
      <c r="AN21" s="153">
        <f ca="1" t="shared" si="10"/>
        <v>1001017</v>
      </c>
      <c r="AP21" s="153">
        <f ca="1">IF(AC21=0,0,IF(AC21=12,0,OFFSET(effect!$N$1,MATCH(K21,effect!M:M,0)-1,0)))</f>
        <v>0</v>
      </c>
    </row>
    <row r="22" spans="1:42">
      <c r="A22" s="153">
        <f ca="1" t="shared" si="0"/>
        <v>1001017</v>
      </c>
      <c r="B22" s="91" t="s">
        <v>508</v>
      </c>
      <c r="C22" s="186">
        <v>1</v>
      </c>
      <c r="D22" s="186">
        <v>6</v>
      </c>
      <c r="E22" s="165" t="s">
        <v>577</v>
      </c>
      <c r="F22" s="165"/>
      <c r="G22" s="186">
        <v>-3</v>
      </c>
      <c r="H22" s="186">
        <f ca="1" t="shared" si="1"/>
        <v>0</v>
      </c>
      <c r="I22" s="186"/>
      <c r="J22" s="186">
        <f ca="1">OFFSET(card_type!$F$1,MATCH(Q22,card_type!A:A,0)-1,0)</f>
        <v>1</v>
      </c>
      <c r="K22" s="243">
        <f ca="1">OFFSET(card_type!$G$1,MATCH(Q22,card_type!A:A,0)-1,0)</f>
        <v>1</v>
      </c>
      <c r="L22" s="157">
        <v>1</v>
      </c>
      <c r="M22" s="157">
        <v>1</v>
      </c>
      <c r="N22" s="153">
        <f t="shared" si="2"/>
        <v>17</v>
      </c>
      <c r="O22" s="157"/>
      <c r="P22" s="157"/>
      <c r="Q22" s="153">
        <f ca="1">OFFSET(card_type!$A$1,MATCH(card!B22,card_type!B:B,0)-1,0)</f>
        <v>1001</v>
      </c>
      <c r="R22" s="153">
        <v>1</v>
      </c>
      <c r="S22" s="157">
        <f ca="1">ROUND(IF(R22=0,0,IF(R22=1,X22*$S$1,IF(R22=2,X22*$S$1*buff的资质计算!$E$2,IF(R22=3,X22*$S$1*buff的资质计算!$E$3,0)))),0)*0</f>
        <v>0</v>
      </c>
      <c r="T22" s="153">
        <v>1</v>
      </c>
      <c r="U22" s="153">
        <f ca="1" t="shared" si="3"/>
        <v>11</v>
      </c>
      <c r="V22" s="153">
        <f ca="1">ROUND((OFFSET(卡牌辅助配置表!$O$1,MATCH(U22,卡牌辅助配置表!M:M,0)-1,0)+(N22-1)*OFFSET(卡牌辅助配置表!$P$1,MATCH(U22,卡牌辅助配置表!M:M,0)-1,0))*M22,2)</f>
        <v>9.61</v>
      </c>
      <c r="W22" s="157">
        <f ca="1">ROUND(IF(R22=0,0,IF(R22=1,X22*$W$1,IF(R22=2,X22*$W$1*buff的资质计算!$E$2,IF(R22=3,X22*$W$1*buff的资质计算!$E$3,0)))),2)</f>
        <v>3</v>
      </c>
      <c r="X22" s="157">
        <f ca="1" t="shared" si="4"/>
        <v>10</v>
      </c>
      <c r="Y22" s="157">
        <f ca="1" t="shared" si="5"/>
        <v>10</v>
      </c>
      <c r="Z22" s="304">
        <f ca="1" t="shared" si="6"/>
        <v>10</v>
      </c>
      <c r="AA22" s="304">
        <f ca="1">OFFSET(卡牌辅助配置表!$AD$1,MATCH(AB22,卡牌辅助配置表!AB:AB,0)-1,0)</f>
        <v>369</v>
      </c>
      <c r="AB22" s="304">
        <f ca="1" t="shared" si="7"/>
        <v>1117</v>
      </c>
      <c r="AF22" s="153" t="str">
        <f ca="1" t="shared" si="8"/>
        <v>10010011|</v>
      </c>
      <c r="AJ22" s="205" t="str">
        <f ca="1" t="shared" si="9"/>
        <v>400023|5500|;</v>
      </c>
      <c r="AK22" s="205">
        <f ca="1">OFFSET([1]item_type!$A$1,MATCH(Q22,[1]item_type!$G:$G,0)-1,0)</f>
        <v>301001</v>
      </c>
      <c r="AL22" s="205"/>
      <c r="AM22" s="205">
        <f ca="1">IF(B22=B23,OFFSET(卡牌辅助配置表!$AE$1,MATCH(AB22,卡牌辅助配置表!AB:AB,0),0),0)</f>
        <v>5500</v>
      </c>
      <c r="AN22" s="153">
        <f ca="1" t="shared" si="10"/>
        <v>1001018</v>
      </c>
      <c r="AP22" s="153">
        <f ca="1">IF(AC22=0,0,IF(AC22=12,0,OFFSET(effect!$N$1,MATCH(K22,effect!M:M,0)-1,0)))</f>
        <v>0</v>
      </c>
    </row>
    <row r="23" spans="1:42">
      <c r="A23" s="153">
        <f ca="1" t="shared" si="0"/>
        <v>1001018</v>
      </c>
      <c r="B23" s="91" t="s">
        <v>508</v>
      </c>
      <c r="C23" s="186">
        <v>1</v>
      </c>
      <c r="D23" s="186">
        <v>6</v>
      </c>
      <c r="E23" s="165" t="s">
        <v>577</v>
      </c>
      <c r="F23" s="165"/>
      <c r="G23" s="186">
        <v>-3</v>
      </c>
      <c r="H23" s="186">
        <f ca="1" t="shared" si="1"/>
        <v>0</v>
      </c>
      <c r="I23" s="186"/>
      <c r="J23" s="186">
        <f ca="1">OFFSET(card_type!$F$1,MATCH(Q23,card_type!A:A,0)-1,0)</f>
        <v>1</v>
      </c>
      <c r="K23" s="243">
        <f ca="1">OFFSET(card_type!$G$1,MATCH(Q23,card_type!A:A,0)-1,0)</f>
        <v>1</v>
      </c>
      <c r="L23" s="157">
        <v>1</v>
      </c>
      <c r="M23" s="157">
        <v>1</v>
      </c>
      <c r="N23" s="153">
        <f t="shared" si="2"/>
        <v>18</v>
      </c>
      <c r="O23" s="157"/>
      <c r="P23" s="157"/>
      <c r="Q23" s="153">
        <f ca="1">OFFSET(card_type!$A$1,MATCH(card!B23,card_type!B:B,0)-1,0)</f>
        <v>1001</v>
      </c>
      <c r="R23" s="153">
        <v>1</v>
      </c>
      <c r="S23" s="157">
        <f ca="1">ROUND(IF(R23=0,0,IF(R23=1,X23*$S$1,IF(R23=2,X23*$S$1*buff的资质计算!$E$2,IF(R23=3,X23*$S$1*buff的资质计算!$E$3,0)))),0)*0</f>
        <v>0</v>
      </c>
      <c r="T23" s="153">
        <v>1</v>
      </c>
      <c r="U23" s="153">
        <f ca="1" t="shared" si="3"/>
        <v>11</v>
      </c>
      <c r="V23" s="153">
        <f ca="1">ROUND((OFFSET(卡牌辅助配置表!$O$1,MATCH(U23,卡牌辅助配置表!M:M,0)-1,0)+(N23-1)*OFFSET(卡牌辅助配置表!$P$1,MATCH(U23,卡牌辅助配置表!M:M,0)-1,0))*M23,2)</f>
        <v>9.82</v>
      </c>
      <c r="W23" s="157">
        <f ca="1">ROUND(IF(R23=0,0,IF(R23=1,X23*$W$1,IF(R23=2,X23*$W$1*buff的资质计算!$E$2,IF(R23=3,X23*$W$1*buff的资质计算!$E$3,0)))),2)</f>
        <v>3.15</v>
      </c>
      <c r="X23" s="157">
        <f ca="1" t="shared" si="4"/>
        <v>10.5</v>
      </c>
      <c r="Y23" s="157">
        <f ca="1" t="shared" si="5"/>
        <v>10.5</v>
      </c>
      <c r="Z23" s="304">
        <f ca="1" t="shared" si="6"/>
        <v>10.5</v>
      </c>
      <c r="AA23" s="304">
        <f ca="1">OFFSET(卡牌辅助配置表!$AD$1,MATCH(AB23,卡牌辅助配置表!AB:AB,0)-1,0)</f>
        <v>396</v>
      </c>
      <c r="AB23" s="304">
        <f ca="1" t="shared" si="7"/>
        <v>1118</v>
      </c>
      <c r="AF23" s="153" t="str">
        <f ca="1" t="shared" si="8"/>
        <v>10010011|</v>
      </c>
      <c r="AJ23" s="205" t="str">
        <f ca="1" t="shared" si="9"/>
        <v>400023|5900|;</v>
      </c>
      <c r="AK23" s="205">
        <f ca="1">OFFSET([1]item_type!$A$1,MATCH(Q23,[1]item_type!$G:$G,0)-1,0)</f>
        <v>301001</v>
      </c>
      <c r="AL23" s="205"/>
      <c r="AM23" s="205">
        <f ca="1">IF(B23=B24,OFFSET(卡牌辅助配置表!$AE$1,MATCH(AB23,卡牌辅助配置表!AB:AB,0),0),0)</f>
        <v>5900</v>
      </c>
      <c r="AN23" s="153">
        <f ca="1" t="shared" si="10"/>
        <v>1001019</v>
      </c>
      <c r="AP23" s="153">
        <f ca="1">IF(AC23=0,0,IF(AC23=12,0,OFFSET(effect!$N$1,MATCH(K23,effect!M:M,0)-1,0)))</f>
        <v>0</v>
      </c>
    </row>
    <row r="24" spans="1:42">
      <c r="A24" s="153">
        <f ca="1" t="shared" si="0"/>
        <v>1001019</v>
      </c>
      <c r="B24" s="91" t="s">
        <v>508</v>
      </c>
      <c r="C24" s="186">
        <v>1</v>
      </c>
      <c r="D24" s="186">
        <v>6</v>
      </c>
      <c r="E24" s="165" t="s">
        <v>577</v>
      </c>
      <c r="F24" s="165"/>
      <c r="G24" s="186">
        <v>-3</v>
      </c>
      <c r="H24" s="186">
        <f ca="1" t="shared" si="1"/>
        <v>0</v>
      </c>
      <c r="I24" s="186"/>
      <c r="J24" s="186">
        <f ca="1">OFFSET(card_type!$F$1,MATCH(Q24,card_type!A:A,0)-1,0)</f>
        <v>1</v>
      </c>
      <c r="K24" s="243">
        <f ca="1">OFFSET(card_type!$G$1,MATCH(Q24,card_type!A:A,0)-1,0)</f>
        <v>1</v>
      </c>
      <c r="L24" s="157">
        <v>1</v>
      </c>
      <c r="M24" s="157">
        <v>1</v>
      </c>
      <c r="N24" s="153">
        <f t="shared" si="2"/>
        <v>19</v>
      </c>
      <c r="O24" s="157"/>
      <c r="P24" s="157"/>
      <c r="Q24" s="153">
        <f ca="1">OFFSET(card_type!$A$1,MATCH(card!B24,card_type!B:B,0)-1,0)</f>
        <v>1001</v>
      </c>
      <c r="R24" s="153">
        <v>1</v>
      </c>
      <c r="S24" s="157">
        <f ca="1">ROUND(IF(R24=0,0,IF(R24=1,X24*$S$1,IF(R24=2,X24*$S$1*buff的资质计算!$E$2,IF(R24=3,X24*$S$1*buff的资质计算!$E$3,0)))),0)*0</f>
        <v>0</v>
      </c>
      <c r="T24" s="153">
        <v>1</v>
      </c>
      <c r="U24" s="153">
        <f ca="1" t="shared" si="3"/>
        <v>11</v>
      </c>
      <c r="V24" s="153">
        <f ca="1">ROUND((OFFSET(卡牌辅助配置表!$O$1,MATCH(U24,卡牌辅助配置表!M:M,0)-1,0)+(N24-1)*OFFSET(卡牌辅助配置表!$P$1,MATCH(U24,卡牌辅助配置表!M:M,0)-1,0))*M24,2)</f>
        <v>10.03</v>
      </c>
      <c r="W24" s="157">
        <f ca="1">ROUND(IF(R24=0,0,IF(R24=1,X24*$W$1,IF(R24=2,X24*$W$1*buff的资质计算!$E$2,IF(R24=3,X24*$W$1*buff的资质计算!$E$3,0)))),2)</f>
        <v>3.3</v>
      </c>
      <c r="X24" s="157">
        <f ca="1" t="shared" si="4"/>
        <v>11</v>
      </c>
      <c r="Y24" s="157">
        <f ca="1" t="shared" si="5"/>
        <v>11</v>
      </c>
      <c r="Z24" s="304">
        <f ca="1" t="shared" si="6"/>
        <v>11</v>
      </c>
      <c r="AA24" s="304">
        <f ca="1">OFFSET(卡牌辅助配置表!$AD$1,MATCH(AB24,卡牌辅助配置表!AB:AB,0)-1,0)</f>
        <v>423</v>
      </c>
      <c r="AB24" s="304">
        <f ca="1" t="shared" si="7"/>
        <v>1119</v>
      </c>
      <c r="AF24" s="153" t="str">
        <f ca="1" t="shared" si="8"/>
        <v>10010011|</v>
      </c>
      <c r="AJ24" s="205" t="str">
        <f ca="1" t="shared" si="9"/>
        <v>301001|20|;400023|6300|;</v>
      </c>
      <c r="AK24" s="205">
        <f ca="1">OFFSET([1]item_type!$A$1,MATCH(Q24,[1]item_type!$G:$G,0)-1,0)</f>
        <v>301001</v>
      </c>
      <c r="AL24" s="205">
        <v>20</v>
      </c>
      <c r="AM24" s="205">
        <f ca="1">IF(B24=B25,OFFSET(卡牌辅助配置表!$AE$1,MATCH(AB24,卡牌辅助配置表!AB:AB,0),0),0)</f>
        <v>6300</v>
      </c>
      <c r="AN24" s="153">
        <f ca="1" t="shared" si="10"/>
        <v>1001020</v>
      </c>
      <c r="AP24" s="153">
        <f ca="1">IF(AC24=0,0,IF(AC24=12,0,OFFSET(effect!$N$1,MATCH(K24,effect!M:M,0)-1,0)))</f>
        <v>0</v>
      </c>
    </row>
    <row r="25" spans="1:42">
      <c r="A25" s="153">
        <f ca="1" t="shared" si="0"/>
        <v>1001020</v>
      </c>
      <c r="B25" s="91" t="s">
        <v>508</v>
      </c>
      <c r="C25" s="186">
        <v>1</v>
      </c>
      <c r="D25" s="186">
        <v>6</v>
      </c>
      <c r="E25" s="165" t="s">
        <v>577</v>
      </c>
      <c r="F25" s="165"/>
      <c r="G25" s="186">
        <v>-3</v>
      </c>
      <c r="H25" s="186">
        <f ca="1" t="shared" si="1"/>
        <v>0</v>
      </c>
      <c r="I25" s="186"/>
      <c r="J25" s="186">
        <f ca="1">OFFSET(card_type!$F$1,MATCH(Q25,card_type!A:A,0)-1,0)</f>
        <v>1</v>
      </c>
      <c r="K25" s="243">
        <f ca="1">OFFSET(card_type!$G$1,MATCH(Q25,card_type!A:A,0)-1,0)</f>
        <v>1</v>
      </c>
      <c r="L25" s="157">
        <v>1</v>
      </c>
      <c r="M25" s="157">
        <v>1</v>
      </c>
      <c r="N25" s="153">
        <f t="shared" si="2"/>
        <v>20</v>
      </c>
      <c r="O25" s="157"/>
      <c r="P25" s="157"/>
      <c r="Q25" s="153">
        <f ca="1">OFFSET(card_type!$A$1,MATCH(card!B25,card_type!B:B,0)-1,0)</f>
        <v>1001</v>
      </c>
      <c r="R25" s="153">
        <v>1</v>
      </c>
      <c r="S25" s="157">
        <f ca="1">ROUND(IF(R25=0,0,IF(R25=1,X25*$S$1,IF(R25=2,X25*$S$1*buff的资质计算!$E$2,IF(R25=3,X25*$S$1*buff的资质计算!$E$3,0)))),0)*0</f>
        <v>0</v>
      </c>
      <c r="T25" s="153">
        <v>1</v>
      </c>
      <c r="U25" s="153">
        <f ca="1" t="shared" si="3"/>
        <v>11</v>
      </c>
      <c r="V25" s="153">
        <f ca="1">ROUND((OFFSET(卡牌辅助配置表!$O$1,MATCH(U25,卡牌辅助配置表!M:M,0)-1,0)+(N25-1)*OFFSET(卡牌辅助配置表!$P$1,MATCH(U25,卡牌辅助配置表!M:M,0)-1,0))*M25,2)</f>
        <v>10.24</v>
      </c>
      <c r="W25" s="157">
        <f ca="1">ROUND(IF(R25=0,0,IF(R25=1,X25*$W$1,IF(R25=2,X25*$W$1*buff的资质计算!$E$2,IF(R25=3,X25*$W$1*buff的资质计算!$E$3,0)))),2)</f>
        <v>3.45</v>
      </c>
      <c r="X25" s="157">
        <f ca="1" t="shared" si="4"/>
        <v>11.5</v>
      </c>
      <c r="Y25" s="157">
        <f ca="1" t="shared" si="5"/>
        <v>11.5</v>
      </c>
      <c r="Z25" s="304">
        <f ca="1" t="shared" si="6"/>
        <v>11.5</v>
      </c>
      <c r="AA25" s="304">
        <f ca="1">OFFSET(卡牌辅助配置表!$AD$1,MATCH(AB25,卡牌辅助配置表!AB:AB,0)-1,0)</f>
        <v>450</v>
      </c>
      <c r="AB25" s="304">
        <f ca="1" t="shared" si="7"/>
        <v>1120</v>
      </c>
      <c r="AF25" s="153" t="str">
        <f ca="1" t="shared" si="8"/>
        <v>10010011|</v>
      </c>
      <c r="AJ25" s="205" t="str">
        <f ca="1" t="shared" si="9"/>
        <v>400023|7100|;</v>
      </c>
      <c r="AK25" s="205">
        <f ca="1">OFFSET([1]item_type!$A$1,MATCH(Q25,[1]item_type!$G:$G,0)-1,0)</f>
        <v>301001</v>
      </c>
      <c r="AL25" s="205"/>
      <c r="AM25" s="205">
        <f ca="1">IF(B25=B26,OFFSET(卡牌辅助配置表!$AE$1,MATCH(AB25,卡牌辅助配置表!AB:AB,0),0),0)</f>
        <v>7100</v>
      </c>
      <c r="AN25" s="153">
        <f ca="1" t="shared" si="10"/>
        <v>1001021</v>
      </c>
      <c r="AP25" s="153">
        <f ca="1">IF(AC25=0,0,IF(AC25=12,0,OFFSET(effect!$N$1,MATCH(K25,effect!M:M,0)-1,0)))</f>
        <v>0</v>
      </c>
    </row>
    <row r="26" spans="1:42">
      <c r="A26" s="153">
        <f ca="1" t="shared" si="0"/>
        <v>1001021</v>
      </c>
      <c r="B26" s="91" t="s">
        <v>508</v>
      </c>
      <c r="C26" s="186">
        <v>1</v>
      </c>
      <c r="D26" s="186">
        <v>6</v>
      </c>
      <c r="E26" s="165" t="s">
        <v>577</v>
      </c>
      <c r="F26" s="165"/>
      <c r="G26" s="186">
        <v>-3</v>
      </c>
      <c r="H26" s="186">
        <f ca="1" t="shared" si="1"/>
        <v>0</v>
      </c>
      <c r="I26" s="186"/>
      <c r="J26" s="186">
        <f ca="1">OFFSET(card_type!$F$1,MATCH(Q26,card_type!A:A,0)-1,0)</f>
        <v>1</v>
      </c>
      <c r="K26" s="243">
        <f ca="1">OFFSET(card_type!$G$1,MATCH(Q26,card_type!A:A,0)-1,0)</f>
        <v>1</v>
      </c>
      <c r="L26" s="157">
        <v>1</v>
      </c>
      <c r="M26" s="157">
        <v>1</v>
      </c>
      <c r="N26" s="153">
        <f t="shared" si="2"/>
        <v>21</v>
      </c>
      <c r="O26" s="157"/>
      <c r="P26" s="157"/>
      <c r="Q26" s="153">
        <f ca="1">OFFSET(card_type!$A$1,MATCH(card!B26,card_type!B:B,0)-1,0)</f>
        <v>1001</v>
      </c>
      <c r="R26" s="153">
        <v>1</v>
      </c>
      <c r="S26" s="157">
        <f ca="1">ROUND(IF(R26=0,0,IF(R26=1,X26*$S$1,IF(R26=2,X26*$S$1*buff的资质计算!$E$2,IF(R26=3,X26*$S$1*buff的资质计算!$E$3,0)))),0)*0</f>
        <v>0</v>
      </c>
      <c r="T26" s="153">
        <v>1</v>
      </c>
      <c r="U26" s="153">
        <f ca="1" t="shared" si="3"/>
        <v>11</v>
      </c>
      <c r="V26" s="153">
        <f ca="1">ROUND((OFFSET(卡牌辅助配置表!$O$1,MATCH(U26,卡牌辅助配置表!M:M,0)-1,0)+(N26-1)*OFFSET(卡牌辅助配置表!$P$1,MATCH(U26,卡牌辅助配置表!M:M,0)-1,0))*M26,2)</f>
        <v>10.45</v>
      </c>
      <c r="W26" s="157">
        <f ca="1">ROUND(IF(R26=0,0,IF(R26=1,X26*$W$1,IF(R26=2,X26*$W$1*buff的资质计算!$E$2,IF(R26=3,X26*$W$1*buff的资质计算!$E$3,0)))),2)</f>
        <v>3.6</v>
      </c>
      <c r="X26" s="157">
        <f ca="1" t="shared" si="4"/>
        <v>12</v>
      </c>
      <c r="Y26" s="157">
        <f ca="1" t="shared" si="5"/>
        <v>12</v>
      </c>
      <c r="Z26" s="304">
        <f ca="1" t="shared" si="6"/>
        <v>12</v>
      </c>
      <c r="AA26" s="304">
        <f ca="1">OFFSET(卡牌辅助配置表!$AD$1,MATCH(AB26,卡牌辅助配置表!AB:AB,0)-1,0)</f>
        <v>486</v>
      </c>
      <c r="AB26" s="304">
        <f ca="1" t="shared" si="7"/>
        <v>1121</v>
      </c>
      <c r="AF26" s="153" t="str">
        <f ca="1" t="shared" si="8"/>
        <v>10010011|</v>
      </c>
      <c r="AJ26" s="205" t="str">
        <f ca="1" t="shared" si="9"/>
        <v>400023|7900|;</v>
      </c>
      <c r="AK26" s="205">
        <f ca="1">OFFSET([1]item_type!$A$1,MATCH(Q26,[1]item_type!$G:$G,0)-1,0)</f>
        <v>301001</v>
      </c>
      <c r="AL26" s="205"/>
      <c r="AM26" s="205">
        <f ca="1">IF(B26=B27,OFFSET(卡牌辅助配置表!$AE$1,MATCH(AB26,卡牌辅助配置表!AB:AB,0),0),0)</f>
        <v>7900</v>
      </c>
      <c r="AN26" s="153">
        <f ca="1" t="shared" si="10"/>
        <v>1001022</v>
      </c>
      <c r="AP26" s="153">
        <f ca="1">IF(AC26=0,0,IF(AC26=12,0,OFFSET(effect!$N$1,MATCH(K26,effect!M:M,0)-1,0)))</f>
        <v>0</v>
      </c>
    </row>
    <row r="27" spans="1:42">
      <c r="A27" s="153">
        <f ca="1" t="shared" si="0"/>
        <v>1001022</v>
      </c>
      <c r="B27" s="91" t="s">
        <v>508</v>
      </c>
      <c r="C27" s="186">
        <v>1</v>
      </c>
      <c r="D27" s="186">
        <v>6</v>
      </c>
      <c r="E27" s="165" t="s">
        <v>577</v>
      </c>
      <c r="F27" s="165"/>
      <c r="G27" s="186">
        <v>-3</v>
      </c>
      <c r="H27" s="186">
        <f ca="1" t="shared" si="1"/>
        <v>0</v>
      </c>
      <c r="I27" s="186"/>
      <c r="J27" s="186">
        <f ca="1">OFFSET(card_type!$F$1,MATCH(Q27,card_type!A:A,0)-1,0)</f>
        <v>1</v>
      </c>
      <c r="K27" s="243">
        <f ca="1">OFFSET(card_type!$G$1,MATCH(Q27,card_type!A:A,0)-1,0)</f>
        <v>1</v>
      </c>
      <c r="L27" s="157">
        <v>1</v>
      </c>
      <c r="M27" s="157">
        <v>1</v>
      </c>
      <c r="N27" s="153">
        <f t="shared" si="2"/>
        <v>22</v>
      </c>
      <c r="O27" s="157"/>
      <c r="P27" s="157"/>
      <c r="Q27" s="153">
        <f ca="1">OFFSET(card_type!$A$1,MATCH(card!B27,card_type!B:B,0)-1,0)</f>
        <v>1001</v>
      </c>
      <c r="R27" s="153">
        <v>1</v>
      </c>
      <c r="S27" s="157">
        <f ca="1">ROUND(IF(R27=0,0,IF(R27=1,X27*$S$1,IF(R27=2,X27*$S$1*buff的资质计算!$E$2,IF(R27=3,X27*$S$1*buff的资质计算!$E$3,0)))),0)*0</f>
        <v>0</v>
      </c>
      <c r="T27" s="153">
        <v>1</v>
      </c>
      <c r="U27" s="153">
        <f ca="1" t="shared" si="3"/>
        <v>11</v>
      </c>
      <c r="V27" s="153">
        <f ca="1">ROUND((OFFSET(卡牌辅助配置表!$O$1,MATCH(U27,卡牌辅助配置表!M:M,0)-1,0)+(N27-1)*OFFSET(卡牌辅助配置表!$P$1,MATCH(U27,卡牌辅助配置表!M:M,0)-1,0))*M27,2)</f>
        <v>10.66</v>
      </c>
      <c r="W27" s="157">
        <f ca="1">ROUND(IF(R27=0,0,IF(R27=1,X27*$W$1,IF(R27=2,X27*$W$1*buff的资质计算!$E$2,IF(R27=3,X27*$W$1*buff的资质计算!$E$3,0)))),2)</f>
        <v>3.75</v>
      </c>
      <c r="X27" s="157">
        <f ca="1" t="shared" si="4"/>
        <v>12.5</v>
      </c>
      <c r="Y27" s="157">
        <f ca="1" t="shared" si="5"/>
        <v>12.5</v>
      </c>
      <c r="Z27" s="304">
        <f ca="1" t="shared" si="6"/>
        <v>12.5</v>
      </c>
      <c r="AA27" s="304">
        <f ca="1">OFFSET(卡牌辅助配置表!$AD$1,MATCH(AB27,卡牌辅助配置表!AB:AB,0)-1,0)</f>
        <v>522</v>
      </c>
      <c r="AB27" s="304">
        <f ca="1" t="shared" si="7"/>
        <v>1122</v>
      </c>
      <c r="AF27" s="153" t="str">
        <f ca="1" t="shared" si="8"/>
        <v>10010011|</v>
      </c>
      <c r="AJ27" s="205" t="str">
        <f ca="1" t="shared" si="9"/>
        <v>400023|8700|;</v>
      </c>
      <c r="AK27" s="205">
        <f ca="1">OFFSET([1]item_type!$A$1,MATCH(Q27,[1]item_type!$G:$G,0)-1,0)</f>
        <v>301001</v>
      </c>
      <c r="AL27" s="205"/>
      <c r="AM27" s="205">
        <f ca="1">IF(B27=B28,OFFSET(卡牌辅助配置表!$AE$1,MATCH(AB27,卡牌辅助配置表!AB:AB,0),0),0)</f>
        <v>8700</v>
      </c>
      <c r="AN27" s="153">
        <f ca="1" t="shared" si="10"/>
        <v>1001023</v>
      </c>
      <c r="AP27" s="153">
        <f ca="1">IF(AC27=0,0,IF(AC27=12,0,OFFSET(effect!$N$1,MATCH(K27,effect!M:M,0)-1,0)))</f>
        <v>0</v>
      </c>
    </row>
    <row r="28" spans="1:42">
      <c r="A28" s="153">
        <f ca="1" t="shared" si="0"/>
        <v>1001023</v>
      </c>
      <c r="B28" s="91" t="s">
        <v>508</v>
      </c>
      <c r="C28" s="186">
        <v>1</v>
      </c>
      <c r="D28" s="186">
        <v>6</v>
      </c>
      <c r="E28" s="165" t="s">
        <v>577</v>
      </c>
      <c r="F28" s="165"/>
      <c r="G28" s="186">
        <v>-3</v>
      </c>
      <c r="H28" s="186">
        <f ca="1" t="shared" si="1"/>
        <v>0</v>
      </c>
      <c r="I28" s="186"/>
      <c r="J28" s="186">
        <f ca="1">OFFSET(card_type!$F$1,MATCH(Q28,card_type!A:A,0)-1,0)</f>
        <v>1</v>
      </c>
      <c r="K28" s="243">
        <f ca="1">OFFSET(card_type!$G$1,MATCH(Q28,card_type!A:A,0)-1,0)</f>
        <v>1</v>
      </c>
      <c r="L28" s="157">
        <v>1</v>
      </c>
      <c r="M28" s="157">
        <v>1</v>
      </c>
      <c r="N28" s="153">
        <f t="shared" si="2"/>
        <v>23</v>
      </c>
      <c r="O28" s="157"/>
      <c r="P28" s="157"/>
      <c r="Q28" s="153">
        <f ca="1">OFFSET(card_type!$A$1,MATCH(card!B28,card_type!B:B,0)-1,0)</f>
        <v>1001</v>
      </c>
      <c r="R28" s="153">
        <v>1</v>
      </c>
      <c r="S28" s="157">
        <f ca="1">ROUND(IF(R28=0,0,IF(R28=1,X28*$S$1,IF(R28=2,X28*$S$1*buff的资质计算!$E$2,IF(R28=3,X28*$S$1*buff的资质计算!$E$3,0)))),0)*0</f>
        <v>0</v>
      </c>
      <c r="T28" s="153">
        <v>1</v>
      </c>
      <c r="U28" s="153">
        <f ca="1" t="shared" si="3"/>
        <v>11</v>
      </c>
      <c r="V28" s="153">
        <f ca="1">ROUND((OFFSET(卡牌辅助配置表!$O$1,MATCH(U28,卡牌辅助配置表!M:M,0)-1,0)+(N28-1)*OFFSET(卡牌辅助配置表!$P$1,MATCH(U28,卡牌辅助配置表!M:M,0)-1,0))*M28,2)</f>
        <v>10.87</v>
      </c>
      <c r="W28" s="157">
        <f ca="1">ROUND(IF(R28=0,0,IF(R28=1,X28*$W$1,IF(R28=2,X28*$W$1*buff的资质计算!$E$2,IF(R28=3,X28*$W$1*buff的资质计算!$E$3,0)))),2)</f>
        <v>3.9</v>
      </c>
      <c r="X28" s="157">
        <f ca="1" t="shared" si="4"/>
        <v>13</v>
      </c>
      <c r="Y28" s="157">
        <f ca="1" t="shared" si="5"/>
        <v>13</v>
      </c>
      <c r="Z28" s="304">
        <f ca="1" t="shared" si="6"/>
        <v>13</v>
      </c>
      <c r="AA28" s="304">
        <f ca="1">OFFSET(卡牌辅助配置表!$AD$1,MATCH(AB28,卡牌辅助配置表!AB:AB,0)-1,0)</f>
        <v>558</v>
      </c>
      <c r="AB28" s="304">
        <f ca="1" t="shared" si="7"/>
        <v>1123</v>
      </c>
      <c r="AF28" s="153" t="str">
        <f ca="1" t="shared" si="8"/>
        <v>10010011|</v>
      </c>
      <c r="AJ28" s="205" t="str">
        <f ca="1" t="shared" si="9"/>
        <v>400023|9500|;</v>
      </c>
      <c r="AK28" s="205">
        <f ca="1">OFFSET([1]item_type!$A$1,MATCH(Q28,[1]item_type!$G:$G,0)-1,0)</f>
        <v>301001</v>
      </c>
      <c r="AL28" s="205"/>
      <c r="AM28" s="205">
        <f ca="1">IF(B28=B29,OFFSET(卡牌辅助配置表!$AE$1,MATCH(AB28,卡牌辅助配置表!AB:AB,0),0),0)</f>
        <v>9500</v>
      </c>
      <c r="AN28" s="153">
        <f ca="1" t="shared" si="10"/>
        <v>1001024</v>
      </c>
      <c r="AP28" s="153">
        <f ca="1">IF(AC28=0,0,IF(AC28=12,0,OFFSET(effect!$N$1,MATCH(K28,effect!M:M,0)-1,0)))</f>
        <v>0</v>
      </c>
    </row>
    <row r="29" spans="1:42">
      <c r="A29" s="153">
        <f ca="1" t="shared" si="0"/>
        <v>1001024</v>
      </c>
      <c r="B29" s="91" t="s">
        <v>508</v>
      </c>
      <c r="C29" s="186">
        <v>1</v>
      </c>
      <c r="D29" s="186">
        <v>6</v>
      </c>
      <c r="E29" s="165" t="s">
        <v>577</v>
      </c>
      <c r="F29" s="165"/>
      <c r="G29" s="186">
        <v>-3</v>
      </c>
      <c r="H29" s="186">
        <f ca="1" t="shared" si="1"/>
        <v>0</v>
      </c>
      <c r="I29" s="186"/>
      <c r="J29" s="186">
        <f ca="1">OFFSET(card_type!$F$1,MATCH(Q29,card_type!A:A,0)-1,0)</f>
        <v>1</v>
      </c>
      <c r="K29" s="243">
        <f ca="1">OFFSET(card_type!$G$1,MATCH(Q29,card_type!A:A,0)-1,0)</f>
        <v>1</v>
      </c>
      <c r="L29" s="157">
        <v>1</v>
      </c>
      <c r="M29" s="157">
        <v>1</v>
      </c>
      <c r="N29" s="153">
        <f t="shared" si="2"/>
        <v>24</v>
      </c>
      <c r="O29" s="157"/>
      <c r="P29" s="157"/>
      <c r="Q29" s="153">
        <f ca="1">OFFSET(card_type!$A$1,MATCH(card!B29,card_type!B:B,0)-1,0)</f>
        <v>1001</v>
      </c>
      <c r="R29" s="153">
        <v>1</v>
      </c>
      <c r="S29" s="157">
        <f ca="1">ROUND(IF(R29=0,0,IF(R29=1,X29*$S$1,IF(R29=2,X29*$S$1*buff的资质计算!$E$2,IF(R29=3,X29*$S$1*buff的资质计算!$E$3,0)))),0)*0</f>
        <v>0</v>
      </c>
      <c r="T29" s="153">
        <v>1</v>
      </c>
      <c r="U29" s="153">
        <f ca="1" t="shared" si="3"/>
        <v>11</v>
      </c>
      <c r="V29" s="153">
        <f ca="1">ROUND((OFFSET(卡牌辅助配置表!$O$1,MATCH(U29,卡牌辅助配置表!M:M,0)-1,0)+(N29-1)*OFFSET(卡牌辅助配置表!$P$1,MATCH(U29,卡牌辅助配置表!M:M,0)-1,0))*M29,2)</f>
        <v>11.08</v>
      </c>
      <c r="W29" s="157">
        <f ca="1">ROUND(IF(R29=0,0,IF(R29=1,X29*$W$1,IF(R29=2,X29*$W$1*buff的资质计算!$E$2,IF(R29=3,X29*$W$1*buff的资质计算!$E$3,0)))),2)</f>
        <v>4.05</v>
      </c>
      <c r="X29" s="157">
        <f ca="1" t="shared" si="4"/>
        <v>13.5</v>
      </c>
      <c r="Y29" s="157">
        <f ca="1" t="shared" si="5"/>
        <v>13.5</v>
      </c>
      <c r="Z29" s="304">
        <f ca="1" t="shared" si="6"/>
        <v>13.5</v>
      </c>
      <c r="AA29" s="304">
        <f ca="1">OFFSET(卡牌辅助配置表!$AD$1,MATCH(AB29,卡牌辅助配置表!AB:AB,0)-1,0)</f>
        <v>594</v>
      </c>
      <c r="AB29" s="304">
        <f ca="1" t="shared" si="7"/>
        <v>1124</v>
      </c>
      <c r="AF29" s="153" t="str">
        <f ca="1" t="shared" si="8"/>
        <v>10010011|</v>
      </c>
      <c r="AJ29" s="205" t="str">
        <f ca="1" t="shared" si="9"/>
        <v>400023|10300|;</v>
      </c>
      <c r="AK29" s="205">
        <f ca="1">OFFSET([1]item_type!$A$1,MATCH(Q29,[1]item_type!$G:$G,0)-1,0)</f>
        <v>301001</v>
      </c>
      <c r="AL29" s="205"/>
      <c r="AM29" s="205">
        <f ca="1">IF(B29=B30,OFFSET(卡牌辅助配置表!$AE$1,MATCH(AB29,卡牌辅助配置表!AB:AB,0),0),0)</f>
        <v>10300</v>
      </c>
      <c r="AN29" s="153">
        <f ca="1" t="shared" si="10"/>
        <v>1001025</v>
      </c>
      <c r="AP29" s="153">
        <f ca="1">IF(AC29=0,0,IF(AC29=12,0,OFFSET(effect!$N$1,MATCH(K29,effect!M:M,0)-1,0)))</f>
        <v>0</v>
      </c>
    </row>
    <row r="30" spans="1:42">
      <c r="A30" s="153">
        <f ca="1" t="shared" si="0"/>
        <v>1001025</v>
      </c>
      <c r="B30" s="91" t="s">
        <v>508</v>
      </c>
      <c r="C30" s="186">
        <v>1</v>
      </c>
      <c r="D30" s="186">
        <v>6</v>
      </c>
      <c r="E30" s="165" t="s">
        <v>577</v>
      </c>
      <c r="F30" s="165"/>
      <c r="G30" s="186">
        <v>-3</v>
      </c>
      <c r="H30" s="186">
        <f ca="1" t="shared" si="1"/>
        <v>0</v>
      </c>
      <c r="I30" s="186"/>
      <c r="J30" s="186">
        <f ca="1">OFFSET(card_type!$F$1,MATCH(Q30,card_type!A:A,0)-1,0)</f>
        <v>1</v>
      </c>
      <c r="K30" s="243">
        <f ca="1">OFFSET(card_type!$G$1,MATCH(Q30,card_type!A:A,0)-1,0)</f>
        <v>1</v>
      </c>
      <c r="L30" s="157">
        <v>1</v>
      </c>
      <c r="M30" s="157">
        <v>1</v>
      </c>
      <c r="N30" s="153">
        <f t="shared" si="2"/>
        <v>25</v>
      </c>
      <c r="O30" s="157"/>
      <c r="P30" s="157"/>
      <c r="Q30" s="153">
        <f ca="1">OFFSET(card_type!$A$1,MATCH(card!B30,card_type!B:B,0)-1,0)</f>
        <v>1001</v>
      </c>
      <c r="R30" s="153">
        <v>1</v>
      </c>
      <c r="S30" s="157">
        <f ca="1">ROUND(IF(R30=0,0,IF(R30=1,X30*$S$1,IF(R30=2,X30*$S$1*buff的资质计算!$E$2,IF(R30=3,X30*$S$1*buff的资质计算!$E$3,0)))),0)*0</f>
        <v>0</v>
      </c>
      <c r="T30" s="153">
        <v>1</v>
      </c>
      <c r="U30" s="153">
        <f ca="1" t="shared" si="3"/>
        <v>11</v>
      </c>
      <c r="V30" s="153">
        <f ca="1">ROUND((OFFSET(卡牌辅助配置表!$O$1,MATCH(U30,卡牌辅助配置表!M:M,0)-1,0)+(N30-1)*OFFSET(卡牌辅助配置表!$P$1,MATCH(U30,卡牌辅助配置表!M:M,0)-1,0))*M30,2)</f>
        <v>11.29</v>
      </c>
      <c r="W30" s="157">
        <f ca="1">ROUND(IF(R30=0,0,IF(R30=1,X30*$W$1,IF(R30=2,X30*$W$1*buff的资质计算!$E$2,IF(R30=3,X30*$W$1*buff的资质计算!$E$3,0)))),2)</f>
        <v>4.2</v>
      </c>
      <c r="X30" s="157">
        <f ca="1" t="shared" si="4"/>
        <v>14</v>
      </c>
      <c r="Y30" s="157">
        <f ca="1" t="shared" si="5"/>
        <v>14</v>
      </c>
      <c r="Z30" s="304">
        <f ca="1" t="shared" si="6"/>
        <v>14</v>
      </c>
      <c r="AA30" s="304">
        <f ca="1">OFFSET(卡牌辅助配置表!$AD$1,MATCH(AB30,卡牌辅助配置表!AB:AB,0)-1,0)</f>
        <v>630</v>
      </c>
      <c r="AB30" s="304">
        <f ca="1" t="shared" si="7"/>
        <v>1125</v>
      </c>
      <c r="AF30" s="153" t="str">
        <f ca="1" t="shared" si="8"/>
        <v>10010011|</v>
      </c>
      <c r="AJ30" s="205" t="str">
        <f ca="1" t="shared" si="9"/>
        <v>400023|11100|;</v>
      </c>
      <c r="AK30" s="205">
        <f ca="1">OFFSET([1]item_type!$A$1,MATCH(Q30,[1]item_type!$G:$G,0)-1,0)</f>
        <v>301001</v>
      </c>
      <c r="AL30" s="205"/>
      <c r="AM30" s="205">
        <f ca="1">IF(B30=B31,OFFSET(卡牌辅助配置表!$AE$1,MATCH(AB30,卡牌辅助配置表!AB:AB,0),0),0)</f>
        <v>11100</v>
      </c>
      <c r="AN30" s="153">
        <f ca="1" t="shared" si="10"/>
        <v>1001026</v>
      </c>
      <c r="AP30" s="153">
        <f ca="1">IF(AC30=0,0,IF(AC30=12,0,OFFSET(effect!$N$1,MATCH(K30,effect!M:M,0)-1,0)))</f>
        <v>0</v>
      </c>
    </row>
    <row r="31" spans="1:42">
      <c r="A31" s="153">
        <f ca="1" t="shared" si="0"/>
        <v>1001026</v>
      </c>
      <c r="B31" s="91" t="s">
        <v>508</v>
      </c>
      <c r="C31" s="186">
        <v>1</v>
      </c>
      <c r="D31" s="186">
        <v>6</v>
      </c>
      <c r="E31" s="165" t="s">
        <v>577</v>
      </c>
      <c r="F31" s="165"/>
      <c r="G31" s="186">
        <v>-3</v>
      </c>
      <c r="H31" s="186">
        <f ca="1" t="shared" si="1"/>
        <v>0</v>
      </c>
      <c r="I31" s="186"/>
      <c r="J31" s="186">
        <f ca="1">OFFSET(card_type!$F$1,MATCH(Q31,card_type!A:A,0)-1,0)</f>
        <v>1</v>
      </c>
      <c r="K31" s="243">
        <f ca="1">OFFSET(card_type!$G$1,MATCH(Q31,card_type!A:A,0)-1,0)</f>
        <v>1</v>
      </c>
      <c r="L31" s="157">
        <v>1</v>
      </c>
      <c r="M31" s="157">
        <v>1</v>
      </c>
      <c r="N31" s="153">
        <f t="shared" si="2"/>
        <v>26</v>
      </c>
      <c r="O31" s="157"/>
      <c r="P31" s="157"/>
      <c r="Q31" s="153">
        <f ca="1">OFFSET(card_type!$A$1,MATCH(card!B31,card_type!B:B,0)-1,0)</f>
        <v>1001</v>
      </c>
      <c r="R31" s="153">
        <v>1</v>
      </c>
      <c r="S31" s="157">
        <f ca="1">ROUND(IF(R31=0,0,IF(R31=1,X31*$S$1,IF(R31=2,X31*$S$1*buff的资质计算!$E$2,IF(R31=3,X31*$S$1*buff的资质计算!$E$3,0)))),0)*0</f>
        <v>0</v>
      </c>
      <c r="T31" s="153">
        <v>1</v>
      </c>
      <c r="U31" s="153">
        <f ca="1" t="shared" si="3"/>
        <v>11</v>
      </c>
      <c r="V31" s="153">
        <f ca="1">ROUND((OFFSET(卡牌辅助配置表!$O$1,MATCH(U31,卡牌辅助配置表!M:M,0)-1,0)+(N31-1)*OFFSET(卡牌辅助配置表!$P$1,MATCH(U31,卡牌辅助配置表!M:M,0)-1,0))*M31,2)</f>
        <v>11.5</v>
      </c>
      <c r="W31" s="157">
        <f ca="1">ROUND(IF(R31=0,0,IF(R31=1,X31*$W$1,IF(R31=2,X31*$W$1*buff的资质计算!$E$2,IF(R31=3,X31*$W$1*buff的资质计算!$E$3,0)))),2)</f>
        <v>4.35</v>
      </c>
      <c r="X31" s="157">
        <f ca="1" t="shared" si="4"/>
        <v>14.5</v>
      </c>
      <c r="Y31" s="157">
        <f ca="1" t="shared" si="5"/>
        <v>14.5</v>
      </c>
      <c r="Z31" s="304">
        <f ca="1" t="shared" si="6"/>
        <v>14.5</v>
      </c>
      <c r="AA31" s="304">
        <f ca="1">OFFSET(卡牌辅助配置表!$AD$1,MATCH(AB31,卡牌辅助配置表!AB:AB,0)-1,0)</f>
        <v>666</v>
      </c>
      <c r="AB31" s="304">
        <f ca="1" t="shared" si="7"/>
        <v>1126</v>
      </c>
      <c r="AF31" s="153" t="str">
        <f ca="1" t="shared" si="8"/>
        <v>10010011|</v>
      </c>
      <c r="AJ31" s="205" t="str">
        <f ca="1" t="shared" si="9"/>
        <v>400023|11900|;</v>
      </c>
      <c r="AK31" s="205">
        <f ca="1">OFFSET([1]item_type!$A$1,MATCH(Q31,[1]item_type!$G:$G,0)-1,0)</f>
        <v>301001</v>
      </c>
      <c r="AL31" s="205"/>
      <c r="AM31" s="205">
        <f ca="1">IF(B31=B32,OFFSET(卡牌辅助配置表!$AE$1,MATCH(AB31,卡牌辅助配置表!AB:AB,0),0),0)</f>
        <v>11900</v>
      </c>
      <c r="AN31" s="153">
        <f ca="1" t="shared" si="10"/>
        <v>1001027</v>
      </c>
      <c r="AP31" s="153">
        <f ca="1">IF(AC31=0,0,IF(AC31=12,0,OFFSET(effect!$N$1,MATCH(K31,effect!M:M,0)-1,0)))</f>
        <v>0</v>
      </c>
    </row>
    <row r="32" spans="1:42">
      <c r="A32" s="153">
        <f ca="1" t="shared" si="0"/>
        <v>1001027</v>
      </c>
      <c r="B32" s="91" t="s">
        <v>508</v>
      </c>
      <c r="C32" s="186">
        <v>1</v>
      </c>
      <c r="D32" s="186">
        <v>6</v>
      </c>
      <c r="E32" s="165" t="s">
        <v>577</v>
      </c>
      <c r="F32" s="165"/>
      <c r="G32" s="186">
        <v>-3</v>
      </c>
      <c r="H32" s="186">
        <f ca="1" t="shared" si="1"/>
        <v>0</v>
      </c>
      <c r="I32" s="186"/>
      <c r="J32" s="186">
        <f ca="1">OFFSET(card_type!$F$1,MATCH(Q32,card_type!A:A,0)-1,0)</f>
        <v>1</v>
      </c>
      <c r="K32" s="243">
        <f ca="1">OFFSET(card_type!$G$1,MATCH(Q32,card_type!A:A,0)-1,0)</f>
        <v>1</v>
      </c>
      <c r="L32" s="157">
        <v>1</v>
      </c>
      <c r="M32" s="157">
        <v>1</v>
      </c>
      <c r="N32" s="153">
        <f t="shared" si="2"/>
        <v>27</v>
      </c>
      <c r="O32" s="157"/>
      <c r="P32" s="157"/>
      <c r="Q32" s="153">
        <f ca="1">OFFSET(card_type!$A$1,MATCH(card!B32,card_type!B:B,0)-1,0)</f>
        <v>1001</v>
      </c>
      <c r="R32" s="153">
        <v>1</v>
      </c>
      <c r="S32" s="157">
        <f ca="1">ROUND(IF(R32=0,0,IF(R32=1,X32*$S$1,IF(R32=2,X32*$S$1*buff的资质计算!$E$2,IF(R32=3,X32*$S$1*buff的资质计算!$E$3,0)))),0)*0</f>
        <v>0</v>
      </c>
      <c r="T32" s="153">
        <v>1</v>
      </c>
      <c r="U32" s="153">
        <f ca="1" t="shared" si="3"/>
        <v>11</v>
      </c>
      <c r="V32" s="153">
        <f ca="1">ROUND((OFFSET(卡牌辅助配置表!$O$1,MATCH(U32,卡牌辅助配置表!M:M,0)-1,0)+(N32-1)*OFFSET(卡牌辅助配置表!$P$1,MATCH(U32,卡牌辅助配置表!M:M,0)-1,0))*M32,2)</f>
        <v>11.7</v>
      </c>
      <c r="W32" s="157">
        <f ca="1">ROUND(IF(R32=0,0,IF(R32=1,X32*$W$1,IF(R32=2,X32*$W$1*buff的资质计算!$E$2,IF(R32=3,X32*$W$1*buff的资质计算!$E$3,0)))),2)</f>
        <v>4.5</v>
      </c>
      <c r="X32" s="157">
        <f ca="1" t="shared" si="4"/>
        <v>15</v>
      </c>
      <c r="Y32" s="157">
        <f ca="1" t="shared" si="5"/>
        <v>15</v>
      </c>
      <c r="Z32" s="304">
        <f ca="1" t="shared" si="6"/>
        <v>15</v>
      </c>
      <c r="AA32" s="304">
        <f ca="1">OFFSET(卡牌辅助配置表!$AD$1,MATCH(AB32,卡牌辅助配置表!AB:AB,0)-1,0)</f>
        <v>702</v>
      </c>
      <c r="AB32" s="304">
        <f ca="1" t="shared" si="7"/>
        <v>1127</v>
      </c>
      <c r="AF32" s="153" t="str">
        <f ca="1" t="shared" si="8"/>
        <v>10010011|</v>
      </c>
      <c r="AJ32" s="205" t="str">
        <f ca="1" t="shared" si="9"/>
        <v>400023|12700|;</v>
      </c>
      <c r="AK32" s="205">
        <f ca="1">OFFSET([1]item_type!$A$1,MATCH(Q32,[1]item_type!$G:$G,0)-1,0)</f>
        <v>301001</v>
      </c>
      <c r="AL32" s="205"/>
      <c r="AM32" s="205">
        <f ca="1">IF(B32=B33,OFFSET(卡牌辅助配置表!$AE$1,MATCH(AB32,卡牌辅助配置表!AB:AB,0),0),0)</f>
        <v>12700</v>
      </c>
      <c r="AN32" s="153">
        <f ca="1" t="shared" si="10"/>
        <v>1001028</v>
      </c>
      <c r="AP32" s="153">
        <f ca="1">IF(AC32=0,0,IF(AC32=12,0,OFFSET(effect!$N$1,MATCH(K32,effect!M:M,0)-1,0)))</f>
        <v>0</v>
      </c>
    </row>
    <row r="33" spans="1:42">
      <c r="A33" s="153">
        <f ca="1" t="shared" si="0"/>
        <v>1001028</v>
      </c>
      <c r="B33" s="91" t="s">
        <v>508</v>
      </c>
      <c r="C33" s="186">
        <v>1</v>
      </c>
      <c r="D33" s="186">
        <v>6</v>
      </c>
      <c r="E33" s="165" t="s">
        <v>577</v>
      </c>
      <c r="F33" s="165"/>
      <c r="G33" s="186">
        <v>-3</v>
      </c>
      <c r="H33" s="186">
        <f ca="1" t="shared" si="1"/>
        <v>0</v>
      </c>
      <c r="I33" s="186"/>
      <c r="J33" s="186">
        <f ca="1">OFFSET(card_type!$F$1,MATCH(Q33,card_type!A:A,0)-1,0)</f>
        <v>1</v>
      </c>
      <c r="K33" s="243">
        <f ca="1">OFFSET(card_type!$G$1,MATCH(Q33,card_type!A:A,0)-1,0)</f>
        <v>1</v>
      </c>
      <c r="L33" s="157">
        <v>1</v>
      </c>
      <c r="M33" s="157">
        <v>1</v>
      </c>
      <c r="N33" s="153">
        <f t="shared" si="2"/>
        <v>28</v>
      </c>
      <c r="O33" s="157"/>
      <c r="P33" s="157"/>
      <c r="Q33" s="153">
        <f ca="1">OFFSET(card_type!$A$1,MATCH(card!B33,card_type!B:B,0)-1,0)</f>
        <v>1001</v>
      </c>
      <c r="R33" s="153">
        <v>1</v>
      </c>
      <c r="S33" s="157">
        <f ca="1">ROUND(IF(R33=0,0,IF(R33=1,X33*$S$1,IF(R33=2,X33*$S$1*buff的资质计算!$E$2,IF(R33=3,X33*$S$1*buff的资质计算!$E$3,0)))),0)*0</f>
        <v>0</v>
      </c>
      <c r="T33" s="153">
        <v>1</v>
      </c>
      <c r="U33" s="153">
        <f ca="1" t="shared" si="3"/>
        <v>11</v>
      </c>
      <c r="V33" s="153">
        <f ca="1">ROUND((OFFSET(卡牌辅助配置表!$O$1,MATCH(U33,卡牌辅助配置表!M:M,0)-1,0)+(N33-1)*OFFSET(卡牌辅助配置表!$P$1,MATCH(U33,卡牌辅助配置表!M:M,0)-1,0))*M33,2)</f>
        <v>11.91</v>
      </c>
      <c r="W33" s="157">
        <f ca="1">ROUND(IF(R33=0,0,IF(R33=1,X33*$W$1,IF(R33=2,X33*$W$1*buff的资质计算!$E$2,IF(R33=3,X33*$W$1*buff的资质计算!$E$3,0)))),2)</f>
        <v>4.65</v>
      </c>
      <c r="X33" s="157">
        <f ca="1" t="shared" si="4"/>
        <v>15.5</v>
      </c>
      <c r="Y33" s="157">
        <f ca="1" t="shared" si="5"/>
        <v>15.5</v>
      </c>
      <c r="Z33" s="304">
        <f ca="1" t="shared" si="6"/>
        <v>15.5</v>
      </c>
      <c r="AA33" s="304">
        <f ca="1">OFFSET(卡牌辅助配置表!$AD$1,MATCH(AB33,卡牌辅助配置表!AB:AB,0)-1,0)</f>
        <v>738</v>
      </c>
      <c r="AB33" s="304">
        <f ca="1" t="shared" si="7"/>
        <v>1128</v>
      </c>
      <c r="AF33" s="153" t="str">
        <f ca="1" t="shared" si="8"/>
        <v>10010011|</v>
      </c>
      <c r="AJ33" s="205" t="str">
        <f ca="1" t="shared" si="9"/>
        <v>400023|13500|;</v>
      </c>
      <c r="AK33" s="205">
        <f ca="1">OFFSET([1]item_type!$A$1,MATCH(Q33,[1]item_type!$G:$G,0)-1,0)</f>
        <v>301001</v>
      </c>
      <c r="AL33" s="205"/>
      <c r="AM33" s="205">
        <f ca="1">IF(B33=B34,OFFSET(卡牌辅助配置表!$AE$1,MATCH(AB33,卡牌辅助配置表!AB:AB,0),0),0)</f>
        <v>13500</v>
      </c>
      <c r="AN33" s="153">
        <f ca="1" t="shared" si="10"/>
        <v>1001029</v>
      </c>
      <c r="AP33" s="153">
        <f ca="1">IF(AC33=0,0,IF(AC33=12,0,OFFSET(effect!$N$1,MATCH(K33,effect!M:M,0)-1,0)))</f>
        <v>0</v>
      </c>
    </row>
    <row r="34" spans="1:42">
      <c r="A34" s="153">
        <f ca="1" t="shared" si="0"/>
        <v>1001029</v>
      </c>
      <c r="B34" s="91" t="s">
        <v>508</v>
      </c>
      <c r="C34" s="186">
        <v>1</v>
      </c>
      <c r="D34" s="186">
        <v>6</v>
      </c>
      <c r="E34" s="165" t="s">
        <v>577</v>
      </c>
      <c r="F34" s="165"/>
      <c r="G34" s="186">
        <v>-3</v>
      </c>
      <c r="H34" s="186">
        <f ca="1" t="shared" si="1"/>
        <v>0</v>
      </c>
      <c r="I34" s="186"/>
      <c r="J34" s="186">
        <f ca="1">OFFSET(card_type!$F$1,MATCH(Q34,card_type!A:A,0)-1,0)</f>
        <v>1</v>
      </c>
      <c r="K34" s="243">
        <f ca="1">OFFSET(card_type!$G$1,MATCH(Q34,card_type!A:A,0)-1,0)</f>
        <v>1</v>
      </c>
      <c r="L34" s="157">
        <v>1</v>
      </c>
      <c r="M34" s="157">
        <v>1</v>
      </c>
      <c r="N34" s="153">
        <f t="shared" si="2"/>
        <v>29</v>
      </c>
      <c r="O34" s="157"/>
      <c r="P34" s="157"/>
      <c r="Q34" s="153">
        <f ca="1">OFFSET(card_type!$A$1,MATCH(card!B34,card_type!B:B,0)-1,0)</f>
        <v>1001</v>
      </c>
      <c r="R34" s="153">
        <v>1</v>
      </c>
      <c r="S34" s="157">
        <f ca="1">ROUND(IF(R34=0,0,IF(R34=1,X34*$S$1,IF(R34=2,X34*$S$1*buff的资质计算!$E$2,IF(R34=3,X34*$S$1*buff的资质计算!$E$3,0)))),0)*0</f>
        <v>0</v>
      </c>
      <c r="T34" s="153">
        <v>1</v>
      </c>
      <c r="U34" s="153">
        <f ca="1" t="shared" si="3"/>
        <v>11</v>
      </c>
      <c r="V34" s="153">
        <f ca="1">ROUND((OFFSET(卡牌辅助配置表!$O$1,MATCH(U34,卡牌辅助配置表!M:M,0)-1,0)+(N34-1)*OFFSET(卡牌辅助配置表!$P$1,MATCH(U34,卡牌辅助配置表!M:M,0)-1,0))*M34,2)</f>
        <v>12.12</v>
      </c>
      <c r="W34" s="157">
        <f ca="1">ROUND(IF(R34=0,0,IF(R34=1,X34*$W$1,IF(R34=2,X34*$W$1*buff的资质计算!$E$2,IF(R34=3,X34*$W$1*buff的资质计算!$E$3,0)))),2)</f>
        <v>4.8</v>
      </c>
      <c r="X34" s="157">
        <f ca="1" t="shared" si="4"/>
        <v>16</v>
      </c>
      <c r="Y34" s="157">
        <f ca="1" t="shared" si="5"/>
        <v>16</v>
      </c>
      <c r="Z34" s="304">
        <f ca="1" t="shared" si="6"/>
        <v>16</v>
      </c>
      <c r="AA34" s="304">
        <f ca="1">OFFSET(卡牌辅助配置表!$AD$1,MATCH(AB34,卡牌辅助配置表!AB:AB,0)-1,0)</f>
        <v>774</v>
      </c>
      <c r="AB34" s="304">
        <f ca="1" t="shared" si="7"/>
        <v>1129</v>
      </c>
      <c r="AF34" s="153" t="str">
        <f ca="1" t="shared" si="8"/>
        <v>10010011|</v>
      </c>
      <c r="AJ34" s="205" t="str">
        <f ca="1" t="shared" si="9"/>
        <v>301001|30|;400023|14300|;</v>
      </c>
      <c r="AK34" s="205">
        <f ca="1">OFFSET([1]item_type!$A$1,MATCH(Q34,[1]item_type!$G:$G,0)-1,0)</f>
        <v>301001</v>
      </c>
      <c r="AL34" s="205">
        <v>30</v>
      </c>
      <c r="AM34" s="205">
        <f ca="1">IF(B34=B35,OFFSET(卡牌辅助配置表!$AE$1,MATCH(AB34,卡牌辅助配置表!AB:AB,0),0),0)</f>
        <v>14300</v>
      </c>
      <c r="AN34" s="153">
        <f ca="1" t="shared" si="10"/>
        <v>1001030</v>
      </c>
      <c r="AP34" s="153">
        <f ca="1">IF(AC34=0,0,IF(AC34=12,0,OFFSET(effect!$N$1,MATCH(K34,effect!M:M,0)-1,0)))</f>
        <v>0</v>
      </c>
    </row>
    <row r="35" spans="1:42">
      <c r="A35" s="153">
        <f ca="1" t="shared" si="0"/>
        <v>1001030</v>
      </c>
      <c r="B35" s="91" t="s">
        <v>508</v>
      </c>
      <c r="C35" s="186">
        <v>1</v>
      </c>
      <c r="D35" s="186">
        <v>6</v>
      </c>
      <c r="E35" s="165" t="s">
        <v>577</v>
      </c>
      <c r="F35" s="165"/>
      <c r="G35" s="186">
        <v>-3</v>
      </c>
      <c r="H35" s="186">
        <f ca="1" t="shared" si="1"/>
        <v>0</v>
      </c>
      <c r="I35" s="186"/>
      <c r="J35" s="186">
        <f ca="1">OFFSET(card_type!$F$1,MATCH(Q35,card_type!A:A,0)-1,0)</f>
        <v>1</v>
      </c>
      <c r="K35" s="243">
        <f ca="1">OFFSET(card_type!$G$1,MATCH(Q35,card_type!A:A,0)-1,0)</f>
        <v>1</v>
      </c>
      <c r="L35" s="157">
        <v>1</v>
      </c>
      <c r="M35" s="157">
        <v>1</v>
      </c>
      <c r="N35" s="153">
        <f t="shared" si="2"/>
        <v>30</v>
      </c>
      <c r="O35" s="157"/>
      <c r="P35" s="157"/>
      <c r="Q35" s="153">
        <f ca="1">OFFSET(card_type!$A$1,MATCH(card!B35,card_type!B:B,0)-1,0)</f>
        <v>1001</v>
      </c>
      <c r="R35" s="153">
        <v>1</v>
      </c>
      <c r="S35" s="157">
        <f ca="1">ROUND(IF(R35=0,0,IF(R35=1,X35*$S$1,IF(R35=2,X35*$S$1*buff的资质计算!$E$2,IF(R35=3,X35*$S$1*buff的资质计算!$E$3,0)))),0)*0</f>
        <v>0</v>
      </c>
      <c r="T35" s="153">
        <v>1</v>
      </c>
      <c r="U35" s="153">
        <f ca="1" t="shared" si="3"/>
        <v>11</v>
      </c>
      <c r="V35" s="153">
        <f ca="1">ROUND((OFFSET(卡牌辅助配置表!$O$1,MATCH(U35,卡牌辅助配置表!M:M,0)-1,0)+(N35-1)*OFFSET(卡牌辅助配置表!$P$1,MATCH(U35,卡牌辅助配置表!M:M,0)-1,0))*M35,2)</f>
        <v>12.33</v>
      </c>
      <c r="W35" s="157">
        <f ca="1">ROUND(IF(R35=0,0,IF(R35=1,X35*$W$1,IF(R35=2,X35*$W$1*buff的资质计算!$E$2,IF(R35=3,X35*$W$1*buff的资质计算!$E$3,0)))),2)</f>
        <v>4.95</v>
      </c>
      <c r="X35" s="157">
        <f ca="1" t="shared" si="4"/>
        <v>16.5</v>
      </c>
      <c r="Y35" s="157">
        <f ca="1" t="shared" si="5"/>
        <v>16.5</v>
      </c>
      <c r="Z35" s="304">
        <f ca="1" t="shared" si="6"/>
        <v>16.5</v>
      </c>
      <c r="AA35" s="304">
        <f ca="1">OFFSET(卡牌辅助配置表!$AD$1,MATCH(AB35,卡牌辅助配置表!AB:AB,0)-1,0)</f>
        <v>810</v>
      </c>
      <c r="AB35" s="304">
        <f ca="1" t="shared" si="7"/>
        <v>1130</v>
      </c>
      <c r="AF35" s="153" t="str">
        <f ca="1" t="shared" si="8"/>
        <v>10010011|</v>
      </c>
      <c r="AJ35" s="205">
        <f ca="1">IF(AN35=0,0,IF(AL35=0,$AM$1&amp;$AF$1&amp;AM35&amp;$AF$1&amp;$AJ$1,AK35&amp;$AF$1&amp;AL35&amp;$AF$1&amp;$AJ$1&amp;$AM$1&amp;$AF$1&amp;AM35&amp;$AF$1&amp;$AJ$1))</f>
        <v>0</v>
      </c>
      <c r="AK35" s="205">
        <f ca="1">OFFSET([1]item_type!$A$1,MATCH(Q35,[1]item_type!$G:$G,0)-1,0)</f>
        <v>301001</v>
      </c>
      <c r="AL35" s="205"/>
      <c r="AM35" s="205">
        <f ca="1">IF(B35=B36,OFFSET(卡牌辅助配置表!$AE$1,MATCH(AB35,卡牌辅助配置表!AB:AB,0),0),0)</f>
        <v>0</v>
      </c>
      <c r="AN35" s="153">
        <f ca="1" t="shared" si="10"/>
        <v>0</v>
      </c>
      <c r="AP35" s="153">
        <f ca="1">IF(AC35=0,0,IF(AC35=12,0,OFFSET(effect!$N$1,MATCH(K35,effect!M:M,0)-1,0)))</f>
        <v>0</v>
      </c>
    </row>
    <row r="36" spans="1:42">
      <c r="A36" s="153">
        <f ca="1" t="shared" si="0"/>
        <v>1002001</v>
      </c>
      <c r="B36" s="91" t="s">
        <v>471</v>
      </c>
      <c r="C36" s="186">
        <v>1</v>
      </c>
      <c r="D36" s="186">
        <v>6</v>
      </c>
      <c r="E36" s="165" t="s">
        <v>577</v>
      </c>
      <c r="F36" s="165"/>
      <c r="G36" s="186">
        <v>-3</v>
      </c>
      <c r="H36" s="186">
        <f ca="1" t="shared" si="1"/>
        <v>0</v>
      </c>
      <c r="I36" s="186"/>
      <c r="J36" s="186">
        <f ca="1">OFFSET(card_type!$F$1,MATCH(Q36,card_type!A:A,0)-1,0)</f>
        <v>1</v>
      </c>
      <c r="K36" s="243">
        <f ca="1">OFFSET(card_type!$G$1,MATCH(Q36,card_type!A:A,0)-1,0)</f>
        <v>1</v>
      </c>
      <c r="L36" s="157">
        <v>1</v>
      </c>
      <c r="M36" s="157">
        <v>1</v>
      </c>
      <c r="N36" s="153">
        <f t="shared" si="2"/>
        <v>1</v>
      </c>
      <c r="O36" s="157"/>
      <c r="P36" s="157"/>
      <c r="Q36" s="153">
        <f ca="1">OFFSET(card_type!$A$1,MATCH(card!B36,card_type!B:B,0)-1,0)</f>
        <v>1002</v>
      </c>
      <c r="R36" s="153">
        <v>1</v>
      </c>
      <c r="S36" s="157">
        <f ca="1">ROUND(IF(R36=0,0,IF(R36=1,X36*$S$1,IF(R36=2,X36*$S$1*buff的资质计算!$E$2,IF(R36=3,X36*$S$1*buff的资质计算!$E$3,0)))),0)*0</f>
        <v>0</v>
      </c>
      <c r="T36" s="153">
        <v>1</v>
      </c>
      <c r="U36" s="153">
        <f ca="1" t="shared" si="3"/>
        <v>11</v>
      </c>
      <c r="V36" s="153">
        <f ca="1">ROUND((OFFSET(卡牌辅助配置表!$O$1,MATCH(U36,卡牌辅助配置表!M:M,0)-1,0)+(N36-1)*OFFSET(卡牌辅助配置表!$P$1,MATCH(U36,卡牌辅助配置表!M:M,0)-1,0))*M36,2)</f>
        <v>6.27</v>
      </c>
      <c r="W36" s="157">
        <f ca="1">ROUND(IF(R36=0,0,IF(R36=1,X36*$W$1,IF(R36=2,X36*$W$1*buff的资质计算!$E$2,IF(R36=3,X36*$W$1*buff的资质计算!$E$3,0)))),2)</f>
        <v>0.6</v>
      </c>
      <c r="X36" s="157">
        <f ca="1" t="shared" si="4"/>
        <v>2</v>
      </c>
      <c r="Y36" s="157">
        <f ca="1" t="shared" si="5"/>
        <v>2</v>
      </c>
      <c r="Z36" s="304">
        <f ca="1" t="shared" si="6"/>
        <v>2</v>
      </c>
      <c r="AA36" s="304">
        <f ca="1">OFFSET(卡牌辅助配置表!$AD$1,MATCH(AB36,卡牌辅助配置表!AB:AB,0)-1,0)</f>
        <v>18</v>
      </c>
      <c r="AB36" s="304">
        <f ca="1" t="shared" si="7"/>
        <v>1101</v>
      </c>
      <c r="AF36" s="153" t="str">
        <f ca="1" t="shared" si="8"/>
        <v>10020011|</v>
      </c>
      <c r="AJ36" s="205" t="str">
        <f ca="1" t="shared" si="9"/>
        <v>400023|700|;</v>
      </c>
      <c r="AK36" s="205">
        <f ca="1">OFFSET([1]item_type!$A$1,MATCH(Q36,[1]item_type!$G:$G,0)-1,0)</f>
        <v>301002</v>
      </c>
      <c r="AL36" s="205"/>
      <c r="AM36" s="205">
        <f ca="1">IF(B36=B37,OFFSET(卡牌辅助配置表!$AE$1,MATCH(AB36,卡牌辅助配置表!AB:AB,0),0),0)</f>
        <v>700</v>
      </c>
      <c r="AN36" s="153">
        <f ca="1" t="shared" si="10"/>
        <v>1002002</v>
      </c>
      <c r="AP36" s="153">
        <f ca="1">IF(AC36=0,0,IF(AC36=12,0,OFFSET(effect!$N$1,MATCH(K36,effect!M:M,0)-1,0)))</f>
        <v>0</v>
      </c>
    </row>
    <row r="37" spans="1:42">
      <c r="A37" s="153">
        <f ca="1" t="shared" si="0"/>
        <v>1002002</v>
      </c>
      <c r="B37" s="91" t="s">
        <v>471</v>
      </c>
      <c r="C37" s="186">
        <v>1</v>
      </c>
      <c r="D37" s="186">
        <v>6</v>
      </c>
      <c r="E37" s="165" t="s">
        <v>577</v>
      </c>
      <c r="F37" s="165"/>
      <c r="G37" s="186">
        <v>-3</v>
      </c>
      <c r="H37" s="186">
        <f ca="1" t="shared" si="1"/>
        <v>0</v>
      </c>
      <c r="I37" s="186"/>
      <c r="J37" s="186">
        <f ca="1">OFFSET(card_type!$F$1,MATCH(Q37,card_type!A:A,0)-1,0)</f>
        <v>1</v>
      </c>
      <c r="K37" s="243">
        <f ca="1">OFFSET(card_type!$G$1,MATCH(Q37,card_type!A:A,0)-1,0)</f>
        <v>1</v>
      </c>
      <c r="L37" s="157">
        <v>1</v>
      </c>
      <c r="M37" s="157">
        <v>1</v>
      </c>
      <c r="N37" s="153">
        <f t="shared" si="2"/>
        <v>2</v>
      </c>
      <c r="O37" s="157"/>
      <c r="P37" s="157"/>
      <c r="Q37" s="153">
        <f ca="1">OFFSET(card_type!$A$1,MATCH(card!B37,card_type!B:B,0)-1,0)</f>
        <v>1002</v>
      </c>
      <c r="R37" s="153">
        <v>1</v>
      </c>
      <c r="S37" s="157">
        <f ca="1">ROUND(IF(R37=0,0,IF(R37=1,X37*$S$1,IF(R37=2,X37*$S$1*buff的资质计算!$E$2,IF(R37=3,X37*$S$1*buff的资质计算!$E$3,0)))),0)*0</f>
        <v>0</v>
      </c>
      <c r="T37" s="153">
        <v>1</v>
      </c>
      <c r="U37" s="153">
        <f ca="1" t="shared" si="3"/>
        <v>11</v>
      </c>
      <c r="V37" s="153">
        <f ca="1">ROUND((OFFSET(卡牌辅助配置表!$O$1,MATCH(U37,卡牌辅助配置表!M:M,0)-1,0)+(N37-1)*OFFSET(卡牌辅助配置表!$P$1,MATCH(U37,卡牌辅助配置表!M:M,0)-1,0))*M37,2)</f>
        <v>6.48</v>
      </c>
      <c r="W37" s="157">
        <f ca="1">ROUND(IF(R37=0,0,IF(R37=1,X37*$W$1,IF(R37=2,X37*$W$1*buff的资质计算!$E$2,IF(R37=3,X37*$W$1*buff的资质计算!$E$3,0)))),2)</f>
        <v>0.75</v>
      </c>
      <c r="X37" s="157">
        <f ca="1" t="shared" si="4"/>
        <v>2.5</v>
      </c>
      <c r="Y37" s="157">
        <f ca="1" t="shared" si="5"/>
        <v>2.5</v>
      </c>
      <c r="Z37" s="304">
        <f ca="1" t="shared" si="6"/>
        <v>2.5</v>
      </c>
      <c r="AA37" s="304">
        <f ca="1">OFFSET(卡牌辅助配置表!$AD$1,MATCH(AB37,卡牌辅助配置表!AB:AB,0)-1,0)</f>
        <v>36</v>
      </c>
      <c r="AB37" s="304">
        <f ca="1" t="shared" si="7"/>
        <v>1102</v>
      </c>
      <c r="AF37" s="153" t="str">
        <f ca="1" t="shared" si="8"/>
        <v>10020011|</v>
      </c>
      <c r="AJ37" s="205" t="str">
        <f ca="1" t="shared" si="9"/>
        <v>400023|900|;</v>
      </c>
      <c r="AK37" s="205">
        <f ca="1">OFFSET([1]item_type!$A$1,MATCH(Q37,[1]item_type!$G:$G,0)-1,0)</f>
        <v>301002</v>
      </c>
      <c r="AL37" s="205"/>
      <c r="AM37" s="205">
        <f ca="1">IF(B37=B38,OFFSET(卡牌辅助配置表!$AE$1,MATCH(AB37,卡牌辅助配置表!AB:AB,0),0),0)</f>
        <v>900</v>
      </c>
      <c r="AN37" s="153">
        <f ca="1" t="shared" si="10"/>
        <v>1002003</v>
      </c>
      <c r="AP37" s="153">
        <f ca="1">IF(AC37=0,0,IF(AC37=12,0,OFFSET(effect!$N$1,MATCH(K37,effect!M:M,0)-1,0)))</f>
        <v>0</v>
      </c>
    </row>
    <row r="38" spans="1:42">
      <c r="A38" s="153">
        <f ca="1" t="shared" si="0"/>
        <v>1002003</v>
      </c>
      <c r="B38" s="91" t="s">
        <v>471</v>
      </c>
      <c r="C38" s="186">
        <v>1</v>
      </c>
      <c r="D38" s="186">
        <v>6</v>
      </c>
      <c r="E38" s="165" t="s">
        <v>577</v>
      </c>
      <c r="F38" s="165"/>
      <c r="G38" s="186">
        <v>-3</v>
      </c>
      <c r="H38" s="186">
        <f ca="1" t="shared" si="1"/>
        <v>0</v>
      </c>
      <c r="I38" s="186"/>
      <c r="J38" s="186">
        <f ca="1">OFFSET(card_type!$F$1,MATCH(Q38,card_type!A:A,0)-1,0)</f>
        <v>1</v>
      </c>
      <c r="K38" s="243">
        <f ca="1">OFFSET(card_type!$G$1,MATCH(Q38,card_type!A:A,0)-1,0)</f>
        <v>1</v>
      </c>
      <c r="L38" s="157">
        <v>1</v>
      </c>
      <c r="M38" s="157">
        <v>1</v>
      </c>
      <c r="N38" s="153">
        <f t="shared" si="2"/>
        <v>3</v>
      </c>
      <c r="O38" s="157"/>
      <c r="P38" s="157"/>
      <c r="Q38" s="153">
        <f ca="1">OFFSET(card_type!$A$1,MATCH(card!B38,card_type!B:B,0)-1,0)</f>
        <v>1002</v>
      </c>
      <c r="R38" s="153">
        <v>1</v>
      </c>
      <c r="S38" s="157">
        <f ca="1">ROUND(IF(R38=0,0,IF(R38=1,X38*$S$1,IF(R38=2,X38*$S$1*buff的资质计算!$E$2,IF(R38=3,X38*$S$1*buff的资质计算!$E$3,0)))),0)*0</f>
        <v>0</v>
      </c>
      <c r="T38" s="153">
        <v>1</v>
      </c>
      <c r="U38" s="153">
        <f ca="1" t="shared" si="3"/>
        <v>11</v>
      </c>
      <c r="V38" s="153">
        <f ca="1">ROUND((OFFSET(卡牌辅助配置表!$O$1,MATCH(U38,卡牌辅助配置表!M:M,0)-1,0)+(N38-1)*OFFSET(卡牌辅助配置表!$P$1,MATCH(U38,卡牌辅助配置表!M:M,0)-1,0))*M38,2)</f>
        <v>6.69</v>
      </c>
      <c r="W38" s="157">
        <f ca="1">ROUND(IF(R38=0,0,IF(R38=1,X38*$W$1,IF(R38=2,X38*$W$1*buff的资质计算!$E$2,IF(R38=3,X38*$W$1*buff的资质计算!$E$3,0)))),2)</f>
        <v>0.9</v>
      </c>
      <c r="X38" s="157">
        <f ca="1" t="shared" si="4"/>
        <v>3</v>
      </c>
      <c r="Y38" s="157">
        <f ca="1" t="shared" si="5"/>
        <v>3</v>
      </c>
      <c r="Z38" s="304">
        <f ca="1" t="shared" si="6"/>
        <v>3</v>
      </c>
      <c r="AA38" s="304">
        <f ca="1">OFFSET(卡牌辅助配置表!$AD$1,MATCH(AB38,卡牌辅助配置表!AB:AB,0)-1,0)</f>
        <v>54</v>
      </c>
      <c r="AB38" s="304">
        <f ca="1" t="shared" si="7"/>
        <v>1103</v>
      </c>
      <c r="AF38" s="153" t="str">
        <f ca="1" t="shared" si="8"/>
        <v>10020011|</v>
      </c>
      <c r="AJ38" s="205" t="str">
        <f ca="1" t="shared" si="9"/>
        <v>400023|1100|;</v>
      </c>
      <c r="AK38" s="205">
        <f ca="1">OFFSET([1]item_type!$A$1,MATCH(Q38,[1]item_type!$G:$G,0)-1,0)</f>
        <v>301002</v>
      </c>
      <c r="AL38" s="205"/>
      <c r="AM38" s="205">
        <f ca="1">IF(B38=B39,OFFSET(卡牌辅助配置表!$AE$1,MATCH(AB38,卡牌辅助配置表!AB:AB,0),0),0)</f>
        <v>1100</v>
      </c>
      <c r="AN38" s="153">
        <f ca="1" t="shared" si="10"/>
        <v>1002004</v>
      </c>
      <c r="AP38" s="153">
        <f ca="1">IF(AC38=0,0,IF(AC38=12,0,OFFSET(effect!$N$1,MATCH(K38,effect!M:M,0)-1,0)))</f>
        <v>0</v>
      </c>
    </row>
    <row r="39" spans="1:42">
      <c r="A39" s="153">
        <f ca="1" t="shared" si="0"/>
        <v>1002004</v>
      </c>
      <c r="B39" s="91" t="s">
        <v>471</v>
      </c>
      <c r="C39" s="186">
        <v>1</v>
      </c>
      <c r="D39" s="186">
        <v>6</v>
      </c>
      <c r="E39" s="165" t="s">
        <v>577</v>
      </c>
      <c r="F39" s="165"/>
      <c r="G39" s="186">
        <v>-3</v>
      </c>
      <c r="H39" s="186">
        <f ca="1" t="shared" si="1"/>
        <v>0</v>
      </c>
      <c r="I39" s="186"/>
      <c r="J39" s="186">
        <f ca="1">OFFSET(card_type!$F$1,MATCH(Q39,card_type!A:A,0)-1,0)</f>
        <v>1</v>
      </c>
      <c r="K39" s="243">
        <f ca="1">OFFSET(card_type!$G$1,MATCH(Q39,card_type!A:A,0)-1,0)</f>
        <v>1</v>
      </c>
      <c r="L39" s="157">
        <v>1</v>
      </c>
      <c r="M39" s="157">
        <v>1</v>
      </c>
      <c r="N39" s="153">
        <f t="shared" si="2"/>
        <v>4</v>
      </c>
      <c r="O39" s="157"/>
      <c r="P39" s="157"/>
      <c r="Q39" s="153">
        <f ca="1">OFFSET(card_type!$A$1,MATCH(card!B39,card_type!B:B,0)-1,0)</f>
        <v>1002</v>
      </c>
      <c r="R39" s="153">
        <v>1</v>
      </c>
      <c r="S39" s="157">
        <f ca="1">ROUND(IF(R39=0,0,IF(R39=1,X39*$S$1,IF(R39=2,X39*$S$1*buff的资质计算!$E$2,IF(R39=3,X39*$S$1*buff的资质计算!$E$3,0)))),0)*0</f>
        <v>0</v>
      </c>
      <c r="T39" s="153">
        <v>1</v>
      </c>
      <c r="U39" s="153">
        <f ca="1" t="shared" si="3"/>
        <v>11</v>
      </c>
      <c r="V39" s="153">
        <f ca="1">ROUND((OFFSET(卡牌辅助配置表!$O$1,MATCH(U39,卡牌辅助配置表!M:M,0)-1,0)+(N39-1)*OFFSET(卡牌辅助配置表!$P$1,MATCH(U39,卡牌辅助配置表!M:M,0)-1,0))*M39,2)</f>
        <v>6.9</v>
      </c>
      <c r="W39" s="157">
        <f ca="1">ROUND(IF(R39=0,0,IF(R39=1,X39*$W$1,IF(R39=2,X39*$W$1*buff的资质计算!$E$2,IF(R39=3,X39*$W$1*buff的资质计算!$E$3,0)))),2)</f>
        <v>1.05</v>
      </c>
      <c r="X39" s="157">
        <f ca="1" t="shared" si="4"/>
        <v>3.5</v>
      </c>
      <c r="Y39" s="157">
        <f ca="1" t="shared" si="5"/>
        <v>3.5</v>
      </c>
      <c r="Z39" s="304">
        <f ca="1" t="shared" si="6"/>
        <v>3.5</v>
      </c>
      <c r="AA39" s="304">
        <f ca="1">OFFSET(卡牌辅助配置表!$AD$1,MATCH(AB39,卡牌辅助配置表!AB:AB,0)-1,0)</f>
        <v>72</v>
      </c>
      <c r="AB39" s="304">
        <f ca="1" t="shared" si="7"/>
        <v>1104</v>
      </c>
      <c r="AF39" s="153" t="str">
        <f ca="1" t="shared" si="8"/>
        <v>10020011|</v>
      </c>
      <c r="AJ39" s="205" t="str">
        <f ca="1" t="shared" si="9"/>
        <v>400023|1300|;</v>
      </c>
      <c r="AK39" s="205">
        <f ca="1">OFFSET([1]item_type!$A$1,MATCH(Q39,[1]item_type!$G:$G,0)-1,0)</f>
        <v>301002</v>
      </c>
      <c r="AL39" s="205"/>
      <c r="AM39" s="205">
        <f ca="1">IF(B39=B40,OFFSET(卡牌辅助配置表!$AE$1,MATCH(AB39,卡牌辅助配置表!AB:AB,0),0),0)</f>
        <v>1300</v>
      </c>
      <c r="AN39" s="153">
        <f ca="1" t="shared" si="10"/>
        <v>1002005</v>
      </c>
      <c r="AP39" s="153">
        <f ca="1">IF(AC39=0,0,IF(AC39=12,0,OFFSET(effect!$N$1,MATCH(K39,effect!M:M,0)-1,0)))</f>
        <v>0</v>
      </c>
    </row>
    <row r="40" spans="1:42">
      <c r="A40" s="153">
        <f ca="1" t="shared" si="0"/>
        <v>1002005</v>
      </c>
      <c r="B40" s="91" t="s">
        <v>471</v>
      </c>
      <c r="C40" s="186">
        <v>1</v>
      </c>
      <c r="D40" s="186">
        <v>6</v>
      </c>
      <c r="E40" s="165" t="s">
        <v>577</v>
      </c>
      <c r="F40" s="165"/>
      <c r="G40" s="186">
        <v>-3</v>
      </c>
      <c r="H40" s="186">
        <f ca="1" t="shared" si="1"/>
        <v>0</v>
      </c>
      <c r="I40" s="186"/>
      <c r="J40" s="186">
        <f ca="1">OFFSET(card_type!$F$1,MATCH(Q40,card_type!A:A,0)-1,0)</f>
        <v>1</v>
      </c>
      <c r="K40" s="243">
        <f ca="1">OFFSET(card_type!$G$1,MATCH(Q40,card_type!A:A,0)-1,0)</f>
        <v>1</v>
      </c>
      <c r="L40" s="157">
        <v>1</v>
      </c>
      <c r="M40" s="157">
        <v>1</v>
      </c>
      <c r="N40" s="153">
        <f t="shared" si="2"/>
        <v>5</v>
      </c>
      <c r="O40" s="157"/>
      <c r="P40" s="157"/>
      <c r="Q40" s="153">
        <f ca="1">OFFSET(card_type!$A$1,MATCH(card!B40,card_type!B:B,0)-1,0)</f>
        <v>1002</v>
      </c>
      <c r="R40" s="153">
        <v>1</v>
      </c>
      <c r="S40" s="157">
        <f ca="1">ROUND(IF(R40=0,0,IF(R40=1,X40*$S$1,IF(R40=2,X40*$S$1*buff的资质计算!$E$2,IF(R40=3,X40*$S$1*buff的资质计算!$E$3,0)))),0)*0</f>
        <v>0</v>
      </c>
      <c r="T40" s="153">
        <v>1</v>
      </c>
      <c r="U40" s="153">
        <f ca="1" t="shared" si="3"/>
        <v>11</v>
      </c>
      <c r="V40" s="153">
        <f ca="1">ROUND((OFFSET(卡牌辅助配置表!$O$1,MATCH(U40,卡牌辅助配置表!M:M,0)-1,0)+(N40-1)*OFFSET(卡牌辅助配置表!$P$1,MATCH(U40,卡牌辅助配置表!M:M,0)-1,0))*M40,2)</f>
        <v>7.11</v>
      </c>
      <c r="W40" s="157">
        <f ca="1">ROUND(IF(R40=0,0,IF(R40=1,X40*$W$1,IF(R40=2,X40*$W$1*buff的资质计算!$E$2,IF(R40=3,X40*$W$1*buff的资质计算!$E$3,0)))),2)</f>
        <v>1.2</v>
      </c>
      <c r="X40" s="157">
        <f ca="1" t="shared" si="4"/>
        <v>4</v>
      </c>
      <c r="Y40" s="157">
        <f ca="1" t="shared" si="5"/>
        <v>4</v>
      </c>
      <c r="Z40" s="304">
        <f ca="1" t="shared" si="6"/>
        <v>4</v>
      </c>
      <c r="AA40" s="304">
        <f ca="1">OFFSET(卡牌辅助配置表!$AD$1,MATCH(AB40,卡牌辅助配置表!AB:AB,0)-1,0)</f>
        <v>90</v>
      </c>
      <c r="AB40" s="304">
        <f ca="1" t="shared" si="7"/>
        <v>1105</v>
      </c>
      <c r="AF40" s="153" t="str">
        <f ca="1" t="shared" si="8"/>
        <v>10020011|</v>
      </c>
      <c r="AJ40" s="205" t="str">
        <f ca="1" t="shared" si="9"/>
        <v>400023|1500|;</v>
      </c>
      <c r="AK40" s="205">
        <f ca="1">OFFSET([1]item_type!$A$1,MATCH(Q40,[1]item_type!$G:$G,0)-1,0)</f>
        <v>301002</v>
      </c>
      <c r="AL40" s="205"/>
      <c r="AM40" s="205">
        <f ca="1">IF(B40=B41,OFFSET(卡牌辅助配置表!$AE$1,MATCH(AB40,卡牌辅助配置表!AB:AB,0),0),0)</f>
        <v>1500</v>
      </c>
      <c r="AN40" s="153">
        <f ca="1" t="shared" si="10"/>
        <v>1002006</v>
      </c>
      <c r="AP40" s="153">
        <f ca="1">IF(AC40=0,0,IF(AC40=12,0,OFFSET(effect!$N$1,MATCH(K40,effect!M:M,0)-1,0)))</f>
        <v>0</v>
      </c>
    </row>
    <row r="41" spans="1:42">
      <c r="A41" s="153">
        <f ca="1" t="shared" si="0"/>
        <v>1002006</v>
      </c>
      <c r="B41" s="91" t="s">
        <v>471</v>
      </c>
      <c r="C41" s="186">
        <v>1</v>
      </c>
      <c r="D41" s="186">
        <v>6</v>
      </c>
      <c r="E41" s="165" t="s">
        <v>577</v>
      </c>
      <c r="F41" s="165"/>
      <c r="G41" s="186">
        <v>-3</v>
      </c>
      <c r="H41" s="186">
        <f ca="1" t="shared" si="1"/>
        <v>0</v>
      </c>
      <c r="I41" s="186"/>
      <c r="J41" s="186">
        <f ca="1">OFFSET(card_type!$F$1,MATCH(Q41,card_type!A:A,0)-1,0)</f>
        <v>1</v>
      </c>
      <c r="K41" s="243">
        <f ca="1">OFFSET(card_type!$G$1,MATCH(Q41,card_type!A:A,0)-1,0)</f>
        <v>1</v>
      </c>
      <c r="L41" s="157">
        <v>1</v>
      </c>
      <c r="M41" s="157">
        <v>1</v>
      </c>
      <c r="N41" s="153">
        <f t="shared" si="2"/>
        <v>6</v>
      </c>
      <c r="O41" s="157"/>
      <c r="P41" s="157"/>
      <c r="Q41" s="153">
        <f ca="1">OFFSET(card_type!$A$1,MATCH(card!B41,card_type!B:B,0)-1,0)</f>
        <v>1002</v>
      </c>
      <c r="R41" s="153">
        <v>1</v>
      </c>
      <c r="S41" s="157">
        <f ca="1">ROUND(IF(R41=0,0,IF(R41=1,X41*$S$1,IF(R41=2,X41*$S$1*buff的资质计算!$E$2,IF(R41=3,X41*$S$1*buff的资质计算!$E$3,0)))),0)*0</f>
        <v>0</v>
      </c>
      <c r="T41" s="153">
        <v>1</v>
      </c>
      <c r="U41" s="153">
        <f ca="1" t="shared" si="3"/>
        <v>11</v>
      </c>
      <c r="V41" s="153">
        <f ca="1">ROUND((OFFSET(卡牌辅助配置表!$O$1,MATCH(U41,卡牌辅助配置表!M:M,0)-1,0)+(N41-1)*OFFSET(卡牌辅助配置表!$P$1,MATCH(U41,卡牌辅助配置表!M:M,0)-1,0))*M41,2)</f>
        <v>7.32</v>
      </c>
      <c r="W41" s="157">
        <f ca="1">ROUND(IF(R41=0,0,IF(R41=1,X41*$W$1,IF(R41=2,X41*$W$1*buff的资质计算!$E$2,IF(R41=3,X41*$W$1*buff的资质计算!$E$3,0)))),2)</f>
        <v>1.35</v>
      </c>
      <c r="X41" s="157">
        <f ca="1" t="shared" si="4"/>
        <v>4.5</v>
      </c>
      <c r="Y41" s="157">
        <f ca="1" t="shared" si="5"/>
        <v>4.5</v>
      </c>
      <c r="Z41" s="304">
        <f ca="1" t="shared" si="6"/>
        <v>4.5</v>
      </c>
      <c r="AA41" s="304">
        <f ca="1">OFFSET(卡牌辅助配置表!$AD$1,MATCH(AB41,卡牌辅助配置表!AB:AB,0)-1,0)</f>
        <v>108</v>
      </c>
      <c r="AB41" s="304">
        <f ca="1" t="shared" si="7"/>
        <v>1106</v>
      </c>
      <c r="AF41" s="153" t="str">
        <f ca="1" t="shared" si="8"/>
        <v>10020011|</v>
      </c>
      <c r="AJ41" s="205" t="str">
        <f ca="1" t="shared" si="9"/>
        <v>400023|1700|;</v>
      </c>
      <c r="AK41" s="205">
        <f ca="1">OFFSET([1]item_type!$A$1,MATCH(Q41,[1]item_type!$G:$G,0)-1,0)</f>
        <v>301002</v>
      </c>
      <c r="AL41" s="205"/>
      <c r="AM41" s="205">
        <f ca="1">IF(B41=B42,OFFSET(卡牌辅助配置表!$AE$1,MATCH(AB41,卡牌辅助配置表!AB:AB,0),0),0)</f>
        <v>1700</v>
      </c>
      <c r="AN41" s="153">
        <f ca="1" t="shared" si="10"/>
        <v>1002007</v>
      </c>
      <c r="AP41" s="153">
        <f ca="1">IF(AC41=0,0,IF(AC41=12,0,OFFSET(effect!$N$1,MATCH(K41,effect!M:M,0)-1,0)))</f>
        <v>0</v>
      </c>
    </row>
    <row r="42" spans="1:42">
      <c r="A42" s="153">
        <f ca="1" t="shared" si="0"/>
        <v>1002007</v>
      </c>
      <c r="B42" s="91" t="s">
        <v>471</v>
      </c>
      <c r="C42" s="186">
        <v>1</v>
      </c>
      <c r="D42" s="186">
        <v>6</v>
      </c>
      <c r="E42" s="165" t="s">
        <v>577</v>
      </c>
      <c r="F42" s="165"/>
      <c r="G42" s="186">
        <v>-3</v>
      </c>
      <c r="H42" s="186">
        <f ca="1" t="shared" si="1"/>
        <v>0</v>
      </c>
      <c r="I42" s="186"/>
      <c r="J42" s="186">
        <f ca="1">OFFSET(card_type!$F$1,MATCH(Q42,card_type!A:A,0)-1,0)</f>
        <v>1</v>
      </c>
      <c r="K42" s="243">
        <f ca="1">OFFSET(card_type!$G$1,MATCH(Q42,card_type!A:A,0)-1,0)</f>
        <v>1</v>
      </c>
      <c r="L42" s="157">
        <v>1</v>
      </c>
      <c r="M42" s="157">
        <v>1</v>
      </c>
      <c r="N42" s="153">
        <f t="shared" si="2"/>
        <v>7</v>
      </c>
      <c r="O42" s="157"/>
      <c r="P42" s="157"/>
      <c r="Q42" s="153">
        <f ca="1">OFFSET(card_type!$A$1,MATCH(card!B42,card_type!B:B,0)-1,0)</f>
        <v>1002</v>
      </c>
      <c r="R42" s="153">
        <v>1</v>
      </c>
      <c r="S42" s="157">
        <f ca="1">ROUND(IF(R42=0,0,IF(R42=1,X42*$S$1,IF(R42=2,X42*$S$1*buff的资质计算!$E$2,IF(R42=3,X42*$S$1*buff的资质计算!$E$3,0)))),0)*0</f>
        <v>0</v>
      </c>
      <c r="T42" s="153">
        <v>1</v>
      </c>
      <c r="U42" s="153">
        <f ca="1" t="shared" si="3"/>
        <v>11</v>
      </c>
      <c r="V42" s="153">
        <f ca="1">ROUND((OFFSET(卡牌辅助配置表!$O$1,MATCH(U42,卡牌辅助配置表!M:M,0)-1,0)+(N42-1)*OFFSET(卡牌辅助配置表!$P$1,MATCH(U42,卡牌辅助配置表!M:M,0)-1,0))*M42,2)</f>
        <v>7.52</v>
      </c>
      <c r="W42" s="157">
        <f ca="1">ROUND(IF(R42=0,0,IF(R42=1,X42*$W$1,IF(R42=2,X42*$W$1*buff的资质计算!$E$2,IF(R42=3,X42*$W$1*buff的资质计算!$E$3,0)))),2)</f>
        <v>1.5</v>
      </c>
      <c r="X42" s="157">
        <f ca="1" t="shared" si="4"/>
        <v>5</v>
      </c>
      <c r="Y42" s="157">
        <f ca="1" t="shared" si="5"/>
        <v>5</v>
      </c>
      <c r="Z42" s="304">
        <f ca="1" t="shared" si="6"/>
        <v>5</v>
      </c>
      <c r="AA42" s="304">
        <f ca="1">OFFSET(卡牌辅助配置表!$AD$1,MATCH(AB42,卡牌辅助配置表!AB:AB,0)-1,0)</f>
        <v>126</v>
      </c>
      <c r="AB42" s="304">
        <f ca="1" t="shared" si="7"/>
        <v>1107</v>
      </c>
      <c r="AF42" s="153" t="str">
        <f ca="1" t="shared" si="8"/>
        <v>10020011|</v>
      </c>
      <c r="AJ42" s="205" t="str">
        <f ca="1" t="shared" si="9"/>
        <v>400023|1900|;</v>
      </c>
      <c r="AK42" s="205">
        <f ca="1">OFFSET([1]item_type!$A$1,MATCH(Q42,[1]item_type!$G:$G,0)-1,0)</f>
        <v>301002</v>
      </c>
      <c r="AL42" s="205"/>
      <c r="AM42" s="205">
        <f ca="1">IF(B42=B43,OFFSET(卡牌辅助配置表!$AE$1,MATCH(AB42,卡牌辅助配置表!AB:AB,0),0),0)</f>
        <v>1900</v>
      </c>
      <c r="AN42" s="153">
        <f ca="1" t="shared" si="10"/>
        <v>1002008</v>
      </c>
      <c r="AP42" s="153">
        <f ca="1">IF(AC42=0,0,IF(AC42=12,0,OFFSET(effect!$N$1,MATCH(K42,effect!M:M,0)-1,0)))</f>
        <v>0</v>
      </c>
    </row>
    <row r="43" spans="1:42">
      <c r="A43" s="153">
        <f ca="1" t="shared" si="0"/>
        <v>1002008</v>
      </c>
      <c r="B43" s="91" t="s">
        <v>471</v>
      </c>
      <c r="C43" s="186">
        <v>1</v>
      </c>
      <c r="D43" s="186">
        <v>6</v>
      </c>
      <c r="E43" s="165" t="s">
        <v>577</v>
      </c>
      <c r="F43" s="165"/>
      <c r="G43" s="186">
        <v>-3</v>
      </c>
      <c r="H43" s="186">
        <f ca="1" t="shared" si="1"/>
        <v>0</v>
      </c>
      <c r="I43" s="186"/>
      <c r="J43" s="186">
        <f ca="1">OFFSET(card_type!$F$1,MATCH(Q43,card_type!A:A,0)-1,0)</f>
        <v>1</v>
      </c>
      <c r="K43" s="243">
        <f ca="1">OFFSET(card_type!$G$1,MATCH(Q43,card_type!A:A,0)-1,0)</f>
        <v>1</v>
      </c>
      <c r="L43" s="157">
        <v>1</v>
      </c>
      <c r="M43" s="157">
        <v>1</v>
      </c>
      <c r="N43" s="153">
        <f t="shared" si="2"/>
        <v>8</v>
      </c>
      <c r="O43" s="157"/>
      <c r="P43" s="157"/>
      <c r="Q43" s="153">
        <f ca="1">OFFSET(card_type!$A$1,MATCH(card!B43,card_type!B:B,0)-1,0)</f>
        <v>1002</v>
      </c>
      <c r="R43" s="153">
        <v>1</v>
      </c>
      <c r="S43" s="157">
        <f ca="1">ROUND(IF(R43=0,0,IF(R43=1,X43*$S$1,IF(R43=2,X43*$S$1*buff的资质计算!$E$2,IF(R43=3,X43*$S$1*buff的资质计算!$E$3,0)))),0)*0</f>
        <v>0</v>
      </c>
      <c r="T43" s="153">
        <v>1</v>
      </c>
      <c r="U43" s="153">
        <f ca="1" t="shared" si="3"/>
        <v>11</v>
      </c>
      <c r="V43" s="153">
        <f ca="1">ROUND((OFFSET(卡牌辅助配置表!$O$1,MATCH(U43,卡牌辅助配置表!M:M,0)-1,0)+(N43-1)*OFFSET(卡牌辅助配置表!$P$1,MATCH(U43,卡牌辅助配置表!M:M,0)-1,0))*M43,2)</f>
        <v>7.73</v>
      </c>
      <c r="W43" s="157">
        <f ca="1">ROUND(IF(R43=0,0,IF(R43=1,X43*$W$1,IF(R43=2,X43*$W$1*buff的资质计算!$E$2,IF(R43=3,X43*$W$1*buff的资质计算!$E$3,0)))),2)</f>
        <v>1.65</v>
      </c>
      <c r="X43" s="157">
        <f ca="1" t="shared" si="4"/>
        <v>5.5</v>
      </c>
      <c r="Y43" s="157">
        <f ca="1" t="shared" si="5"/>
        <v>5.5</v>
      </c>
      <c r="Z43" s="304">
        <f ca="1" t="shared" si="6"/>
        <v>5.5</v>
      </c>
      <c r="AA43" s="304">
        <f ca="1">OFFSET(卡牌辅助配置表!$AD$1,MATCH(AB43,卡牌辅助配置表!AB:AB,0)-1,0)</f>
        <v>144</v>
      </c>
      <c r="AB43" s="304">
        <f ca="1" t="shared" si="7"/>
        <v>1108</v>
      </c>
      <c r="AF43" s="153" t="str">
        <f ca="1" t="shared" si="8"/>
        <v>10020011|</v>
      </c>
      <c r="AJ43" s="205" t="str">
        <f ca="1" t="shared" si="9"/>
        <v>400023|2100|;</v>
      </c>
      <c r="AK43" s="205">
        <f ca="1">OFFSET([1]item_type!$A$1,MATCH(Q43,[1]item_type!$G:$G,0)-1,0)</f>
        <v>301002</v>
      </c>
      <c r="AL43" s="205"/>
      <c r="AM43" s="205">
        <f ca="1">IF(B43=B44,OFFSET(卡牌辅助配置表!$AE$1,MATCH(AB43,卡牌辅助配置表!AB:AB,0),0),0)</f>
        <v>2100</v>
      </c>
      <c r="AN43" s="153">
        <f ca="1" t="shared" si="10"/>
        <v>1002009</v>
      </c>
      <c r="AP43" s="153">
        <f ca="1">IF(AC43=0,0,IF(AC43=12,0,OFFSET(effect!$N$1,MATCH(K43,effect!M:M,0)-1,0)))</f>
        <v>0</v>
      </c>
    </row>
    <row r="44" spans="1:42">
      <c r="A44" s="153">
        <f ca="1" t="shared" si="0"/>
        <v>1002009</v>
      </c>
      <c r="B44" s="91" t="s">
        <v>471</v>
      </c>
      <c r="C44" s="186">
        <v>1</v>
      </c>
      <c r="D44" s="186">
        <v>6</v>
      </c>
      <c r="E44" s="165" t="s">
        <v>577</v>
      </c>
      <c r="F44" s="165"/>
      <c r="G44" s="186">
        <v>-3</v>
      </c>
      <c r="H44" s="186">
        <f ca="1" t="shared" si="1"/>
        <v>0</v>
      </c>
      <c r="I44" s="186"/>
      <c r="J44" s="186">
        <f ca="1">OFFSET(card_type!$F$1,MATCH(Q44,card_type!A:A,0)-1,0)</f>
        <v>1</v>
      </c>
      <c r="K44" s="243">
        <f ca="1">OFFSET(card_type!$G$1,MATCH(Q44,card_type!A:A,0)-1,0)</f>
        <v>1</v>
      </c>
      <c r="L44" s="157">
        <v>1</v>
      </c>
      <c r="M44" s="157">
        <v>1</v>
      </c>
      <c r="N44" s="153">
        <f t="shared" si="2"/>
        <v>9</v>
      </c>
      <c r="O44" s="157"/>
      <c r="P44" s="157"/>
      <c r="Q44" s="153">
        <f ca="1">OFFSET(card_type!$A$1,MATCH(card!B44,card_type!B:B,0)-1,0)</f>
        <v>1002</v>
      </c>
      <c r="R44" s="153">
        <v>1</v>
      </c>
      <c r="S44" s="157">
        <f ca="1">ROUND(IF(R44=0,0,IF(R44=1,X44*$S$1,IF(R44=2,X44*$S$1*buff的资质计算!$E$2,IF(R44=3,X44*$S$1*buff的资质计算!$E$3,0)))),0)*0</f>
        <v>0</v>
      </c>
      <c r="T44" s="153">
        <v>1</v>
      </c>
      <c r="U44" s="153">
        <f ca="1" t="shared" si="3"/>
        <v>11</v>
      </c>
      <c r="V44" s="153">
        <f ca="1">ROUND((OFFSET(卡牌辅助配置表!$O$1,MATCH(U44,卡牌辅助配置表!M:M,0)-1,0)+(N44-1)*OFFSET(卡牌辅助配置表!$P$1,MATCH(U44,卡牌辅助配置表!M:M,0)-1,0))*M44,2)</f>
        <v>7.94</v>
      </c>
      <c r="W44" s="157">
        <f ca="1">ROUND(IF(R44=0,0,IF(R44=1,X44*$W$1,IF(R44=2,X44*$W$1*buff的资质计算!$E$2,IF(R44=3,X44*$W$1*buff的资质计算!$E$3,0)))),2)</f>
        <v>1.8</v>
      </c>
      <c r="X44" s="157">
        <f ca="1" t="shared" si="4"/>
        <v>6</v>
      </c>
      <c r="Y44" s="157">
        <f ca="1" t="shared" si="5"/>
        <v>6</v>
      </c>
      <c r="Z44" s="304">
        <f ca="1" t="shared" si="6"/>
        <v>6</v>
      </c>
      <c r="AA44" s="304">
        <f ca="1">OFFSET(卡牌辅助配置表!$AD$1,MATCH(AB44,卡牌辅助配置表!AB:AB,0)-1,0)</f>
        <v>162</v>
      </c>
      <c r="AB44" s="304">
        <f ca="1" t="shared" si="7"/>
        <v>1109</v>
      </c>
      <c r="AF44" s="153" t="str">
        <f ca="1" t="shared" si="8"/>
        <v>10020011|</v>
      </c>
      <c r="AJ44" s="205" t="str">
        <f ca="1" t="shared" si="9"/>
        <v>301002|15|;400023|2300|;</v>
      </c>
      <c r="AK44" s="205">
        <f ca="1">OFFSET([1]item_type!$A$1,MATCH(Q44,[1]item_type!$G:$G,0)-1,0)</f>
        <v>301002</v>
      </c>
      <c r="AL44" s="205">
        <v>15</v>
      </c>
      <c r="AM44" s="205">
        <f ca="1">IF(B44=B45,OFFSET(卡牌辅助配置表!$AE$1,MATCH(AB44,卡牌辅助配置表!AB:AB,0),0),0)</f>
        <v>2300</v>
      </c>
      <c r="AN44" s="153">
        <f ca="1" t="shared" si="10"/>
        <v>1002010</v>
      </c>
      <c r="AP44" s="153">
        <f ca="1">IF(AC44=0,0,IF(AC44=12,0,OFFSET(effect!$N$1,MATCH(K44,effect!M:M,0)-1,0)))</f>
        <v>0</v>
      </c>
    </row>
    <row r="45" spans="1:42">
      <c r="A45" s="153">
        <f ca="1" t="shared" si="0"/>
        <v>1002010</v>
      </c>
      <c r="B45" s="91" t="s">
        <v>471</v>
      </c>
      <c r="C45" s="186">
        <v>1</v>
      </c>
      <c r="D45" s="186">
        <v>6</v>
      </c>
      <c r="E45" s="165" t="s">
        <v>577</v>
      </c>
      <c r="F45" s="165"/>
      <c r="G45" s="186">
        <v>-3</v>
      </c>
      <c r="H45" s="186">
        <f ca="1" t="shared" si="1"/>
        <v>0</v>
      </c>
      <c r="I45" s="186"/>
      <c r="J45" s="186">
        <f ca="1">OFFSET(card_type!$F$1,MATCH(Q45,card_type!A:A,0)-1,0)</f>
        <v>1</v>
      </c>
      <c r="K45" s="243">
        <f ca="1">OFFSET(card_type!$G$1,MATCH(Q45,card_type!A:A,0)-1,0)</f>
        <v>1</v>
      </c>
      <c r="L45" s="157">
        <v>1</v>
      </c>
      <c r="M45" s="157">
        <v>1</v>
      </c>
      <c r="N45" s="153">
        <f t="shared" si="2"/>
        <v>10</v>
      </c>
      <c r="O45" s="157"/>
      <c r="P45" s="157"/>
      <c r="Q45" s="153">
        <f ca="1">OFFSET(card_type!$A$1,MATCH(card!B45,card_type!B:B,0)-1,0)</f>
        <v>1002</v>
      </c>
      <c r="R45" s="153">
        <v>1</v>
      </c>
      <c r="S45" s="157">
        <f ca="1">ROUND(IF(R45=0,0,IF(R45=1,X45*$S$1,IF(R45=2,X45*$S$1*buff的资质计算!$E$2,IF(R45=3,X45*$S$1*buff的资质计算!$E$3,0)))),0)*0</f>
        <v>0</v>
      </c>
      <c r="T45" s="153">
        <v>1</v>
      </c>
      <c r="U45" s="153">
        <f ca="1" t="shared" si="3"/>
        <v>11</v>
      </c>
      <c r="V45" s="153">
        <f ca="1">ROUND((OFFSET(卡牌辅助配置表!$O$1,MATCH(U45,卡牌辅助配置表!M:M,0)-1,0)+(N45-1)*OFFSET(卡牌辅助配置表!$P$1,MATCH(U45,卡牌辅助配置表!M:M,0)-1,0))*M45,2)</f>
        <v>8.15</v>
      </c>
      <c r="W45" s="157">
        <f ca="1">ROUND(IF(R45=0,0,IF(R45=1,X45*$W$1,IF(R45=2,X45*$W$1*buff的资质计算!$E$2,IF(R45=3,X45*$W$1*buff的资质计算!$E$3,0)))),2)</f>
        <v>1.95</v>
      </c>
      <c r="X45" s="157">
        <f ca="1" t="shared" si="4"/>
        <v>6.5</v>
      </c>
      <c r="Y45" s="157">
        <f ca="1" t="shared" si="5"/>
        <v>6.5</v>
      </c>
      <c r="Z45" s="304">
        <f ca="1" t="shared" si="6"/>
        <v>6.5</v>
      </c>
      <c r="AA45" s="304">
        <f ca="1">OFFSET(卡牌辅助配置表!$AD$1,MATCH(AB45,卡牌辅助配置表!AB:AB,0)-1,0)</f>
        <v>180</v>
      </c>
      <c r="AB45" s="304">
        <f ca="1" t="shared" si="7"/>
        <v>1110</v>
      </c>
      <c r="AF45" s="153" t="str">
        <f ca="1" t="shared" si="8"/>
        <v>10020011|</v>
      </c>
      <c r="AJ45" s="205" t="str">
        <f ca="1" t="shared" si="9"/>
        <v>400023|2700|;</v>
      </c>
      <c r="AK45" s="205">
        <f ca="1">OFFSET([1]item_type!$A$1,MATCH(Q45,[1]item_type!$G:$G,0)-1,0)</f>
        <v>301002</v>
      </c>
      <c r="AL45" s="205"/>
      <c r="AM45" s="205">
        <f ca="1">IF(B45=B46,OFFSET(卡牌辅助配置表!$AE$1,MATCH(AB45,卡牌辅助配置表!AB:AB,0),0),0)</f>
        <v>2700</v>
      </c>
      <c r="AN45" s="153">
        <f ca="1" t="shared" si="10"/>
        <v>1002011</v>
      </c>
      <c r="AP45" s="153">
        <f ca="1">IF(AC45=0,0,IF(AC45=12,0,OFFSET(effect!$N$1,MATCH(K45,effect!M:M,0)-1,0)))</f>
        <v>0</v>
      </c>
    </row>
    <row r="46" spans="1:42">
      <c r="A46" s="153">
        <f ca="1" t="shared" si="0"/>
        <v>1002011</v>
      </c>
      <c r="B46" s="91" t="s">
        <v>471</v>
      </c>
      <c r="C46" s="186">
        <v>1</v>
      </c>
      <c r="D46" s="186">
        <v>6</v>
      </c>
      <c r="E46" s="165" t="s">
        <v>577</v>
      </c>
      <c r="F46" s="165"/>
      <c r="G46" s="186">
        <v>-3</v>
      </c>
      <c r="H46" s="186">
        <f ca="1" t="shared" si="1"/>
        <v>0</v>
      </c>
      <c r="I46" s="186"/>
      <c r="J46" s="186">
        <f ca="1">OFFSET(card_type!$F$1,MATCH(Q46,card_type!A:A,0)-1,0)</f>
        <v>1</v>
      </c>
      <c r="K46" s="243">
        <f ca="1">OFFSET(card_type!$G$1,MATCH(Q46,card_type!A:A,0)-1,0)</f>
        <v>1</v>
      </c>
      <c r="L46" s="157">
        <v>1</v>
      </c>
      <c r="M46" s="157">
        <v>1</v>
      </c>
      <c r="N46" s="153">
        <f t="shared" si="2"/>
        <v>11</v>
      </c>
      <c r="O46" s="157"/>
      <c r="P46" s="157"/>
      <c r="Q46" s="153">
        <f ca="1">OFFSET(card_type!$A$1,MATCH(card!B46,card_type!B:B,0)-1,0)</f>
        <v>1002</v>
      </c>
      <c r="R46" s="153">
        <v>1</v>
      </c>
      <c r="S46" s="157">
        <f ca="1">ROUND(IF(R46=0,0,IF(R46=1,X46*$S$1,IF(R46=2,X46*$S$1*buff的资质计算!$E$2,IF(R46=3,X46*$S$1*buff的资质计算!$E$3,0)))),0)*0</f>
        <v>0</v>
      </c>
      <c r="T46" s="153">
        <v>1</v>
      </c>
      <c r="U46" s="153">
        <f ca="1" t="shared" si="3"/>
        <v>11</v>
      </c>
      <c r="V46" s="153">
        <f ca="1">ROUND((OFFSET(卡牌辅助配置表!$O$1,MATCH(U46,卡牌辅助配置表!M:M,0)-1,0)+(N46-1)*OFFSET(卡牌辅助配置表!$P$1,MATCH(U46,卡牌辅助配置表!M:M,0)-1,0))*M46,2)</f>
        <v>8.36</v>
      </c>
      <c r="W46" s="157">
        <f ca="1">ROUND(IF(R46=0,0,IF(R46=1,X46*$W$1,IF(R46=2,X46*$W$1*buff的资质计算!$E$2,IF(R46=3,X46*$W$1*buff的资质计算!$E$3,0)))),2)</f>
        <v>2.1</v>
      </c>
      <c r="X46" s="157">
        <f ca="1" t="shared" si="4"/>
        <v>7</v>
      </c>
      <c r="Y46" s="157">
        <f ca="1" t="shared" si="5"/>
        <v>7</v>
      </c>
      <c r="Z46" s="304">
        <f ca="1" t="shared" si="6"/>
        <v>7</v>
      </c>
      <c r="AA46" s="304">
        <f ca="1">OFFSET(卡牌辅助配置表!$AD$1,MATCH(AB46,卡牌辅助配置表!AB:AB,0)-1,0)</f>
        <v>207</v>
      </c>
      <c r="AB46" s="304">
        <f ca="1" t="shared" si="7"/>
        <v>1111</v>
      </c>
      <c r="AF46" s="153" t="str">
        <f ca="1" t="shared" si="8"/>
        <v>10020011|</v>
      </c>
      <c r="AJ46" s="205" t="str">
        <f ca="1" t="shared" si="9"/>
        <v>400023|3100|;</v>
      </c>
      <c r="AK46" s="205">
        <f ca="1">OFFSET([1]item_type!$A$1,MATCH(Q46,[1]item_type!$G:$G,0)-1,0)</f>
        <v>301002</v>
      </c>
      <c r="AL46" s="205"/>
      <c r="AM46" s="205">
        <f ca="1">IF(B46=B47,OFFSET(卡牌辅助配置表!$AE$1,MATCH(AB46,卡牌辅助配置表!AB:AB,0),0),0)</f>
        <v>3100</v>
      </c>
      <c r="AN46" s="153">
        <f ca="1" t="shared" si="10"/>
        <v>1002012</v>
      </c>
      <c r="AP46" s="153">
        <f ca="1">IF(AC46=0,0,IF(AC46=12,0,OFFSET(effect!$N$1,MATCH(K46,effect!M:M,0)-1,0)))</f>
        <v>0</v>
      </c>
    </row>
    <row r="47" spans="1:42">
      <c r="A47" s="153">
        <f ca="1" t="shared" si="0"/>
        <v>1002012</v>
      </c>
      <c r="B47" s="91" t="s">
        <v>471</v>
      </c>
      <c r="C47" s="186">
        <v>1</v>
      </c>
      <c r="D47" s="186">
        <v>6</v>
      </c>
      <c r="E47" s="165" t="s">
        <v>577</v>
      </c>
      <c r="F47" s="165"/>
      <c r="G47" s="186">
        <v>-3</v>
      </c>
      <c r="H47" s="186">
        <f ca="1" t="shared" si="1"/>
        <v>0</v>
      </c>
      <c r="I47" s="186"/>
      <c r="J47" s="186">
        <f ca="1">OFFSET(card_type!$F$1,MATCH(Q47,card_type!A:A,0)-1,0)</f>
        <v>1</v>
      </c>
      <c r="K47" s="243">
        <f ca="1">OFFSET(card_type!$G$1,MATCH(Q47,card_type!A:A,0)-1,0)</f>
        <v>1</v>
      </c>
      <c r="L47" s="157">
        <v>1</v>
      </c>
      <c r="M47" s="157">
        <v>1</v>
      </c>
      <c r="N47" s="153">
        <f t="shared" si="2"/>
        <v>12</v>
      </c>
      <c r="O47" s="157"/>
      <c r="P47" s="157"/>
      <c r="Q47" s="153">
        <f ca="1">OFFSET(card_type!$A$1,MATCH(card!B47,card_type!B:B,0)-1,0)</f>
        <v>1002</v>
      </c>
      <c r="R47" s="153">
        <v>1</v>
      </c>
      <c r="S47" s="157">
        <f ca="1">ROUND(IF(R47=0,0,IF(R47=1,X47*$S$1,IF(R47=2,X47*$S$1*buff的资质计算!$E$2,IF(R47=3,X47*$S$1*buff的资质计算!$E$3,0)))),0)*0</f>
        <v>0</v>
      </c>
      <c r="T47" s="153">
        <v>1</v>
      </c>
      <c r="U47" s="153">
        <f ca="1" t="shared" si="3"/>
        <v>11</v>
      </c>
      <c r="V47" s="153">
        <f ca="1">ROUND((OFFSET(卡牌辅助配置表!$O$1,MATCH(U47,卡牌辅助配置表!M:M,0)-1,0)+(N47-1)*OFFSET(卡牌辅助配置表!$P$1,MATCH(U47,卡牌辅助配置表!M:M,0)-1,0))*M47,2)</f>
        <v>8.57</v>
      </c>
      <c r="W47" s="157">
        <f ca="1">ROUND(IF(R47=0,0,IF(R47=1,X47*$W$1,IF(R47=2,X47*$W$1*buff的资质计算!$E$2,IF(R47=3,X47*$W$1*buff的资质计算!$E$3,0)))),2)</f>
        <v>2.25</v>
      </c>
      <c r="X47" s="157">
        <f ca="1" t="shared" si="4"/>
        <v>7.5</v>
      </c>
      <c r="Y47" s="157">
        <f ca="1" t="shared" si="5"/>
        <v>7.5</v>
      </c>
      <c r="Z47" s="304">
        <f ca="1" t="shared" si="6"/>
        <v>7.5</v>
      </c>
      <c r="AA47" s="304">
        <f ca="1">OFFSET(卡牌辅助配置表!$AD$1,MATCH(AB47,卡牌辅助配置表!AB:AB,0)-1,0)</f>
        <v>234</v>
      </c>
      <c r="AB47" s="304">
        <f ca="1" t="shared" si="7"/>
        <v>1112</v>
      </c>
      <c r="AF47" s="153" t="str">
        <f ca="1" t="shared" si="8"/>
        <v>10020011|</v>
      </c>
      <c r="AJ47" s="205" t="str">
        <f ca="1" t="shared" si="9"/>
        <v>400023|3500|;</v>
      </c>
      <c r="AK47" s="205">
        <f ca="1">OFFSET([1]item_type!$A$1,MATCH(Q47,[1]item_type!$G:$G,0)-1,0)</f>
        <v>301002</v>
      </c>
      <c r="AL47" s="205"/>
      <c r="AM47" s="205">
        <f ca="1">IF(B47=B48,OFFSET(卡牌辅助配置表!$AE$1,MATCH(AB47,卡牌辅助配置表!AB:AB,0),0),0)</f>
        <v>3500</v>
      </c>
      <c r="AN47" s="153">
        <f ca="1" t="shared" si="10"/>
        <v>1002013</v>
      </c>
      <c r="AP47" s="153">
        <f ca="1">IF(AC47=0,0,IF(AC47=12,0,OFFSET(effect!$N$1,MATCH(K47,effect!M:M,0)-1,0)))</f>
        <v>0</v>
      </c>
    </row>
    <row r="48" spans="1:42">
      <c r="A48" s="153">
        <f ca="1" t="shared" si="0"/>
        <v>1002013</v>
      </c>
      <c r="B48" s="91" t="s">
        <v>471</v>
      </c>
      <c r="C48" s="186">
        <v>1</v>
      </c>
      <c r="D48" s="186">
        <v>6</v>
      </c>
      <c r="E48" s="165" t="s">
        <v>577</v>
      </c>
      <c r="F48" s="165"/>
      <c r="G48" s="186">
        <v>-3</v>
      </c>
      <c r="H48" s="186">
        <f ca="1" t="shared" si="1"/>
        <v>0</v>
      </c>
      <c r="I48" s="186"/>
      <c r="J48" s="186">
        <f ca="1">OFFSET(card_type!$F$1,MATCH(Q48,card_type!A:A,0)-1,0)</f>
        <v>1</v>
      </c>
      <c r="K48" s="243">
        <f ca="1">OFFSET(card_type!$G$1,MATCH(Q48,card_type!A:A,0)-1,0)</f>
        <v>1</v>
      </c>
      <c r="L48" s="157">
        <v>1</v>
      </c>
      <c r="M48" s="157">
        <v>1</v>
      </c>
      <c r="N48" s="153">
        <f t="shared" si="2"/>
        <v>13</v>
      </c>
      <c r="O48" s="157"/>
      <c r="P48" s="157"/>
      <c r="Q48" s="153">
        <f ca="1">OFFSET(card_type!$A$1,MATCH(card!B48,card_type!B:B,0)-1,0)</f>
        <v>1002</v>
      </c>
      <c r="R48" s="153">
        <v>1</v>
      </c>
      <c r="S48" s="157">
        <f ca="1">ROUND(IF(R48=0,0,IF(R48=1,X48*$S$1,IF(R48=2,X48*$S$1*buff的资质计算!$E$2,IF(R48=3,X48*$S$1*buff的资质计算!$E$3,0)))),0)*0</f>
        <v>0</v>
      </c>
      <c r="T48" s="153">
        <v>1</v>
      </c>
      <c r="U48" s="153">
        <f ca="1" t="shared" si="3"/>
        <v>11</v>
      </c>
      <c r="V48" s="153">
        <f ca="1">ROUND((OFFSET(卡牌辅助配置表!$O$1,MATCH(U48,卡牌辅助配置表!M:M,0)-1,0)+(N48-1)*OFFSET(卡牌辅助配置表!$P$1,MATCH(U48,卡牌辅助配置表!M:M,0)-1,0))*M48,2)</f>
        <v>8.78</v>
      </c>
      <c r="W48" s="157">
        <f ca="1">ROUND(IF(R48=0,0,IF(R48=1,X48*$W$1,IF(R48=2,X48*$W$1*buff的资质计算!$E$2,IF(R48=3,X48*$W$1*buff的资质计算!$E$3,0)))),2)</f>
        <v>2.4</v>
      </c>
      <c r="X48" s="157">
        <f ca="1" t="shared" si="4"/>
        <v>8</v>
      </c>
      <c r="Y48" s="157">
        <f ca="1" t="shared" si="5"/>
        <v>8</v>
      </c>
      <c r="Z48" s="304">
        <f ca="1" t="shared" si="6"/>
        <v>8</v>
      </c>
      <c r="AA48" s="304">
        <f ca="1">OFFSET(卡牌辅助配置表!$AD$1,MATCH(AB48,卡牌辅助配置表!AB:AB,0)-1,0)</f>
        <v>261</v>
      </c>
      <c r="AB48" s="304">
        <f ca="1" t="shared" si="7"/>
        <v>1113</v>
      </c>
      <c r="AF48" s="153" t="str">
        <f ca="1" t="shared" si="8"/>
        <v>10020011|</v>
      </c>
      <c r="AJ48" s="205" t="str">
        <f ca="1" t="shared" si="9"/>
        <v>400023|3900|;</v>
      </c>
      <c r="AK48" s="205">
        <f ca="1">OFFSET([1]item_type!$A$1,MATCH(Q48,[1]item_type!$G:$G,0)-1,0)</f>
        <v>301002</v>
      </c>
      <c r="AL48" s="205"/>
      <c r="AM48" s="205">
        <f ca="1">IF(B48=B49,OFFSET(卡牌辅助配置表!$AE$1,MATCH(AB48,卡牌辅助配置表!AB:AB,0),0),0)</f>
        <v>3900</v>
      </c>
      <c r="AN48" s="153">
        <f ca="1" t="shared" si="10"/>
        <v>1002014</v>
      </c>
      <c r="AP48" s="153">
        <f ca="1">IF(AC48=0,0,IF(AC48=12,0,OFFSET(effect!$N$1,MATCH(K48,effect!M:M,0)-1,0)))</f>
        <v>0</v>
      </c>
    </row>
    <row r="49" spans="1:42">
      <c r="A49" s="153">
        <f ca="1" t="shared" si="0"/>
        <v>1002014</v>
      </c>
      <c r="B49" s="91" t="s">
        <v>471</v>
      </c>
      <c r="C49" s="186">
        <v>1</v>
      </c>
      <c r="D49" s="186">
        <v>6</v>
      </c>
      <c r="E49" s="165" t="s">
        <v>577</v>
      </c>
      <c r="F49" s="165"/>
      <c r="G49" s="186">
        <v>-3</v>
      </c>
      <c r="H49" s="186">
        <f ca="1" t="shared" si="1"/>
        <v>0</v>
      </c>
      <c r="I49" s="186"/>
      <c r="J49" s="186">
        <f ca="1">OFFSET(card_type!$F$1,MATCH(Q49,card_type!A:A,0)-1,0)</f>
        <v>1</v>
      </c>
      <c r="K49" s="243">
        <f ca="1">OFFSET(card_type!$G$1,MATCH(Q49,card_type!A:A,0)-1,0)</f>
        <v>1</v>
      </c>
      <c r="L49" s="157">
        <v>1</v>
      </c>
      <c r="M49" s="157">
        <v>1</v>
      </c>
      <c r="N49" s="153">
        <f t="shared" si="2"/>
        <v>14</v>
      </c>
      <c r="O49" s="157"/>
      <c r="P49" s="157"/>
      <c r="Q49" s="153">
        <f ca="1">OFFSET(card_type!$A$1,MATCH(card!B49,card_type!B:B,0)-1,0)</f>
        <v>1002</v>
      </c>
      <c r="R49" s="153">
        <v>1</v>
      </c>
      <c r="S49" s="157">
        <f ca="1">ROUND(IF(R49=0,0,IF(R49=1,X49*$S$1,IF(R49=2,X49*$S$1*buff的资质计算!$E$2,IF(R49=3,X49*$S$1*buff的资质计算!$E$3,0)))),0)*0</f>
        <v>0</v>
      </c>
      <c r="T49" s="153">
        <v>1</v>
      </c>
      <c r="U49" s="153">
        <f ca="1" t="shared" si="3"/>
        <v>11</v>
      </c>
      <c r="V49" s="153">
        <f ca="1">ROUND((OFFSET(卡牌辅助配置表!$O$1,MATCH(U49,卡牌辅助配置表!M:M,0)-1,0)+(N49-1)*OFFSET(卡牌辅助配置表!$P$1,MATCH(U49,卡牌辅助配置表!M:M,0)-1,0))*M49,2)</f>
        <v>8.99</v>
      </c>
      <c r="W49" s="157">
        <f ca="1">ROUND(IF(R49=0,0,IF(R49=1,X49*$W$1,IF(R49=2,X49*$W$1*buff的资质计算!$E$2,IF(R49=3,X49*$W$1*buff的资质计算!$E$3,0)))),2)</f>
        <v>2.55</v>
      </c>
      <c r="X49" s="157">
        <f ca="1" t="shared" si="4"/>
        <v>8.5</v>
      </c>
      <c r="Y49" s="157">
        <f ca="1" t="shared" si="5"/>
        <v>8.5</v>
      </c>
      <c r="Z49" s="304">
        <f ca="1" t="shared" si="6"/>
        <v>8.5</v>
      </c>
      <c r="AA49" s="304">
        <f ca="1">OFFSET(卡牌辅助配置表!$AD$1,MATCH(AB49,卡牌辅助配置表!AB:AB,0)-1,0)</f>
        <v>288</v>
      </c>
      <c r="AB49" s="304">
        <f ca="1" t="shared" si="7"/>
        <v>1114</v>
      </c>
      <c r="AF49" s="153" t="str">
        <f ca="1" t="shared" si="8"/>
        <v>10020011|</v>
      </c>
      <c r="AJ49" s="205" t="str">
        <f ca="1" t="shared" si="9"/>
        <v>400023|4300|;</v>
      </c>
      <c r="AK49" s="205">
        <f ca="1">OFFSET([1]item_type!$A$1,MATCH(Q49,[1]item_type!$G:$G,0)-1,0)</f>
        <v>301002</v>
      </c>
      <c r="AL49" s="205"/>
      <c r="AM49" s="205">
        <f ca="1">IF(B49=B50,OFFSET(卡牌辅助配置表!$AE$1,MATCH(AB49,卡牌辅助配置表!AB:AB,0),0),0)</f>
        <v>4300</v>
      </c>
      <c r="AN49" s="153">
        <f ca="1" t="shared" si="10"/>
        <v>1002015</v>
      </c>
      <c r="AP49" s="153">
        <f ca="1">IF(AC49=0,0,IF(AC49=12,0,OFFSET(effect!$N$1,MATCH(K49,effect!M:M,0)-1,0)))</f>
        <v>0</v>
      </c>
    </row>
    <row r="50" spans="1:42">
      <c r="A50" s="153">
        <f ca="1" t="shared" si="0"/>
        <v>1002015</v>
      </c>
      <c r="B50" s="91" t="s">
        <v>471</v>
      </c>
      <c r="C50" s="186">
        <v>1</v>
      </c>
      <c r="D50" s="186">
        <v>6</v>
      </c>
      <c r="E50" s="165" t="s">
        <v>577</v>
      </c>
      <c r="F50" s="165"/>
      <c r="G50" s="186">
        <v>-3</v>
      </c>
      <c r="H50" s="186">
        <f ca="1" t="shared" si="1"/>
        <v>0</v>
      </c>
      <c r="I50" s="186"/>
      <c r="J50" s="186">
        <f ca="1">OFFSET(card_type!$F$1,MATCH(Q50,card_type!A:A,0)-1,0)</f>
        <v>1</v>
      </c>
      <c r="K50" s="243">
        <f ca="1">OFFSET(card_type!$G$1,MATCH(Q50,card_type!A:A,0)-1,0)</f>
        <v>1</v>
      </c>
      <c r="L50" s="157">
        <v>1</v>
      </c>
      <c r="M50" s="157">
        <v>1</v>
      </c>
      <c r="N50" s="153">
        <f t="shared" si="2"/>
        <v>15</v>
      </c>
      <c r="O50" s="157"/>
      <c r="P50" s="157"/>
      <c r="Q50" s="153">
        <f ca="1">OFFSET(card_type!$A$1,MATCH(card!B50,card_type!B:B,0)-1,0)</f>
        <v>1002</v>
      </c>
      <c r="R50" s="153">
        <v>1</v>
      </c>
      <c r="S50" s="157">
        <f ca="1">ROUND(IF(R50=0,0,IF(R50=1,X50*$S$1,IF(R50=2,X50*$S$1*buff的资质计算!$E$2,IF(R50=3,X50*$S$1*buff的资质计算!$E$3,0)))),0)*0</f>
        <v>0</v>
      </c>
      <c r="T50" s="153">
        <v>1</v>
      </c>
      <c r="U50" s="153">
        <f ca="1" t="shared" si="3"/>
        <v>11</v>
      </c>
      <c r="V50" s="153">
        <f ca="1">ROUND((OFFSET(卡牌辅助配置表!$O$1,MATCH(U50,卡牌辅助配置表!M:M,0)-1,0)+(N50-1)*OFFSET(卡牌辅助配置表!$P$1,MATCH(U50,卡牌辅助配置表!M:M,0)-1,0))*M50,2)</f>
        <v>9.2</v>
      </c>
      <c r="W50" s="157">
        <f ca="1">ROUND(IF(R50=0,0,IF(R50=1,X50*$W$1,IF(R50=2,X50*$W$1*buff的资质计算!$E$2,IF(R50=3,X50*$W$1*buff的资质计算!$E$3,0)))),2)</f>
        <v>2.7</v>
      </c>
      <c r="X50" s="157">
        <f ca="1" t="shared" si="4"/>
        <v>9</v>
      </c>
      <c r="Y50" s="157">
        <f ca="1" t="shared" si="5"/>
        <v>9</v>
      </c>
      <c r="Z50" s="304">
        <f ca="1" t="shared" si="6"/>
        <v>9</v>
      </c>
      <c r="AA50" s="304">
        <f ca="1">OFFSET(卡牌辅助配置表!$AD$1,MATCH(AB50,卡牌辅助配置表!AB:AB,0)-1,0)</f>
        <v>315</v>
      </c>
      <c r="AB50" s="304">
        <f ca="1" t="shared" si="7"/>
        <v>1115</v>
      </c>
      <c r="AF50" s="153" t="str">
        <f ca="1" t="shared" si="8"/>
        <v>10020011|</v>
      </c>
      <c r="AJ50" s="205" t="str">
        <f ca="1" t="shared" si="9"/>
        <v>400023|4700|;</v>
      </c>
      <c r="AK50" s="205">
        <f ca="1">OFFSET([1]item_type!$A$1,MATCH(Q50,[1]item_type!$G:$G,0)-1,0)</f>
        <v>301002</v>
      </c>
      <c r="AL50" s="205"/>
      <c r="AM50" s="205">
        <f ca="1">IF(B50=B51,OFFSET(卡牌辅助配置表!$AE$1,MATCH(AB50,卡牌辅助配置表!AB:AB,0),0),0)</f>
        <v>4700</v>
      </c>
      <c r="AN50" s="153">
        <f ca="1" t="shared" si="10"/>
        <v>1002016</v>
      </c>
      <c r="AP50" s="153">
        <f ca="1">IF(AC50=0,0,IF(AC50=12,0,OFFSET(effect!$N$1,MATCH(K50,effect!M:M,0)-1,0)))</f>
        <v>0</v>
      </c>
    </row>
    <row r="51" spans="1:42">
      <c r="A51" s="153">
        <f ca="1" t="shared" si="0"/>
        <v>1002016</v>
      </c>
      <c r="B51" s="91" t="s">
        <v>471</v>
      </c>
      <c r="C51" s="186">
        <v>1</v>
      </c>
      <c r="D51" s="186">
        <v>6</v>
      </c>
      <c r="E51" s="165" t="s">
        <v>577</v>
      </c>
      <c r="F51" s="165"/>
      <c r="G51" s="186">
        <v>-3</v>
      </c>
      <c r="H51" s="186">
        <f ca="1" t="shared" si="1"/>
        <v>0</v>
      </c>
      <c r="I51" s="186"/>
      <c r="J51" s="186">
        <f ca="1">OFFSET(card_type!$F$1,MATCH(Q51,card_type!A:A,0)-1,0)</f>
        <v>1</v>
      </c>
      <c r="K51" s="243">
        <f ca="1">OFFSET(card_type!$G$1,MATCH(Q51,card_type!A:A,0)-1,0)</f>
        <v>1</v>
      </c>
      <c r="L51" s="157">
        <v>1</v>
      </c>
      <c r="M51" s="157">
        <v>1</v>
      </c>
      <c r="N51" s="153">
        <f t="shared" si="2"/>
        <v>16</v>
      </c>
      <c r="O51" s="157"/>
      <c r="P51" s="157"/>
      <c r="Q51" s="153">
        <f ca="1">OFFSET(card_type!$A$1,MATCH(card!B51,card_type!B:B,0)-1,0)</f>
        <v>1002</v>
      </c>
      <c r="R51" s="153">
        <v>1</v>
      </c>
      <c r="S51" s="157">
        <f ca="1">ROUND(IF(R51=0,0,IF(R51=1,X51*$S$1,IF(R51=2,X51*$S$1*buff的资质计算!$E$2,IF(R51=3,X51*$S$1*buff的资质计算!$E$3,0)))),0)*0</f>
        <v>0</v>
      </c>
      <c r="T51" s="153">
        <v>1</v>
      </c>
      <c r="U51" s="153">
        <f ca="1" t="shared" si="3"/>
        <v>11</v>
      </c>
      <c r="V51" s="153">
        <f ca="1">ROUND((OFFSET(卡牌辅助配置表!$O$1,MATCH(U51,卡牌辅助配置表!M:M,0)-1,0)+(N51-1)*OFFSET(卡牌辅助配置表!$P$1,MATCH(U51,卡牌辅助配置表!M:M,0)-1,0))*M51,2)</f>
        <v>9.41</v>
      </c>
      <c r="W51" s="157">
        <f ca="1">ROUND(IF(R51=0,0,IF(R51=1,X51*$W$1,IF(R51=2,X51*$W$1*buff的资质计算!$E$2,IF(R51=3,X51*$W$1*buff的资质计算!$E$3,0)))),2)</f>
        <v>2.85</v>
      </c>
      <c r="X51" s="157">
        <f ca="1" t="shared" si="4"/>
        <v>9.5</v>
      </c>
      <c r="Y51" s="157">
        <f ca="1" t="shared" si="5"/>
        <v>9.5</v>
      </c>
      <c r="Z51" s="304">
        <f ca="1" t="shared" si="6"/>
        <v>9.5</v>
      </c>
      <c r="AA51" s="304">
        <f ca="1">OFFSET(卡牌辅助配置表!$AD$1,MATCH(AB51,卡牌辅助配置表!AB:AB,0)-1,0)</f>
        <v>342</v>
      </c>
      <c r="AB51" s="304">
        <f ca="1" t="shared" si="7"/>
        <v>1116</v>
      </c>
      <c r="AF51" s="153" t="str">
        <f ca="1" t="shared" si="8"/>
        <v>10020011|</v>
      </c>
      <c r="AJ51" s="205" t="str">
        <f ca="1" t="shared" si="9"/>
        <v>400023|5100|;</v>
      </c>
      <c r="AK51" s="205">
        <f ca="1">OFFSET([1]item_type!$A$1,MATCH(Q51,[1]item_type!$G:$G,0)-1,0)</f>
        <v>301002</v>
      </c>
      <c r="AL51" s="205"/>
      <c r="AM51" s="205">
        <f ca="1">IF(B51=B52,OFFSET(卡牌辅助配置表!$AE$1,MATCH(AB51,卡牌辅助配置表!AB:AB,0),0),0)</f>
        <v>5100</v>
      </c>
      <c r="AN51" s="153">
        <f ca="1" t="shared" si="10"/>
        <v>1002017</v>
      </c>
      <c r="AP51" s="153">
        <f ca="1">IF(AC51=0,0,IF(AC51=12,0,OFFSET(effect!$N$1,MATCH(K51,effect!M:M,0)-1,0)))</f>
        <v>0</v>
      </c>
    </row>
    <row r="52" spans="1:42">
      <c r="A52" s="153">
        <f ca="1" t="shared" si="0"/>
        <v>1002017</v>
      </c>
      <c r="B52" s="91" t="s">
        <v>471</v>
      </c>
      <c r="C52" s="186">
        <v>1</v>
      </c>
      <c r="D52" s="186">
        <v>6</v>
      </c>
      <c r="E52" s="165" t="s">
        <v>577</v>
      </c>
      <c r="F52" s="165"/>
      <c r="G52" s="186">
        <v>-3</v>
      </c>
      <c r="H52" s="186">
        <f ca="1" t="shared" si="1"/>
        <v>0</v>
      </c>
      <c r="I52" s="186"/>
      <c r="J52" s="186">
        <f ca="1">OFFSET(card_type!$F$1,MATCH(Q52,card_type!A:A,0)-1,0)</f>
        <v>1</v>
      </c>
      <c r="K52" s="243">
        <f ca="1">OFFSET(card_type!$G$1,MATCH(Q52,card_type!A:A,0)-1,0)</f>
        <v>1</v>
      </c>
      <c r="L52" s="157">
        <v>1</v>
      </c>
      <c r="M52" s="157">
        <v>1</v>
      </c>
      <c r="N52" s="153">
        <f t="shared" si="2"/>
        <v>17</v>
      </c>
      <c r="O52" s="157"/>
      <c r="P52" s="157"/>
      <c r="Q52" s="153">
        <f ca="1">OFFSET(card_type!$A$1,MATCH(card!B52,card_type!B:B,0)-1,0)</f>
        <v>1002</v>
      </c>
      <c r="R52" s="153">
        <v>1</v>
      </c>
      <c r="S52" s="157">
        <f ca="1">ROUND(IF(R52=0,0,IF(R52=1,X52*$S$1,IF(R52=2,X52*$S$1*buff的资质计算!$E$2,IF(R52=3,X52*$S$1*buff的资质计算!$E$3,0)))),0)*0</f>
        <v>0</v>
      </c>
      <c r="T52" s="153">
        <v>1</v>
      </c>
      <c r="U52" s="153">
        <f ca="1" t="shared" si="3"/>
        <v>11</v>
      </c>
      <c r="V52" s="153">
        <f ca="1">ROUND((OFFSET(卡牌辅助配置表!$O$1,MATCH(U52,卡牌辅助配置表!M:M,0)-1,0)+(N52-1)*OFFSET(卡牌辅助配置表!$P$1,MATCH(U52,卡牌辅助配置表!M:M,0)-1,0))*M52,2)</f>
        <v>9.61</v>
      </c>
      <c r="W52" s="157">
        <f ca="1">ROUND(IF(R52=0,0,IF(R52=1,X52*$W$1,IF(R52=2,X52*$W$1*buff的资质计算!$E$2,IF(R52=3,X52*$W$1*buff的资质计算!$E$3,0)))),2)</f>
        <v>3</v>
      </c>
      <c r="X52" s="157">
        <f ca="1" t="shared" si="4"/>
        <v>10</v>
      </c>
      <c r="Y52" s="157">
        <f ca="1" t="shared" si="5"/>
        <v>10</v>
      </c>
      <c r="Z52" s="304">
        <f ca="1" t="shared" si="6"/>
        <v>10</v>
      </c>
      <c r="AA52" s="304">
        <f ca="1">OFFSET(卡牌辅助配置表!$AD$1,MATCH(AB52,卡牌辅助配置表!AB:AB,0)-1,0)</f>
        <v>369</v>
      </c>
      <c r="AB52" s="304">
        <f ca="1" t="shared" si="7"/>
        <v>1117</v>
      </c>
      <c r="AF52" s="153" t="str">
        <f ca="1" t="shared" si="8"/>
        <v>10020011|</v>
      </c>
      <c r="AJ52" s="205" t="str">
        <f ca="1" t="shared" si="9"/>
        <v>400023|5500|;</v>
      </c>
      <c r="AK52" s="205">
        <f ca="1">OFFSET([1]item_type!$A$1,MATCH(Q52,[1]item_type!$G:$G,0)-1,0)</f>
        <v>301002</v>
      </c>
      <c r="AL52" s="205"/>
      <c r="AM52" s="205">
        <f ca="1">IF(B52=B53,OFFSET(卡牌辅助配置表!$AE$1,MATCH(AB52,卡牌辅助配置表!AB:AB,0),0),0)</f>
        <v>5500</v>
      </c>
      <c r="AN52" s="153">
        <f ca="1" t="shared" si="10"/>
        <v>1002018</v>
      </c>
      <c r="AP52" s="153">
        <f ca="1">IF(AC52=0,0,IF(AC52=12,0,OFFSET(effect!$N$1,MATCH(K52,effect!M:M,0)-1,0)))</f>
        <v>0</v>
      </c>
    </row>
    <row r="53" spans="1:42">
      <c r="A53" s="153">
        <f ca="1" t="shared" si="0"/>
        <v>1002018</v>
      </c>
      <c r="B53" s="91" t="s">
        <v>471</v>
      </c>
      <c r="C53" s="186">
        <v>1</v>
      </c>
      <c r="D53" s="186">
        <v>6</v>
      </c>
      <c r="E53" s="165" t="s">
        <v>577</v>
      </c>
      <c r="F53" s="165"/>
      <c r="G53" s="186">
        <v>-3</v>
      </c>
      <c r="H53" s="186">
        <f ca="1" t="shared" si="1"/>
        <v>0</v>
      </c>
      <c r="I53" s="186"/>
      <c r="J53" s="186">
        <f ca="1">OFFSET(card_type!$F$1,MATCH(Q53,card_type!A:A,0)-1,0)</f>
        <v>1</v>
      </c>
      <c r="K53" s="243">
        <f ca="1">OFFSET(card_type!$G$1,MATCH(Q53,card_type!A:A,0)-1,0)</f>
        <v>1</v>
      </c>
      <c r="L53" s="157">
        <v>1</v>
      </c>
      <c r="M53" s="157">
        <v>1</v>
      </c>
      <c r="N53" s="153">
        <f t="shared" si="2"/>
        <v>18</v>
      </c>
      <c r="O53" s="157"/>
      <c r="P53" s="157"/>
      <c r="Q53" s="153">
        <f ca="1">OFFSET(card_type!$A$1,MATCH(card!B53,card_type!B:B,0)-1,0)</f>
        <v>1002</v>
      </c>
      <c r="R53" s="153">
        <v>1</v>
      </c>
      <c r="S53" s="157">
        <f ca="1">ROUND(IF(R53=0,0,IF(R53=1,X53*$S$1,IF(R53=2,X53*$S$1*buff的资质计算!$E$2,IF(R53=3,X53*$S$1*buff的资质计算!$E$3,0)))),0)*0</f>
        <v>0</v>
      </c>
      <c r="T53" s="153">
        <v>1</v>
      </c>
      <c r="U53" s="153">
        <f ca="1" t="shared" si="3"/>
        <v>11</v>
      </c>
      <c r="V53" s="153">
        <f ca="1">ROUND((OFFSET(卡牌辅助配置表!$O$1,MATCH(U53,卡牌辅助配置表!M:M,0)-1,0)+(N53-1)*OFFSET(卡牌辅助配置表!$P$1,MATCH(U53,卡牌辅助配置表!M:M,0)-1,0))*M53,2)</f>
        <v>9.82</v>
      </c>
      <c r="W53" s="157">
        <f ca="1">ROUND(IF(R53=0,0,IF(R53=1,X53*$W$1,IF(R53=2,X53*$W$1*buff的资质计算!$E$2,IF(R53=3,X53*$W$1*buff的资质计算!$E$3,0)))),2)</f>
        <v>3.15</v>
      </c>
      <c r="X53" s="157">
        <f ca="1" t="shared" si="4"/>
        <v>10.5</v>
      </c>
      <c r="Y53" s="157">
        <f ca="1" t="shared" si="5"/>
        <v>10.5</v>
      </c>
      <c r="Z53" s="304">
        <f ca="1" t="shared" si="6"/>
        <v>10.5</v>
      </c>
      <c r="AA53" s="304">
        <f ca="1">OFFSET(卡牌辅助配置表!$AD$1,MATCH(AB53,卡牌辅助配置表!AB:AB,0)-1,0)</f>
        <v>396</v>
      </c>
      <c r="AB53" s="304">
        <f ca="1" t="shared" si="7"/>
        <v>1118</v>
      </c>
      <c r="AF53" s="153" t="str">
        <f ca="1" t="shared" si="8"/>
        <v>10020011|</v>
      </c>
      <c r="AJ53" s="205" t="str">
        <f ca="1" t="shared" si="9"/>
        <v>400023|5900|;</v>
      </c>
      <c r="AK53" s="205">
        <f ca="1">OFFSET([1]item_type!$A$1,MATCH(Q53,[1]item_type!$G:$G,0)-1,0)</f>
        <v>301002</v>
      </c>
      <c r="AL53" s="205"/>
      <c r="AM53" s="205">
        <f ca="1">IF(B53=B54,OFFSET(卡牌辅助配置表!$AE$1,MATCH(AB53,卡牌辅助配置表!AB:AB,0),0),0)</f>
        <v>5900</v>
      </c>
      <c r="AN53" s="153">
        <f ca="1" t="shared" si="10"/>
        <v>1002019</v>
      </c>
      <c r="AP53" s="153">
        <f ca="1">IF(AC53=0,0,IF(AC53=12,0,OFFSET(effect!$N$1,MATCH(K53,effect!M:M,0)-1,0)))</f>
        <v>0</v>
      </c>
    </row>
    <row r="54" spans="1:42">
      <c r="A54" s="153">
        <f ca="1" t="shared" si="0"/>
        <v>1002019</v>
      </c>
      <c r="B54" s="91" t="s">
        <v>471</v>
      </c>
      <c r="C54" s="186">
        <v>1</v>
      </c>
      <c r="D54" s="186">
        <v>6</v>
      </c>
      <c r="E54" s="165" t="s">
        <v>577</v>
      </c>
      <c r="F54" s="165"/>
      <c r="G54" s="186">
        <v>-3</v>
      </c>
      <c r="H54" s="186">
        <f ca="1" t="shared" si="1"/>
        <v>0</v>
      </c>
      <c r="I54" s="186"/>
      <c r="J54" s="186">
        <f ca="1">OFFSET(card_type!$F$1,MATCH(Q54,card_type!A:A,0)-1,0)</f>
        <v>1</v>
      </c>
      <c r="K54" s="243">
        <f ca="1">OFFSET(card_type!$G$1,MATCH(Q54,card_type!A:A,0)-1,0)</f>
        <v>1</v>
      </c>
      <c r="L54" s="157">
        <v>1</v>
      </c>
      <c r="M54" s="157">
        <v>1</v>
      </c>
      <c r="N54" s="153">
        <f t="shared" si="2"/>
        <v>19</v>
      </c>
      <c r="O54" s="157"/>
      <c r="P54" s="157"/>
      <c r="Q54" s="153">
        <f ca="1">OFFSET(card_type!$A$1,MATCH(card!B54,card_type!B:B,0)-1,0)</f>
        <v>1002</v>
      </c>
      <c r="R54" s="153">
        <v>1</v>
      </c>
      <c r="S54" s="157">
        <f ca="1">ROUND(IF(R54=0,0,IF(R54=1,X54*$S$1,IF(R54=2,X54*$S$1*buff的资质计算!$E$2,IF(R54=3,X54*$S$1*buff的资质计算!$E$3,0)))),0)*0</f>
        <v>0</v>
      </c>
      <c r="T54" s="153">
        <v>1</v>
      </c>
      <c r="U54" s="153">
        <f ca="1" t="shared" si="3"/>
        <v>11</v>
      </c>
      <c r="V54" s="153">
        <f ca="1">ROUND((OFFSET(卡牌辅助配置表!$O$1,MATCH(U54,卡牌辅助配置表!M:M,0)-1,0)+(N54-1)*OFFSET(卡牌辅助配置表!$P$1,MATCH(U54,卡牌辅助配置表!M:M,0)-1,0))*M54,2)</f>
        <v>10.03</v>
      </c>
      <c r="W54" s="157">
        <f ca="1">ROUND(IF(R54=0,0,IF(R54=1,X54*$W$1,IF(R54=2,X54*$W$1*buff的资质计算!$E$2,IF(R54=3,X54*$W$1*buff的资质计算!$E$3,0)))),2)</f>
        <v>3.3</v>
      </c>
      <c r="X54" s="157">
        <f ca="1" t="shared" si="4"/>
        <v>11</v>
      </c>
      <c r="Y54" s="157">
        <f ca="1" t="shared" si="5"/>
        <v>11</v>
      </c>
      <c r="Z54" s="304">
        <f ca="1" t="shared" si="6"/>
        <v>11</v>
      </c>
      <c r="AA54" s="304">
        <f ca="1">OFFSET(卡牌辅助配置表!$AD$1,MATCH(AB54,卡牌辅助配置表!AB:AB,0)-1,0)</f>
        <v>423</v>
      </c>
      <c r="AB54" s="304">
        <f ca="1" t="shared" si="7"/>
        <v>1119</v>
      </c>
      <c r="AF54" s="153" t="str">
        <f ca="1" t="shared" si="8"/>
        <v>10020011|</v>
      </c>
      <c r="AJ54" s="205" t="str">
        <f ca="1" t="shared" si="9"/>
        <v>301002|20|;400023|6300|;</v>
      </c>
      <c r="AK54" s="205">
        <f ca="1">OFFSET([1]item_type!$A$1,MATCH(Q54,[1]item_type!$G:$G,0)-1,0)</f>
        <v>301002</v>
      </c>
      <c r="AL54" s="205">
        <v>20</v>
      </c>
      <c r="AM54" s="205">
        <f ca="1">IF(B54=B55,OFFSET(卡牌辅助配置表!$AE$1,MATCH(AB54,卡牌辅助配置表!AB:AB,0),0),0)</f>
        <v>6300</v>
      </c>
      <c r="AN54" s="153">
        <f ca="1" t="shared" si="10"/>
        <v>1002020</v>
      </c>
      <c r="AP54" s="153">
        <f ca="1">IF(AC54=0,0,IF(AC54=12,0,OFFSET(effect!$N$1,MATCH(K54,effect!M:M,0)-1,0)))</f>
        <v>0</v>
      </c>
    </row>
    <row r="55" spans="1:42">
      <c r="A55" s="153">
        <f ca="1" t="shared" si="0"/>
        <v>1002020</v>
      </c>
      <c r="B55" s="91" t="s">
        <v>471</v>
      </c>
      <c r="C55" s="186">
        <v>1</v>
      </c>
      <c r="D55" s="186">
        <v>6</v>
      </c>
      <c r="E55" s="165" t="s">
        <v>577</v>
      </c>
      <c r="F55" s="165"/>
      <c r="G55" s="186">
        <v>-3</v>
      </c>
      <c r="H55" s="186">
        <f ca="1" t="shared" si="1"/>
        <v>0</v>
      </c>
      <c r="I55" s="186"/>
      <c r="J55" s="186">
        <f ca="1">OFFSET(card_type!$F$1,MATCH(Q55,card_type!A:A,0)-1,0)</f>
        <v>1</v>
      </c>
      <c r="K55" s="243">
        <f ca="1">OFFSET(card_type!$G$1,MATCH(Q55,card_type!A:A,0)-1,0)</f>
        <v>1</v>
      </c>
      <c r="L55" s="157">
        <v>1</v>
      </c>
      <c r="M55" s="157">
        <v>1</v>
      </c>
      <c r="N55" s="153">
        <f t="shared" si="2"/>
        <v>20</v>
      </c>
      <c r="O55" s="157"/>
      <c r="P55" s="157"/>
      <c r="Q55" s="153">
        <f ca="1">OFFSET(card_type!$A$1,MATCH(card!B55,card_type!B:B,0)-1,0)</f>
        <v>1002</v>
      </c>
      <c r="R55" s="153">
        <v>1</v>
      </c>
      <c r="S55" s="157">
        <f ca="1">ROUND(IF(R55=0,0,IF(R55=1,X55*$S$1,IF(R55=2,X55*$S$1*buff的资质计算!$E$2,IF(R55=3,X55*$S$1*buff的资质计算!$E$3,0)))),0)*0</f>
        <v>0</v>
      </c>
      <c r="T55" s="153">
        <v>1</v>
      </c>
      <c r="U55" s="153">
        <f ca="1" t="shared" si="3"/>
        <v>11</v>
      </c>
      <c r="V55" s="153">
        <f ca="1">ROUND((OFFSET(卡牌辅助配置表!$O$1,MATCH(U55,卡牌辅助配置表!M:M,0)-1,0)+(N55-1)*OFFSET(卡牌辅助配置表!$P$1,MATCH(U55,卡牌辅助配置表!M:M,0)-1,0))*M55,2)</f>
        <v>10.24</v>
      </c>
      <c r="W55" s="157">
        <f ca="1">ROUND(IF(R55=0,0,IF(R55=1,X55*$W$1,IF(R55=2,X55*$W$1*buff的资质计算!$E$2,IF(R55=3,X55*$W$1*buff的资质计算!$E$3,0)))),2)</f>
        <v>3.45</v>
      </c>
      <c r="X55" s="157">
        <f ca="1" t="shared" si="4"/>
        <v>11.5</v>
      </c>
      <c r="Y55" s="157">
        <f ca="1" t="shared" si="5"/>
        <v>11.5</v>
      </c>
      <c r="Z55" s="304">
        <f ca="1" t="shared" si="6"/>
        <v>11.5</v>
      </c>
      <c r="AA55" s="304">
        <f ca="1">OFFSET(卡牌辅助配置表!$AD$1,MATCH(AB55,卡牌辅助配置表!AB:AB,0)-1,0)</f>
        <v>450</v>
      </c>
      <c r="AB55" s="304">
        <f ca="1" t="shared" si="7"/>
        <v>1120</v>
      </c>
      <c r="AF55" s="153" t="str">
        <f ca="1" t="shared" si="8"/>
        <v>10020011|</v>
      </c>
      <c r="AJ55" s="205" t="str">
        <f ca="1" t="shared" si="9"/>
        <v>400023|7100|;</v>
      </c>
      <c r="AK55" s="205">
        <f ca="1">OFFSET([1]item_type!$A$1,MATCH(Q55,[1]item_type!$G:$G,0)-1,0)</f>
        <v>301002</v>
      </c>
      <c r="AL55" s="205"/>
      <c r="AM55" s="205">
        <f ca="1">IF(B55=B56,OFFSET(卡牌辅助配置表!$AE$1,MATCH(AB55,卡牌辅助配置表!AB:AB,0),0),0)</f>
        <v>7100</v>
      </c>
      <c r="AN55" s="153">
        <f ca="1" t="shared" si="10"/>
        <v>1002021</v>
      </c>
      <c r="AP55" s="153">
        <f ca="1">IF(AC55=0,0,IF(AC55=12,0,OFFSET(effect!$N$1,MATCH(K55,effect!M:M,0)-1,0)))</f>
        <v>0</v>
      </c>
    </row>
    <row r="56" spans="1:42">
      <c r="A56" s="153">
        <f ca="1" t="shared" si="0"/>
        <v>1002021</v>
      </c>
      <c r="B56" s="91" t="s">
        <v>471</v>
      </c>
      <c r="C56" s="186">
        <v>1</v>
      </c>
      <c r="D56" s="186">
        <v>6</v>
      </c>
      <c r="E56" s="165" t="s">
        <v>577</v>
      </c>
      <c r="F56" s="165"/>
      <c r="G56" s="186">
        <v>-3</v>
      </c>
      <c r="H56" s="186">
        <f ca="1" t="shared" si="1"/>
        <v>0</v>
      </c>
      <c r="I56" s="186"/>
      <c r="J56" s="186">
        <f ca="1">OFFSET(card_type!$F$1,MATCH(Q56,card_type!A:A,0)-1,0)</f>
        <v>1</v>
      </c>
      <c r="K56" s="243">
        <f ca="1">OFFSET(card_type!$G$1,MATCH(Q56,card_type!A:A,0)-1,0)</f>
        <v>1</v>
      </c>
      <c r="L56" s="157">
        <v>1</v>
      </c>
      <c r="M56" s="157">
        <v>1</v>
      </c>
      <c r="N56" s="153">
        <f t="shared" si="2"/>
        <v>21</v>
      </c>
      <c r="O56" s="157"/>
      <c r="P56" s="157"/>
      <c r="Q56" s="153">
        <f ca="1">OFFSET(card_type!$A$1,MATCH(card!B56,card_type!B:B,0)-1,0)</f>
        <v>1002</v>
      </c>
      <c r="R56" s="153">
        <v>1</v>
      </c>
      <c r="S56" s="157">
        <f ca="1">ROUND(IF(R56=0,0,IF(R56=1,X56*$S$1,IF(R56=2,X56*$S$1*buff的资质计算!$E$2,IF(R56=3,X56*$S$1*buff的资质计算!$E$3,0)))),0)*0</f>
        <v>0</v>
      </c>
      <c r="T56" s="153">
        <v>1</v>
      </c>
      <c r="U56" s="153">
        <f ca="1" t="shared" si="3"/>
        <v>11</v>
      </c>
      <c r="V56" s="153">
        <f ca="1">ROUND((OFFSET(卡牌辅助配置表!$O$1,MATCH(U56,卡牌辅助配置表!M:M,0)-1,0)+(N56-1)*OFFSET(卡牌辅助配置表!$P$1,MATCH(U56,卡牌辅助配置表!M:M,0)-1,0))*M56,2)</f>
        <v>10.45</v>
      </c>
      <c r="W56" s="157">
        <f ca="1">ROUND(IF(R56=0,0,IF(R56=1,X56*$W$1,IF(R56=2,X56*$W$1*buff的资质计算!$E$2,IF(R56=3,X56*$W$1*buff的资质计算!$E$3,0)))),2)</f>
        <v>3.6</v>
      </c>
      <c r="X56" s="157">
        <f ca="1" t="shared" si="4"/>
        <v>12</v>
      </c>
      <c r="Y56" s="157">
        <f ca="1" t="shared" si="5"/>
        <v>12</v>
      </c>
      <c r="Z56" s="304">
        <f ca="1" t="shared" si="6"/>
        <v>12</v>
      </c>
      <c r="AA56" s="304">
        <f ca="1">OFFSET(卡牌辅助配置表!$AD$1,MATCH(AB56,卡牌辅助配置表!AB:AB,0)-1,0)</f>
        <v>486</v>
      </c>
      <c r="AB56" s="304">
        <f ca="1" t="shared" si="7"/>
        <v>1121</v>
      </c>
      <c r="AF56" s="153" t="str">
        <f ca="1" t="shared" si="8"/>
        <v>10020011|</v>
      </c>
      <c r="AJ56" s="205" t="str">
        <f ca="1" t="shared" si="9"/>
        <v>400023|7900|;</v>
      </c>
      <c r="AK56" s="205">
        <f ca="1">OFFSET([1]item_type!$A$1,MATCH(Q56,[1]item_type!$G:$G,0)-1,0)</f>
        <v>301002</v>
      </c>
      <c r="AL56" s="205"/>
      <c r="AM56" s="205">
        <f ca="1">IF(B56=B57,OFFSET(卡牌辅助配置表!$AE$1,MATCH(AB56,卡牌辅助配置表!AB:AB,0),0),0)</f>
        <v>7900</v>
      </c>
      <c r="AN56" s="153">
        <f ca="1" t="shared" si="10"/>
        <v>1002022</v>
      </c>
      <c r="AP56" s="153">
        <f ca="1">IF(AC56=0,0,IF(AC56=12,0,OFFSET(effect!$N$1,MATCH(K56,effect!M:M,0)-1,0)))</f>
        <v>0</v>
      </c>
    </row>
    <row r="57" spans="1:42">
      <c r="A57" s="153">
        <f ca="1" t="shared" si="0"/>
        <v>1002022</v>
      </c>
      <c r="B57" s="91" t="s">
        <v>471</v>
      </c>
      <c r="C57" s="186">
        <v>1</v>
      </c>
      <c r="D57" s="186">
        <v>6</v>
      </c>
      <c r="E57" s="165" t="s">
        <v>577</v>
      </c>
      <c r="F57" s="165"/>
      <c r="G57" s="186">
        <v>-3</v>
      </c>
      <c r="H57" s="186">
        <f ca="1" t="shared" si="1"/>
        <v>0</v>
      </c>
      <c r="I57" s="186"/>
      <c r="J57" s="186">
        <f ca="1">OFFSET(card_type!$F$1,MATCH(Q57,card_type!A:A,0)-1,0)</f>
        <v>1</v>
      </c>
      <c r="K57" s="243">
        <f ca="1">OFFSET(card_type!$G$1,MATCH(Q57,card_type!A:A,0)-1,0)</f>
        <v>1</v>
      </c>
      <c r="L57" s="157">
        <v>1</v>
      </c>
      <c r="M57" s="157">
        <v>1</v>
      </c>
      <c r="N57" s="153">
        <f t="shared" si="2"/>
        <v>22</v>
      </c>
      <c r="O57" s="157"/>
      <c r="P57" s="157"/>
      <c r="Q57" s="153">
        <f ca="1">OFFSET(card_type!$A$1,MATCH(card!B57,card_type!B:B,0)-1,0)</f>
        <v>1002</v>
      </c>
      <c r="R57" s="153">
        <v>1</v>
      </c>
      <c r="S57" s="157">
        <f ca="1">ROUND(IF(R57=0,0,IF(R57=1,X57*$S$1,IF(R57=2,X57*$S$1*buff的资质计算!$E$2,IF(R57=3,X57*$S$1*buff的资质计算!$E$3,0)))),0)*0</f>
        <v>0</v>
      </c>
      <c r="T57" s="153">
        <v>1</v>
      </c>
      <c r="U57" s="153">
        <f ca="1" t="shared" si="3"/>
        <v>11</v>
      </c>
      <c r="V57" s="153">
        <f ca="1">ROUND((OFFSET(卡牌辅助配置表!$O$1,MATCH(U57,卡牌辅助配置表!M:M,0)-1,0)+(N57-1)*OFFSET(卡牌辅助配置表!$P$1,MATCH(U57,卡牌辅助配置表!M:M,0)-1,0))*M57,2)</f>
        <v>10.66</v>
      </c>
      <c r="W57" s="157">
        <f ca="1">ROUND(IF(R57=0,0,IF(R57=1,X57*$W$1,IF(R57=2,X57*$W$1*buff的资质计算!$E$2,IF(R57=3,X57*$W$1*buff的资质计算!$E$3,0)))),2)</f>
        <v>3.75</v>
      </c>
      <c r="X57" s="157">
        <f ca="1" t="shared" si="4"/>
        <v>12.5</v>
      </c>
      <c r="Y57" s="157">
        <f ca="1" t="shared" si="5"/>
        <v>12.5</v>
      </c>
      <c r="Z57" s="304">
        <f ca="1" t="shared" si="6"/>
        <v>12.5</v>
      </c>
      <c r="AA57" s="304">
        <f ca="1">OFFSET(卡牌辅助配置表!$AD$1,MATCH(AB57,卡牌辅助配置表!AB:AB,0)-1,0)</f>
        <v>522</v>
      </c>
      <c r="AB57" s="304">
        <f ca="1" t="shared" si="7"/>
        <v>1122</v>
      </c>
      <c r="AF57" s="153" t="str">
        <f ca="1" t="shared" si="8"/>
        <v>10020011|</v>
      </c>
      <c r="AJ57" s="205" t="str">
        <f ca="1" t="shared" si="9"/>
        <v>400023|8700|;</v>
      </c>
      <c r="AK57" s="205">
        <f ca="1">OFFSET([1]item_type!$A$1,MATCH(Q57,[1]item_type!$G:$G,0)-1,0)</f>
        <v>301002</v>
      </c>
      <c r="AL57" s="205"/>
      <c r="AM57" s="205">
        <f ca="1">IF(B57=B58,OFFSET(卡牌辅助配置表!$AE$1,MATCH(AB57,卡牌辅助配置表!AB:AB,0),0),0)</f>
        <v>8700</v>
      </c>
      <c r="AN57" s="153">
        <f ca="1" t="shared" si="10"/>
        <v>1002023</v>
      </c>
      <c r="AP57" s="153">
        <f ca="1">IF(AC57=0,0,IF(AC57=12,0,OFFSET(effect!$N$1,MATCH(K57,effect!M:M,0)-1,0)))</f>
        <v>0</v>
      </c>
    </row>
    <row r="58" spans="1:42">
      <c r="A58" s="153">
        <f ca="1" t="shared" si="0"/>
        <v>1002023</v>
      </c>
      <c r="B58" s="91" t="s">
        <v>471</v>
      </c>
      <c r="C58" s="186">
        <v>1</v>
      </c>
      <c r="D58" s="186">
        <v>6</v>
      </c>
      <c r="E58" s="165" t="s">
        <v>577</v>
      </c>
      <c r="F58" s="165"/>
      <c r="G58" s="186">
        <v>-3</v>
      </c>
      <c r="H58" s="186">
        <f ca="1" t="shared" si="1"/>
        <v>0</v>
      </c>
      <c r="I58" s="186"/>
      <c r="J58" s="186">
        <f ca="1">OFFSET(card_type!$F$1,MATCH(Q58,card_type!A:A,0)-1,0)</f>
        <v>1</v>
      </c>
      <c r="K58" s="243">
        <f ca="1">OFFSET(card_type!$G$1,MATCH(Q58,card_type!A:A,0)-1,0)</f>
        <v>1</v>
      </c>
      <c r="L58" s="157">
        <v>1</v>
      </c>
      <c r="M58" s="157">
        <v>1</v>
      </c>
      <c r="N58" s="153">
        <f t="shared" si="2"/>
        <v>23</v>
      </c>
      <c r="O58" s="157"/>
      <c r="P58" s="157"/>
      <c r="Q58" s="153">
        <f ca="1">OFFSET(card_type!$A$1,MATCH(card!B58,card_type!B:B,0)-1,0)</f>
        <v>1002</v>
      </c>
      <c r="R58" s="153">
        <v>1</v>
      </c>
      <c r="S58" s="157">
        <f ca="1">ROUND(IF(R58=0,0,IF(R58=1,X58*$S$1,IF(R58=2,X58*$S$1*buff的资质计算!$E$2,IF(R58=3,X58*$S$1*buff的资质计算!$E$3,0)))),0)*0</f>
        <v>0</v>
      </c>
      <c r="T58" s="153">
        <v>1</v>
      </c>
      <c r="U58" s="153">
        <f ca="1" t="shared" si="3"/>
        <v>11</v>
      </c>
      <c r="V58" s="153">
        <f ca="1">ROUND((OFFSET(卡牌辅助配置表!$O$1,MATCH(U58,卡牌辅助配置表!M:M,0)-1,0)+(N58-1)*OFFSET(卡牌辅助配置表!$P$1,MATCH(U58,卡牌辅助配置表!M:M,0)-1,0))*M58,2)</f>
        <v>10.87</v>
      </c>
      <c r="W58" s="157">
        <f ca="1">ROUND(IF(R58=0,0,IF(R58=1,X58*$W$1,IF(R58=2,X58*$W$1*buff的资质计算!$E$2,IF(R58=3,X58*$W$1*buff的资质计算!$E$3,0)))),2)</f>
        <v>3.9</v>
      </c>
      <c r="X58" s="157">
        <f ca="1" t="shared" si="4"/>
        <v>13</v>
      </c>
      <c r="Y58" s="157">
        <f ca="1" t="shared" si="5"/>
        <v>13</v>
      </c>
      <c r="Z58" s="304">
        <f ca="1" t="shared" si="6"/>
        <v>13</v>
      </c>
      <c r="AA58" s="304">
        <f ca="1">OFFSET(卡牌辅助配置表!$AD$1,MATCH(AB58,卡牌辅助配置表!AB:AB,0)-1,0)</f>
        <v>558</v>
      </c>
      <c r="AB58" s="304">
        <f ca="1" t="shared" si="7"/>
        <v>1123</v>
      </c>
      <c r="AF58" s="153" t="str">
        <f ca="1" t="shared" si="8"/>
        <v>10020011|</v>
      </c>
      <c r="AJ58" s="205" t="str">
        <f ca="1" t="shared" si="9"/>
        <v>400023|9500|;</v>
      </c>
      <c r="AK58" s="205">
        <f ca="1">OFFSET([1]item_type!$A$1,MATCH(Q58,[1]item_type!$G:$G,0)-1,0)</f>
        <v>301002</v>
      </c>
      <c r="AL58" s="205"/>
      <c r="AM58" s="205">
        <f ca="1">IF(B58=B59,OFFSET(卡牌辅助配置表!$AE$1,MATCH(AB58,卡牌辅助配置表!AB:AB,0),0),0)</f>
        <v>9500</v>
      </c>
      <c r="AN58" s="153">
        <f ca="1" t="shared" si="10"/>
        <v>1002024</v>
      </c>
      <c r="AP58" s="153">
        <f ca="1">IF(AC58=0,0,IF(AC58=12,0,OFFSET(effect!$N$1,MATCH(K58,effect!M:M,0)-1,0)))</f>
        <v>0</v>
      </c>
    </row>
    <row r="59" spans="1:42">
      <c r="A59" s="153">
        <f ca="1" t="shared" si="0"/>
        <v>1002024</v>
      </c>
      <c r="B59" s="91" t="s">
        <v>471</v>
      </c>
      <c r="C59" s="186">
        <v>1</v>
      </c>
      <c r="D59" s="186">
        <v>6</v>
      </c>
      <c r="E59" s="165" t="s">
        <v>577</v>
      </c>
      <c r="F59" s="165"/>
      <c r="G59" s="186">
        <v>-3</v>
      </c>
      <c r="H59" s="186">
        <f ca="1" t="shared" si="1"/>
        <v>0</v>
      </c>
      <c r="I59" s="186"/>
      <c r="J59" s="186">
        <f ca="1">OFFSET(card_type!$F$1,MATCH(Q59,card_type!A:A,0)-1,0)</f>
        <v>1</v>
      </c>
      <c r="K59" s="243">
        <f ca="1">OFFSET(card_type!$G$1,MATCH(Q59,card_type!A:A,0)-1,0)</f>
        <v>1</v>
      </c>
      <c r="L59" s="157">
        <v>1</v>
      </c>
      <c r="M59" s="157">
        <v>1</v>
      </c>
      <c r="N59" s="153">
        <f t="shared" si="2"/>
        <v>24</v>
      </c>
      <c r="O59" s="157"/>
      <c r="P59" s="157"/>
      <c r="Q59" s="153">
        <f ca="1">OFFSET(card_type!$A$1,MATCH(card!B59,card_type!B:B,0)-1,0)</f>
        <v>1002</v>
      </c>
      <c r="R59" s="153">
        <v>1</v>
      </c>
      <c r="S59" s="157">
        <f ca="1">ROUND(IF(R59=0,0,IF(R59=1,X59*$S$1,IF(R59=2,X59*$S$1*buff的资质计算!$E$2,IF(R59=3,X59*$S$1*buff的资质计算!$E$3,0)))),0)*0</f>
        <v>0</v>
      </c>
      <c r="T59" s="153">
        <v>1</v>
      </c>
      <c r="U59" s="153">
        <f ca="1" t="shared" si="3"/>
        <v>11</v>
      </c>
      <c r="V59" s="153">
        <f ca="1">ROUND((OFFSET(卡牌辅助配置表!$O$1,MATCH(U59,卡牌辅助配置表!M:M,0)-1,0)+(N59-1)*OFFSET(卡牌辅助配置表!$P$1,MATCH(U59,卡牌辅助配置表!M:M,0)-1,0))*M59,2)</f>
        <v>11.08</v>
      </c>
      <c r="W59" s="157">
        <f ca="1">ROUND(IF(R59=0,0,IF(R59=1,X59*$W$1,IF(R59=2,X59*$W$1*buff的资质计算!$E$2,IF(R59=3,X59*$W$1*buff的资质计算!$E$3,0)))),2)</f>
        <v>4.05</v>
      </c>
      <c r="X59" s="157">
        <f ca="1" t="shared" si="4"/>
        <v>13.5</v>
      </c>
      <c r="Y59" s="157">
        <f ca="1" t="shared" si="5"/>
        <v>13.5</v>
      </c>
      <c r="Z59" s="304">
        <f ca="1" t="shared" si="6"/>
        <v>13.5</v>
      </c>
      <c r="AA59" s="304">
        <f ca="1">OFFSET(卡牌辅助配置表!$AD$1,MATCH(AB59,卡牌辅助配置表!AB:AB,0)-1,0)</f>
        <v>594</v>
      </c>
      <c r="AB59" s="304">
        <f ca="1" t="shared" si="7"/>
        <v>1124</v>
      </c>
      <c r="AF59" s="153" t="str">
        <f ca="1" t="shared" si="8"/>
        <v>10020011|</v>
      </c>
      <c r="AJ59" s="205" t="str">
        <f ca="1" t="shared" si="9"/>
        <v>400023|10300|;</v>
      </c>
      <c r="AK59" s="205">
        <f ca="1">OFFSET([1]item_type!$A$1,MATCH(Q59,[1]item_type!$G:$G,0)-1,0)</f>
        <v>301002</v>
      </c>
      <c r="AL59" s="205"/>
      <c r="AM59" s="205">
        <f ca="1">IF(B59=B60,OFFSET(卡牌辅助配置表!$AE$1,MATCH(AB59,卡牌辅助配置表!AB:AB,0),0),0)</f>
        <v>10300</v>
      </c>
      <c r="AN59" s="153">
        <f ca="1" t="shared" si="10"/>
        <v>1002025</v>
      </c>
      <c r="AP59" s="153">
        <f ca="1">IF(AC59=0,0,IF(AC59=12,0,OFFSET(effect!$N$1,MATCH(K59,effect!M:M,0)-1,0)))</f>
        <v>0</v>
      </c>
    </row>
    <row r="60" spans="1:42">
      <c r="A60" s="153">
        <f ca="1" t="shared" si="0"/>
        <v>1002025</v>
      </c>
      <c r="B60" s="91" t="s">
        <v>471</v>
      </c>
      <c r="C60" s="186">
        <v>1</v>
      </c>
      <c r="D60" s="186">
        <v>6</v>
      </c>
      <c r="E60" s="165" t="s">
        <v>577</v>
      </c>
      <c r="F60" s="165"/>
      <c r="G60" s="186">
        <v>-3</v>
      </c>
      <c r="H60" s="186">
        <f ca="1" t="shared" si="1"/>
        <v>0</v>
      </c>
      <c r="I60" s="186"/>
      <c r="J60" s="186">
        <f ca="1">OFFSET(card_type!$F$1,MATCH(Q60,card_type!A:A,0)-1,0)</f>
        <v>1</v>
      </c>
      <c r="K60" s="243">
        <f ca="1">OFFSET(card_type!$G$1,MATCH(Q60,card_type!A:A,0)-1,0)</f>
        <v>1</v>
      </c>
      <c r="L60" s="157">
        <v>1</v>
      </c>
      <c r="M60" s="157">
        <v>1</v>
      </c>
      <c r="N60" s="153">
        <f t="shared" si="2"/>
        <v>25</v>
      </c>
      <c r="O60" s="157"/>
      <c r="P60" s="157"/>
      <c r="Q60" s="153">
        <f ca="1">OFFSET(card_type!$A$1,MATCH(card!B60,card_type!B:B,0)-1,0)</f>
        <v>1002</v>
      </c>
      <c r="R60" s="153">
        <v>1</v>
      </c>
      <c r="S60" s="157">
        <f ca="1">ROUND(IF(R60=0,0,IF(R60=1,X60*$S$1,IF(R60=2,X60*$S$1*buff的资质计算!$E$2,IF(R60=3,X60*$S$1*buff的资质计算!$E$3,0)))),0)*0</f>
        <v>0</v>
      </c>
      <c r="T60" s="153">
        <v>1</v>
      </c>
      <c r="U60" s="153">
        <f ca="1" t="shared" si="3"/>
        <v>11</v>
      </c>
      <c r="V60" s="153">
        <f ca="1">ROUND((OFFSET(卡牌辅助配置表!$O$1,MATCH(U60,卡牌辅助配置表!M:M,0)-1,0)+(N60-1)*OFFSET(卡牌辅助配置表!$P$1,MATCH(U60,卡牌辅助配置表!M:M,0)-1,0))*M60,2)</f>
        <v>11.29</v>
      </c>
      <c r="W60" s="157">
        <f ca="1">ROUND(IF(R60=0,0,IF(R60=1,X60*$W$1,IF(R60=2,X60*$W$1*buff的资质计算!$E$2,IF(R60=3,X60*$W$1*buff的资质计算!$E$3,0)))),2)</f>
        <v>4.2</v>
      </c>
      <c r="X60" s="157">
        <f ca="1" t="shared" si="4"/>
        <v>14</v>
      </c>
      <c r="Y60" s="157">
        <f ca="1" t="shared" si="5"/>
        <v>14</v>
      </c>
      <c r="Z60" s="304">
        <f ca="1" t="shared" si="6"/>
        <v>14</v>
      </c>
      <c r="AA60" s="304">
        <f ca="1">OFFSET(卡牌辅助配置表!$AD$1,MATCH(AB60,卡牌辅助配置表!AB:AB,0)-1,0)</f>
        <v>630</v>
      </c>
      <c r="AB60" s="304">
        <f ca="1" t="shared" si="7"/>
        <v>1125</v>
      </c>
      <c r="AF60" s="153" t="str">
        <f ca="1" t="shared" si="8"/>
        <v>10020011|</v>
      </c>
      <c r="AJ60" s="205" t="str">
        <f ca="1" t="shared" si="9"/>
        <v>400023|11100|;</v>
      </c>
      <c r="AK60" s="205">
        <f ca="1">OFFSET([1]item_type!$A$1,MATCH(Q60,[1]item_type!$G:$G,0)-1,0)</f>
        <v>301002</v>
      </c>
      <c r="AL60" s="205"/>
      <c r="AM60" s="205">
        <f ca="1">IF(B60=B61,OFFSET(卡牌辅助配置表!$AE$1,MATCH(AB60,卡牌辅助配置表!AB:AB,0),0),0)</f>
        <v>11100</v>
      </c>
      <c r="AN60" s="153">
        <f ca="1" t="shared" si="10"/>
        <v>1002026</v>
      </c>
      <c r="AP60" s="153">
        <f ca="1">IF(AC60=0,0,IF(AC60=12,0,OFFSET(effect!$N$1,MATCH(K60,effect!M:M,0)-1,0)))</f>
        <v>0</v>
      </c>
    </row>
    <row r="61" spans="1:42">
      <c r="A61" s="153">
        <f ca="1" t="shared" si="0"/>
        <v>1002026</v>
      </c>
      <c r="B61" s="91" t="s">
        <v>471</v>
      </c>
      <c r="C61" s="186">
        <v>1</v>
      </c>
      <c r="D61" s="186">
        <v>6</v>
      </c>
      <c r="E61" s="165" t="s">
        <v>577</v>
      </c>
      <c r="F61" s="165"/>
      <c r="G61" s="186">
        <v>-3</v>
      </c>
      <c r="H61" s="186">
        <f ca="1" t="shared" si="1"/>
        <v>0</v>
      </c>
      <c r="I61" s="186"/>
      <c r="J61" s="186">
        <f ca="1">OFFSET(card_type!$F$1,MATCH(Q61,card_type!A:A,0)-1,0)</f>
        <v>1</v>
      </c>
      <c r="K61" s="243">
        <f ca="1">OFFSET(card_type!$G$1,MATCH(Q61,card_type!A:A,0)-1,0)</f>
        <v>1</v>
      </c>
      <c r="L61" s="157">
        <v>1</v>
      </c>
      <c r="M61" s="157">
        <v>1</v>
      </c>
      <c r="N61" s="153">
        <f t="shared" si="2"/>
        <v>26</v>
      </c>
      <c r="O61" s="157"/>
      <c r="P61" s="157"/>
      <c r="Q61" s="153">
        <f ca="1">OFFSET(card_type!$A$1,MATCH(card!B61,card_type!B:B,0)-1,0)</f>
        <v>1002</v>
      </c>
      <c r="R61" s="153">
        <v>1</v>
      </c>
      <c r="S61" s="157">
        <f ca="1">ROUND(IF(R61=0,0,IF(R61=1,X61*$S$1,IF(R61=2,X61*$S$1*buff的资质计算!$E$2,IF(R61=3,X61*$S$1*buff的资质计算!$E$3,0)))),0)*0</f>
        <v>0</v>
      </c>
      <c r="T61" s="153">
        <v>1</v>
      </c>
      <c r="U61" s="153">
        <f ca="1" t="shared" si="3"/>
        <v>11</v>
      </c>
      <c r="V61" s="153">
        <f ca="1">ROUND((OFFSET(卡牌辅助配置表!$O$1,MATCH(U61,卡牌辅助配置表!M:M,0)-1,0)+(N61-1)*OFFSET(卡牌辅助配置表!$P$1,MATCH(U61,卡牌辅助配置表!M:M,0)-1,0))*M61,2)</f>
        <v>11.5</v>
      </c>
      <c r="W61" s="157">
        <f ca="1">ROUND(IF(R61=0,0,IF(R61=1,X61*$W$1,IF(R61=2,X61*$W$1*buff的资质计算!$E$2,IF(R61=3,X61*$W$1*buff的资质计算!$E$3,0)))),2)</f>
        <v>4.35</v>
      </c>
      <c r="X61" s="157">
        <f ca="1" t="shared" si="4"/>
        <v>14.5</v>
      </c>
      <c r="Y61" s="157">
        <f ca="1" t="shared" si="5"/>
        <v>14.5</v>
      </c>
      <c r="Z61" s="304">
        <f ca="1" t="shared" si="6"/>
        <v>14.5</v>
      </c>
      <c r="AA61" s="304">
        <f ca="1">OFFSET(卡牌辅助配置表!$AD$1,MATCH(AB61,卡牌辅助配置表!AB:AB,0)-1,0)</f>
        <v>666</v>
      </c>
      <c r="AB61" s="304">
        <f ca="1" t="shared" si="7"/>
        <v>1126</v>
      </c>
      <c r="AF61" s="153" t="str">
        <f ca="1" t="shared" si="8"/>
        <v>10020011|</v>
      </c>
      <c r="AJ61" s="205" t="str">
        <f ca="1" t="shared" si="9"/>
        <v>400023|11900|;</v>
      </c>
      <c r="AK61" s="205">
        <f ca="1">OFFSET([1]item_type!$A$1,MATCH(Q61,[1]item_type!$G:$G,0)-1,0)</f>
        <v>301002</v>
      </c>
      <c r="AL61" s="205"/>
      <c r="AM61" s="205">
        <f ca="1">IF(B61=B62,OFFSET(卡牌辅助配置表!$AE$1,MATCH(AB61,卡牌辅助配置表!AB:AB,0),0),0)</f>
        <v>11900</v>
      </c>
      <c r="AN61" s="153">
        <f ca="1" t="shared" si="10"/>
        <v>1002027</v>
      </c>
      <c r="AP61" s="153">
        <f ca="1">IF(AC61=0,0,IF(AC61=12,0,OFFSET(effect!$N$1,MATCH(K61,effect!M:M,0)-1,0)))</f>
        <v>0</v>
      </c>
    </row>
    <row r="62" spans="1:42">
      <c r="A62" s="153">
        <f ca="1" t="shared" si="0"/>
        <v>1002027</v>
      </c>
      <c r="B62" s="91" t="s">
        <v>471</v>
      </c>
      <c r="C62" s="186">
        <v>1</v>
      </c>
      <c r="D62" s="186">
        <v>6</v>
      </c>
      <c r="E62" s="165" t="s">
        <v>577</v>
      </c>
      <c r="F62" s="165"/>
      <c r="G62" s="186">
        <v>-3</v>
      </c>
      <c r="H62" s="186">
        <f ca="1" t="shared" si="1"/>
        <v>0</v>
      </c>
      <c r="I62" s="186"/>
      <c r="J62" s="186">
        <f ca="1">OFFSET(card_type!$F$1,MATCH(Q62,card_type!A:A,0)-1,0)</f>
        <v>1</v>
      </c>
      <c r="K62" s="243">
        <f ca="1">OFFSET(card_type!$G$1,MATCH(Q62,card_type!A:A,0)-1,0)</f>
        <v>1</v>
      </c>
      <c r="L62" s="157">
        <v>1</v>
      </c>
      <c r="M62" s="157">
        <v>1</v>
      </c>
      <c r="N62" s="153">
        <f t="shared" si="2"/>
        <v>27</v>
      </c>
      <c r="O62" s="157"/>
      <c r="P62" s="157"/>
      <c r="Q62" s="153">
        <f ca="1">OFFSET(card_type!$A$1,MATCH(card!B62,card_type!B:B,0)-1,0)</f>
        <v>1002</v>
      </c>
      <c r="R62" s="153">
        <v>1</v>
      </c>
      <c r="S62" s="157">
        <f ca="1">ROUND(IF(R62=0,0,IF(R62=1,X62*$S$1,IF(R62=2,X62*$S$1*buff的资质计算!$E$2,IF(R62=3,X62*$S$1*buff的资质计算!$E$3,0)))),0)*0</f>
        <v>0</v>
      </c>
      <c r="T62" s="153">
        <v>1</v>
      </c>
      <c r="U62" s="153">
        <f ca="1" t="shared" si="3"/>
        <v>11</v>
      </c>
      <c r="V62" s="153">
        <f ca="1">ROUND((OFFSET(卡牌辅助配置表!$O$1,MATCH(U62,卡牌辅助配置表!M:M,0)-1,0)+(N62-1)*OFFSET(卡牌辅助配置表!$P$1,MATCH(U62,卡牌辅助配置表!M:M,0)-1,0))*M62,2)</f>
        <v>11.7</v>
      </c>
      <c r="W62" s="157">
        <f ca="1">ROUND(IF(R62=0,0,IF(R62=1,X62*$W$1,IF(R62=2,X62*$W$1*buff的资质计算!$E$2,IF(R62=3,X62*$W$1*buff的资质计算!$E$3,0)))),2)</f>
        <v>4.5</v>
      </c>
      <c r="X62" s="157">
        <f ca="1" t="shared" si="4"/>
        <v>15</v>
      </c>
      <c r="Y62" s="157">
        <f ca="1" t="shared" si="5"/>
        <v>15</v>
      </c>
      <c r="Z62" s="304">
        <f ca="1" t="shared" si="6"/>
        <v>15</v>
      </c>
      <c r="AA62" s="304">
        <f ca="1">OFFSET(卡牌辅助配置表!$AD$1,MATCH(AB62,卡牌辅助配置表!AB:AB,0)-1,0)</f>
        <v>702</v>
      </c>
      <c r="AB62" s="304">
        <f ca="1" t="shared" si="7"/>
        <v>1127</v>
      </c>
      <c r="AF62" s="153" t="str">
        <f ca="1" t="shared" si="8"/>
        <v>10020011|</v>
      </c>
      <c r="AJ62" s="205" t="str">
        <f ca="1" t="shared" si="9"/>
        <v>400023|12700|;</v>
      </c>
      <c r="AK62" s="205">
        <f ca="1">OFFSET([1]item_type!$A$1,MATCH(Q62,[1]item_type!$G:$G,0)-1,0)</f>
        <v>301002</v>
      </c>
      <c r="AL62" s="205"/>
      <c r="AM62" s="205">
        <f ca="1">IF(B62=B63,OFFSET(卡牌辅助配置表!$AE$1,MATCH(AB62,卡牌辅助配置表!AB:AB,0),0),0)</f>
        <v>12700</v>
      </c>
      <c r="AN62" s="153">
        <f ca="1" t="shared" si="10"/>
        <v>1002028</v>
      </c>
      <c r="AP62" s="153">
        <f ca="1">IF(AC62=0,0,IF(AC62=12,0,OFFSET(effect!$N$1,MATCH(K62,effect!M:M,0)-1,0)))</f>
        <v>0</v>
      </c>
    </row>
    <row r="63" spans="1:42">
      <c r="A63" s="153">
        <f ca="1" t="shared" si="0"/>
        <v>1002028</v>
      </c>
      <c r="B63" s="91" t="s">
        <v>471</v>
      </c>
      <c r="C63" s="186">
        <v>1</v>
      </c>
      <c r="D63" s="186">
        <v>6</v>
      </c>
      <c r="E63" s="165" t="s">
        <v>577</v>
      </c>
      <c r="F63" s="165"/>
      <c r="G63" s="186">
        <v>-3</v>
      </c>
      <c r="H63" s="186">
        <f ca="1" t="shared" si="1"/>
        <v>0</v>
      </c>
      <c r="I63" s="186"/>
      <c r="J63" s="186">
        <f ca="1">OFFSET(card_type!$F$1,MATCH(Q63,card_type!A:A,0)-1,0)</f>
        <v>1</v>
      </c>
      <c r="K63" s="243">
        <f ca="1">OFFSET(card_type!$G$1,MATCH(Q63,card_type!A:A,0)-1,0)</f>
        <v>1</v>
      </c>
      <c r="L63" s="157">
        <v>1</v>
      </c>
      <c r="M63" s="157">
        <v>1</v>
      </c>
      <c r="N63" s="153">
        <f t="shared" si="2"/>
        <v>28</v>
      </c>
      <c r="O63" s="157"/>
      <c r="P63" s="157"/>
      <c r="Q63" s="153">
        <f ca="1">OFFSET(card_type!$A$1,MATCH(card!B63,card_type!B:B,0)-1,0)</f>
        <v>1002</v>
      </c>
      <c r="R63" s="153">
        <v>1</v>
      </c>
      <c r="S63" s="157">
        <f ca="1">ROUND(IF(R63=0,0,IF(R63=1,X63*$S$1,IF(R63=2,X63*$S$1*buff的资质计算!$E$2,IF(R63=3,X63*$S$1*buff的资质计算!$E$3,0)))),0)*0</f>
        <v>0</v>
      </c>
      <c r="T63" s="153">
        <v>1</v>
      </c>
      <c r="U63" s="153">
        <f ca="1" t="shared" si="3"/>
        <v>11</v>
      </c>
      <c r="V63" s="153">
        <f ca="1">ROUND((OFFSET(卡牌辅助配置表!$O$1,MATCH(U63,卡牌辅助配置表!M:M,0)-1,0)+(N63-1)*OFFSET(卡牌辅助配置表!$P$1,MATCH(U63,卡牌辅助配置表!M:M,0)-1,0))*M63,2)</f>
        <v>11.91</v>
      </c>
      <c r="W63" s="157">
        <f ca="1">ROUND(IF(R63=0,0,IF(R63=1,X63*$W$1,IF(R63=2,X63*$W$1*buff的资质计算!$E$2,IF(R63=3,X63*$W$1*buff的资质计算!$E$3,0)))),2)</f>
        <v>4.65</v>
      </c>
      <c r="X63" s="157">
        <f ca="1" t="shared" si="4"/>
        <v>15.5</v>
      </c>
      <c r="Y63" s="157">
        <f ca="1" t="shared" si="5"/>
        <v>15.5</v>
      </c>
      <c r="Z63" s="304">
        <f ca="1" t="shared" si="6"/>
        <v>15.5</v>
      </c>
      <c r="AA63" s="304">
        <f ca="1">OFFSET(卡牌辅助配置表!$AD$1,MATCH(AB63,卡牌辅助配置表!AB:AB,0)-1,0)</f>
        <v>738</v>
      </c>
      <c r="AB63" s="304">
        <f ca="1" t="shared" si="7"/>
        <v>1128</v>
      </c>
      <c r="AF63" s="153" t="str">
        <f ca="1" t="shared" si="8"/>
        <v>10020011|</v>
      </c>
      <c r="AJ63" s="205" t="str">
        <f ca="1" t="shared" si="9"/>
        <v>400023|13500|;</v>
      </c>
      <c r="AK63" s="205">
        <f ca="1">OFFSET([1]item_type!$A$1,MATCH(Q63,[1]item_type!$G:$G,0)-1,0)</f>
        <v>301002</v>
      </c>
      <c r="AL63" s="205"/>
      <c r="AM63" s="205">
        <f ca="1">IF(B63=B64,OFFSET(卡牌辅助配置表!$AE$1,MATCH(AB63,卡牌辅助配置表!AB:AB,0),0),0)</f>
        <v>13500</v>
      </c>
      <c r="AN63" s="153">
        <f ca="1" t="shared" si="10"/>
        <v>1002029</v>
      </c>
      <c r="AP63" s="153">
        <f ca="1">IF(AC63=0,0,IF(AC63=12,0,OFFSET(effect!$N$1,MATCH(K63,effect!M:M,0)-1,0)))</f>
        <v>0</v>
      </c>
    </row>
    <row r="64" spans="1:42">
      <c r="A64" s="153">
        <f ca="1" t="shared" si="0"/>
        <v>1002029</v>
      </c>
      <c r="B64" s="91" t="s">
        <v>471</v>
      </c>
      <c r="C64" s="186">
        <v>1</v>
      </c>
      <c r="D64" s="186">
        <v>6</v>
      </c>
      <c r="E64" s="165" t="s">
        <v>577</v>
      </c>
      <c r="F64" s="165"/>
      <c r="G64" s="186">
        <v>-3</v>
      </c>
      <c r="H64" s="186">
        <f ca="1" t="shared" si="1"/>
        <v>0</v>
      </c>
      <c r="I64" s="186"/>
      <c r="J64" s="186">
        <f ca="1">OFFSET(card_type!$F$1,MATCH(Q64,card_type!A:A,0)-1,0)</f>
        <v>1</v>
      </c>
      <c r="K64" s="243">
        <f ca="1">OFFSET(card_type!$G$1,MATCH(Q64,card_type!A:A,0)-1,0)</f>
        <v>1</v>
      </c>
      <c r="L64" s="157">
        <v>1</v>
      </c>
      <c r="M64" s="157">
        <v>1</v>
      </c>
      <c r="N64" s="153">
        <f t="shared" si="2"/>
        <v>29</v>
      </c>
      <c r="O64" s="157"/>
      <c r="P64" s="157"/>
      <c r="Q64" s="153">
        <f ca="1">OFFSET(card_type!$A$1,MATCH(card!B64,card_type!B:B,0)-1,0)</f>
        <v>1002</v>
      </c>
      <c r="R64" s="153">
        <v>1</v>
      </c>
      <c r="S64" s="157">
        <f ca="1">ROUND(IF(R64=0,0,IF(R64=1,X64*$S$1,IF(R64=2,X64*$S$1*buff的资质计算!$E$2,IF(R64=3,X64*$S$1*buff的资质计算!$E$3,0)))),0)*0</f>
        <v>0</v>
      </c>
      <c r="T64" s="153">
        <v>1</v>
      </c>
      <c r="U64" s="153">
        <f ca="1" t="shared" si="3"/>
        <v>11</v>
      </c>
      <c r="V64" s="153">
        <f ca="1">ROUND((OFFSET(卡牌辅助配置表!$O$1,MATCH(U64,卡牌辅助配置表!M:M,0)-1,0)+(N64-1)*OFFSET(卡牌辅助配置表!$P$1,MATCH(U64,卡牌辅助配置表!M:M,0)-1,0))*M64,2)</f>
        <v>12.12</v>
      </c>
      <c r="W64" s="157">
        <f ca="1">ROUND(IF(R64=0,0,IF(R64=1,X64*$W$1,IF(R64=2,X64*$W$1*buff的资质计算!$E$2,IF(R64=3,X64*$W$1*buff的资质计算!$E$3,0)))),2)</f>
        <v>4.8</v>
      </c>
      <c r="X64" s="157">
        <f ca="1" t="shared" si="4"/>
        <v>16</v>
      </c>
      <c r="Y64" s="157">
        <f ca="1" t="shared" si="5"/>
        <v>16</v>
      </c>
      <c r="Z64" s="304">
        <f ca="1" t="shared" si="6"/>
        <v>16</v>
      </c>
      <c r="AA64" s="304">
        <f ca="1">OFFSET(卡牌辅助配置表!$AD$1,MATCH(AB64,卡牌辅助配置表!AB:AB,0)-1,0)</f>
        <v>774</v>
      </c>
      <c r="AB64" s="304">
        <f ca="1" t="shared" si="7"/>
        <v>1129</v>
      </c>
      <c r="AF64" s="153" t="str">
        <f ca="1" t="shared" si="8"/>
        <v>10020011|</v>
      </c>
      <c r="AJ64" s="205" t="str">
        <f ca="1" t="shared" si="9"/>
        <v>301002|30|;400023|14300|;</v>
      </c>
      <c r="AK64" s="205">
        <f ca="1">OFFSET([1]item_type!$A$1,MATCH(Q64,[1]item_type!$G:$G,0)-1,0)</f>
        <v>301002</v>
      </c>
      <c r="AL64" s="205">
        <v>30</v>
      </c>
      <c r="AM64" s="205">
        <f ca="1">IF(B64=B65,OFFSET(卡牌辅助配置表!$AE$1,MATCH(AB64,卡牌辅助配置表!AB:AB,0),0),0)</f>
        <v>14300</v>
      </c>
      <c r="AN64" s="153">
        <f ca="1" t="shared" si="10"/>
        <v>1002030</v>
      </c>
      <c r="AP64" s="153">
        <f ca="1">IF(AC64=0,0,IF(AC64=12,0,OFFSET(effect!$N$1,MATCH(K64,effect!M:M,0)-1,0)))</f>
        <v>0</v>
      </c>
    </row>
    <row r="65" spans="1:42">
      <c r="A65" s="153">
        <f ca="1" t="shared" si="0"/>
        <v>1002030</v>
      </c>
      <c r="B65" s="91" t="s">
        <v>471</v>
      </c>
      <c r="C65" s="186">
        <v>1</v>
      </c>
      <c r="D65" s="186">
        <v>6</v>
      </c>
      <c r="E65" s="165" t="s">
        <v>577</v>
      </c>
      <c r="F65" s="165"/>
      <c r="G65" s="186">
        <v>-3</v>
      </c>
      <c r="H65" s="186">
        <f ca="1" t="shared" si="1"/>
        <v>0</v>
      </c>
      <c r="I65" s="186"/>
      <c r="J65" s="186">
        <f ca="1">OFFSET(card_type!$F$1,MATCH(Q65,card_type!A:A,0)-1,0)</f>
        <v>1</v>
      </c>
      <c r="K65" s="243">
        <f ca="1">OFFSET(card_type!$G$1,MATCH(Q65,card_type!A:A,0)-1,0)</f>
        <v>1</v>
      </c>
      <c r="L65" s="157">
        <v>1</v>
      </c>
      <c r="M65" s="157">
        <v>1</v>
      </c>
      <c r="N65" s="153">
        <f t="shared" si="2"/>
        <v>30</v>
      </c>
      <c r="O65" s="157"/>
      <c r="P65" s="157"/>
      <c r="Q65" s="153">
        <f ca="1">OFFSET(card_type!$A$1,MATCH(card!B65,card_type!B:B,0)-1,0)</f>
        <v>1002</v>
      </c>
      <c r="R65" s="153">
        <v>1</v>
      </c>
      <c r="S65" s="157">
        <f ca="1">ROUND(IF(R65=0,0,IF(R65=1,X65*$S$1,IF(R65=2,X65*$S$1*buff的资质计算!$E$2,IF(R65=3,X65*$S$1*buff的资质计算!$E$3,0)))),0)*0</f>
        <v>0</v>
      </c>
      <c r="T65" s="153">
        <v>1</v>
      </c>
      <c r="U65" s="153">
        <f ca="1" t="shared" si="3"/>
        <v>11</v>
      </c>
      <c r="V65" s="153">
        <f ca="1">ROUND((OFFSET(卡牌辅助配置表!$O$1,MATCH(U65,卡牌辅助配置表!M:M,0)-1,0)+(N65-1)*OFFSET(卡牌辅助配置表!$P$1,MATCH(U65,卡牌辅助配置表!M:M,0)-1,0))*M65,2)</f>
        <v>12.33</v>
      </c>
      <c r="W65" s="157">
        <f ca="1">ROUND(IF(R65=0,0,IF(R65=1,X65*$W$1,IF(R65=2,X65*$W$1*buff的资质计算!$E$2,IF(R65=3,X65*$W$1*buff的资质计算!$E$3,0)))),2)</f>
        <v>4.95</v>
      </c>
      <c r="X65" s="157">
        <f ca="1" t="shared" si="4"/>
        <v>16.5</v>
      </c>
      <c r="Y65" s="157">
        <f ca="1" t="shared" si="5"/>
        <v>16.5</v>
      </c>
      <c r="Z65" s="304">
        <f ca="1" t="shared" si="6"/>
        <v>16.5</v>
      </c>
      <c r="AA65" s="304">
        <f ca="1">OFFSET(卡牌辅助配置表!$AD$1,MATCH(AB65,卡牌辅助配置表!AB:AB,0)-1,0)</f>
        <v>810</v>
      </c>
      <c r="AB65" s="304">
        <f ca="1" t="shared" si="7"/>
        <v>1130</v>
      </c>
      <c r="AF65" s="153" t="str">
        <f ca="1" t="shared" si="8"/>
        <v>10020011|</v>
      </c>
      <c r="AJ65" s="205">
        <f ca="1" t="shared" si="9"/>
        <v>0</v>
      </c>
      <c r="AK65" s="205">
        <f ca="1">OFFSET([1]item_type!$A$1,MATCH(Q65,[1]item_type!$G:$G,0)-1,0)</f>
        <v>301002</v>
      </c>
      <c r="AL65" s="205"/>
      <c r="AM65" s="205">
        <f ca="1">IF(B65=B66,OFFSET(卡牌辅助配置表!$AE$1,MATCH(AB65,卡牌辅助配置表!AB:AB,0),0),0)</f>
        <v>0</v>
      </c>
      <c r="AN65" s="153">
        <f ca="1" t="shared" si="10"/>
        <v>0</v>
      </c>
      <c r="AP65" s="153">
        <f ca="1">IF(AC65=0,0,IF(AC65=12,0,OFFSET(effect!$N$1,MATCH(K65,effect!M:M,0)-1,0)))</f>
        <v>0</v>
      </c>
    </row>
    <row r="66" spans="1:42">
      <c r="A66" s="153">
        <f ca="1" t="shared" si="0"/>
        <v>1003001</v>
      </c>
      <c r="B66" s="91" t="s">
        <v>589</v>
      </c>
      <c r="C66" s="186">
        <v>1</v>
      </c>
      <c r="D66" s="186">
        <v>6</v>
      </c>
      <c r="E66" s="165" t="s">
        <v>1050</v>
      </c>
      <c r="F66" s="165" t="str">
        <f>"上一招为拳法时，增加造成伤害"&amp;skill!$O$8/100&amp;"%的护甲"</f>
        <v>上一招为拳法时，增加造成伤害30%的护甲</v>
      </c>
      <c r="G66" s="186">
        <f ca="1">OFFSET(卡牌辅助配置表!$C$1,MATCH(AC66,卡牌辅助配置表!A:A,0)-1,0)</f>
        <v>3</v>
      </c>
      <c r="H66" s="186">
        <v>0.3</v>
      </c>
      <c r="I66" s="186"/>
      <c r="J66" s="186">
        <f ca="1">OFFSET(card_type!$F$1,MATCH(Q66,card_type!A:A,0)-1,0)</f>
        <v>1</v>
      </c>
      <c r="K66" s="243">
        <f ca="1">OFFSET(card_type!$G$1,MATCH(Q66,card_type!A:A,0)-1,0)</f>
        <v>1</v>
      </c>
      <c r="L66" s="157">
        <v>2</v>
      </c>
      <c r="M66" s="157">
        <v>2</v>
      </c>
      <c r="N66" s="153">
        <f t="shared" si="2"/>
        <v>1</v>
      </c>
      <c r="O66" s="157"/>
      <c r="P66" s="157"/>
      <c r="Q66" s="153">
        <f ca="1">OFFSET(card_type!$A$1,MATCH(card!B66,card_type!B:B,0)-1,0)</f>
        <v>1003</v>
      </c>
      <c r="R66" s="153">
        <v>1</v>
      </c>
      <c r="S66" s="157">
        <f ca="1">ROUND(IF(R66=0,0,IF(R66=1,X66*$S$1,IF(R66=2,X66*$S$1*buff的资质计算!$E$2,IF(R66=3,X66*$S$1*buff的资质计算!$E$3,0)))),0)*0</f>
        <v>0</v>
      </c>
      <c r="T66" s="153">
        <v>2</v>
      </c>
      <c r="U66" s="153">
        <f ca="1" t="shared" si="3"/>
        <v>11</v>
      </c>
      <c r="V66" s="153">
        <f ca="1">ROUND((OFFSET(卡牌辅助配置表!$O$1,MATCH(U66,卡牌辅助配置表!M:M,0)-1,0)+(N66-1)*OFFSET(卡牌辅助配置表!$P$1,MATCH(U66,卡牌辅助配置表!M:M,0)-1,0))*M66,2)</f>
        <v>12.54</v>
      </c>
      <c r="W66" s="157">
        <f ca="1">ROUND(IF(R66=0,0,IF(R66=1,X66*$W$1,IF(R66=2,X66*$W$1*buff的资质计算!$E$2,IF(R66=3,X66*$W$1*buff的资质计算!$E$3,0)))),2)</f>
        <v>3.9</v>
      </c>
      <c r="X66" s="157">
        <f ca="1" t="shared" si="4"/>
        <v>13</v>
      </c>
      <c r="Y66" s="157">
        <f ca="1" t="shared" si="5"/>
        <v>13.3</v>
      </c>
      <c r="Z66" s="304">
        <f ca="1" t="shared" si="6"/>
        <v>6.65</v>
      </c>
      <c r="AA66" s="304">
        <f ca="1">OFFSET(卡牌辅助配置表!$AD$1,MATCH(AB66,卡牌辅助配置表!AB:AB,0)-1,0)</f>
        <v>18</v>
      </c>
      <c r="AB66" s="304">
        <f ca="1" t="shared" si="7"/>
        <v>1101</v>
      </c>
      <c r="AC66" s="153">
        <v>3</v>
      </c>
      <c r="AE66" s="153">
        <v>1</v>
      </c>
      <c r="AF66" s="153" t="str">
        <f ca="1" t="shared" si="8"/>
        <v>10030011|</v>
      </c>
      <c r="AJ66" s="205" t="str">
        <f ca="1" t="shared" si="9"/>
        <v>400023|700|;</v>
      </c>
      <c r="AK66" s="205">
        <f ca="1">OFFSET([1]item_type!$A$1,MATCH(Q66,[1]item_type!$G:$G,0)-1,0)</f>
        <v>301003</v>
      </c>
      <c r="AL66" s="205"/>
      <c r="AM66" s="205">
        <f ca="1">IF(B66=B67,OFFSET(卡牌辅助配置表!$AE$1,MATCH(AB66,卡牌辅助配置表!AB:AB,0),0),0)</f>
        <v>700</v>
      </c>
      <c r="AN66" s="153">
        <f ca="1" t="shared" si="10"/>
        <v>1003002</v>
      </c>
      <c r="AP66" s="153" t="str">
        <f ca="1">IF(AC66=0,0,IF(AC66=12,0,OFFSET(effect!$N$1,MATCH(K66,effect!M:M,0)-1,0)))</f>
        <v>kpsx_pt</v>
      </c>
    </row>
    <row r="67" spans="1:42">
      <c r="A67" s="153">
        <f ca="1" t="shared" si="0"/>
        <v>1003002</v>
      </c>
      <c r="B67" s="91" t="s">
        <v>589</v>
      </c>
      <c r="C67" s="186">
        <v>1</v>
      </c>
      <c r="D67" s="186">
        <v>6</v>
      </c>
      <c r="E67" s="165" t="s">
        <v>1050</v>
      </c>
      <c r="F67" s="165" t="str">
        <f>"上一招为拳法时，增加造成伤害"&amp;skill!$O$8/100&amp;"%的护甲"</f>
        <v>上一招为拳法时，增加造成伤害30%的护甲</v>
      </c>
      <c r="G67" s="186">
        <f ca="1">OFFSET(卡牌辅助配置表!$C$1,MATCH(AC67,卡牌辅助配置表!A:A,0)-1,0)</f>
        <v>3</v>
      </c>
      <c r="H67" s="186">
        <v>0.3</v>
      </c>
      <c r="I67" s="186"/>
      <c r="J67" s="186">
        <f ca="1">OFFSET(card_type!$F$1,MATCH(Q67,card_type!A:A,0)-1,0)</f>
        <v>1</v>
      </c>
      <c r="K67" s="243">
        <f ca="1">OFFSET(card_type!$G$1,MATCH(Q67,card_type!A:A,0)-1,0)</f>
        <v>1</v>
      </c>
      <c r="L67" s="157">
        <v>2</v>
      </c>
      <c r="M67" s="157">
        <v>2</v>
      </c>
      <c r="N67" s="153">
        <f t="shared" si="2"/>
        <v>2</v>
      </c>
      <c r="O67" s="157"/>
      <c r="P67" s="157"/>
      <c r="Q67" s="153">
        <f ca="1">OFFSET(card_type!$A$1,MATCH(card!B67,card_type!B:B,0)-1,0)</f>
        <v>1003</v>
      </c>
      <c r="R67" s="153">
        <v>1</v>
      </c>
      <c r="S67" s="157">
        <f ca="1">ROUND(IF(R67=0,0,IF(R67=1,X67*$S$1,IF(R67=2,X67*$S$1*buff的资质计算!$E$2,IF(R67=3,X67*$S$1*buff的资质计算!$E$3,0)))),0)*0</f>
        <v>0</v>
      </c>
      <c r="T67" s="153">
        <v>2</v>
      </c>
      <c r="U67" s="153">
        <f ca="1" t="shared" si="3"/>
        <v>11</v>
      </c>
      <c r="V67" s="153">
        <f ca="1">ROUND((OFFSET(卡牌辅助配置表!$O$1,MATCH(U67,卡牌辅助配置表!M:M,0)-1,0)+(N67-1)*OFFSET(卡牌辅助配置表!$P$1,MATCH(U67,卡牌辅助配置表!M:M,0)-1,0))*M67,2)</f>
        <v>12.96</v>
      </c>
      <c r="W67" s="157">
        <f ca="1">ROUND(IF(R67=0,0,IF(R67=1,X67*$W$1,IF(R67=2,X67*$W$1*buff的资质计算!$E$2,IF(R67=3,X67*$W$1*buff的资质计算!$E$3,0)))),2)</f>
        <v>4.05</v>
      </c>
      <c r="X67" s="157">
        <f ca="1" t="shared" si="4"/>
        <v>13.5</v>
      </c>
      <c r="Y67" s="157">
        <f ca="1" t="shared" si="5"/>
        <v>13.8</v>
      </c>
      <c r="Z67" s="304">
        <f ca="1" t="shared" si="6"/>
        <v>6.9</v>
      </c>
      <c r="AA67" s="304">
        <f ca="1">OFFSET(卡牌辅助配置表!$AD$1,MATCH(AB67,卡牌辅助配置表!AB:AB,0)-1,0)</f>
        <v>36</v>
      </c>
      <c r="AB67" s="304">
        <f ca="1" t="shared" si="7"/>
        <v>1102</v>
      </c>
      <c r="AC67" s="153">
        <v>3</v>
      </c>
      <c r="AE67" s="153">
        <v>1</v>
      </c>
      <c r="AF67" s="153" t="str">
        <f ca="1" t="shared" si="8"/>
        <v>10030011|</v>
      </c>
      <c r="AJ67" s="205" t="str">
        <f ca="1" t="shared" si="9"/>
        <v>400023|900|;</v>
      </c>
      <c r="AK67" s="205">
        <f ca="1">OFFSET([1]item_type!$A$1,MATCH(Q67,[1]item_type!$G:$G,0)-1,0)</f>
        <v>301003</v>
      </c>
      <c r="AL67" s="205"/>
      <c r="AM67" s="205">
        <f ca="1">IF(B67=B68,OFFSET(卡牌辅助配置表!$AE$1,MATCH(AB67,卡牌辅助配置表!AB:AB,0),0),0)</f>
        <v>900</v>
      </c>
      <c r="AN67" s="153">
        <f ca="1" t="shared" si="10"/>
        <v>1003003</v>
      </c>
      <c r="AP67" s="153" t="str">
        <f ca="1">IF(AC67=0,0,IF(AC67=12,0,OFFSET(effect!$N$1,MATCH(K67,effect!M:M,0)-1,0)))</f>
        <v>kpsx_pt</v>
      </c>
    </row>
    <row r="68" spans="1:42">
      <c r="A68" s="153">
        <f ca="1" t="shared" si="0"/>
        <v>1003003</v>
      </c>
      <c r="B68" s="91" t="s">
        <v>589</v>
      </c>
      <c r="C68" s="186">
        <v>1</v>
      </c>
      <c r="D68" s="186">
        <v>6</v>
      </c>
      <c r="E68" s="165" t="s">
        <v>1050</v>
      </c>
      <c r="F68" s="165" t="str">
        <f>"上一招为拳法时，增加造成伤害"&amp;skill!$O$8/100&amp;"%的护甲"</f>
        <v>上一招为拳法时，增加造成伤害30%的护甲</v>
      </c>
      <c r="G68" s="186">
        <f ca="1">OFFSET(卡牌辅助配置表!$C$1,MATCH(AC68,卡牌辅助配置表!A:A,0)-1,0)</f>
        <v>3</v>
      </c>
      <c r="H68" s="186">
        <v>0.3</v>
      </c>
      <c r="I68" s="186"/>
      <c r="J68" s="186">
        <f ca="1">OFFSET(card_type!$F$1,MATCH(Q68,card_type!A:A,0)-1,0)</f>
        <v>1</v>
      </c>
      <c r="K68" s="243">
        <f ca="1">OFFSET(card_type!$G$1,MATCH(Q68,card_type!A:A,0)-1,0)</f>
        <v>1</v>
      </c>
      <c r="L68" s="157">
        <v>2</v>
      </c>
      <c r="M68" s="157">
        <v>2</v>
      </c>
      <c r="N68" s="153">
        <f t="shared" si="2"/>
        <v>3</v>
      </c>
      <c r="O68" s="157"/>
      <c r="P68" s="157"/>
      <c r="Q68" s="153">
        <f ca="1">OFFSET(card_type!$A$1,MATCH(card!B68,card_type!B:B,0)-1,0)</f>
        <v>1003</v>
      </c>
      <c r="R68" s="153">
        <v>1</v>
      </c>
      <c r="S68" s="157">
        <f ca="1">ROUND(IF(R68=0,0,IF(R68=1,X68*$S$1,IF(R68=2,X68*$S$1*buff的资质计算!$E$2,IF(R68=3,X68*$S$1*buff的资质计算!$E$3,0)))),0)*0</f>
        <v>0</v>
      </c>
      <c r="T68" s="153">
        <v>2</v>
      </c>
      <c r="U68" s="153">
        <f ca="1" t="shared" si="3"/>
        <v>11</v>
      </c>
      <c r="V68" s="153">
        <f ca="1">ROUND((OFFSET(卡牌辅助配置表!$O$1,MATCH(U68,卡牌辅助配置表!M:M,0)-1,0)+(N68-1)*OFFSET(卡牌辅助配置表!$P$1,MATCH(U68,卡牌辅助配置表!M:M,0)-1,0))*M68,2)</f>
        <v>13.38</v>
      </c>
      <c r="W68" s="157">
        <f ca="1">ROUND(IF(R68=0,0,IF(R68=1,X68*$W$1,IF(R68=2,X68*$W$1*buff的资质计算!$E$2,IF(R68=3,X68*$W$1*buff的资质计算!$E$3,0)))),2)</f>
        <v>4.2</v>
      </c>
      <c r="X68" s="157">
        <f ca="1" t="shared" si="4"/>
        <v>14</v>
      </c>
      <c r="Y68" s="157">
        <f ca="1" t="shared" si="5"/>
        <v>14.3</v>
      </c>
      <c r="Z68" s="304">
        <f ca="1" t="shared" si="6"/>
        <v>7.15</v>
      </c>
      <c r="AA68" s="304">
        <f ca="1">OFFSET(卡牌辅助配置表!$AD$1,MATCH(AB68,卡牌辅助配置表!AB:AB,0)-1,0)</f>
        <v>54</v>
      </c>
      <c r="AB68" s="304">
        <f ca="1" t="shared" si="7"/>
        <v>1103</v>
      </c>
      <c r="AC68" s="153">
        <v>3</v>
      </c>
      <c r="AE68" s="153">
        <v>1</v>
      </c>
      <c r="AF68" s="153" t="str">
        <f ca="1" t="shared" si="8"/>
        <v>10030011|</v>
      </c>
      <c r="AJ68" s="205" t="str">
        <f ca="1" t="shared" si="9"/>
        <v>400023|1100|;</v>
      </c>
      <c r="AK68" s="205">
        <f ca="1">OFFSET([1]item_type!$A$1,MATCH(Q68,[1]item_type!$G:$G,0)-1,0)</f>
        <v>301003</v>
      </c>
      <c r="AL68" s="205"/>
      <c r="AM68" s="205">
        <f ca="1">IF(B68=B69,OFFSET(卡牌辅助配置表!$AE$1,MATCH(AB68,卡牌辅助配置表!AB:AB,0),0),0)</f>
        <v>1100</v>
      </c>
      <c r="AN68" s="153">
        <f ca="1" t="shared" si="10"/>
        <v>1003004</v>
      </c>
      <c r="AP68" s="153" t="str">
        <f ca="1">IF(AC68=0,0,IF(AC68=12,0,OFFSET(effect!$N$1,MATCH(K68,effect!M:M,0)-1,0)))</f>
        <v>kpsx_pt</v>
      </c>
    </row>
    <row r="69" spans="1:42">
      <c r="A69" s="153">
        <f ca="1" t="shared" si="0"/>
        <v>1003004</v>
      </c>
      <c r="B69" s="91" t="s">
        <v>589</v>
      </c>
      <c r="C69" s="186">
        <v>1</v>
      </c>
      <c r="D69" s="186">
        <v>6</v>
      </c>
      <c r="E69" s="165" t="s">
        <v>1050</v>
      </c>
      <c r="F69" s="165" t="str">
        <f>"上一招为拳法时，增加造成伤害"&amp;skill!$O$8/100&amp;"%的护甲"</f>
        <v>上一招为拳法时，增加造成伤害30%的护甲</v>
      </c>
      <c r="G69" s="186">
        <f ca="1">OFFSET(卡牌辅助配置表!$C$1,MATCH(AC69,卡牌辅助配置表!A:A,0)-1,0)</f>
        <v>3</v>
      </c>
      <c r="H69" s="186">
        <v>0.3</v>
      </c>
      <c r="I69" s="186"/>
      <c r="J69" s="186">
        <f ca="1">OFFSET(card_type!$F$1,MATCH(Q69,card_type!A:A,0)-1,0)</f>
        <v>1</v>
      </c>
      <c r="K69" s="243">
        <f ca="1">OFFSET(card_type!$G$1,MATCH(Q69,card_type!A:A,0)-1,0)</f>
        <v>1</v>
      </c>
      <c r="L69" s="157">
        <v>2</v>
      </c>
      <c r="M69" s="157">
        <v>2</v>
      </c>
      <c r="N69" s="153">
        <f t="shared" si="2"/>
        <v>4</v>
      </c>
      <c r="O69" s="157"/>
      <c r="P69" s="157"/>
      <c r="Q69" s="153">
        <f ca="1">OFFSET(card_type!$A$1,MATCH(card!B69,card_type!B:B,0)-1,0)</f>
        <v>1003</v>
      </c>
      <c r="R69" s="153">
        <v>1</v>
      </c>
      <c r="S69" s="157">
        <f ca="1">ROUND(IF(R69=0,0,IF(R69=1,X69*$S$1,IF(R69=2,X69*$S$1*buff的资质计算!$E$2,IF(R69=3,X69*$S$1*buff的资质计算!$E$3,0)))),0)*0</f>
        <v>0</v>
      </c>
      <c r="T69" s="153">
        <v>2</v>
      </c>
      <c r="U69" s="153">
        <f ca="1" t="shared" si="3"/>
        <v>11</v>
      </c>
      <c r="V69" s="153">
        <f ca="1">ROUND((OFFSET(卡牌辅助配置表!$O$1,MATCH(U69,卡牌辅助配置表!M:M,0)-1,0)+(N69-1)*OFFSET(卡牌辅助配置表!$P$1,MATCH(U69,卡牌辅助配置表!M:M,0)-1,0))*M69,2)</f>
        <v>13.79</v>
      </c>
      <c r="W69" s="157">
        <f ca="1">ROUND(IF(R69=0,0,IF(R69=1,X69*$W$1,IF(R69=2,X69*$W$1*buff的资质计算!$E$2,IF(R69=3,X69*$W$1*buff的资质计算!$E$3,0)))),2)</f>
        <v>4.35</v>
      </c>
      <c r="X69" s="157">
        <f ca="1" t="shared" si="4"/>
        <v>14.5</v>
      </c>
      <c r="Y69" s="157">
        <f ca="1" t="shared" si="5"/>
        <v>14.8</v>
      </c>
      <c r="Z69" s="304">
        <f ca="1" t="shared" si="6"/>
        <v>7.4</v>
      </c>
      <c r="AA69" s="304">
        <f ca="1">OFFSET(卡牌辅助配置表!$AD$1,MATCH(AB69,卡牌辅助配置表!AB:AB,0)-1,0)</f>
        <v>72</v>
      </c>
      <c r="AB69" s="304">
        <f ca="1" t="shared" si="7"/>
        <v>1104</v>
      </c>
      <c r="AC69" s="153">
        <v>3</v>
      </c>
      <c r="AE69" s="153">
        <v>1</v>
      </c>
      <c r="AF69" s="153" t="str">
        <f ca="1" t="shared" si="8"/>
        <v>10030011|</v>
      </c>
      <c r="AJ69" s="205" t="str">
        <f ca="1" t="shared" si="9"/>
        <v>400023|1300|;</v>
      </c>
      <c r="AK69" s="205">
        <f ca="1">OFFSET([1]item_type!$A$1,MATCH(Q69,[1]item_type!$G:$G,0)-1,0)</f>
        <v>301003</v>
      </c>
      <c r="AL69" s="205"/>
      <c r="AM69" s="205">
        <f ca="1">IF(B69=B70,OFFSET(卡牌辅助配置表!$AE$1,MATCH(AB69,卡牌辅助配置表!AB:AB,0),0),0)</f>
        <v>1300</v>
      </c>
      <c r="AN69" s="153">
        <f ca="1" t="shared" si="10"/>
        <v>1003005</v>
      </c>
      <c r="AP69" s="153" t="str">
        <f ca="1">IF(AC69=0,0,IF(AC69=12,0,OFFSET(effect!$N$1,MATCH(K69,effect!M:M,0)-1,0)))</f>
        <v>kpsx_pt</v>
      </c>
    </row>
    <row r="70" spans="1:42">
      <c r="A70" s="153">
        <f ca="1" t="shared" ref="A70:A133" si="11">Q70*1000+N70</f>
        <v>1003005</v>
      </c>
      <c r="B70" s="91" t="s">
        <v>589</v>
      </c>
      <c r="C70" s="186">
        <v>1</v>
      </c>
      <c r="D70" s="186">
        <v>6</v>
      </c>
      <c r="E70" s="165" t="s">
        <v>1050</v>
      </c>
      <c r="F70" s="165" t="str">
        <f>"上一招为拳法时，增加造成伤害"&amp;skill!$O$8/100&amp;"%的护甲"</f>
        <v>上一招为拳法时，增加造成伤害30%的护甲</v>
      </c>
      <c r="G70" s="186">
        <f ca="1">OFFSET(卡牌辅助配置表!$C$1,MATCH(AC70,卡牌辅助配置表!A:A,0)-1,0)</f>
        <v>3</v>
      </c>
      <c r="H70" s="186">
        <v>0.3</v>
      </c>
      <c r="I70" s="186"/>
      <c r="J70" s="186">
        <f ca="1">OFFSET(card_type!$F$1,MATCH(Q70,card_type!A:A,0)-1,0)</f>
        <v>1</v>
      </c>
      <c r="K70" s="243">
        <f ca="1">OFFSET(card_type!$G$1,MATCH(Q70,card_type!A:A,0)-1,0)</f>
        <v>1</v>
      </c>
      <c r="L70" s="157">
        <v>2</v>
      </c>
      <c r="M70" s="157">
        <v>2</v>
      </c>
      <c r="N70" s="153">
        <f t="shared" ref="N70:N133" si="12">IF(B69=B70,N69+1,1)</f>
        <v>5</v>
      </c>
      <c r="O70" s="157"/>
      <c r="P70" s="157"/>
      <c r="Q70" s="153">
        <f ca="1">OFFSET(card_type!$A$1,MATCH(card!B70,card_type!B:B,0)-1,0)</f>
        <v>1003</v>
      </c>
      <c r="R70" s="153">
        <v>1</v>
      </c>
      <c r="S70" s="157">
        <f ca="1">ROUND(IF(R70=0,0,IF(R70=1,X70*$S$1,IF(R70=2,X70*$S$1*buff的资质计算!$E$2,IF(R70=3,X70*$S$1*buff的资质计算!$E$3,0)))),0)*0</f>
        <v>0</v>
      </c>
      <c r="T70" s="153">
        <v>2</v>
      </c>
      <c r="U70" s="153">
        <f ca="1" t="shared" ref="U70:U133" si="13">J70*10+K70</f>
        <v>11</v>
      </c>
      <c r="V70" s="153">
        <f ca="1">ROUND((OFFSET(卡牌辅助配置表!$O$1,MATCH(U70,卡牌辅助配置表!M:M,0)-1,0)+(N70-1)*OFFSET(卡牌辅助配置表!$P$1,MATCH(U70,卡牌辅助配置表!M:M,0)-1,0))*M70,2)</f>
        <v>14.21</v>
      </c>
      <c r="W70" s="157">
        <f ca="1">ROUND(IF(R70=0,0,IF(R70=1,X70*$W$1,IF(R70=2,X70*$W$1*buff的资质计算!$E$2,IF(R70=3,X70*$W$1*buff的资质计算!$E$3,0)))),2)</f>
        <v>4.5</v>
      </c>
      <c r="X70" s="157">
        <f ca="1" t="shared" ref="X70:X133" si="14">M70*($M$1+(J70-1)*$J$1+(K70-1)*$K$1)+G70+$J$1*(N70-1)/$N$1</f>
        <v>15</v>
      </c>
      <c r="Y70" s="157">
        <f ca="1" t="shared" ref="Y70:Y133" si="15">X70+H70</f>
        <v>15.3</v>
      </c>
      <c r="Z70" s="304">
        <f ca="1" t="shared" ref="Z70:Z133" si="16">Y70/M70</f>
        <v>7.65</v>
      </c>
      <c r="AA70" s="304">
        <f ca="1">OFFSET(卡牌辅助配置表!$AD$1,MATCH(AB70,卡牌辅助配置表!AB:AB,0)-1,0)</f>
        <v>90</v>
      </c>
      <c r="AB70" s="304">
        <f ca="1" t="shared" ref="AB70:AB133" si="17">J70*1000+K70*100+N70</f>
        <v>1105</v>
      </c>
      <c r="AC70" s="153">
        <v>3</v>
      </c>
      <c r="AE70" s="153">
        <v>1</v>
      </c>
      <c r="AF70" s="153" t="str">
        <f ca="1" t="shared" ref="AF70:AF133" si="18">((Q70*1000+1)*10+1)&amp;$AF$1</f>
        <v>10030011|</v>
      </c>
      <c r="AJ70" s="205" t="str">
        <f ca="1" t="shared" ref="AJ70:AJ133" si="19">IF(AN70=0,0,IF(AL70=0,$AM$1&amp;$AF$1&amp;AM70&amp;$AF$1&amp;$AJ$1,AK70&amp;$AF$1&amp;AL70&amp;$AF$1&amp;$AJ$1&amp;$AM$1&amp;$AF$1&amp;AM70&amp;$AF$1&amp;$AJ$1))</f>
        <v>400023|1500|;</v>
      </c>
      <c r="AK70" s="205">
        <f ca="1">OFFSET([1]item_type!$A$1,MATCH(Q70,[1]item_type!$G:$G,0)-1,0)</f>
        <v>301003</v>
      </c>
      <c r="AL70" s="205"/>
      <c r="AM70" s="205">
        <f ca="1">IF(B70=B71,OFFSET(卡牌辅助配置表!$AE$1,MATCH(AB70,卡牌辅助配置表!AB:AB,0),0),0)</f>
        <v>1500</v>
      </c>
      <c r="AN70" s="153">
        <f ca="1" t="shared" ref="AN70:AN133" si="20">IF(B70=B71,A70+1,0)</f>
        <v>1003006</v>
      </c>
      <c r="AP70" s="153" t="str">
        <f ca="1">IF(AC70=0,0,IF(AC70=12,0,OFFSET(effect!$N$1,MATCH(K70,effect!M:M,0)-1,0)))</f>
        <v>kpsx_pt</v>
      </c>
    </row>
    <row r="71" spans="1:42">
      <c r="A71" s="153">
        <f ca="1" t="shared" si="11"/>
        <v>1003006</v>
      </c>
      <c r="B71" s="91" t="s">
        <v>589</v>
      </c>
      <c r="C71" s="186">
        <v>1</v>
      </c>
      <c r="D71" s="186">
        <v>6</v>
      </c>
      <c r="E71" s="165" t="s">
        <v>1050</v>
      </c>
      <c r="F71" s="165" t="str">
        <f>"上一招为拳法时，增加造成伤害"&amp;skill!$O$8/100&amp;"%的护甲"</f>
        <v>上一招为拳法时，增加造成伤害30%的护甲</v>
      </c>
      <c r="G71" s="186">
        <f ca="1">OFFSET(卡牌辅助配置表!$C$1,MATCH(AC71,卡牌辅助配置表!A:A,0)-1,0)</f>
        <v>3</v>
      </c>
      <c r="H71" s="186">
        <v>0.3</v>
      </c>
      <c r="I71" s="186"/>
      <c r="J71" s="186">
        <f ca="1">OFFSET(card_type!$F$1,MATCH(Q71,card_type!A:A,0)-1,0)</f>
        <v>1</v>
      </c>
      <c r="K71" s="243">
        <f ca="1">OFFSET(card_type!$G$1,MATCH(Q71,card_type!A:A,0)-1,0)</f>
        <v>1</v>
      </c>
      <c r="L71" s="157">
        <v>2</v>
      </c>
      <c r="M71" s="157">
        <v>2</v>
      </c>
      <c r="N71" s="153">
        <f t="shared" si="12"/>
        <v>6</v>
      </c>
      <c r="O71" s="157"/>
      <c r="P71" s="157"/>
      <c r="Q71" s="153">
        <f ca="1">OFFSET(card_type!$A$1,MATCH(card!B71,card_type!B:B,0)-1,0)</f>
        <v>1003</v>
      </c>
      <c r="R71" s="153">
        <v>1</v>
      </c>
      <c r="S71" s="157">
        <f ca="1">ROUND(IF(R71=0,0,IF(R71=1,X71*$S$1,IF(R71=2,X71*$S$1*buff的资质计算!$E$2,IF(R71=3,X71*$S$1*buff的资质计算!$E$3,0)))),0)*0</f>
        <v>0</v>
      </c>
      <c r="T71" s="153">
        <v>2</v>
      </c>
      <c r="U71" s="153">
        <f ca="1" t="shared" si="13"/>
        <v>11</v>
      </c>
      <c r="V71" s="153">
        <f ca="1">ROUND((OFFSET(卡牌辅助配置表!$O$1,MATCH(U71,卡牌辅助配置表!M:M,0)-1,0)+(N71-1)*OFFSET(卡牌辅助配置表!$P$1,MATCH(U71,卡牌辅助配置表!M:M,0)-1,0))*M71,2)</f>
        <v>14.63</v>
      </c>
      <c r="W71" s="157">
        <f ca="1">ROUND(IF(R71=0,0,IF(R71=1,X71*$W$1,IF(R71=2,X71*$W$1*buff的资质计算!$E$2,IF(R71=3,X71*$W$1*buff的资质计算!$E$3,0)))),2)</f>
        <v>4.65</v>
      </c>
      <c r="X71" s="157">
        <f ca="1" t="shared" si="14"/>
        <v>15.5</v>
      </c>
      <c r="Y71" s="157">
        <f ca="1" t="shared" si="15"/>
        <v>15.8</v>
      </c>
      <c r="Z71" s="304">
        <f ca="1" t="shared" si="16"/>
        <v>7.9</v>
      </c>
      <c r="AA71" s="304">
        <f ca="1">OFFSET(卡牌辅助配置表!$AD$1,MATCH(AB71,卡牌辅助配置表!AB:AB,0)-1,0)</f>
        <v>108</v>
      </c>
      <c r="AB71" s="304">
        <f ca="1" t="shared" si="17"/>
        <v>1106</v>
      </c>
      <c r="AC71" s="153">
        <v>3</v>
      </c>
      <c r="AE71" s="153">
        <v>1</v>
      </c>
      <c r="AF71" s="153" t="str">
        <f ca="1" t="shared" si="18"/>
        <v>10030011|</v>
      </c>
      <c r="AJ71" s="205" t="str">
        <f ca="1" t="shared" si="19"/>
        <v>400023|1700|;</v>
      </c>
      <c r="AK71" s="205">
        <f ca="1">OFFSET([1]item_type!$A$1,MATCH(Q71,[1]item_type!$G:$G,0)-1,0)</f>
        <v>301003</v>
      </c>
      <c r="AL71" s="205"/>
      <c r="AM71" s="205">
        <f ca="1">IF(B71=B72,OFFSET(卡牌辅助配置表!$AE$1,MATCH(AB71,卡牌辅助配置表!AB:AB,0),0),0)</f>
        <v>1700</v>
      </c>
      <c r="AN71" s="153">
        <f ca="1" t="shared" si="20"/>
        <v>1003007</v>
      </c>
      <c r="AP71" s="153" t="str">
        <f ca="1">IF(AC71=0,0,IF(AC71=12,0,OFFSET(effect!$N$1,MATCH(K71,effect!M:M,0)-1,0)))</f>
        <v>kpsx_pt</v>
      </c>
    </row>
    <row r="72" spans="1:42">
      <c r="A72" s="153">
        <f ca="1" t="shared" si="11"/>
        <v>1003007</v>
      </c>
      <c r="B72" s="91" t="s">
        <v>589</v>
      </c>
      <c r="C72" s="186">
        <v>1</v>
      </c>
      <c r="D72" s="186">
        <v>6</v>
      </c>
      <c r="E72" s="165" t="s">
        <v>1050</v>
      </c>
      <c r="F72" s="165" t="str">
        <f>"上一招为拳法时，增加造成伤害"&amp;skill!$O$8/100&amp;"%的护甲"</f>
        <v>上一招为拳法时，增加造成伤害30%的护甲</v>
      </c>
      <c r="G72" s="186">
        <f ca="1">OFFSET(卡牌辅助配置表!$C$1,MATCH(AC72,卡牌辅助配置表!A:A,0)-1,0)</f>
        <v>3</v>
      </c>
      <c r="H72" s="186">
        <v>0.3</v>
      </c>
      <c r="I72" s="186"/>
      <c r="J72" s="186">
        <f ca="1">OFFSET(card_type!$F$1,MATCH(Q72,card_type!A:A,0)-1,0)</f>
        <v>1</v>
      </c>
      <c r="K72" s="243">
        <f ca="1">OFFSET(card_type!$G$1,MATCH(Q72,card_type!A:A,0)-1,0)</f>
        <v>1</v>
      </c>
      <c r="L72" s="157">
        <v>2</v>
      </c>
      <c r="M72" s="157">
        <v>2</v>
      </c>
      <c r="N72" s="153">
        <f t="shared" si="12"/>
        <v>7</v>
      </c>
      <c r="O72" s="157"/>
      <c r="P72" s="157"/>
      <c r="Q72" s="153">
        <f ca="1">OFFSET(card_type!$A$1,MATCH(card!B72,card_type!B:B,0)-1,0)</f>
        <v>1003</v>
      </c>
      <c r="R72" s="153">
        <v>1</v>
      </c>
      <c r="S72" s="157">
        <f ca="1">ROUND(IF(R72=0,0,IF(R72=1,X72*$S$1,IF(R72=2,X72*$S$1*buff的资质计算!$E$2,IF(R72=3,X72*$S$1*buff的资质计算!$E$3,0)))),0)*0</f>
        <v>0</v>
      </c>
      <c r="T72" s="153">
        <v>2</v>
      </c>
      <c r="U72" s="153">
        <f ca="1" t="shared" si="13"/>
        <v>11</v>
      </c>
      <c r="V72" s="153">
        <f ca="1">ROUND((OFFSET(卡牌辅助配置表!$O$1,MATCH(U72,卡牌辅助配置表!M:M,0)-1,0)+(N72-1)*OFFSET(卡牌辅助配置表!$P$1,MATCH(U72,卡牌辅助配置表!M:M,0)-1,0))*M72,2)</f>
        <v>15.05</v>
      </c>
      <c r="W72" s="157">
        <f ca="1">ROUND(IF(R72=0,0,IF(R72=1,X72*$W$1,IF(R72=2,X72*$W$1*buff的资质计算!$E$2,IF(R72=3,X72*$W$1*buff的资质计算!$E$3,0)))),2)</f>
        <v>4.8</v>
      </c>
      <c r="X72" s="157">
        <f ca="1" t="shared" si="14"/>
        <v>16</v>
      </c>
      <c r="Y72" s="157">
        <f ca="1" t="shared" si="15"/>
        <v>16.3</v>
      </c>
      <c r="Z72" s="304">
        <f ca="1" t="shared" si="16"/>
        <v>8.15</v>
      </c>
      <c r="AA72" s="304">
        <f ca="1">OFFSET(卡牌辅助配置表!$AD$1,MATCH(AB72,卡牌辅助配置表!AB:AB,0)-1,0)</f>
        <v>126</v>
      </c>
      <c r="AB72" s="304">
        <f ca="1" t="shared" si="17"/>
        <v>1107</v>
      </c>
      <c r="AC72" s="153">
        <v>3</v>
      </c>
      <c r="AE72" s="153">
        <v>1</v>
      </c>
      <c r="AF72" s="153" t="str">
        <f ca="1" t="shared" si="18"/>
        <v>10030011|</v>
      </c>
      <c r="AJ72" s="205" t="str">
        <f ca="1" t="shared" si="19"/>
        <v>400023|1900|;</v>
      </c>
      <c r="AK72" s="205">
        <f ca="1">OFFSET([1]item_type!$A$1,MATCH(Q72,[1]item_type!$G:$G,0)-1,0)</f>
        <v>301003</v>
      </c>
      <c r="AL72" s="205"/>
      <c r="AM72" s="205">
        <f ca="1">IF(B72=B73,OFFSET(卡牌辅助配置表!$AE$1,MATCH(AB72,卡牌辅助配置表!AB:AB,0),0),0)</f>
        <v>1900</v>
      </c>
      <c r="AN72" s="153">
        <f ca="1" t="shared" si="20"/>
        <v>1003008</v>
      </c>
      <c r="AP72" s="153" t="str">
        <f ca="1">IF(AC72=0,0,IF(AC72=12,0,OFFSET(effect!$N$1,MATCH(K72,effect!M:M,0)-1,0)))</f>
        <v>kpsx_pt</v>
      </c>
    </row>
    <row r="73" spans="1:42">
      <c r="A73" s="153">
        <f ca="1" t="shared" si="11"/>
        <v>1003008</v>
      </c>
      <c r="B73" s="91" t="s">
        <v>589</v>
      </c>
      <c r="C73" s="186">
        <v>1</v>
      </c>
      <c r="D73" s="186">
        <v>6</v>
      </c>
      <c r="E73" s="165" t="s">
        <v>1050</v>
      </c>
      <c r="F73" s="165" t="str">
        <f>"上一招为拳法时，增加造成伤害"&amp;skill!$O$8/100&amp;"%的护甲"</f>
        <v>上一招为拳法时，增加造成伤害30%的护甲</v>
      </c>
      <c r="G73" s="186">
        <f ca="1">OFFSET(卡牌辅助配置表!$C$1,MATCH(AC73,卡牌辅助配置表!A:A,0)-1,0)</f>
        <v>3</v>
      </c>
      <c r="H73" s="186">
        <v>0.3</v>
      </c>
      <c r="I73" s="186"/>
      <c r="J73" s="186">
        <f ca="1">OFFSET(card_type!$F$1,MATCH(Q73,card_type!A:A,0)-1,0)</f>
        <v>1</v>
      </c>
      <c r="K73" s="243">
        <f ca="1">OFFSET(card_type!$G$1,MATCH(Q73,card_type!A:A,0)-1,0)</f>
        <v>1</v>
      </c>
      <c r="L73" s="157">
        <v>2</v>
      </c>
      <c r="M73" s="157">
        <v>2</v>
      </c>
      <c r="N73" s="153">
        <f t="shared" si="12"/>
        <v>8</v>
      </c>
      <c r="O73" s="157"/>
      <c r="P73" s="157"/>
      <c r="Q73" s="153">
        <f ca="1">OFFSET(card_type!$A$1,MATCH(card!B73,card_type!B:B,0)-1,0)</f>
        <v>1003</v>
      </c>
      <c r="R73" s="153">
        <v>1</v>
      </c>
      <c r="S73" s="157">
        <f ca="1">ROUND(IF(R73=0,0,IF(R73=1,X73*$S$1,IF(R73=2,X73*$S$1*buff的资质计算!$E$2,IF(R73=3,X73*$S$1*buff的资质计算!$E$3,0)))),0)*0</f>
        <v>0</v>
      </c>
      <c r="T73" s="153">
        <v>2</v>
      </c>
      <c r="U73" s="153">
        <f ca="1" t="shared" si="13"/>
        <v>11</v>
      </c>
      <c r="V73" s="153">
        <f ca="1">ROUND((OFFSET(卡牌辅助配置表!$O$1,MATCH(U73,卡牌辅助配置表!M:M,0)-1,0)+(N73-1)*OFFSET(卡牌辅助配置表!$P$1,MATCH(U73,卡牌辅助配置表!M:M,0)-1,0))*M73,2)</f>
        <v>15.47</v>
      </c>
      <c r="W73" s="157">
        <f ca="1">ROUND(IF(R73=0,0,IF(R73=1,X73*$W$1,IF(R73=2,X73*$W$1*buff的资质计算!$E$2,IF(R73=3,X73*$W$1*buff的资质计算!$E$3,0)))),2)</f>
        <v>4.95</v>
      </c>
      <c r="X73" s="157">
        <f ca="1" t="shared" si="14"/>
        <v>16.5</v>
      </c>
      <c r="Y73" s="157">
        <f ca="1" t="shared" si="15"/>
        <v>16.8</v>
      </c>
      <c r="Z73" s="304">
        <f ca="1" t="shared" si="16"/>
        <v>8.4</v>
      </c>
      <c r="AA73" s="304">
        <f ca="1">OFFSET(卡牌辅助配置表!$AD$1,MATCH(AB73,卡牌辅助配置表!AB:AB,0)-1,0)</f>
        <v>144</v>
      </c>
      <c r="AB73" s="304">
        <f ca="1" t="shared" si="17"/>
        <v>1108</v>
      </c>
      <c r="AC73" s="153">
        <v>3</v>
      </c>
      <c r="AE73" s="153">
        <v>1</v>
      </c>
      <c r="AF73" s="153" t="str">
        <f ca="1" t="shared" si="18"/>
        <v>10030011|</v>
      </c>
      <c r="AJ73" s="205" t="str">
        <f ca="1" t="shared" si="19"/>
        <v>400023|2100|;</v>
      </c>
      <c r="AK73" s="205">
        <f ca="1">OFFSET([1]item_type!$A$1,MATCH(Q73,[1]item_type!$G:$G,0)-1,0)</f>
        <v>301003</v>
      </c>
      <c r="AL73" s="205"/>
      <c r="AM73" s="205">
        <f ca="1">IF(B73=B74,OFFSET(卡牌辅助配置表!$AE$1,MATCH(AB73,卡牌辅助配置表!AB:AB,0),0),0)</f>
        <v>2100</v>
      </c>
      <c r="AN73" s="153">
        <f ca="1" t="shared" si="20"/>
        <v>1003009</v>
      </c>
      <c r="AP73" s="153" t="str">
        <f ca="1">IF(AC73=0,0,IF(AC73=12,0,OFFSET(effect!$N$1,MATCH(K73,effect!M:M,0)-1,0)))</f>
        <v>kpsx_pt</v>
      </c>
    </row>
    <row r="74" spans="1:42">
      <c r="A74" s="153">
        <f ca="1" t="shared" si="11"/>
        <v>1003009</v>
      </c>
      <c r="B74" s="91" t="s">
        <v>589</v>
      </c>
      <c r="C74" s="186">
        <v>1</v>
      </c>
      <c r="D74" s="186">
        <v>6</v>
      </c>
      <c r="E74" s="165" t="s">
        <v>1050</v>
      </c>
      <c r="F74" s="165" t="str">
        <f>"上一招为拳法时，增加造成伤害"&amp;skill!$O$8/100&amp;"%的护甲"</f>
        <v>上一招为拳法时，增加造成伤害30%的护甲</v>
      </c>
      <c r="G74" s="186">
        <f ca="1">OFFSET(卡牌辅助配置表!$C$1,MATCH(AC74,卡牌辅助配置表!A:A,0)-1,0)</f>
        <v>3</v>
      </c>
      <c r="H74" s="186">
        <v>0.3</v>
      </c>
      <c r="I74" s="186"/>
      <c r="J74" s="186">
        <f ca="1">OFFSET(card_type!$F$1,MATCH(Q74,card_type!A:A,0)-1,0)</f>
        <v>1</v>
      </c>
      <c r="K74" s="243">
        <f ca="1">OFFSET(card_type!$G$1,MATCH(Q74,card_type!A:A,0)-1,0)</f>
        <v>1</v>
      </c>
      <c r="L74" s="157">
        <v>2</v>
      </c>
      <c r="M74" s="157">
        <v>2</v>
      </c>
      <c r="N74" s="153">
        <f t="shared" si="12"/>
        <v>9</v>
      </c>
      <c r="O74" s="157"/>
      <c r="P74" s="157"/>
      <c r="Q74" s="153">
        <f ca="1">OFFSET(card_type!$A$1,MATCH(card!B74,card_type!B:B,0)-1,0)</f>
        <v>1003</v>
      </c>
      <c r="R74" s="153">
        <v>1</v>
      </c>
      <c r="S74" s="157">
        <f ca="1">ROUND(IF(R74=0,0,IF(R74=1,X74*$S$1,IF(R74=2,X74*$S$1*buff的资质计算!$E$2,IF(R74=3,X74*$S$1*buff的资质计算!$E$3,0)))),0)*0</f>
        <v>0</v>
      </c>
      <c r="T74" s="153">
        <v>2</v>
      </c>
      <c r="U74" s="153">
        <f ca="1" t="shared" si="13"/>
        <v>11</v>
      </c>
      <c r="V74" s="153">
        <f ca="1">ROUND((OFFSET(卡牌辅助配置表!$O$1,MATCH(U74,卡牌辅助配置表!M:M,0)-1,0)+(N74-1)*OFFSET(卡牌辅助配置表!$P$1,MATCH(U74,卡牌辅助配置表!M:M,0)-1,0))*M74,2)</f>
        <v>15.88</v>
      </c>
      <c r="W74" s="157">
        <f ca="1">ROUND(IF(R74=0,0,IF(R74=1,X74*$W$1,IF(R74=2,X74*$W$1*buff的资质计算!$E$2,IF(R74=3,X74*$W$1*buff的资质计算!$E$3,0)))),2)</f>
        <v>5.1</v>
      </c>
      <c r="X74" s="157">
        <f ca="1" t="shared" si="14"/>
        <v>17</v>
      </c>
      <c r="Y74" s="157">
        <f ca="1" t="shared" si="15"/>
        <v>17.3</v>
      </c>
      <c r="Z74" s="304">
        <f ca="1" t="shared" si="16"/>
        <v>8.65</v>
      </c>
      <c r="AA74" s="304">
        <f ca="1">OFFSET(卡牌辅助配置表!$AD$1,MATCH(AB74,卡牌辅助配置表!AB:AB,0)-1,0)</f>
        <v>162</v>
      </c>
      <c r="AB74" s="304">
        <f ca="1" t="shared" si="17"/>
        <v>1109</v>
      </c>
      <c r="AC74" s="153">
        <v>3</v>
      </c>
      <c r="AE74" s="153">
        <v>1</v>
      </c>
      <c r="AF74" s="153" t="str">
        <f ca="1" t="shared" si="18"/>
        <v>10030011|</v>
      </c>
      <c r="AJ74" s="205" t="str">
        <f ca="1" t="shared" si="19"/>
        <v>301003|15|;400023|2300|;</v>
      </c>
      <c r="AK74" s="205">
        <f ca="1">OFFSET([1]item_type!$A$1,MATCH(Q74,[1]item_type!$G:$G,0)-1,0)</f>
        <v>301003</v>
      </c>
      <c r="AL74" s="205">
        <v>15</v>
      </c>
      <c r="AM74" s="205">
        <f ca="1">IF(B74=B75,OFFSET(卡牌辅助配置表!$AE$1,MATCH(AB74,卡牌辅助配置表!AB:AB,0),0),0)</f>
        <v>2300</v>
      </c>
      <c r="AN74" s="153">
        <f ca="1" t="shared" si="20"/>
        <v>1003010</v>
      </c>
      <c r="AP74" s="153" t="str">
        <f ca="1">IF(AC74=0,0,IF(AC74=12,0,OFFSET(effect!$N$1,MATCH(K74,effect!M:M,0)-1,0)))</f>
        <v>kpsx_pt</v>
      </c>
    </row>
    <row r="75" spans="1:42">
      <c r="A75" s="153">
        <f ca="1" t="shared" si="11"/>
        <v>1003010</v>
      </c>
      <c r="B75" s="91" t="s">
        <v>589</v>
      </c>
      <c r="C75" s="186">
        <v>1</v>
      </c>
      <c r="D75" s="186">
        <v>6</v>
      </c>
      <c r="E75" s="165" t="s">
        <v>1050</v>
      </c>
      <c r="F75" s="165" t="str">
        <f>"上一招为拳法时，增加造成伤害"&amp;skill!$O$8/100&amp;"%的护甲"</f>
        <v>上一招为拳法时，增加造成伤害30%的护甲</v>
      </c>
      <c r="G75" s="186">
        <f ca="1">OFFSET(卡牌辅助配置表!$C$1,MATCH(AC75,卡牌辅助配置表!A:A,0)-1,0)</f>
        <v>3</v>
      </c>
      <c r="H75" s="186">
        <v>0.3</v>
      </c>
      <c r="I75" s="186"/>
      <c r="J75" s="186">
        <f ca="1">OFFSET(card_type!$F$1,MATCH(Q75,card_type!A:A,0)-1,0)</f>
        <v>1</v>
      </c>
      <c r="K75" s="243">
        <f ca="1">OFFSET(card_type!$G$1,MATCH(Q75,card_type!A:A,0)-1,0)</f>
        <v>1</v>
      </c>
      <c r="L75" s="157">
        <v>2</v>
      </c>
      <c r="M75" s="157">
        <v>2</v>
      </c>
      <c r="N75" s="153">
        <f t="shared" si="12"/>
        <v>10</v>
      </c>
      <c r="O75" s="157"/>
      <c r="P75" s="157"/>
      <c r="Q75" s="153">
        <f ca="1">OFFSET(card_type!$A$1,MATCH(card!B75,card_type!B:B,0)-1,0)</f>
        <v>1003</v>
      </c>
      <c r="R75" s="153">
        <v>1</v>
      </c>
      <c r="S75" s="157">
        <f ca="1">ROUND(IF(R75=0,0,IF(R75=1,X75*$S$1,IF(R75=2,X75*$S$1*buff的资质计算!$E$2,IF(R75=3,X75*$S$1*buff的资质计算!$E$3,0)))),0)*0</f>
        <v>0</v>
      </c>
      <c r="T75" s="153">
        <v>2</v>
      </c>
      <c r="U75" s="153">
        <f ca="1" t="shared" si="13"/>
        <v>11</v>
      </c>
      <c r="V75" s="153">
        <f ca="1">ROUND((OFFSET(卡牌辅助配置表!$O$1,MATCH(U75,卡牌辅助配置表!M:M,0)-1,0)+(N75-1)*OFFSET(卡牌辅助配置表!$P$1,MATCH(U75,卡牌辅助配置表!M:M,0)-1,0))*M75,2)</f>
        <v>16.3</v>
      </c>
      <c r="W75" s="157">
        <f ca="1">ROUND(IF(R75=0,0,IF(R75=1,X75*$W$1,IF(R75=2,X75*$W$1*buff的资质计算!$E$2,IF(R75=3,X75*$W$1*buff的资质计算!$E$3,0)))),2)</f>
        <v>5.25</v>
      </c>
      <c r="X75" s="157">
        <f ca="1" t="shared" si="14"/>
        <v>17.5</v>
      </c>
      <c r="Y75" s="157">
        <f ca="1" t="shared" si="15"/>
        <v>17.8</v>
      </c>
      <c r="Z75" s="304">
        <f ca="1" t="shared" si="16"/>
        <v>8.9</v>
      </c>
      <c r="AA75" s="304">
        <f ca="1">OFFSET(卡牌辅助配置表!$AD$1,MATCH(AB75,卡牌辅助配置表!AB:AB,0)-1,0)</f>
        <v>180</v>
      </c>
      <c r="AB75" s="304">
        <f ca="1" t="shared" si="17"/>
        <v>1110</v>
      </c>
      <c r="AC75" s="153">
        <v>3</v>
      </c>
      <c r="AE75" s="153">
        <v>1</v>
      </c>
      <c r="AF75" s="153" t="str">
        <f ca="1" t="shared" si="18"/>
        <v>10030011|</v>
      </c>
      <c r="AJ75" s="205" t="str">
        <f ca="1" t="shared" si="19"/>
        <v>400023|2700|;</v>
      </c>
      <c r="AK75" s="205">
        <f ca="1">OFFSET([1]item_type!$A$1,MATCH(Q75,[1]item_type!$G:$G,0)-1,0)</f>
        <v>301003</v>
      </c>
      <c r="AL75" s="205"/>
      <c r="AM75" s="205">
        <f ca="1">IF(B75=B76,OFFSET(卡牌辅助配置表!$AE$1,MATCH(AB75,卡牌辅助配置表!AB:AB,0),0),0)</f>
        <v>2700</v>
      </c>
      <c r="AN75" s="153">
        <f ca="1" t="shared" si="20"/>
        <v>1003011</v>
      </c>
      <c r="AP75" s="153" t="str">
        <f ca="1">IF(AC75=0,0,IF(AC75=12,0,OFFSET(effect!$N$1,MATCH(K75,effect!M:M,0)-1,0)))</f>
        <v>kpsx_pt</v>
      </c>
    </row>
    <row r="76" spans="1:42">
      <c r="A76" s="153">
        <f ca="1" t="shared" si="11"/>
        <v>1003011</v>
      </c>
      <c r="B76" s="91" t="s">
        <v>589</v>
      </c>
      <c r="C76" s="186">
        <v>1</v>
      </c>
      <c r="D76" s="186">
        <v>6</v>
      </c>
      <c r="E76" s="165" t="s">
        <v>1050</v>
      </c>
      <c r="F76" s="165" t="str">
        <f>"上一招为拳法时，增加造成伤害"&amp;skill!$O$8/100&amp;"%的护甲"</f>
        <v>上一招为拳法时，增加造成伤害30%的护甲</v>
      </c>
      <c r="G76" s="186">
        <f ca="1">OFFSET(卡牌辅助配置表!$C$1,MATCH(AC76,卡牌辅助配置表!A:A,0)-1,0)</f>
        <v>3</v>
      </c>
      <c r="H76" s="186">
        <v>0.3</v>
      </c>
      <c r="I76" s="186"/>
      <c r="J76" s="186">
        <f ca="1">OFFSET(card_type!$F$1,MATCH(Q76,card_type!A:A,0)-1,0)</f>
        <v>1</v>
      </c>
      <c r="K76" s="243">
        <f ca="1">OFFSET(card_type!$G$1,MATCH(Q76,card_type!A:A,0)-1,0)</f>
        <v>1</v>
      </c>
      <c r="L76" s="157">
        <v>2</v>
      </c>
      <c r="M76" s="157">
        <v>2</v>
      </c>
      <c r="N76" s="153">
        <f t="shared" si="12"/>
        <v>11</v>
      </c>
      <c r="O76" s="157"/>
      <c r="P76" s="157"/>
      <c r="Q76" s="153">
        <f ca="1">OFFSET(card_type!$A$1,MATCH(card!B76,card_type!B:B,0)-1,0)</f>
        <v>1003</v>
      </c>
      <c r="R76" s="153">
        <v>1</v>
      </c>
      <c r="S76" s="157">
        <f ca="1">ROUND(IF(R76=0,0,IF(R76=1,X76*$S$1,IF(R76=2,X76*$S$1*buff的资质计算!$E$2,IF(R76=3,X76*$S$1*buff的资质计算!$E$3,0)))),0)*0</f>
        <v>0</v>
      </c>
      <c r="T76" s="153">
        <v>2</v>
      </c>
      <c r="U76" s="153">
        <f ca="1" t="shared" si="13"/>
        <v>11</v>
      </c>
      <c r="V76" s="153">
        <f ca="1">ROUND((OFFSET(卡牌辅助配置表!$O$1,MATCH(U76,卡牌辅助配置表!M:M,0)-1,0)+(N76-1)*OFFSET(卡牌辅助配置表!$P$1,MATCH(U76,卡牌辅助配置表!M:M,0)-1,0))*M76,2)</f>
        <v>16.72</v>
      </c>
      <c r="W76" s="157">
        <f ca="1">ROUND(IF(R76=0,0,IF(R76=1,X76*$W$1,IF(R76=2,X76*$W$1*buff的资质计算!$E$2,IF(R76=3,X76*$W$1*buff的资质计算!$E$3,0)))),2)</f>
        <v>5.4</v>
      </c>
      <c r="X76" s="157">
        <f ca="1" t="shared" si="14"/>
        <v>18</v>
      </c>
      <c r="Y76" s="157">
        <f ca="1" t="shared" si="15"/>
        <v>18.3</v>
      </c>
      <c r="Z76" s="304">
        <f ca="1" t="shared" si="16"/>
        <v>9.15</v>
      </c>
      <c r="AA76" s="304">
        <f ca="1">OFFSET(卡牌辅助配置表!$AD$1,MATCH(AB76,卡牌辅助配置表!AB:AB,0)-1,0)</f>
        <v>207</v>
      </c>
      <c r="AB76" s="304">
        <f ca="1" t="shared" si="17"/>
        <v>1111</v>
      </c>
      <c r="AC76" s="153">
        <v>3</v>
      </c>
      <c r="AE76" s="153">
        <v>1</v>
      </c>
      <c r="AF76" s="153" t="str">
        <f ca="1" t="shared" si="18"/>
        <v>10030011|</v>
      </c>
      <c r="AJ76" s="205" t="str">
        <f ca="1" t="shared" si="19"/>
        <v>400023|3100|;</v>
      </c>
      <c r="AK76" s="205">
        <f ca="1">OFFSET([1]item_type!$A$1,MATCH(Q76,[1]item_type!$G:$G,0)-1,0)</f>
        <v>301003</v>
      </c>
      <c r="AL76" s="205"/>
      <c r="AM76" s="205">
        <f ca="1">IF(B76=B77,OFFSET(卡牌辅助配置表!$AE$1,MATCH(AB76,卡牌辅助配置表!AB:AB,0),0),0)</f>
        <v>3100</v>
      </c>
      <c r="AN76" s="153">
        <f ca="1" t="shared" si="20"/>
        <v>1003012</v>
      </c>
      <c r="AP76" s="153" t="str">
        <f ca="1">IF(AC76=0,0,IF(AC76=12,0,OFFSET(effect!$N$1,MATCH(K76,effect!M:M,0)-1,0)))</f>
        <v>kpsx_pt</v>
      </c>
    </row>
    <row r="77" spans="1:42">
      <c r="A77" s="153">
        <f ca="1" t="shared" si="11"/>
        <v>1003012</v>
      </c>
      <c r="B77" s="91" t="s">
        <v>589</v>
      </c>
      <c r="C77" s="186">
        <v>1</v>
      </c>
      <c r="D77" s="186">
        <v>6</v>
      </c>
      <c r="E77" s="165" t="s">
        <v>1050</v>
      </c>
      <c r="F77" s="165" t="str">
        <f>"上一招为拳法时，增加造成伤害"&amp;skill!$O$8/100&amp;"%的护甲"</f>
        <v>上一招为拳法时，增加造成伤害30%的护甲</v>
      </c>
      <c r="G77" s="186">
        <f ca="1">OFFSET(卡牌辅助配置表!$C$1,MATCH(AC77,卡牌辅助配置表!A:A,0)-1,0)</f>
        <v>3</v>
      </c>
      <c r="H77" s="186">
        <v>0.3</v>
      </c>
      <c r="I77" s="186"/>
      <c r="J77" s="186">
        <f ca="1">OFFSET(card_type!$F$1,MATCH(Q77,card_type!A:A,0)-1,0)</f>
        <v>1</v>
      </c>
      <c r="K77" s="243">
        <f ca="1">OFFSET(card_type!$G$1,MATCH(Q77,card_type!A:A,0)-1,0)</f>
        <v>1</v>
      </c>
      <c r="L77" s="157">
        <v>2</v>
      </c>
      <c r="M77" s="157">
        <v>2</v>
      </c>
      <c r="N77" s="153">
        <f t="shared" si="12"/>
        <v>12</v>
      </c>
      <c r="O77" s="157"/>
      <c r="P77" s="157"/>
      <c r="Q77" s="153">
        <f ca="1">OFFSET(card_type!$A$1,MATCH(card!B77,card_type!B:B,0)-1,0)</f>
        <v>1003</v>
      </c>
      <c r="R77" s="153">
        <v>1</v>
      </c>
      <c r="S77" s="157">
        <f ca="1">ROUND(IF(R77=0,0,IF(R77=1,X77*$S$1,IF(R77=2,X77*$S$1*buff的资质计算!$E$2,IF(R77=3,X77*$S$1*buff的资质计算!$E$3,0)))),0)*0</f>
        <v>0</v>
      </c>
      <c r="T77" s="153">
        <v>2</v>
      </c>
      <c r="U77" s="153">
        <f ca="1" t="shared" si="13"/>
        <v>11</v>
      </c>
      <c r="V77" s="153">
        <f ca="1">ROUND((OFFSET(卡牌辅助配置表!$O$1,MATCH(U77,卡牌辅助配置表!M:M,0)-1,0)+(N77-1)*OFFSET(卡牌辅助配置表!$P$1,MATCH(U77,卡牌辅助配置表!M:M,0)-1,0))*M77,2)</f>
        <v>17.14</v>
      </c>
      <c r="W77" s="157">
        <f ca="1">ROUND(IF(R77=0,0,IF(R77=1,X77*$W$1,IF(R77=2,X77*$W$1*buff的资质计算!$E$2,IF(R77=3,X77*$W$1*buff的资质计算!$E$3,0)))),2)</f>
        <v>5.55</v>
      </c>
      <c r="X77" s="157">
        <f ca="1" t="shared" si="14"/>
        <v>18.5</v>
      </c>
      <c r="Y77" s="157">
        <f ca="1" t="shared" si="15"/>
        <v>18.8</v>
      </c>
      <c r="Z77" s="304">
        <f ca="1" t="shared" si="16"/>
        <v>9.4</v>
      </c>
      <c r="AA77" s="304">
        <f ca="1">OFFSET(卡牌辅助配置表!$AD$1,MATCH(AB77,卡牌辅助配置表!AB:AB,0)-1,0)</f>
        <v>234</v>
      </c>
      <c r="AB77" s="304">
        <f ca="1" t="shared" si="17"/>
        <v>1112</v>
      </c>
      <c r="AC77" s="153">
        <v>3</v>
      </c>
      <c r="AE77" s="153">
        <v>1</v>
      </c>
      <c r="AF77" s="153" t="str">
        <f ca="1" t="shared" si="18"/>
        <v>10030011|</v>
      </c>
      <c r="AJ77" s="205" t="str">
        <f ca="1" t="shared" si="19"/>
        <v>400023|3500|;</v>
      </c>
      <c r="AK77" s="205">
        <f ca="1">OFFSET([1]item_type!$A$1,MATCH(Q77,[1]item_type!$G:$G,0)-1,0)</f>
        <v>301003</v>
      </c>
      <c r="AL77" s="205"/>
      <c r="AM77" s="205">
        <f ca="1">IF(B77=B78,OFFSET(卡牌辅助配置表!$AE$1,MATCH(AB77,卡牌辅助配置表!AB:AB,0),0),0)</f>
        <v>3500</v>
      </c>
      <c r="AN77" s="153">
        <f ca="1" t="shared" si="20"/>
        <v>1003013</v>
      </c>
      <c r="AP77" s="153" t="str">
        <f ca="1">IF(AC77=0,0,IF(AC77=12,0,OFFSET(effect!$N$1,MATCH(K77,effect!M:M,0)-1,0)))</f>
        <v>kpsx_pt</v>
      </c>
    </row>
    <row r="78" spans="1:42">
      <c r="A78" s="153">
        <f ca="1" t="shared" si="11"/>
        <v>1003013</v>
      </c>
      <c r="B78" s="91" t="s">
        <v>589</v>
      </c>
      <c r="C78" s="186">
        <v>1</v>
      </c>
      <c r="D78" s="186">
        <v>6</v>
      </c>
      <c r="E78" s="165" t="s">
        <v>1050</v>
      </c>
      <c r="F78" s="165" t="str">
        <f>"上一招为拳法时，增加造成伤害"&amp;skill!$O$8/100&amp;"%的护甲"</f>
        <v>上一招为拳法时，增加造成伤害30%的护甲</v>
      </c>
      <c r="G78" s="186">
        <f ca="1">OFFSET(卡牌辅助配置表!$C$1,MATCH(AC78,卡牌辅助配置表!A:A,0)-1,0)</f>
        <v>3</v>
      </c>
      <c r="H78" s="186">
        <v>0.3</v>
      </c>
      <c r="I78" s="186"/>
      <c r="J78" s="186">
        <f ca="1">OFFSET(card_type!$F$1,MATCH(Q78,card_type!A:A,0)-1,0)</f>
        <v>1</v>
      </c>
      <c r="K78" s="243">
        <f ca="1">OFFSET(card_type!$G$1,MATCH(Q78,card_type!A:A,0)-1,0)</f>
        <v>1</v>
      </c>
      <c r="L78" s="157">
        <v>2</v>
      </c>
      <c r="M78" s="157">
        <v>2</v>
      </c>
      <c r="N78" s="153">
        <f t="shared" si="12"/>
        <v>13</v>
      </c>
      <c r="O78" s="157"/>
      <c r="P78" s="157"/>
      <c r="Q78" s="153">
        <f ca="1">OFFSET(card_type!$A$1,MATCH(card!B78,card_type!B:B,0)-1,0)</f>
        <v>1003</v>
      </c>
      <c r="R78" s="153">
        <v>1</v>
      </c>
      <c r="S78" s="157">
        <f ca="1">ROUND(IF(R78=0,0,IF(R78=1,X78*$S$1,IF(R78=2,X78*$S$1*buff的资质计算!$E$2,IF(R78=3,X78*$S$1*buff的资质计算!$E$3,0)))),0)*0</f>
        <v>0</v>
      </c>
      <c r="T78" s="153">
        <v>2</v>
      </c>
      <c r="U78" s="153">
        <f ca="1" t="shared" si="13"/>
        <v>11</v>
      </c>
      <c r="V78" s="153">
        <f ca="1">ROUND((OFFSET(卡牌辅助配置表!$O$1,MATCH(U78,卡牌辅助配置表!M:M,0)-1,0)+(N78-1)*OFFSET(卡牌辅助配置表!$P$1,MATCH(U78,卡牌辅助配置表!M:M,0)-1,0))*M78,2)</f>
        <v>17.56</v>
      </c>
      <c r="W78" s="157">
        <f ca="1">ROUND(IF(R78=0,0,IF(R78=1,X78*$W$1,IF(R78=2,X78*$W$1*buff的资质计算!$E$2,IF(R78=3,X78*$W$1*buff的资质计算!$E$3,0)))),2)</f>
        <v>5.7</v>
      </c>
      <c r="X78" s="157">
        <f ca="1" t="shared" si="14"/>
        <v>19</v>
      </c>
      <c r="Y78" s="157">
        <f ca="1" t="shared" si="15"/>
        <v>19.3</v>
      </c>
      <c r="Z78" s="304">
        <f ca="1" t="shared" si="16"/>
        <v>9.65</v>
      </c>
      <c r="AA78" s="304">
        <f ca="1">OFFSET(卡牌辅助配置表!$AD$1,MATCH(AB78,卡牌辅助配置表!AB:AB,0)-1,0)</f>
        <v>261</v>
      </c>
      <c r="AB78" s="304">
        <f ca="1" t="shared" si="17"/>
        <v>1113</v>
      </c>
      <c r="AC78" s="153">
        <v>3</v>
      </c>
      <c r="AE78" s="153">
        <v>1</v>
      </c>
      <c r="AF78" s="153" t="str">
        <f ca="1" t="shared" si="18"/>
        <v>10030011|</v>
      </c>
      <c r="AJ78" s="205" t="str">
        <f ca="1" t="shared" si="19"/>
        <v>400023|3900|;</v>
      </c>
      <c r="AK78" s="205">
        <f ca="1">OFFSET([1]item_type!$A$1,MATCH(Q78,[1]item_type!$G:$G,0)-1,0)</f>
        <v>301003</v>
      </c>
      <c r="AL78" s="205"/>
      <c r="AM78" s="205">
        <f ca="1">IF(B78=B79,OFFSET(卡牌辅助配置表!$AE$1,MATCH(AB78,卡牌辅助配置表!AB:AB,0),0),0)</f>
        <v>3900</v>
      </c>
      <c r="AN78" s="153">
        <f ca="1" t="shared" si="20"/>
        <v>1003014</v>
      </c>
      <c r="AP78" s="153" t="str">
        <f ca="1">IF(AC78=0,0,IF(AC78=12,0,OFFSET(effect!$N$1,MATCH(K78,effect!M:M,0)-1,0)))</f>
        <v>kpsx_pt</v>
      </c>
    </row>
    <row r="79" spans="1:42">
      <c r="A79" s="153">
        <f ca="1" t="shared" si="11"/>
        <v>1003014</v>
      </c>
      <c r="B79" s="91" t="s">
        <v>589</v>
      </c>
      <c r="C79" s="186">
        <v>1</v>
      </c>
      <c r="D79" s="186">
        <v>6</v>
      </c>
      <c r="E79" s="165" t="s">
        <v>1050</v>
      </c>
      <c r="F79" s="165" t="str">
        <f>"上一招为拳法时，增加造成伤害"&amp;skill!$O$8/100&amp;"%的护甲"</f>
        <v>上一招为拳法时，增加造成伤害30%的护甲</v>
      </c>
      <c r="G79" s="186">
        <f ca="1">OFFSET(卡牌辅助配置表!$C$1,MATCH(AC79,卡牌辅助配置表!A:A,0)-1,0)</f>
        <v>3</v>
      </c>
      <c r="H79" s="186">
        <v>0.3</v>
      </c>
      <c r="I79" s="186"/>
      <c r="J79" s="186">
        <f ca="1">OFFSET(card_type!$F$1,MATCH(Q79,card_type!A:A,0)-1,0)</f>
        <v>1</v>
      </c>
      <c r="K79" s="243">
        <f ca="1">OFFSET(card_type!$G$1,MATCH(Q79,card_type!A:A,0)-1,0)</f>
        <v>1</v>
      </c>
      <c r="L79" s="157">
        <v>2</v>
      </c>
      <c r="M79" s="157">
        <v>2</v>
      </c>
      <c r="N79" s="153">
        <f t="shared" si="12"/>
        <v>14</v>
      </c>
      <c r="O79" s="157"/>
      <c r="P79" s="157"/>
      <c r="Q79" s="153">
        <f ca="1">OFFSET(card_type!$A$1,MATCH(card!B79,card_type!B:B,0)-1,0)</f>
        <v>1003</v>
      </c>
      <c r="R79" s="153">
        <v>1</v>
      </c>
      <c r="S79" s="157">
        <f ca="1">ROUND(IF(R79=0,0,IF(R79=1,X79*$S$1,IF(R79=2,X79*$S$1*buff的资质计算!$E$2,IF(R79=3,X79*$S$1*buff的资质计算!$E$3,0)))),0)*0</f>
        <v>0</v>
      </c>
      <c r="T79" s="153">
        <v>2</v>
      </c>
      <c r="U79" s="153">
        <f ca="1" t="shared" si="13"/>
        <v>11</v>
      </c>
      <c r="V79" s="153">
        <f ca="1">ROUND((OFFSET(卡牌辅助配置表!$O$1,MATCH(U79,卡牌辅助配置表!M:M,0)-1,0)+(N79-1)*OFFSET(卡牌辅助配置表!$P$1,MATCH(U79,卡牌辅助配置表!M:M,0)-1,0))*M79,2)</f>
        <v>17.97</v>
      </c>
      <c r="W79" s="157">
        <f ca="1">ROUND(IF(R79=0,0,IF(R79=1,X79*$W$1,IF(R79=2,X79*$W$1*buff的资质计算!$E$2,IF(R79=3,X79*$W$1*buff的资质计算!$E$3,0)))),2)</f>
        <v>5.85</v>
      </c>
      <c r="X79" s="157">
        <f ca="1" t="shared" si="14"/>
        <v>19.5</v>
      </c>
      <c r="Y79" s="157">
        <f ca="1" t="shared" si="15"/>
        <v>19.8</v>
      </c>
      <c r="Z79" s="304">
        <f ca="1" t="shared" si="16"/>
        <v>9.9</v>
      </c>
      <c r="AA79" s="304">
        <f ca="1">OFFSET(卡牌辅助配置表!$AD$1,MATCH(AB79,卡牌辅助配置表!AB:AB,0)-1,0)</f>
        <v>288</v>
      </c>
      <c r="AB79" s="304">
        <f ca="1" t="shared" si="17"/>
        <v>1114</v>
      </c>
      <c r="AC79" s="153">
        <v>3</v>
      </c>
      <c r="AE79" s="153">
        <v>1</v>
      </c>
      <c r="AF79" s="153" t="str">
        <f ca="1" t="shared" si="18"/>
        <v>10030011|</v>
      </c>
      <c r="AJ79" s="205" t="str">
        <f ca="1" t="shared" si="19"/>
        <v>400023|4300|;</v>
      </c>
      <c r="AK79" s="205">
        <f ca="1">OFFSET([1]item_type!$A$1,MATCH(Q79,[1]item_type!$G:$G,0)-1,0)</f>
        <v>301003</v>
      </c>
      <c r="AL79" s="205"/>
      <c r="AM79" s="205">
        <f ca="1">IF(B79=B80,OFFSET(卡牌辅助配置表!$AE$1,MATCH(AB79,卡牌辅助配置表!AB:AB,0),0),0)</f>
        <v>4300</v>
      </c>
      <c r="AN79" s="153">
        <f ca="1" t="shared" si="20"/>
        <v>1003015</v>
      </c>
      <c r="AP79" s="153" t="str">
        <f ca="1">IF(AC79=0,0,IF(AC79=12,0,OFFSET(effect!$N$1,MATCH(K79,effect!M:M,0)-1,0)))</f>
        <v>kpsx_pt</v>
      </c>
    </row>
    <row r="80" spans="1:42">
      <c r="A80" s="153">
        <f ca="1" t="shared" si="11"/>
        <v>1003015</v>
      </c>
      <c r="B80" s="91" t="s">
        <v>589</v>
      </c>
      <c r="C80" s="186">
        <v>1</v>
      </c>
      <c r="D80" s="186">
        <v>6</v>
      </c>
      <c r="E80" s="165" t="s">
        <v>1050</v>
      </c>
      <c r="F80" s="165" t="str">
        <f>"上一招为拳法时，增加造成伤害"&amp;skill!$O$8/100&amp;"%的护甲"</f>
        <v>上一招为拳法时，增加造成伤害30%的护甲</v>
      </c>
      <c r="G80" s="186">
        <f ca="1">OFFSET(卡牌辅助配置表!$C$1,MATCH(AC80,卡牌辅助配置表!A:A,0)-1,0)</f>
        <v>3</v>
      </c>
      <c r="H80" s="186">
        <v>0.3</v>
      </c>
      <c r="I80" s="186"/>
      <c r="J80" s="186">
        <f ca="1">OFFSET(card_type!$F$1,MATCH(Q80,card_type!A:A,0)-1,0)</f>
        <v>1</v>
      </c>
      <c r="K80" s="243">
        <f ca="1">OFFSET(card_type!$G$1,MATCH(Q80,card_type!A:A,0)-1,0)</f>
        <v>1</v>
      </c>
      <c r="L80" s="157">
        <v>2</v>
      </c>
      <c r="M80" s="157">
        <v>2</v>
      </c>
      <c r="N80" s="153">
        <f t="shared" si="12"/>
        <v>15</v>
      </c>
      <c r="O80" s="157"/>
      <c r="P80" s="157"/>
      <c r="Q80" s="153">
        <f ca="1">OFFSET(card_type!$A$1,MATCH(card!B80,card_type!B:B,0)-1,0)</f>
        <v>1003</v>
      </c>
      <c r="R80" s="153">
        <v>1</v>
      </c>
      <c r="S80" s="157">
        <f ca="1">ROUND(IF(R80=0,0,IF(R80=1,X80*$S$1,IF(R80=2,X80*$S$1*buff的资质计算!$E$2,IF(R80=3,X80*$S$1*buff的资质计算!$E$3,0)))),0)*0</f>
        <v>0</v>
      </c>
      <c r="T80" s="153">
        <v>2</v>
      </c>
      <c r="U80" s="153">
        <f ca="1" t="shared" si="13"/>
        <v>11</v>
      </c>
      <c r="V80" s="153">
        <f ca="1">ROUND((OFFSET(卡牌辅助配置表!$O$1,MATCH(U80,卡牌辅助配置表!M:M,0)-1,0)+(N80-1)*OFFSET(卡牌辅助配置表!$P$1,MATCH(U80,卡牌辅助配置表!M:M,0)-1,0))*M80,2)</f>
        <v>18.39</v>
      </c>
      <c r="W80" s="157">
        <f ca="1">ROUND(IF(R80=0,0,IF(R80=1,X80*$W$1,IF(R80=2,X80*$W$1*buff的资质计算!$E$2,IF(R80=3,X80*$W$1*buff的资质计算!$E$3,0)))),2)</f>
        <v>6</v>
      </c>
      <c r="X80" s="157">
        <f ca="1" t="shared" si="14"/>
        <v>20</v>
      </c>
      <c r="Y80" s="157">
        <f ca="1" t="shared" si="15"/>
        <v>20.3</v>
      </c>
      <c r="Z80" s="304">
        <f ca="1" t="shared" si="16"/>
        <v>10.15</v>
      </c>
      <c r="AA80" s="304">
        <f ca="1">OFFSET(卡牌辅助配置表!$AD$1,MATCH(AB80,卡牌辅助配置表!AB:AB,0)-1,0)</f>
        <v>315</v>
      </c>
      <c r="AB80" s="304">
        <f ca="1" t="shared" si="17"/>
        <v>1115</v>
      </c>
      <c r="AC80" s="153">
        <v>3</v>
      </c>
      <c r="AE80" s="153">
        <v>1</v>
      </c>
      <c r="AF80" s="153" t="str">
        <f ca="1" t="shared" si="18"/>
        <v>10030011|</v>
      </c>
      <c r="AJ80" s="205" t="str">
        <f ca="1" t="shared" si="19"/>
        <v>400023|4700|;</v>
      </c>
      <c r="AK80" s="205">
        <f ca="1">OFFSET([1]item_type!$A$1,MATCH(Q80,[1]item_type!$G:$G,0)-1,0)</f>
        <v>301003</v>
      </c>
      <c r="AL80" s="205"/>
      <c r="AM80" s="205">
        <f ca="1">IF(B80=B81,OFFSET(卡牌辅助配置表!$AE$1,MATCH(AB80,卡牌辅助配置表!AB:AB,0),0),0)</f>
        <v>4700</v>
      </c>
      <c r="AN80" s="153">
        <f ca="1" t="shared" si="20"/>
        <v>1003016</v>
      </c>
      <c r="AP80" s="153" t="str">
        <f ca="1">IF(AC80=0,0,IF(AC80=12,0,OFFSET(effect!$N$1,MATCH(K80,effect!M:M,0)-1,0)))</f>
        <v>kpsx_pt</v>
      </c>
    </row>
    <row r="81" spans="1:42">
      <c r="A81" s="153">
        <f ca="1" t="shared" si="11"/>
        <v>1003016</v>
      </c>
      <c r="B81" s="91" t="s">
        <v>589</v>
      </c>
      <c r="C81" s="186">
        <v>1</v>
      </c>
      <c r="D81" s="186">
        <v>6</v>
      </c>
      <c r="E81" s="165" t="s">
        <v>1050</v>
      </c>
      <c r="F81" s="165" t="str">
        <f>"上一招为拳法时，增加造成伤害"&amp;skill!$O$8/100&amp;"%的护甲"</f>
        <v>上一招为拳法时，增加造成伤害30%的护甲</v>
      </c>
      <c r="G81" s="186">
        <f ca="1">OFFSET(卡牌辅助配置表!$C$1,MATCH(AC81,卡牌辅助配置表!A:A,0)-1,0)</f>
        <v>3</v>
      </c>
      <c r="H81" s="186">
        <v>0.3</v>
      </c>
      <c r="I81" s="186"/>
      <c r="J81" s="186">
        <f ca="1">OFFSET(card_type!$F$1,MATCH(Q81,card_type!A:A,0)-1,0)</f>
        <v>1</v>
      </c>
      <c r="K81" s="243">
        <f ca="1">OFFSET(card_type!$G$1,MATCH(Q81,card_type!A:A,0)-1,0)</f>
        <v>1</v>
      </c>
      <c r="L81" s="157">
        <v>2</v>
      </c>
      <c r="M81" s="157">
        <v>2</v>
      </c>
      <c r="N81" s="153">
        <f t="shared" si="12"/>
        <v>16</v>
      </c>
      <c r="O81" s="157"/>
      <c r="P81" s="157"/>
      <c r="Q81" s="153">
        <f ca="1">OFFSET(card_type!$A$1,MATCH(card!B81,card_type!B:B,0)-1,0)</f>
        <v>1003</v>
      </c>
      <c r="R81" s="153">
        <v>1</v>
      </c>
      <c r="S81" s="157">
        <f ca="1">ROUND(IF(R81=0,0,IF(R81=1,X81*$S$1,IF(R81=2,X81*$S$1*buff的资质计算!$E$2,IF(R81=3,X81*$S$1*buff的资质计算!$E$3,0)))),0)*0</f>
        <v>0</v>
      </c>
      <c r="T81" s="153">
        <v>2</v>
      </c>
      <c r="U81" s="153">
        <f ca="1" t="shared" si="13"/>
        <v>11</v>
      </c>
      <c r="V81" s="153">
        <f ca="1">ROUND((OFFSET(卡牌辅助配置表!$O$1,MATCH(U81,卡牌辅助配置表!M:M,0)-1,0)+(N81-1)*OFFSET(卡牌辅助配置表!$P$1,MATCH(U81,卡牌辅助配置表!M:M,0)-1,0))*M81,2)</f>
        <v>18.81</v>
      </c>
      <c r="W81" s="157">
        <f ca="1">ROUND(IF(R81=0,0,IF(R81=1,X81*$W$1,IF(R81=2,X81*$W$1*buff的资质计算!$E$2,IF(R81=3,X81*$W$1*buff的资质计算!$E$3,0)))),2)</f>
        <v>6.15</v>
      </c>
      <c r="X81" s="157">
        <f ca="1" t="shared" si="14"/>
        <v>20.5</v>
      </c>
      <c r="Y81" s="157">
        <f ca="1" t="shared" si="15"/>
        <v>20.8</v>
      </c>
      <c r="Z81" s="304">
        <f ca="1" t="shared" si="16"/>
        <v>10.4</v>
      </c>
      <c r="AA81" s="304">
        <f ca="1">OFFSET(卡牌辅助配置表!$AD$1,MATCH(AB81,卡牌辅助配置表!AB:AB,0)-1,0)</f>
        <v>342</v>
      </c>
      <c r="AB81" s="304">
        <f ca="1" t="shared" si="17"/>
        <v>1116</v>
      </c>
      <c r="AC81" s="153">
        <v>3</v>
      </c>
      <c r="AE81" s="153">
        <v>1</v>
      </c>
      <c r="AF81" s="153" t="str">
        <f ca="1" t="shared" si="18"/>
        <v>10030011|</v>
      </c>
      <c r="AJ81" s="205" t="str">
        <f ca="1" t="shared" si="19"/>
        <v>400023|5100|;</v>
      </c>
      <c r="AK81" s="205">
        <f ca="1">OFFSET([1]item_type!$A$1,MATCH(Q81,[1]item_type!$G:$G,0)-1,0)</f>
        <v>301003</v>
      </c>
      <c r="AL81" s="205"/>
      <c r="AM81" s="205">
        <f ca="1">IF(B81=B82,OFFSET(卡牌辅助配置表!$AE$1,MATCH(AB81,卡牌辅助配置表!AB:AB,0),0),0)</f>
        <v>5100</v>
      </c>
      <c r="AN81" s="153">
        <f ca="1" t="shared" si="20"/>
        <v>1003017</v>
      </c>
      <c r="AP81" s="153" t="str">
        <f ca="1">IF(AC81=0,0,IF(AC81=12,0,OFFSET(effect!$N$1,MATCH(K81,effect!M:M,0)-1,0)))</f>
        <v>kpsx_pt</v>
      </c>
    </row>
    <row r="82" spans="1:42">
      <c r="A82" s="153">
        <f ca="1" t="shared" si="11"/>
        <v>1003017</v>
      </c>
      <c r="B82" s="91" t="s">
        <v>589</v>
      </c>
      <c r="C82" s="186">
        <v>1</v>
      </c>
      <c r="D82" s="186">
        <v>6</v>
      </c>
      <c r="E82" s="165" t="s">
        <v>1050</v>
      </c>
      <c r="F82" s="165" t="str">
        <f>"上一招为拳法时，增加造成伤害"&amp;skill!$O$8/100&amp;"%的护甲"</f>
        <v>上一招为拳法时，增加造成伤害30%的护甲</v>
      </c>
      <c r="G82" s="186">
        <f ca="1">OFFSET(卡牌辅助配置表!$C$1,MATCH(AC82,卡牌辅助配置表!A:A,0)-1,0)</f>
        <v>3</v>
      </c>
      <c r="H82" s="186">
        <v>0.3</v>
      </c>
      <c r="I82" s="186"/>
      <c r="J82" s="186">
        <f ca="1">OFFSET(card_type!$F$1,MATCH(Q82,card_type!A:A,0)-1,0)</f>
        <v>1</v>
      </c>
      <c r="K82" s="243">
        <f ca="1">OFFSET(card_type!$G$1,MATCH(Q82,card_type!A:A,0)-1,0)</f>
        <v>1</v>
      </c>
      <c r="L82" s="157">
        <v>2</v>
      </c>
      <c r="M82" s="157">
        <v>2</v>
      </c>
      <c r="N82" s="153">
        <f t="shared" si="12"/>
        <v>17</v>
      </c>
      <c r="O82" s="157"/>
      <c r="P82" s="157"/>
      <c r="Q82" s="153">
        <f ca="1">OFFSET(card_type!$A$1,MATCH(card!B82,card_type!B:B,0)-1,0)</f>
        <v>1003</v>
      </c>
      <c r="R82" s="153">
        <v>1</v>
      </c>
      <c r="S82" s="157">
        <f ca="1">ROUND(IF(R82=0,0,IF(R82=1,X82*$S$1,IF(R82=2,X82*$S$1*buff的资质计算!$E$2,IF(R82=3,X82*$S$1*buff的资质计算!$E$3,0)))),0)*0</f>
        <v>0</v>
      </c>
      <c r="T82" s="153">
        <v>2</v>
      </c>
      <c r="U82" s="153">
        <f ca="1" t="shared" si="13"/>
        <v>11</v>
      </c>
      <c r="V82" s="153">
        <f ca="1">ROUND((OFFSET(卡牌辅助配置表!$O$1,MATCH(U82,卡牌辅助配置表!M:M,0)-1,0)+(N82-1)*OFFSET(卡牌辅助配置表!$P$1,MATCH(U82,卡牌辅助配置表!M:M,0)-1,0))*M82,2)</f>
        <v>19.23</v>
      </c>
      <c r="W82" s="157">
        <f ca="1">ROUND(IF(R82=0,0,IF(R82=1,X82*$W$1,IF(R82=2,X82*$W$1*buff的资质计算!$E$2,IF(R82=3,X82*$W$1*buff的资质计算!$E$3,0)))),2)</f>
        <v>6.3</v>
      </c>
      <c r="X82" s="157">
        <f ca="1" t="shared" si="14"/>
        <v>21</v>
      </c>
      <c r="Y82" s="157">
        <f ca="1" t="shared" si="15"/>
        <v>21.3</v>
      </c>
      <c r="Z82" s="304">
        <f ca="1" t="shared" si="16"/>
        <v>10.65</v>
      </c>
      <c r="AA82" s="304">
        <f ca="1">OFFSET(卡牌辅助配置表!$AD$1,MATCH(AB82,卡牌辅助配置表!AB:AB,0)-1,0)</f>
        <v>369</v>
      </c>
      <c r="AB82" s="304">
        <f ca="1" t="shared" si="17"/>
        <v>1117</v>
      </c>
      <c r="AC82" s="153">
        <v>3</v>
      </c>
      <c r="AE82" s="153">
        <v>1</v>
      </c>
      <c r="AF82" s="153" t="str">
        <f ca="1" t="shared" si="18"/>
        <v>10030011|</v>
      </c>
      <c r="AJ82" s="205" t="str">
        <f ca="1" t="shared" si="19"/>
        <v>400023|5500|;</v>
      </c>
      <c r="AK82" s="205">
        <f ca="1">OFFSET([1]item_type!$A$1,MATCH(Q82,[1]item_type!$G:$G,0)-1,0)</f>
        <v>301003</v>
      </c>
      <c r="AL82" s="205"/>
      <c r="AM82" s="205">
        <f ca="1">IF(B82=B83,OFFSET(卡牌辅助配置表!$AE$1,MATCH(AB82,卡牌辅助配置表!AB:AB,0),0),0)</f>
        <v>5500</v>
      </c>
      <c r="AN82" s="153">
        <f ca="1" t="shared" si="20"/>
        <v>1003018</v>
      </c>
      <c r="AP82" s="153" t="str">
        <f ca="1">IF(AC82=0,0,IF(AC82=12,0,OFFSET(effect!$N$1,MATCH(K82,effect!M:M,0)-1,0)))</f>
        <v>kpsx_pt</v>
      </c>
    </row>
    <row r="83" spans="1:42">
      <c r="A83" s="153">
        <f ca="1" t="shared" si="11"/>
        <v>1003018</v>
      </c>
      <c r="B83" s="91" t="s">
        <v>589</v>
      </c>
      <c r="C83" s="186">
        <v>1</v>
      </c>
      <c r="D83" s="186">
        <v>6</v>
      </c>
      <c r="E83" s="165" t="s">
        <v>1050</v>
      </c>
      <c r="F83" s="165" t="str">
        <f>"上一招为拳法时，增加造成伤害"&amp;skill!$O$8/100&amp;"%的护甲"</f>
        <v>上一招为拳法时，增加造成伤害30%的护甲</v>
      </c>
      <c r="G83" s="186">
        <f ca="1">OFFSET(卡牌辅助配置表!$C$1,MATCH(AC83,卡牌辅助配置表!A:A,0)-1,0)</f>
        <v>3</v>
      </c>
      <c r="H83" s="186">
        <v>0.3</v>
      </c>
      <c r="I83" s="186"/>
      <c r="J83" s="186">
        <f ca="1">OFFSET(card_type!$F$1,MATCH(Q83,card_type!A:A,0)-1,0)</f>
        <v>1</v>
      </c>
      <c r="K83" s="243">
        <f ca="1">OFFSET(card_type!$G$1,MATCH(Q83,card_type!A:A,0)-1,0)</f>
        <v>1</v>
      </c>
      <c r="L83" s="157">
        <v>2</v>
      </c>
      <c r="M83" s="157">
        <v>2</v>
      </c>
      <c r="N83" s="153">
        <f t="shared" si="12"/>
        <v>18</v>
      </c>
      <c r="O83" s="157"/>
      <c r="P83" s="157"/>
      <c r="Q83" s="153">
        <f ca="1">OFFSET(card_type!$A$1,MATCH(card!B83,card_type!B:B,0)-1,0)</f>
        <v>1003</v>
      </c>
      <c r="R83" s="153">
        <v>1</v>
      </c>
      <c r="S83" s="157">
        <f ca="1">ROUND(IF(R83=0,0,IF(R83=1,X83*$S$1,IF(R83=2,X83*$S$1*buff的资质计算!$E$2,IF(R83=3,X83*$S$1*buff的资质计算!$E$3,0)))),0)*0</f>
        <v>0</v>
      </c>
      <c r="T83" s="153">
        <v>2</v>
      </c>
      <c r="U83" s="153">
        <f ca="1" t="shared" si="13"/>
        <v>11</v>
      </c>
      <c r="V83" s="153">
        <f ca="1">ROUND((OFFSET(卡牌辅助配置表!$O$1,MATCH(U83,卡牌辅助配置表!M:M,0)-1,0)+(N83-1)*OFFSET(卡牌辅助配置表!$P$1,MATCH(U83,卡牌辅助配置表!M:M,0)-1,0))*M83,2)</f>
        <v>19.65</v>
      </c>
      <c r="W83" s="157">
        <f ca="1">ROUND(IF(R83=0,0,IF(R83=1,X83*$W$1,IF(R83=2,X83*$W$1*buff的资质计算!$E$2,IF(R83=3,X83*$W$1*buff的资质计算!$E$3,0)))),2)</f>
        <v>6.45</v>
      </c>
      <c r="X83" s="157">
        <f ca="1" t="shared" si="14"/>
        <v>21.5</v>
      </c>
      <c r="Y83" s="157">
        <f ca="1" t="shared" si="15"/>
        <v>21.8</v>
      </c>
      <c r="Z83" s="304">
        <f ca="1" t="shared" si="16"/>
        <v>10.9</v>
      </c>
      <c r="AA83" s="304">
        <f ca="1">OFFSET(卡牌辅助配置表!$AD$1,MATCH(AB83,卡牌辅助配置表!AB:AB,0)-1,0)</f>
        <v>396</v>
      </c>
      <c r="AB83" s="304">
        <f ca="1" t="shared" si="17"/>
        <v>1118</v>
      </c>
      <c r="AC83" s="153">
        <v>3</v>
      </c>
      <c r="AE83" s="153">
        <v>1</v>
      </c>
      <c r="AF83" s="153" t="str">
        <f ca="1" t="shared" si="18"/>
        <v>10030011|</v>
      </c>
      <c r="AJ83" s="205" t="str">
        <f ca="1" t="shared" si="19"/>
        <v>400023|5900|;</v>
      </c>
      <c r="AK83" s="205">
        <f ca="1">OFFSET([1]item_type!$A$1,MATCH(Q83,[1]item_type!$G:$G,0)-1,0)</f>
        <v>301003</v>
      </c>
      <c r="AL83" s="205"/>
      <c r="AM83" s="205">
        <f ca="1">IF(B83=B84,OFFSET(卡牌辅助配置表!$AE$1,MATCH(AB83,卡牌辅助配置表!AB:AB,0),0),0)</f>
        <v>5900</v>
      </c>
      <c r="AN83" s="153">
        <f ca="1" t="shared" si="20"/>
        <v>1003019</v>
      </c>
      <c r="AP83" s="153" t="str">
        <f ca="1">IF(AC83=0,0,IF(AC83=12,0,OFFSET(effect!$N$1,MATCH(K83,effect!M:M,0)-1,0)))</f>
        <v>kpsx_pt</v>
      </c>
    </row>
    <row r="84" spans="1:42">
      <c r="A84" s="153">
        <f ca="1" t="shared" si="11"/>
        <v>1003019</v>
      </c>
      <c r="B84" s="91" t="s">
        <v>589</v>
      </c>
      <c r="C84" s="186">
        <v>1</v>
      </c>
      <c r="D84" s="186">
        <v>6</v>
      </c>
      <c r="E84" s="165" t="s">
        <v>1050</v>
      </c>
      <c r="F84" s="165" t="str">
        <f>"上一招为拳法时，增加造成伤害"&amp;skill!$O$8/100&amp;"%的护甲"</f>
        <v>上一招为拳法时，增加造成伤害30%的护甲</v>
      </c>
      <c r="G84" s="186">
        <f ca="1">OFFSET(卡牌辅助配置表!$C$1,MATCH(AC84,卡牌辅助配置表!A:A,0)-1,0)</f>
        <v>3</v>
      </c>
      <c r="H84" s="186">
        <v>0.3</v>
      </c>
      <c r="I84" s="186"/>
      <c r="J84" s="186">
        <f ca="1">OFFSET(card_type!$F$1,MATCH(Q84,card_type!A:A,0)-1,0)</f>
        <v>1</v>
      </c>
      <c r="K84" s="243">
        <f ca="1">OFFSET(card_type!$G$1,MATCH(Q84,card_type!A:A,0)-1,0)</f>
        <v>1</v>
      </c>
      <c r="L84" s="157">
        <v>2</v>
      </c>
      <c r="M84" s="157">
        <v>2</v>
      </c>
      <c r="N84" s="153">
        <f t="shared" si="12"/>
        <v>19</v>
      </c>
      <c r="O84" s="157"/>
      <c r="P84" s="157"/>
      <c r="Q84" s="153">
        <f ca="1">OFFSET(card_type!$A$1,MATCH(card!B84,card_type!B:B,0)-1,0)</f>
        <v>1003</v>
      </c>
      <c r="R84" s="153">
        <v>1</v>
      </c>
      <c r="S84" s="157">
        <f ca="1">ROUND(IF(R84=0,0,IF(R84=1,X84*$S$1,IF(R84=2,X84*$S$1*buff的资质计算!$E$2,IF(R84=3,X84*$S$1*buff的资质计算!$E$3,0)))),0)*0</f>
        <v>0</v>
      </c>
      <c r="T84" s="153">
        <v>2</v>
      </c>
      <c r="U84" s="153">
        <f ca="1" t="shared" si="13"/>
        <v>11</v>
      </c>
      <c r="V84" s="153">
        <f ca="1">ROUND((OFFSET(卡牌辅助配置表!$O$1,MATCH(U84,卡牌辅助配置表!M:M,0)-1,0)+(N84-1)*OFFSET(卡牌辅助配置表!$P$1,MATCH(U84,卡牌辅助配置表!M:M,0)-1,0))*M84,2)</f>
        <v>20.06</v>
      </c>
      <c r="W84" s="157">
        <f ca="1">ROUND(IF(R84=0,0,IF(R84=1,X84*$W$1,IF(R84=2,X84*$W$1*buff的资质计算!$E$2,IF(R84=3,X84*$W$1*buff的资质计算!$E$3,0)))),2)</f>
        <v>6.6</v>
      </c>
      <c r="X84" s="157">
        <f ca="1" t="shared" si="14"/>
        <v>22</v>
      </c>
      <c r="Y84" s="157">
        <f ca="1" t="shared" si="15"/>
        <v>22.3</v>
      </c>
      <c r="Z84" s="304">
        <f ca="1" t="shared" si="16"/>
        <v>11.15</v>
      </c>
      <c r="AA84" s="304">
        <f ca="1">OFFSET(卡牌辅助配置表!$AD$1,MATCH(AB84,卡牌辅助配置表!AB:AB,0)-1,0)</f>
        <v>423</v>
      </c>
      <c r="AB84" s="304">
        <f ca="1" t="shared" si="17"/>
        <v>1119</v>
      </c>
      <c r="AC84" s="153">
        <v>3</v>
      </c>
      <c r="AE84" s="153">
        <v>1</v>
      </c>
      <c r="AF84" s="153" t="str">
        <f ca="1" t="shared" si="18"/>
        <v>10030011|</v>
      </c>
      <c r="AJ84" s="205" t="str">
        <f ca="1" t="shared" si="19"/>
        <v>301003|20|;400023|6300|;</v>
      </c>
      <c r="AK84" s="205">
        <f ca="1">OFFSET([1]item_type!$A$1,MATCH(Q84,[1]item_type!$G:$G,0)-1,0)</f>
        <v>301003</v>
      </c>
      <c r="AL84" s="205">
        <v>20</v>
      </c>
      <c r="AM84" s="205">
        <f ca="1">IF(B84=B85,OFFSET(卡牌辅助配置表!$AE$1,MATCH(AB84,卡牌辅助配置表!AB:AB,0),0),0)</f>
        <v>6300</v>
      </c>
      <c r="AN84" s="153">
        <f ca="1" t="shared" si="20"/>
        <v>1003020</v>
      </c>
      <c r="AP84" s="153" t="str">
        <f ca="1">IF(AC84=0,0,IF(AC84=12,0,OFFSET(effect!$N$1,MATCH(K84,effect!M:M,0)-1,0)))</f>
        <v>kpsx_pt</v>
      </c>
    </row>
    <row r="85" spans="1:42">
      <c r="A85" s="153">
        <f ca="1" t="shared" si="11"/>
        <v>1003020</v>
      </c>
      <c r="B85" s="91" t="s">
        <v>589</v>
      </c>
      <c r="C85" s="186">
        <v>1</v>
      </c>
      <c r="D85" s="186">
        <v>6</v>
      </c>
      <c r="E85" s="165" t="s">
        <v>1050</v>
      </c>
      <c r="F85" s="165" t="str">
        <f>"上一招为拳法时，增加造成伤害"&amp;skill!$O$8/100&amp;"%的护甲"</f>
        <v>上一招为拳法时，增加造成伤害30%的护甲</v>
      </c>
      <c r="G85" s="186">
        <f ca="1">OFFSET(卡牌辅助配置表!$C$1,MATCH(AC85,卡牌辅助配置表!A:A,0)-1,0)</f>
        <v>3</v>
      </c>
      <c r="H85" s="186">
        <v>0.3</v>
      </c>
      <c r="I85" s="186"/>
      <c r="J85" s="186">
        <f ca="1">OFFSET(card_type!$F$1,MATCH(Q85,card_type!A:A,0)-1,0)</f>
        <v>1</v>
      </c>
      <c r="K85" s="243">
        <f ca="1">OFFSET(card_type!$G$1,MATCH(Q85,card_type!A:A,0)-1,0)</f>
        <v>1</v>
      </c>
      <c r="L85" s="157">
        <v>2</v>
      </c>
      <c r="M85" s="157">
        <v>2</v>
      </c>
      <c r="N85" s="153">
        <f t="shared" si="12"/>
        <v>20</v>
      </c>
      <c r="O85" s="157"/>
      <c r="P85" s="157"/>
      <c r="Q85" s="153">
        <f ca="1">OFFSET(card_type!$A$1,MATCH(card!B85,card_type!B:B,0)-1,0)</f>
        <v>1003</v>
      </c>
      <c r="R85" s="153">
        <v>1</v>
      </c>
      <c r="S85" s="157">
        <f ca="1">ROUND(IF(R85=0,0,IF(R85=1,X85*$S$1,IF(R85=2,X85*$S$1*buff的资质计算!$E$2,IF(R85=3,X85*$S$1*buff的资质计算!$E$3,0)))),0)*0</f>
        <v>0</v>
      </c>
      <c r="T85" s="153">
        <v>2</v>
      </c>
      <c r="U85" s="153">
        <f ca="1" t="shared" si="13"/>
        <v>11</v>
      </c>
      <c r="V85" s="153">
        <f ca="1">ROUND((OFFSET(卡牌辅助配置表!$O$1,MATCH(U85,卡牌辅助配置表!M:M,0)-1,0)+(N85-1)*OFFSET(卡牌辅助配置表!$P$1,MATCH(U85,卡牌辅助配置表!M:M,0)-1,0))*M85,2)</f>
        <v>20.48</v>
      </c>
      <c r="W85" s="157">
        <f ca="1">ROUND(IF(R85=0,0,IF(R85=1,X85*$W$1,IF(R85=2,X85*$W$1*buff的资质计算!$E$2,IF(R85=3,X85*$W$1*buff的资质计算!$E$3,0)))),2)</f>
        <v>6.75</v>
      </c>
      <c r="X85" s="157">
        <f ca="1" t="shared" si="14"/>
        <v>22.5</v>
      </c>
      <c r="Y85" s="157">
        <f ca="1" t="shared" si="15"/>
        <v>22.8</v>
      </c>
      <c r="Z85" s="304">
        <f ca="1" t="shared" si="16"/>
        <v>11.4</v>
      </c>
      <c r="AA85" s="304">
        <f ca="1">OFFSET(卡牌辅助配置表!$AD$1,MATCH(AB85,卡牌辅助配置表!AB:AB,0)-1,0)</f>
        <v>450</v>
      </c>
      <c r="AB85" s="304">
        <f ca="1" t="shared" si="17"/>
        <v>1120</v>
      </c>
      <c r="AC85" s="153">
        <v>3</v>
      </c>
      <c r="AE85" s="153">
        <v>1</v>
      </c>
      <c r="AF85" s="153" t="str">
        <f ca="1" t="shared" si="18"/>
        <v>10030011|</v>
      </c>
      <c r="AJ85" s="205" t="str">
        <f ca="1" t="shared" si="19"/>
        <v>400023|7100|;</v>
      </c>
      <c r="AK85" s="205">
        <f ca="1">OFFSET([1]item_type!$A$1,MATCH(Q85,[1]item_type!$G:$G,0)-1,0)</f>
        <v>301003</v>
      </c>
      <c r="AL85" s="205"/>
      <c r="AM85" s="205">
        <f ca="1">IF(B85=B86,OFFSET(卡牌辅助配置表!$AE$1,MATCH(AB85,卡牌辅助配置表!AB:AB,0),0),0)</f>
        <v>7100</v>
      </c>
      <c r="AN85" s="153">
        <f ca="1" t="shared" si="20"/>
        <v>1003021</v>
      </c>
      <c r="AP85" s="153" t="str">
        <f ca="1">IF(AC85=0,0,IF(AC85=12,0,OFFSET(effect!$N$1,MATCH(K85,effect!M:M,0)-1,0)))</f>
        <v>kpsx_pt</v>
      </c>
    </row>
    <row r="86" spans="1:42">
      <c r="A86" s="153">
        <f ca="1" t="shared" si="11"/>
        <v>1003021</v>
      </c>
      <c r="B86" s="91" t="s">
        <v>589</v>
      </c>
      <c r="C86" s="186">
        <v>1</v>
      </c>
      <c r="D86" s="186">
        <v>6</v>
      </c>
      <c r="E86" s="165" t="s">
        <v>1050</v>
      </c>
      <c r="F86" s="165" t="str">
        <f>"上一招为拳法时，增加造成伤害"&amp;skill!$O$8/100&amp;"%的护甲"</f>
        <v>上一招为拳法时，增加造成伤害30%的护甲</v>
      </c>
      <c r="G86" s="186">
        <f ca="1">OFFSET(卡牌辅助配置表!$C$1,MATCH(AC86,卡牌辅助配置表!A:A,0)-1,0)</f>
        <v>3</v>
      </c>
      <c r="H86" s="186">
        <v>0.3</v>
      </c>
      <c r="I86" s="186"/>
      <c r="J86" s="186">
        <f ca="1">OFFSET(card_type!$F$1,MATCH(Q86,card_type!A:A,0)-1,0)</f>
        <v>1</v>
      </c>
      <c r="K86" s="243">
        <f ca="1">OFFSET(card_type!$G$1,MATCH(Q86,card_type!A:A,0)-1,0)</f>
        <v>1</v>
      </c>
      <c r="L86" s="157">
        <v>2</v>
      </c>
      <c r="M86" s="157">
        <v>2</v>
      </c>
      <c r="N86" s="153">
        <f t="shared" si="12"/>
        <v>21</v>
      </c>
      <c r="O86" s="157"/>
      <c r="P86" s="157"/>
      <c r="Q86" s="153">
        <f ca="1">OFFSET(card_type!$A$1,MATCH(card!B86,card_type!B:B,0)-1,0)</f>
        <v>1003</v>
      </c>
      <c r="R86" s="153">
        <v>1</v>
      </c>
      <c r="S86" s="157">
        <f ca="1">ROUND(IF(R86=0,0,IF(R86=1,X86*$S$1,IF(R86=2,X86*$S$1*buff的资质计算!$E$2,IF(R86=3,X86*$S$1*buff的资质计算!$E$3,0)))),0)*0</f>
        <v>0</v>
      </c>
      <c r="T86" s="153">
        <v>2</v>
      </c>
      <c r="U86" s="153">
        <f ca="1" t="shared" si="13"/>
        <v>11</v>
      </c>
      <c r="V86" s="153">
        <f ca="1">ROUND((OFFSET(卡牌辅助配置表!$O$1,MATCH(U86,卡牌辅助配置表!M:M,0)-1,0)+(N86-1)*OFFSET(卡牌辅助配置表!$P$1,MATCH(U86,卡牌辅助配置表!M:M,0)-1,0))*M86,2)</f>
        <v>20.9</v>
      </c>
      <c r="W86" s="157">
        <f ca="1">ROUND(IF(R86=0,0,IF(R86=1,X86*$W$1,IF(R86=2,X86*$W$1*buff的资质计算!$E$2,IF(R86=3,X86*$W$1*buff的资质计算!$E$3,0)))),2)</f>
        <v>6.9</v>
      </c>
      <c r="X86" s="157">
        <f ca="1" t="shared" si="14"/>
        <v>23</v>
      </c>
      <c r="Y86" s="157">
        <f ca="1" t="shared" si="15"/>
        <v>23.3</v>
      </c>
      <c r="Z86" s="304">
        <f ca="1" t="shared" si="16"/>
        <v>11.65</v>
      </c>
      <c r="AA86" s="304">
        <f ca="1">OFFSET(卡牌辅助配置表!$AD$1,MATCH(AB86,卡牌辅助配置表!AB:AB,0)-1,0)</f>
        <v>486</v>
      </c>
      <c r="AB86" s="304">
        <f ca="1" t="shared" si="17"/>
        <v>1121</v>
      </c>
      <c r="AC86" s="153">
        <v>3</v>
      </c>
      <c r="AE86" s="153">
        <v>1</v>
      </c>
      <c r="AF86" s="153" t="str">
        <f ca="1" t="shared" si="18"/>
        <v>10030011|</v>
      </c>
      <c r="AJ86" s="205" t="str">
        <f ca="1" t="shared" si="19"/>
        <v>400023|7900|;</v>
      </c>
      <c r="AK86" s="205">
        <f ca="1">OFFSET([1]item_type!$A$1,MATCH(Q86,[1]item_type!$G:$G,0)-1,0)</f>
        <v>301003</v>
      </c>
      <c r="AL86" s="205"/>
      <c r="AM86" s="205">
        <f ca="1">IF(B86=B87,OFFSET(卡牌辅助配置表!$AE$1,MATCH(AB86,卡牌辅助配置表!AB:AB,0),0),0)</f>
        <v>7900</v>
      </c>
      <c r="AN86" s="153">
        <f ca="1" t="shared" si="20"/>
        <v>1003022</v>
      </c>
      <c r="AP86" s="153" t="str">
        <f ca="1">IF(AC86=0,0,IF(AC86=12,0,OFFSET(effect!$N$1,MATCH(K86,effect!M:M,0)-1,0)))</f>
        <v>kpsx_pt</v>
      </c>
    </row>
    <row r="87" spans="1:42">
      <c r="A87" s="153">
        <f ca="1" t="shared" si="11"/>
        <v>1003022</v>
      </c>
      <c r="B87" s="91" t="s">
        <v>589</v>
      </c>
      <c r="C87" s="186">
        <v>1</v>
      </c>
      <c r="D87" s="186">
        <v>6</v>
      </c>
      <c r="E87" s="165" t="s">
        <v>1050</v>
      </c>
      <c r="F87" s="165" t="str">
        <f>"上一招为拳法时，增加造成伤害"&amp;skill!$O$8/100&amp;"%的护甲"</f>
        <v>上一招为拳法时，增加造成伤害30%的护甲</v>
      </c>
      <c r="G87" s="186">
        <f ca="1">OFFSET(卡牌辅助配置表!$C$1,MATCH(AC87,卡牌辅助配置表!A:A,0)-1,0)</f>
        <v>3</v>
      </c>
      <c r="H87" s="186">
        <v>0.3</v>
      </c>
      <c r="I87" s="186"/>
      <c r="J87" s="186">
        <f ca="1">OFFSET(card_type!$F$1,MATCH(Q87,card_type!A:A,0)-1,0)</f>
        <v>1</v>
      </c>
      <c r="K87" s="243">
        <f ca="1">OFFSET(card_type!$G$1,MATCH(Q87,card_type!A:A,0)-1,0)</f>
        <v>1</v>
      </c>
      <c r="L87" s="157">
        <v>2</v>
      </c>
      <c r="M87" s="157">
        <v>2</v>
      </c>
      <c r="N87" s="153">
        <f t="shared" si="12"/>
        <v>22</v>
      </c>
      <c r="O87" s="157"/>
      <c r="P87" s="157"/>
      <c r="Q87" s="153">
        <f ca="1">OFFSET(card_type!$A$1,MATCH(card!B87,card_type!B:B,0)-1,0)</f>
        <v>1003</v>
      </c>
      <c r="R87" s="153">
        <v>1</v>
      </c>
      <c r="S87" s="157">
        <f ca="1">ROUND(IF(R87=0,0,IF(R87=1,X87*$S$1,IF(R87=2,X87*$S$1*buff的资质计算!$E$2,IF(R87=3,X87*$S$1*buff的资质计算!$E$3,0)))),0)*0</f>
        <v>0</v>
      </c>
      <c r="T87" s="153">
        <v>2</v>
      </c>
      <c r="U87" s="153">
        <f ca="1" t="shared" si="13"/>
        <v>11</v>
      </c>
      <c r="V87" s="153">
        <f ca="1">ROUND((OFFSET(卡牌辅助配置表!$O$1,MATCH(U87,卡牌辅助配置表!M:M,0)-1,0)+(N87-1)*OFFSET(卡牌辅助配置表!$P$1,MATCH(U87,卡牌辅助配置表!M:M,0)-1,0))*M87,2)</f>
        <v>21.32</v>
      </c>
      <c r="W87" s="157">
        <f ca="1">ROUND(IF(R87=0,0,IF(R87=1,X87*$W$1,IF(R87=2,X87*$W$1*buff的资质计算!$E$2,IF(R87=3,X87*$W$1*buff的资质计算!$E$3,0)))),2)</f>
        <v>7.05</v>
      </c>
      <c r="X87" s="157">
        <f ca="1" t="shared" si="14"/>
        <v>23.5</v>
      </c>
      <c r="Y87" s="157">
        <f ca="1" t="shared" si="15"/>
        <v>23.8</v>
      </c>
      <c r="Z87" s="304">
        <f ca="1" t="shared" si="16"/>
        <v>11.9</v>
      </c>
      <c r="AA87" s="304">
        <f ca="1">OFFSET(卡牌辅助配置表!$AD$1,MATCH(AB87,卡牌辅助配置表!AB:AB,0)-1,0)</f>
        <v>522</v>
      </c>
      <c r="AB87" s="304">
        <f ca="1" t="shared" si="17"/>
        <v>1122</v>
      </c>
      <c r="AC87" s="153">
        <v>3</v>
      </c>
      <c r="AE87" s="153">
        <v>1</v>
      </c>
      <c r="AF87" s="153" t="str">
        <f ca="1" t="shared" si="18"/>
        <v>10030011|</v>
      </c>
      <c r="AJ87" s="205" t="str">
        <f ca="1" t="shared" si="19"/>
        <v>400023|8700|;</v>
      </c>
      <c r="AK87" s="205">
        <f ca="1">OFFSET([1]item_type!$A$1,MATCH(Q87,[1]item_type!$G:$G,0)-1,0)</f>
        <v>301003</v>
      </c>
      <c r="AL87" s="205"/>
      <c r="AM87" s="205">
        <f ca="1">IF(B87=B88,OFFSET(卡牌辅助配置表!$AE$1,MATCH(AB87,卡牌辅助配置表!AB:AB,0),0),0)</f>
        <v>8700</v>
      </c>
      <c r="AN87" s="153">
        <f ca="1" t="shared" si="20"/>
        <v>1003023</v>
      </c>
      <c r="AP87" s="153" t="str">
        <f ca="1">IF(AC87=0,0,IF(AC87=12,0,OFFSET(effect!$N$1,MATCH(K87,effect!M:M,0)-1,0)))</f>
        <v>kpsx_pt</v>
      </c>
    </row>
    <row r="88" spans="1:42">
      <c r="A88" s="153">
        <f ca="1" t="shared" si="11"/>
        <v>1003023</v>
      </c>
      <c r="B88" s="91" t="s">
        <v>589</v>
      </c>
      <c r="C88" s="186">
        <v>1</v>
      </c>
      <c r="D88" s="186">
        <v>6</v>
      </c>
      <c r="E88" s="165" t="s">
        <v>1050</v>
      </c>
      <c r="F88" s="165" t="str">
        <f>"上一招为拳法时，增加造成伤害"&amp;skill!$O$8/100&amp;"%的护甲"</f>
        <v>上一招为拳法时，增加造成伤害30%的护甲</v>
      </c>
      <c r="G88" s="186">
        <f ca="1">OFFSET(卡牌辅助配置表!$C$1,MATCH(AC88,卡牌辅助配置表!A:A,0)-1,0)</f>
        <v>3</v>
      </c>
      <c r="H88" s="186">
        <v>0.3</v>
      </c>
      <c r="I88" s="186"/>
      <c r="J88" s="186">
        <f ca="1">OFFSET(card_type!$F$1,MATCH(Q88,card_type!A:A,0)-1,0)</f>
        <v>1</v>
      </c>
      <c r="K88" s="243">
        <f ca="1">OFFSET(card_type!$G$1,MATCH(Q88,card_type!A:A,0)-1,0)</f>
        <v>1</v>
      </c>
      <c r="L88" s="157">
        <v>2</v>
      </c>
      <c r="M88" s="157">
        <v>2</v>
      </c>
      <c r="N88" s="153">
        <f t="shared" si="12"/>
        <v>23</v>
      </c>
      <c r="O88" s="157"/>
      <c r="P88" s="157"/>
      <c r="Q88" s="153">
        <f ca="1">OFFSET(card_type!$A$1,MATCH(card!B88,card_type!B:B,0)-1,0)</f>
        <v>1003</v>
      </c>
      <c r="R88" s="153">
        <v>1</v>
      </c>
      <c r="S88" s="157">
        <f ca="1">ROUND(IF(R88=0,0,IF(R88=1,X88*$S$1,IF(R88=2,X88*$S$1*buff的资质计算!$E$2,IF(R88=3,X88*$S$1*buff的资质计算!$E$3,0)))),0)*0</f>
        <v>0</v>
      </c>
      <c r="T88" s="153">
        <v>2</v>
      </c>
      <c r="U88" s="153">
        <f ca="1" t="shared" si="13"/>
        <v>11</v>
      </c>
      <c r="V88" s="153">
        <f ca="1">ROUND((OFFSET(卡牌辅助配置表!$O$1,MATCH(U88,卡牌辅助配置表!M:M,0)-1,0)+(N88-1)*OFFSET(卡牌辅助配置表!$P$1,MATCH(U88,卡牌辅助配置表!M:M,0)-1,0))*M88,2)</f>
        <v>21.74</v>
      </c>
      <c r="W88" s="157">
        <f ca="1">ROUND(IF(R88=0,0,IF(R88=1,X88*$W$1,IF(R88=2,X88*$W$1*buff的资质计算!$E$2,IF(R88=3,X88*$W$1*buff的资质计算!$E$3,0)))),2)</f>
        <v>7.2</v>
      </c>
      <c r="X88" s="157">
        <f ca="1" t="shared" si="14"/>
        <v>24</v>
      </c>
      <c r="Y88" s="157">
        <f ca="1" t="shared" si="15"/>
        <v>24.3</v>
      </c>
      <c r="Z88" s="304">
        <f ca="1" t="shared" si="16"/>
        <v>12.15</v>
      </c>
      <c r="AA88" s="304">
        <f ca="1">OFFSET(卡牌辅助配置表!$AD$1,MATCH(AB88,卡牌辅助配置表!AB:AB,0)-1,0)</f>
        <v>558</v>
      </c>
      <c r="AB88" s="304">
        <f ca="1" t="shared" si="17"/>
        <v>1123</v>
      </c>
      <c r="AC88" s="153">
        <v>3</v>
      </c>
      <c r="AE88" s="153">
        <v>1</v>
      </c>
      <c r="AF88" s="153" t="str">
        <f ca="1" t="shared" si="18"/>
        <v>10030011|</v>
      </c>
      <c r="AJ88" s="205" t="str">
        <f ca="1" t="shared" si="19"/>
        <v>400023|9500|;</v>
      </c>
      <c r="AK88" s="205">
        <f ca="1">OFFSET([1]item_type!$A$1,MATCH(Q88,[1]item_type!$G:$G,0)-1,0)</f>
        <v>301003</v>
      </c>
      <c r="AL88" s="205"/>
      <c r="AM88" s="205">
        <f ca="1">IF(B88=B89,OFFSET(卡牌辅助配置表!$AE$1,MATCH(AB88,卡牌辅助配置表!AB:AB,0),0),0)</f>
        <v>9500</v>
      </c>
      <c r="AN88" s="153">
        <f ca="1" t="shared" si="20"/>
        <v>1003024</v>
      </c>
      <c r="AP88" s="153" t="str">
        <f ca="1">IF(AC88=0,0,IF(AC88=12,0,OFFSET(effect!$N$1,MATCH(K88,effect!M:M,0)-1,0)))</f>
        <v>kpsx_pt</v>
      </c>
    </row>
    <row r="89" spans="1:42">
      <c r="A89" s="153">
        <f ca="1" t="shared" si="11"/>
        <v>1003024</v>
      </c>
      <c r="B89" s="91" t="s">
        <v>589</v>
      </c>
      <c r="C89" s="186">
        <v>1</v>
      </c>
      <c r="D89" s="186">
        <v>6</v>
      </c>
      <c r="E89" s="165" t="s">
        <v>1050</v>
      </c>
      <c r="F89" s="165" t="str">
        <f>"上一招为拳法时，增加造成伤害"&amp;skill!$O$8/100&amp;"%的护甲"</f>
        <v>上一招为拳法时，增加造成伤害30%的护甲</v>
      </c>
      <c r="G89" s="186">
        <f ca="1">OFFSET(卡牌辅助配置表!$C$1,MATCH(AC89,卡牌辅助配置表!A:A,0)-1,0)</f>
        <v>3</v>
      </c>
      <c r="H89" s="186">
        <v>0.3</v>
      </c>
      <c r="I89" s="186"/>
      <c r="J89" s="186">
        <f ca="1">OFFSET(card_type!$F$1,MATCH(Q89,card_type!A:A,0)-1,0)</f>
        <v>1</v>
      </c>
      <c r="K89" s="243">
        <f ca="1">OFFSET(card_type!$G$1,MATCH(Q89,card_type!A:A,0)-1,0)</f>
        <v>1</v>
      </c>
      <c r="L89" s="157">
        <v>2</v>
      </c>
      <c r="M89" s="157">
        <v>2</v>
      </c>
      <c r="N89" s="153">
        <f t="shared" si="12"/>
        <v>24</v>
      </c>
      <c r="O89" s="157"/>
      <c r="P89" s="157"/>
      <c r="Q89" s="153">
        <f ca="1">OFFSET(card_type!$A$1,MATCH(card!B89,card_type!B:B,0)-1,0)</f>
        <v>1003</v>
      </c>
      <c r="R89" s="153">
        <v>1</v>
      </c>
      <c r="S89" s="157">
        <f ca="1">ROUND(IF(R89=0,0,IF(R89=1,X89*$S$1,IF(R89=2,X89*$S$1*buff的资质计算!$E$2,IF(R89=3,X89*$S$1*buff的资质计算!$E$3,0)))),0)*0</f>
        <v>0</v>
      </c>
      <c r="T89" s="153">
        <v>2</v>
      </c>
      <c r="U89" s="153">
        <f ca="1" t="shared" si="13"/>
        <v>11</v>
      </c>
      <c r="V89" s="153">
        <f ca="1">ROUND((OFFSET(卡牌辅助配置表!$O$1,MATCH(U89,卡牌辅助配置表!M:M,0)-1,0)+(N89-1)*OFFSET(卡牌辅助配置表!$P$1,MATCH(U89,卡牌辅助配置表!M:M,0)-1,0))*M89,2)</f>
        <v>22.15</v>
      </c>
      <c r="W89" s="157">
        <f ca="1">ROUND(IF(R89=0,0,IF(R89=1,X89*$W$1,IF(R89=2,X89*$W$1*buff的资质计算!$E$2,IF(R89=3,X89*$W$1*buff的资质计算!$E$3,0)))),2)</f>
        <v>7.35</v>
      </c>
      <c r="X89" s="157">
        <f ca="1" t="shared" si="14"/>
        <v>24.5</v>
      </c>
      <c r="Y89" s="157">
        <f ca="1" t="shared" si="15"/>
        <v>24.8</v>
      </c>
      <c r="Z89" s="304">
        <f ca="1" t="shared" si="16"/>
        <v>12.4</v>
      </c>
      <c r="AA89" s="304">
        <f ca="1">OFFSET(卡牌辅助配置表!$AD$1,MATCH(AB89,卡牌辅助配置表!AB:AB,0)-1,0)</f>
        <v>594</v>
      </c>
      <c r="AB89" s="304">
        <f ca="1" t="shared" si="17"/>
        <v>1124</v>
      </c>
      <c r="AC89" s="153">
        <v>3</v>
      </c>
      <c r="AE89" s="153">
        <v>1</v>
      </c>
      <c r="AF89" s="153" t="str">
        <f ca="1" t="shared" si="18"/>
        <v>10030011|</v>
      </c>
      <c r="AJ89" s="205" t="str">
        <f ca="1" t="shared" si="19"/>
        <v>400023|10300|;</v>
      </c>
      <c r="AK89" s="205">
        <f ca="1">OFFSET([1]item_type!$A$1,MATCH(Q89,[1]item_type!$G:$G,0)-1,0)</f>
        <v>301003</v>
      </c>
      <c r="AL89" s="205"/>
      <c r="AM89" s="205">
        <f ca="1">IF(B89=B90,OFFSET(卡牌辅助配置表!$AE$1,MATCH(AB89,卡牌辅助配置表!AB:AB,0),0),0)</f>
        <v>10300</v>
      </c>
      <c r="AN89" s="153">
        <f ca="1" t="shared" si="20"/>
        <v>1003025</v>
      </c>
      <c r="AP89" s="153" t="str">
        <f ca="1">IF(AC89=0,0,IF(AC89=12,0,OFFSET(effect!$N$1,MATCH(K89,effect!M:M,0)-1,0)))</f>
        <v>kpsx_pt</v>
      </c>
    </row>
    <row r="90" spans="1:42">
      <c r="A90" s="153">
        <f ca="1" t="shared" si="11"/>
        <v>1003025</v>
      </c>
      <c r="B90" s="91" t="s">
        <v>589</v>
      </c>
      <c r="C90" s="186">
        <v>1</v>
      </c>
      <c r="D90" s="186">
        <v>6</v>
      </c>
      <c r="E90" s="165" t="s">
        <v>1050</v>
      </c>
      <c r="F90" s="165" t="str">
        <f>"上一招为拳法时，增加造成伤害"&amp;skill!$O$8/100&amp;"%的护甲"</f>
        <v>上一招为拳法时，增加造成伤害30%的护甲</v>
      </c>
      <c r="G90" s="186">
        <f ca="1">OFFSET(卡牌辅助配置表!$C$1,MATCH(AC90,卡牌辅助配置表!A:A,0)-1,0)</f>
        <v>3</v>
      </c>
      <c r="H90" s="186">
        <v>0.3</v>
      </c>
      <c r="I90" s="186"/>
      <c r="J90" s="186">
        <f ca="1">OFFSET(card_type!$F$1,MATCH(Q90,card_type!A:A,0)-1,0)</f>
        <v>1</v>
      </c>
      <c r="K90" s="243">
        <f ca="1">OFFSET(card_type!$G$1,MATCH(Q90,card_type!A:A,0)-1,0)</f>
        <v>1</v>
      </c>
      <c r="L90" s="157">
        <v>2</v>
      </c>
      <c r="M90" s="157">
        <v>2</v>
      </c>
      <c r="N90" s="153">
        <f t="shared" si="12"/>
        <v>25</v>
      </c>
      <c r="O90" s="157"/>
      <c r="P90" s="157"/>
      <c r="Q90" s="153">
        <f ca="1">OFFSET(card_type!$A$1,MATCH(card!B90,card_type!B:B,0)-1,0)</f>
        <v>1003</v>
      </c>
      <c r="R90" s="153">
        <v>1</v>
      </c>
      <c r="S90" s="157">
        <f ca="1">ROUND(IF(R90=0,0,IF(R90=1,X90*$S$1,IF(R90=2,X90*$S$1*buff的资质计算!$E$2,IF(R90=3,X90*$S$1*buff的资质计算!$E$3,0)))),0)*0</f>
        <v>0</v>
      </c>
      <c r="T90" s="153">
        <v>2</v>
      </c>
      <c r="U90" s="153">
        <f ca="1" t="shared" si="13"/>
        <v>11</v>
      </c>
      <c r="V90" s="153">
        <f ca="1">ROUND((OFFSET(卡牌辅助配置表!$O$1,MATCH(U90,卡牌辅助配置表!M:M,0)-1,0)+(N90-1)*OFFSET(卡牌辅助配置表!$P$1,MATCH(U90,卡牌辅助配置表!M:M,0)-1,0))*M90,2)</f>
        <v>22.57</v>
      </c>
      <c r="W90" s="157">
        <f ca="1">ROUND(IF(R90=0,0,IF(R90=1,X90*$W$1,IF(R90=2,X90*$W$1*buff的资质计算!$E$2,IF(R90=3,X90*$W$1*buff的资质计算!$E$3,0)))),2)</f>
        <v>7.5</v>
      </c>
      <c r="X90" s="157">
        <f ca="1" t="shared" si="14"/>
        <v>25</v>
      </c>
      <c r="Y90" s="157">
        <f ca="1" t="shared" si="15"/>
        <v>25.3</v>
      </c>
      <c r="Z90" s="304">
        <f ca="1" t="shared" si="16"/>
        <v>12.65</v>
      </c>
      <c r="AA90" s="304">
        <f ca="1">OFFSET(卡牌辅助配置表!$AD$1,MATCH(AB90,卡牌辅助配置表!AB:AB,0)-1,0)</f>
        <v>630</v>
      </c>
      <c r="AB90" s="304">
        <f ca="1" t="shared" si="17"/>
        <v>1125</v>
      </c>
      <c r="AC90" s="153">
        <v>3</v>
      </c>
      <c r="AE90" s="153">
        <v>1</v>
      </c>
      <c r="AF90" s="153" t="str">
        <f ca="1" t="shared" si="18"/>
        <v>10030011|</v>
      </c>
      <c r="AJ90" s="205" t="str">
        <f ca="1" t="shared" si="19"/>
        <v>400023|11100|;</v>
      </c>
      <c r="AK90" s="205">
        <f ca="1">OFFSET([1]item_type!$A$1,MATCH(Q90,[1]item_type!$G:$G,0)-1,0)</f>
        <v>301003</v>
      </c>
      <c r="AL90" s="205"/>
      <c r="AM90" s="205">
        <f ca="1">IF(B90=B91,OFFSET(卡牌辅助配置表!$AE$1,MATCH(AB90,卡牌辅助配置表!AB:AB,0),0),0)</f>
        <v>11100</v>
      </c>
      <c r="AN90" s="153">
        <f ca="1" t="shared" si="20"/>
        <v>1003026</v>
      </c>
      <c r="AP90" s="153" t="str">
        <f ca="1">IF(AC90=0,0,IF(AC90=12,0,OFFSET(effect!$N$1,MATCH(K90,effect!M:M,0)-1,0)))</f>
        <v>kpsx_pt</v>
      </c>
    </row>
    <row r="91" spans="1:42">
      <c r="A91" s="153">
        <f ca="1" t="shared" si="11"/>
        <v>1003026</v>
      </c>
      <c r="B91" s="91" t="s">
        <v>589</v>
      </c>
      <c r="C91" s="186">
        <v>1</v>
      </c>
      <c r="D91" s="186">
        <v>6</v>
      </c>
      <c r="E91" s="165" t="s">
        <v>1050</v>
      </c>
      <c r="F91" s="165" t="str">
        <f>"上一招为拳法时，增加造成伤害"&amp;skill!$O$8/100&amp;"%的护甲"</f>
        <v>上一招为拳法时，增加造成伤害30%的护甲</v>
      </c>
      <c r="G91" s="186">
        <f ca="1">OFFSET(卡牌辅助配置表!$C$1,MATCH(AC91,卡牌辅助配置表!A:A,0)-1,0)</f>
        <v>3</v>
      </c>
      <c r="H91" s="186">
        <v>0.3</v>
      </c>
      <c r="I91" s="186"/>
      <c r="J91" s="186">
        <f ca="1">OFFSET(card_type!$F$1,MATCH(Q91,card_type!A:A,0)-1,0)</f>
        <v>1</v>
      </c>
      <c r="K91" s="243">
        <f ca="1">OFFSET(card_type!$G$1,MATCH(Q91,card_type!A:A,0)-1,0)</f>
        <v>1</v>
      </c>
      <c r="L91" s="157">
        <v>2</v>
      </c>
      <c r="M91" s="157">
        <v>2</v>
      </c>
      <c r="N91" s="153">
        <f t="shared" si="12"/>
        <v>26</v>
      </c>
      <c r="O91" s="157"/>
      <c r="P91" s="157"/>
      <c r="Q91" s="153">
        <f ca="1">OFFSET(card_type!$A$1,MATCH(card!B91,card_type!B:B,0)-1,0)</f>
        <v>1003</v>
      </c>
      <c r="R91" s="153">
        <v>1</v>
      </c>
      <c r="S91" s="157">
        <f ca="1">ROUND(IF(R91=0,0,IF(R91=1,X91*$S$1,IF(R91=2,X91*$S$1*buff的资质计算!$E$2,IF(R91=3,X91*$S$1*buff的资质计算!$E$3,0)))),0)*0</f>
        <v>0</v>
      </c>
      <c r="T91" s="153">
        <v>2</v>
      </c>
      <c r="U91" s="153">
        <f ca="1" t="shared" si="13"/>
        <v>11</v>
      </c>
      <c r="V91" s="153">
        <f ca="1">ROUND((OFFSET(卡牌辅助配置表!$O$1,MATCH(U91,卡牌辅助配置表!M:M,0)-1,0)+(N91-1)*OFFSET(卡牌辅助配置表!$P$1,MATCH(U91,卡牌辅助配置表!M:M,0)-1,0))*M91,2)</f>
        <v>22.99</v>
      </c>
      <c r="W91" s="157">
        <f ca="1">ROUND(IF(R91=0,0,IF(R91=1,X91*$W$1,IF(R91=2,X91*$W$1*buff的资质计算!$E$2,IF(R91=3,X91*$W$1*buff的资质计算!$E$3,0)))),2)</f>
        <v>7.65</v>
      </c>
      <c r="X91" s="157">
        <f ca="1" t="shared" si="14"/>
        <v>25.5</v>
      </c>
      <c r="Y91" s="157">
        <f ca="1" t="shared" si="15"/>
        <v>25.8</v>
      </c>
      <c r="Z91" s="304">
        <f ca="1" t="shared" si="16"/>
        <v>12.9</v>
      </c>
      <c r="AA91" s="304">
        <f ca="1">OFFSET(卡牌辅助配置表!$AD$1,MATCH(AB91,卡牌辅助配置表!AB:AB,0)-1,0)</f>
        <v>666</v>
      </c>
      <c r="AB91" s="304">
        <f ca="1" t="shared" si="17"/>
        <v>1126</v>
      </c>
      <c r="AC91" s="153">
        <v>3</v>
      </c>
      <c r="AE91" s="153">
        <v>1</v>
      </c>
      <c r="AF91" s="153" t="str">
        <f ca="1" t="shared" si="18"/>
        <v>10030011|</v>
      </c>
      <c r="AJ91" s="205" t="str">
        <f ca="1" t="shared" si="19"/>
        <v>400023|11900|;</v>
      </c>
      <c r="AK91" s="205">
        <f ca="1">OFFSET([1]item_type!$A$1,MATCH(Q91,[1]item_type!$G:$G,0)-1,0)</f>
        <v>301003</v>
      </c>
      <c r="AL91" s="205"/>
      <c r="AM91" s="205">
        <f ca="1">IF(B91=B92,OFFSET(卡牌辅助配置表!$AE$1,MATCH(AB91,卡牌辅助配置表!AB:AB,0),0),0)</f>
        <v>11900</v>
      </c>
      <c r="AN91" s="153">
        <f ca="1" t="shared" si="20"/>
        <v>1003027</v>
      </c>
      <c r="AP91" s="153" t="str">
        <f ca="1">IF(AC91=0,0,IF(AC91=12,0,OFFSET(effect!$N$1,MATCH(K91,effect!M:M,0)-1,0)))</f>
        <v>kpsx_pt</v>
      </c>
    </row>
    <row r="92" spans="1:42">
      <c r="A92" s="153">
        <f ca="1" t="shared" si="11"/>
        <v>1003027</v>
      </c>
      <c r="B92" s="91" t="s">
        <v>589</v>
      </c>
      <c r="C92" s="186">
        <v>1</v>
      </c>
      <c r="D92" s="186">
        <v>6</v>
      </c>
      <c r="E92" s="165" t="s">
        <v>1050</v>
      </c>
      <c r="F92" s="165" t="str">
        <f>"上一招为拳法时，增加造成伤害"&amp;skill!$O$8/100&amp;"%的护甲"</f>
        <v>上一招为拳法时，增加造成伤害30%的护甲</v>
      </c>
      <c r="G92" s="186">
        <f ca="1">OFFSET(卡牌辅助配置表!$C$1,MATCH(AC92,卡牌辅助配置表!A:A,0)-1,0)</f>
        <v>3</v>
      </c>
      <c r="H92" s="186">
        <v>0.3</v>
      </c>
      <c r="I92" s="186"/>
      <c r="J92" s="186">
        <f ca="1">OFFSET(card_type!$F$1,MATCH(Q92,card_type!A:A,0)-1,0)</f>
        <v>1</v>
      </c>
      <c r="K92" s="243">
        <f ca="1">OFFSET(card_type!$G$1,MATCH(Q92,card_type!A:A,0)-1,0)</f>
        <v>1</v>
      </c>
      <c r="L92" s="157">
        <v>2</v>
      </c>
      <c r="M92" s="157">
        <v>2</v>
      </c>
      <c r="N92" s="153">
        <f t="shared" si="12"/>
        <v>27</v>
      </c>
      <c r="O92" s="157"/>
      <c r="P92" s="157"/>
      <c r="Q92" s="153">
        <f ca="1">OFFSET(card_type!$A$1,MATCH(card!B92,card_type!B:B,0)-1,0)</f>
        <v>1003</v>
      </c>
      <c r="R92" s="153">
        <v>1</v>
      </c>
      <c r="S92" s="157">
        <f ca="1">ROUND(IF(R92=0,0,IF(R92=1,X92*$S$1,IF(R92=2,X92*$S$1*buff的资质计算!$E$2,IF(R92=3,X92*$S$1*buff的资质计算!$E$3,0)))),0)*0</f>
        <v>0</v>
      </c>
      <c r="T92" s="153">
        <v>2</v>
      </c>
      <c r="U92" s="153">
        <f ca="1" t="shared" si="13"/>
        <v>11</v>
      </c>
      <c r="V92" s="153">
        <f ca="1">ROUND((OFFSET(卡牌辅助配置表!$O$1,MATCH(U92,卡牌辅助配置表!M:M,0)-1,0)+(N92-1)*OFFSET(卡牌辅助配置表!$P$1,MATCH(U92,卡牌辅助配置表!M:M,0)-1,0))*M92,2)</f>
        <v>23.41</v>
      </c>
      <c r="W92" s="157">
        <f ca="1">ROUND(IF(R92=0,0,IF(R92=1,X92*$W$1,IF(R92=2,X92*$W$1*buff的资质计算!$E$2,IF(R92=3,X92*$W$1*buff的资质计算!$E$3,0)))),2)</f>
        <v>7.8</v>
      </c>
      <c r="X92" s="157">
        <f ca="1" t="shared" si="14"/>
        <v>26</v>
      </c>
      <c r="Y92" s="157">
        <f ca="1" t="shared" si="15"/>
        <v>26.3</v>
      </c>
      <c r="Z92" s="304">
        <f ca="1" t="shared" si="16"/>
        <v>13.15</v>
      </c>
      <c r="AA92" s="304">
        <f ca="1">OFFSET(卡牌辅助配置表!$AD$1,MATCH(AB92,卡牌辅助配置表!AB:AB,0)-1,0)</f>
        <v>702</v>
      </c>
      <c r="AB92" s="304">
        <f ca="1" t="shared" si="17"/>
        <v>1127</v>
      </c>
      <c r="AC92" s="153">
        <v>3</v>
      </c>
      <c r="AE92" s="153">
        <v>1</v>
      </c>
      <c r="AF92" s="153" t="str">
        <f ca="1" t="shared" si="18"/>
        <v>10030011|</v>
      </c>
      <c r="AJ92" s="205" t="str">
        <f ca="1" t="shared" si="19"/>
        <v>400023|12700|;</v>
      </c>
      <c r="AK92" s="205">
        <f ca="1">OFFSET([1]item_type!$A$1,MATCH(Q92,[1]item_type!$G:$G,0)-1,0)</f>
        <v>301003</v>
      </c>
      <c r="AL92" s="205"/>
      <c r="AM92" s="205">
        <f ca="1">IF(B92=B93,OFFSET(卡牌辅助配置表!$AE$1,MATCH(AB92,卡牌辅助配置表!AB:AB,0),0),0)</f>
        <v>12700</v>
      </c>
      <c r="AN92" s="153">
        <f ca="1" t="shared" si="20"/>
        <v>1003028</v>
      </c>
      <c r="AP92" s="153" t="str">
        <f ca="1">IF(AC92=0,0,IF(AC92=12,0,OFFSET(effect!$N$1,MATCH(K92,effect!M:M,0)-1,0)))</f>
        <v>kpsx_pt</v>
      </c>
    </row>
    <row r="93" spans="1:42">
      <c r="A93" s="153">
        <f ca="1" t="shared" si="11"/>
        <v>1003028</v>
      </c>
      <c r="B93" s="91" t="s">
        <v>589</v>
      </c>
      <c r="C93" s="186">
        <v>1</v>
      </c>
      <c r="D93" s="186">
        <v>6</v>
      </c>
      <c r="E93" s="165" t="s">
        <v>1050</v>
      </c>
      <c r="F93" s="165" t="str">
        <f>"上一招为拳法时，增加造成伤害"&amp;skill!$O$8/100&amp;"%的护甲"</f>
        <v>上一招为拳法时，增加造成伤害30%的护甲</v>
      </c>
      <c r="G93" s="186">
        <f ca="1">OFFSET(卡牌辅助配置表!$C$1,MATCH(AC93,卡牌辅助配置表!A:A,0)-1,0)</f>
        <v>3</v>
      </c>
      <c r="H93" s="186">
        <v>0.3</v>
      </c>
      <c r="I93" s="186"/>
      <c r="J93" s="186">
        <f ca="1">OFFSET(card_type!$F$1,MATCH(Q93,card_type!A:A,0)-1,0)</f>
        <v>1</v>
      </c>
      <c r="K93" s="243">
        <f ca="1">OFFSET(card_type!$G$1,MATCH(Q93,card_type!A:A,0)-1,0)</f>
        <v>1</v>
      </c>
      <c r="L93" s="157">
        <v>2</v>
      </c>
      <c r="M93" s="157">
        <v>2</v>
      </c>
      <c r="N93" s="153">
        <f t="shared" si="12"/>
        <v>28</v>
      </c>
      <c r="O93" s="157"/>
      <c r="P93" s="157"/>
      <c r="Q93" s="153">
        <f ca="1">OFFSET(card_type!$A$1,MATCH(card!B93,card_type!B:B,0)-1,0)</f>
        <v>1003</v>
      </c>
      <c r="R93" s="153">
        <v>1</v>
      </c>
      <c r="S93" s="157">
        <f ca="1">ROUND(IF(R93=0,0,IF(R93=1,X93*$S$1,IF(R93=2,X93*$S$1*buff的资质计算!$E$2,IF(R93=3,X93*$S$1*buff的资质计算!$E$3,0)))),0)*0</f>
        <v>0</v>
      </c>
      <c r="T93" s="153">
        <v>2</v>
      </c>
      <c r="U93" s="153">
        <f ca="1" t="shared" si="13"/>
        <v>11</v>
      </c>
      <c r="V93" s="153">
        <f ca="1">ROUND((OFFSET(卡牌辅助配置表!$O$1,MATCH(U93,卡牌辅助配置表!M:M,0)-1,0)+(N93-1)*OFFSET(卡牌辅助配置表!$P$1,MATCH(U93,卡牌辅助配置表!M:M,0)-1,0))*M93,2)</f>
        <v>23.83</v>
      </c>
      <c r="W93" s="157">
        <f ca="1">ROUND(IF(R93=0,0,IF(R93=1,X93*$W$1,IF(R93=2,X93*$W$1*buff的资质计算!$E$2,IF(R93=3,X93*$W$1*buff的资质计算!$E$3,0)))),2)</f>
        <v>7.95</v>
      </c>
      <c r="X93" s="157">
        <f ca="1" t="shared" si="14"/>
        <v>26.5</v>
      </c>
      <c r="Y93" s="157">
        <f ca="1" t="shared" si="15"/>
        <v>26.8</v>
      </c>
      <c r="Z93" s="304">
        <f ca="1" t="shared" si="16"/>
        <v>13.4</v>
      </c>
      <c r="AA93" s="304">
        <f ca="1">OFFSET(卡牌辅助配置表!$AD$1,MATCH(AB93,卡牌辅助配置表!AB:AB,0)-1,0)</f>
        <v>738</v>
      </c>
      <c r="AB93" s="304">
        <f ca="1" t="shared" si="17"/>
        <v>1128</v>
      </c>
      <c r="AC93" s="153">
        <v>3</v>
      </c>
      <c r="AE93" s="153">
        <v>1</v>
      </c>
      <c r="AF93" s="153" t="str">
        <f ca="1" t="shared" si="18"/>
        <v>10030011|</v>
      </c>
      <c r="AJ93" s="205" t="str">
        <f ca="1" t="shared" si="19"/>
        <v>400023|13500|;</v>
      </c>
      <c r="AK93" s="205">
        <f ca="1">OFFSET([1]item_type!$A$1,MATCH(Q93,[1]item_type!$G:$G,0)-1,0)</f>
        <v>301003</v>
      </c>
      <c r="AL93" s="205"/>
      <c r="AM93" s="205">
        <f ca="1">IF(B93=B94,OFFSET(卡牌辅助配置表!$AE$1,MATCH(AB93,卡牌辅助配置表!AB:AB,0),0),0)</f>
        <v>13500</v>
      </c>
      <c r="AN93" s="153">
        <f ca="1" t="shared" si="20"/>
        <v>1003029</v>
      </c>
      <c r="AP93" s="153" t="str">
        <f ca="1">IF(AC93=0,0,IF(AC93=12,0,OFFSET(effect!$N$1,MATCH(K93,effect!M:M,0)-1,0)))</f>
        <v>kpsx_pt</v>
      </c>
    </row>
    <row r="94" spans="1:42">
      <c r="A94" s="153">
        <f ca="1" t="shared" si="11"/>
        <v>1003029</v>
      </c>
      <c r="B94" s="91" t="s">
        <v>589</v>
      </c>
      <c r="C94" s="186">
        <v>1</v>
      </c>
      <c r="D94" s="186">
        <v>6</v>
      </c>
      <c r="E94" s="165" t="s">
        <v>1050</v>
      </c>
      <c r="F94" s="165" t="str">
        <f>"上一招为拳法时，增加造成伤害"&amp;skill!$O$8/100&amp;"%的护甲"</f>
        <v>上一招为拳法时，增加造成伤害30%的护甲</v>
      </c>
      <c r="G94" s="186">
        <f ca="1">OFFSET(卡牌辅助配置表!$C$1,MATCH(AC94,卡牌辅助配置表!A:A,0)-1,0)</f>
        <v>3</v>
      </c>
      <c r="H94" s="186">
        <v>0.3</v>
      </c>
      <c r="I94" s="186"/>
      <c r="J94" s="186">
        <f ca="1">OFFSET(card_type!$F$1,MATCH(Q94,card_type!A:A,0)-1,0)</f>
        <v>1</v>
      </c>
      <c r="K94" s="243">
        <f ca="1">OFFSET(card_type!$G$1,MATCH(Q94,card_type!A:A,0)-1,0)</f>
        <v>1</v>
      </c>
      <c r="L94" s="157">
        <v>2</v>
      </c>
      <c r="M94" s="157">
        <v>2</v>
      </c>
      <c r="N94" s="153">
        <f t="shared" si="12"/>
        <v>29</v>
      </c>
      <c r="O94" s="157"/>
      <c r="P94" s="157"/>
      <c r="Q94" s="153">
        <f ca="1">OFFSET(card_type!$A$1,MATCH(card!B94,card_type!B:B,0)-1,0)</f>
        <v>1003</v>
      </c>
      <c r="R94" s="153">
        <v>1</v>
      </c>
      <c r="S94" s="157">
        <f ca="1">ROUND(IF(R94=0,0,IF(R94=1,X94*$S$1,IF(R94=2,X94*$S$1*buff的资质计算!$E$2,IF(R94=3,X94*$S$1*buff的资质计算!$E$3,0)))),0)*0</f>
        <v>0</v>
      </c>
      <c r="T94" s="153">
        <v>2</v>
      </c>
      <c r="U94" s="153">
        <f ca="1" t="shared" si="13"/>
        <v>11</v>
      </c>
      <c r="V94" s="153">
        <f ca="1">ROUND((OFFSET(卡牌辅助配置表!$O$1,MATCH(U94,卡牌辅助配置表!M:M,0)-1,0)+(N94-1)*OFFSET(卡牌辅助配置表!$P$1,MATCH(U94,卡牌辅助配置表!M:M,0)-1,0))*M94,2)</f>
        <v>24.24</v>
      </c>
      <c r="W94" s="157">
        <f ca="1">ROUND(IF(R94=0,0,IF(R94=1,X94*$W$1,IF(R94=2,X94*$W$1*buff的资质计算!$E$2,IF(R94=3,X94*$W$1*buff的资质计算!$E$3,0)))),2)</f>
        <v>8.1</v>
      </c>
      <c r="X94" s="157">
        <f ca="1" t="shared" si="14"/>
        <v>27</v>
      </c>
      <c r="Y94" s="157">
        <f ca="1" t="shared" si="15"/>
        <v>27.3</v>
      </c>
      <c r="Z94" s="304">
        <f ca="1" t="shared" si="16"/>
        <v>13.65</v>
      </c>
      <c r="AA94" s="304">
        <f ca="1">OFFSET(卡牌辅助配置表!$AD$1,MATCH(AB94,卡牌辅助配置表!AB:AB,0)-1,0)</f>
        <v>774</v>
      </c>
      <c r="AB94" s="304">
        <f ca="1" t="shared" si="17"/>
        <v>1129</v>
      </c>
      <c r="AC94" s="153">
        <v>3</v>
      </c>
      <c r="AE94" s="153">
        <v>1</v>
      </c>
      <c r="AF94" s="153" t="str">
        <f ca="1" t="shared" si="18"/>
        <v>10030011|</v>
      </c>
      <c r="AJ94" s="205" t="str">
        <f ca="1" t="shared" si="19"/>
        <v>301003|30|;400023|14300|;</v>
      </c>
      <c r="AK94" s="205">
        <f ca="1">OFFSET([1]item_type!$A$1,MATCH(Q94,[1]item_type!$G:$G,0)-1,0)</f>
        <v>301003</v>
      </c>
      <c r="AL94" s="205">
        <v>30</v>
      </c>
      <c r="AM94" s="205">
        <f ca="1">IF(B94=B95,OFFSET(卡牌辅助配置表!$AE$1,MATCH(AB94,卡牌辅助配置表!AB:AB,0),0),0)</f>
        <v>14300</v>
      </c>
      <c r="AN94" s="153">
        <f ca="1" t="shared" si="20"/>
        <v>1003030</v>
      </c>
      <c r="AP94" s="153" t="str">
        <f ca="1">IF(AC94=0,0,IF(AC94=12,0,OFFSET(effect!$N$1,MATCH(K94,effect!M:M,0)-1,0)))</f>
        <v>kpsx_pt</v>
      </c>
    </row>
    <row r="95" spans="1:42">
      <c r="A95" s="153">
        <f ca="1" t="shared" si="11"/>
        <v>1003030</v>
      </c>
      <c r="B95" s="91" t="s">
        <v>589</v>
      </c>
      <c r="C95" s="186">
        <v>1</v>
      </c>
      <c r="D95" s="186">
        <v>6</v>
      </c>
      <c r="E95" s="165" t="s">
        <v>1050</v>
      </c>
      <c r="F95" s="165" t="str">
        <f>"上一招为拳法时，增加造成伤害"&amp;skill!$O$8/100&amp;"%的护甲"</f>
        <v>上一招为拳法时，增加造成伤害30%的护甲</v>
      </c>
      <c r="G95" s="186">
        <f ca="1">OFFSET(卡牌辅助配置表!$C$1,MATCH(AC95,卡牌辅助配置表!A:A,0)-1,0)</f>
        <v>3</v>
      </c>
      <c r="H95" s="186">
        <v>0.3</v>
      </c>
      <c r="I95" s="186"/>
      <c r="J95" s="186">
        <f ca="1">OFFSET(card_type!$F$1,MATCH(Q95,card_type!A:A,0)-1,0)</f>
        <v>1</v>
      </c>
      <c r="K95" s="243">
        <f ca="1">OFFSET(card_type!$G$1,MATCH(Q95,card_type!A:A,0)-1,0)</f>
        <v>1</v>
      </c>
      <c r="L95" s="157">
        <v>2</v>
      </c>
      <c r="M95" s="157">
        <v>2</v>
      </c>
      <c r="N95" s="153">
        <f t="shared" si="12"/>
        <v>30</v>
      </c>
      <c r="O95" s="157"/>
      <c r="P95" s="157"/>
      <c r="Q95" s="153">
        <f ca="1">OFFSET(card_type!$A$1,MATCH(card!B95,card_type!B:B,0)-1,0)</f>
        <v>1003</v>
      </c>
      <c r="R95" s="153">
        <v>1</v>
      </c>
      <c r="S95" s="157">
        <f ca="1">ROUND(IF(R95=0,0,IF(R95=1,X95*$S$1,IF(R95=2,X95*$S$1*buff的资质计算!$E$2,IF(R95=3,X95*$S$1*buff的资质计算!$E$3,0)))),0)*0</f>
        <v>0</v>
      </c>
      <c r="T95" s="153">
        <v>2</v>
      </c>
      <c r="U95" s="153">
        <f ca="1" t="shared" si="13"/>
        <v>11</v>
      </c>
      <c r="V95" s="153">
        <f ca="1">ROUND((OFFSET(卡牌辅助配置表!$O$1,MATCH(U95,卡牌辅助配置表!M:M,0)-1,0)+(N95-1)*OFFSET(卡牌辅助配置表!$P$1,MATCH(U95,卡牌辅助配置表!M:M,0)-1,0))*M95,2)</f>
        <v>24.66</v>
      </c>
      <c r="W95" s="157">
        <f ca="1">ROUND(IF(R95=0,0,IF(R95=1,X95*$W$1,IF(R95=2,X95*$W$1*buff的资质计算!$E$2,IF(R95=3,X95*$W$1*buff的资质计算!$E$3,0)))),2)</f>
        <v>8.25</v>
      </c>
      <c r="X95" s="157">
        <f ca="1" t="shared" si="14"/>
        <v>27.5</v>
      </c>
      <c r="Y95" s="157">
        <f ca="1" t="shared" si="15"/>
        <v>27.8</v>
      </c>
      <c r="Z95" s="304">
        <f ca="1" t="shared" si="16"/>
        <v>13.9</v>
      </c>
      <c r="AA95" s="304">
        <f ca="1">OFFSET(卡牌辅助配置表!$AD$1,MATCH(AB95,卡牌辅助配置表!AB:AB,0)-1,0)</f>
        <v>810</v>
      </c>
      <c r="AB95" s="304">
        <f ca="1" t="shared" si="17"/>
        <v>1130</v>
      </c>
      <c r="AC95" s="153">
        <v>3</v>
      </c>
      <c r="AE95" s="153">
        <v>1</v>
      </c>
      <c r="AF95" s="153" t="str">
        <f ca="1" t="shared" si="18"/>
        <v>10030011|</v>
      </c>
      <c r="AJ95" s="205">
        <f ca="1" t="shared" si="19"/>
        <v>0</v>
      </c>
      <c r="AK95" s="205">
        <f ca="1">OFFSET([1]item_type!$A$1,MATCH(Q95,[1]item_type!$G:$G,0)-1,0)</f>
        <v>301003</v>
      </c>
      <c r="AL95" s="205"/>
      <c r="AM95" s="205">
        <f ca="1">IF(B95=B96,OFFSET(卡牌辅助配置表!$AE$1,MATCH(AB95,卡牌辅助配置表!AB:AB,0),0),0)</f>
        <v>0</v>
      </c>
      <c r="AN95" s="153">
        <f ca="1" t="shared" si="20"/>
        <v>0</v>
      </c>
      <c r="AP95" s="153" t="str">
        <f ca="1">IF(AC95=0,0,IF(AC95=12,0,OFFSET(effect!$N$1,MATCH(K95,effect!M:M,0)-1,0)))</f>
        <v>kpsx_pt</v>
      </c>
    </row>
    <row r="96" spans="1:42">
      <c r="A96" s="153">
        <f ca="1" t="shared" si="11"/>
        <v>1004001</v>
      </c>
      <c r="B96" s="91" t="s">
        <v>500</v>
      </c>
      <c r="C96" s="186">
        <v>1</v>
      </c>
      <c r="D96" s="186">
        <v>6</v>
      </c>
      <c r="E96" s="165" t="s">
        <v>1050</v>
      </c>
      <c r="F96" s="165" t="str">
        <f>"本回合每出一张拳法牌，伤害增加"&amp;skill!$O$9/100&amp;"%"</f>
        <v>本回合每出一张拳法牌，伤害增加25%</v>
      </c>
      <c r="G96" s="186">
        <v>0</v>
      </c>
      <c r="H96" s="186">
        <f ca="1" t="shared" ref="H96:H159" si="21">IF(R96=0,Y96,0)</f>
        <v>0</v>
      </c>
      <c r="I96" s="186"/>
      <c r="J96" s="186">
        <f ca="1">OFFSET(card_type!$F$1,MATCH(Q96,card_type!A:A,0)-1,0)</f>
        <v>1</v>
      </c>
      <c r="K96" s="243">
        <f ca="1">OFFSET(card_type!$G$1,MATCH(Q96,card_type!A:A,0)-1,0)</f>
        <v>2</v>
      </c>
      <c r="L96" s="157">
        <v>2</v>
      </c>
      <c r="M96" s="157">
        <v>2</v>
      </c>
      <c r="N96" s="153">
        <f t="shared" si="12"/>
        <v>1</v>
      </c>
      <c r="O96" s="157"/>
      <c r="P96" s="157"/>
      <c r="Q96" s="153">
        <f ca="1">OFFSET(card_type!$A$1,MATCH(card!B96,card_type!B:B,0)-1,0)</f>
        <v>1004</v>
      </c>
      <c r="R96" s="153">
        <v>1</v>
      </c>
      <c r="S96" s="157">
        <f ca="1">ROUND(IF(R96=0,0,IF(R96=1,X96*$S$1,IF(R96=2,X96*$S$1*buff的资质计算!$E$2,IF(R96=3,X96*$S$1*buff的资质计算!$E$3,0)))),0)*0</f>
        <v>0</v>
      </c>
      <c r="T96" s="153">
        <v>1</v>
      </c>
      <c r="U96" s="153">
        <f ca="1" t="shared" si="13"/>
        <v>12</v>
      </c>
      <c r="V96" s="153">
        <f ca="1">ROUND((OFFSET(卡牌辅助配置表!$O$1,MATCH(U96,卡牌辅助配置表!M:M,0)-1,0)+(N96-1)*OFFSET(卡牌辅助配置表!$P$1,MATCH(U96,卡牌辅助配置表!M:M,0)-1,0))*M96,2)</f>
        <v>19</v>
      </c>
      <c r="W96" s="157">
        <f ca="1">ROUND(IF(R96=0,0,IF(R96=1,X96*$W$1,IF(R96=2,X96*$W$1*buff的资质计算!$E$2,IF(R96=3,X96*$W$1*buff的资质计算!$E$3,0)))),2)</f>
        <v>5.4</v>
      </c>
      <c r="X96" s="157">
        <f ca="1" t="shared" si="14"/>
        <v>18</v>
      </c>
      <c r="Y96" s="157">
        <f ca="1" t="shared" si="15"/>
        <v>18</v>
      </c>
      <c r="Z96" s="304">
        <f ca="1" t="shared" si="16"/>
        <v>9</v>
      </c>
      <c r="AA96" s="304">
        <f ca="1">OFFSET(卡牌辅助配置表!$AD$1,MATCH(AB96,卡牌辅助配置表!AB:AB,0)-1,0)</f>
        <v>36</v>
      </c>
      <c r="AB96" s="304">
        <f ca="1" t="shared" si="17"/>
        <v>1201</v>
      </c>
      <c r="AC96" s="153">
        <v>1</v>
      </c>
      <c r="AE96" s="153">
        <v>1</v>
      </c>
      <c r="AF96" s="153" t="str">
        <f ca="1" t="shared" si="18"/>
        <v>10040011|</v>
      </c>
      <c r="AJ96" s="205" t="str">
        <f ca="1" t="shared" si="19"/>
        <v>400023|1050|;</v>
      </c>
      <c r="AK96" s="205">
        <f ca="1">OFFSET([1]item_type!$A$1,MATCH(Q96,[1]item_type!$G:$G,0)-1,0)</f>
        <v>301004</v>
      </c>
      <c r="AL96" s="205"/>
      <c r="AM96" s="205">
        <f ca="1">IF(B96=B97,OFFSET(卡牌辅助配置表!$AE$1,MATCH(AB96,卡牌辅助配置表!AB:AB,0),0),0)</f>
        <v>1050</v>
      </c>
      <c r="AN96" s="153">
        <f ca="1" t="shared" si="20"/>
        <v>1004002</v>
      </c>
      <c r="AP96" s="153" t="str">
        <f ca="1">IF(AC96=0,0,IF(AC96=12,0,OFFSET(effect!$N$1,MATCH(K96,effect!M:M,0)-1,0)))</f>
        <v>kpsx_pt</v>
      </c>
    </row>
    <row r="97" spans="1:42">
      <c r="A97" s="153">
        <f ca="1" t="shared" si="11"/>
        <v>1004002</v>
      </c>
      <c r="B97" s="91" t="s">
        <v>500</v>
      </c>
      <c r="C97" s="186">
        <v>1</v>
      </c>
      <c r="D97" s="186">
        <v>6</v>
      </c>
      <c r="E97" s="165" t="s">
        <v>1050</v>
      </c>
      <c r="F97" s="165" t="str">
        <f>"本回合每出一张拳法牌，伤害增加"&amp;skill!$O$9/100&amp;"%"</f>
        <v>本回合每出一张拳法牌，伤害增加25%</v>
      </c>
      <c r="G97" s="186">
        <v>0</v>
      </c>
      <c r="H97" s="186">
        <f ca="1" t="shared" si="21"/>
        <v>0</v>
      </c>
      <c r="I97" s="186"/>
      <c r="J97" s="186">
        <f ca="1">OFFSET(card_type!$F$1,MATCH(Q97,card_type!A:A,0)-1,0)</f>
        <v>1</v>
      </c>
      <c r="K97" s="243">
        <f ca="1">OFFSET(card_type!$G$1,MATCH(Q97,card_type!A:A,0)-1,0)</f>
        <v>2</v>
      </c>
      <c r="L97" s="157">
        <v>2</v>
      </c>
      <c r="M97" s="157">
        <v>2</v>
      </c>
      <c r="N97" s="153">
        <f t="shared" si="12"/>
        <v>2</v>
      </c>
      <c r="O97" s="157"/>
      <c r="P97" s="157"/>
      <c r="Q97" s="153">
        <f ca="1">OFFSET(card_type!$A$1,MATCH(card!B97,card_type!B:B,0)-1,0)</f>
        <v>1004</v>
      </c>
      <c r="R97" s="153">
        <v>1</v>
      </c>
      <c r="S97" s="157">
        <f ca="1">ROUND(IF(R97=0,0,IF(R97=1,X97*$S$1,IF(R97=2,X97*$S$1*buff的资质计算!$E$2,IF(R97=3,X97*$S$1*buff的资质计算!$E$3,0)))),0)*0</f>
        <v>0</v>
      </c>
      <c r="T97" s="153">
        <v>1</v>
      </c>
      <c r="U97" s="153">
        <f ca="1" t="shared" si="13"/>
        <v>12</v>
      </c>
      <c r="V97" s="153">
        <f ca="1">ROUND((OFFSET(卡牌辅助配置表!$O$1,MATCH(U97,卡牌辅助配置表!M:M,0)-1,0)+(N97-1)*OFFSET(卡牌辅助配置表!$P$1,MATCH(U97,卡牌辅助配置表!M:M,0)-1,0))*M97,2)</f>
        <v>19.63</v>
      </c>
      <c r="W97" s="157">
        <f ca="1">ROUND(IF(R97=0,0,IF(R97=1,X97*$W$1,IF(R97=2,X97*$W$1*buff的资质计算!$E$2,IF(R97=3,X97*$W$1*buff的资质计算!$E$3,0)))),2)</f>
        <v>5.55</v>
      </c>
      <c r="X97" s="157">
        <f ca="1" t="shared" si="14"/>
        <v>18.5</v>
      </c>
      <c r="Y97" s="157">
        <f ca="1" t="shared" si="15"/>
        <v>18.5</v>
      </c>
      <c r="Z97" s="304">
        <f ca="1" t="shared" si="16"/>
        <v>9.25</v>
      </c>
      <c r="AA97" s="304">
        <f ca="1">OFFSET(卡牌辅助配置表!$AD$1,MATCH(AB97,卡牌辅助配置表!AB:AB,0)-1,0)</f>
        <v>72</v>
      </c>
      <c r="AB97" s="304">
        <f ca="1" t="shared" si="17"/>
        <v>1202</v>
      </c>
      <c r="AC97" s="153">
        <v>1</v>
      </c>
      <c r="AE97" s="153">
        <v>1</v>
      </c>
      <c r="AF97" s="153" t="str">
        <f ca="1" t="shared" si="18"/>
        <v>10040011|</v>
      </c>
      <c r="AJ97" s="205" t="str">
        <f ca="1" t="shared" si="19"/>
        <v>400023|1350|;</v>
      </c>
      <c r="AK97" s="205">
        <f ca="1">OFFSET([1]item_type!$A$1,MATCH(Q97,[1]item_type!$G:$G,0)-1,0)</f>
        <v>301004</v>
      </c>
      <c r="AL97" s="205"/>
      <c r="AM97" s="205">
        <f ca="1">IF(B97=B98,OFFSET(卡牌辅助配置表!$AE$1,MATCH(AB97,卡牌辅助配置表!AB:AB,0),0),0)</f>
        <v>1350</v>
      </c>
      <c r="AN97" s="153">
        <f ca="1" t="shared" si="20"/>
        <v>1004003</v>
      </c>
      <c r="AP97" s="153" t="str">
        <f ca="1">IF(AC97=0,0,IF(AC97=12,0,OFFSET(effect!$N$1,MATCH(K97,effect!M:M,0)-1,0)))</f>
        <v>kpsx_pt</v>
      </c>
    </row>
    <row r="98" spans="1:42">
      <c r="A98" s="153">
        <f ca="1" t="shared" si="11"/>
        <v>1004003</v>
      </c>
      <c r="B98" s="91" t="s">
        <v>500</v>
      </c>
      <c r="C98" s="186">
        <v>1</v>
      </c>
      <c r="D98" s="186">
        <v>6</v>
      </c>
      <c r="E98" s="165" t="s">
        <v>1050</v>
      </c>
      <c r="F98" s="165" t="str">
        <f>"本回合每出一张拳法牌，伤害增加"&amp;skill!$O$9/100&amp;"%"</f>
        <v>本回合每出一张拳法牌，伤害增加25%</v>
      </c>
      <c r="G98" s="186">
        <v>0</v>
      </c>
      <c r="H98" s="186">
        <f ca="1" t="shared" si="21"/>
        <v>0</v>
      </c>
      <c r="I98" s="186"/>
      <c r="J98" s="186">
        <f ca="1">OFFSET(card_type!$F$1,MATCH(Q98,card_type!A:A,0)-1,0)</f>
        <v>1</v>
      </c>
      <c r="K98" s="243">
        <f ca="1">OFFSET(card_type!$G$1,MATCH(Q98,card_type!A:A,0)-1,0)</f>
        <v>2</v>
      </c>
      <c r="L98" s="157">
        <v>2</v>
      </c>
      <c r="M98" s="157">
        <v>2</v>
      </c>
      <c r="N98" s="153">
        <f t="shared" si="12"/>
        <v>3</v>
      </c>
      <c r="O98" s="157"/>
      <c r="P98" s="157"/>
      <c r="Q98" s="153">
        <f ca="1">OFFSET(card_type!$A$1,MATCH(card!B98,card_type!B:B,0)-1,0)</f>
        <v>1004</v>
      </c>
      <c r="R98" s="153">
        <v>1</v>
      </c>
      <c r="S98" s="157">
        <f ca="1">ROUND(IF(R98=0,0,IF(R98=1,X98*$S$1,IF(R98=2,X98*$S$1*buff的资质计算!$E$2,IF(R98=3,X98*$S$1*buff的资质计算!$E$3,0)))),0)*0</f>
        <v>0</v>
      </c>
      <c r="T98" s="153">
        <v>1</v>
      </c>
      <c r="U98" s="153">
        <f ca="1" t="shared" si="13"/>
        <v>12</v>
      </c>
      <c r="V98" s="153">
        <f ca="1">ROUND((OFFSET(卡牌辅助配置表!$O$1,MATCH(U98,卡牌辅助配置表!M:M,0)-1,0)+(N98-1)*OFFSET(卡牌辅助配置表!$P$1,MATCH(U98,卡牌辅助配置表!M:M,0)-1,0))*M98,2)</f>
        <v>20.27</v>
      </c>
      <c r="W98" s="157">
        <f ca="1">ROUND(IF(R98=0,0,IF(R98=1,X98*$W$1,IF(R98=2,X98*$W$1*buff的资质计算!$E$2,IF(R98=3,X98*$W$1*buff的资质计算!$E$3,0)))),2)</f>
        <v>5.7</v>
      </c>
      <c r="X98" s="157">
        <f ca="1" t="shared" si="14"/>
        <v>19</v>
      </c>
      <c r="Y98" s="157">
        <f ca="1" t="shared" si="15"/>
        <v>19</v>
      </c>
      <c r="Z98" s="304">
        <f ca="1" t="shared" si="16"/>
        <v>9.5</v>
      </c>
      <c r="AA98" s="304">
        <f ca="1">OFFSET(卡牌辅助配置表!$AD$1,MATCH(AB98,卡牌辅助配置表!AB:AB,0)-1,0)</f>
        <v>108</v>
      </c>
      <c r="AB98" s="304">
        <f ca="1" t="shared" si="17"/>
        <v>1203</v>
      </c>
      <c r="AC98" s="153">
        <v>1</v>
      </c>
      <c r="AE98" s="153">
        <v>1</v>
      </c>
      <c r="AF98" s="153" t="str">
        <f ca="1" t="shared" si="18"/>
        <v>10040011|</v>
      </c>
      <c r="AJ98" s="205" t="str">
        <f ca="1" t="shared" si="19"/>
        <v>400023|1650|;</v>
      </c>
      <c r="AK98" s="205">
        <f ca="1">OFFSET([1]item_type!$A$1,MATCH(Q98,[1]item_type!$G:$G,0)-1,0)</f>
        <v>301004</v>
      </c>
      <c r="AL98" s="205"/>
      <c r="AM98" s="205">
        <f ca="1">IF(B98=B99,OFFSET(卡牌辅助配置表!$AE$1,MATCH(AB98,卡牌辅助配置表!AB:AB,0),0),0)</f>
        <v>1650</v>
      </c>
      <c r="AN98" s="153">
        <f ca="1" t="shared" si="20"/>
        <v>1004004</v>
      </c>
      <c r="AP98" s="153" t="str">
        <f ca="1">IF(AC98=0,0,IF(AC98=12,0,OFFSET(effect!$N$1,MATCH(K98,effect!M:M,0)-1,0)))</f>
        <v>kpsx_pt</v>
      </c>
    </row>
    <row r="99" spans="1:42">
      <c r="A99" s="153">
        <f ca="1" t="shared" si="11"/>
        <v>1004004</v>
      </c>
      <c r="B99" s="91" t="s">
        <v>500</v>
      </c>
      <c r="C99" s="186">
        <v>1</v>
      </c>
      <c r="D99" s="186">
        <v>6</v>
      </c>
      <c r="E99" s="165" t="s">
        <v>1050</v>
      </c>
      <c r="F99" s="165" t="str">
        <f>"本回合每出一张拳法牌，伤害增加"&amp;skill!$O$9/100&amp;"%"</f>
        <v>本回合每出一张拳法牌，伤害增加25%</v>
      </c>
      <c r="G99" s="186">
        <v>0</v>
      </c>
      <c r="H99" s="186">
        <f ca="1" t="shared" si="21"/>
        <v>0</v>
      </c>
      <c r="I99" s="186"/>
      <c r="J99" s="186">
        <f ca="1">OFFSET(card_type!$F$1,MATCH(Q99,card_type!A:A,0)-1,0)</f>
        <v>1</v>
      </c>
      <c r="K99" s="243">
        <f ca="1">OFFSET(card_type!$G$1,MATCH(Q99,card_type!A:A,0)-1,0)</f>
        <v>2</v>
      </c>
      <c r="L99" s="157">
        <v>2</v>
      </c>
      <c r="M99" s="157">
        <v>2</v>
      </c>
      <c r="N99" s="153">
        <f t="shared" si="12"/>
        <v>4</v>
      </c>
      <c r="O99" s="157"/>
      <c r="P99" s="157"/>
      <c r="Q99" s="153">
        <f ca="1">OFFSET(card_type!$A$1,MATCH(card!B99,card_type!B:B,0)-1,0)</f>
        <v>1004</v>
      </c>
      <c r="R99" s="153">
        <v>1</v>
      </c>
      <c r="S99" s="157">
        <f ca="1">ROUND(IF(R99=0,0,IF(R99=1,X99*$S$1,IF(R99=2,X99*$S$1*buff的资质计算!$E$2,IF(R99=3,X99*$S$1*buff的资质计算!$E$3,0)))),0)*0</f>
        <v>0</v>
      </c>
      <c r="T99" s="153">
        <v>1</v>
      </c>
      <c r="U99" s="153">
        <f ca="1" t="shared" si="13"/>
        <v>12</v>
      </c>
      <c r="V99" s="153">
        <f ca="1">ROUND((OFFSET(卡牌辅助配置表!$O$1,MATCH(U99,卡牌辅助配置表!M:M,0)-1,0)+(N99-1)*OFFSET(卡牌辅助配置表!$P$1,MATCH(U99,卡牌辅助配置表!M:M,0)-1,0))*M99,2)</f>
        <v>20.9</v>
      </c>
      <c r="W99" s="157">
        <f ca="1">ROUND(IF(R99=0,0,IF(R99=1,X99*$W$1,IF(R99=2,X99*$W$1*buff的资质计算!$E$2,IF(R99=3,X99*$W$1*buff的资质计算!$E$3,0)))),2)</f>
        <v>5.85</v>
      </c>
      <c r="X99" s="157">
        <f ca="1" t="shared" si="14"/>
        <v>19.5</v>
      </c>
      <c r="Y99" s="157">
        <f ca="1" t="shared" si="15"/>
        <v>19.5</v>
      </c>
      <c r="Z99" s="304">
        <f ca="1" t="shared" si="16"/>
        <v>9.75</v>
      </c>
      <c r="AA99" s="304">
        <f ca="1">OFFSET(卡牌辅助配置表!$AD$1,MATCH(AB99,卡牌辅助配置表!AB:AB,0)-1,0)</f>
        <v>144</v>
      </c>
      <c r="AB99" s="304">
        <f ca="1" t="shared" si="17"/>
        <v>1204</v>
      </c>
      <c r="AC99" s="153">
        <v>1</v>
      </c>
      <c r="AE99" s="153">
        <v>1</v>
      </c>
      <c r="AF99" s="153" t="str">
        <f ca="1" t="shared" si="18"/>
        <v>10040011|</v>
      </c>
      <c r="AJ99" s="205" t="str">
        <f ca="1" t="shared" si="19"/>
        <v>400023|1950|;</v>
      </c>
      <c r="AK99" s="205">
        <f ca="1">OFFSET([1]item_type!$A$1,MATCH(Q99,[1]item_type!$G:$G,0)-1,0)</f>
        <v>301004</v>
      </c>
      <c r="AL99" s="205"/>
      <c r="AM99" s="205">
        <f ca="1">IF(B99=B100,OFFSET(卡牌辅助配置表!$AE$1,MATCH(AB99,卡牌辅助配置表!AB:AB,0),0),0)</f>
        <v>1950</v>
      </c>
      <c r="AN99" s="153">
        <f ca="1" t="shared" si="20"/>
        <v>1004005</v>
      </c>
      <c r="AP99" s="153" t="str">
        <f ca="1">IF(AC99=0,0,IF(AC99=12,0,OFFSET(effect!$N$1,MATCH(K99,effect!M:M,0)-1,0)))</f>
        <v>kpsx_pt</v>
      </c>
    </row>
    <row r="100" spans="1:42">
      <c r="A100" s="153">
        <f ca="1" t="shared" si="11"/>
        <v>1004005</v>
      </c>
      <c r="B100" s="91" t="s">
        <v>500</v>
      </c>
      <c r="C100" s="186">
        <v>1</v>
      </c>
      <c r="D100" s="186">
        <v>6</v>
      </c>
      <c r="E100" s="165" t="s">
        <v>1050</v>
      </c>
      <c r="F100" s="165" t="str">
        <f>"本回合每出一张拳法牌，伤害增加"&amp;skill!$O$9/100&amp;"%"</f>
        <v>本回合每出一张拳法牌，伤害增加25%</v>
      </c>
      <c r="G100" s="186">
        <v>0</v>
      </c>
      <c r="H100" s="186">
        <f ca="1" t="shared" si="21"/>
        <v>0</v>
      </c>
      <c r="I100" s="186"/>
      <c r="J100" s="186">
        <f ca="1">OFFSET(card_type!$F$1,MATCH(Q100,card_type!A:A,0)-1,0)</f>
        <v>1</v>
      </c>
      <c r="K100" s="243">
        <f ca="1">OFFSET(card_type!$G$1,MATCH(Q100,card_type!A:A,0)-1,0)</f>
        <v>2</v>
      </c>
      <c r="L100" s="157">
        <v>2</v>
      </c>
      <c r="M100" s="157">
        <v>2</v>
      </c>
      <c r="N100" s="153">
        <f t="shared" si="12"/>
        <v>5</v>
      </c>
      <c r="O100" s="157"/>
      <c r="P100" s="157"/>
      <c r="Q100" s="153">
        <f ca="1">OFFSET(card_type!$A$1,MATCH(card!B100,card_type!B:B,0)-1,0)</f>
        <v>1004</v>
      </c>
      <c r="R100" s="153">
        <v>1</v>
      </c>
      <c r="S100" s="157">
        <f ca="1">ROUND(IF(R100=0,0,IF(R100=1,X100*$S$1,IF(R100=2,X100*$S$1*buff的资质计算!$E$2,IF(R100=3,X100*$S$1*buff的资质计算!$E$3,0)))),0)*0</f>
        <v>0</v>
      </c>
      <c r="T100" s="153">
        <v>1</v>
      </c>
      <c r="U100" s="153">
        <f ca="1" t="shared" si="13"/>
        <v>12</v>
      </c>
      <c r="V100" s="153">
        <f ca="1">ROUND((OFFSET(卡牌辅助配置表!$O$1,MATCH(U100,卡牌辅助配置表!M:M,0)-1,0)+(N100-1)*OFFSET(卡牌辅助配置表!$P$1,MATCH(U100,卡牌辅助配置表!M:M,0)-1,0))*M100,2)</f>
        <v>21.53</v>
      </c>
      <c r="W100" s="157">
        <f ca="1">ROUND(IF(R100=0,0,IF(R100=1,X100*$W$1,IF(R100=2,X100*$W$1*buff的资质计算!$E$2,IF(R100=3,X100*$W$1*buff的资质计算!$E$3,0)))),2)</f>
        <v>6</v>
      </c>
      <c r="X100" s="157">
        <f ca="1" t="shared" si="14"/>
        <v>20</v>
      </c>
      <c r="Y100" s="157">
        <f ca="1" t="shared" si="15"/>
        <v>20</v>
      </c>
      <c r="Z100" s="304">
        <f ca="1" t="shared" si="16"/>
        <v>10</v>
      </c>
      <c r="AA100" s="304">
        <f ca="1">OFFSET(卡牌辅助配置表!$AD$1,MATCH(AB100,卡牌辅助配置表!AB:AB,0)-1,0)</f>
        <v>180</v>
      </c>
      <c r="AB100" s="304">
        <f ca="1" t="shared" si="17"/>
        <v>1205</v>
      </c>
      <c r="AC100" s="153">
        <v>1</v>
      </c>
      <c r="AE100" s="153">
        <v>1</v>
      </c>
      <c r="AF100" s="153" t="str">
        <f ca="1" t="shared" si="18"/>
        <v>10040011|</v>
      </c>
      <c r="AJ100" s="205" t="str">
        <f ca="1" t="shared" si="19"/>
        <v>400023|2250|;</v>
      </c>
      <c r="AK100" s="205">
        <f ca="1">OFFSET([1]item_type!$A$1,MATCH(Q100,[1]item_type!$G:$G,0)-1,0)</f>
        <v>301004</v>
      </c>
      <c r="AL100" s="205"/>
      <c r="AM100" s="205">
        <f ca="1">IF(B100=B101,OFFSET(卡牌辅助配置表!$AE$1,MATCH(AB100,卡牌辅助配置表!AB:AB,0),0),0)</f>
        <v>2250</v>
      </c>
      <c r="AN100" s="153">
        <f ca="1" t="shared" si="20"/>
        <v>1004006</v>
      </c>
      <c r="AP100" s="153" t="str">
        <f ca="1">IF(AC100=0,0,IF(AC100=12,0,OFFSET(effect!$N$1,MATCH(K100,effect!M:M,0)-1,0)))</f>
        <v>kpsx_pt</v>
      </c>
    </row>
    <row r="101" spans="1:42">
      <c r="A101" s="153">
        <f ca="1" t="shared" si="11"/>
        <v>1004006</v>
      </c>
      <c r="B101" s="91" t="s">
        <v>500</v>
      </c>
      <c r="C101" s="186">
        <v>1</v>
      </c>
      <c r="D101" s="186">
        <v>6</v>
      </c>
      <c r="E101" s="165" t="s">
        <v>1050</v>
      </c>
      <c r="F101" s="165" t="str">
        <f>"本回合每出一张拳法牌，伤害增加"&amp;skill!$O$9/100&amp;"%"</f>
        <v>本回合每出一张拳法牌，伤害增加25%</v>
      </c>
      <c r="G101" s="186">
        <v>0</v>
      </c>
      <c r="H101" s="186">
        <f ca="1" t="shared" si="21"/>
        <v>0</v>
      </c>
      <c r="I101" s="186"/>
      <c r="J101" s="186">
        <f ca="1">OFFSET(card_type!$F$1,MATCH(Q101,card_type!A:A,0)-1,0)</f>
        <v>1</v>
      </c>
      <c r="K101" s="243">
        <f ca="1">OFFSET(card_type!$G$1,MATCH(Q101,card_type!A:A,0)-1,0)</f>
        <v>2</v>
      </c>
      <c r="L101" s="157">
        <v>2</v>
      </c>
      <c r="M101" s="157">
        <v>2</v>
      </c>
      <c r="N101" s="153">
        <f t="shared" si="12"/>
        <v>6</v>
      </c>
      <c r="O101" s="157"/>
      <c r="P101" s="157"/>
      <c r="Q101" s="153">
        <f ca="1">OFFSET(card_type!$A$1,MATCH(card!B101,card_type!B:B,0)-1,0)</f>
        <v>1004</v>
      </c>
      <c r="R101" s="153">
        <v>1</v>
      </c>
      <c r="S101" s="157">
        <f ca="1">ROUND(IF(R101=0,0,IF(R101=1,X101*$S$1,IF(R101=2,X101*$S$1*buff的资质计算!$E$2,IF(R101=3,X101*$S$1*buff的资质计算!$E$3,0)))),0)*0</f>
        <v>0</v>
      </c>
      <c r="T101" s="153">
        <v>1</v>
      </c>
      <c r="U101" s="153">
        <f ca="1" t="shared" si="13"/>
        <v>12</v>
      </c>
      <c r="V101" s="153">
        <f ca="1">ROUND((OFFSET(卡牌辅助配置表!$O$1,MATCH(U101,卡牌辅助配置表!M:M,0)-1,0)+(N101-1)*OFFSET(卡牌辅助配置表!$P$1,MATCH(U101,卡牌辅助配置表!M:M,0)-1,0))*M101,2)</f>
        <v>22.17</v>
      </c>
      <c r="W101" s="157">
        <f ca="1">ROUND(IF(R101=0,0,IF(R101=1,X101*$W$1,IF(R101=2,X101*$W$1*buff的资质计算!$E$2,IF(R101=3,X101*$W$1*buff的资质计算!$E$3,0)))),2)</f>
        <v>6.15</v>
      </c>
      <c r="X101" s="157">
        <f ca="1" t="shared" si="14"/>
        <v>20.5</v>
      </c>
      <c r="Y101" s="157">
        <f ca="1" t="shared" si="15"/>
        <v>20.5</v>
      </c>
      <c r="Z101" s="304">
        <f ca="1" t="shared" si="16"/>
        <v>10.25</v>
      </c>
      <c r="AA101" s="304">
        <f ca="1">OFFSET(卡牌辅助配置表!$AD$1,MATCH(AB101,卡牌辅助配置表!AB:AB,0)-1,0)</f>
        <v>216</v>
      </c>
      <c r="AB101" s="304">
        <f ca="1" t="shared" si="17"/>
        <v>1206</v>
      </c>
      <c r="AC101" s="153">
        <v>1</v>
      </c>
      <c r="AE101" s="153">
        <v>1</v>
      </c>
      <c r="AF101" s="153" t="str">
        <f ca="1" t="shared" si="18"/>
        <v>10040011|</v>
      </c>
      <c r="AJ101" s="205" t="str">
        <f ca="1" t="shared" si="19"/>
        <v>400023|2550|;</v>
      </c>
      <c r="AK101" s="205">
        <f ca="1">OFFSET([1]item_type!$A$1,MATCH(Q101,[1]item_type!$G:$G,0)-1,0)</f>
        <v>301004</v>
      </c>
      <c r="AL101" s="205"/>
      <c r="AM101" s="205">
        <f ca="1">IF(B101=B102,OFFSET(卡牌辅助配置表!$AE$1,MATCH(AB101,卡牌辅助配置表!AB:AB,0),0),0)</f>
        <v>2550</v>
      </c>
      <c r="AN101" s="153">
        <f ca="1" t="shared" si="20"/>
        <v>1004007</v>
      </c>
      <c r="AP101" s="153" t="str">
        <f ca="1">IF(AC101=0,0,IF(AC101=12,0,OFFSET(effect!$N$1,MATCH(K101,effect!M:M,0)-1,0)))</f>
        <v>kpsx_pt</v>
      </c>
    </row>
    <row r="102" spans="1:42">
      <c r="A102" s="153">
        <f ca="1" t="shared" si="11"/>
        <v>1004007</v>
      </c>
      <c r="B102" s="91" t="s">
        <v>500</v>
      </c>
      <c r="C102" s="186">
        <v>1</v>
      </c>
      <c r="D102" s="186">
        <v>6</v>
      </c>
      <c r="E102" s="165" t="s">
        <v>1050</v>
      </c>
      <c r="F102" s="165" t="str">
        <f>"本回合每出一张拳法牌，伤害增加"&amp;skill!$O$9/100&amp;"%"</f>
        <v>本回合每出一张拳法牌，伤害增加25%</v>
      </c>
      <c r="G102" s="186">
        <v>0</v>
      </c>
      <c r="H102" s="186">
        <f ca="1" t="shared" si="21"/>
        <v>0</v>
      </c>
      <c r="I102" s="186"/>
      <c r="J102" s="186">
        <f ca="1">OFFSET(card_type!$F$1,MATCH(Q102,card_type!A:A,0)-1,0)</f>
        <v>1</v>
      </c>
      <c r="K102" s="243">
        <f ca="1">OFFSET(card_type!$G$1,MATCH(Q102,card_type!A:A,0)-1,0)</f>
        <v>2</v>
      </c>
      <c r="L102" s="157">
        <v>2</v>
      </c>
      <c r="M102" s="157">
        <v>2</v>
      </c>
      <c r="N102" s="153">
        <f t="shared" si="12"/>
        <v>7</v>
      </c>
      <c r="O102" s="157"/>
      <c r="P102" s="157"/>
      <c r="Q102" s="153">
        <f ca="1">OFFSET(card_type!$A$1,MATCH(card!B102,card_type!B:B,0)-1,0)</f>
        <v>1004</v>
      </c>
      <c r="R102" s="153">
        <v>1</v>
      </c>
      <c r="S102" s="157">
        <f ca="1">ROUND(IF(R102=0,0,IF(R102=1,X102*$S$1,IF(R102=2,X102*$S$1*buff的资质计算!$E$2,IF(R102=3,X102*$S$1*buff的资质计算!$E$3,0)))),0)*0</f>
        <v>0</v>
      </c>
      <c r="T102" s="153">
        <v>1</v>
      </c>
      <c r="U102" s="153">
        <f ca="1" t="shared" si="13"/>
        <v>12</v>
      </c>
      <c r="V102" s="153">
        <f ca="1">ROUND((OFFSET(卡牌辅助配置表!$O$1,MATCH(U102,卡牌辅助配置表!M:M,0)-1,0)+(N102-1)*OFFSET(卡牌辅助配置表!$P$1,MATCH(U102,卡牌辅助配置表!M:M,0)-1,0))*M102,2)</f>
        <v>22.8</v>
      </c>
      <c r="W102" s="157">
        <f ca="1">ROUND(IF(R102=0,0,IF(R102=1,X102*$W$1,IF(R102=2,X102*$W$1*buff的资质计算!$E$2,IF(R102=3,X102*$W$1*buff的资质计算!$E$3,0)))),2)</f>
        <v>6.3</v>
      </c>
      <c r="X102" s="157">
        <f ca="1" t="shared" si="14"/>
        <v>21</v>
      </c>
      <c r="Y102" s="157">
        <f ca="1" t="shared" si="15"/>
        <v>21</v>
      </c>
      <c r="Z102" s="304">
        <f ca="1" t="shared" si="16"/>
        <v>10.5</v>
      </c>
      <c r="AA102" s="304">
        <f ca="1">OFFSET(卡牌辅助配置表!$AD$1,MATCH(AB102,卡牌辅助配置表!AB:AB,0)-1,0)</f>
        <v>252</v>
      </c>
      <c r="AB102" s="304">
        <f ca="1" t="shared" si="17"/>
        <v>1207</v>
      </c>
      <c r="AC102" s="153">
        <v>1</v>
      </c>
      <c r="AE102" s="153">
        <v>1</v>
      </c>
      <c r="AF102" s="153" t="str">
        <f ca="1" t="shared" si="18"/>
        <v>10040011|</v>
      </c>
      <c r="AJ102" s="205" t="str">
        <f ca="1" t="shared" si="19"/>
        <v>400023|2850|;</v>
      </c>
      <c r="AK102" s="205">
        <f ca="1">OFFSET([1]item_type!$A$1,MATCH(Q102,[1]item_type!$G:$G,0)-1,0)</f>
        <v>301004</v>
      </c>
      <c r="AL102" s="205"/>
      <c r="AM102" s="205">
        <f ca="1">IF(B102=B103,OFFSET(卡牌辅助配置表!$AE$1,MATCH(AB102,卡牌辅助配置表!AB:AB,0),0),0)</f>
        <v>2850</v>
      </c>
      <c r="AN102" s="153">
        <f ca="1" t="shared" si="20"/>
        <v>1004008</v>
      </c>
      <c r="AP102" s="153" t="str">
        <f ca="1">IF(AC102=0,0,IF(AC102=12,0,OFFSET(effect!$N$1,MATCH(K102,effect!M:M,0)-1,0)))</f>
        <v>kpsx_pt</v>
      </c>
    </row>
    <row r="103" spans="1:42">
      <c r="A103" s="153">
        <f ca="1" t="shared" si="11"/>
        <v>1004008</v>
      </c>
      <c r="B103" s="91" t="s">
        <v>500</v>
      </c>
      <c r="C103" s="186">
        <v>1</v>
      </c>
      <c r="D103" s="186">
        <v>6</v>
      </c>
      <c r="E103" s="165" t="s">
        <v>1050</v>
      </c>
      <c r="F103" s="165" t="str">
        <f>"本回合每出一张拳法牌，伤害增加"&amp;skill!$O$9/100&amp;"%"</f>
        <v>本回合每出一张拳法牌，伤害增加25%</v>
      </c>
      <c r="G103" s="186">
        <v>0</v>
      </c>
      <c r="H103" s="186">
        <f ca="1" t="shared" si="21"/>
        <v>0</v>
      </c>
      <c r="I103" s="186"/>
      <c r="J103" s="186">
        <f ca="1">OFFSET(card_type!$F$1,MATCH(Q103,card_type!A:A,0)-1,0)</f>
        <v>1</v>
      </c>
      <c r="K103" s="243">
        <f ca="1">OFFSET(card_type!$G$1,MATCH(Q103,card_type!A:A,0)-1,0)</f>
        <v>2</v>
      </c>
      <c r="L103" s="157">
        <v>2</v>
      </c>
      <c r="M103" s="157">
        <v>2</v>
      </c>
      <c r="N103" s="153">
        <f t="shared" si="12"/>
        <v>8</v>
      </c>
      <c r="O103" s="157"/>
      <c r="P103" s="157"/>
      <c r="Q103" s="153">
        <f ca="1">OFFSET(card_type!$A$1,MATCH(card!B103,card_type!B:B,0)-1,0)</f>
        <v>1004</v>
      </c>
      <c r="R103" s="153">
        <v>1</v>
      </c>
      <c r="S103" s="157">
        <f ca="1">ROUND(IF(R103=0,0,IF(R103=1,X103*$S$1,IF(R103=2,X103*$S$1*buff的资质计算!$E$2,IF(R103=3,X103*$S$1*buff的资质计算!$E$3,0)))),0)*0</f>
        <v>0</v>
      </c>
      <c r="T103" s="153">
        <v>1</v>
      </c>
      <c r="U103" s="153">
        <f ca="1" t="shared" si="13"/>
        <v>12</v>
      </c>
      <c r="V103" s="153">
        <f ca="1">ROUND((OFFSET(卡牌辅助配置表!$O$1,MATCH(U103,卡牌辅助配置表!M:M,0)-1,0)+(N103-1)*OFFSET(卡牌辅助配置表!$P$1,MATCH(U103,卡牌辅助配置表!M:M,0)-1,0))*M103,2)</f>
        <v>23.43</v>
      </c>
      <c r="W103" s="157">
        <f ca="1">ROUND(IF(R103=0,0,IF(R103=1,X103*$W$1,IF(R103=2,X103*$W$1*buff的资质计算!$E$2,IF(R103=3,X103*$W$1*buff的资质计算!$E$3,0)))),2)</f>
        <v>6.45</v>
      </c>
      <c r="X103" s="157">
        <f ca="1" t="shared" si="14"/>
        <v>21.5</v>
      </c>
      <c r="Y103" s="157">
        <f ca="1" t="shared" si="15"/>
        <v>21.5</v>
      </c>
      <c r="Z103" s="304">
        <f ca="1" t="shared" si="16"/>
        <v>10.75</v>
      </c>
      <c r="AA103" s="304">
        <f ca="1">OFFSET(卡牌辅助配置表!$AD$1,MATCH(AB103,卡牌辅助配置表!AB:AB,0)-1,0)</f>
        <v>288</v>
      </c>
      <c r="AB103" s="304">
        <f ca="1" t="shared" si="17"/>
        <v>1208</v>
      </c>
      <c r="AC103" s="153">
        <v>1</v>
      </c>
      <c r="AE103" s="153">
        <v>1</v>
      </c>
      <c r="AF103" s="153" t="str">
        <f ca="1" t="shared" si="18"/>
        <v>10040011|</v>
      </c>
      <c r="AJ103" s="205" t="str">
        <f ca="1" t="shared" si="19"/>
        <v>400023|3150|;</v>
      </c>
      <c r="AK103" s="205">
        <f ca="1">OFFSET([1]item_type!$A$1,MATCH(Q103,[1]item_type!$G:$G,0)-1,0)</f>
        <v>301004</v>
      </c>
      <c r="AL103" s="205"/>
      <c r="AM103" s="205">
        <f ca="1">IF(B103=B104,OFFSET(卡牌辅助配置表!$AE$1,MATCH(AB103,卡牌辅助配置表!AB:AB,0),0),0)</f>
        <v>3150</v>
      </c>
      <c r="AN103" s="153">
        <f ca="1" t="shared" si="20"/>
        <v>1004009</v>
      </c>
      <c r="AP103" s="153" t="str">
        <f ca="1">IF(AC103=0,0,IF(AC103=12,0,OFFSET(effect!$N$1,MATCH(K103,effect!M:M,0)-1,0)))</f>
        <v>kpsx_pt</v>
      </c>
    </row>
    <row r="104" spans="1:42">
      <c r="A104" s="153">
        <f ca="1" t="shared" si="11"/>
        <v>1004009</v>
      </c>
      <c r="B104" s="91" t="s">
        <v>500</v>
      </c>
      <c r="C104" s="186">
        <v>1</v>
      </c>
      <c r="D104" s="186">
        <v>6</v>
      </c>
      <c r="E104" s="165" t="s">
        <v>1050</v>
      </c>
      <c r="F104" s="165" t="str">
        <f>"本回合每出一张拳法牌，伤害增加"&amp;skill!$O$9/100&amp;"%"</f>
        <v>本回合每出一张拳法牌，伤害增加25%</v>
      </c>
      <c r="G104" s="186">
        <v>0</v>
      </c>
      <c r="H104" s="186">
        <f ca="1" t="shared" si="21"/>
        <v>0</v>
      </c>
      <c r="I104" s="186"/>
      <c r="J104" s="186">
        <f ca="1">OFFSET(card_type!$F$1,MATCH(Q104,card_type!A:A,0)-1,0)</f>
        <v>1</v>
      </c>
      <c r="K104" s="243">
        <f ca="1">OFFSET(card_type!$G$1,MATCH(Q104,card_type!A:A,0)-1,0)</f>
        <v>2</v>
      </c>
      <c r="L104" s="157">
        <v>2</v>
      </c>
      <c r="M104" s="157">
        <v>2</v>
      </c>
      <c r="N104" s="153">
        <f t="shared" si="12"/>
        <v>9</v>
      </c>
      <c r="O104" s="157"/>
      <c r="P104" s="157"/>
      <c r="Q104" s="153">
        <f ca="1">OFFSET(card_type!$A$1,MATCH(card!B104,card_type!B:B,0)-1,0)</f>
        <v>1004</v>
      </c>
      <c r="R104" s="153">
        <v>1</v>
      </c>
      <c r="S104" s="157">
        <f ca="1">ROUND(IF(R104=0,0,IF(R104=1,X104*$S$1,IF(R104=2,X104*$S$1*buff的资质计算!$E$2,IF(R104=3,X104*$S$1*buff的资质计算!$E$3,0)))),0)*0</f>
        <v>0</v>
      </c>
      <c r="T104" s="153">
        <v>1</v>
      </c>
      <c r="U104" s="153">
        <f ca="1" t="shared" si="13"/>
        <v>12</v>
      </c>
      <c r="V104" s="153">
        <f ca="1">ROUND((OFFSET(卡牌辅助配置表!$O$1,MATCH(U104,卡牌辅助配置表!M:M,0)-1,0)+(N104-1)*OFFSET(卡牌辅助配置表!$P$1,MATCH(U104,卡牌辅助配置表!M:M,0)-1,0))*M104,2)</f>
        <v>24.07</v>
      </c>
      <c r="W104" s="157">
        <f ca="1">ROUND(IF(R104=0,0,IF(R104=1,X104*$W$1,IF(R104=2,X104*$W$1*buff的资质计算!$E$2,IF(R104=3,X104*$W$1*buff的资质计算!$E$3,0)))),2)</f>
        <v>6.6</v>
      </c>
      <c r="X104" s="157">
        <f ca="1" t="shared" si="14"/>
        <v>22</v>
      </c>
      <c r="Y104" s="157">
        <f ca="1" t="shared" si="15"/>
        <v>22</v>
      </c>
      <c r="Z104" s="304">
        <f ca="1" t="shared" si="16"/>
        <v>11</v>
      </c>
      <c r="AA104" s="304">
        <f ca="1">OFFSET(卡牌辅助配置表!$AD$1,MATCH(AB104,卡牌辅助配置表!AB:AB,0)-1,0)</f>
        <v>324</v>
      </c>
      <c r="AB104" s="304">
        <f ca="1" t="shared" si="17"/>
        <v>1209</v>
      </c>
      <c r="AC104" s="153">
        <v>1</v>
      </c>
      <c r="AE104" s="153">
        <v>1</v>
      </c>
      <c r="AF104" s="153" t="str">
        <f ca="1" t="shared" si="18"/>
        <v>10040011|</v>
      </c>
      <c r="AJ104" s="205" t="str">
        <f ca="1" t="shared" si="19"/>
        <v>301004|15|;400023|3450|;</v>
      </c>
      <c r="AK104" s="205">
        <f ca="1">OFFSET([1]item_type!$A$1,MATCH(Q104,[1]item_type!$G:$G,0)-1,0)</f>
        <v>301004</v>
      </c>
      <c r="AL104" s="205">
        <v>15</v>
      </c>
      <c r="AM104" s="205">
        <f ca="1">IF(B104=B105,OFFSET(卡牌辅助配置表!$AE$1,MATCH(AB104,卡牌辅助配置表!AB:AB,0),0),0)</f>
        <v>3450</v>
      </c>
      <c r="AN104" s="153">
        <f ca="1" t="shared" si="20"/>
        <v>1004010</v>
      </c>
      <c r="AP104" s="153" t="str">
        <f ca="1">IF(AC104=0,0,IF(AC104=12,0,OFFSET(effect!$N$1,MATCH(K104,effect!M:M,0)-1,0)))</f>
        <v>kpsx_pt</v>
      </c>
    </row>
    <row r="105" spans="1:42">
      <c r="A105" s="153">
        <f ca="1" t="shared" si="11"/>
        <v>1004010</v>
      </c>
      <c r="B105" s="91" t="s">
        <v>500</v>
      </c>
      <c r="C105" s="186">
        <v>1</v>
      </c>
      <c r="D105" s="186">
        <v>6</v>
      </c>
      <c r="E105" s="165" t="s">
        <v>1050</v>
      </c>
      <c r="F105" s="165" t="str">
        <f>"本回合每出一张拳法牌，伤害增加"&amp;skill!$O$9/100&amp;"%"</f>
        <v>本回合每出一张拳法牌，伤害增加25%</v>
      </c>
      <c r="G105" s="186">
        <v>0</v>
      </c>
      <c r="H105" s="186">
        <f ca="1" t="shared" si="21"/>
        <v>0</v>
      </c>
      <c r="I105" s="186"/>
      <c r="J105" s="186">
        <f ca="1">OFFSET(card_type!$F$1,MATCH(Q105,card_type!A:A,0)-1,0)</f>
        <v>1</v>
      </c>
      <c r="K105" s="243">
        <f ca="1">OFFSET(card_type!$G$1,MATCH(Q105,card_type!A:A,0)-1,0)</f>
        <v>2</v>
      </c>
      <c r="L105" s="157">
        <v>2</v>
      </c>
      <c r="M105" s="157">
        <v>2</v>
      </c>
      <c r="N105" s="153">
        <f t="shared" si="12"/>
        <v>10</v>
      </c>
      <c r="O105" s="157"/>
      <c r="P105" s="157"/>
      <c r="Q105" s="153">
        <f ca="1">OFFSET(card_type!$A$1,MATCH(card!B105,card_type!B:B,0)-1,0)</f>
        <v>1004</v>
      </c>
      <c r="R105" s="153">
        <v>1</v>
      </c>
      <c r="S105" s="157">
        <f ca="1">ROUND(IF(R105=0,0,IF(R105=1,X105*$S$1,IF(R105=2,X105*$S$1*buff的资质计算!$E$2,IF(R105=3,X105*$S$1*buff的资质计算!$E$3,0)))),0)*0</f>
        <v>0</v>
      </c>
      <c r="T105" s="153">
        <v>1</v>
      </c>
      <c r="U105" s="153">
        <f ca="1" t="shared" si="13"/>
        <v>12</v>
      </c>
      <c r="V105" s="153">
        <f ca="1">ROUND((OFFSET(卡牌辅助配置表!$O$1,MATCH(U105,卡牌辅助配置表!M:M,0)-1,0)+(N105-1)*OFFSET(卡牌辅助配置表!$P$1,MATCH(U105,卡牌辅助配置表!M:M,0)-1,0))*M105,2)</f>
        <v>24.7</v>
      </c>
      <c r="W105" s="157">
        <f ca="1">ROUND(IF(R105=0,0,IF(R105=1,X105*$W$1,IF(R105=2,X105*$W$1*buff的资质计算!$E$2,IF(R105=3,X105*$W$1*buff的资质计算!$E$3,0)))),2)</f>
        <v>6.75</v>
      </c>
      <c r="X105" s="157">
        <f ca="1" t="shared" si="14"/>
        <v>22.5</v>
      </c>
      <c r="Y105" s="157">
        <f ca="1" t="shared" si="15"/>
        <v>22.5</v>
      </c>
      <c r="Z105" s="304">
        <f ca="1" t="shared" si="16"/>
        <v>11.25</v>
      </c>
      <c r="AA105" s="304">
        <f ca="1">OFFSET(卡牌辅助配置表!$AD$1,MATCH(AB105,卡牌辅助配置表!AB:AB,0)-1,0)</f>
        <v>360</v>
      </c>
      <c r="AB105" s="304">
        <f ca="1" t="shared" si="17"/>
        <v>1210</v>
      </c>
      <c r="AC105" s="153">
        <v>1</v>
      </c>
      <c r="AE105" s="153">
        <v>1</v>
      </c>
      <c r="AF105" s="153" t="str">
        <f ca="1" t="shared" si="18"/>
        <v>10040011|</v>
      </c>
      <c r="AJ105" s="205" t="str">
        <f ca="1" t="shared" si="19"/>
        <v>400023|4050|;</v>
      </c>
      <c r="AK105" s="205">
        <f ca="1">OFFSET([1]item_type!$A$1,MATCH(Q105,[1]item_type!$G:$G,0)-1,0)</f>
        <v>301004</v>
      </c>
      <c r="AL105" s="205"/>
      <c r="AM105" s="205">
        <f ca="1">IF(B105=B106,OFFSET(卡牌辅助配置表!$AE$1,MATCH(AB105,卡牌辅助配置表!AB:AB,0),0),0)</f>
        <v>4050</v>
      </c>
      <c r="AN105" s="153">
        <f ca="1" t="shared" si="20"/>
        <v>1004011</v>
      </c>
      <c r="AP105" s="153" t="str">
        <f ca="1">IF(AC105=0,0,IF(AC105=12,0,OFFSET(effect!$N$1,MATCH(K105,effect!M:M,0)-1,0)))</f>
        <v>kpsx_pt</v>
      </c>
    </row>
    <row r="106" spans="1:42">
      <c r="A106" s="153">
        <f ca="1" t="shared" si="11"/>
        <v>1004011</v>
      </c>
      <c r="B106" s="91" t="s">
        <v>500</v>
      </c>
      <c r="C106" s="186">
        <v>1</v>
      </c>
      <c r="D106" s="186">
        <v>6</v>
      </c>
      <c r="E106" s="165" t="s">
        <v>1050</v>
      </c>
      <c r="F106" s="165" t="str">
        <f>"本回合每出一张拳法牌，伤害增加"&amp;skill!$O$9/100&amp;"%"</f>
        <v>本回合每出一张拳法牌，伤害增加25%</v>
      </c>
      <c r="G106" s="186">
        <v>0</v>
      </c>
      <c r="H106" s="186">
        <f ca="1" t="shared" si="21"/>
        <v>0</v>
      </c>
      <c r="I106" s="186"/>
      <c r="J106" s="186">
        <f ca="1">OFFSET(card_type!$F$1,MATCH(Q106,card_type!A:A,0)-1,0)</f>
        <v>1</v>
      </c>
      <c r="K106" s="243">
        <f ca="1">OFFSET(card_type!$G$1,MATCH(Q106,card_type!A:A,0)-1,0)</f>
        <v>2</v>
      </c>
      <c r="L106" s="157">
        <v>2</v>
      </c>
      <c r="M106" s="157">
        <v>2</v>
      </c>
      <c r="N106" s="153">
        <f t="shared" si="12"/>
        <v>11</v>
      </c>
      <c r="O106" s="157"/>
      <c r="P106" s="157"/>
      <c r="Q106" s="153">
        <f ca="1">OFFSET(card_type!$A$1,MATCH(card!B106,card_type!B:B,0)-1,0)</f>
        <v>1004</v>
      </c>
      <c r="R106" s="153">
        <v>1</v>
      </c>
      <c r="S106" s="157">
        <f ca="1">ROUND(IF(R106=0,0,IF(R106=1,X106*$S$1,IF(R106=2,X106*$S$1*buff的资质计算!$E$2,IF(R106=3,X106*$S$1*buff的资质计算!$E$3,0)))),0)*0</f>
        <v>0</v>
      </c>
      <c r="T106" s="153">
        <v>1</v>
      </c>
      <c r="U106" s="153">
        <f ca="1" t="shared" si="13"/>
        <v>12</v>
      </c>
      <c r="V106" s="153">
        <f ca="1">ROUND((OFFSET(卡牌辅助配置表!$O$1,MATCH(U106,卡牌辅助配置表!M:M,0)-1,0)+(N106-1)*OFFSET(卡牌辅助配置表!$P$1,MATCH(U106,卡牌辅助配置表!M:M,0)-1,0))*M106,2)</f>
        <v>25.33</v>
      </c>
      <c r="W106" s="157">
        <f ca="1">ROUND(IF(R106=0,0,IF(R106=1,X106*$W$1,IF(R106=2,X106*$W$1*buff的资质计算!$E$2,IF(R106=3,X106*$W$1*buff的资质计算!$E$3,0)))),2)</f>
        <v>6.9</v>
      </c>
      <c r="X106" s="157">
        <f ca="1" t="shared" si="14"/>
        <v>23</v>
      </c>
      <c r="Y106" s="157">
        <f ca="1" t="shared" si="15"/>
        <v>23</v>
      </c>
      <c r="Z106" s="304">
        <f ca="1" t="shared" si="16"/>
        <v>11.5</v>
      </c>
      <c r="AA106" s="304">
        <f ca="1">OFFSET(卡牌辅助配置表!$AD$1,MATCH(AB106,卡牌辅助配置表!AB:AB,0)-1,0)</f>
        <v>415</v>
      </c>
      <c r="AB106" s="304">
        <f ca="1" t="shared" si="17"/>
        <v>1211</v>
      </c>
      <c r="AC106" s="153">
        <v>1</v>
      </c>
      <c r="AE106" s="153">
        <v>1</v>
      </c>
      <c r="AF106" s="153" t="str">
        <f ca="1" t="shared" si="18"/>
        <v>10040011|</v>
      </c>
      <c r="AJ106" s="205" t="str">
        <f ca="1" t="shared" si="19"/>
        <v>400023|4650|;</v>
      </c>
      <c r="AK106" s="205">
        <f ca="1">OFFSET([1]item_type!$A$1,MATCH(Q106,[1]item_type!$G:$G,0)-1,0)</f>
        <v>301004</v>
      </c>
      <c r="AL106" s="205"/>
      <c r="AM106" s="205">
        <f ca="1">IF(B106=B107,OFFSET(卡牌辅助配置表!$AE$1,MATCH(AB106,卡牌辅助配置表!AB:AB,0),0),0)</f>
        <v>4650</v>
      </c>
      <c r="AN106" s="153">
        <f ca="1" t="shared" si="20"/>
        <v>1004012</v>
      </c>
      <c r="AP106" s="153" t="str">
        <f ca="1">IF(AC106=0,0,IF(AC106=12,0,OFFSET(effect!$N$1,MATCH(K106,effect!M:M,0)-1,0)))</f>
        <v>kpsx_pt</v>
      </c>
    </row>
    <row r="107" spans="1:42">
      <c r="A107" s="153">
        <f ca="1" t="shared" si="11"/>
        <v>1004012</v>
      </c>
      <c r="B107" s="91" t="s">
        <v>500</v>
      </c>
      <c r="C107" s="186">
        <v>1</v>
      </c>
      <c r="D107" s="186">
        <v>6</v>
      </c>
      <c r="E107" s="165" t="s">
        <v>1050</v>
      </c>
      <c r="F107" s="165" t="str">
        <f>"本回合每出一张拳法牌，伤害增加"&amp;skill!$O$9/100&amp;"%"</f>
        <v>本回合每出一张拳法牌，伤害增加25%</v>
      </c>
      <c r="G107" s="186">
        <v>0</v>
      </c>
      <c r="H107" s="186">
        <f ca="1" t="shared" si="21"/>
        <v>0</v>
      </c>
      <c r="I107" s="186"/>
      <c r="J107" s="186">
        <f ca="1">OFFSET(card_type!$F$1,MATCH(Q107,card_type!A:A,0)-1,0)</f>
        <v>1</v>
      </c>
      <c r="K107" s="243">
        <f ca="1">OFFSET(card_type!$G$1,MATCH(Q107,card_type!A:A,0)-1,0)</f>
        <v>2</v>
      </c>
      <c r="L107" s="157">
        <v>2</v>
      </c>
      <c r="M107" s="157">
        <v>2</v>
      </c>
      <c r="N107" s="153">
        <f t="shared" si="12"/>
        <v>12</v>
      </c>
      <c r="O107" s="157"/>
      <c r="P107" s="157"/>
      <c r="Q107" s="153">
        <f ca="1">OFFSET(card_type!$A$1,MATCH(card!B107,card_type!B:B,0)-1,0)</f>
        <v>1004</v>
      </c>
      <c r="R107" s="153">
        <v>1</v>
      </c>
      <c r="S107" s="157">
        <f ca="1">ROUND(IF(R107=0,0,IF(R107=1,X107*$S$1,IF(R107=2,X107*$S$1*buff的资质计算!$E$2,IF(R107=3,X107*$S$1*buff的资质计算!$E$3,0)))),0)*0</f>
        <v>0</v>
      </c>
      <c r="T107" s="153">
        <v>1</v>
      </c>
      <c r="U107" s="153">
        <f ca="1" t="shared" si="13"/>
        <v>12</v>
      </c>
      <c r="V107" s="153">
        <f ca="1">ROUND((OFFSET(卡牌辅助配置表!$O$1,MATCH(U107,卡牌辅助配置表!M:M,0)-1,0)+(N107-1)*OFFSET(卡牌辅助配置表!$P$1,MATCH(U107,卡牌辅助配置表!M:M,0)-1,0))*M107,2)</f>
        <v>25.97</v>
      </c>
      <c r="W107" s="157">
        <f ca="1">ROUND(IF(R107=0,0,IF(R107=1,X107*$W$1,IF(R107=2,X107*$W$1*buff的资质计算!$E$2,IF(R107=3,X107*$W$1*buff的资质计算!$E$3,0)))),2)</f>
        <v>7.05</v>
      </c>
      <c r="X107" s="157">
        <f ca="1" t="shared" si="14"/>
        <v>23.5</v>
      </c>
      <c r="Y107" s="157">
        <f ca="1" t="shared" si="15"/>
        <v>23.5</v>
      </c>
      <c r="Z107" s="304">
        <f ca="1" t="shared" si="16"/>
        <v>11.75</v>
      </c>
      <c r="AA107" s="304">
        <f ca="1">OFFSET(卡牌辅助配置表!$AD$1,MATCH(AB107,卡牌辅助配置表!AB:AB,0)-1,0)</f>
        <v>470</v>
      </c>
      <c r="AB107" s="304">
        <f ca="1" t="shared" si="17"/>
        <v>1212</v>
      </c>
      <c r="AC107" s="153">
        <v>1</v>
      </c>
      <c r="AE107" s="153">
        <v>1</v>
      </c>
      <c r="AF107" s="153" t="str">
        <f ca="1" t="shared" si="18"/>
        <v>10040011|</v>
      </c>
      <c r="AJ107" s="205" t="str">
        <f ca="1" t="shared" si="19"/>
        <v>400023|5250|;</v>
      </c>
      <c r="AK107" s="205">
        <f ca="1">OFFSET([1]item_type!$A$1,MATCH(Q107,[1]item_type!$G:$G,0)-1,0)</f>
        <v>301004</v>
      </c>
      <c r="AL107" s="205"/>
      <c r="AM107" s="205">
        <f ca="1">IF(B107=B108,OFFSET(卡牌辅助配置表!$AE$1,MATCH(AB107,卡牌辅助配置表!AB:AB,0),0),0)</f>
        <v>5250</v>
      </c>
      <c r="AN107" s="153">
        <f ca="1" t="shared" si="20"/>
        <v>1004013</v>
      </c>
      <c r="AP107" s="153" t="str">
        <f ca="1">IF(AC107=0,0,IF(AC107=12,0,OFFSET(effect!$N$1,MATCH(K107,effect!M:M,0)-1,0)))</f>
        <v>kpsx_pt</v>
      </c>
    </row>
    <row r="108" spans="1:42">
      <c r="A108" s="153">
        <f ca="1" t="shared" si="11"/>
        <v>1004013</v>
      </c>
      <c r="B108" s="91" t="s">
        <v>500</v>
      </c>
      <c r="C108" s="186">
        <v>1</v>
      </c>
      <c r="D108" s="186">
        <v>6</v>
      </c>
      <c r="E108" s="165" t="s">
        <v>1050</v>
      </c>
      <c r="F108" s="165" t="str">
        <f>"本回合每出一张拳法牌，伤害增加"&amp;skill!$O$9/100&amp;"%"</f>
        <v>本回合每出一张拳法牌，伤害增加25%</v>
      </c>
      <c r="G108" s="186">
        <v>0</v>
      </c>
      <c r="H108" s="186">
        <f ca="1" t="shared" si="21"/>
        <v>0</v>
      </c>
      <c r="I108" s="186"/>
      <c r="J108" s="186">
        <f ca="1">OFFSET(card_type!$F$1,MATCH(Q108,card_type!A:A,0)-1,0)</f>
        <v>1</v>
      </c>
      <c r="K108" s="243">
        <f ca="1">OFFSET(card_type!$G$1,MATCH(Q108,card_type!A:A,0)-1,0)</f>
        <v>2</v>
      </c>
      <c r="L108" s="157">
        <v>2</v>
      </c>
      <c r="M108" s="157">
        <v>2</v>
      </c>
      <c r="N108" s="153">
        <f t="shared" si="12"/>
        <v>13</v>
      </c>
      <c r="O108" s="157"/>
      <c r="P108" s="157"/>
      <c r="Q108" s="153">
        <f ca="1">OFFSET(card_type!$A$1,MATCH(card!B108,card_type!B:B,0)-1,0)</f>
        <v>1004</v>
      </c>
      <c r="R108" s="153">
        <v>1</v>
      </c>
      <c r="S108" s="157">
        <f ca="1">ROUND(IF(R108=0,0,IF(R108=1,X108*$S$1,IF(R108=2,X108*$S$1*buff的资质计算!$E$2,IF(R108=3,X108*$S$1*buff的资质计算!$E$3,0)))),0)*0</f>
        <v>0</v>
      </c>
      <c r="T108" s="153">
        <v>1</v>
      </c>
      <c r="U108" s="153">
        <f ca="1" t="shared" si="13"/>
        <v>12</v>
      </c>
      <c r="V108" s="153">
        <f ca="1">ROUND((OFFSET(卡牌辅助配置表!$O$1,MATCH(U108,卡牌辅助配置表!M:M,0)-1,0)+(N108-1)*OFFSET(卡牌辅助配置表!$P$1,MATCH(U108,卡牌辅助配置表!M:M,0)-1,0))*M108,2)</f>
        <v>26.6</v>
      </c>
      <c r="W108" s="157">
        <f ca="1">ROUND(IF(R108=0,0,IF(R108=1,X108*$W$1,IF(R108=2,X108*$W$1*buff的资质计算!$E$2,IF(R108=3,X108*$W$1*buff的资质计算!$E$3,0)))),2)</f>
        <v>7.2</v>
      </c>
      <c r="X108" s="157">
        <f ca="1" t="shared" si="14"/>
        <v>24</v>
      </c>
      <c r="Y108" s="157">
        <f ca="1" t="shared" si="15"/>
        <v>24</v>
      </c>
      <c r="Z108" s="304">
        <f ca="1" t="shared" si="16"/>
        <v>12</v>
      </c>
      <c r="AA108" s="304">
        <f ca="1">OFFSET(卡牌辅助配置表!$AD$1,MATCH(AB108,卡牌辅助配置表!AB:AB,0)-1,0)</f>
        <v>525</v>
      </c>
      <c r="AB108" s="304">
        <f ca="1" t="shared" si="17"/>
        <v>1213</v>
      </c>
      <c r="AC108" s="153">
        <v>1</v>
      </c>
      <c r="AE108" s="153">
        <v>1</v>
      </c>
      <c r="AF108" s="153" t="str">
        <f ca="1" t="shared" si="18"/>
        <v>10040011|</v>
      </c>
      <c r="AJ108" s="205" t="str">
        <f ca="1" t="shared" si="19"/>
        <v>400023|5850|;</v>
      </c>
      <c r="AK108" s="205">
        <f ca="1">OFFSET([1]item_type!$A$1,MATCH(Q108,[1]item_type!$G:$G,0)-1,0)</f>
        <v>301004</v>
      </c>
      <c r="AL108" s="205"/>
      <c r="AM108" s="205">
        <f ca="1">IF(B108=B109,OFFSET(卡牌辅助配置表!$AE$1,MATCH(AB108,卡牌辅助配置表!AB:AB,0),0),0)</f>
        <v>5850</v>
      </c>
      <c r="AN108" s="153">
        <f ca="1" t="shared" si="20"/>
        <v>1004014</v>
      </c>
      <c r="AP108" s="153" t="str">
        <f ca="1">IF(AC108=0,0,IF(AC108=12,0,OFFSET(effect!$N$1,MATCH(K108,effect!M:M,0)-1,0)))</f>
        <v>kpsx_pt</v>
      </c>
    </row>
    <row r="109" spans="1:42">
      <c r="A109" s="153">
        <f ca="1" t="shared" si="11"/>
        <v>1004014</v>
      </c>
      <c r="B109" s="91" t="s">
        <v>500</v>
      </c>
      <c r="C109" s="186">
        <v>1</v>
      </c>
      <c r="D109" s="186">
        <v>6</v>
      </c>
      <c r="E109" s="165" t="s">
        <v>1050</v>
      </c>
      <c r="F109" s="165" t="str">
        <f>"本回合每出一张拳法牌，伤害增加"&amp;skill!$O$9/100&amp;"%"</f>
        <v>本回合每出一张拳法牌，伤害增加25%</v>
      </c>
      <c r="G109" s="186">
        <v>0</v>
      </c>
      <c r="H109" s="186">
        <f ca="1" t="shared" si="21"/>
        <v>0</v>
      </c>
      <c r="I109" s="186"/>
      <c r="J109" s="186">
        <f ca="1">OFFSET(card_type!$F$1,MATCH(Q109,card_type!A:A,0)-1,0)</f>
        <v>1</v>
      </c>
      <c r="K109" s="243">
        <f ca="1">OFFSET(card_type!$G$1,MATCH(Q109,card_type!A:A,0)-1,0)</f>
        <v>2</v>
      </c>
      <c r="L109" s="157">
        <v>2</v>
      </c>
      <c r="M109" s="157">
        <v>2</v>
      </c>
      <c r="N109" s="153">
        <f t="shared" si="12"/>
        <v>14</v>
      </c>
      <c r="O109" s="157"/>
      <c r="P109" s="157"/>
      <c r="Q109" s="153">
        <f ca="1">OFFSET(card_type!$A$1,MATCH(card!B109,card_type!B:B,0)-1,0)</f>
        <v>1004</v>
      </c>
      <c r="R109" s="153">
        <v>1</v>
      </c>
      <c r="S109" s="157">
        <f ca="1">ROUND(IF(R109=0,0,IF(R109=1,X109*$S$1,IF(R109=2,X109*$S$1*buff的资质计算!$E$2,IF(R109=3,X109*$S$1*buff的资质计算!$E$3,0)))),0)*0</f>
        <v>0</v>
      </c>
      <c r="T109" s="153">
        <v>1</v>
      </c>
      <c r="U109" s="153">
        <f ca="1" t="shared" si="13"/>
        <v>12</v>
      </c>
      <c r="V109" s="153">
        <f ca="1">ROUND((OFFSET(卡牌辅助配置表!$O$1,MATCH(U109,卡牌辅助配置表!M:M,0)-1,0)+(N109-1)*OFFSET(卡牌辅助配置表!$P$1,MATCH(U109,卡牌辅助配置表!M:M,0)-1,0))*M109,2)</f>
        <v>27.23</v>
      </c>
      <c r="W109" s="157">
        <f ca="1">ROUND(IF(R109=0,0,IF(R109=1,X109*$W$1,IF(R109=2,X109*$W$1*buff的资质计算!$E$2,IF(R109=3,X109*$W$1*buff的资质计算!$E$3,0)))),2)</f>
        <v>7.35</v>
      </c>
      <c r="X109" s="157">
        <f ca="1" t="shared" si="14"/>
        <v>24.5</v>
      </c>
      <c r="Y109" s="157">
        <f ca="1" t="shared" si="15"/>
        <v>24.5</v>
      </c>
      <c r="Z109" s="304">
        <f ca="1" t="shared" si="16"/>
        <v>12.25</v>
      </c>
      <c r="AA109" s="304">
        <f ca="1">OFFSET(卡牌辅助配置表!$AD$1,MATCH(AB109,卡牌辅助配置表!AB:AB,0)-1,0)</f>
        <v>580</v>
      </c>
      <c r="AB109" s="304">
        <f ca="1" t="shared" si="17"/>
        <v>1214</v>
      </c>
      <c r="AC109" s="153">
        <v>1</v>
      </c>
      <c r="AE109" s="153">
        <v>1</v>
      </c>
      <c r="AF109" s="153" t="str">
        <f ca="1" t="shared" si="18"/>
        <v>10040011|</v>
      </c>
      <c r="AJ109" s="205" t="str">
        <f ca="1" t="shared" si="19"/>
        <v>400023|6450|;</v>
      </c>
      <c r="AK109" s="205">
        <f ca="1">OFFSET([1]item_type!$A$1,MATCH(Q109,[1]item_type!$G:$G,0)-1,0)</f>
        <v>301004</v>
      </c>
      <c r="AL109" s="205"/>
      <c r="AM109" s="205">
        <f ca="1">IF(B109=B110,OFFSET(卡牌辅助配置表!$AE$1,MATCH(AB109,卡牌辅助配置表!AB:AB,0),0),0)</f>
        <v>6450</v>
      </c>
      <c r="AN109" s="153">
        <f ca="1" t="shared" si="20"/>
        <v>1004015</v>
      </c>
      <c r="AP109" s="153" t="str">
        <f ca="1">IF(AC109=0,0,IF(AC109=12,0,OFFSET(effect!$N$1,MATCH(K109,effect!M:M,0)-1,0)))</f>
        <v>kpsx_pt</v>
      </c>
    </row>
    <row r="110" spans="1:42">
      <c r="A110" s="153">
        <f ca="1" t="shared" si="11"/>
        <v>1004015</v>
      </c>
      <c r="B110" s="91" t="s">
        <v>500</v>
      </c>
      <c r="C110" s="186">
        <v>1</v>
      </c>
      <c r="D110" s="186">
        <v>6</v>
      </c>
      <c r="E110" s="165" t="s">
        <v>1050</v>
      </c>
      <c r="F110" s="165" t="str">
        <f>"本回合每出一张拳法牌，伤害增加"&amp;skill!$O$9/100&amp;"%"</f>
        <v>本回合每出一张拳法牌，伤害增加25%</v>
      </c>
      <c r="G110" s="186">
        <v>0</v>
      </c>
      <c r="H110" s="186">
        <f ca="1" t="shared" si="21"/>
        <v>0</v>
      </c>
      <c r="I110" s="186"/>
      <c r="J110" s="186">
        <f ca="1">OFFSET(card_type!$F$1,MATCH(Q110,card_type!A:A,0)-1,0)</f>
        <v>1</v>
      </c>
      <c r="K110" s="243">
        <f ca="1">OFFSET(card_type!$G$1,MATCH(Q110,card_type!A:A,0)-1,0)</f>
        <v>2</v>
      </c>
      <c r="L110" s="157">
        <v>2</v>
      </c>
      <c r="M110" s="157">
        <v>2</v>
      </c>
      <c r="N110" s="153">
        <f t="shared" si="12"/>
        <v>15</v>
      </c>
      <c r="O110" s="157"/>
      <c r="P110" s="157"/>
      <c r="Q110" s="153">
        <f ca="1">OFFSET(card_type!$A$1,MATCH(card!B110,card_type!B:B,0)-1,0)</f>
        <v>1004</v>
      </c>
      <c r="R110" s="153">
        <v>1</v>
      </c>
      <c r="S110" s="157">
        <f ca="1">ROUND(IF(R110=0,0,IF(R110=1,X110*$S$1,IF(R110=2,X110*$S$1*buff的资质计算!$E$2,IF(R110=3,X110*$S$1*buff的资质计算!$E$3,0)))),0)*0</f>
        <v>0</v>
      </c>
      <c r="T110" s="153">
        <v>1</v>
      </c>
      <c r="U110" s="153">
        <f ca="1" t="shared" si="13"/>
        <v>12</v>
      </c>
      <c r="V110" s="153">
        <f ca="1">ROUND((OFFSET(卡牌辅助配置表!$O$1,MATCH(U110,卡牌辅助配置表!M:M,0)-1,0)+(N110-1)*OFFSET(卡牌辅助配置表!$P$1,MATCH(U110,卡牌辅助配置表!M:M,0)-1,0))*M110,2)</f>
        <v>27.87</v>
      </c>
      <c r="W110" s="157">
        <f ca="1">ROUND(IF(R110=0,0,IF(R110=1,X110*$W$1,IF(R110=2,X110*$W$1*buff的资质计算!$E$2,IF(R110=3,X110*$W$1*buff的资质计算!$E$3,0)))),2)</f>
        <v>7.5</v>
      </c>
      <c r="X110" s="157">
        <f ca="1" t="shared" si="14"/>
        <v>25</v>
      </c>
      <c r="Y110" s="157">
        <f ca="1" t="shared" si="15"/>
        <v>25</v>
      </c>
      <c r="Z110" s="304">
        <f ca="1" t="shared" si="16"/>
        <v>12.5</v>
      </c>
      <c r="AA110" s="304">
        <f ca="1">OFFSET(卡牌辅助配置表!$AD$1,MATCH(AB110,卡牌辅助配置表!AB:AB,0)-1,0)</f>
        <v>635</v>
      </c>
      <c r="AB110" s="304">
        <f ca="1" t="shared" si="17"/>
        <v>1215</v>
      </c>
      <c r="AC110" s="153">
        <v>1</v>
      </c>
      <c r="AE110" s="153">
        <v>1</v>
      </c>
      <c r="AF110" s="153" t="str">
        <f ca="1" t="shared" si="18"/>
        <v>10040011|</v>
      </c>
      <c r="AJ110" s="205" t="str">
        <f ca="1" t="shared" si="19"/>
        <v>400023|7050|;</v>
      </c>
      <c r="AK110" s="205">
        <f ca="1">OFFSET([1]item_type!$A$1,MATCH(Q110,[1]item_type!$G:$G,0)-1,0)</f>
        <v>301004</v>
      </c>
      <c r="AL110" s="205"/>
      <c r="AM110" s="205">
        <f ca="1">IF(B110=B111,OFFSET(卡牌辅助配置表!$AE$1,MATCH(AB110,卡牌辅助配置表!AB:AB,0),0),0)</f>
        <v>7050</v>
      </c>
      <c r="AN110" s="153">
        <f ca="1" t="shared" si="20"/>
        <v>1004016</v>
      </c>
      <c r="AP110" s="153" t="str">
        <f ca="1">IF(AC110=0,0,IF(AC110=12,0,OFFSET(effect!$N$1,MATCH(K110,effect!M:M,0)-1,0)))</f>
        <v>kpsx_pt</v>
      </c>
    </row>
    <row r="111" spans="1:42">
      <c r="A111" s="153">
        <f ca="1" t="shared" si="11"/>
        <v>1004016</v>
      </c>
      <c r="B111" s="91" t="s">
        <v>500</v>
      </c>
      <c r="C111" s="186">
        <v>1</v>
      </c>
      <c r="D111" s="186">
        <v>6</v>
      </c>
      <c r="E111" s="165" t="s">
        <v>1050</v>
      </c>
      <c r="F111" s="165" t="str">
        <f>"本回合每出一张拳法牌，伤害增加"&amp;skill!$O$9/100&amp;"%"</f>
        <v>本回合每出一张拳法牌，伤害增加25%</v>
      </c>
      <c r="G111" s="186">
        <v>0</v>
      </c>
      <c r="H111" s="186">
        <f ca="1" t="shared" si="21"/>
        <v>0</v>
      </c>
      <c r="I111" s="186"/>
      <c r="J111" s="186">
        <f ca="1">OFFSET(card_type!$F$1,MATCH(Q111,card_type!A:A,0)-1,0)</f>
        <v>1</v>
      </c>
      <c r="K111" s="243">
        <f ca="1">OFFSET(card_type!$G$1,MATCH(Q111,card_type!A:A,0)-1,0)</f>
        <v>2</v>
      </c>
      <c r="L111" s="157">
        <v>2</v>
      </c>
      <c r="M111" s="157">
        <v>2</v>
      </c>
      <c r="N111" s="153">
        <f t="shared" si="12"/>
        <v>16</v>
      </c>
      <c r="O111" s="157"/>
      <c r="P111" s="157"/>
      <c r="Q111" s="153">
        <f ca="1">OFFSET(card_type!$A$1,MATCH(card!B111,card_type!B:B,0)-1,0)</f>
        <v>1004</v>
      </c>
      <c r="R111" s="153">
        <v>1</v>
      </c>
      <c r="S111" s="157">
        <f ca="1">ROUND(IF(R111=0,0,IF(R111=1,X111*$S$1,IF(R111=2,X111*$S$1*buff的资质计算!$E$2,IF(R111=3,X111*$S$1*buff的资质计算!$E$3,0)))),0)*0</f>
        <v>0</v>
      </c>
      <c r="T111" s="153">
        <v>1</v>
      </c>
      <c r="U111" s="153">
        <f ca="1" t="shared" si="13"/>
        <v>12</v>
      </c>
      <c r="V111" s="153">
        <f ca="1">ROUND((OFFSET(卡牌辅助配置表!$O$1,MATCH(U111,卡牌辅助配置表!M:M,0)-1,0)+(N111-1)*OFFSET(卡牌辅助配置表!$P$1,MATCH(U111,卡牌辅助配置表!M:M,0)-1,0))*M111,2)</f>
        <v>28.5</v>
      </c>
      <c r="W111" s="157">
        <f ca="1">ROUND(IF(R111=0,0,IF(R111=1,X111*$W$1,IF(R111=2,X111*$W$1*buff的资质计算!$E$2,IF(R111=3,X111*$W$1*buff的资质计算!$E$3,0)))),2)</f>
        <v>7.65</v>
      </c>
      <c r="X111" s="157">
        <f ca="1" t="shared" si="14"/>
        <v>25.5</v>
      </c>
      <c r="Y111" s="157">
        <f ca="1" t="shared" si="15"/>
        <v>25.5</v>
      </c>
      <c r="Z111" s="304">
        <f ca="1" t="shared" si="16"/>
        <v>12.75</v>
      </c>
      <c r="AA111" s="304">
        <f ca="1">OFFSET(卡牌辅助配置表!$AD$1,MATCH(AB111,卡牌辅助配置表!AB:AB,0)-1,0)</f>
        <v>690</v>
      </c>
      <c r="AB111" s="304">
        <f ca="1" t="shared" si="17"/>
        <v>1216</v>
      </c>
      <c r="AC111" s="153">
        <v>1</v>
      </c>
      <c r="AE111" s="153">
        <v>1</v>
      </c>
      <c r="AF111" s="153" t="str">
        <f ca="1" t="shared" si="18"/>
        <v>10040011|</v>
      </c>
      <c r="AJ111" s="205" t="str">
        <f ca="1" t="shared" si="19"/>
        <v>400023|7650|;</v>
      </c>
      <c r="AK111" s="205">
        <f ca="1">OFFSET([1]item_type!$A$1,MATCH(Q111,[1]item_type!$G:$G,0)-1,0)</f>
        <v>301004</v>
      </c>
      <c r="AL111" s="205"/>
      <c r="AM111" s="205">
        <f ca="1">IF(B111=B112,OFFSET(卡牌辅助配置表!$AE$1,MATCH(AB111,卡牌辅助配置表!AB:AB,0),0),0)</f>
        <v>7650</v>
      </c>
      <c r="AN111" s="153">
        <f ca="1" t="shared" si="20"/>
        <v>1004017</v>
      </c>
      <c r="AP111" s="153" t="str">
        <f ca="1">IF(AC111=0,0,IF(AC111=12,0,OFFSET(effect!$N$1,MATCH(K111,effect!M:M,0)-1,0)))</f>
        <v>kpsx_pt</v>
      </c>
    </row>
    <row r="112" spans="1:42">
      <c r="A112" s="153">
        <f ca="1" t="shared" si="11"/>
        <v>1004017</v>
      </c>
      <c r="B112" s="91" t="s">
        <v>500</v>
      </c>
      <c r="C112" s="186">
        <v>1</v>
      </c>
      <c r="D112" s="186">
        <v>6</v>
      </c>
      <c r="E112" s="165" t="s">
        <v>1050</v>
      </c>
      <c r="F112" s="165" t="str">
        <f>"本回合每出一张拳法牌，伤害增加"&amp;skill!$O$9/100&amp;"%"</f>
        <v>本回合每出一张拳法牌，伤害增加25%</v>
      </c>
      <c r="G112" s="186">
        <v>0</v>
      </c>
      <c r="H112" s="186">
        <f ca="1" t="shared" si="21"/>
        <v>0</v>
      </c>
      <c r="I112" s="186"/>
      <c r="J112" s="186">
        <f ca="1">OFFSET(card_type!$F$1,MATCH(Q112,card_type!A:A,0)-1,0)</f>
        <v>1</v>
      </c>
      <c r="K112" s="243">
        <f ca="1">OFFSET(card_type!$G$1,MATCH(Q112,card_type!A:A,0)-1,0)</f>
        <v>2</v>
      </c>
      <c r="L112" s="157">
        <v>2</v>
      </c>
      <c r="M112" s="157">
        <v>2</v>
      </c>
      <c r="N112" s="153">
        <f t="shared" si="12"/>
        <v>17</v>
      </c>
      <c r="O112" s="157"/>
      <c r="P112" s="157"/>
      <c r="Q112" s="153">
        <f ca="1">OFFSET(card_type!$A$1,MATCH(card!B112,card_type!B:B,0)-1,0)</f>
        <v>1004</v>
      </c>
      <c r="R112" s="153">
        <v>1</v>
      </c>
      <c r="S112" s="157">
        <f ca="1">ROUND(IF(R112=0,0,IF(R112=1,X112*$S$1,IF(R112=2,X112*$S$1*buff的资质计算!$E$2,IF(R112=3,X112*$S$1*buff的资质计算!$E$3,0)))),0)*0</f>
        <v>0</v>
      </c>
      <c r="T112" s="153">
        <v>1</v>
      </c>
      <c r="U112" s="153">
        <f ca="1" t="shared" si="13"/>
        <v>12</v>
      </c>
      <c r="V112" s="153">
        <f ca="1">ROUND((OFFSET(卡牌辅助配置表!$O$1,MATCH(U112,卡牌辅助配置表!M:M,0)-1,0)+(N112-1)*OFFSET(卡牌辅助配置表!$P$1,MATCH(U112,卡牌辅助配置表!M:M,0)-1,0))*M112,2)</f>
        <v>29.13</v>
      </c>
      <c r="W112" s="157">
        <f ca="1">ROUND(IF(R112=0,0,IF(R112=1,X112*$W$1,IF(R112=2,X112*$W$1*buff的资质计算!$E$2,IF(R112=3,X112*$W$1*buff的资质计算!$E$3,0)))),2)</f>
        <v>7.8</v>
      </c>
      <c r="X112" s="157">
        <f ca="1" t="shared" si="14"/>
        <v>26</v>
      </c>
      <c r="Y112" s="157">
        <f ca="1" t="shared" si="15"/>
        <v>26</v>
      </c>
      <c r="Z112" s="304">
        <f ca="1" t="shared" si="16"/>
        <v>13</v>
      </c>
      <c r="AA112" s="304">
        <f ca="1">OFFSET(卡牌辅助配置表!$AD$1,MATCH(AB112,卡牌辅助配置表!AB:AB,0)-1,0)</f>
        <v>745</v>
      </c>
      <c r="AB112" s="304">
        <f ca="1" t="shared" si="17"/>
        <v>1217</v>
      </c>
      <c r="AC112" s="153">
        <v>1</v>
      </c>
      <c r="AE112" s="153">
        <v>1</v>
      </c>
      <c r="AF112" s="153" t="str">
        <f ca="1" t="shared" si="18"/>
        <v>10040011|</v>
      </c>
      <c r="AJ112" s="205" t="str">
        <f ca="1" t="shared" si="19"/>
        <v>400023|8250|;</v>
      </c>
      <c r="AK112" s="205">
        <f ca="1">OFFSET([1]item_type!$A$1,MATCH(Q112,[1]item_type!$G:$G,0)-1,0)</f>
        <v>301004</v>
      </c>
      <c r="AL112" s="205"/>
      <c r="AM112" s="205">
        <f ca="1">IF(B112=B113,OFFSET(卡牌辅助配置表!$AE$1,MATCH(AB112,卡牌辅助配置表!AB:AB,0),0),0)</f>
        <v>8250</v>
      </c>
      <c r="AN112" s="153">
        <f ca="1" t="shared" si="20"/>
        <v>1004018</v>
      </c>
      <c r="AP112" s="153" t="str">
        <f ca="1">IF(AC112=0,0,IF(AC112=12,0,OFFSET(effect!$N$1,MATCH(K112,effect!M:M,0)-1,0)))</f>
        <v>kpsx_pt</v>
      </c>
    </row>
    <row r="113" spans="1:42">
      <c r="A113" s="153">
        <f ca="1" t="shared" si="11"/>
        <v>1004018</v>
      </c>
      <c r="B113" s="91" t="s">
        <v>500</v>
      </c>
      <c r="C113" s="186">
        <v>1</v>
      </c>
      <c r="D113" s="186">
        <v>6</v>
      </c>
      <c r="E113" s="165" t="s">
        <v>1050</v>
      </c>
      <c r="F113" s="165" t="str">
        <f>"本回合每出一张拳法牌，伤害增加"&amp;skill!$O$9/100&amp;"%"</f>
        <v>本回合每出一张拳法牌，伤害增加25%</v>
      </c>
      <c r="G113" s="186">
        <v>0</v>
      </c>
      <c r="H113" s="186">
        <f ca="1" t="shared" si="21"/>
        <v>0</v>
      </c>
      <c r="I113" s="186"/>
      <c r="J113" s="186">
        <f ca="1">OFFSET(card_type!$F$1,MATCH(Q113,card_type!A:A,0)-1,0)</f>
        <v>1</v>
      </c>
      <c r="K113" s="243">
        <f ca="1">OFFSET(card_type!$G$1,MATCH(Q113,card_type!A:A,0)-1,0)</f>
        <v>2</v>
      </c>
      <c r="L113" s="157">
        <v>2</v>
      </c>
      <c r="M113" s="157">
        <v>2</v>
      </c>
      <c r="N113" s="153">
        <f t="shared" si="12"/>
        <v>18</v>
      </c>
      <c r="O113" s="157"/>
      <c r="P113" s="157"/>
      <c r="Q113" s="153">
        <f ca="1">OFFSET(card_type!$A$1,MATCH(card!B113,card_type!B:B,0)-1,0)</f>
        <v>1004</v>
      </c>
      <c r="R113" s="153">
        <v>1</v>
      </c>
      <c r="S113" s="157">
        <f ca="1">ROUND(IF(R113=0,0,IF(R113=1,X113*$S$1,IF(R113=2,X113*$S$1*buff的资质计算!$E$2,IF(R113=3,X113*$S$1*buff的资质计算!$E$3,0)))),0)*0</f>
        <v>0</v>
      </c>
      <c r="T113" s="153">
        <v>1</v>
      </c>
      <c r="U113" s="153">
        <f ca="1" t="shared" si="13"/>
        <v>12</v>
      </c>
      <c r="V113" s="153">
        <f ca="1">ROUND((OFFSET(卡牌辅助配置表!$O$1,MATCH(U113,卡牌辅助配置表!M:M,0)-1,0)+(N113-1)*OFFSET(卡牌辅助配置表!$P$1,MATCH(U113,卡牌辅助配置表!M:M,0)-1,0))*M113,2)</f>
        <v>29.77</v>
      </c>
      <c r="W113" s="157">
        <f ca="1">ROUND(IF(R113=0,0,IF(R113=1,X113*$W$1,IF(R113=2,X113*$W$1*buff的资质计算!$E$2,IF(R113=3,X113*$W$1*buff的资质计算!$E$3,0)))),2)</f>
        <v>7.95</v>
      </c>
      <c r="X113" s="157">
        <f ca="1" t="shared" si="14"/>
        <v>26.5</v>
      </c>
      <c r="Y113" s="157">
        <f ca="1" t="shared" si="15"/>
        <v>26.5</v>
      </c>
      <c r="Z113" s="304">
        <f ca="1" t="shared" si="16"/>
        <v>13.25</v>
      </c>
      <c r="AA113" s="304">
        <f ca="1">OFFSET(卡牌辅助配置表!$AD$1,MATCH(AB113,卡牌辅助配置表!AB:AB,0)-1,0)</f>
        <v>800</v>
      </c>
      <c r="AB113" s="304">
        <f ca="1" t="shared" si="17"/>
        <v>1218</v>
      </c>
      <c r="AC113" s="153">
        <v>1</v>
      </c>
      <c r="AE113" s="153">
        <v>1</v>
      </c>
      <c r="AF113" s="153" t="str">
        <f ca="1" t="shared" si="18"/>
        <v>10040011|</v>
      </c>
      <c r="AJ113" s="205" t="str">
        <f ca="1" t="shared" si="19"/>
        <v>400023|8850|;</v>
      </c>
      <c r="AK113" s="205">
        <f ca="1">OFFSET([1]item_type!$A$1,MATCH(Q113,[1]item_type!$G:$G,0)-1,0)</f>
        <v>301004</v>
      </c>
      <c r="AL113" s="205"/>
      <c r="AM113" s="205">
        <f ca="1">IF(B113=B114,OFFSET(卡牌辅助配置表!$AE$1,MATCH(AB113,卡牌辅助配置表!AB:AB,0),0),0)</f>
        <v>8850</v>
      </c>
      <c r="AN113" s="153">
        <f ca="1" t="shared" si="20"/>
        <v>1004019</v>
      </c>
      <c r="AP113" s="153" t="str">
        <f ca="1">IF(AC113=0,0,IF(AC113=12,0,OFFSET(effect!$N$1,MATCH(K113,effect!M:M,0)-1,0)))</f>
        <v>kpsx_pt</v>
      </c>
    </row>
    <row r="114" spans="1:42">
      <c r="A114" s="153">
        <f ca="1" t="shared" si="11"/>
        <v>1004019</v>
      </c>
      <c r="B114" s="91" t="s">
        <v>500</v>
      </c>
      <c r="C114" s="186">
        <v>1</v>
      </c>
      <c r="D114" s="186">
        <v>6</v>
      </c>
      <c r="E114" s="165" t="s">
        <v>1050</v>
      </c>
      <c r="F114" s="165" t="str">
        <f>"本回合每出一张拳法牌，伤害增加"&amp;skill!$O$9/100&amp;"%"</f>
        <v>本回合每出一张拳法牌，伤害增加25%</v>
      </c>
      <c r="G114" s="186">
        <v>0</v>
      </c>
      <c r="H114" s="186">
        <f ca="1" t="shared" si="21"/>
        <v>0</v>
      </c>
      <c r="I114" s="186"/>
      <c r="J114" s="186">
        <f ca="1">OFFSET(card_type!$F$1,MATCH(Q114,card_type!A:A,0)-1,0)</f>
        <v>1</v>
      </c>
      <c r="K114" s="243">
        <f ca="1">OFFSET(card_type!$G$1,MATCH(Q114,card_type!A:A,0)-1,0)</f>
        <v>2</v>
      </c>
      <c r="L114" s="157">
        <v>2</v>
      </c>
      <c r="M114" s="157">
        <v>2</v>
      </c>
      <c r="N114" s="153">
        <f t="shared" si="12"/>
        <v>19</v>
      </c>
      <c r="O114" s="157"/>
      <c r="P114" s="157"/>
      <c r="Q114" s="153">
        <f ca="1">OFFSET(card_type!$A$1,MATCH(card!B114,card_type!B:B,0)-1,0)</f>
        <v>1004</v>
      </c>
      <c r="R114" s="153">
        <v>1</v>
      </c>
      <c r="S114" s="157">
        <f ca="1">ROUND(IF(R114=0,0,IF(R114=1,X114*$S$1,IF(R114=2,X114*$S$1*buff的资质计算!$E$2,IF(R114=3,X114*$S$1*buff的资质计算!$E$3,0)))),0)*0</f>
        <v>0</v>
      </c>
      <c r="T114" s="153">
        <v>1</v>
      </c>
      <c r="U114" s="153">
        <f ca="1" t="shared" si="13"/>
        <v>12</v>
      </c>
      <c r="V114" s="153">
        <f ca="1">ROUND((OFFSET(卡牌辅助配置表!$O$1,MATCH(U114,卡牌辅助配置表!M:M,0)-1,0)+(N114-1)*OFFSET(卡牌辅助配置表!$P$1,MATCH(U114,卡牌辅助配置表!M:M,0)-1,0))*M114,2)</f>
        <v>30.4</v>
      </c>
      <c r="W114" s="157">
        <f ca="1">ROUND(IF(R114=0,0,IF(R114=1,X114*$W$1,IF(R114=2,X114*$W$1*buff的资质计算!$E$2,IF(R114=3,X114*$W$1*buff的资质计算!$E$3,0)))),2)</f>
        <v>8.1</v>
      </c>
      <c r="X114" s="157">
        <f ca="1" t="shared" si="14"/>
        <v>27</v>
      </c>
      <c r="Y114" s="157">
        <f ca="1" t="shared" si="15"/>
        <v>27</v>
      </c>
      <c r="Z114" s="304">
        <f ca="1" t="shared" si="16"/>
        <v>13.5</v>
      </c>
      <c r="AA114" s="304">
        <f ca="1">OFFSET(卡牌辅助配置表!$AD$1,MATCH(AB114,卡牌辅助配置表!AB:AB,0)-1,0)</f>
        <v>855</v>
      </c>
      <c r="AB114" s="304">
        <f ca="1" t="shared" si="17"/>
        <v>1219</v>
      </c>
      <c r="AC114" s="153">
        <v>1</v>
      </c>
      <c r="AE114" s="153">
        <v>1</v>
      </c>
      <c r="AF114" s="153" t="str">
        <f ca="1" t="shared" si="18"/>
        <v>10040011|</v>
      </c>
      <c r="AJ114" s="205" t="str">
        <f ca="1" t="shared" si="19"/>
        <v>301004|20|;400023|9450|;</v>
      </c>
      <c r="AK114" s="205">
        <f ca="1">OFFSET([1]item_type!$A$1,MATCH(Q114,[1]item_type!$G:$G,0)-1,0)</f>
        <v>301004</v>
      </c>
      <c r="AL114" s="205">
        <v>20</v>
      </c>
      <c r="AM114" s="205">
        <f ca="1">IF(B114=B115,OFFSET(卡牌辅助配置表!$AE$1,MATCH(AB114,卡牌辅助配置表!AB:AB,0),0),0)</f>
        <v>9450</v>
      </c>
      <c r="AN114" s="153">
        <f ca="1" t="shared" si="20"/>
        <v>1004020</v>
      </c>
      <c r="AP114" s="153" t="str">
        <f ca="1">IF(AC114=0,0,IF(AC114=12,0,OFFSET(effect!$N$1,MATCH(K114,effect!M:M,0)-1,0)))</f>
        <v>kpsx_pt</v>
      </c>
    </row>
    <row r="115" spans="1:42">
      <c r="A115" s="153">
        <f ca="1" t="shared" si="11"/>
        <v>1004020</v>
      </c>
      <c r="B115" s="91" t="s">
        <v>500</v>
      </c>
      <c r="C115" s="186">
        <v>1</v>
      </c>
      <c r="D115" s="186">
        <v>6</v>
      </c>
      <c r="E115" s="165" t="s">
        <v>1050</v>
      </c>
      <c r="F115" s="165" t="str">
        <f>"本回合每出一张拳法牌，伤害增加"&amp;skill!$O$9/100&amp;"%"</f>
        <v>本回合每出一张拳法牌，伤害增加25%</v>
      </c>
      <c r="G115" s="186">
        <v>0</v>
      </c>
      <c r="H115" s="186">
        <f ca="1" t="shared" si="21"/>
        <v>0</v>
      </c>
      <c r="I115" s="186"/>
      <c r="J115" s="186">
        <f ca="1">OFFSET(card_type!$F$1,MATCH(Q115,card_type!A:A,0)-1,0)</f>
        <v>1</v>
      </c>
      <c r="K115" s="243">
        <f ca="1">OFFSET(card_type!$G$1,MATCH(Q115,card_type!A:A,0)-1,0)</f>
        <v>2</v>
      </c>
      <c r="L115" s="157">
        <v>2</v>
      </c>
      <c r="M115" s="157">
        <v>2</v>
      </c>
      <c r="N115" s="153">
        <f t="shared" si="12"/>
        <v>20</v>
      </c>
      <c r="O115" s="157"/>
      <c r="P115" s="157"/>
      <c r="Q115" s="153">
        <f ca="1">OFFSET(card_type!$A$1,MATCH(card!B115,card_type!B:B,0)-1,0)</f>
        <v>1004</v>
      </c>
      <c r="R115" s="153">
        <v>1</v>
      </c>
      <c r="S115" s="157">
        <f ca="1">ROUND(IF(R115=0,0,IF(R115=1,X115*$S$1,IF(R115=2,X115*$S$1*buff的资质计算!$E$2,IF(R115=3,X115*$S$1*buff的资质计算!$E$3,0)))),0)*0</f>
        <v>0</v>
      </c>
      <c r="T115" s="153">
        <v>1</v>
      </c>
      <c r="U115" s="153">
        <f ca="1" t="shared" si="13"/>
        <v>12</v>
      </c>
      <c r="V115" s="153">
        <f ca="1">ROUND((OFFSET(卡牌辅助配置表!$O$1,MATCH(U115,卡牌辅助配置表!M:M,0)-1,0)+(N115-1)*OFFSET(卡牌辅助配置表!$P$1,MATCH(U115,卡牌辅助配置表!M:M,0)-1,0))*M115,2)</f>
        <v>31.03</v>
      </c>
      <c r="W115" s="157">
        <f ca="1">ROUND(IF(R115=0,0,IF(R115=1,X115*$W$1,IF(R115=2,X115*$W$1*buff的资质计算!$E$2,IF(R115=3,X115*$W$1*buff的资质计算!$E$3,0)))),2)</f>
        <v>8.25</v>
      </c>
      <c r="X115" s="157">
        <f ca="1" t="shared" si="14"/>
        <v>27.5</v>
      </c>
      <c r="Y115" s="157">
        <f ca="1" t="shared" si="15"/>
        <v>27.5</v>
      </c>
      <c r="Z115" s="304">
        <f ca="1" t="shared" si="16"/>
        <v>13.75</v>
      </c>
      <c r="AA115" s="304">
        <f ca="1">OFFSET(卡牌辅助配置表!$AD$1,MATCH(AB115,卡牌辅助配置表!AB:AB,0)-1,0)</f>
        <v>910</v>
      </c>
      <c r="AB115" s="304">
        <f ca="1" t="shared" si="17"/>
        <v>1220</v>
      </c>
      <c r="AC115" s="153">
        <v>1</v>
      </c>
      <c r="AE115" s="153">
        <v>1</v>
      </c>
      <c r="AF115" s="153" t="str">
        <f ca="1" t="shared" si="18"/>
        <v>10040011|</v>
      </c>
      <c r="AJ115" s="205" t="str">
        <f ca="1" t="shared" si="19"/>
        <v>400023|10650|;</v>
      </c>
      <c r="AK115" s="205">
        <f ca="1">OFFSET([1]item_type!$A$1,MATCH(Q115,[1]item_type!$G:$G,0)-1,0)</f>
        <v>301004</v>
      </c>
      <c r="AL115" s="205"/>
      <c r="AM115" s="205">
        <f ca="1">IF(B115=B116,OFFSET(卡牌辅助配置表!$AE$1,MATCH(AB115,卡牌辅助配置表!AB:AB,0),0),0)</f>
        <v>10650</v>
      </c>
      <c r="AN115" s="153">
        <f ca="1" t="shared" si="20"/>
        <v>1004021</v>
      </c>
      <c r="AP115" s="153" t="str">
        <f ca="1">IF(AC115=0,0,IF(AC115=12,0,OFFSET(effect!$N$1,MATCH(K115,effect!M:M,0)-1,0)))</f>
        <v>kpsx_pt</v>
      </c>
    </row>
    <row r="116" spans="1:42">
      <c r="A116" s="153">
        <f ca="1" t="shared" si="11"/>
        <v>1004021</v>
      </c>
      <c r="B116" s="91" t="s">
        <v>500</v>
      </c>
      <c r="C116" s="186">
        <v>1</v>
      </c>
      <c r="D116" s="186">
        <v>6</v>
      </c>
      <c r="E116" s="165" t="s">
        <v>1050</v>
      </c>
      <c r="F116" s="165" t="str">
        <f>"本回合每出一张拳法牌，伤害增加"&amp;skill!$O$9/100&amp;"%"</f>
        <v>本回合每出一张拳法牌，伤害增加25%</v>
      </c>
      <c r="G116" s="186">
        <v>0</v>
      </c>
      <c r="H116" s="186">
        <f ca="1" t="shared" si="21"/>
        <v>0</v>
      </c>
      <c r="I116" s="186"/>
      <c r="J116" s="186">
        <f ca="1">OFFSET(card_type!$F$1,MATCH(Q116,card_type!A:A,0)-1,0)</f>
        <v>1</v>
      </c>
      <c r="K116" s="243">
        <f ca="1">OFFSET(card_type!$G$1,MATCH(Q116,card_type!A:A,0)-1,0)</f>
        <v>2</v>
      </c>
      <c r="L116" s="157">
        <v>2</v>
      </c>
      <c r="M116" s="157">
        <v>2</v>
      </c>
      <c r="N116" s="153">
        <f t="shared" si="12"/>
        <v>21</v>
      </c>
      <c r="O116" s="157"/>
      <c r="P116" s="157"/>
      <c r="Q116" s="153">
        <f ca="1">OFFSET(card_type!$A$1,MATCH(card!B116,card_type!B:B,0)-1,0)</f>
        <v>1004</v>
      </c>
      <c r="R116" s="153">
        <v>1</v>
      </c>
      <c r="S116" s="157">
        <f ca="1">ROUND(IF(R116=0,0,IF(R116=1,X116*$S$1,IF(R116=2,X116*$S$1*buff的资质计算!$E$2,IF(R116=3,X116*$S$1*buff的资质计算!$E$3,0)))),0)*0</f>
        <v>0</v>
      </c>
      <c r="T116" s="153">
        <v>1</v>
      </c>
      <c r="U116" s="153">
        <f ca="1" t="shared" si="13"/>
        <v>12</v>
      </c>
      <c r="V116" s="153">
        <f ca="1">ROUND((OFFSET(卡牌辅助配置表!$O$1,MATCH(U116,卡牌辅助配置表!M:M,0)-1,0)+(N116-1)*OFFSET(卡牌辅助配置表!$P$1,MATCH(U116,卡牌辅助配置表!M:M,0)-1,0))*M116,2)</f>
        <v>31.67</v>
      </c>
      <c r="W116" s="157">
        <f ca="1">ROUND(IF(R116=0,0,IF(R116=1,X116*$W$1,IF(R116=2,X116*$W$1*buff的资质计算!$E$2,IF(R116=3,X116*$W$1*buff的资质计算!$E$3,0)))),2)</f>
        <v>8.4</v>
      </c>
      <c r="X116" s="157">
        <f ca="1" t="shared" si="14"/>
        <v>28</v>
      </c>
      <c r="Y116" s="157">
        <f ca="1" t="shared" si="15"/>
        <v>28</v>
      </c>
      <c r="Z116" s="304">
        <f ca="1" t="shared" si="16"/>
        <v>14</v>
      </c>
      <c r="AA116" s="304">
        <f ca="1">OFFSET(卡牌辅助配置表!$AD$1,MATCH(AB116,卡牌辅助配置表!AB:AB,0)-1,0)</f>
        <v>983</v>
      </c>
      <c r="AB116" s="304">
        <f ca="1" t="shared" si="17"/>
        <v>1221</v>
      </c>
      <c r="AC116" s="153">
        <v>1</v>
      </c>
      <c r="AE116" s="153">
        <v>1</v>
      </c>
      <c r="AF116" s="153" t="str">
        <f ca="1" t="shared" si="18"/>
        <v>10040011|</v>
      </c>
      <c r="AJ116" s="205" t="str">
        <f ca="1" t="shared" si="19"/>
        <v>400023|11850|;</v>
      </c>
      <c r="AK116" s="205">
        <f ca="1">OFFSET([1]item_type!$A$1,MATCH(Q116,[1]item_type!$G:$G,0)-1,0)</f>
        <v>301004</v>
      </c>
      <c r="AL116" s="205"/>
      <c r="AM116" s="205">
        <f ca="1">IF(B116=B117,OFFSET(卡牌辅助配置表!$AE$1,MATCH(AB116,卡牌辅助配置表!AB:AB,0),0),0)</f>
        <v>11850</v>
      </c>
      <c r="AN116" s="153">
        <f ca="1" t="shared" si="20"/>
        <v>1004022</v>
      </c>
      <c r="AP116" s="153" t="str">
        <f ca="1">IF(AC116=0,0,IF(AC116=12,0,OFFSET(effect!$N$1,MATCH(K116,effect!M:M,0)-1,0)))</f>
        <v>kpsx_pt</v>
      </c>
    </row>
    <row r="117" spans="1:42">
      <c r="A117" s="153">
        <f ca="1" t="shared" si="11"/>
        <v>1004022</v>
      </c>
      <c r="B117" s="91" t="s">
        <v>500</v>
      </c>
      <c r="C117" s="186">
        <v>1</v>
      </c>
      <c r="D117" s="186">
        <v>6</v>
      </c>
      <c r="E117" s="165" t="s">
        <v>1050</v>
      </c>
      <c r="F117" s="165" t="str">
        <f>"本回合每出一张拳法牌，伤害增加"&amp;skill!$O$9/100&amp;"%"</f>
        <v>本回合每出一张拳法牌，伤害增加25%</v>
      </c>
      <c r="G117" s="186">
        <v>0</v>
      </c>
      <c r="H117" s="186">
        <f ca="1" t="shared" si="21"/>
        <v>0</v>
      </c>
      <c r="I117" s="186"/>
      <c r="J117" s="186">
        <f ca="1">OFFSET(card_type!$F$1,MATCH(Q117,card_type!A:A,0)-1,0)</f>
        <v>1</v>
      </c>
      <c r="K117" s="243">
        <f ca="1">OFFSET(card_type!$G$1,MATCH(Q117,card_type!A:A,0)-1,0)</f>
        <v>2</v>
      </c>
      <c r="L117" s="157">
        <v>2</v>
      </c>
      <c r="M117" s="157">
        <v>2</v>
      </c>
      <c r="N117" s="153">
        <f t="shared" si="12"/>
        <v>22</v>
      </c>
      <c r="O117" s="157"/>
      <c r="P117" s="157"/>
      <c r="Q117" s="153">
        <f ca="1">OFFSET(card_type!$A$1,MATCH(card!B117,card_type!B:B,0)-1,0)</f>
        <v>1004</v>
      </c>
      <c r="R117" s="153">
        <v>1</v>
      </c>
      <c r="S117" s="157">
        <f ca="1">ROUND(IF(R117=0,0,IF(R117=1,X117*$S$1,IF(R117=2,X117*$S$1*buff的资质计算!$E$2,IF(R117=3,X117*$S$1*buff的资质计算!$E$3,0)))),0)*0</f>
        <v>0</v>
      </c>
      <c r="T117" s="153">
        <v>1</v>
      </c>
      <c r="U117" s="153">
        <f ca="1" t="shared" si="13"/>
        <v>12</v>
      </c>
      <c r="V117" s="153">
        <f ca="1">ROUND((OFFSET(卡牌辅助配置表!$O$1,MATCH(U117,卡牌辅助配置表!M:M,0)-1,0)+(N117-1)*OFFSET(卡牌辅助配置表!$P$1,MATCH(U117,卡牌辅助配置表!M:M,0)-1,0))*M117,2)</f>
        <v>32.3</v>
      </c>
      <c r="W117" s="157">
        <f ca="1">ROUND(IF(R117=0,0,IF(R117=1,X117*$W$1,IF(R117=2,X117*$W$1*buff的资质计算!$E$2,IF(R117=3,X117*$W$1*buff的资质计算!$E$3,0)))),2)</f>
        <v>8.55</v>
      </c>
      <c r="X117" s="157">
        <f ca="1" t="shared" si="14"/>
        <v>28.5</v>
      </c>
      <c r="Y117" s="157">
        <f ca="1" t="shared" si="15"/>
        <v>28.5</v>
      </c>
      <c r="Z117" s="304">
        <f ca="1" t="shared" si="16"/>
        <v>14.25</v>
      </c>
      <c r="AA117" s="304">
        <f ca="1">OFFSET(卡牌辅助配置表!$AD$1,MATCH(AB117,卡牌辅助配置表!AB:AB,0)-1,0)</f>
        <v>1056</v>
      </c>
      <c r="AB117" s="304">
        <f ca="1" t="shared" si="17"/>
        <v>1222</v>
      </c>
      <c r="AC117" s="153">
        <v>1</v>
      </c>
      <c r="AE117" s="153">
        <v>1</v>
      </c>
      <c r="AF117" s="153" t="str">
        <f ca="1" t="shared" si="18"/>
        <v>10040011|</v>
      </c>
      <c r="AJ117" s="205" t="str">
        <f ca="1" t="shared" si="19"/>
        <v>400023|13050|;</v>
      </c>
      <c r="AK117" s="205">
        <f ca="1">OFFSET([1]item_type!$A$1,MATCH(Q117,[1]item_type!$G:$G,0)-1,0)</f>
        <v>301004</v>
      </c>
      <c r="AL117" s="205"/>
      <c r="AM117" s="205">
        <f ca="1">IF(B117=B118,OFFSET(卡牌辅助配置表!$AE$1,MATCH(AB117,卡牌辅助配置表!AB:AB,0),0),0)</f>
        <v>13050</v>
      </c>
      <c r="AN117" s="153">
        <f ca="1" t="shared" si="20"/>
        <v>1004023</v>
      </c>
      <c r="AP117" s="153" t="str">
        <f ca="1">IF(AC117=0,0,IF(AC117=12,0,OFFSET(effect!$N$1,MATCH(K117,effect!M:M,0)-1,0)))</f>
        <v>kpsx_pt</v>
      </c>
    </row>
    <row r="118" spans="1:42">
      <c r="A118" s="153">
        <f ca="1" t="shared" si="11"/>
        <v>1004023</v>
      </c>
      <c r="B118" s="91" t="s">
        <v>500</v>
      </c>
      <c r="C118" s="186">
        <v>1</v>
      </c>
      <c r="D118" s="186">
        <v>6</v>
      </c>
      <c r="E118" s="165" t="s">
        <v>1050</v>
      </c>
      <c r="F118" s="165" t="str">
        <f>"本回合每出一张拳法牌，伤害增加"&amp;skill!$O$9/100&amp;"%"</f>
        <v>本回合每出一张拳法牌，伤害增加25%</v>
      </c>
      <c r="G118" s="186">
        <v>0</v>
      </c>
      <c r="H118" s="186">
        <f ca="1" t="shared" si="21"/>
        <v>0</v>
      </c>
      <c r="I118" s="186"/>
      <c r="J118" s="186">
        <f ca="1">OFFSET(card_type!$F$1,MATCH(Q118,card_type!A:A,0)-1,0)</f>
        <v>1</v>
      </c>
      <c r="K118" s="243">
        <f ca="1">OFFSET(card_type!$G$1,MATCH(Q118,card_type!A:A,0)-1,0)</f>
        <v>2</v>
      </c>
      <c r="L118" s="157">
        <v>2</v>
      </c>
      <c r="M118" s="157">
        <v>2</v>
      </c>
      <c r="N118" s="153">
        <f t="shared" si="12"/>
        <v>23</v>
      </c>
      <c r="O118" s="157"/>
      <c r="P118" s="157"/>
      <c r="Q118" s="153">
        <f ca="1">OFFSET(card_type!$A$1,MATCH(card!B118,card_type!B:B,0)-1,0)</f>
        <v>1004</v>
      </c>
      <c r="R118" s="153">
        <v>1</v>
      </c>
      <c r="S118" s="157">
        <f ca="1">ROUND(IF(R118=0,0,IF(R118=1,X118*$S$1,IF(R118=2,X118*$S$1*buff的资质计算!$E$2,IF(R118=3,X118*$S$1*buff的资质计算!$E$3,0)))),0)*0</f>
        <v>0</v>
      </c>
      <c r="T118" s="153">
        <v>1</v>
      </c>
      <c r="U118" s="153">
        <f ca="1" t="shared" si="13"/>
        <v>12</v>
      </c>
      <c r="V118" s="153">
        <f ca="1">ROUND((OFFSET(卡牌辅助配置表!$O$1,MATCH(U118,卡牌辅助配置表!M:M,0)-1,0)+(N118-1)*OFFSET(卡牌辅助配置表!$P$1,MATCH(U118,卡牌辅助配置表!M:M,0)-1,0))*M118,2)</f>
        <v>32.93</v>
      </c>
      <c r="W118" s="157">
        <f ca="1">ROUND(IF(R118=0,0,IF(R118=1,X118*$W$1,IF(R118=2,X118*$W$1*buff的资质计算!$E$2,IF(R118=3,X118*$W$1*buff的资质计算!$E$3,0)))),2)</f>
        <v>8.7</v>
      </c>
      <c r="X118" s="157">
        <f ca="1" t="shared" si="14"/>
        <v>29</v>
      </c>
      <c r="Y118" s="157">
        <f ca="1" t="shared" si="15"/>
        <v>29</v>
      </c>
      <c r="Z118" s="304">
        <f ca="1" t="shared" si="16"/>
        <v>14.5</v>
      </c>
      <c r="AA118" s="304">
        <f ca="1">OFFSET(卡牌辅助配置表!$AD$1,MATCH(AB118,卡牌辅助配置表!AB:AB,0)-1,0)</f>
        <v>1129</v>
      </c>
      <c r="AB118" s="304">
        <f ca="1" t="shared" si="17"/>
        <v>1223</v>
      </c>
      <c r="AC118" s="153">
        <v>1</v>
      </c>
      <c r="AE118" s="153">
        <v>1</v>
      </c>
      <c r="AF118" s="153" t="str">
        <f ca="1" t="shared" si="18"/>
        <v>10040011|</v>
      </c>
      <c r="AJ118" s="205" t="str">
        <f ca="1" t="shared" si="19"/>
        <v>400023|14250|;</v>
      </c>
      <c r="AK118" s="205">
        <f ca="1">OFFSET([1]item_type!$A$1,MATCH(Q118,[1]item_type!$G:$G,0)-1,0)</f>
        <v>301004</v>
      </c>
      <c r="AL118" s="205"/>
      <c r="AM118" s="205">
        <f ca="1">IF(B118=B119,OFFSET(卡牌辅助配置表!$AE$1,MATCH(AB118,卡牌辅助配置表!AB:AB,0),0),0)</f>
        <v>14250</v>
      </c>
      <c r="AN118" s="153">
        <f ca="1" t="shared" si="20"/>
        <v>1004024</v>
      </c>
      <c r="AP118" s="153" t="str">
        <f ca="1">IF(AC118=0,0,IF(AC118=12,0,OFFSET(effect!$N$1,MATCH(K118,effect!M:M,0)-1,0)))</f>
        <v>kpsx_pt</v>
      </c>
    </row>
    <row r="119" spans="1:42">
      <c r="A119" s="153">
        <f ca="1" t="shared" si="11"/>
        <v>1004024</v>
      </c>
      <c r="B119" s="91" t="s">
        <v>500</v>
      </c>
      <c r="C119" s="186">
        <v>1</v>
      </c>
      <c r="D119" s="186">
        <v>6</v>
      </c>
      <c r="E119" s="165" t="s">
        <v>1050</v>
      </c>
      <c r="F119" s="165" t="str">
        <f>"本回合每出一张拳法牌，伤害增加"&amp;skill!$O$9/100&amp;"%"</f>
        <v>本回合每出一张拳法牌，伤害增加25%</v>
      </c>
      <c r="G119" s="186">
        <v>0</v>
      </c>
      <c r="H119" s="186">
        <f ca="1" t="shared" si="21"/>
        <v>0</v>
      </c>
      <c r="I119" s="186"/>
      <c r="J119" s="186">
        <f ca="1">OFFSET(card_type!$F$1,MATCH(Q119,card_type!A:A,0)-1,0)</f>
        <v>1</v>
      </c>
      <c r="K119" s="243">
        <f ca="1">OFFSET(card_type!$G$1,MATCH(Q119,card_type!A:A,0)-1,0)</f>
        <v>2</v>
      </c>
      <c r="L119" s="157">
        <v>2</v>
      </c>
      <c r="M119" s="157">
        <v>2</v>
      </c>
      <c r="N119" s="153">
        <f t="shared" si="12"/>
        <v>24</v>
      </c>
      <c r="O119" s="157"/>
      <c r="P119" s="157"/>
      <c r="Q119" s="153">
        <f ca="1">OFFSET(card_type!$A$1,MATCH(card!B119,card_type!B:B,0)-1,0)</f>
        <v>1004</v>
      </c>
      <c r="R119" s="153">
        <v>1</v>
      </c>
      <c r="S119" s="157">
        <f ca="1">ROUND(IF(R119=0,0,IF(R119=1,X119*$S$1,IF(R119=2,X119*$S$1*buff的资质计算!$E$2,IF(R119=3,X119*$S$1*buff的资质计算!$E$3,0)))),0)*0</f>
        <v>0</v>
      </c>
      <c r="T119" s="153">
        <v>1</v>
      </c>
      <c r="U119" s="153">
        <f ca="1" t="shared" si="13"/>
        <v>12</v>
      </c>
      <c r="V119" s="153">
        <f ca="1">ROUND((OFFSET(卡牌辅助配置表!$O$1,MATCH(U119,卡牌辅助配置表!M:M,0)-1,0)+(N119-1)*OFFSET(卡牌辅助配置表!$P$1,MATCH(U119,卡牌辅助配置表!M:M,0)-1,0))*M119,2)</f>
        <v>33.57</v>
      </c>
      <c r="W119" s="157">
        <f ca="1">ROUND(IF(R119=0,0,IF(R119=1,X119*$W$1,IF(R119=2,X119*$W$1*buff的资质计算!$E$2,IF(R119=3,X119*$W$1*buff的资质计算!$E$3,0)))),2)</f>
        <v>8.85</v>
      </c>
      <c r="X119" s="157">
        <f ca="1" t="shared" si="14"/>
        <v>29.5</v>
      </c>
      <c r="Y119" s="157">
        <f ca="1" t="shared" si="15"/>
        <v>29.5</v>
      </c>
      <c r="Z119" s="304">
        <f ca="1" t="shared" si="16"/>
        <v>14.75</v>
      </c>
      <c r="AA119" s="304">
        <f ca="1">OFFSET(卡牌辅助配置表!$AD$1,MATCH(AB119,卡牌辅助配置表!AB:AB,0)-1,0)</f>
        <v>1202</v>
      </c>
      <c r="AB119" s="304">
        <f ca="1" t="shared" si="17"/>
        <v>1224</v>
      </c>
      <c r="AC119" s="153">
        <v>1</v>
      </c>
      <c r="AE119" s="153">
        <v>1</v>
      </c>
      <c r="AF119" s="153" t="str">
        <f ca="1" t="shared" si="18"/>
        <v>10040011|</v>
      </c>
      <c r="AJ119" s="205" t="str">
        <f ca="1" t="shared" si="19"/>
        <v>400023|15450|;</v>
      </c>
      <c r="AK119" s="205">
        <f ca="1">OFFSET([1]item_type!$A$1,MATCH(Q119,[1]item_type!$G:$G,0)-1,0)</f>
        <v>301004</v>
      </c>
      <c r="AL119" s="205"/>
      <c r="AM119" s="205">
        <f ca="1">IF(B119=B120,OFFSET(卡牌辅助配置表!$AE$1,MATCH(AB119,卡牌辅助配置表!AB:AB,0),0),0)</f>
        <v>15450</v>
      </c>
      <c r="AN119" s="153">
        <f ca="1" t="shared" si="20"/>
        <v>1004025</v>
      </c>
      <c r="AP119" s="153" t="str">
        <f ca="1">IF(AC119=0,0,IF(AC119=12,0,OFFSET(effect!$N$1,MATCH(K119,effect!M:M,0)-1,0)))</f>
        <v>kpsx_pt</v>
      </c>
    </row>
    <row r="120" spans="1:42">
      <c r="A120" s="153">
        <f ca="1" t="shared" si="11"/>
        <v>1004025</v>
      </c>
      <c r="B120" s="91" t="s">
        <v>500</v>
      </c>
      <c r="C120" s="186">
        <v>1</v>
      </c>
      <c r="D120" s="186">
        <v>6</v>
      </c>
      <c r="E120" s="165" t="s">
        <v>1050</v>
      </c>
      <c r="F120" s="165" t="str">
        <f>"本回合每出一张拳法牌，伤害增加"&amp;skill!$O$9/100&amp;"%"</f>
        <v>本回合每出一张拳法牌，伤害增加25%</v>
      </c>
      <c r="G120" s="186">
        <v>0</v>
      </c>
      <c r="H120" s="186">
        <f ca="1" t="shared" si="21"/>
        <v>0</v>
      </c>
      <c r="I120" s="186"/>
      <c r="J120" s="186">
        <f ca="1">OFFSET(card_type!$F$1,MATCH(Q120,card_type!A:A,0)-1,0)</f>
        <v>1</v>
      </c>
      <c r="K120" s="243">
        <f ca="1">OFFSET(card_type!$G$1,MATCH(Q120,card_type!A:A,0)-1,0)</f>
        <v>2</v>
      </c>
      <c r="L120" s="157">
        <v>2</v>
      </c>
      <c r="M120" s="157">
        <v>2</v>
      </c>
      <c r="N120" s="153">
        <f t="shared" si="12"/>
        <v>25</v>
      </c>
      <c r="O120" s="157"/>
      <c r="P120" s="157"/>
      <c r="Q120" s="153">
        <f ca="1">OFFSET(card_type!$A$1,MATCH(card!B120,card_type!B:B,0)-1,0)</f>
        <v>1004</v>
      </c>
      <c r="R120" s="153">
        <v>1</v>
      </c>
      <c r="S120" s="157">
        <f ca="1">ROUND(IF(R120=0,0,IF(R120=1,X120*$S$1,IF(R120=2,X120*$S$1*buff的资质计算!$E$2,IF(R120=3,X120*$S$1*buff的资质计算!$E$3,0)))),0)*0</f>
        <v>0</v>
      </c>
      <c r="T120" s="153">
        <v>1</v>
      </c>
      <c r="U120" s="153">
        <f ca="1" t="shared" si="13"/>
        <v>12</v>
      </c>
      <c r="V120" s="153">
        <f ca="1">ROUND((OFFSET(卡牌辅助配置表!$O$1,MATCH(U120,卡牌辅助配置表!M:M,0)-1,0)+(N120-1)*OFFSET(卡牌辅助配置表!$P$1,MATCH(U120,卡牌辅助配置表!M:M,0)-1,0))*M120,2)</f>
        <v>34.2</v>
      </c>
      <c r="W120" s="157">
        <f ca="1">ROUND(IF(R120=0,0,IF(R120=1,X120*$W$1,IF(R120=2,X120*$W$1*buff的资质计算!$E$2,IF(R120=3,X120*$W$1*buff的资质计算!$E$3,0)))),2)</f>
        <v>9</v>
      </c>
      <c r="X120" s="157">
        <f ca="1" t="shared" si="14"/>
        <v>30</v>
      </c>
      <c r="Y120" s="157">
        <f ca="1" t="shared" si="15"/>
        <v>30</v>
      </c>
      <c r="Z120" s="304">
        <f ca="1" t="shared" si="16"/>
        <v>15</v>
      </c>
      <c r="AA120" s="304">
        <f ca="1">OFFSET(卡牌辅助配置表!$AD$1,MATCH(AB120,卡牌辅助配置表!AB:AB,0)-1,0)</f>
        <v>1275</v>
      </c>
      <c r="AB120" s="304">
        <f ca="1" t="shared" si="17"/>
        <v>1225</v>
      </c>
      <c r="AC120" s="153">
        <v>1</v>
      </c>
      <c r="AE120" s="153">
        <v>1</v>
      </c>
      <c r="AF120" s="153" t="str">
        <f ca="1" t="shared" si="18"/>
        <v>10040011|</v>
      </c>
      <c r="AJ120" s="205" t="str">
        <f ca="1" t="shared" si="19"/>
        <v>400023|16650|;</v>
      </c>
      <c r="AK120" s="205">
        <f ca="1">OFFSET([1]item_type!$A$1,MATCH(Q120,[1]item_type!$G:$G,0)-1,0)</f>
        <v>301004</v>
      </c>
      <c r="AL120" s="205"/>
      <c r="AM120" s="205">
        <f ca="1">IF(B120=B121,OFFSET(卡牌辅助配置表!$AE$1,MATCH(AB120,卡牌辅助配置表!AB:AB,0),0),0)</f>
        <v>16650</v>
      </c>
      <c r="AN120" s="153">
        <f ca="1" t="shared" si="20"/>
        <v>1004026</v>
      </c>
      <c r="AP120" s="153" t="str">
        <f ca="1">IF(AC120=0,0,IF(AC120=12,0,OFFSET(effect!$N$1,MATCH(K120,effect!M:M,0)-1,0)))</f>
        <v>kpsx_pt</v>
      </c>
    </row>
    <row r="121" spans="1:42">
      <c r="A121" s="153">
        <f ca="1" t="shared" si="11"/>
        <v>1004026</v>
      </c>
      <c r="B121" s="91" t="s">
        <v>500</v>
      </c>
      <c r="C121" s="186">
        <v>1</v>
      </c>
      <c r="D121" s="186">
        <v>6</v>
      </c>
      <c r="E121" s="165" t="s">
        <v>1050</v>
      </c>
      <c r="F121" s="165" t="str">
        <f>"本回合每出一张拳法牌，伤害增加"&amp;skill!$O$9/100&amp;"%"</f>
        <v>本回合每出一张拳法牌，伤害增加25%</v>
      </c>
      <c r="G121" s="186">
        <v>0</v>
      </c>
      <c r="H121" s="186">
        <f ca="1" t="shared" si="21"/>
        <v>0</v>
      </c>
      <c r="I121" s="186"/>
      <c r="J121" s="186">
        <f ca="1">OFFSET(card_type!$F$1,MATCH(Q121,card_type!A:A,0)-1,0)</f>
        <v>1</v>
      </c>
      <c r="K121" s="243">
        <f ca="1">OFFSET(card_type!$G$1,MATCH(Q121,card_type!A:A,0)-1,0)</f>
        <v>2</v>
      </c>
      <c r="L121" s="157">
        <v>2</v>
      </c>
      <c r="M121" s="157">
        <v>2</v>
      </c>
      <c r="N121" s="153">
        <f t="shared" si="12"/>
        <v>26</v>
      </c>
      <c r="O121" s="157"/>
      <c r="P121" s="157"/>
      <c r="Q121" s="153">
        <f ca="1">OFFSET(card_type!$A$1,MATCH(card!B121,card_type!B:B,0)-1,0)</f>
        <v>1004</v>
      </c>
      <c r="R121" s="153">
        <v>1</v>
      </c>
      <c r="S121" s="157">
        <f ca="1">ROUND(IF(R121=0,0,IF(R121=1,X121*$S$1,IF(R121=2,X121*$S$1*buff的资质计算!$E$2,IF(R121=3,X121*$S$1*buff的资质计算!$E$3,0)))),0)*0</f>
        <v>0</v>
      </c>
      <c r="T121" s="153">
        <v>1</v>
      </c>
      <c r="U121" s="153">
        <f ca="1" t="shared" si="13"/>
        <v>12</v>
      </c>
      <c r="V121" s="153">
        <f ca="1">ROUND((OFFSET(卡牌辅助配置表!$O$1,MATCH(U121,卡牌辅助配置表!M:M,0)-1,0)+(N121-1)*OFFSET(卡牌辅助配置表!$P$1,MATCH(U121,卡牌辅助配置表!M:M,0)-1,0))*M121,2)</f>
        <v>34.83</v>
      </c>
      <c r="W121" s="157">
        <f ca="1">ROUND(IF(R121=0,0,IF(R121=1,X121*$W$1,IF(R121=2,X121*$W$1*buff的资质计算!$E$2,IF(R121=3,X121*$W$1*buff的资质计算!$E$3,0)))),2)</f>
        <v>9.15</v>
      </c>
      <c r="X121" s="157">
        <f ca="1" t="shared" si="14"/>
        <v>30.5</v>
      </c>
      <c r="Y121" s="157">
        <f ca="1" t="shared" si="15"/>
        <v>30.5</v>
      </c>
      <c r="Z121" s="304">
        <f ca="1" t="shared" si="16"/>
        <v>15.25</v>
      </c>
      <c r="AA121" s="304">
        <f ca="1">OFFSET(卡牌辅助配置表!$AD$1,MATCH(AB121,卡牌辅助配置表!AB:AB,0)-1,0)</f>
        <v>1348</v>
      </c>
      <c r="AB121" s="304">
        <f ca="1" t="shared" si="17"/>
        <v>1226</v>
      </c>
      <c r="AC121" s="153">
        <v>1</v>
      </c>
      <c r="AE121" s="153">
        <v>1</v>
      </c>
      <c r="AF121" s="153" t="str">
        <f ca="1" t="shared" si="18"/>
        <v>10040011|</v>
      </c>
      <c r="AJ121" s="205" t="str">
        <f ca="1" t="shared" si="19"/>
        <v>400023|17850|;</v>
      </c>
      <c r="AK121" s="205">
        <f ca="1">OFFSET([1]item_type!$A$1,MATCH(Q121,[1]item_type!$G:$G,0)-1,0)</f>
        <v>301004</v>
      </c>
      <c r="AL121" s="205"/>
      <c r="AM121" s="205">
        <f ca="1">IF(B121=B122,OFFSET(卡牌辅助配置表!$AE$1,MATCH(AB121,卡牌辅助配置表!AB:AB,0),0),0)</f>
        <v>17850</v>
      </c>
      <c r="AN121" s="153">
        <f ca="1" t="shared" si="20"/>
        <v>1004027</v>
      </c>
      <c r="AP121" s="153" t="str">
        <f ca="1">IF(AC121=0,0,IF(AC121=12,0,OFFSET(effect!$N$1,MATCH(K121,effect!M:M,0)-1,0)))</f>
        <v>kpsx_pt</v>
      </c>
    </row>
    <row r="122" spans="1:42">
      <c r="A122" s="153">
        <f ca="1" t="shared" si="11"/>
        <v>1004027</v>
      </c>
      <c r="B122" s="91" t="s">
        <v>500</v>
      </c>
      <c r="C122" s="186">
        <v>1</v>
      </c>
      <c r="D122" s="186">
        <v>6</v>
      </c>
      <c r="E122" s="165" t="s">
        <v>1050</v>
      </c>
      <c r="F122" s="165" t="str">
        <f>"本回合每出一张拳法牌，伤害增加"&amp;skill!$O$9/100&amp;"%"</f>
        <v>本回合每出一张拳法牌，伤害增加25%</v>
      </c>
      <c r="G122" s="186">
        <v>0</v>
      </c>
      <c r="H122" s="186">
        <f ca="1" t="shared" si="21"/>
        <v>0</v>
      </c>
      <c r="I122" s="186"/>
      <c r="J122" s="186">
        <f ca="1">OFFSET(card_type!$F$1,MATCH(Q122,card_type!A:A,0)-1,0)</f>
        <v>1</v>
      </c>
      <c r="K122" s="243">
        <f ca="1">OFFSET(card_type!$G$1,MATCH(Q122,card_type!A:A,0)-1,0)</f>
        <v>2</v>
      </c>
      <c r="L122" s="157">
        <v>2</v>
      </c>
      <c r="M122" s="157">
        <v>2</v>
      </c>
      <c r="N122" s="153">
        <f t="shared" si="12"/>
        <v>27</v>
      </c>
      <c r="O122" s="157"/>
      <c r="P122" s="157"/>
      <c r="Q122" s="153">
        <f ca="1">OFFSET(card_type!$A$1,MATCH(card!B122,card_type!B:B,0)-1,0)</f>
        <v>1004</v>
      </c>
      <c r="R122" s="153">
        <v>1</v>
      </c>
      <c r="S122" s="157">
        <f ca="1">ROUND(IF(R122=0,0,IF(R122=1,X122*$S$1,IF(R122=2,X122*$S$1*buff的资质计算!$E$2,IF(R122=3,X122*$S$1*buff的资质计算!$E$3,0)))),0)*0</f>
        <v>0</v>
      </c>
      <c r="T122" s="153">
        <v>1</v>
      </c>
      <c r="U122" s="153">
        <f ca="1" t="shared" si="13"/>
        <v>12</v>
      </c>
      <c r="V122" s="153">
        <f ca="1">ROUND((OFFSET(卡牌辅助配置表!$O$1,MATCH(U122,卡牌辅助配置表!M:M,0)-1,0)+(N122-1)*OFFSET(卡牌辅助配置表!$P$1,MATCH(U122,卡牌辅助配置表!M:M,0)-1,0))*M122,2)</f>
        <v>35.47</v>
      </c>
      <c r="W122" s="157">
        <f ca="1">ROUND(IF(R122=0,0,IF(R122=1,X122*$W$1,IF(R122=2,X122*$W$1*buff的资质计算!$E$2,IF(R122=3,X122*$W$1*buff的资质计算!$E$3,0)))),2)</f>
        <v>9.3</v>
      </c>
      <c r="X122" s="157">
        <f ca="1" t="shared" si="14"/>
        <v>31</v>
      </c>
      <c r="Y122" s="157">
        <f ca="1" t="shared" si="15"/>
        <v>31</v>
      </c>
      <c r="Z122" s="304">
        <f ca="1" t="shared" si="16"/>
        <v>15.5</v>
      </c>
      <c r="AA122" s="304">
        <f ca="1">OFFSET(卡牌辅助配置表!$AD$1,MATCH(AB122,卡牌辅助配置表!AB:AB,0)-1,0)</f>
        <v>1421</v>
      </c>
      <c r="AB122" s="304">
        <f ca="1" t="shared" si="17"/>
        <v>1227</v>
      </c>
      <c r="AC122" s="153">
        <v>1</v>
      </c>
      <c r="AE122" s="153">
        <v>1</v>
      </c>
      <c r="AF122" s="153" t="str">
        <f ca="1" t="shared" si="18"/>
        <v>10040011|</v>
      </c>
      <c r="AJ122" s="205" t="str">
        <f ca="1" t="shared" si="19"/>
        <v>400023|19050|;</v>
      </c>
      <c r="AK122" s="205">
        <f ca="1">OFFSET([1]item_type!$A$1,MATCH(Q122,[1]item_type!$G:$G,0)-1,0)</f>
        <v>301004</v>
      </c>
      <c r="AL122" s="205"/>
      <c r="AM122" s="205">
        <f ca="1">IF(B122=B123,OFFSET(卡牌辅助配置表!$AE$1,MATCH(AB122,卡牌辅助配置表!AB:AB,0),0),0)</f>
        <v>19050</v>
      </c>
      <c r="AN122" s="153">
        <f ca="1" t="shared" si="20"/>
        <v>1004028</v>
      </c>
      <c r="AP122" s="153" t="str">
        <f ca="1">IF(AC122=0,0,IF(AC122=12,0,OFFSET(effect!$N$1,MATCH(K122,effect!M:M,0)-1,0)))</f>
        <v>kpsx_pt</v>
      </c>
    </row>
    <row r="123" spans="1:42">
      <c r="A123" s="153">
        <f ca="1" t="shared" si="11"/>
        <v>1004028</v>
      </c>
      <c r="B123" s="91" t="s">
        <v>500</v>
      </c>
      <c r="C123" s="186">
        <v>1</v>
      </c>
      <c r="D123" s="186">
        <v>6</v>
      </c>
      <c r="E123" s="165" t="s">
        <v>1050</v>
      </c>
      <c r="F123" s="165" t="str">
        <f>"本回合每出一张拳法牌，伤害增加"&amp;skill!$O$9/100&amp;"%"</f>
        <v>本回合每出一张拳法牌，伤害增加25%</v>
      </c>
      <c r="G123" s="186">
        <v>0</v>
      </c>
      <c r="H123" s="186">
        <f ca="1" t="shared" si="21"/>
        <v>0</v>
      </c>
      <c r="I123" s="186"/>
      <c r="J123" s="186">
        <f ca="1">OFFSET(card_type!$F$1,MATCH(Q123,card_type!A:A,0)-1,0)</f>
        <v>1</v>
      </c>
      <c r="K123" s="243">
        <f ca="1">OFFSET(card_type!$G$1,MATCH(Q123,card_type!A:A,0)-1,0)</f>
        <v>2</v>
      </c>
      <c r="L123" s="157">
        <v>2</v>
      </c>
      <c r="M123" s="157">
        <v>2</v>
      </c>
      <c r="N123" s="153">
        <f t="shared" si="12"/>
        <v>28</v>
      </c>
      <c r="O123" s="157"/>
      <c r="P123" s="157"/>
      <c r="Q123" s="153">
        <f ca="1">OFFSET(card_type!$A$1,MATCH(card!B123,card_type!B:B,0)-1,0)</f>
        <v>1004</v>
      </c>
      <c r="R123" s="153">
        <v>1</v>
      </c>
      <c r="S123" s="157">
        <f ca="1">ROUND(IF(R123=0,0,IF(R123=1,X123*$S$1,IF(R123=2,X123*$S$1*buff的资质计算!$E$2,IF(R123=3,X123*$S$1*buff的资质计算!$E$3,0)))),0)*0</f>
        <v>0</v>
      </c>
      <c r="T123" s="153">
        <v>1</v>
      </c>
      <c r="U123" s="153">
        <f ca="1" t="shared" si="13"/>
        <v>12</v>
      </c>
      <c r="V123" s="153">
        <f ca="1">ROUND((OFFSET(卡牌辅助配置表!$O$1,MATCH(U123,卡牌辅助配置表!M:M,0)-1,0)+(N123-1)*OFFSET(卡牌辅助配置表!$P$1,MATCH(U123,卡牌辅助配置表!M:M,0)-1,0))*M123,2)</f>
        <v>36.1</v>
      </c>
      <c r="W123" s="157">
        <f ca="1">ROUND(IF(R123=0,0,IF(R123=1,X123*$W$1,IF(R123=2,X123*$W$1*buff的资质计算!$E$2,IF(R123=3,X123*$W$1*buff的资质计算!$E$3,0)))),2)</f>
        <v>9.45</v>
      </c>
      <c r="X123" s="157">
        <f ca="1" t="shared" si="14"/>
        <v>31.5</v>
      </c>
      <c r="Y123" s="157">
        <f ca="1" t="shared" si="15"/>
        <v>31.5</v>
      </c>
      <c r="Z123" s="304">
        <f ca="1" t="shared" si="16"/>
        <v>15.75</v>
      </c>
      <c r="AA123" s="304">
        <f ca="1">OFFSET(卡牌辅助配置表!$AD$1,MATCH(AB123,卡牌辅助配置表!AB:AB,0)-1,0)</f>
        <v>1494</v>
      </c>
      <c r="AB123" s="304">
        <f ca="1" t="shared" si="17"/>
        <v>1228</v>
      </c>
      <c r="AC123" s="153">
        <v>1</v>
      </c>
      <c r="AE123" s="153">
        <v>1</v>
      </c>
      <c r="AF123" s="153" t="str">
        <f ca="1" t="shared" si="18"/>
        <v>10040011|</v>
      </c>
      <c r="AJ123" s="205" t="str">
        <f ca="1" t="shared" si="19"/>
        <v>400023|20250|;</v>
      </c>
      <c r="AK123" s="205">
        <f ca="1">OFFSET([1]item_type!$A$1,MATCH(Q123,[1]item_type!$G:$G,0)-1,0)</f>
        <v>301004</v>
      </c>
      <c r="AL123" s="205"/>
      <c r="AM123" s="205">
        <f ca="1">IF(B123=B124,OFFSET(卡牌辅助配置表!$AE$1,MATCH(AB123,卡牌辅助配置表!AB:AB,0),0),0)</f>
        <v>20250</v>
      </c>
      <c r="AN123" s="153">
        <f ca="1" t="shared" si="20"/>
        <v>1004029</v>
      </c>
      <c r="AP123" s="153" t="str">
        <f ca="1">IF(AC123=0,0,IF(AC123=12,0,OFFSET(effect!$N$1,MATCH(K123,effect!M:M,0)-1,0)))</f>
        <v>kpsx_pt</v>
      </c>
    </row>
    <row r="124" spans="1:42">
      <c r="A124" s="153">
        <f ca="1" t="shared" si="11"/>
        <v>1004029</v>
      </c>
      <c r="B124" s="91" t="s">
        <v>500</v>
      </c>
      <c r="C124" s="186">
        <v>1</v>
      </c>
      <c r="D124" s="186">
        <v>6</v>
      </c>
      <c r="E124" s="165" t="s">
        <v>1050</v>
      </c>
      <c r="F124" s="165" t="str">
        <f>"本回合每出一张拳法牌，伤害增加"&amp;skill!$O$9/100&amp;"%"</f>
        <v>本回合每出一张拳法牌，伤害增加25%</v>
      </c>
      <c r="G124" s="186">
        <v>0</v>
      </c>
      <c r="H124" s="186">
        <f ca="1" t="shared" si="21"/>
        <v>0</v>
      </c>
      <c r="I124" s="186"/>
      <c r="J124" s="186">
        <f ca="1">OFFSET(card_type!$F$1,MATCH(Q124,card_type!A:A,0)-1,0)</f>
        <v>1</v>
      </c>
      <c r="K124" s="243">
        <f ca="1">OFFSET(card_type!$G$1,MATCH(Q124,card_type!A:A,0)-1,0)</f>
        <v>2</v>
      </c>
      <c r="L124" s="157">
        <v>2</v>
      </c>
      <c r="M124" s="157">
        <v>2</v>
      </c>
      <c r="N124" s="153">
        <f t="shared" si="12"/>
        <v>29</v>
      </c>
      <c r="O124" s="157"/>
      <c r="P124" s="157"/>
      <c r="Q124" s="153">
        <f ca="1">OFFSET(card_type!$A$1,MATCH(card!B124,card_type!B:B,0)-1,0)</f>
        <v>1004</v>
      </c>
      <c r="R124" s="153">
        <v>1</v>
      </c>
      <c r="S124" s="157">
        <f ca="1">ROUND(IF(R124=0,0,IF(R124=1,X124*$S$1,IF(R124=2,X124*$S$1*buff的资质计算!$E$2,IF(R124=3,X124*$S$1*buff的资质计算!$E$3,0)))),0)*0</f>
        <v>0</v>
      </c>
      <c r="T124" s="153">
        <v>1</v>
      </c>
      <c r="U124" s="153">
        <f ca="1" t="shared" si="13"/>
        <v>12</v>
      </c>
      <c r="V124" s="153">
        <f ca="1">ROUND((OFFSET(卡牌辅助配置表!$O$1,MATCH(U124,卡牌辅助配置表!M:M,0)-1,0)+(N124-1)*OFFSET(卡牌辅助配置表!$P$1,MATCH(U124,卡牌辅助配置表!M:M,0)-1,0))*M124,2)</f>
        <v>36.73</v>
      </c>
      <c r="W124" s="157">
        <f ca="1">ROUND(IF(R124=0,0,IF(R124=1,X124*$W$1,IF(R124=2,X124*$W$1*buff的资质计算!$E$2,IF(R124=3,X124*$W$1*buff的资质计算!$E$3,0)))),2)</f>
        <v>9.6</v>
      </c>
      <c r="X124" s="157">
        <f ca="1" t="shared" si="14"/>
        <v>32</v>
      </c>
      <c r="Y124" s="157">
        <f ca="1" t="shared" si="15"/>
        <v>32</v>
      </c>
      <c r="Z124" s="304">
        <f ca="1" t="shared" si="16"/>
        <v>16</v>
      </c>
      <c r="AA124" s="304">
        <f ca="1">OFFSET(卡牌辅助配置表!$AD$1,MATCH(AB124,卡牌辅助配置表!AB:AB,0)-1,0)</f>
        <v>1567</v>
      </c>
      <c r="AB124" s="304">
        <f ca="1" t="shared" si="17"/>
        <v>1229</v>
      </c>
      <c r="AC124" s="153">
        <v>1</v>
      </c>
      <c r="AE124" s="153">
        <v>1</v>
      </c>
      <c r="AF124" s="153" t="str">
        <f ca="1" t="shared" si="18"/>
        <v>10040011|</v>
      </c>
      <c r="AJ124" s="205" t="str">
        <f ca="1" t="shared" si="19"/>
        <v>301004|30|;400023|21450|;</v>
      </c>
      <c r="AK124" s="205">
        <f ca="1">OFFSET([1]item_type!$A$1,MATCH(Q124,[1]item_type!$G:$G,0)-1,0)</f>
        <v>301004</v>
      </c>
      <c r="AL124" s="205">
        <v>30</v>
      </c>
      <c r="AM124" s="205">
        <f ca="1">IF(B124=B125,OFFSET(卡牌辅助配置表!$AE$1,MATCH(AB124,卡牌辅助配置表!AB:AB,0),0),0)</f>
        <v>21450</v>
      </c>
      <c r="AN124" s="153">
        <f ca="1" t="shared" si="20"/>
        <v>1004030</v>
      </c>
      <c r="AP124" s="153" t="str">
        <f ca="1">IF(AC124=0,0,IF(AC124=12,0,OFFSET(effect!$N$1,MATCH(K124,effect!M:M,0)-1,0)))</f>
        <v>kpsx_pt</v>
      </c>
    </row>
    <row r="125" spans="1:42">
      <c r="A125" s="153">
        <f ca="1" t="shared" si="11"/>
        <v>1004030</v>
      </c>
      <c r="B125" s="91" t="s">
        <v>500</v>
      </c>
      <c r="C125" s="186">
        <v>1</v>
      </c>
      <c r="D125" s="186">
        <v>6</v>
      </c>
      <c r="E125" s="165" t="s">
        <v>1050</v>
      </c>
      <c r="F125" s="165" t="str">
        <f>"本回合每出一张拳法牌，伤害增加"&amp;skill!$O$9/100&amp;"%"</f>
        <v>本回合每出一张拳法牌，伤害增加25%</v>
      </c>
      <c r="G125" s="186">
        <v>0</v>
      </c>
      <c r="H125" s="186">
        <f ca="1" t="shared" si="21"/>
        <v>0</v>
      </c>
      <c r="I125" s="186"/>
      <c r="J125" s="186">
        <f ca="1">OFFSET(card_type!$F$1,MATCH(Q125,card_type!A:A,0)-1,0)</f>
        <v>1</v>
      </c>
      <c r="K125" s="243">
        <f ca="1">OFFSET(card_type!$G$1,MATCH(Q125,card_type!A:A,0)-1,0)</f>
        <v>2</v>
      </c>
      <c r="L125" s="157">
        <v>2</v>
      </c>
      <c r="M125" s="157">
        <v>2</v>
      </c>
      <c r="N125" s="153">
        <f t="shared" si="12"/>
        <v>30</v>
      </c>
      <c r="O125" s="157"/>
      <c r="P125" s="157"/>
      <c r="Q125" s="153">
        <f ca="1">OFFSET(card_type!$A$1,MATCH(card!B125,card_type!B:B,0)-1,0)</f>
        <v>1004</v>
      </c>
      <c r="R125" s="153">
        <v>1</v>
      </c>
      <c r="S125" s="157">
        <f ca="1">ROUND(IF(R125=0,0,IF(R125=1,X125*$S$1,IF(R125=2,X125*$S$1*buff的资质计算!$E$2,IF(R125=3,X125*$S$1*buff的资质计算!$E$3,0)))),0)*0</f>
        <v>0</v>
      </c>
      <c r="T125" s="153">
        <v>1</v>
      </c>
      <c r="U125" s="153">
        <f ca="1" t="shared" si="13"/>
        <v>12</v>
      </c>
      <c r="V125" s="153">
        <f ca="1">ROUND((OFFSET(卡牌辅助配置表!$O$1,MATCH(U125,卡牌辅助配置表!M:M,0)-1,0)+(N125-1)*OFFSET(卡牌辅助配置表!$P$1,MATCH(U125,卡牌辅助配置表!M:M,0)-1,0))*M125,2)</f>
        <v>37.37</v>
      </c>
      <c r="W125" s="157">
        <f ca="1">ROUND(IF(R125=0,0,IF(R125=1,X125*$W$1,IF(R125=2,X125*$W$1*buff的资质计算!$E$2,IF(R125=3,X125*$W$1*buff的资质计算!$E$3,0)))),2)</f>
        <v>9.75</v>
      </c>
      <c r="X125" s="157">
        <f ca="1" t="shared" si="14"/>
        <v>32.5</v>
      </c>
      <c r="Y125" s="157">
        <f ca="1" t="shared" si="15"/>
        <v>32.5</v>
      </c>
      <c r="Z125" s="304">
        <f ca="1" t="shared" si="16"/>
        <v>16.25</v>
      </c>
      <c r="AA125" s="304">
        <f ca="1">OFFSET(卡牌辅助配置表!$AD$1,MATCH(AB125,卡牌辅助配置表!AB:AB,0)-1,0)</f>
        <v>1640</v>
      </c>
      <c r="AB125" s="304">
        <f ca="1" t="shared" si="17"/>
        <v>1230</v>
      </c>
      <c r="AC125" s="153">
        <v>1</v>
      </c>
      <c r="AE125" s="153">
        <v>1</v>
      </c>
      <c r="AF125" s="153" t="str">
        <f ca="1" t="shared" si="18"/>
        <v>10040011|</v>
      </c>
      <c r="AJ125" s="205">
        <f ca="1" t="shared" si="19"/>
        <v>0</v>
      </c>
      <c r="AK125" s="205">
        <f ca="1">OFFSET([1]item_type!$A$1,MATCH(Q125,[1]item_type!$G:$G,0)-1,0)</f>
        <v>301004</v>
      </c>
      <c r="AL125" s="205"/>
      <c r="AM125" s="205">
        <f ca="1">IF(B125=B126,OFFSET(卡牌辅助配置表!$AE$1,MATCH(AB125,卡牌辅助配置表!AB:AB,0),0),0)</f>
        <v>0</v>
      </c>
      <c r="AN125" s="153">
        <f ca="1" t="shared" si="20"/>
        <v>0</v>
      </c>
      <c r="AP125" s="153" t="str">
        <f ca="1">IF(AC125=0,0,IF(AC125=12,0,OFFSET(effect!$N$1,MATCH(K125,effect!M:M,0)-1,0)))</f>
        <v>kpsx_pt</v>
      </c>
    </row>
    <row r="126" spans="1:42">
      <c r="A126" s="153">
        <f ca="1" t="shared" si="11"/>
        <v>1005001</v>
      </c>
      <c r="B126" s="91" t="s">
        <v>516</v>
      </c>
      <c r="C126" s="186">
        <v>1</v>
      </c>
      <c r="D126" s="186">
        <v>6</v>
      </c>
      <c r="E126" s="165" t="s">
        <v>1050</v>
      </c>
      <c r="F126" s="165" t="str">
        <f>"上一招为拳法时，增加"&amp;skill!$O$10/100&amp;"%伤害"</f>
        <v>上一招为拳法时，增加35%伤害</v>
      </c>
      <c r="G126" s="186">
        <f ca="1">OFFSET(卡牌辅助配置表!$C$1,MATCH(AC126,卡牌辅助配置表!A:A,0)-1,0)</f>
        <v>3</v>
      </c>
      <c r="H126" s="186">
        <f ca="1" t="shared" si="21"/>
        <v>0</v>
      </c>
      <c r="I126" s="186"/>
      <c r="J126" s="186">
        <f ca="1">OFFSET(card_type!$F$1,MATCH(Q126,card_type!A:A,0)-1,0)</f>
        <v>1</v>
      </c>
      <c r="K126" s="243">
        <f ca="1">OFFSET(card_type!$G$1,MATCH(Q126,card_type!A:A,0)-1,0)</f>
        <v>2</v>
      </c>
      <c r="L126" s="157">
        <v>2</v>
      </c>
      <c r="M126" s="157">
        <v>2</v>
      </c>
      <c r="N126" s="153">
        <f t="shared" si="12"/>
        <v>1</v>
      </c>
      <c r="O126" s="157"/>
      <c r="P126" s="157"/>
      <c r="Q126" s="153">
        <f ca="1">OFFSET(card_type!$A$1,MATCH(card!B126,card_type!B:B,0)-1,0)</f>
        <v>1005</v>
      </c>
      <c r="R126" s="153">
        <v>1</v>
      </c>
      <c r="S126" s="157">
        <f ca="1">ROUND(IF(R126=0,0,IF(R126=1,X126*$S$1,IF(R126=2,X126*$S$1*buff的资质计算!$E$2,IF(R126=3,X126*$S$1*buff的资质计算!$E$3,0)))),0)*0</f>
        <v>0</v>
      </c>
      <c r="T126" s="153">
        <v>3</v>
      </c>
      <c r="U126" s="153">
        <f ca="1" t="shared" si="13"/>
        <v>12</v>
      </c>
      <c r="V126" s="153">
        <f ca="1">ROUND((OFFSET(卡牌辅助配置表!$O$1,MATCH(U126,卡牌辅助配置表!M:M,0)-1,0)+(N126-1)*OFFSET(卡牌辅助配置表!$P$1,MATCH(U126,卡牌辅助配置表!M:M,0)-1,0))*M126,2)</f>
        <v>19</v>
      </c>
      <c r="W126" s="157">
        <f ca="1">ROUND(IF(R126=0,0,IF(R126=1,X126*$W$1,IF(R126=2,X126*$W$1*buff的资质计算!$E$2,IF(R126=3,X126*$W$1*buff的资质计算!$E$3,0)))),2)</f>
        <v>6.3</v>
      </c>
      <c r="X126" s="157">
        <f ca="1" t="shared" si="14"/>
        <v>21</v>
      </c>
      <c r="Y126" s="157">
        <f ca="1" t="shared" si="15"/>
        <v>21</v>
      </c>
      <c r="Z126" s="304">
        <f ca="1" t="shared" si="16"/>
        <v>10.5</v>
      </c>
      <c r="AA126" s="304">
        <f ca="1">OFFSET(卡牌辅助配置表!$AD$1,MATCH(AB126,卡牌辅助配置表!AB:AB,0)-1,0)</f>
        <v>36</v>
      </c>
      <c r="AB126" s="304">
        <f ca="1" t="shared" si="17"/>
        <v>1201</v>
      </c>
      <c r="AC126" s="153">
        <v>3</v>
      </c>
      <c r="AE126" s="153">
        <v>1</v>
      </c>
      <c r="AF126" s="153" t="str">
        <f ca="1" t="shared" si="18"/>
        <v>10050011|</v>
      </c>
      <c r="AJ126" s="205" t="str">
        <f ca="1" t="shared" si="19"/>
        <v>400023|1050|;</v>
      </c>
      <c r="AK126" s="205">
        <f ca="1">OFFSET([1]item_type!$A$1,MATCH(Q126,[1]item_type!$G:$G,0)-1,0)</f>
        <v>301005</v>
      </c>
      <c r="AL126" s="205"/>
      <c r="AM126" s="205">
        <f ca="1">IF(B126=B127,OFFSET(卡牌辅助配置表!$AE$1,MATCH(AB126,卡牌辅助配置表!AB:AB,0),0),0)</f>
        <v>1050</v>
      </c>
      <c r="AN126" s="153">
        <f ca="1" t="shared" si="20"/>
        <v>1005002</v>
      </c>
      <c r="AP126" s="153" t="str">
        <f ca="1">IF(AC126=0,0,IF(AC126=12,0,OFFSET(effect!$N$1,MATCH(K126,effect!M:M,0)-1,0)))</f>
        <v>kpsx_pt</v>
      </c>
    </row>
    <row r="127" spans="1:42">
      <c r="A127" s="153">
        <f ca="1" t="shared" si="11"/>
        <v>1005002</v>
      </c>
      <c r="B127" s="91" t="s">
        <v>516</v>
      </c>
      <c r="C127" s="186">
        <v>1</v>
      </c>
      <c r="D127" s="186">
        <v>6</v>
      </c>
      <c r="E127" s="165" t="s">
        <v>1050</v>
      </c>
      <c r="F127" s="165" t="str">
        <f>"上一招为拳法时，增加"&amp;skill!$O$10/100&amp;"%伤害"</f>
        <v>上一招为拳法时，增加35%伤害</v>
      </c>
      <c r="G127" s="186">
        <f ca="1">OFFSET(卡牌辅助配置表!$C$1,MATCH(AC127,卡牌辅助配置表!A:A,0)-1,0)</f>
        <v>3</v>
      </c>
      <c r="H127" s="186">
        <f ca="1" t="shared" si="21"/>
        <v>0</v>
      </c>
      <c r="I127" s="186"/>
      <c r="J127" s="186">
        <f ca="1">OFFSET(card_type!$F$1,MATCH(Q127,card_type!A:A,0)-1,0)</f>
        <v>1</v>
      </c>
      <c r="K127" s="243">
        <f ca="1">OFFSET(card_type!$G$1,MATCH(Q127,card_type!A:A,0)-1,0)</f>
        <v>2</v>
      </c>
      <c r="L127" s="157">
        <v>2</v>
      </c>
      <c r="M127" s="157">
        <v>2</v>
      </c>
      <c r="N127" s="153">
        <f t="shared" si="12"/>
        <v>2</v>
      </c>
      <c r="O127" s="157"/>
      <c r="P127" s="157"/>
      <c r="Q127" s="153">
        <f ca="1">OFFSET(card_type!$A$1,MATCH(card!B127,card_type!B:B,0)-1,0)</f>
        <v>1005</v>
      </c>
      <c r="R127" s="153">
        <v>1</v>
      </c>
      <c r="S127" s="157">
        <f ca="1">ROUND(IF(R127=0,0,IF(R127=1,X127*$S$1,IF(R127=2,X127*$S$1*buff的资质计算!$E$2,IF(R127=3,X127*$S$1*buff的资质计算!$E$3,0)))),0)*0</f>
        <v>0</v>
      </c>
      <c r="T127" s="153">
        <v>3</v>
      </c>
      <c r="U127" s="153">
        <f ca="1" t="shared" si="13"/>
        <v>12</v>
      </c>
      <c r="V127" s="153">
        <f ca="1">ROUND((OFFSET(卡牌辅助配置表!$O$1,MATCH(U127,卡牌辅助配置表!M:M,0)-1,0)+(N127-1)*OFFSET(卡牌辅助配置表!$P$1,MATCH(U127,卡牌辅助配置表!M:M,0)-1,0))*M127,2)</f>
        <v>19.63</v>
      </c>
      <c r="W127" s="157">
        <f ca="1">ROUND(IF(R127=0,0,IF(R127=1,X127*$W$1,IF(R127=2,X127*$W$1*buff的资质计算!$E$2,IF(R127=3,X127*$W$1*buff的资质计算!$E$3,0)))),2)</f>
        <v>6.45</v>
      </c>
      <c r="X127" s="157">
        <f ca="1" t="shared" si="14"/>
        <v>21.5</v>
      </c>
      <c r="Y127" s="157">
        <f ca="1" t="shared" si="15"/>
        <v>21.5</v>
      </c>
      <c r="Z127" s="304">
        <f ca="1" t="shared" si="16"/>
        <v>10.75</v>
      </c>
      <c r="AA127" s="304">
        <f ca="1">OFFSET(卡牌辅助配置表!$AD$1,MATCH(AB127,卡牌辅助配置表!AB:AB,0)-1,0)</f>
        <v>72</v>
      </c>
      <c r="AB127" s="304">
        <f ca="1" t="shared" si="17"/>
        <v>1202</v>
      </c>
      <c r="AC127" s="153">
        <v>3</v>
      </c>
      <c r="AE127" s="153">
        <v>1</v>
      </c>
      <c r="AF127" s="153" t="str">
        <f ca="1" t="shared" si="18"/>
        <v>10050011|</v>
      </c>
      <c r="AJ127" s="205" t="str">
        <f ca="1" t="shared" si="19"/>
        <v>400023|1350|;</v>
      </c>
      <c r="AK127" s="205">
        <f ca="1">OFFSET([1]item_type!$A$1,MATCH(Q127,[1]item_type!$G:$G,0)-1,0)</f>
        <v>301005</v>
      </c>
      <c r="AL127" s="205"/>
      <c r="AM127" s="205">
        <f ca="1">IF(B127=B128,OFFSET(卡牌辅助配置表!$AE$1,MATCH(AB127,卡牌辅助配置表!AB:AB,0),0),0)</f>
        <v>1350</v>
      </c>
      <c r="AN127" s="153">
        <f ca="1" t="shared" si="20"/>
        <v>1005003</v>
      </c>
      <c r="AP127" s="153" t="str">
        <f ca="1">IF(AC127=0,0,IF(AC127=12,0,OFFSET(effect!$N$1,MATCH(K127,effect!M:M,0)-1,0)))</f>
        <v>kpsx_pt</v>
      </c>
    </row>
    <row r="128" spans="1:42">
      <c r="A128" s="153">
        <f ca="1" t="shared" si="11"/>
        <v>1005003</v>
      </c>
      <c r="B128" s="91" t="s">
        <v>516</v>
      </c>
      <c r="C128" s="186">
        <v>1</v>
      </c>
      <c r="D128" s="186">
        <v>6</v>
      </c>
      <c r="E128" s="165" t="s">
        <v>1050</v>
      </c>
      <c r="F128" s="165" t="str">
        <f>"上一招为拳法时，增加"&amp;skill!$O$10/100&amp;"%伤害"</f>
        <v>上一招为拳法时，增加35%伤害</v>
      </c>
      <c r="G128" s="186">
        <f ca="1">OFFSET(卡牌辅助配置表!$C$1,MATCH(AC128,卡牌辅助配置表!A:A,0)-1,0)</f>
        <v>3</v>
      </c>
      <c r="H128" s="186">
        <f ca="1" t="shared" si="21"/>
        <v>0</v>
      </c>
      <c r="I128" s="186"/>
      <c r="J128" s="186">
        <f ca="1">OFFSET(card_type!$F$1,MATCH(Q128,card_type!A:A,0)-1,0)</f>
        <v>1</v>
      </c>
      <c r="K128" s="243">
        <f ca="1">OFFSET(card_type!$G$1,MATCH(Q128,card_type!A:A,0)-1,0)</f>
        <v>2</v>
      </c>
      <c r="L128" s="157">
        <v>2</v>
      </c>
      <c r="M128" s="157">
        <v>2</v>
      </c>
      <c r="N128" s="153">
        <f t="shared" si="12"/>
        <v>3</v>
      </c>
      <c r="O128" s="157"/>
      <c r="P128" s="157"/>
      <c r="Q128" s="153">
        <f ca="1">OFFSET(card_type!$A$1,MATCH(card!B128,card_type!B:B,0)-1,0)</f>
        <v>1005</v>
      </c>
      <c r="R128" s="153">
        <v>1</v>
      </c>
      <c r="S128" s="157">
        <f ca="1">ROUND(IF(R128=0,0,IF(R128=1,X128*$S$1,IF(R128=2,X128*$S$1*buff的资质计算!$E$2,IF(R128=3,X128*$S$1*buff的资质计算!$E$3,0)))),0)*0</f>
        <v>0</v>
      </c>
      <c r="T128" s="153">
        <v>3</v>
      </c>
      <c r="U128" s="153">
        <f ca="1" t="shared" si="13"/>
        <v>12</v>
      </c>
      <c r="V128" s="153">
        <f ca="1">ROUND((OFFSET(卡牌辅助配置表!$O$1,MATCH(U128,卡牌辅助配置表!M:M,0)-1,0)+(N128-1)*OFFSET(卡牌辅助配置表!$P$1,MATCH(U128,卡牌辅助配置表!M:M,0)-1,0))*M128,2)</f>
        <v>20.27</v>
      </c>
      <c r="W128" s="157">
        <f ca="1">ROUND(IF(R128=0,0,IF(R128=1,X128*$W$1,IF(R128=2,X128*$W$1*buff的资质计算!$E$2,IF(R128=3,X128*$W$1*buff的资质计算!$E$3,0)))),2)</f>
        <v>6.6</v>
      </c>
      <c r="X128" s="157">
        <f ca="1" t="shared" si="14"/>
        <v>22</v>
      </c>
      <c r="Y128" s="157">
        <f ca="1" t="shared" si="15"/>
        <v>22</v>
      </c>
      <c r="Z128" s="304">
        <f ca="1" t="shared" si="16"/>
        <v>11</v>
      </c>
      <c r="AA128" s="304">
        <f ca="1">OFFSET(卡牌辅助配置表!$AD$1,MATCH(AB128,卡牌辅助配置表!AB:AB,0)-1,0)</f>
        <v>108</v>
      </c>
      <c r="AB128" s="304">
        <f ca="1" t="shared" si="17"/>
        <v>1203</v>
      </c>
      <c r="AC128" s="153">
        <v>3</v>
      </c>
      <c r="AE128" s="153">
        <v>1</v>
      </c>
      <c r="AF128" s="153" t="str">
        <f ca="1" t="shared" si="18"/>
        <v>10050011|</v>
      </c>
      <c r="AJ128" s="205" t="str">
        <f ca="1" t="shared" si="19"/>
        <v>400023|1650|;</v>
      </c>
      <c r="AK128" s="205">
        <f ca="1">OFFSET([1]item_type!$A$1,MATCH(Q128,[1]item_type!$G:$G,0)-1,0)</f>
        <v>301005</v>
      </c>
      <c r="AL128" s="205"/>
      <c r="AM128" s="205">
        <f ca="1">IF(B128=B129,OFFSET(卡牌辅助配置表!$AE$1,MATCH(AB128,卡牌辅助配置表!AB:AB,0),0),0)</f>
        <v>1650</v>
      </c>
      <c r="AN128" s="153">
        <f ca="1" t="shared" si="20"/>
        <v>1005004</v>
      </c>
      <c r="AP128" s="153" t="str">
        <f ca="1">IF(AC128=0,0,IF(AC128=12,0,OFFSET(effect!$N$1,MATCH(K128,effect!M:M,0)-1,0)))</f>
        <v>kpsx_pt</v>
      </c>
    </row>
    <row r="129" spans="1:42">
      <c r="A129" s="153">
        <f ca="1" t="shared" si="11"/>
        <v>1005004</v>
      </c>
      <c r="B129" s="91" t="s">
        <v>516</v>
      </c>
      <c r="C129" s="186">
        <v>1</v>
      </c>
      <c r="D129" s="186">
        <v>6</v>
      </c>
      <c r="E129" s="165" t="s">
        <v>1050</v>
      </c>
      <c r="F129" s="165" t="str">
        <f>"上一招为拳法时，增加"&amp;skill!$O$10/100&amp;"%伤害"</f>
        <v>上一招为拳法时，增加35%伤害</v>
      </c>
      <c r="G129" s="186">
        <f ca="1">OFFSET(卡牌辅助配置表!$C$1,MATCH(AC129,卡牌辅助配置表!A:A,0)-1,0)</f>
        <v>3</v>
      </c>
      <c r="H129" s="186">
        <f ca="1" t="shared" si="21"/>
        <v>0</v>
      </c>
      <c r="I129" s="186"/>
      <c r="J129" s="186">
        <f ca="1">OFFSET(card_type!$F$1,MATCH(Q129,card_type!A:A,0)-1,0)</f>
        <v>1</v>
      </c>
      <c r="K129" s="243">
        <f ca="1">OFFSET(card_type!$G$1,MATCH(Q129,card_type!A:A,0)-1,0)</f>
        <v>2</v>
      </c>
      <c r="L129" s="157">
        <v>2</v>
      </c>
      <c r="M129" s="157">
        <v>2</v>
      </c>
      <c r="N129" s="153">
        <f t="shared" si="12"/>
        <v>4</v>
      </c>
      <c r="O129" s="157"/>
      <c r="P129" s="157"/>
      <c r="Q129" s="153">
        <f ca="1">OFFSET(card_type!$A$1,MATCH(card!B129,card_type!B:B,0)-1,0)</f>
        <v>1005</v>
      </c>
      <c r="R129" s="153">
        <v>1</v>
      </c>
      <c r="S129" s="157">
        <f ca="1">ROUND(IF(R129=0,0,IF(R129=1,X129*$S$1,IF(R129=2,X129*$S$1*buff的资质计算!$E$2,IF(R129=3,X129*$S$1*buff的资质计算!$E$3,0)))),0)*0</f>
        <v>0</v>
      </c>
      <c r="T129" s="153">
        <v>3</v>
      </c>
      <c r="U129" s="153">
        <f ca="1" t="shared" si="13"/>
        <v>12</v>
      </c>
      <c r="V129" s="153">
        <f ca="1">ROUND((OFFSET(卡牌辅助配置表!$O$1,MATCH(U129,卡牌辅助配置表!M:M,0)-1,0)+(N129-1)*OFFSET(卡牌辅助配置表!$P$1,MATCH(U129,卡牌辅助配置表!M:M,0)-1,0))*M129,2)</f>
        <v>20.9</v>
      </c>
      <c r="W129" s="157">
        <f ca="1">ROUND(IF(R129=0,0,IF(R129=1,X129*$W$1,IF(R129=2,X129*$W$1*buff的资质计算!$E$2,IF(R129=3,X129*$W$1*buff的资质计算!$E$3,0)))),2)</f>
        <v>6.75</v>
      </c>
      <c r="X129" s="157">
        <f ca="1" t="shared" si="14"/>
        <v>22.5</v>
      </c>
      <c r="Y129" s="157">
        <f ca="1" t="shared" si="15"/>
        <v>22.5</v>
      </c>
      <c r="Z129" s="304">
        <f ca="1" t="shared" si="16"/>
        <v>11.25</v>
      </c>
      <c r="AA129" s="304">
        <f ca="1">OFFSET(卡牌辅助配置表!$AD$1,MATCH(AB129,卡牌辅助配置表!AB:AB,0)-1,0)</f>
        <v>144</v>
      </c>
      <c r="AB129" s="304">
        <f ca="1" t="shared" si="17"/>
        <v>1204</v>
      </c>
      <c r="AC129" s="153">
        <v>3</v>
      </c>
      <c r="AE129" s="153">
        <v>1</v>
      </c>
      <c r="AF129" s="153" t="str">
        <f ca="1" t="shared" si="18"/>
        <v>10050011|</v>
      </c>
      <c r="AJ129" s="205" t="str">
        <f ca="1" t="shared" si="19"/>
        <v>400023|1950|;</v>
      </c>
      <c r="AK129" s="205">
        <f ca="1">OFFSET([1]item_type!$A$1,MATCH(Q129,[1]item_type!$G:$G,0)-1,0)</f>
        <v>301005</v>
      </c>
      <c r="AL129" s="205"/>
      <c r="AM129" s="205">
        <f ca="1">IF(B129=B130,OFFSET(卡牌辅助配置表!$AE$1,MATCH(AB129,卡牌辅助配置表!AB:AB,0),0),0)</f>
        <v>1950</v>
      </c>
      <c r="AN129" s="153">
        <f ca="1" t="shared" si="20"/>
        <v>1005005</v>
      </c>
      <c r="AP129" s="153" t="str">
        <f ca="1">IF(AC129=0,0,IF(AC129=12,0,OFFSET(effect!$N$1,MATCH(K129,effect!M:M,0)-1,0)))</f>
        <v>kpsx_pt</v>
      </c>
    </row>
    <row r="130" spans="1:42">
      <c r="A130" s="153">
        <f ca="1" t="shared" si="11"/>
        <v>1005005</v>
      </c>
      <c r="B130" s="91" t="s">
        <v>516</v>
      </c>
      <c r="C130" s="186">
        <v>1</v>
      </c>
      <c r="D130" s="186">
        <v>6</v>
      </c>
      <c r="E130" s="165" t="s">
        <v>1050</v>
      </c>
      <c r="F130" s="165" t="str">
        <f>"上一招为拳法时，增加"&amp;skill!$O$10/100&amp;"%伤害"</f>
        <v>上一招为拳法时，增加35%伤害</v>
      </c>
      <c r="G130" s="186">
        <f ca="1">OFFSET(卡牌辅助配置表!$C$1,MATCH(AC130,卡牌辅助配置表!A:A,0)-1,0)</f>
        <v>3</v>
      </c>
      <c r="H130" s="186">
        <f ca="1" t="shared" si="21"/>
        <v>0</v>
      </c>
      <c r="I130" s="186"/>
      <c r="J130" s="186">
        <f ca="1">OFFSET(card_type!$F$1,MATCH(Q130,card_type!A:A,0)-1,0)</f>
        <v>1</v>
      </c>
      <c r="K130" s="243">
        <f ca="1">OFFSET(card_type!$G$1,MATCH(Q130,card_type!A:A,0)-1,0)</f>
        <v>2</v>
      </c>
      <c r="L130" s="157">
        <v>2</v>
      </c>
      <c r="M130" s="157">
        <v>2</v>
      </c>
      <c r="N130" s="153">
        <f t="shared" si="12"/>
        <v>5</v>
      </c>
      <c r="O130" s="157"/>
      <c r="P130" s="157"/>
      <c r="Q130" s="153">
        <f ca="1">OFFSET(card_type!$A$1,MATCH(card!B130,card_type!B:B,0)-1,0)</f>
        <v>1005</v>
      </c>
      <c r="R130" s="153">
        <v>1</v>
      </c>
      <c r="S130" s="157">
        <f ca="1">ROUND(IF(R130=0,0,IF(R130=1,X130*$S$1,IF(R130=2,X130*$S$1*buff的资质计算!$E$2,IF(R130=3,X130*$S$1*buff的资质计算!$E$3,0)))),0)*0</f>
        <v>0</v>
      </c>
      <c r="T130" s="153">
        <v>3</v>
      </c>
      <c r="U130" s="153">
        <f ca="1" t="shared" si="13"/>
        <v>12</v>
      </c>
      <c r="V130" s="153">
        <f ca="1">ROUND((OFFSET(卡牌辅助配置表!$O$1,MATCH(U130,卡牌辅助配置表!M:M,0)-1,0)+(N130-1)*OFFSET(卡牌辅助配置表!$P$1,MATCH(U130,卡牌辅助配置表!M:M,0)-1,0))*M130,2)</f>
        <v>21.53</v>
      </c>
      <c r="W130" s="157">
        <f ca="1">ROUND(IF(R130=0,0,IF(R130=1,X130*$W$1,IF(R130=2,X130*$W$1*buff的资质计算!$E$2,IF(R130=3,X130*$W$1*buff的资质计算!$E$3,0)))),2)</f>
        <v>6.9</v>
      </c>
      <c r="X130" s="157">
        <f ca="1" t="shared" si="14"/>
        <v>23</v>
      </c>
      <c r="Y130" s="157">
        <f ca="1" t="shared" si="15"/>
        <v>23</v>
      </c>
      <c r="Z130" s="304">
        <f ca="1" t="shared" si="16"/>
        <v>11.5</v>
      </c>
      <c r="AA130" s="304">
        <f ca="1">OFFSET(卡牌辅助配置表!$AD$1,MATCH(AB130,卡牌辅助配置表!AB:AB,0)-1,0)</f>
        <v>180</v>
      </c>
      <c r="AB130" s="304">
        <f ca="1" t="shared" si="17"/>
        <v>1205</v>
      </c>
      <c r="AC130" s="153">
        <v>3</v>
      </c>
      <c r="AE130" s="153">
        <v>1</v>
      </c>
      <c r="AF130" s="153" t="str">
        <f ca="1" t="shared" si="18"/>
        <v>10050011|</v>
      </c>
      <c r="AJ130" s="205" t="str">
        <f ca="1" t="shared" si="19"/>
        <v>400023|2250|;</v>
      </c>
      <c r="AK130" s="205">
        <f ca="1">OFFSET([1]item_type!$A$1,MATCH(Q130,[1]item_type!$G:$G,0)-1,0)</f>
        <v>301005</v>
      </c>
      <c r="AL130" s="205"/>
      <c r="AM130" s="205">
        <f ca="1">IF(B130=B131,OFFSET(卡牌辅助配置表!$AE$1,MATCH(AB130,卡牌辅助配置表!AB:AB,0),0),0)</f>
        <v>2250</v>
      </c>
      <c r="AN130" s="153">
        <f ca="1" t="shared" si="20"/>
        <v>1005006</v>
      </c>
      <c r="AP130" s="153" t="str">
        <f ca="1">IF(AC130=0,0,IF(AC130=12,0,OFFSET(effect!$N$1,MATCH(K130,effect!M:M,0)-1,0)))</f>
        <v>kpsx_pt</v>
      </c>
    </row>
    <row r="131" spans="1:42">
      <c r="A131" s="153">
        <f ca="1" t="shared" si="11"/>
        <v>1005006</v>
      </c>
      <c r="B131" s="91" t="s">
        <v>516</v>
      </c>
      <c r="C131" s="186">
        <v>1</v>
      </c>
      <c r="D131" s="186">
        <v>6</v>
      </c>
      <c r="E131" s="165" t="s">
        <v>1050</v>
      </c>
      <c r="F131" s="165" t="str">
        <f>"上一招为拳法时，增加"&amp;skill!$O$10/100&amp;"%伤害"</f>
        <v>上一招为拳法时，增加35%伤害</v>
      </c>
      <c r="G131" s="186">
        <f ca="1">OFFSET(卡牌辅助配置表!$C$1,MATCH(AC131,卡牌辅助配置表!A:A,0)-1,0)</f>
        <v>3</v>
      </c>
      <c r="H131" s="186">
        <f ca="1" t="shared" si="21"/>
        <v>0</v>
      </c>
      <c r="I131" s="186"/>
      <c r="J131" s="186">
        <f ca="1">OFFSET(card_type!$F$1,MATCH(Q131,card_type!A:A,0)-1,0)</f>
        <v>1</v>
      </c>
      <c r="K131" s="243">
        <f ca="1">OFFSET(card_type!$G$1,MATCH(Q131,card_type!A:A,0)-1,0)</f>
        <v>2</v>
      </c>
      <c r="L131" s="157">
        <v>2</v>
      </c>
      <c r="M131" s="157">
        <v>2</v>
      </c>
      <c r="N131" s="153">
        <f t="shared" si="12"/>
        <v>6</v>
      </c>
      <c r="O131" s="157"/>
      <c r="P131" s="157"/>
      <c r="Q131" s="153">
        <f ca="1">OFFSET(card_type!$A$1,MATCH(card!B131,card_type!B:B,0)-1,0)</f>
        <v>1005</v>
      </c>
      <c r="R131" s="153">
        <v>1</v>
      </c>
      <c r="S131" s="157">
        <f ca="1">ROUND(IF(R131=0,0,IF(R131=1,X131*$S$1,IF(R131=2,X131*$S$1*buff的资质计算!$E$2,IF(R131=3,X131*$S$1*buff的资质计算!$E$3,0)))),0)*0</f>
        <v>0</v>
      </c>
      <c r="T131" s="153">
        <v>3</v>
      </c>
      <c r="U131" s="153">
        <f ca="1" t="shared" si="13"/>
        <v>12</v>
      </c>
      <c r="V131" s="153">
        <f ca="1">ROUND((OFFSET(卡牌辅助配置表!$O$1,MATCH(U131,卡牌辅助配置表!M:M,0)-1,0)+(N131-1)*OFFSET(卡牌辅助配置表!$P$1,MATCH(U131,卡牌辅助配置表!M:M,0)-1,0))*M131,2)</f>
        <v>22.17</v>
      </c>
      <c r="W131" s="157">
        <f ca="1">ROUND(IF(R131=0,0,IF(R131=1,X131*$W$1,IF(R131=2,X131*$W$1*buff的资质计算!$E$2,IF(R131=3,X131*$W$1*buff的资质计算!$E$3,0)))),2)</f>
        <v>7.05</v>
      </c>
      <c r="X131" s="157">
        <f ca="1" t="shared" si="14"/>
        <v>23.5</v>
      </c>
      <c r="Y131" s="157">
        <f ca="1" t="shared" si="15"/>
        <v>23.5</v>
      </c>
      <c r="Z131" s="304">
        <f ca="1" t="shared" si="16"/>
        <v>11.75</v>
      </c>
      <c r="AA131" s="304">
        <f ca="1">OFFSET(卡牌辅助配置表!$AD$1,MATCH(AB131,卡牌辅助配置表!AB:AB,0)-1,0)</f>
        <v>216</v>
      </c>
      <c r="AB131" s="304">
        <f ca="1" t="shared" si="17"/>
        <v>1206</v>
      </c>
      <c r="AC131" s="153">
        <v>3</v>
      </c>
      <c r="AE131" s="153">
        <v>1</v>
      </c>
      <c r="AF131" s="153" t="str">
        <f ca="1" t="shared" si="18"/>
        <v>10050011|</v>
      </c>
      <c r="AJ131" s="205" t="str">
        <f ca="1" t="shared" si="19"/>
        <v>400023|2550|;</v>
      </c>
      <c r="AK131" s="205">
        <f ca="1">OFFSET([1]item_type!$A$1,MATCH(Q131,[1]item_type!$G:$G,0)-1,0)</f>
        <v>301005</v>
      </c>
      <c r="AL131" s="205"/>
      <c r="AM131" s="205">
        <f ca="1">IF(B131=B132,OFFSET(卡牌辅助配置表!$AE$1,MATCH(AB131,卡牌辅助配置表!AB:AB,0),0),0)</f>
        <v>2550</v>
      </c>
      <c r="AN131" s="153">
        <f ca="1" t="shared" si="20"/>
        <v>1005007</v>
      </c>
      <c r="AP131" s="153" t="str">
        <f ca="1">IF(AC131=0,0,IF(AC131=12,0,OFFSET(effect!$N$1,MATCH(K131,effect!M:M,0)-1,0)))</f>
        <v>kpsx_pt</v>
      </c>
    </row>
    <row r="132" spans="1:42">
      <c r="A132" s="153">
        <f ca="1" t="shared" si="11"/>
        <v>1005007</v>
      </c>
      <c r="B132" s="91" t="s">
        <v>516</v>
      </c>
      <c r="C132" s="186">
        <v>1</v>
      </c>
      <c r="D132" s="186">
        <v>6</v>
      </c>
      <c r="E132" s="165" t="s">
        <v>1050</v>
      </c>
      <c r="F132" s="165" t="str">
        <f>"上一招为拳法时，增加"&amp;skill!$O$10/100&amp;"%伤害"</f>
        <v>上一招为拳法时，增加35%伤害</v>
      </c>
      <c r="G132" s="186">
        <f ca="1">OFFSET(卡牌辅助配置表!$C$1,MATCH(AC132,卡牌辅助配置表!A:A,0)-1,0)</f>
        <v>3</v>
      </c>
      <c r="H132" s="186">
        <f ca="1" t="shared" si="21"/>
        <v>0</v>
      </c>
      <c r="I132" s="186"/>
      <c r="J132" s="186">
        <f ca="1">OFFSET(card_type!$F$1,MATCH(Q132,card_type!A:A,0)-1,0)</f>
        <v>1</v>
      </c>
      <c r="K132" s="243">
        <f ca="1">OFFSET(card_type!$G$1,MATCH(Q132,card_type!A:A,0)-1,0)</f>
        <v>2</v>
      </c>
      <c r="L132" s="157">
        <v>2</v>
      </c>
      <c r="M132" s="157">
        <v>2</v>
      </c>
      <c r="N132" s="153">
        <f t="shared" si="12"/>
        <v>7</v>
      </c>
      <c r="O132" s="157"/>
      <c r="P132" s="157"/>
      <c r="Q132" s="153">
        <f ca="1">OFFSET(card_type!$A$1,MATCH(card!B132,card_type!B:B,0)-1,0)</f>
        <v>1005</v>
      </c>
      <c r="R132" s="153">
        <v>1</v>
      </c>
      <c r="S132" s="157">
        <f ca="1">ROUND(IF(R132=0,0,IF(R132=1,X132*$S$1,IF(R132=2,X132*$S$1*buff的资质计算!$E$2,IF(R132=3,X132*$S$1*buff的资质计算!$E$3,0)))),0)*0</f>
        <v>0</v>
      </c>
      <c r="T132" s="153">
        <v>3</v>
      </c>
      <c r="U132" s="153">
        <f ca="1" t="shared" si="13"/>
        <v>12</v>
      </c>
      <c r="V132" s="153">
        <f ca="1">ROUND((OFFSET(卡牌辅助配置表!$O$1,MATCH(U132,卡牌辅助配置表!M:M,0)-1,0)+(N132-1)*OFFSET(卡牌辅助配置表!$P$1,MATCH(U132,卡牌辅助配置表!M:M,0)-1,0))*M132,2)</f>
        <v>22.8</v>
      </c>
      <c r="W132" s="157">
        <f ca="1">ROUND(IF(R132=0,0,IF(R132=1,X132*$W$1,IF(R132=2,X132*$W$1*buff的资质计算!$E$2,IF(R132=3,X132*$W$1*buff的资质计算!$E$3,0)))),2)</f>
        <v>7.2</v>
      </c>
      <c r="X132" s="157">
        <f ca="1" t="shared" si="14"/>
        <v>24</v>
      </c>
      <c r="Y132" s="157">
        <f ca="1" t="shared" si="15"/>
        <v>24</v>
      </c>
      <c r="Z132" s="304">
        <f ca="1" t="shared" si="16"/>
        <v>12</v>
      </c>
      <c r="AA132" s="304">
        <f ca="1">OFFSET(卡牌辅助配置表!$AD$1,MATCH(AB132,卡牌辅助配置表!AB:AB,0)-1,0)</f>
        <v>252</v>
      </c>
      <c r="AB132" s="304">
        <f ca="1" t="shared" si="17"/>
        <v>1207</v>
      </c>
      <c r="AC132" s="153">
        <v>3</v>
      </c>
      <c r="AE132" s="153">
        <v>1</v>
      </c>
      <c r="AF132" s="153" t="str">
        <f ca="1" t="shared" si="18"/>
        <v>10050011|</v>
      </c>
      <c r="AJ132" s="205" t="str">
        <f ca="1" t="shared" si="19"/>
        <v>400023|2850|;</v>
      </c>
      <c r="AK132" s="205">
        <f ca="1">OFFSET([1]item_type!$A$1,MATCH(Q132,[1]item_type!$G:$G,0)-1,0)</f>
        <v>301005</v>
      </c>
      <c r="AL132" s="205"/>
      <c r="AM132" s="205">
        <f ca="1">IF(B132=B133,OFFSET(卡牌辅助配置表!$AE$1,MATCH(AB132,卡牌辅助配置表!AB:AB,0),0),0)</f>
        <v>2850</v>
      </c>
      <c r="AN132" s="153">
        <f ca="1" t="shared" si="20"/>
        <v>1005008</v>
      </c>
      <c r="AP132" s="153" t="str">
        <f ca="1">IF(AC132=0,0,IF(AC132=12,0,OFFSET(effect!$N$1,MATCH(K132,effect!M:M,0)-1,0)))</f>
        <v>kpsx_pt</v>
      </c>
    </row>
    <row r="133" spans="1:42">
      <c r="A133" s="153">
        <f ca="1" t="shared" si="11"/>
        <v>1005008</v>
      </c>
      <c r="B133" s="91" t="s">
        <v>516</v>
      </c>
      <c r="C133" s="186">
        <v>1</v>
      </c>
      <c r="D133" s="186">
        <v>6</v>
      </c>
      <c r="E133" s="165" t="s">
        <v>1050</v>
      </c>
      <c r="F133" s="165" t="str">
        <f>"上一招为拳法时，增加"&amp;skill!$O$10/100&amp;"%伤害"</f>
        <v>上一招为拳法时，增加35%伤害</v>
      </c>
      <c r="G133" s="186">
        <f ca="1">OFFSET(卡牌辅助配置表!$C$1,MATCH(AC133,卡牌辅助配置表!A:A,0)-1,0)</f>
        <v>3</v>
      </c>
      <c r="H133" s="186">
        <f ca="1" t="shared" si="21"/>
        <v>0</v>
      </c>
      <c r="I133" s="186"/>
      <c r="J133" s="186">
        <f ca="1">OFFSET(card_type!$F$1,MATCH(Q133,card_type!A:A,0)-1,0)</f>
        <v>1</v>
      </c>
      <c r="K133" s="243">
        <f ca="1">OFFSET(card_type!$G$1,MATCH(Q133,card_type!A:A,0)-1,0)</f>
        <v>2</v>
      </c>
      <c r="L133" s="157">
        <v>2</v>
      </c>
      <c r="M133" s="157">
        <v>2</v>
      </c>
      <c r="N133" s="153">
        <f t="shared" si="12"/>
        <v>8</v>
      </c>
      <c r="O133" s="157"/>
      <c r="P133" s="157"/>
      <c r="Q133" s="153">
        <f ca="1">OFFSET(card_type!$A$1,MATCH(card!B133,card_type!B:B,0)-1,0)</f>
        <v>1005</v>
      </c>
      <c r="R133" s="153">
        <v>1</v>
      </c>
      <c r="S133" s="157">
        <f ca="1">ROUND(IF(R133=0,0,IF(R133=1,X133*$S$1,IF(R133=2,X133*$S$1*buff的资质计算!$E$2,IF(R133=3,X133*$S$1*buff的资质计算!$E$3,0)))),0)*0</f>
        <v>0</v>
      </c>
      <c r="T133" s="153">
        <v>3</v>
      </c>
      <c r="U133" s="153">
        <f ca="1" t="shared" si="13"/>
        <v>12</v>
      </c>
      <c r="V133" s="153">
        <f ca="1">ROUND((OFFSET(卡牌辅助配置表!$O$1,MATCH(U133,卡牌辅助配置表!M:M,0)-1,0)+(N133-1)*OFFSET(卡牌辅助配置表!$P$1,MATCH(U133,卡牌辅助配置表!M:M,0)-1,0))*M133,2)</f>
        <v>23.43</v>
      </c>
      <c r="W133" s="157">
        <f ca="1">ROUND(IF(R133=0,0,IF(R133=1,X133*$W$1,IF(R133=2,X133*$W$1*buff的资质计算!$E$2,IF(R133=3,X133*$W$1*buff的资质计算!$E$3,0)))),2)</f>
        <v>7.35</v>
      </c>
      <c r="X133" s="157">
        <f ca="1" t="shared" si="14"/>
        <v>24.5</v>
      </c>
      <c r="Y133" s="157">
        <f ca="1" t="shared" si="15"/>
        <v>24.5</v>
      </c>
      <c r="Z133" s="304">
        <f ca="1" t="shared" si="16"/>
        <v>12.25</v>
      </c>
      <c r="AA133" s="304">
        <f ca="1">OFFSET(卡牌辅助配置表!$AD$1,MATCH(AB133,卡牌辅助配置表!AB:AB,0)-1,0)</f>
        <v>288</v>
      </c>
      <c r="AB133" s="304">
        <f ca="1" t="shared" si="17"/>
        <v>1208</v>
      </c>
      <c r="AC133" s="153">
        <v>3</v>
      </c>
      <c r="AE133" s="153">
        <v>1</v>
      </c>
      <c r="AF133" s="153" t="str">
        <f ca="1" t="shared" si="18"/>
        <v>10050011|</v>
      </c>
      <c r="AJ133" s="205" t="str">
        <f ca="1" t="shared" si="19"/>
        <v>400023|3150|;</v>
      </c>
      <c r="AK133" s="205">
        <f ca="1">OFFSET([1]item_type!$A$1,MATCH(Q133,[1]item_type!$G:$G,0)-1,0)</f>
        <v>301005</v>
      </c>
      <c r="AL133" s="205"/>
      <c r="AM133" s="205">
        <f ca="1">IF(B133=B134,OFFSET(卡牌辅助配置表!$AE$1,MATCH(AB133,卡牌辅助配置表!AB:AB,0),0),0)</f>
        <v>3150</v>
      </c>
      <c r="AN133" s="153">
        <f ca="1" t="shared" si="20"/>
        <v>1005009</v>
      </c>
      <c r="AP133" s="153" t="str">
        <f ca="1">IF(AC133=0,0,IF(AC133=12,0,OFFSET(effect!$N$1,MATCH(K133,effect!M:M,0)-1,0)))</f>
        <v>kpsx_pt</v>
      </c>
    </row>
    <row r="134" spans="1:42">
      <c r="A134" s="153">
        <f ca="1" t="shared" ref="A134:A197" si="22">Q134*1000+N134</f>
        <v>1005009</v>
      </c>
      <c r="B134" s="91" t="s">
        <v>516</v>
      </c>
      <c r="C134" s="186">
        <v>1</v>
      </c>
      <c r="D134" s="186">
        <v>6</v>
      </c>
      <c r="E134" s="165" t="s">
        <v>1050</v>
      </c>
      <c r="F134" s="165" t="str">
        <f>"上一招为拳法时，增加"&amp;skill!$O$10/100&amp;"%伤害"</f>
        <v>上一招为拳法时，增加35%伤害</v>
      </c>
      <c r="G134" s="186">
        <f ca="1">OFFSET(卡牌辅助配置表!$C$1,MATCH(AC134,卡牌辅助配置表!A:A,0)-1,0)</f>
        <v>3</v>
      </c>
      <c r="H134" s="186">
        <f ca="1" t="shared" si="21"/>
        <v>0</v>
      </c>
      <c r="I134" s="186"/>
      <c r="J134" s="186">
        <f ca="1">OFFSET(card_type!$F$1,MATCH(Q134,card_type!A:A,0)-1,0)</f>
        <v>1</v>
      </c>
      <c r="K134" s="243">
        <f ca="1">OFFSET(card_type!$G$1,MATCH(Q134,card_type!A:A,0)-1,0)</f>
        <v>2</v>
      </c>
      <c r="L134" s="157">
        <v>2</v>
      </c>
      <c r="M134" s="157">
        <v>2</v>
      </c>
      <c r="N134" s="153">
        <f t="shared" ref="N134:N197" si="23">IF(B133=B134,N133+1,1)</f>
        <v>9</v>
      </c>
      <c r="O134" s="157"/>
      <c r="P134" s="157"/>
      <c r="Q134" s="153">
        <f ca="1">OFFSET(card_type!$A$1,MATCH(card!B134,card_type!B:B,0)-1,0)</f>
        <v>1005</v>
      </c>
      <c r="R134" s="153">
        <v>1</v>
      </c>
      <c r="S134" s="157">
        <f ca="1">ROUND(IF(R134=0,0,IF(R134=1,X134*$S$1,IF(R134=2,X134*$S$1*buff的资质计算!$E$2,IF(R134=3,X134*$S$1*buff的资质计算!$E$3,0)))),0)*0</f>
        <v>0</v>
      </c>
      <c r="T134" s="153">
        <v>3</v>
      </c>
      <c r="U134" s="153">
        <f ca="1" t="shared" ref="U134:U197" si="24">J134*10+K134</f>
        <v>12</v>
      </c>
      <c r="V134" s="153">
        <f ca="1">ROUND((OFFSET(卡牌辅助配置表!$O$1,MATCH(U134,卡牌辅助配置表!M:M,0)-1,0)+(N134-1)*OFFSET(卡牌辅助配置表!$P$1,MATCH(U134,卡牌辅助配置表!M:M,0)-1,0))*M134,2)</f>
        <v>24.07</v>
      </c>
      <c r="W134" s="157">
        <f ca="1">ROUND(IF(R134=0,0,IF(R134=1,X134*$W$1,IF(R134=2,X134*$W$1*buff的资质计算!$E$2,IF(R134=3,X134*$W$1*buff的资质计算!$E$3,0)))),2)</f>
        <v>7.5</v>
      </c>
      <c r="X134" s="157">
        <f ca="1" t="shared" ref="X134:X197" si="25">M134*($M$1+(J134-1)*$J$1+(K134-1)*$K$1)+G134+$J$1*(N134-1)/$N$1</f>
        <v>25</v>
      </c>
      <c r="Y134" s="157">
        <f ca="1" t="shared" ref="Y134:Y197" si="26">X134+H134</f>
        <v>25</v>
      </c>
      <c r="Z134" s="304">
        <f ca="1" t="shared" ref="Z134:Z197" si="27">Y134/M134</f>
        <v>12.5</v>
      </c>
      <c r="AA134" s="304">
        <f ca="1">OFFSET(卡牌辅助配置表!$AD$1,MATCH(AB134,卡牌辅助配置表!AB:AB,0)-1,0)</f>
        <v>324</v>
      </c>
      <c r="AB134" s="304">
        <f ca="1" t="shared" ref="AB134:AB197" si="28">J134*1000+K134*100+N134</f>
        <v>1209</v>
      </c>
      <c r="AC134" s="153">
        <v>3</v>
      </c>
      <c r="AE134" s="153">
        <v>1</v>
      </c>
      <c r="AF134" s="153" t="str">
        <f ca="1" t="shared" ref="AF134:AF197" si="29">((Q134*1000+1)*10+1)&amp;$AF$1</f>
        <v>10050011|</v>
      </c>
      <c r="AJ134" s="205" t="str">
        <f ca="1" t="shared" ref="AJ134:AJ197" si="30">IF(AN134=0,0,IF(AL134=0,$AM$1&amp;$AF$1&amp;AM134&amp;$AF$1&amp;$AJ$1,AK134&amp;$AF$1&amp;AL134&amp;$AF$1&amp;$AJ$1&amp;$AM$1&amp;$AF$1&amp;AM134&amp;$AF$1&amp;$AJ$1))</f>
        <v>301005|15|;400023|3450|;</v>
      </c>
      <c r="AK134" s="205">
        <f ca="1">OFFSET([1]item_type!$A$1,MATCH(Q134,[1]item_type!$G:$G,0)-1,0)</f>
        <v>301005</v>
      </c>
      <c r="AL134" s="205">
        <v>15</v>
      </c>
      <c r="AM134" s="205">
        <f ca="1">IF(B134=B135,OFFSET(卡牌辅助配置表!$AE$1,MATCH(AB134,卡牌辅助配置表!AB:AB,0),0),0)</f>
        <v>3450</v>
      </c>
      <c r="AN134" s="153">
        <f ca="1" t="shared" ref="AN134:AN197" si="31">IF(B134=B135,A134+1,0)</f>
        <v>1005010</v>
      </c>
      <c r="AP134" s="153" t="str">
        <f ca="1">IF(AC134=0,0,IF(AC134=12,0,OFFSET(effect!$N$1,MATCH(K134,effect!M:M,0)-1,0)))</f>
        <v>kpsx_pt</v>
      </c>
    </row>
    <row r="135" spans="1:42">
      <c r="A135" s="153">
        <f ca="1" t="shared" si="22"/>
        <v>1005010</v>
      </c>
      <c r="B135" s="91" t="s">
        <v>516</v>
      </c>
      <c r="C135" s="186">
        <v>1</v>
      </c>
      <c r="D135" s="186">
        <v>6</v>
      </c>
      <c r="E135" s="165" t="s">
        <v>1050</v>
      </c>
      <c r="F135" s="165" t="str">
        <f>"上一招为拳法时，增加"&amp;skill!$O$10/100&amp;"%伤害"</f>
        <v>上一招为拳法时，增加35%伤害</v>
      </c>
      <c r="G135" s="186">
        <f ca="1">OFFSET(卡牌辅助配置表!$C$1,MATCH(AC135,卡牌辅助配置表!A:A,0)-1,0)</f>
        <v>3</v>
      </c>
      <c r="H135" s="186">
        <f ca="1" t="shared" si="21"/>
        <v>0</v>
      </c>
      <c r="I135" s="186"/>
      <c r="J135" s="186">
        <f ca="1">OFFSET(card_type!$F$1,MATCH(Q135,card_type!A:A,0)-1,0)</f>
        <v>1</v>
      </c>
      <c r="K135" s="243">
        <f ca="1">OFFSET(card_type!$G$1,MATCH(Q135,card_type!A:A,0)-1,0)</f>
        <v>2</v>
      </c>
      <c r="L135" s="157">
        <v>2</v>
      </c>
      <c r="M135" s="157">
        <v>2</v>
      </c>
      <c r="N135" s="153">
        <f t="shared" si="23"/>
        <v>10</v>
      </c>
      <c r="O135" s="157"/>
      <c r="P135" s="157"/>
      <c r="Q135" s="153">
        <f ca="1">OFFSET(card_type!$A$1,MATCH(card!B135,card_type!B:B,0)-1,0)</f>
        <v>1005</v>
      </c>
      <c r="R135" s="153">
        <v>1</v>
      </c>
      <c r="S135" s="157">
        <f ca="1">ROUND(IF(R135=0,0,IF(R135=1,X135*$S$1,IF(R135=2,X135*$S$1*buff的资质计算!$E$2,IF(R135=3,X135*$S$1*buff的资质计算!$E$3,0)))),0)*0</f>
        <v>0</v>
      </c>
      <c r="T135" s="153">
        <v>3</v>
      </c>
      <c r="U135" s="153">
        <f ca="1" t="shared" si="24"/>
        <v>12</v>
      </c>
      <c r="V135" s="153">
        <f ca="1">ROUND((OFFSET(卡牌辅助配置表!$O$1,MATCH(U135,卡牌辅助配置表!M:M,0)-1,0)+(N135-1)*OFFSET(卡牌辅助配置表!$P$1,MATCH(U135,卡牌辅助配置表!M:M,0)-1,0))*M135,2)</f>
        <v>24.7</v>
      </c>
      <c r="W135" s="157">
        <f ca="1">ROUND(IF(R135=0,0,IF(R135=1,X135*$W$1,IF(R135=2,X135*$W$1*buff的资质计算!$E$2,IF(R135=3,X135*$W$1*buff的资质计算!$E$3,0)))),2)</f>
        <v>7.65</v>
      </c>
      <c r="X135" s="157">
        <f ca="1" t="shared" si="25"/>
        <v>25.5</v>
      </c>
      <c r="Y135" s="157">
        <f ca="1" t="shared" si="26"/>
        <v>25.5</v>
      </c>
      <c r="Z135" s="304">
        <f ca="1" t="shared" si="27"/>
        <v>12.75</v>
      </c>
      <c r="AA135" s="304">
        <f ca="1">OFFSET(卡牌辅助配置表!$AD$1,MATCH(AB135,卡牌辅助配置表!AB:AB,0)-1,0)</f>
        <v>360</v>
      </c>
      <c r="AB135" s="304">
        <f ca="1" t="shared" si="28"/>
        <v>1210</v>
      </c>
      <c r="AC135" s="153">
        <v>3</v>
      </c>
      <c r="AE135" s="153">
        <v>1</v>
      </c>
      <c r="AF135" s="153" t="str">
        <f ca="1" t="shared" si="29"/>
        <v>10050011|</v>
      </c>
      <c r="AJ135" s="205" t="str">
        <f ca="1" t="shared" si="30"/>
        <v>400023|4050|;</v>
      </c>
      <c r="AK135" s="205">
        <f ca="1">OFFSET([1]item_type!$A$1,MATCH(Q135,[1]item_type!$G:$G,0)-1,0)</f>
        <v>301005</v>
      </c>
      <c r="AL135" s="205"/>
      <c r="AM135" s="205">
        <f ca="1">IF(B135=B136,OFFSET(卡牌辅助配置表!$AE$1,MATCH(AB135,卡牌辅助配置表!AB:AB,0),0),0)</f>
        <v>4050</v>
      </c>
      <c r="AN135" s="153">
        <f ca="1" t="shared" si="31"/>
        <v>1005011</v>
      </c>
      <c r="AP135" s="153" t="str">
        <f ca="1">IF(AC135=0,0,IF(AC135=12,0,OFFSET(effect!$N$1,MATCH(K135,effect!M:M,0)-1,0)))</f>
        <v>kpsx_pt</v>
      </c>
    </row>
    <row r="136" spans="1:42">
      <c r="A136" s="153">
        <f ca="1" t="shared" si="22"/>
        <v>1005011</v>
      </c>
      <c r="B136" s="91" t="s">
        <v>516</v>
      </c>
      <c r="C136" s="186">
        <v>1</v>
      </c>
      <c r="D136" s="186">
        <v>6</v>
      </c>
      <c r="E136" s="165" t="s">
        <v>1050</v>
      </c>
      <c r="F136" s="165" t="str">
        <f>"上一招为拳法时，增加"&amp;skill!$O$10/100&amp;"%伤害"</f>
        <v>上一招为拳法时，增加35%伤害</v>
      </c>
      <c r="G136" s="186">
        <f ca="1">OFFSET(卡牌辅助配置表!$C$1,MATCH(AC136,卡牌辅助配置表!A:A,0)-1,0)</f>
        <v>3</v>
      </c>
      <c r="H136" s="186">
        <f ca="1" t="shared" si="21"/>
        <v>0</v>
      </c>
      <c r="I136" s="186"/>
      <c r="J136" s="186">
        <f ca="1">OFFSET(card_type!$F$1,MATCH(Q136,card_type!A:A,0)-1,0)</f>
        <v>1</v>
      </c>
      <c r="K136" s="243">
        <f ca="1">OFFSET(card_type!$G$1,MATCH(Q136,card_type!A:A,0)-1,0)</f>
        <v>2</v>
      </c>
      <c r="L136" s="157">
        <v>2</v>
      </c>
      <c r="M136" s="157">
        <v>2</v>
      </c>
      <c r="N136" s="153">
        <f t="shared" si="23"/>
        <v>11</v>
      </c>
      <c r="O136" s="157"/>
      <c r="P136" s="157"/>
      <c r="Q136" s="153">
        <f ca="1">OFFSET(card_type!$A$1,MATCH(card!B136,card_type!B:B,0)-1,0)</f>
        <v>1005</v>
      </c>
      <c r="R136" s="153">
        <v>1</v>
      </c>
      <c r="S136" s="157">
        <f ca="1">ROUND(IF(R136=0,0,IF(R136=1,X136*$S$1,IF(R136=2,X136*$S$1*buff的资质计算!$E$2,IF(R136=3,X136*$S$1*buff的资质计算!$E$3,0)))),0)*0</f>
        <v>0</v>
      </c>
      <c r="T136" s="153">
        <v>3</v>
      </c>
      <c r="U136" s="153">
        <f ca="1" t="shared" si="24"/>
        <v>12</v>
      </c>
      <c r="V136" s="153">
        <f ca="1">ROUND((OFFSET(卡牌辅助配置表!$O$1,MATCH(U136,卡牌辅助配置表!M:M,0)-1,0)+(N136-1)*OFFSET(卡牌辅助配置表!$P$1,MATCH(U136,卡牌辅助配置表!M:M,0)-1,0))*M136,2)</f>
        <v>25.33</v>
      </c>
      <c r="W136" s="157">
        <f ca="1">ROUND(IF(R136=0,0,IF(R136=1,X136*$W$1,IF(R136=2,X136*$W$1*buff的资质计算!$E$2,IF(R136=3,X136*$W$1*buff的资质计算!$E$3,0)))),2)</f>
        <v>7.8</v>
      </c>
      <c r="X136" s="157">
        <f ca="1" t="shared" si="25"/>
        <v>26</v>
      </c>
      <c r="Y136" s="157">
        <f ca="1" t="shared" si="26"/>
        <v>26</v>
      </c>
      <c r="Z136" s="304">
        <f ca="1" t="shared" si="27"/>
        <v>13</v>
      </c>
      <c r="AA136" s="304">
        <f ca="1">OFFSET(卡牌辅助配置表!$AD$1,MATCH(AB136,卡牌辅助配置表!AB:AB,0)-1,0)</f>
        <v>415</v>
      </c>
      <c r="AB136" s="304">
        <f ca="1" t="shared" si="28"/>
        <v>1211</v>
      </c>
      <c r="AC136" s="153">
        <v>3</v>
      </c>
      <c r="AE136" s="153">
        <v>1</v>
      </c>
      <c r="AF136" s="153" t="str">
        <f ca="1" t="shared" si="29"/>
        <v>10050011|</v>
      </c>
      <c r="AJ136" s="205" t="str">
        <f ca="1" t="shared" si="30"/>
        <v>400023|4650|;</v>
      </c>
      <c r="AK136" s="205">
        <f ca="1">OFFSET([1]item_type!$A$1,MATCH(Q136,[1]item_type!$G:$G,0)-1,0)</f>
        <v>301005</v>
      </c>
      <c r="AL136" s="205"/>
      <c r="AM136" s="205">
        <f ca="1">IF(B136=B137,OFFSET(卡牌辅助配置表!$AE$1,MATCH(AB136,卡牌辅助配置表!AB:AB,0),0),0)</f>
        <v>4650</v>
      </c>
      <c r="AN136" s="153">
        <f ca="1" t="shared" si="31"/>
        <v>1005012</v>
      </c>
      <c r="AP136" s="153" t="str">
        <f ca="1">IF(AC136=0,0,IF(AC136=12,0,OFFSET(effect!$N$1,MATCH(K136,effect!M:M,0)-1,0)))</f>
        <v>kpsx_pt</v>
      </c>
    </row>
    <row r="137" spans="1:42">
      <c r="A137" s="153">
        <f ca="1" t="shared" si="22"/>
        <v>1005012</v>
      </c>
      <c r="B137" s="91" t="s">
        <v>516</v>
      </c>
      <c r="C137" s="186">
        <v>1</v>
      </c>
      <c r="D137" s="186">
        <v>6</v>
      </c>
      <c r="E137" s="165" t="s">
        <v>1050</v>
      </c>
      <c r="F137" s="165" t="str">
        <f>"上一招为拳法时，增加"&amp;skill!$O$10/100&amp;"%伤害"</f>
        <v>上一招为拳法时，增加35%伤害</v>
      </c>
      <c r="G137" s="186">
        <f ca="1">OFFSET(卡牌辅助配置表!$C$1,MATCH(AC137,卡牌辅助配置表!A:A,0)-1,0)</f>
        <v>3</v>
      </c>
      <c r="H137" s="186">
        <f ca="1" t="shared" si="21"/>
        <v>0</v>
      </c>
      <c r="I137" s="186"/>
      <c r="J137" s="186">
        <f ca="1">OFFSET(card_type!$F$1,MATCH(Q137,card_type!A:A,0)-1,0)</f>
        <v>1</v>
      </c>
      <c r="K137" s="243">
        <f ca="1">OFFSET(card_type!$G$1,MATCH(Q137,card_type!A:A,0)-1,0)</f>
        <v>2</v>
      </c>
      <c r="L137" s="157">
        <v>2</v>
      </c>
      <c r="M137" s="157">
        <v>2</v>
      </c>
      <c r="N137" s="153">
        <f t="shared" si="23"/>
        <v>12</v>
      </c>
      <c r="O137" s="157"/>
      <c r="P137" s="157"/>
      <c r="Q137" s="153">
        <f ca="1">OFFSET(card_type!$A$1,MATCH(card!B137,card_type!B:B,0)-1,0)</f>
        <v>1005</v>
      </c>
      <c r="R137" s="153">
        <v>1</v>
      </c>
      <c r="S137" s="157">
        <f ca="1">ROUND(IF(R137=0,0,IF(R137=1,X137*$S$1,IF(R137=2,X137*$S$1*buff的资质计算!$E$2,IF(R137=3,X137*$S$1*buff的资质计算!$E$3,0)))),0)*0</f>
        <v>0</v>
      </c>
      <c r="T137" s="153">
        <v>3</v>
      </c>
      <c r="U137" s="153">
        <f ca="1" t="shared" si="24"/>
        <v>12</v>
      </c>
      <c r="V137" s="153">
        <f ca="1">ROUND((OFFSET(卡牌辅助配置表!$O$1,MATCH(U137,卡牌辅助配置表!M:M,0)-1,0)+(N137-1)*OFFSET(卡牌辅助配置表!$P$1,MATCH(U137,卡牌辅助配置表!M:M,0)-1,0))*M137,2)</f>
        <v>25.97</v>
      </c>
      <c r="W137" s="157">
        <f ca="1">ROUND(IF(R137=0,0,IF(R137=1,X137*$W$1,IF(R137=2,X137*$W$1*buff的资质计算!$E$2,IF(R137=3,X137*$W$1*buff的资质计算!$E$3,0)))),2)</f>
        <v>7.95</v>
      </c>
      <c r="X137" s="157">
        <f ca="1" t="shared" si="25"/>
        <v>26.5</v>
      </c>
      <c r="Y137" s="157">
        <f ca="1" t="shared" si="26"/>
        <v>26.5</v>
      </c>
      <c r="Z137" s="304">
        <f ca="1" t="shared" si="27"/>
        <v>13.25</v>
      </c>
      <c r="AA137" s="304">
        <f ca="1">OFFSET(卡牌辅助配置表!$AD$1,MATCH(AB137,卡牌辅助配置表!AB:AB,0)-1,0)</f>
        <v>470</v>
      </c>
      <c r="AB137" s="304">
        <f ca="1" t="shared" si="28"/>
        <v>1212</v>
      </c>
      <c r="AC137" s="153">
        <v>3</v>
      </c>
      <c r="AE137" s="153">
        <v>1</v>
      </c>
      <c r="AF137" s="153" t="str">
        <f ca="1" t="shared" si="29"/>
        <v>10050011|</v>
      </c>
      <c r="AJ137" s="205" t="str">
        <f ca="1" t="shared" si="30"/>
        <v>400023|5250|;</v>
      </c>
      <c r="AK137" s="205">
        <f ca="1">OFFSET([1]item_type!$A$1,MATCH(Q137,[1]item_type!$G:$G,0)-1,0)</f>
        <v>301005</v>
      </c>
      <c r="AL137" s="205"/>
      <c r="AM137" s="205">
        <f ca="1">IF(B137=B138,OFFSET(卡牌辅助配置表!$AE$1,MATCH(AB137,卡牌辅助配置表!AB:AB,0),0),0)</f>
        <v>5250</v>
      </c>
      <c r="AN137" s="153">
        <f ca="1" t="shared" si="31"/>
        <v>1005013</v>
      </c>
      <c r="AP137" s="153" t="str">
        <f ca="1">IF(AC137=0,0,IF(AC137=12,0,OFFSET(effect!$N$1,MATCH(K137,effect!M:M,0)-1,0)))</f>
        <v>kpsx_pt</v>
      </c>
    </row>
    <row r="138" spans="1:42">
      <c r="A138" s="153">
        <f ca="1" t="shared" si="22"/>
        <v>1005013</v>
      </c>
      <c r="B138" s="91" t="s">
        <v>516</v>
      </c>
      <c r="C138" s="186">
        <v>1</v>
      </c>
      <c r="D138" s="186">
        <v>6</v>
      </c>
      <c r="E138" s="165" t="s">
        <v>1050</v>
      </c>
      <c r="F138" s="165" t="str">
        <f>"上一招为拳法时，增加"&amp;skill!$O$10/100&amp;"%伤害"</f>
        <v>上一招为拳法时，增加35%伤害</v>
      </c>
      <c r="G138" s="186">
        <f ca="1">OFFSET(卡牌辅助配置表!$C$1,MATCH(AC138,卡牌辅助配置表!A:A,0)-1,0)</f>
        <v>3</v>
      </c>
      <c r="H138" s="186">
        <f ca="1" t="shared" si="21"/>
        <v>0</v>
      </c>
      <c r="I138" s="186"/>
      <c r="J138" s="186">
        <f ca="1">OFFSET(card_type!$F$1,MATCH(Q138,card_type!A:A,0)-1,0)</f>
        <v>1</v>
      </c>
      <c r="K138" s="243">
        <f ca="1">OFFSET(card_type!$G$1,MATCH(Q138,card_type!A:A,0)-1,0)</f>
        <v>2</v>
      </c>
      <c r="L138" s="157">
        <v>2</v>
      </c>
      <c r="M138" s="157">
        <v>2</v>
      </c>
      <c r="N138" s="153">
        <f t="shared" si="23"/>
        <v>13</v>
      </c>
      <c r="O138" s="157"/>
      <c r="P138" s="157"/>
      <c r="Q138" s="153">
        <f ca="1">OFFSET(card_type!$A$1,MATCH(card!B138,card_type!B:B,0)-1,0)</f>
        <v>1005</v>
      </c>
      <c r="R138" s="153">
        <v>1</v>
      </c>
      <c r="S138" s="157">
        <f ca="1">ROUND(IF(R138=0,0,IF(R138=1,X138*$S$1,IF(R138=2,X138*$S$1*buff的资质计算!$E$2,IF(R138=3,X138*$S$1*buff的资质计算!$E$3,0)))),0)*0</f>
        <v>0</v>
      </c>
      <c r="T138" s="153">
        <v>3</v>
      </c>
      <c r="U138" s="153">
        <f ca="1" t="shared" si="24"/>
        <v>12</v>
      </c>
      <c r="V138" s="153">
        <f ca="1">ROUND((OFFSET(卡牌辅助配置表!$O$1,MATCH(U138,卡牌辅助配置表!M:M,0)-1,0)+(N138-1)*OFFSET(卡牌辅助配置表!$P$1,MATCH(U138,卡牌辅助配置表!M:M,0)-1,0))*M138,2)</f>
        <v>26.6</v>
      </c>
      <c r="W138" s="157">
        <f ca="1">ROUND(IF(R138=0,0,IF(R138=1,X138*$W$1,IF(R138=2,X138*$W$1*buff的资质计算!$E$2,IF(R138=3,X138*$W$1*buff的资质计算!$E$3,0)))),2)</f>
        <v>8.1</v>
      </c>
      <c r="X138" s="157">
        <f ca="1" t="shared" si="25"/>
        <v>27</v>
      </c>
      <c r="Y138" s="157">
        <f ca="1" t="shared" si="26"/>
        <v>27</v>
      </c>
      <c r="Z138" s="304">
        <f ca="1" t="shared" si="27"/>
        <v>13.5</v>
      </c>
      <c r="AA138" s="304">
        <f ca="1">OFFSET(卡牌辅助配置表!$AD$1,MATCH(AB138,卡牌辅助配置表!AB:AB,0)-1,0)</f>
        <v>525</v>
      </c>
      <c r="AB138" s="304">
        <f ca="1" t="shared" si="28"/>
        <v>1213</v>
      </c>
      <c r="AC138" s="153">
        <v>3</v>
      </c>
      <c r="AE138" s="153">
        <v>1</v>
      </c>
      <c r="AF138" s="153" t="str">
        <f ca="1" t="shared" si="29"/>
        <v>10050011|</v>
      </c>
      <c r="AJ138" s="205" t="str">
        <f ca="1" t="shared" si="30"/>
        <v>400023|5850|;</v>
      </c>
      <c r="AK138" s="205">
        <f ca="1">OFFSET([1]item_type!$A$1,MATCH(Q138,[1]item_type!$G:$G,0)-1,0)</f>
        <v>301005</v>
      </c>
      <c r="AL138" s="205"/>
      <c r="AM138" s="205">
        <f ca="1">IF(B138=B139,OFFSET(卡牌辅助配置表!$AE$1,MATCH(AB138,卡牌辅助配置表!AB:AB,0),0),0)</f>
        <v>5850</v>
      </c>
      <c r="AN138" s="153">
        <f ca="1" t="shared" si="31"/>
        <v>1005014</v>
      </c>
      <c r="AP138" s="153" t="str">
        <f ca="1">IF(AC138=0,0,IF(AC138=12,0,OFFSET(effect!$N$1,MATCH(K138,effect!M:M,0)-1,0)))</f>
        <v>kpsx_pt</v>
      </c>
    </row>
    <row r="139" spans="1:42">
      <c r="A139" s="153">
        <f ca="1" t="shared" si="22"/>
        <v>1005014</v>
      </c>
      <c r="B139" s="91" t="s">
        <v>516</v>
      </c>
      <c r="C139" s="186">
        <v>1</v>
      </c>
      <c r="D139" s="186">
        <v>6</v>
      </c>
      <c r="E139" s="165" t="s">
        <v>1050</v>
      </c>
      <c r="F139" s="165" t="str">
        <f>"上一招为拳法时，增加"&amp;skill!$O$10/100&amp;"%伤害"</f>
        <v>上一招为拳法时，增加35%伤害</v>
      </c>
      <c r="G139" s="186">
        <f ca="1">OFFSET(卡牌辅助配置表!$C$1,MATCH(AC139,卡牌辅助配置表!A:A,0)-1,0)</f>
        <v>3</v>
      </c>
      <c r="H139" s="186">
        <f ca="1" t="shared" si="21"/>
        <v>0</v>
      </c>
      <c r="I139" s="186"/>
      <c r="J139" s="186">
        <f ca="1">OFFSET(card_type!$F$1,MATCH(Q139,card_type!A:A,0)-1,0)</f>
        <v>1</v>
      </c>
      <c r="K139" s="243">
        <f ca="1">OFFSET(card_type!$G$1,MATCH(Q139,card_type!A:A,0)-1,0)</f>
        <v>2</v>
      </c>
      <c r="L139" s="157">
        <v>2</v>
      </c>
      <c r="M139" s="157">
        <v>2</v>
      </c>
      <c r="N139" s="153">
        <f t="shared" si="23"/>
        <v>14</v>
      </c>
      <c r="O139" s="157"/>
      <c r="P139" s="157"/>
      <c r="Q139" s="153">
        <f ca="1">OFFSET(card_type!$A$1,MATCH(card!B139,card_type!B:B,0)-1,0)</f>
        <v>1005</v>
      </c>
      <c r="R139" s="153">
        <v>1</v>
      </c>
      <c r="S139" s="157">
        <f ca="1">ROUND(IF(R139=0,0,IF(R139=1,X139*$S$1,IF(R139=2,X139*$S$1*buff的资质计算!$E$2,IF(R139=3,X139*$S$1*buff的资质计算!$E$3,0)))),0)*0</f>
        <v>0</v>
      </c>
      <c r="T139" s="153">
        <v>3</v>
      </c>
      <c r="U139" s="153">
        <f ca="1" t="shared" si="24"/>
        <v>12</v>
      </c>
      <c r="V139" s="153">
        <f ca="1">ROUND((OFFSET(卡牌辅助配置表!$O$1,MATCH(U139,卡牌辅助配置表!M:M,0)-1,0)+(N139-1)*OFFSET(卡牌辅助配置表!$P$1,MATCH(U139,卡牌辅助配置表!M:M,0)-1,0))*M139,2)</f>
        <v>27.23</v>
      </c>
      <c r="W139" s="157">
        <f ca="1">ROUND(IF(R139=0,0,IF(R139=1,X139*$W$1,IF(R139=2,X139*$W$1*buff的资质计算!$E$2,IF(R139=3,X139*$W$1*buff的资质计算!$E$3,0)))),2)</f>
        <v>8.25</v>
      </c>
      <c r="X139" s="157">
        <f ca="1" t="shared" si="25"/>
        <v>27.5</v>
      </c>
      <c r="Y139" s="157">
        <f ca="1" t="shared" si="26"/>
        <v>27.5</v>
      </c>
      <c r="Z139" s="304">
        <f ca="1" t="shared" si="27"/>
        <v>13.75</v>
      </c>
      <c r="AA139" s="304">
        <f ca="1">OFFSET(卡牌辅助配置表!$AD$1,MATCH(AB139,卡牌辅助配置表!AB:AB,0)-1,0)</f>
        <v>580</v>
      </c>
      <c r="AB139" s="304">
        <f ca="1" t="shared" si="28"/>
        <v>1214</v>
      </c>
      <c r="AC139" s="153">
        <v>3</v>
      </c>
      <c r="AE139" s="153">
        <v>1</v>
      </c>
      <c r="AF139" s="153" t="str">
        <f ca="1" t="shared" si="29"/>
        <v>10050011|</v>
      </c>
      <c r="AJ139" s="205" t="str">
        <f ca="1" t="shared" si="30"/>
        <v>400023|6450|;</v>
      </c>
      <c r="AK139" s="205">
        <f ca="1">OFFSET([1]item_type!$A$1,MATCH(Q139,[1]item_type!$G:$G,0)-1,0)</f>
        <v>301005</v>
      </c>
      <c r="AL139" s="205"/>
      <c r="AM139" s="205">
        <f ca="1">IF(B139=B140,OFFSET(卡牌辅助配置表!$AE$1,MATCH(AB139,卡牌辅助配置表!AB:AB,0),0),0)</f>
        <v>6450</v>
      </c>
      <c r="AN139" s="153">
        <f ca="1" t="shared" si="31"/>
        <v>1005015</v>
      </c>
      <c r="AP139" s="153" t="str">
        <f ca="1">IF(AC139=0,0,IF(AC139=12,0,OFFSET(effect!$N$1,MATCH(K139,effect!M:M,0)-1,0)))</f>
        <v>kpsx_pt</v>
      </c>
    </row>
    <row r="140" spans="1:42">
      <c r="A140" s="153">
        <f ca="1" t="shared" si="22"/>
        <v>1005015</v>
      </c>
      <c r="B140" s="91" t="s">
        <v>516</v>
      </c>
      <c r="C140" s="186">
        <v>1</v>
      </c>
      <c r="D140" s="186">
        <v>6</v>
      </c>
      <c r="E140" s="165" t="s">
        <v>1050</v>
      </c>
      <c r="F140" s="165" t="str">
        <f>"上一招为拳法时，增加"&amp;skill!$O$10/100&amp;"%伤害"</f>
        <v>上一招为拳法时，增加35%伤害</v>
      </c>
      <c r="G140" s="186">
        <f ca="1">OFFSET(卡牌辅助配置表!$C$1,MATCH(AC140,卡牌辅助配置表!A:A,0)-1,0)</f>
        <v>3</v>
      </c>
      <c r="H140" s="186">
        <f ca="1" t="shared" si="21"/>
        <v>0</v>
      </c>
      <c r="I140" s="186"/>
      <c r="J140" s="186">
        <f ca="1">OFFSET(card_type!$F$1,MATCH(Q140,card_type!A:A,0)-1,0)</f>
        <v>1</v>
      </c>
      <c r="K140" s="243">
        <f ca="1">OFFSET(card_type!$G$1,MATCH(Q140,card_type!A:A,0)-1,0)</f>
        <v>2</v>
      </c>
      <c r="L140" s="157">
        <v>2</v>
      </c>
      <c r="M140" s="157">
        <v>2</v>
      </c>
      <c r="N140" s="153">
        <f t="shared" si="23"/>
        <v>15</v>
      </c>
      <c r="O140" s="157"/>
      <c r="P140" s="157"/>
      <c r="Q140" s="153">
        <f ca="1">OFFSET(card_type!$A$1,MATCH(card!B140,card_type!B:B,0)-1,0)</f>
        <v>1005</v>
      </c>
      <c r="R140" s="153">
        <v>1</v>
      </c>
      <c r="S140" s="157">
        <f ca="1">ROUND(IF(R140=0,0,IF(R140=1,X140*$S$1,IF(R140=2,X140*$S$1*buff的资质计算!$E$2,IF(R140=3,X140*$S$1*buff的资质计算!$E$3,0)))),0)*0</f>
        <v>0</v>
      </c>
      <c r="T140" s="153">
        <v>3</v>
      </c>
      <c r="U140" s="153">
        <f ca="1" t="shared" si="24"/>
        <v>12</v>
      </c>
      <c r="V140" s="153">
        <f ca="1">ROUND((OFFSET(卡牌辅助配置表!$O$1,MATCH(U140,卡牌辅助配置表!M:M,0)-1,0)+(N140-1)*OFFSET(卡牌辅助配置表!$P$1,MATCH(U140,卡牌辅助配置表!M:M,0)-1,0))*M140,2)</f>
        <v>27.87</v>
      </c>
      <c r="W140" s="157">
        <f ca="1">ROUND(IF(R140=0,0,IF(R140=1,X140*$W$1,IF(R140=2,X140*$W$1*buff的资质计算!$E$2,IF(R140=3,X140*$W$1*buff的资质计算!$E$3,0)))),2)</f>
        <v>8.4</v>
      </c>
      <c r="X140" s="157">
        <f ca="1" t="shared" si="25"/>
        <v>28</v>
      </c>
      <c r="Y140" s="157">
        <f ca="1" t="shared" si="26"/>
        <v>28</v>
      </c>
      <c r="Z140" s="304">
        <f ca="1" t="shared" si="27"/>
        <v>14</v>
      </c>
      <c r="AA140" s="304">
        <f ca="1">OFFSET(卡牌辅助配置表!$AD$1,MATCH(AB140,卡牌辅助配置表!AB:AB,0)-1,0)</f>
        <v>635</v>
      </c>
      <c r="AB140" s="304">
        <f ca="1" t="shared" si="28"/>
        <v>1215</v>
      </c>
      <c r="AC140" s="153">
        <v>3</v>
      </c>
      <c r="AE140" s="153">
        <v>1</v>
      </c>
      <c r="AF140" s="153" t="str">
        <f ca="1" t="shared" si="29"/>
        <v>10050011|</v>
      </c>
      <c r="AJ140" s="205" t="str">
        <f ca="1" t="shared" si="30"/>
        <v>400023|7050|;</v>
      </c>
      <c r="AK140" s="205">
        <f ca="1">OFFSET([1]item_type!$A$1,MATCH(Q140,[1]item_type!$G:$G,0)-1,0)</f>
        <v>301005</v>
      </c>
      <c r="AL140" s="205"/>
      <c r="AM140" s="205">
        <f ca="1">IF(B140=B141,OFFSET(卡牌辅助配置表!$AE$1,MATCH(AB140,卡牌辅助配置表!AB:AB,0),0),0)</f>
        <v>7050</v>
      </c>
      <c r="AN140" s="153">
        <f ca="1" t="shared" si="31"/>
        <v>1005016</v>
      </c>
      <c r="AP140" s="153" t="str">
        <f ca="1">IF(AC140=0,0,IF(AC140=12,0,OFFSET(effect!$N$1,MATCH(K140,effect!M:M,0)-1,0)))</f>
        <v>kpsx_pt</v>
      </c>
    </row>
    <row r="141" spans="1:42">
      <c r="A141" s="153">
        <f ca="1" t="shared" si="22"/>
        <v>1005016</v>
      </c>
      <c r="B141" s="91" t="s">
        <v>516</v>
      </c>
      <c r="C141" s="186">
        <v>1</v>
      </c>
      <c r="D141" s="186">
        <v>6</v>
      </c>
      <c r="E141" s="165" t="s">
        <v>1050</v>
      </c>
      <c r="F141" s="165" t="str">
        <f>"上一招为拳法时，增加"&amp;skill!$O$10/100&amp;"%伤害"</f>
        <v>上一招为拳法时，增加35%伤害</v>
      </c>
      <c r="G141" s="186">
        <f ca="1">OFFSET(卡牌辅助配置表!$C$1,MATCH(AC141,卡牌辅助配置表!A:A,0)-1,0)</f>
        <v>3</v>
      </c>
      <c r="H141" s="186">
        <f ca="1" t="shared" si="21"/>
        <v>0</v>
      </c>
      <c r="I141" s="186"/>
      <c r="J141" s="186">
        <f ca="1">OFFSET(card_type!$F$1,MATCH(Q141,card_type!A:A,0)-1,0)</f>
        <v>1</v>
      </c>
      <c r="K141" s="243">
        <f ca="1">OFFSET(card_type!$G$1,MATCH(Q141,card_type!A:A,0)-1,0)</f>
        <v>2</v>
      </c>
      <c r="L141" s="157">
        <v>2</v>
      </c>
      <c r="M141" s="157">
        <v>2</v>
      </c>
      <c r="N141" s="153">
        <f t="shared" si="23"/>
        <v>16</v>
      </c>
      <c r="O141" s="157"/>
      <c r="P141" s="157"/>
      <c r="Q141" s="153">
        <f ca="1">OFFSET(card_type!$A$1,MATCH(card!B141,card_type!B:B,0)-1,0)</f>
        <v>1005</v>
      </c>
      <c r="R141" s="153">
        <v>1</v>
      </c>
      <c r="S141" s="157">
        <f ca="1">ROUND(IF(R141=0,0,IF(R141=1,X141*$S$1,IF(R141=2,X141*$S$1*buff的资质计算!$E$2,IF(R141=3,X141*$S$1*buff的资质计算!$E$3,0)))),0)*0</f>
        <v>0</v>
      </c>
      <c r="T141" s="153">
        <v>3</v>
      </c>
      <c r="U141" s="153">
        <f ca="1" t="shared" si="24"/>
        <v>12</v>
      </c>
      <c r="V141" s="153">
        <f ca="1">ROUND((OFFSET(卡牌辅助配置表!$O$1,MATCH(U141,卡牌辅助配置表!M:M,0)-1,0)+(N141-1)*OFFSET(卡牌辅助配置表!$P$1,MATCH(U141,卡牌辅助配置表!M:M,0)-1,0))*M141,2)</f>
        <v>28.5</v>
      </c>
      <c r="W141" s="157">
        <f ca="1">ROUND(IF(R141=0,0,IF(R141=1,X141*$W$1,IF(R141=2,X141*$W$1*buff的资质计算!$E$2,IF(R141=3,X141*$W$1*buff的资质计算!$E$3,0)))),2)</f>
        <v>8.55</v>
      </c>
      <c r="X141" s="157">
        <f ca="1" t="shared" si="25"/>
        <v>28.5</v>
      </c>
      <c r="Y141" s="157">
        <f ca="1" t="shared" si="26"/>
        <v>28.5</v>
      </c>
      <c r="Z141" s="304">
        <f ca="1" t="shared" si="27"/>
        <v>14.25</v>
      </c>
      <c r="AA141" s="304">
        <f ca="1">OFFSET(卡牌辅助配置表!$AD$1,MATCH(AB141,卡牌辅助配置表!AB:AB,0)-1,0)</f>
        <v>690</v>
      </c>
      <c r="AB141" s="304">
        <f ca="1" t="shared" si="28"/>
        <v>1216</v>
      </c>
      <c r="AC141" s="153">
        <v>3</v>
      </c>
      <c r="AE141" s="153">
        <v>1</v>
      </c>
      <c r="AF141" s="153" t="str">
        <f ca="1" t="shared" si="29"/>
        <v>10050011|</v>
      </c>
      <c r="AJ141" s="205" t="str">
        <f ca="1" t="shared" si="30"/>
        <v>400023|7650|;</v>
      </c>
      <c r="AK141" s="205">
        <f ca="1">OFFSET([1]item_type!$A$1,MATCH(Q141,[1]item_type!$G:$G,0)-1,0)</f>
        <v>301005</v>
      </c>
      <c r="AL141" s="205"/>
      <c r="AM141" s="205">
        <f ca="1">IF(B141=B142,OFFSET(卡牌辅助配置表!$AE$1,MATCH(AB141,卡牌辅助配置表!AB:AB,0),0),0)</f>
        <v>7650</v>
      </c>
      <c r="AN141" s="153">
        <f ca="1" t="shared" si="31"/>
        <v>1005017</v>
      </c>
      <c r="AP141" s="153" t="str">
        <f ca="1">IF(AC141=0,0,IF(AC141=12,0,OFFSET(effect!$N$1,MATCH(K141,effect!M:M,0)-1,0)))</f>
        <v>kpsx_pt</v>
      </c>
    </row>
    <row r="142" spans="1:42">
      <c r="A142" s="153">
        <f ca="1" t="shared" si="22"/>
        <v>1005017</v>
      </c>
      <c r="B142" s="91" t="s">
        <v>516</v>
      </c>
      <c r="C142" s="186">
        <v>1</v>
      </c>
      <c r="D142" s="186">
        <v>6</v>
      </c>
      <c r="E142" s="165" t="s">
        <v>1050</v>
      </c>
      <c r="F142" s="165" t="str">
        <f>"上一招为拳法时，增加"&amp;skill!$O$10/100&amp;"%伤害"</f>
        <v>上一招为拳法时，增加35%伤害</v>
      </c>
      <c r="G142" s="186">
        <f ca="1">OFFSET(卡牌辅助配置表!$C$1,MATCH(AC142,卡牌辅助配置表!A:A,0)-1,0)</f>
        <v>3</v>
      </c>
      <c r="H142" s="186">
        <f ca="1" t="shared" si="21"/>
        <v>0</v>
      </c>
      <c r="I142" s="186"/>
      <c r="J142" s="186">
        <f ca="1">OFFSET(card_type!$F$1,MATCH(Q142,card_type!A:A,0)-1,0)</f>
        <v>1</v>
      </c>
      <c r="K142" s="243">
        <f ca="1">OFFSET(card_type!$G$1,MATCH(Q142,card_type!A:A,0)-1,0)</f>
        <v>2</v>
      </c>
      <c r="L142" s="157">
        <v>2</v>
      </c>
      <c r="M142" s="157">
        <v>2</v>
      </c>
      <c r="N142" s="153">
        <f t="shared" si="23"/>
        <v>17</v>
      </c>
      <c r="O142" s="157"/>
      <c r="P142" s="157"/>
      <c r="Q142" s="153">
        <f ca="1">OFFSET(card_type!$A$1,MATCH(card!B142,card_type!B:B,0)-1,0)</f>
        <v>1005</v>
      </c>
      <c r="R142" s="153">
        <v>1</v>
      </c>
      <c r="S142" s="157">
        <f ca="1">ROUND(IF(R142=0,0,IF(R142=1,X142*$S$1,IF(R142=2,X142*$S$1*buff的资质计算!$E$2,IF(R142=3,X142*$S$1*buff的资质计算!$E$3,0)))),0)*0</f>
        <v>0</v>
      </c>
      <c r="T142" s="153">
        <v>3</v>
      </c>
      <c r="U142" s="153">
        <f ca="1" t="shared" si="24"/>
        <v>12</v>
      </c>
      <c r="V142" s="153">
        <f ca="1">ROUND((OFFSET(卡牌辅助配置表!$O$1,MATCH(U142,卡牌辅助配置表!M:M,0)-1,0)+(N142-1)*OFFSET(卡牌辅助配置表!$P$1,MATCH(U142,卡牌辅助配置表!M:M,0)-1,0))*M142,2)</f>
        <v>29.13</v>
      </c>
      <c r="W142" s="157">
        <f ca="1">ROUND(IF(R142=0,0,IF(R142=1,X142*$W$1,IF(R142=2,X142*$W$1*buff的资质计算!$E$2,IF(R142=3,X142*$W$1*buff的资质计算!$E$3,0)))),2)</f>
        <v>8.7</v>
      </c>
      <c r="X142" s="157">
        <f ca="1" t="shared" si="25"/>
        <v>29</v>
      </c>
      <c r="Y142" s="157">
        <f ca="1" t="shared" si="26"/>
        <v>29</v>
      </c>
      <c r="Z142" s="304">
        <f ca="1" t="shared" si="27"/>
        <v>14.5</v>
      </c>
      <c r="AA142" s="304">
        <f ca="1">OFFSET(卡牌辅助配置表!$AD$1,MATCH(AB142,卡牌辅助配置表!AB:AB,0)-1,0)</f>
        <v>745</v>
      </c>
      <c r="AB142" s="304">
        <f ca="1" t="shared" si="28"/>
        <v>1217</v>
      </c>
      <c r="AC142" s="153">
        <v>3</v>
      </c>
      <c r="AE142" s="153">
        <v>1</v>
      </c>
      <c r="AF142" s="153" t="str">
        <f ca="1" t="shared" si="29"/>
        <v>10050011|</v>
      </c>
      <c r="AJ142" s="205" t="str">
        <f ca="1" t="shared" si="30"/>
        <v>400023|8250|;</v>
      </c>
      <c r="AK142" s="205">
        <f ca="1">OFFSET([1]item_type!$A$1,MATCH(Q142,[1]item_type!$G:$G,0)-1,0)</f>
        <v>301005</v>
      </c>
      <c r="AL142" s="205"/>
      <c r="AM142" s="205">
        <f ca="1">IF(B142=B143,OFFSET(卡牌辅助配置表!$AE$1,MATCH(AB142,卡牌辅助配置表!AB:AB,0),0),0)</f>
        <v>8250</v>
      </c>
      <c r="AN142" s="153">
        <f ca="1" t="shared" si="31"/>
        <v>1005018</v>
      </c>
      <c r="AP142" s="153" t="str">
        <f ca="1">IF(AC142=0,0,IF(AC142=12,0,OFFSET(effect!$N$1,MATCH(K142,effect!M:M,0)-1,0)))</f>
        <v>kpsx_pt</v>
      </c>
    </row>
    <row r="143" spans="1:42">
      <c r="A143" s="153">
        <f ca="1" t="shared" si="22"/>
        <v>1005018</v>
      </c>
      <c r="B143" s="91" t="s">
        <v>516</v>
      </c>
      <c r="C143" s="186">
        <v>1</v>
      </c>
      <c r="D143" s="186">
        <v>6</v>
      </c>
      <c r="E143" s="165" t="s">
        <v>1050</v>
      </c>
      <c r="F143" s="165" t="str">
        <f>"上一招为拳法时，增加"&amp;skill!$O$10/100&amp;"%伤害"</f>
        <v>上一招为拳法时，增加35%伤害</v>
      </c>
      <c r="G143" s="186">
        <f ca="1">OFFSET(卡牌辅助配置表!$C$1,MATCH(AC143,卡牌辅助配置表!A:A,0)-1,0)</f>
        <v>3</v>
      </c>
      <c r="H143" s="186">
        <f ca="1" t="shared" si="21"/>
        <v>0</v>
      </c>
      <c r="I143" s="186"/>
      <c r="J143" s="186">
        <f ca="1">OFFSET(card_type!$F$1,MATCH(Q143,card_type!A:A,0)-1,0)</f>
        <v>1</v>
      </c>
      <c r="K143" s="243">
        <f ca="1">OFFSET(card_type!$G$1,MATCH(Q143,card_type!A:A,0)-1,0)</f>
        <v>2</v>
      </c>
      <c r="L143" s="157">
        <v>2</v>
      </c>
      <c r="M143" s="157">
        <v>2</v>
      </c>
      <c r="N143" s="153">
        <f t="shared" si="23"/>
        <v>18</v>
      </c>
      <c r="O143" s="157"/>
      <c r="P143" s="157"/>
      <c r="Q143" s="153">
        <f ca="1">OFFSET(card_type!$A$1,MATCH(card!B143,card_type!B:B,0)-1,0)</f>
        <v>1005</v>
      </c>
      <c r="R143" s="153">
        <v>1</v>
      </c>
      <c r="S143" s="157">
        <f ca="1">ROUND(IF(R143=0,0,IF(R143=1,X143*$S$1,IF(R143=2,X143*$S$1*buff的资质计算!$E$2,IF(R143=3,X143*$S$1*buff的资质计算!$E$3,0)))),0)*0</f>
        <v>0</v>
      </c>
      <c r="T143" s="153">
        <v>3</v>
      </c>
      <c r="U143" s="153">
        <f ca="1" t="shared" si="24"/>
        <v>12</v>
      </c>
      <c r="V143" s="153">
        <f ca="1">ROUND((OFFSET(卡牌辅助配置表!$O$1,MATCH(U143,卡牌辅助配置表!M:M,0)-1,0)+(N143-1)*OFFSET(卡牌辅助配置表!$P$1,MATCH(U143,卡牌辅助配置表!M:M,0)-1,0))*M143,2)</f>
        <v>29.77</v>
      </c>
      <c r="W143" s="157">
        <f ca="1">ROUND(IF(R143=0,0,IF(R143=1,X143*$W$1,IF(R143=2,X143*$W$1*buff的资质计算!$E$2,IF(R143=3,X143*$W$1*buff的资质计算!$E$3,0)))),2)</f>
        <v>8.85</v>
      </c>
      <c r="X143" s="157">
        <f ca="1" t="shared" si="25"/>
        <v>29.5</v>
      </c>
      <c r="Y143" s="157">
        <f ca="1" t="shared" si="26"/>
        <v>29.5</v>
      </c>
      <c r="Z143" s="304">
        <f ca="1" t="shared" si="27"/>
        <v>14.75</v>
      </c>
      <c r="AA143" s="304">
        <f ca="1">OFFSET(卡牌辅助配置表!$AD$1,MATCH(AB143,卡牌辅助配置表!AB:AB,0)-1,0)</f>
        <v>800</v>
      </c>
      <c r="AB143" s="304">
        <f ca="1" t="shared" si="28"/>
        <v>1218</v>
      </c>
      <c r="AC143" s="153">
        <v>3</v>
      </c>
      <c r="AE143" s="153">
        <v>1</v>
      </c>
      <c r="AF143" s="153" t="str">
        <f ca="1" t="shared" si="29"/>
        <v>10050011|</v>
      </c>
      <c r="AJ143" s="205" t="str">
        <f ca="1" t="shared" si="30"/>
        <v>400023|8850|;</v>
      </c>
      <c r="AK143" s="205">
        <f ca="1">OFFSET([1]item_type!$A$1,MATCH(Q143,[1]item_type!$G:$G,0)-1,0)</f>
        <v>301005</v>
      </c>
      <c r="AL143" s="205"/>
      <c r="AM143" s="205">
        <f ca="1">IF(B143=B144,OFFSET(卡牌辅助配置表!$AE$1,MATCH(AB143,卡牌辅助配置表!AB:AB,0),0),0)</f>
        <v>8850</v>
      </c>
      <c r="AN143" s="153">
        <f ca="1" t="shared" si="31"/>
        <v>1005019</v>
      </c>
      <c r="AP143" s="153" t="str">
        <f ca="1">IF(AC143=0,0,IF(AC143=12,0,OFFSET(effect!$N$1,MATCH(K143,effect!M:M,0)-1,0)))</f>
        <v>kpsx_pt</v>
      </c>
    </row>
    <row r="144" spans="1:42">
      <c r="A144" s="153">
        <f ca="1" t="shared" si="22"/>
        <v>1005019</v>
      </c>
      <c r="B144" s="91" t="s">
        <v>516</v>
      </c>
      <c r="C144" s="186">
        <v>1</v>
      </c>
      <c r="D144" s="186">
        <v>6</v>
      </c>
      <c r="E144" s="165" t="s">
        <v>1050</v>
      </c>
      <c r="F144" s="165" t="str">
        <f>"上一招为拳法时，增加"&amp;skill!$O$10/100&amp;"%伤害"</f>
        <v>上一招为拳法时，增加35%伤害</v>
      </c>
      <c r="G144" s="186">
        <f ca="1">OFFSET(卡牌辅助配置表!$C$1,MATCH(AC144,卡牌辅助配置表!A:A,0)-1,0)</f>
        <v>3</v>
      </c>
      <c r="H144" s="186">
        <f ca="1" t="shared" si="21"/>
        <v>0</v>
      </c>
      <c r="I144" s="186"/>
      <c r="J144" s="186">
        <f ca="1">OFFSET(card_type!$F$1,MATCH(Q144,card_type!A:A,0)-1,0)</f>
        <v>1</v>
      </c>
      <c r="K144" s="243">
        <f ca="1">OFFSET(card_type!$G$1,MATCH(Q144,card_type!A:A,0)-1,0)</f>
        <v>2</v>
      </c>
      <c r="L144" s="157">
        <v>2</v>
      </c>
      <c r="M144" s="157">
        <v>2</v>
      </c>
      <c r="N144" s="153">
        <f t="shared" si="23"/>
        <v>19</v>
      </c>
      <c r="O144" s="157"/>
      <c r="P144" s="157"/>
      <c r="Q144" s="153">
        <f ca="1">OFFSET(card_type!$A$1,MATCH(card!B144,card_type!B:B,0)-1,0)</f>
        <v>1005</v>
      </c>
      <c r="R144" s="153">
        <v>1</v>
      </c>
      <c r="S144" s="157">
        <f ca="1">ROUND(IF(R144=0,0,IF(R144=1,X144*$S$1,IF(R144=2,X144*$S$1*buff的资质计算!$E$2,IF(R144=3,X144*$S$1*buff的资质计算!$E$3,0)))),0)*0</f>
        <v>0</v>
      </c>
      <c r="T144" s="153">
        <v>3</v>
      </c>
      <c r="U144" s="153">
        <f ca="1" t="shared" si="24"/>
        <v>12</v>
      </c>
      <c r="V144" s="153">
        <f ca="1">ROUND((OFFSET(卡牌辅助配置表!$O$1,MATCH(U144,卡牌辅助配置表!M:M,0)-1,0)+(N144-1)*OFFSET(卡牌辅助配置表!$P$1,MATCH(U144,卡牌辅助配置表!M:M,0)-1,0))*M144,2)</f>
        <v>30.4</v>
      </c>
      <c r="W144" s="157">
        <f ca="1">ROUND(IF(R144=0,0,IF(R144=1,X144*$W$1,IF(R144=2,X144*$W$1*buff的资质计算!$E$2,IF(R144=3,X144*$W$1*buff的资质计算!$E$3,0)))),2)</f>
        <v>9</v>
      </c>
      <c r="X144" s="157">
        <f ca="1" t="shared" si="25"/>
        <v>30</v>
      </c>
      <c r="Y144" s="157">
        <f ca="1" t="shared" si="26"/>
        <v>30</v>
      </c>
      <c r="Z144" s="304">
        <f ca="1" t="shared" si="27"/>
        <v>15</v>
      </c>
      <c r="AA144" s="304">
        <f ca="1">OFFSET(卡牌辅助配置表!$AD$1,MATCH(AB144,卡牌辅助配置表!AB:AB,0)-1,0)</f>
        <v>855</v>
      </c>
      <c r="AB144" s="304">
        <f ca="1" t="shared" si="28"/>
        <v>1219</v>
      </c>
      <c r="AC144" s="153">
        <v>3</v>
      </c>
      <c r="AE144" s="153">
        <v>1</v>
      </c>
      <c r="AF144" s="153" t="str">
        <f ca="1" t="shared" si="29"/>
        <v>10050011|</v>
      </c>
      <c r="AJ144" s="205" t="str">
        <f ca="1" t="shared" si="30"/>
        <v>301005|20|;400023|9450|;</v>
      </c>
      <c r="AK144" s="205">
        <f ca="1">OFFSET([1]item_type!$A$1,MATCH(Q144,[1]item_type!$G:$G,0)-1,0)</f>
        <v>301005</v>
      </c>
      <c r="AL144" s="205">
        <v>20</v>
      </c>
      <c r="AM144" s="205">
        <f ca="1">IF(B144=B145,OFFSET(卡牌辅助配置表!$AE$1,MATCH(AB144,卡牌辅助配置表!AB:AB,0),0),0)</f>
        <v>9450</v>
      </c>
      <c r="AN144" s="153">
        <f ca="1" t="shared" si="31"/>
        <v>1005020</v>
      </c>
      <c r="AP144" s="153" t="str">
        <f ca="1">IF(AC144=0,0,IF(AC144=12,0,OFFSET(effect!$N$1,MATCH(K144,effect!M:M,0)-1,0)))</f>
        <v>kpsx_pt</v>
      </c>
    </row>
    <row r="145" spans="1:42">
      <c r="A145" s="153">
        <f ca="1" t="shared" si="22"/>
        <v>1005020</v>
      </c>
      <c r="B145" s="91" t="s">
        <v>516</v>
      </c>
      <c r="C145" s="186">
        <v>1</v>
      </c>
      <c r="D145" s="186">
        <v>6</v>
      </c>
      <c r="E145" s="165" t="s">
        <v>1050</v>
      </c>
      <c r="F145" s="165" t="str">
        <f>"上一招为拳法时，增加"&amp;skill!$O$10/100&amp;"%伤害"</f>
        <v>上一招为拳法时，增加35%伤害</v>
      </c>
      <c r="G145" s="186">
        <f ca="1">OFFSET(卡牌辅助配置表!$C$1,MATCH(AC145,卡牌辅助配置表!A:A,0)-1,0)</f>
        <v>3</v>
      </c>
      <c r="H145" s="186">
        <f ca="1" t="shared" si="21"/>
        <v>0</v>
      </c>
      <c r="I145" s="186"/>
      <c r="J145" s="186">
        <f ca="1">OFFSET(card_type!$F$1,MATCH(Q145,card_type!A:A,0)-1,0)</f>
        <v>1</v>
      </c>
      <c r="K145" s="243">
        <f ca="1">OFFSET(card_type!$G$1,MATCH(Q145,card_type!A:A,0)-1,0)</f>
        <v>2</v>
      </c>
      <c r="L145" s="157">
        <v>2</v>
      </c>
      <c r="M145" s="157">
        <v>2</v>
      </c>
      <c r="N145" s="153">
        <f t="shared" si="23"/>
        <v>20</v>
      </c>
      <c r="O145" s="157"/>
      <c r="P145" s="157"/>
      <c r="Q145" s="153">
        <f ca="1">OFFSET(card_type!$A$1,MATCH(card!B145,card_type!B:B,0)-1,0)</f>
        <v>1005</v>
      </c>
      <c r="R145" s="153">
        <v>1</v>
      </c>
      <c r="S145" s="157">
        <f ca="1">ROUND(IF(R145=0,0,IF(R145=1,X145*$S$1,IF(R145=2,X145*$S$1*buff的资质计算!$E$2,IF(R145=3,X145*$S$1*buff的资质计算!$E$3,0)))),0)*0</f>
        <v>0</v>
      </c>
      <c r="T145" s="153">
        <v>3</v>
      </c>
      <c r="U145" s="153">
        <f ca="1" t="shared" si="24"/>
        <v>12</v>
      </c>
      <c r="V145" s="153">
        <f ca="1">ROUND((OFFSET(卡牌辅助配置表!$O$1,MATCH(U145,卡牌辅助配置表!M:M,0)-1,0)+(N145-1)*OFFSET(卡牌辅助配置表!$P$1,MATCH(U145,卡牌辅助配置表!M:M,0)-1,0))*M145,2)</f>
        <v>31.03</v>
      </c>
      <c r="W145" s="157">
        <f ca="1">ROUND(IF(R145=0,0,IF(R145=1,X145*$W$1,IF(R145=2,X145*$W$1*buff的资质计算!$E$2,IF(R145=3,X145*$W$1*buff的资质计算!$E$3,0)))),2)</f>
        <v>9.15</v>
      </c>
      <c r="X145" s="157">
        <f ca="1" t="shared" si="25"/>
        <v>30.5</v>
      </c>
      <c r="Y145" s="157">
        <f ca="1" t="shared" si="26"/>
        <v>30.5</v>
      </c>
      <c r="Z145" s="304">
        <f ca="1" t="shared" si="27"/>
        <v>15.25</v>
      </c>
      <c r="AA145" s="304">
        <f ca="1">OFFSET(卡牌辅助配置表!$AD$1,MATCH(AB145,卡牌辅助配置表!AB:AB,0)-1,0)</f>
        <v>910</v>
      </c>
      <c r="AB145" s="304">
        <f ca="1" t="shared" si="28"/>
        <v>1220</v>
      </c>
      <c r="AC145" s="153">
        <v>3</v>
      </c>
      <c r="AE145" s="153">
        <v>1</v>
      </c>
      <c r="AF145" s="153" t="str">
        <f ca="1" t="shared" si="29"/>
        <v>10050011|</v>
      </c>
      <c r="AJ145" s="205" t="str">
        <f ca="1" t="shared" si="30"/>
        <v>400023|10650|;</v>
      </c>
      <c r="AK145" s="205">
        <f ca="1">OFFSET([1]item_type!$A$1,MATCH(Q145,[1]item_type!$G:$G,0)-1,0)</f>
        <v>301005</v>
      </c>
      <c r="AL145" s="205"/>
      <c r="AM145" s="205">
        <f ca="1">IF(B145=B146,OFFSET(卡牌辅助配置表!$AE$1,MATCH(AB145,卡牌辅助配置表!AB:AB,0),0),0)</f>
        <v>10650</v>
      </c>
      <c r="AN145" s="153">
        <f ca="1" t="shared" si="31"/>
        <v>1005021</v>
      </c>
      <c r="AP145" s="153" t="str">
        <f ca="1">IF(AC145=0,0,IF(AC145=12,0,OFFSET(effect!$N$1,MATCH(K145,effect!M:M,0)-1,0)))</f>
        <v>kpsx_pt</v>
      </c>
    </row>
    <row r="146" spans="1:42">
      <c r="A146" s="153">
        <f ca="1" t="shared" si="22"/>
        <v>1005021</v>
      </c>
      <c r="B146" s="91" t="s">
        <v>516</v>
      </c>
      <c r="C146" s="186">
        <v>1</v>
      </c>
      <c r="D146" s="186">
        <v>6</v>
      </c>
      <c r="E146" s="165" t="s">
        <v>1050</v>
      </c>
      <c r="F146" s="165" t="str">
        <f>"上一招为拳法时，增加"&amp;skill!$O$10/100&amp;"%伤害"</f>
        <v>上一招为拳法时，增加35%伤害</v>
      </c>
      <c r="G146" s="186">
        <f ca="1">OFFSET(卡牌辅助配置表!$C$1,MATCH(AC146,卡牌辅助配置表!A:A,0)-1,0)</f>
        <v>3</v>
      </c>
      <c r="H146" s="186">
        <f ca="1" t="shared" si="21"/>
        <v>0</v>
      </c>
      <c r="I146" s="186"/>
      <c r="J146" s="186">
        <f ca="1">OFFSET(card_type!$F$1,MATCH(Q146,card_type!A:A,0)-1,0)</f>
        <v>1</v>
      </c>
      <c r="K146" s="243">
        <f ca="1">OFFSET(card_type!$G$1,MATCH(Q146,card_type!A:A,0)-1,0)</f>
        <v>2</v>
      </c>
      <c r="L146" s="157">
        <v>2</v>
      </c>
      <c r="M146" s="157">
        <v>2</v>
      </c>
      <c r="N146" s="153">
        <f t="shared" si="23"/>
        <v>21</v>
      </c>
      <c r="O146" s="157"/>
      <c r="P146" s="157"/>
      <c r="Q146" s="153">
        <f ca="1">OFFSET(card_type!$A$1,MATCH(card!B146,card_type!B:B,0)-1,0)</f>
        <v>1005</v>
      </c>
      <c r="R146" s="153">
        <v>1</v>
      </c>
      <c r="S146" s="157">
        <f ca="1">ROUND(IF(R146=0,0,IF(R146=1,X146*$S$1,IF(R146=2,X146*$S$1*buff的资质计算!$E$2,IF(R146=3,X146*$S$1*buff的资质计算!$E$3,0)))),0)*0</f>
        <v>0</v>
      </c>
      <c r="T146" s="153">
        <v>3</v>
      </c>
      <c r="U146" s="153">
        <f ca="1" t="shared" si="24"/>
        <v>12</v>
      </c>
      <c r="V146" s="153">
        <f ca="1">ROUND((OFFSET(卡牌辅助配置表!$O$1,MATCH(U146,卡牌辅助配置表!M:M,0)-1,0)+(N146-1)*OFFSET(卡牌辅助配置表!$P$1,MATCH(U146,卡牌辅助配置表!M:M,0)-1,0))*M146,2)</f>
        <v>31.67</v>
      </c>
      <c r="W146" s="157">
        <f ca="1">ROUND(IF(R146=0,0,IF(R146=1,X146*$W$1,IF(R146=2,X146*$W$1*buff的资质计算!$E$2,IF(R146=3,X146*$W$1*buff的资质计算!$E$3,0)))),2)</f>
        <v>9.3</v>
      </c>
      <c r="X146" s="157">
        <f ca="1" t="shared" si="25"/>
        <v>31</v>
      </c>
      <c r="Y146" s="157">
        <f ca="1" t="shared" si="26"/>
        <v>31</v>
      </c>
      <c r="Z146" s="304">
        <f ca="1" t="shared" si="27"/>
        <v>15.5</v>
      </c>
      <c r="AA146" s="304">
        <f ca="1">OFFSET(卡牌辅助配置表!$AD$1,MATCH(AB146,卡牌辅助配置表!AB:AB,0)-1,0)</f>
        <v>983</v>
      </c>
      <c r="AB146" s="304">
        <f ca="1" t="shared" si="28"/>
        <v>1221</v>
      </c>
      <c r="AC146" s="153">
        <v>3</v>
      </c>
      <c r="AE146" s="153">
        <v>1</v>
      </c>
      <c r="AF146" s="153" t="str">
        <f ca="1" t="shared" si="29"/>
        <v>10050011|</v>
      </c>
      <c r="AJ146" s="205" t="str">
        <f ca="1" t="shared" si="30"/>
        <v>400023|11850|;</v>
      </c>
      <c r="AK146" s="205">
        <f ca="1">OFFSET([1]item_type!$A$1,MATCH(Q146,[1]item_type!$G:$G,0)-1,0)</f>
        <v>301005</v>
      </c>
      <c r="AL146" s="205"/>
      <c r="AM146" s="205">
        <f ca="1">IF(B146=B147,OFFSET(卡牌辅助配置表!$AE$1,MATCH(AB146,卡牌辅助配置表!AB:AB,0),0),0)</f>
        <v>11850</v>
      </c>
      <c r="AN146" s="153">
        <f ca="1" t="shared" si="31"/>
        <v>1005022</v>
      </c>
      <c r="AP146" s="153" t="str">
        <f ca="1">IF(AC146=0,0,IF(AC146=12,0,OFFSET(effect!$N$1,MATCH(K146,effect!M:M,0)-1,0)))</f>
        <v>kpsx_pt</v>
      </c>
    </row>
    <row r="147" spans="1:42">
      <c r="A147" s="153">
        <f ca="1" t="shared" si="22"/>
        <v>1005022</v>
      </c>
      <c r="B147" s="91" t="s">
        <v>516</v>
      </c>
      <c r="C147" s="186">
        <v>1</v>
      </c>
      <c r="D147" s="186">
        <v>6</v>
      </c>
      <c r="E147" s="165" t="s">
        <v>1050</v>
      </c>
      <c r="F147" s="165" t="str">
        <f>"上一招为拳法时，增加"&amp;skill!$O$10/100&amp;"%伤害"</f>
        <v>上一招为拳法时，增加35%伤害</v>
      </c>
      <c r="G147" s="186">
        <f ca="1">OFFSET(卡牌辅助配置表!$C$1,MATCH(AC147,卡牌辅助配置表!A:A,0)-1,0)</f>
        <v>3</v>
      </c>
      <c r="H147" s="186">
        <f ca="1" t="shared" si="21"/>
        <v>0</v>
      </c>
      <c r="I147" s="186"/>
      <c r="J147" s="186">
        <f ca="1">OFFSET(card_type!$F$1,MATCH(Q147,card_type!A:A,0)-1,0)</f>
        <v>1</v>
      </c>
      <c r="K147" s="243">
        <f ca="1">OFFSET(card_type!$G$1,MATCH(Q147,card_type!A:A,0)-1,0)</f>
        <v>2</v>
      </c>
      <c r="L147" s="157">
        <v>2</v>
      </c>
      <c r="M147" s="157">
        <v>2</v>
      </c>
      <c r="N147" s="153">
        <f t="shared" si="23"/>
        <v>22</v>
      </c>
      <c r="O147" s="157"/>
      <c r="P147" s="157"/>
      <c r="Q147" s="153">
        <f ca="1">OFFSET(card_type!$A$1,MATCH(card!B147,card_type!B:B,0)-1,0)</f>
        <v>1005</v>
      </c>
      <c r="R147" s="153">
        <v>1</v>
      </c>
      <c r="S147" s="157">
        <f ca="1">ROUND(IF(R147=0,0,IF(R147=1,X147*$S$1,IF(R147=2,X147*$S$1*buff的资质计算!$E$2,IF(R147=3,X147*$S$1*buff的资质计算!$E$3,0)))),0)*0</f>
        <v>0</v>
      </c>
      <c r="T147" s="153">
        <v>3</v>
      </c>
      <c r="U147" s="153">
        <f ca="1" t="shared" si="24"/>
        <v>12</v>
      </c>
      <c r="V147" s="153">
        <f ca="1">ROUND((OFFSET(卡牌辅助配置表!$O$1,MATCH(U147,卡牌辅助配置表!M:M,0)-1,0)+(N147-1)*OFFSET(卡牌辅助配置表!$P$1,MATCH(U147,卡牌辅助配置表!M:M,0)-1,0))*M147,2)</f>
        <v>32.3</v>
      </c>
      <c r="W147" s="157">
        <f ca="1">ROUND(IF(R147=0,0,IF(R147=1,X147*$W$1,IF(R147=2,X147*$W$1*buff的资质计算!$E$2,IF(R147=3,X147*$W$1*buff的资质计算!$E$3,0)))),2)</f>
        <v>9.45</v>
      </c>
      <c r="X147" s="157">
        <f ca="1" t="shared" si="25"/>
        <v>31.5</v>
      </c>
      <c r="Y147" s="157">
        <f ca="1" t="shared" si="26"/>
        <v>31.5</v>
      </c>
      <c r="Z147" s="304">
        <f ca="1" t="shared" si="27"/>
        <v>15.75</v>
      </c>
      <c r="AA147" s="304">
        <f ca="1">OFFSET(卡牌辅助配置表!$AD$1,MATCH(AB147,卡牌辅助配置表!AB:AB,0)-1,0)</f>
        <v>1056</v>
      </c>
      <c r="AB147" s="304">
        <f ca="1" t="shared" si="28"/>
        <v>1222</v>
      </c>
      <c r="AC147" s="153">
        <v>3</v>
      </c>
      <c r="AE147" s="153">
        <v>1</v>
      </c>
      <c r="AF147" s="153" t="str">
        <f ca="1" t="shared" si="29"/>
        <v>10050011|</v>
      </c>
      <c r="AJ147" s="205" t="str">
        <f ca="1" t="shared" si="30"/>
        <v>400023|13050|;</v>
      </c>
      <c r="AK147" s="205">
        <f ca="1">OFFSET([1]item_type!$A$1,MATCH(Q147,[1]item_type!$G:$G,0)-1,0)</f>
        <v>301005</v>
      </c>
      <c r="AL147" s="205"/>
      <c r="AM147" s="205">
        <f ca="1">IF(B147=B148,OFFSET(卡牌辅助配置表!$AE$1,MATCH(AB147,卡牌辅助配置表!AB:AB,0),0),0)</f>
        <v>13050</v>
      </c>
      <c r="AN147" s="153">
        <f ca="1" t="shared" si="31"/>
        <v>1005023</v>
      </c>
      <c r="AP147" s="153" t="str">
        <f ca="1">IF(AC147=0,0,IF(AC147=12,0,OFFSET(effect!$N$1,MATCH(K147,effect!M:M,0)-1,0)))</f>
        <v>kpsx_pt</v>
      </c>
    </row>
    <row r="148" spans="1:42">
      <c r="A148" s="153">
        <f ca="1" t="shared" si="22"/>
        <v>1005023</v>
      </c>
      <c r="B148" s="91" t="s">
        <v>516</v>
      </c>
      <c r="C148" s="186">
        <v>1</v>
      </c>
      <c r="D148" s="186">
        <v>6</v>
      </c>
      <c r="E148" s="165" t="s">
        <v>1050</v>
      </c>
      <c r="F148" s="165" t="str">
        <f>"上一招为拳法时，增加"&amp;skill!$O$10/100&amp;"%伤害"</f>
        <v>上一招为拳法时，增加35%伤害</v>
      </c>
      <c r="G148" s="186">
        <f ca="1">OFFSET(卡牌辅助配置表!$C$1,MATCH(AC148,卡牌辅助配置表!A:A,0)-1,0)</f>
        <v>3</v>
      </c>
      <c r="H148" s="186">
        <f ca="1" t="shared" si="21"/>
        <v>0</v>
      </c>
      <c r="I148" s="186"/>
      <c r="J148" s="186">
        <f ca="1">OFFSET(card_type!$F$1,MATCH(Q148,card_type!A:A,0)-1,0)</f>
        <v>1</v>
      </c>
      <c r="K148" s="243">
        <f ca="1">OFFSET(card_type!$G$1,MATCH(Q148,card_type!A:A,0)-1,0)</f>
        <v>2</v>
      </c>
      <c r="L148" s="157">
        <v>2</v>
      </c>
      <c r="M148" s="157">
        <v>2</v>
      </c>
      <c r="N148" s="153">
        <f t="shared" si="23"/>
        <v>23</v>
      </c>
      <c r="O148" s="157"/>
      <c r="P148" s="157"/>
      <c r="Q148" s="153">
        <f ca="1">OFFSET(card_type!$A$1,MATCH(card!B148,card_type!B:B,0)-1,0)</f>
        <v>1005</v>
      </c>
      <c r="R148" s="153">
        <v>1</v>
      </c>
      <c r="S148" s="157">
        <f ca="1">ROUND(IF(R148=0,0,IF(R148=1,X148*$S$1,IF(R148=2,X148*$S$1*buff的资质计算!$E$2,IF(R148=3,X148*$S$1*buff的资质计算!$E$3,0)))),0)*0</f>
        <v>0</v>
      </c>
      <c r="T148" s="153">
        <v>3</v>
      </c>
      <c r="U148" s="153">
        <f ca="1" t="shared" si="24"/>
        <v>12</v>
      </c>
      <c r="V148" s="153">
        <f ca="1">ROUND((OFFSET(卡牌辅助配置表!$O$1,MATCH(U148,卡牌辅助配置表!M:M,0)-1,0)+(N148-1)*OFFSET(卡牌辅助配置表!$P$1,MATCH(U148,卡牌辅助配置表!M:M,0)-1,0))*M148,2)</f>
        <v>32.93</v>
      </c>
      <c r="W148" s="157">
        <f ca="1">ROUND(IF(R148=0,0,IF(R148=1,X148*$W$1,IF(R148=2,X148*$W$1*buff的资质计算!$E$2,IF(R148=3,X148*$W$1*buff的资质计算!$E$3,0)))),2)</f>
        <v>9.6</v>
      </c>
      <c r="X148" s="157">
        <f ca="1" t="shared" si="25"/>
        <v>32</v>
      </c>
      <c r="Y148" s="157">
        <f ca="1" t="shared" si="26"/>
        <v>32</v>
      </c>
      <c r="Z148" s="304">
        <f ca="1" t="shared" si="27"/>
        <v>16</v>
      </c>
      <c r="AA148" s="304">
        <f ca="1">OFFSET(卡牌辅助配置表!$AD$1,MATCH(AB148,卡牌辅助配置表!AB:AB,0)-1,0)</f>
        <v>1129</v>
      </c>
      <c r="AB148" s="304">
        <f ca="1" t="shared" si="28"/>
        <v>1223</v>
      </c>
      <c r="AC148" s="153">
        <v>3</v>
      </c>
      <c r="AE148" s="153">
        <v>1</v>
      </c>
      <c r="AF148" s="153" t="str">
        <f ca="1" t="shared" si="29"/>
        <v>10050011|</v>
      </c>
      <c r="AJ148" s="205" t="str">
        <f ca="1" t="shared" si="30"/>
        <v>400023|14250|;</v>
      </c>
      <c r="AK148" s="205">
        <f ca="1">OFFSET([1]item_type!$A$1,MATCH(Q148,[1]item_type!$G:$G,0)-1,0)</f>
        <v>301005</v>
      </c>
      <c r="AL148" s="205"/>
      <c r="AM148" s="205">
        <f ca="1">IF(B148=B149,OFFSET(卡牌辅助配置表!$AE$1,MATCH(AB148,卡牌辅助配置表!AB:AB,0),0),0)</f>
        <v>14250</v>
      </c>
      <c r="AN148" s="153">
        <f ca="1" t="shared" si="31"/>
        <v>1005024</v>
      </c>
      <c r="AP148" s="153" t="str">
        <f ca="1">IF(AC148=0,0,IF(AC148=12,0,OFFSET(effect!$N$1,MATCH(K148,effect!M:M,0)-1,0)))</f>
        <v>kpsx_pt</v>
      </c>
    </row>
    <row r="149" spans="1:42">
      <c r="A149" s="153">
        <f ca="1" t="shared" si="22"/>
        <v>1005024</v>
      </c>
      <c r="B149" s="91" t="s">
        <v>516</v>
      </c>
      <c r="C149" s="186">
        <v>1</v>
      </c>
      <c r="D149" s="186">
        <v>6</v>
      </c>
      <c r="E149" s="165" t="s">
        <v>1050</v>
      </c>
      <c r="F149" s="165" t="str">
        <f>"上一招为拳法时，增加"&amp;skill!$O$10/100&amp;"%伤害"</f>
        <v>上一招为拳法时，增加35%伤害</v>
      </c>
      <c r="G149" s="186">
        <f ca="1">OFFSET(卡牌辅助配置表!$C$1,MATCH(AC149,卡牌辅助配置表!A:A,0)-1,0)</f>
        <v>3</v>
      </c>
      <c r="H149" s="186">
        <f ca="1" t="shared" si="21"/>
        <v>0</v>
      </c>
      <c r="I149" s="186"/>
      <c r="J149" s="186">
        <f ca="1">OFFSET(card_type!$F$1,MATCH(Q149,card_type!A:A,0)-1,0)</f>
        <v>1</v>
      </c>
      <c r="K149" s="243">
        <f ca="1">OFFSET(card_type!$G$1,MATCH(Q149,card_type!A:A,0)-1,0)</f>
        <v>2</v>
      </c>
      <c r="L149" s="157">
        <v>2</v>
      </c>
      <c r="M149" s="157">
        <v>2</v>
      </c>
      <c r="N149" s="153">
        <f t="shared" si="23"/>
        <v>24</v>
      </c>
      <c r="O149" s="157"/>
      <c r="P149" s="157"/>
      <c r="Q149" s="153">
        <f ca="1">OFFSET(card_type!$A$1,MATCH(card!B149,card_type!B:B,0)-1,0)</f>
        <v>1005</v>
      </c>
      <c r="R149" s="153">
        <v>1</v>
      </c>
      <c r="S149" s="157">
        <f ca="1">ROUND(IF(R149=0,0,IF(R149=1,X149*$S$1,IF(R149=2,X149*$S$1*buff的资质计算!$E$2,IF(R149=3,X149*$S$1*buff的资质计算!$E$3,0)))),0)*0</f>
        <v>0</v>
      </c>
      <c r="T149" s="153">
        <v>3</v>
      </c>
      <c r="U149" s="153">
        <f ca="1" t="shared" si="24"/>
        <v>12</v>
      </c>
      <c r="V149" s="153">
        <f ca="1">ROUND((OFFSET(卡牌辅助配置表!$O$1,MATCH(U149,卡牌辅助配置表!M:M,0)-1,0)+(N149-1)*OFFSET(卡牌辅助配置表!$P$1,MATCH(U149,卡牌辅助配置表!M:M,0)-1,0))*M149,2)</f>
        <v>33.57</v>
      </c>
      <c r="W149" s="157">
        <f ca="1">ROUND(IF(R149=0,0,IF(R149=1,X149*$W$1,IF(R149=2,X149*$W$1*buff的资质计算!$E$2,IF(R149=3,X149*$W$1*buff的资质计算!$E$3,0)))),2)</f>
        <v>9.75</v>
      </c>
      <c r="X149" s="157">
        <f ca="1" t="shared" si="25"/>
        <v>32.5</v>
      </c>
      <c r="Y149" s="157">
        <f ca="1" t="shared" si="26"/>
        <v>32.5</v>
      </c>
      <c r="Z149" s="304">
        <f ca="1" t="shared" si="27"/>
        <v>16.25</v>
      </c>
      <c r="AA149" s="304">
        <f ca="1">OFFSET(卡牌辅助配置表!$AD$1,MATCH(AB149,卡牌辅助配置表!AB:AB,0)-1,0)</f>
        <v>1202</v>
      </c>
      <c r="AB149" s="304">
        <f ca="1" t="shared" si="28"/>
        <v>1224</v>
      </c>
      <c r="AC149" s="153">
        <v>3</v>
      </c>
      <c r="AE149" s="153">
        <v>1</v>
      </c>
      <c r="AF149" s="153" t="str">
        <f ca="1" t="shared" si="29"/>
        <v>10050011|</v>
      </c>
      <c r="AJ149" s="205" t="str">
        <f ca="1" t="shared" si="30"/>
        <v>400023|15450|;</v>
      </c>
      <c r="AK149" s="205">
        <f ca="1">OFFSET([1]item_type!$A$1,MATCH(Q149,[1]item_type!$G:$G,0)-1,0)</f>
        <v>301005</v>
      </c>
      <c r="AL149" s="205"/>
      <c r="AM149" s="205">
        <f ca="1">IF(B149=B150,OFFSET(卡牌辅助配置表!$AE$1,MATCH(AB149,卡牌辅助配置表!AB:AB,0),0),0)</f>
        <v>15450</v>
      </c>
      <c r="AN149" s="153">
        <f ca="1" t="shared" si="31"/>
        <v>1005025</v>
      </c>
      <c r="AP149" s="153" t="str">
        <f ca="1">IF(AC149=0,0,IF(AC149=12,0,OFFSET(effect!$N$1,MATCH(K149,effect!M:M,0)-1,0)))</f>
        <v>kpsx_pt</v>
      </c>
    </row>
    <row r="150" spans="1:42">
      <c r="A150" s="153">
        <f ca="1" t="shared" si="22"/>
        <v>1005025</v>
      </c>
      <c r="B150" s="91" t="s">
        <v>516</v>
      </c>
      <c r="C150" s="186">
        <v>1</v>
      </c>
      <c r="D150" s="186">
        <v>6</v>
      </c>
      <c r="E150" s="165" t="s">
        <v>1050</v>
      </c>
      <c r="F150" s="165" t="str">
        <f>"上一招为拳法时，增加"&amp;skill!$O$10/100&amp;"%伤害"</f>
        <v>上一招为拳法时，增加35%伤害</v>
      </c>
      <c r="G150" s="186">
        <f ca="1">OFFSET(卡牌辅助配置表!$C$1,MATCH(AC150,卡牌辅助配置表!A:A,0)-1,0)</f>
        <v>3</v>
      </c>
      <c r="H150" s="186">
        <f ca="1" t="shared" si="21"/>
        <v>0</v>
      </c>
      <c r="I150" s="186"/>
      <c r="J150" s="186">
        <f ca="1">OFFSET(card_type!$F$1,MATCH(Q150,card_type!A:A,0)-1,0)</f>
        <v>1</v>
      </c>
      <c r="K150" s="243">
        <f ca="1">OFFSET(card_type!$G$1,MATCH(Q150,card_type!A:A,0)-1,0)</f>
        <v>2</v>
      </c>
      <c r="L150" s="157">
        <v>2</v>
      </c>
      <c r="M150" s="157">
        <v>2</v>
      </c>
      <c r="N150" s="153">
        <f t="shared" si="23"/>
        <v>25</v>
      </c>
      <c r="O150" s="157"/>
      <c r="P150" s="157"/>
      <c r="Q150" s="153">
        <f ca="1">OFFSET(card_type!$A$1,MATCH(card!B150,card_type!B:B,0)-1,0)</f>
        <v>1005</v>
      </c>
      <c r="R150" s="153">
        <v>1</v>
      </c>
      <c r="S150" s="157">
        <f ca="1">ROUND(IF(R150=0,0,IF(R150=1,X150*$S$1,IF(R150=2,X150*$S$1*buff的资质计算!$E$2,IF(R150=3,X150*$S$1*buff的资质计算!$E$3,0)))),0)*0</f>
        <v>0</v>
      </c>
      <c r="T150" s="153">
        <v>3</v>
      </c>
      <c r="U150" s="153">
        <f ca="1" t="shared" si="24"/>
        <v>12</v>
      </c>
      <c r="V150" s="153">
        <f ca="1">ROUND((OFFSET(卡牌辅助配置表!$O$1,MATCH(U150,卡牌辅助配置表!M:M,0)-1,0)+(N150-1)*OFFSET(卡牌辅助配置表!$P$1,MATCH(U150,卡牌辅助配置表!M:M,0)-1,0))*M150,2)</f>
        <v>34.2</v>
      </c>
      <c r="W150" s="157">
        <f ca="1">ROUND(IF(R150=0,0,IF(R150=1,X150*$W$1,IF(R150=2,X150*$W$1*buff的资质计算!$E$2,IF(R150=3,X150*$W$1*buff的资质计算!$E$3,0)))),2)</f>
        <v>9.9</v>
      </c>
      <c r="X150" s="157">
        <f ca="1" t="shared" si="25"/>
        <v>33</v>
      </c>
      <c r="Y150" s="157">
        <f ca="1" t="shared" si="26"/>
        <v>33</v>
      </c>
      <c r="Z150" s="304">
        <f ca="1" t="shared" si="27"/>
        <v>16.5</v>
      </c>
      <c r="AA150" s="304">
        <f ca="1">OFFSET(卡牌辅助配置表!$AD$1,MATCH(AB150,卡牌辅助配置表!AB:AB,0)-1,0)</f>
        <v>1275</v>
      </c>
      <c r="AB150" s="304">
        <f ca="1" t="shared" si="28"/>
        <v>1225</v>
      </c>
      <c r="AC150" s="153">
        <v>3</v>
      </c>
      <c r="AE150" s="153">
        <v>1</v>
      </c>
      <c r="AF150" s="153" t="str">
        <f ca="1" t="shared" si="29"/>
        <v>10050011|</v>
      </c>
      <c r="AJ150" s="205" t="str">
        <f ca="1" t="shared" si="30"/>
        <v>400023|16650|;</v>
      </c>
      <c r="AK150" s="205">
        <f ca="1">OFFSET([1]item_type!$A$1,MATCH(Q150,[1]item_type!$G:$G,0)-1,0)</f>
        <v>301005</v>
      </c>
      <c r="AL150" s="205"/>
      <c r="AM150" s="205">
        <f ca="1">IF(B150=B151,OFFSET(卡牌辅助配置表!$AE$1,MATCH(AB150,卡牌辅助配置表!AB:AB,0),0),0)</f>
        <v>16650</v>
      </c>
      <c r="AN150" s="153">
        <f ca="1" t="shared" si="31"/>
        <v>1005026</v>
      </c>
      <c r="AP150" s="153" t="str">
        <f ca="1">IF(AC150=0,0,IF(AC150=12,0,OFFSET(effect!$N$1,MATCH(K150,effect!M:M,0)-1,0)))</f>
        <v>kpsx_pt</v>
      </c>
    </row>
    <row r="151" spans="1:42">
      <c r="A151" s="153">
        <f ca="1" t="shared" si="22"/>
        <v>1005026</v>
      </c>
      <c r="B151" s="91" t="s">
        <v>516</v>
      </c>
      <c r="C151" s="186">
        <v>1</v>
      </c>
      <c r="D151" s="186">
        <v>6</v>
      </c>
      <c r="E151" s="165" t="s">
        <v>1050</v>
      </c>
      <c r="F151" s="165" t="str">
        <f>"上一招为拳法时，增加"&amp;skill!$O$10/100&amp;"%伤害"</f>
        <v>上一招为拳法时，增加35%伤害</v>
      </c>
      <c r="G151" s="186">
        <f ca="1">OFFSET(卡牌辅助配置表!$C$1,MATCH(AC151,卡牌辅助配置表!A:A,0)-1,0)</f>
        <v>3</v>
      </c>
      <c r="H151" s="186">
        <f ca="1" t="shared" si="21"/>
        <v>0</v>
      </c>
      <c r="I151" s="186"/>
      <c r="J151" s="186">
        <f ca="1">OFFSET(card_type!$F$1,MATCH(Q151,card_type!A:A,0)-1,0)</f>
        <v>1</v>
      </c>
      <c r="K151" s="243">
        <f ca="1">OFFSET(card_type!$G$1,MATCH(Q151,card_type!A:A,0)-1,0)</f>
        <v>2</v>
      </c>
      <c r="L151" s="157">
        <v>2</v>
      </c>
      <c r="M151" s="157">
        <v>2</v>
      </c>
      <c r="N151" s="153">
        <f t="shared" si="23"/>
        <v>26</v>
      </c>
      <c r="O151" s="157"/>
      <c r="P151" s="157"/>
      <c r="Q151" s="153">
        <f ca="1">OFFSET(card_type!$A$1,MATCH(card!B151,card_type!B:B,0)-1,0)</f>
        <v>1005</v>
      </c>
      <c r="R151" s="153">
        <v>1</v>
      </c>
      <c r="S151" s="157">
        <f ca="1">ROUND(IF(R151=0,0,IF(R151=1,X151*$S$1,IF(R151=2,X151*$S$1*buff的资质计算!$E$2,IF(R151=3,X151*$S$1*buff的资质计算!$E$3,0)))),0)*0</f>
        <v>0</v>
      </c>
      <c r="T151" s="153">
        <v>3</v>
      </c>
      <c r="U151" s="153">
        <f ca="1" t="shared" si="24"/>
        <v>12</v>
      </c>
      <c r="V151" s="153">
        <f ca="1">ROUND((OFFSET(卡牌辅助配置表!$O$1,MATCH(U151,卡牌辅助配置表!M:M,0)-1,0)+(N151-1)*OFFSET(卡牌辅助配置表!$P$1,MATCH(U151,卡牌辅助配置表!M:M,0)-1,0))*M151,2)</f>
        <v>34.83</v>
      </c>
      <c r="W151" s="157">
        <f ca="1">ROUND(IF(R151=0,0,IF(R151=1,X151*$W$1,IF(R151=2,X151*$W$1*buff的资质计算!$E$2,IF(R151=3,X151*$W$1*buff的资质计算!$E$3,0)))),2)</f>
        <v>10.05</v>
      </c>
      <c r="X151" s="157">
        <f ca="1" t="shared" si="25"/>
        <v>33.5</v>
      </c>
      <c r="Y151" s="157">
        <f ca="1" t="shared" si="26"/>
        <v>33.5</v>
      </c>
      <c r="Z151" s="304">
        <f ca="1" t="shared" si="27"/>
        <v>16.75</v>
      </c>
      <c r="AA151" s="304">
        <f ca="1">OFFSET(卡牌辅助配置表!$AD$1,MATCH(AB151,卡牌辅助配置表!AB:AB,0)-1,0)</f>
        <v>1348</v>
      </c>
      <c r="AB151" s="304">
        <f ca="1" t="shared" si="28"/>
        <v>1226</v>
      </c>
      <c r="AC151" s="153">
        <v>3</v>
      </c>
      <c r="AE151" s="153">
        <v>1</v>
      </c>
      <c r="AF151" s="153" t="str">
        <f ca="1" t="shared" si="29"/>
        <v>10050011|</v>
      </c>
      <c r="AJ151" s="205" t="str">
        <f ca="1" t="shared" si="30"/>
        <v>400023|17850|;</v>
      </c>
      <c r="AK151" s="205">
        <f ca="1">OFFSET([1]item_type!$A$1,MATCH(Q151,[1]item_type!$G:$G,0)-1,0)</f>
        <v>301005</v>
      </c>
      <c r="AL151" s="205"/>
      <c r="AM151" s="205">
        <f ca="1">IF(B151=B152,OFFSET(卡牌辅助配置表!$AE$1,MATCH(AB151,卡牌辅助配置表!AB:AB,0),0),0)</f>
        <v>17850</v>
      </c>
      <c r="AN151" s="153">
        <f ca="1" t="shared" si="31"/>
        <v>1005027</v>
      </c>
      <c r="AP151" s="153" t="str">
        <f ca="1">IF(AC151=0,0,IF(AC151=12,0,OFFSET(effect!$N$1,MATCH(K151,effect!M:M,0)-1,0)))</f>
        <v>kpsx_pt</v>
      </c>
    </row>
    <row r="152" spans="1:42">
      <c r="A152" s="153">
        <f ca="1" t="shared" si="22"/>
        <v>1005027</v>
      </c>
      <c r="B152" s="91" t="s">
        <v>516</v>
      </c>
      <c r="C152" s="186">
        <v>1</v>
      </c>
      <c r="D152" s="186">
        <v>6</v>
      </c>
      <c r="E152" s="165" t="s">
        <v>1050</v>
      </c>
      <c r="F152" s="165" t="str">
        <f>"上一招为拳法时，增加"&amp;skill!$O$10/100&amp;"%伤害"</f>
        <v>上一招为拳法时，增加35%伤害</v>
      </c>
      <c r="G152" s="186">
        <f ca="1">OFFSET(卡牌辅助配置表!$C$1,MATCH(AC152,卡牌辅助配置表!A:A,0)-1,0)</f>
        <v>3</v>
      </c>
      <c r="H152" s="186">
        <f ca="1" t="shared" si="21"/>
        <v>0</v>
      </c>
      <c r="I152" s="186"/>
      <c r="J152" s="186">
        <f ca="1">OFFSET(card_type!$F$1,MATCH(Q152,card_type!A:A,0)-1,0)</f>
        <v>1</v>
      </c>
      <c r="K152" s="243">
        <f ca="1">OFFSET(card_type!$G$1,MATCH(Q152,card_type!A:A,0)-1,0)</f>
        <v>2</v>
      </c>
      <c r="L152" s="157">
        <v>2</v>
      </c>
      <c r="M152" s="157">
        <v>2</v>
      </c>
      <c r="N152" s="153">
        <f t="shared" si="23"/>
        <v>27</v>
      </c>
      <c r="O152" s="157"/>
      <c r="P152" s="157"/>
      <c r="Q152" s="153">
        <f ca="1">OFFSET(card_type!$A$1,MATCH(card!B152,card_type!B:B,0)-1,0)</f>
        <v>1005</v>
      </c>
      <c r="R152" s="153">
        <v>1</v>
      </c>
      <c r="S152" s="157">
        <f ca="1">ROUND(IF(R152=0,0,IF(R152=1,X152*$S$1,IF(R152=2,X152*$S$1*buff的资质计算!$E$2,IF(R152=3,X152*$S$1*buff的资质计算!$E$3,0)))),0)*0</f>
        <v>0</v>
      </c>
      <c r="T152" s="153">
        <v>3</v>
      </c>
      <c r="U152" s="153">
        <f ca="1" t="shared" si="24"/>
        <v>12</v>
      </c>
      <c r="V152" s="153">
        <f ca="1">ROUND((OFFSET(卡牌辅助配置表!$O$1,MATCH(U152,卡牌辅助配置表!M:M,0)-1,0)+(N152-1)*OFFSET(卡牌辅助配置表!$P$1,MATCH(U152,卡牌辅助配置表!M:M,0)-1,0))*M152,2)</f>
        <v>35.47</v>
      </c>
      <c r="W152" s="157">
        <f ca="1">ROUND(IF(R152=0,0,IF(R152=1,X152*$W$1,IF(R152=2,X152*$W$1*buff的资质计算!$E$2,IF(R152=3,X152*$W$1*buff的资质计算!$E$3,0)))),2)</f>
        <v>10.2</v>
      </c>
      <c r="X152" s="157">
        <f ca="1" t="shared" si="25"/>
        <v>34</v>
      </c>
      <c r="Y152" s="157">
        <f ca="1" t="shared" si="26"/>
        <v>34</v>
      </c>
      <c r="Z152" s="304">
        <f ca="1" t="shared" si="27"/>
        <v>17</v>
      </c>
      <c r="AA152" s="304">
        <f ca="1">OFFSET(卡牌辅助配置表!$AD$1,MATCH(AB152,卡牌辅助配置表!AB:AB,0)-1,0)</f>
        <v>1421</v>
      </c>
      <c r="AB152" s="304">
        <f ca="1" t="shared" si="28"/>
        <v>1227</v>
      </c>
      <c r="AC152" s="153">
        <v>3</v>
      </c>
      <c r="AE152" s="153">
        <v>1</v>
      </c>
      <c r="AF152" s="153" t="str">
        <f ca="1" t="shared" si="29"/>
        <v>10050011|</v>
      </c>
      <c r="AJ152" s="205" t="str">
        <f ca="1" t="shared" si="30"/>
        <v>400023|19050|;</v>
      </c>
      <c r="AK152" s="205">
        <f ca="1">OFFSET([1]item_type!$A$1,MATCH(Q152,[1]item_type!$G:$G,0)-1,0)</f>
        <v>301005</v>
      </c>
      <c r="AL152" s="205"/>
      <c r="AM152" s="205">
        <f ca="1">IF(B152=B153,OFFSET(卡牌辅助配置表!$AE$1,MATCH(AB152,卡牌辅助配置表!AB:AB,0),0),0)</f>
        <v>19050</v>
      </c>
      <c r="AN152" s="153">
        <f ca="1" t="shared" si="31"/>
        <v>1005028</v>
      </c>
      <c r="AP152" s="153" t="str">
        <f ca="1">IF(AC152=0,0,IF(AC152=12,0,OFFSET(effect!$N$1,MATCH(K152,effect!M:M,0)-1,0)))</f>
        <v>kpsx_pt</v>
      </c>
    </row>
    <row r="153" spans="1:42">
      <c r="A153" s="153">
        <f ca="1" t="shared" si="22"/>
        <v>1005028</v>
      </c>
      <c r="B153" s="91" t="s">
        <v>516</v>
      </c>
      <c r="C153" s="186">
        <v>1</v>
      </c>
      <c r="D153" s="186">
        <v>6</v>
      </c>
      <c r="E153" s="165" t="s">
        <v>1050</v>
      </c>
      <c r="F153" s="165" t="str">
        <f>"上一招为拳法时，增加"&amp;skill!$O$10/100&amp;"%伤害"</f>
        <v>上一招为拳法时，增加35%伤害</v>
      </c>
      <c r="G153" s="186">
        <f ca="1">OFFSET(卡牌辅助配置表!$C$1,MATCH(AC153,卡牌辅助配置表!A:A,0)-1,0)</f>
        <v>3</v>
      </c>
      <c r="H153" s="186">
        <f ca="1" t="shared" si="21"/>
        <v>0</v>
      </c>
      <c r="I153" s="186"/>
      <c r="J153" s="186">
        <f ca="1">OFFSET(card_type!$F$1,MATCH(Q153,card_type!A:A,0)-1,0)</f>
        <v>1</v>
      </c>
      <c r="K153" s="243">
        <f ca="1">OFFSET(card_type!$G$1,MATCH(Q153,card_type!A:A,0)-1,0)</f>
        <v>2</v>
      </c>
      <c r="L153" s="157">
        <v>2</v>
      </c>
      <c r="M153" s="157">
        <v>2</v>
      </c>
      <c r="N153" s="153">
        <f t="shared" si="23"/>
        <v>28</v>
      </c>
      <c r="O153" s="157"/>
      <c r="P153" s="157"/>
      <c r="Q153" s="153">
        <f ca="1">OFFSET(card_type!$A$1,MATCH(card!B153,card_type!B:B,0)-1,0)</f>
        <v>1005</v>
      </c>
      <c r="R153" s="153">
        <v>1</v>
      </c>
      <c r="S153" s="157">
        <f ca="1">ROUND(IF(R153=0,0,IF(R153=1,X153*$S$1,IF(R153=2,X153*$S$1*buff的资质计算!$E$2,IF(R153=3,X153*$S$1*buff的资质计算!$E$3,0)))),0)*0</f>
        <v>0</v>
      </c>
      <c r="T153" s="153">
        <v>3</v>
      </c>
      <c r="U153" s="153">
        <f ca="1" t="shared" si="24"/>
        <v>12</v>
      </c>
      <c r="V153" s="153">
        <f ca="1">ROUND((OFFSET(卡牌辅助配置表!$O$1,MATCH(U153,卡牌辅助配置表!M:M,0)-1,0)+(N153-1)*OFFSET(卡牌辅助配置表!$P$1,MATCH(U153,卡牌辅助配置表!M:M,0)-1,0))*M153,2)</f>
        <v>36.1</v>
      </c>
      <c r="W153" s="157">
        <f ca="1">ROUND(IF(R153=0,0,IF(R153=1,X153*$W$1,IF(R153=2,X153*$W$1*buff的资质计算!$E$2,IF(R153=3,X153*$W$1*buff的资质计算!$E$3,0)))),2)</f>
        <v>10.35</v>
      </c>
      <c r="X153" s="157">
        <f ca="1" t="shared" si="25"/>
        <v>34.5</v>
      </c>
      <c r="Y153" s="157">
        <f ca="1" t="shared" si="26"/>
        <v>34.5</v>
      </c>
      <c r="Z153" s="304">
        <f ca="1" t="shared" si="27"/>
        <v>17.25</v>
      </c>
      <c r="AA153" s="304">
        <f ca="1">OFFSET(卡牌辅助配置表!$AD$1,MATCH(AB153,卡牌辅助配置表!AB:AB,0)-1,0)</f>
        <v>1494</v>
      </c>
      <c r="AB153" s="304">
        <f ca="1" t="shared" si="28"/>
        <v>1228</v>
      </c>
      <c r="AC153" s="153">
        <v>3</v>
      </c>
      <c r="AE153" s="153">
        <v>1</v>
      </c>
      <c r="AF153" s="153" t="str">
        <f ca="1" t="shared" si="29"/>
        <v>10050011|</v>
      </c>
      <c r="AJ153" s="205" t="str">
        <f ca="1" t="shared" si="30"/>
        <v>400023|20250|;</v>
      </c>
      <c r="AK153" s="205">
        <f ca="1">OFFSET([1]item_type!$A$1,MATCH(Q153,[1]item_type!$G:$G,0)-1,0)</f>
        <v>301005</v>
      </c>
      <c r="AL153" s="205"/>
      <c r="AM153" s="205">
        <f ca="1">IF(B153=B154,OFFSET(卡牌辅助配置表!$AE$1,MATCH(AB153,卡牌辅助配置表!AB:AB,0),0),0)</f>
        <v>20250</v>
      </c>
      <c r="AN153" s="153">
        <f ca="1" t="shared" si="31"/>
        <v>1005029</v>
      </c>
      <c r="AP153" s="153" t="str">
        <f ca="1">IF(AC153=0,0,IF(AC153=12,0,OFFSET(effect!$N$1,MATCH(K153,effect!M:M,0)-1,0)))</f>
        <v>kpsx_pt</v>
      </c>
    </row>
    <row r="154" spans="1:42">
      <c r="A154" s="153">
        <f ca="1" t="shared" si="22"/>
        <v>1005029</v>
      </c>
      <c r="B154" s="91" t="s">
        <v>516</v>
      </c>
      <c r="C154" s="186">
        <v>1</v>
      </c>
      <c r="D154" s="186">
        <v>6</v>
      </c>
      <c r="E154" s="165" t="s">
        <v>1050</v>
      </c>
      <c r="F154" s="165" t="str">
        <f>"上一招为拳法时，增加"&amp;skill!$O$10/100&amp;"%伤害"</f>
        <v>上一招为拳法时，增加35%伤害</v>
      </c>
      <c r="G154" s="186">
        <f ca="1">OFFSET(卡牌辅助配置表!$C$1,MATCH(AC154,卡牌辅助配置表!A:A,0)-1,0)</f>
        <v>3</v>
      </c>
      <c r="H154" s="186">
        <f ca="1" t="shared" si="21"/>
        <v>0</v>
      </c>
      <c r="I154" s="186"/>
      <c r="J154" s="186">
        <f ca="1">OFFSET(card_type!$F$1,MATCH(Q154,card_type!A:A,0)-1,0)</f>
        <v>1</v>
      </c>
      <c r="K154" s="243">
        <f ca="1">OFFSET(card_type!$G$1,MATCH(Q154,card_type!A:A,0)-1,0)</f>
        <v>2</v>
      </c>
      <c r="L154" s="157">
        <v>2</v>
      </c>
      <c r="M154" s="157">
        <v>2</v>
      </c>
      <c r="N154" s="153">
        <f t="shared" si="23"/>
        <v>29</v>
      </c>
      <c r="O154" s="157"/>
      <c r="P154" s="157"/>
      <c r="Q154" s="153">
        <f ca="1">OFFSET(card_type!$A$1,MATCH(card!B154,card_type!B:B,0)-1,0)</f>
        <v>1005</v>
      </c>
      <c r="R154" s="153">
        <v>1</v>
      </c>
      <c r="S154" s="157">
        <f ca="1">ROUND(IF(R154=0,0,IF(R154=1,X154*$S$1,IF(R154=2,X154*$S$1*buff的资质计算!$E$2,IF(R154=3,X154*$S$1*buff的资质计算!$E$3,0)))),0)*0</f>
        <v>0</v>
      </c>
      <c r="T154" s="153">
        <v>3</v>
      </c>
      <c r="U154" s="153">
        <f ca="1" t="shared" si="24"/>
        <v>12</v>
      </c>
      <c r="V154" s="153">
        <f ca="1">ROUND((OFFSET(卡牌辅助配置表!$O$1,MATCH(U154,卡牌辅助配置表!M:M,0)-1,0)+(N154-1)*OFFSET(卡牌辅助配置表!$P$1,MATCH(U154,卡牌辅助配置表!M:M,0)-1,0))*M154,2)</f>
        <v>36.73</v>
      </c>
      <c r="W154" s="157">
        <f ca="1">ROUND(IF(R154=0,0,IF(R154=1,X154*$W$1,IF(R154=2,X154*$W$1*buff的资质计算!$E$2,IF(R154=3,X154*$W$1*buff的资质计算!$E$3,0)))),2)</f>
        <v>10.5</v>
      </c>
      <c r="X154" s="157">
        <f ca="1" t="shared" si="25"/>
        <v>35</v>
      </c>
      <c r="Y154" s="157">
        <f ca="1" t="shared" si="26"/>
        <v>35</v>
      </c>
      <c r="Z154" s="304">
        <f ca="1" t="shared" si="27"/>
        <v>17.5</v>
      </c>
      <c r="AA154" s="304">
        <f ca="1">OFFSET(卡牌辅助配置表!$AD$1,MATCH(AB154,卡牌辅助配置表!AB:AB,0)-1,0)</f>
        <v>1567</v>
      </c>
      <c r="AB154" s="304">
        <f ca="1" t="shared" si="28"/>
        <v>1229</v>
      </c>
      <c r="AC154" s="153">
        <v>3</v>
      </c>
      <c r="AE154" s="153">
        <v>1</v>
      </c>
      <c r="AF154" s="153" t="str">
        <f ca="1" t="shared" si="29"/>
        <v>10050011|</v>
      </c>
      <c r="AJ154" s="205" t="str">
        <f ca="1" t="shared" si="30"/>
        <v>301005|30|;400023|21450|;</v>
      </c>
      <c r="AK154" s="205">
        <f ca="1">OFFSET([1]item_type!$A$1,MATCH(Q154,[1]item_type!$G:$G,0)-1,0)</f>
        <v>301005</v>
      </c>
      <c r="AL154" s="205">
        <v>30</v>
      </c>
      <c r="AM154" s="205">
        <f ca="1">IF(B154=B155,OFFSET(卡牌辅助配置表!$AE$1,MATCH(AB154,卡牌辅助配置表!AB:AB,0),0),0)</f>
        <v>21450</v>
      </c>
      <c r="AN154" s="153">
        <f ca="1" t="shared" si="31"/>
        <v>1005030</v>
      </c>
      <c r="AP154" s="153" t="str">
        <f ca="1">IF(AC154=0,0,IF(AC154=12,0,OFFSET(effect!$N$1,MATCH(K154,effect!M:M,0)-1,0)))</f>
        <v>kpsx_pt</v>
      </c>
    </row>
    <row r="155" spans="1:42">
      <c r="A155" s="153">
        <f ca="1" t="shared" si="22"/>
        <v>1005030</v>
      </c>
      <c r="B155" s="91" t="s">
        <v>516</v>
      </c>
      <c r="C155" s="186">
        <v>1</v>
      </c>
      <c r="D155" s="186">
        <v>6</v>
      </c>
      <c r="E155" s="165" t="s">
        <v>1050</v>
      </c>
      <c r="F155" s="165" t="str">
        <f>"上一招为拳法时，增加"&amp;skill!$O$10/100&amp;"%伤害"</f>
        <v>上一招为拳法时，增加35%伤害</v>
      </c>
      <c r="G155" s="186">
        <f ca="1">OFFSET(卡牌辅助配置表!$C$1,MATCH(AC155,卡牌辅助配置表!A:A,0)-1,0)</f>
        <v>3</v>
      </c>
      <c r="H155" s="186">
        <f ca="1" t="shared" si="21"/>
        <v>0</v>
      </c>
      <c r="I155" s="186"/>
      <c r="J155" s="186">
        <f ca="1">OFFSET(card_type!$F$1,MATCH(Q155,card_type!A:A,0)-1,0)</f>
        <v>1</v>
      </c>
      <c r="K155" s="243">
        <f ca="1">OFFSET(card_type!$G$1,MATCH(Q155,card_type!A:A,0)-1,0)</f>
        <v>2</v>
      </c>
      <c r="L155" s="157">
        <v>2</v>
      </c>
      <c r="M155" s="157">
        <v>2</v>
      </c>
      <c r="N155" s="153">
        <f t="shared" si="23"/>
        <v>30</v>
      </c>
      <c r="O155" s="157"/>
      <c r="P155" s="157"/>
      <c r="Q155" s="153">
        <f ca="1">OFFSET(card_type!$A$1,MATCH(card!B155,card_type!B:B,0)-1,0)</f>
        <v>1005</v>
      </c>
      <c r="R155" s="153">
        <v>1</v>
      </c>
      <c r="S155" s="157">
        <f ca="1">ROUND(IF(R155=0,0,IF(R155=1,X155*$S$1,IF(R155=2,X155*$S$1*buff的资质计算!$E$2,IF(R155=3,X155*$S$1*buff的资质计算!$E$3,0)))),0)*0</f>
        <v>0</v>
      </c>
      <c r="T155" s="153">
        <v>3</v>
      </c>
      <c r="U155" s="153">
        <f ca="1" t="shared" si="24"/>
        <v>12</v>
      </c>
      <c r="V155" s="153">
        <f ca="1">ROUND((OFFSET(卡牌辅助配置表!$O$1,MATCH(U155,卡牌辅助配置表!M:M,0)-1,0)+(N155-1)*OFFSET(卡牌辅助配置表!$P$1,MATCH(U155,卡牌辅助配置表!M:M,0)-1,0))*M155,2)</f>
        <v>37.37</v>
      </c>
      <c r="W155" s="157">
        <f ca="1">ROUND(IF(R155=0,0,IF(R155=1,X155*$W$1,IF(R155=2,X155*$W$1*buff的资质计算!$E$2,IF(R155=3,X155*$W$1*buff的资质计算!$E$3,0)))),2)</f>
        <v>10.65</v>
      </c>
      <c r="X155" s="157">
        <f ca="1" t="shared" si="25"/>
        <v>35.5</v>
      </c>
      <c r="Y155" s="157">
        <f ca="1" t="shared" si="26"/>
        <v>35.5</v>
      </c>
      <c r="Z155" s="304">
        <f ca="1" t="shared" si="27"/>
        <v>17.75</v>
      </c>
      <c r="AA155" s="304">
        <f ca="1">OFFSET(卡牌辅助配置表!$AD$1,MATCH(AB155,卡牌辅助配置表!AB:AB,0)-1,0)</f>
        <v>1640</v>
      </c>
      <c r="AB155" s="304">
        <f ca="1" t="shared" si="28"/>
        <v>1230</v>
      </c>
      <c r="AC155" s="153">
        <v>3</v>
      </c>
      <c r="AE155" s="153">
        <v>1</v>
      </c>
      <c r="AF155" s="153" t="str">
        <f ca="1" t="shared" si="29"/>
        <v>10050011|</v>
      </c>
      <c r="AJ155" s="205">
        <f ca="1" t="shared" si="30"/>
        <v>0</v>
      </c>
      <c r="AK155" s="205">
        <f ca="1">OFFSET([1]item_type!$A$1,MATCH(Q155,[1]item_type!$G:$G,0)-1,0)</f>
        <v>301005</v>
      </c>
      <c r="AL155" s="205"/>
      <c r="AM155" s="205">
        <f ca="1">IF(B155=B156,OFFSET(卡牌辅助配置表!$AE$1,MATCH(AB155,卡牌辅助配置表!AB:AB,0),0),0)</f>
        <v>0</v>
      </c>
      <c r="AN155" s="153">
        <f ca="1" t="shared" si="31"/>
        <v>0</v>
      </c>
      <c r="AP155" s="153" t="str">
        <f ca="1">IF(AC155=0,0,IF(AC155=12,0,OFFSET(effect!$N$1,MATCH(K155,effect!M:M,0)-1,0)))</f>
        <v>kpsx_pt</v>
      </c>
    </row>
    <row r="156" spans="1:42">
      <c r="A156" s="153">
        <f ca="1" t="shared" si="22"/>
        <v>1006001</v>
      </c>
      <c r="B156" s="91" t="s">
        <v>496</v>
      </c>
      <c r="C156" s="186">
        <v>1</v>
      </c>
      <c r="D156" s="186">
        <v>6</v>
      </c>
      <c r="E156" s="165" t="s">
        <v>1050</v>
      </c>
      <c r="F156" s="165" t="str">
        <f>"上一招为拳法时，增加造成伤害"&amp;skill!$O$11/100&amp;"%的护甲"</f>
        <v>上一招为拳法时，增加造成伤害35%的护甲</v>
      </c>
      <c r="G156" s="186">
        <f ca="1">OFFSET(卡牌辅助配置表!$C$1,MATCH(AC156,卡牌辅助配置表!A:A,0)-1,0)</f>
        <v>3</v>
      </c>
      <c r="H156" s="186">
        <f ca="1" t="shared" si="21"/>
        <v>0</v>
      </c>
      <c r="I156" s="186"/>
      <c r="J156" s="186">
        <f ca="1">OFFSET(card_type!$F$1,MATCH(Q156,card_type!A:A,0)-1,0)</f>
        <v>1</v>
      </c>
      <c r="K156" s="243">
        <f ca="1">OFFSET(card_type!$G$1,MATCH(Q156,card_type!A:A,0)-1,0)</f>
        <v>1</v>
      </c>
      <c r="L156" s="157">
        <v>2</v>
      </c>
      <c r="M156" s="157">
        <v>2</v>
      </c>
      <c r="N156" s="153">
        <f t="shared" si="23"/>
        <v>1</v>
      </c>
      <c r="O156" s="157"/>
      <c r="P156" s="157"/>
      <c r="Q156" s="153">
        <f ca="1">OFFSET(card_type!$A$1,MATCH(card!B156,card_type!B:B,0)-1,0)</f>
        <v>1006</v>
      </c>
      <c r="R156" s="153">
        <v>1</v>
      </c>
      <c r="S156" s="157">
        <f ca="1">ROUND(IF(R156=0,0,IF(R156=1,X156*$S$1,IF(R156=2,X156*$S$1*buff的资质计算!$E$2,IF(R156=3,X156*$S$1*buff的资质计算!$E$3,0)))),0)*0</f>
        <v>0</v>
      </c>
      <c r="T156" s="153">
        <v>1</v>
      </c>
      <c r="U156" s="153">
        <f ca="1" t="shared" si="24"/>
        <v>11</v>
      </c>
      <c r="V156" s="153">
        <f ca="1">ROUND((OFFSET(卡牌辅助配置表!$O$1,MATCH(U156,卡牌辅助配置表!M:M,0)-1,0)+(N156-1)*OFFSET(卡牌辅助配置表!$P$1,MATCH(U156,卡牌辅助配置表!M:M,0)-1,0))*M156,2)</f>
        <v>12.54</v>
      </c>
      <c r="W156" s="157">
        <f ca="1">ROUND(IF(R156=0,0,IF(R156=1,X156*$W$1,IF(R156=2,X156*$W$1*buff的资质计算!$E$2,IF(R156=3,X156*$W$1*buff的资质计算!$E$3,0)))),2)</f>
        <v>3.9</v>
      </c>
      <c r="X156" s="157">
        <f ca="1" t="shared" si="25"/>
        <v>13</v>
      </c>
      <c r="Y156" s="157">
        <f ca="1" t="shared" si="26"/>
        <v>13</v>
      </c>
      <c r="Z156" s="304">
        <f ca="1" t="shared" si="27"/>
        <v>6.5</v>
      </c>
      <c r="AA156" s="304">
        <f ca="1">OFFSET(卡牌辅助配置表!$AD$1,MATCH(AB156,卡牌辅助配置表!AB:AB,0)-1,0)</f>
        <v>18</v>
      </c>
      <c r="AB156" s="304">
        <f ca="1" t="shared" si="28"/>
        <v>1101</v>
      </c>
      <c r="AC156" s="153">
        <v>3</v>
      </c>
      <c r="AE156" s="153">
        <v>1</v>
      </c>
      <c r="AF156" s="153" t="str">
        <f ca="1" t="shared" si="29"/>
        <v>10060011|</v>
      </c>
      <c r="AJ156" s="205" t="str">
        <f ca="1" t="shared" si="30"/>
        <v>400023|700|;</v>
      </c>
      <c r="AK156" s="205">
        <f ca="1">OFFSET([1]item_type!$A$1,MATCH(Q156,[1]item_type!$G:$G,0)-1,0)</f>
        <v>301006</v>
      </c>
      <c r="AL156" s="205"/>
      <c r="AM156" s="205">
        <f ca="1">IF(B156=B157,OFFSET(卡牌辅助配置表!$AE$1,MATCH(AB156,卡牌辅助配置表!AB:AB,0),0),0)</f>
        <v>700</v>
      </c>
      <c r="AN156" s="153">
        <f ca="1" t="shared" si="31"/>
        <v>1006002</v>
      </c>
      <c r="AP156" s="153" t="str">
        <f ca="1">IF(AC156=0,0,IF(AC156=12,0,OFFSET(effect!$N$1,MATCH(K156,effect!M:M,0)-1,0)))</f>
        <v>kpsx_pt</v>
      </c>
    </row>
    <row r="157" spans="1:42">
      <c r="A157" s="153">
        <f ca="1" t="shared" si="22"/>
        <v>1006002</v>
      </c>
      <c r="B157" s="91" t="s">
        <v>496</v>
      </c>
      <c r="C157" s="186">
        <v>1</v>
      </c>
      <c r="D157" s="186">
        <v>6</v>
      </c>
      <c r="E157" s="165" t="s">
        <v>1050</v>
      </c>
      <c r="F157" s="165" t="str">
        <f>"上一招为拳法时，增加造成伤害"&amp;skill!$O$11/100&amp;"%的护甲"</f>
        <v>上一招为拳法时，增加造成伤害35%的护甲</v>
      </c>
      <c r="G157" s="186">
        <f ca="1">OFFSET(卡牌辅助配置表!$C$1,MATCH(AC157,卡牌辅助配置表!A:A,0)-1,0)</f>
        <v>3</v>
      </c>
      <c r="H157" s="186">
        <f ca="1" t="shared" si="21"/>
        <v>0</v>
      </c>
      <c r="I157" s="186"/>
      <c r="J157" s="186">
        <f ca="1">OFFSET(card_type!$F$1,MATCH(Q157,card_type!A:A,0)-1,0)</f>
        <v>1</v>
      </c>
      <c r="K157" s="243">
        <f ca="1">OFFSET(card_type!$G$1,MATCH(Q157,card_type!A:A,0)-1,0)</f>
        <v>1</v>
      </c>
      <c r="L157" s="157">
        <v>2</v>
      </c>
      <c r="M157" s="157">
        <v>2</v>
      </c>
      <c r="N157" s="153">
        <f t="shared" si="23"/>
        <v>2</v>
      </c>
      <c r="O157" s="157"/>
      <c r="P157" s="157"/>
      <c r="Q157" s="153">
        <f ca="1">OFFSET(card_type!$A$1,MATCH(card!B157,card_type!B:B,0)-1,0)</f>
        <v>1006</v>
      </c>
      <c r="R157" s="153">
        <v>1</v>
      </c>
      <c r="S157" s="157">
        <f ca="1">ROUND(IF(R157=0,0,IF(R157=1,X157*$S$1,IF(R157=2,X157*$S$1*buff的资质计算!$E$2,IF(R157=3,X157*$S$1*buff的资质计算!$E$3,0)))),0)*0</f>
        <v>0</v>
      </c>
      <c r="T157" s="153">
        <v>1</v>
      </c>
      <c r="U157" s="153">
        <f ca="1" t="shared" si="24"/>
        <v>11</v>
      </c>
      <c r="V157" s="153">
        <f ca="1">ROUND((OFFSET(卡牌辅助配置表!$O$1,MATCH(U157,卡牌辅助配置表!M:M,0)-1,0)+(N157-1)*OFFSET(卡牌辅助配置表!$P$1,MATCH(U157,卡牌辅助配置表!M:M,0)-1,0))*M157,2)</f>
        <v>12.96</v>
      </c>
      <c r="W157" s="157">
        <f ca="1">ROUND(IF(R157=0,0,IF(R157=1,X157*$W$1,IF(R157=2,X157*$W$1*buff的资质计算!$E$2,IF(R157=3,X157*$W$1*buff的资质计算!$E$3,0)))),2)</f>
        <v>4.05</v>
      </c>
      <c r="X157" s="157">
        <f ca="1" t="shared" si="25"/>
        <v>13.5</v>
      </c>
      <c r="Y157" s="157">
        <f ca="1" t="shared" si="26"/>
        <v>13.5</v>
      </c>
      <c r="Z157" s="304">
        <f ca="1" t="shared" si="27"/>
        <v>6.75</v>
      </c>
      <c r="AA157" s="304">
        <f ca="1">OFFSET(卡牌辅助配置表!$AD$1,MATCH(AB157,卡牌辅助配置表!AB:AB,0)-1,0)</f>
        <v>36</v>
      </c>
      <c r="AB157" s="304">
        <f ca="1" t="shared" si="28"/>
        <v>1102</v>
      </c>
      <c r="AC157" s="153">
        <v>3</v>
      </c>
      <c r="AE157" s="153">
        <v>1</v>
      </c>
      <c r="AF157" s="153" t="str">
        <f ca="1" t="shared" si="29"/>
        <v>10060011|</v>
      </c>
      <c r="AJ157" s="205" t="str">
        <f ca="1" t="shared" si="30"/>
        <v>400023|900|;</v>
      </c>
      <c r="AK157" s="205">
        <f ca="1">OFFSET([1]item_type!$A$1,MATCH(Q157,[1]item_type!$G:$G,0)-1,0)</f>
        <v>301006</v>
      </c>
      <c r="AL157" s="205"/>
      <c r="AM157" s="205">
        <f ca="1">IF(B157=B158,OFFSET(卡牌辅助配置表!$AE$1,MATCH(AB157,卡牌辅助配置表!AB:AB,0),0),0)</f>
        <v>900</v>
      </c>
      <c r="AN157" s="153">
        <f ca="1" t="shared" si="31"/>
        <v>1006003</v>
      </c>
      <c r="AP157" s="153" t="str">
        <f ca="1">IF(AC157=0,0,IF(AC157=12,0,OFFSET(effect!$N$1,MATCH(K157,effect!M:M,0)-1,0)))</f>
        <v>kpsx_pt</v>
      </c>
    </row>
    <row r="158" spans="1:42">
      <c r="A158" s="153">
        <f ca="1" t="shared" si="22"/>
        <v>1006003</v>
      </c>
      <c r="B158" s="91" t="s">
        <v>496</v>
      </c>
      <c r="C158" s="186">
        <v>1</v>
      </c>
      <c r="D158" s="186">
        <v>6</v>
      </c>
      <c r="E158" s="165" t="s">
        <v>1050</v>
      </c>
      <c r="F158" s="165" t="str">
        <f>"上一招为拳法时，增加造成伤害"&amp;skill!$O$11/100&amp;"%的护甲"</f>
        <v>上一招为拳法时，增加造成伤害35%的护甲</v>
      </c>
      <c r="G158" s="186">
        <f ca="1">OFFSET(卡牌辅助配置表!$C$1,MATCH(AC158,卡牌辅助配置表!A:A,0)-1,0)</f>
        <v>3</v>
      </c>
      <c r="H158" s="186">
        <f ca="1" t="shared" si="21"/>
        <v>0</v>
      </c>
      <c r="I158" s="186"/>
      <c r="J158" s="186">
        <f ca="1">OFFSET(card_type!$F$1,MATCH(Q158,card_type!A:A,0)-1,0)</f>
        <v>1</v>
      </c>
      <c r="K158" s="243">
        <f ca="1">OFFSET(card_type!$G$1,MATCH(Q158,card_type!A:A,0)-1,0)</f>
        <v>1</v>
      </c>
      <c r="L158" s="157">
        <v>2</v>
      </c>
      <c r="M158" s="157">
        <v>2</v>
      </c>
      <c r="N158" s="153">
        <f t="shared" si="23"/>
        <v>3</v>
      </c>
      <c r="O158" s="157"/>
      <c r="P158" s="157"/>
      <c r="Q158" s="153">
        <f ca="1">OFFSET(card_type!$A$1,MATCH(card!B158,card_type!B:B,0)-1,0)</f>
        <v>1006</v>
      </c>
      <c r="R158" s="153">
        <v>1</v>
      </c>
      <c r="S158" s="157">
        <f ca="1">ROUND(IF(R158=0,0,IF(R158=1,X158*$S$1,IF(R158=2,X158*$S$1*buff的资质计算!$E$2,IF(R158=3,X158*$S$1*buff的资质计算!$E$3,0)))),0)*0</f>
        <v>0</v>
      </c>
      <c r="T158" s="153">
        <v>1</v>
      </c>
      <c r="U158" s="153">
        <f ca="1" t="shared" si="24"/>
        <v>11</v>
      </c>
      <c r="V158" s="153">
        <f ca="1">ROUND((OFFSET(卡牌辅助配置表!$O$1,MATCH(U158,卡牌辅助配置表!M:M,0)-1,0)+(N158-1)*OFFSET(卡牌辅助配置表!$P$1,MATCH(U158,卡牌辅助配置表!M:M,0)-1,0))*M158,2)</f>
        <v>13.38</v>
      </c>
      <c r="W158" s="157">
        <f ca="1">ROUND(IF(R158=0,0,IF(R158=1,X158*$W$1,IF(R158=2,X158*$W$1*buff的资质计算!$E$2,IF(R158=3,X158*$W$1*buff的资质计算!$E$3,0)))),2)</f>
        <v>4.2</v>
      </c>
      <c r="X158" s="157">
        <f ca="1" t="shared" si="25"/>
        <v>14</v>
      </c>
      <c r="Y158" s="157">
        <f ca="1" t="shared" si="26"/>
        <v>14</v>
      </c>
      <c r="Z158" s="304">
        <f ca="1" t="shared" si="27"/>
        <v>7</v>
      </c>
      <c r="AA158" s="304">
        <f ca="1">OFFSET(卡牌辅助配置表!$AD$1,MATCH(AB158,卡牌辅助配置表!AB:AB,0)-1,0)</f>
        <v>54</v>
      </c>
      <c r="AB158" s="304">
        <f ca="1" t="shared" si="28"/>
        <v>1103</v>
      </c>
      <c r="AC158" s="153">
        <v>3</v>
      </c>
      <c r="AE158" s="153">
        <v>1</v>
      </c>
      <c r="AF158" s="153" t="str">
        <f ca="1" t="shared" si="29"/>
        <v>10060011|</v>
      </c>
      <c r="AJ158" s="205" t="str">
        <f ca="1" t="shared" si="30"/>
        <v>400023|1100|;</v>
      </c>
      <c r="AK158" s="205">
        <f ca="1">OFFSET([1]item_type!$A$1,MATCH(Q158,[1]item_type!$G:$G,0)-1,0)</f>
        <v>301006</v>
      </c>
      <c r="AL158" s="205"/>
      <c r="AM158" s="205">
        <f ca="1">IF(B158=B159,OFFSET(卡牌辅助配置表!$AE$1,MATCH(AB158,卡牌辅助配置表!AB:AB,0),0),0)</f>
        <v>1100</v>
      </c>
      <c r="AN158" s="153">
        <f ca="1" t="shared" si="31"/>
        <v>1006004</v>
      </c>
      <c r="AP158" s="153" t="str">
        <f ca="1">IF(AC158=0,0,IF(AC158=12,0,OFFSET(effect!$N$1,MATCH(K158,effect!M:M,0)-1,0)))</f>
        <v>kpsx_pt</v>
      </c>
    </row>
    <row r="159" spans="1:42">
      <c r="A159" s="153">
        <f ca="1" t="shared" si="22"/>
        <v>1006004</v>
      </c>
      <c r="B159" s="91" t="s">
        <v>496</v>
      </c>
      <c r="C159" s="186">
        <v>1</v>
      </c>
      <c r="D159" s="186">
        <v>6</v>
      </c>
      <c r="E159" s="165" t="s">
        <v>1050</v>
      </c>
      <c r="F159" s="165" t="str">
        <f>"上一招为拳法时，增加造成伤害"&amp;skill!$O$11/100&amp;"%的护甲"</f>
        <v>上一招为拳法时，增加造成伤害35%的护甲</v>
      </c>
      <c r="G159" s="186">
        <f ca="1">OFFSET(卡牌辅助配置表!$C$1,MATCH(AC159,卡牌辅助配置表!A:A,0)-1,0)</f>
        <v>3</v>
      </c>
      <c r="H159" s="186">
        <f ca="1" t="shared" si="21"/>
        <v>0</v>
      </c>
      <c r="I159" s="186"/>
      <c r="J159" s="186">
        <f ca="1">OFFSET(card_type!$F$1,MATCH(Q159,card_type!A:A,0)-1,0)</f>
        <v>1</v>
      </c>
      <c r="K159" s="243">
        <f ca="1">OFFSET(card_type!$G$1,MATCH(Q159,card_type!A:A,0)-1,0)</f>
        <v>1</v>
      </c>
      <c r="L159" s="157">
        <v>2</v>
      </c>
      <c r="M159" s="157">
        <v>2</v>
      </c>
      <c r="N159" s="153">
        <f t="shared" si="23"/>
        <v>4</v>
      </c>
      <c r="O159" s="157"/>
      <c r="P159" s="157"/>
      <c r="Q159" s="153">
        <f ca="1">OFFSET(card_type!$A$1,MATCH(card!B159,card_type!B:B,0)-1,0)</f>
        <v>1006</v>
      </c>
      <c r="R159" s="153">
        <v>1</v>
      </c>
      <c r="S159" s="157">
        <f ca="1">ROUND(IF(R159=0,0,IF(R159=1,X159*$S$1,IF(R159=2,X159*$S$1*buff的资质计算!$E$2,IF(R159=3,X159*$S$1*buff的资质计算!$E$3,0)))),0)*0</f>
        <v>0</v>
      </c>
      <c r="T159" s="153">
        <v>1</v>
      </c>
      <c r="U159" s="153">
        <f ca="1" t="shared" si="24"/>
        <v>11</v>
      </c>
      <c r="V159" s="153">
        <f ca="1">ROUND((OFFSET(卡牌辅助配置表!$O$1,MATCH(U159,卡牌辅助配置表!M:M,0)-1,0)+(N159-1)*OFFSET(卡牌辅助配置表!$P$1,MATCH(U159,卡牌辅助配置表!M:M,0)-1,0))*M159,2)</f>
        <v>13.79</v>
      </c>
      <c r="W159" s="157">
        <f ca="1">ROUND(IF(R159=0,0,IF(R159=1,X159*$W$1,IF(R159=2,X159*$W$1*buff的资质计算!$E$2,IF(R159=3,X159*$W$1*buff的资质计算!$E$3,0)))),2)</f>
        <v>4.35</v>
      </c>
      <c r="X159" s="157">
        <f ca="1" t="shared" si="25"/>
        <v>14.5</v>
      </c>
      <c r="Y159" s="157">
        <f ca="1" t="shared" si="26"/>
        <v>14.5</v>
      </c>
      <c r="Z159" s="304">
        <f ca="1" t="shared" si="27"/>
        <v>7.25</v>
      </c>
      <c r="AA159" s="304">
        <f ca="1">OFFSET(卡牌辅助配置表!$AD$1,MATCH(AB159,卡牌辅助配置表!AB:AB,0)-1,0)</f>
        <v>72</v>
      </c>
      <c r="AB159" s="304">
        <f ca="1" t="shared" si="28"/>
        <v>1104</v>
      </c>
      <c r="AC159" s="153">
        <v>3</v>
      </c>
      <c r="AE159" s="153">
        <v>1</v>
      </c>
      <c r="AF159" s="153" t="str">
        <f ca="1" t="shared" si="29"/>
        <v>10060011|</v>
      </c>
      <c r="AJ159" s="205" t="str">
        <f ca="1" t="shared" si="30"/>
        <v>400023|1300|;</v>
      </c>
      <c r="AK159" s="205">
        <f ca="1">OFFSET([1]item_type!$A$1,MATCH(Q159,[1]item_type!$G:$G,0)-1,0)</f>
        <v>301006</v>
      </c>
      <c r="AL159" s="205"/>
      <c r="AM159" s="205">
        <f ca="1">IF(B159=B160,OFFSET(卡牌辅助配置表!$AE$1,MATCH(AB159,卡牌辅助配置表!AB:AB,0),0),0)</f>
        <v>1300</v>
      </c>
      <c r="AN159" s="153">
        <f ca="1" t="shared" si="31"/>
        <v>1006005</v>
      </c>
      <c r="AP159" s="153" t="str">
        <f ca="1">IF(AC159=0,0,IF(AC159=12,0,OFFSET(effect!$N$1,MATCH(K159,effect!M:M,0)-1,0)))</f>
        <v>kpsx_pt</v>
      </c>
    </row>
    <row r="160" spans="1:42">
      <c r="A160" s="153">
        <f ca="1" t="shared" si="22"/>
        <v>1006005</v>
      </c>
      <c r="B160" s="91" t="s">
        <v>496</v>
      </c>
      <c r="C160" s="186">
        <v>1</v>
      </c>
      <c r="D160" s="186">
        <v>6</v>
      </c>
      <c r="E160" s="165" t="s">
        <v>1050</v>
      </c>
      <c r="F160" s="165" t="str">
        <f>"上一招为拳法时，增加造成伤害"&amp;skill!$O$11/100&amp;"%的护甲"</f>
        <v>上一招为拳法时，增加造成伤害35%的护甲</v>
      </c>
      <c r="G160" s="186">
        <f ca="1">OFFSET(卡牌辅助配置表!$C$1,MATCH(AC160,卡牌辅助配置表!A:A,0)-1,0)</f>
        <v>3</v>
      </c>
      <c r="H160" s="186">
        <f ca="1" t="shared" ref="H160:H223" si="32">IF(R160=0,Y160,0)</f>
        <v>0</v>
      </c>
      <c r="I160" s="186"/>
      <c r="J160" s="186">
        <f ca="1">OFFSET(card_type!$F$1,MATCH(Q160,card_type!A:A,0)-1,0)</f>
        <v>1</v>
      </c>
      <c r="K160" s="243">
        <f ca="1">OFFSET(card_type!$G$1,MATCH(Q160,card_type!A:A,0)-1,0)</f>
        <v>1</v>
      </c>
      <c r="L160" s="157">
        <v>2</v>
      </c>
      <c r="M160" s="157">
        <v>2</v>
      </c>
      <c r="N160" s="153">
        <f t="shared" si="23"/>
        <v>5</v>
      </c>
      <c r="O160" s="157"/>
      <c r="P160" s="157"/>
      <c r="Q160" s="153">
        <f ca="1">OFFSET(card_type!$A$1,MATCH(card!B160,card_type!B:B,0)-1,0)</f>
        <v>1006</v>
      </c>
      <c r="R160" s="153">
        <v>1</v>
      </c>
      <c r="S160" s="157">
        <f ca="1">ROUND(IF(R160=0,0,IF(R160=1,X160*$S$1,IF(R160=2,X160*$S$1*buff的资质计算!$E$2,IF(R160=3,X160*$S$1*buff的资质计算!$E$3,0)))),0)*0</f>
        <v>0</v>
      </c>
      <c r="T160" s="153">
        <v>1</v>
      </c>
      <c r="U160" s="153">
        <f ca="1" t="shared" si="24"/>
        <v>11</v>
      </c>
      <c r="V160" s="153">
        <f ca="1">ROUND((OFFSET(卡牌辅助配置表!$O$1,MATCH(U160,卡牌辅助配置表!M:M,0)-1,0)+(N160-1)*OFFSET(卡牌辅助配置表!$P$1,MATCH(U160,卡牌辅助配置表!M:M,0)-1,0))*M160,2)</f>
        <v>14.21</v>
      </c>
      <c r="W160" s="157">
        <f ca="1">ROUND(IF(R160=0,0,IF(R160=1,X160*$W$1,IF(R160=2,X160*$W$1*buff的资质计算!$E$2,IF(R160=3,X160*$W$1*buff的资质计算!$E$3,0)))),2)</f>
        <v>4.5</v>
      </c>
      <c r="X160" s="157">
        <f ca="1" t="shared" si="25"/>
        <v>15</v>
      </c>
      <c r="Y160" s="157">
        <f ca="1" t="shared" si="26"/>
        <v>15</v>
      </c>
      <c r="Z160" s="304">
        <f ca="1" t="shared" si="27"/>
        <v>7.5</v>
      </c>
      <c r="AA160" s="304">
        <f ca="1">OFFSET(卡牌辅助配置表!$AD$1,MATCH(AB160,卡牌辅助配置表!AB:AB,0)-1,0)</f>
        <v>90</v>
      </c>
      <c r="AB160" s="304">
        <f ca="1" t="shared" si="28"/>
        <v>1105</v>
      </c>
      <c r="AC160" s="153">
        <v>3</v>
      </c>
      <c r="AE160" s="153">
        <v>1</v>
      </c>
      <c r="AF160" s="153" t="str">
        <f ca="1" t="shared" si="29"/>
        <v>10060011|</v>
      </c>
      <c r="AJ160" s="205" t="str">
        <f ca="1" t="shared" si="30"/>
        <v>400023|1500|;</v>
      </c>
      <c r="AK160" s="205">
        <f ca="1">OFFSET([1]item_type!$A$1,MATCH(Q160,[1]item_type!$G:$G,0)-1,0)</f>
        <v>301006</v>
      </c>
      <c r="AL160" s="205"/>
      <c r="AM160" s="205">
        <f ca="1">IF(B160=B161,OFFSET(卡牌辅助配置表!$AE$1,MATCH(AB160,卡牌辅助配置表!AB:AB,0),0),0)</f>
        <v>1500</v>
      </c>
      <c r="AN160" s="153">
        <f ca="1" t="shared" si="31"/>
        <v>1006006</v>
      </c>
      <c r="AP160" s="153" t="str">
        <f ca="1">IF(AC160=0,0,IF(AC160=12,0,OFFSET(effect!$N$1,MATCH(K160,effect!M:M,0)-1,0)))</f>
        <v>kpsx_pt</v>
      </c>
    </row>
    <row r="161" spans="1:42">
      <c r="A161" s="153">
        <f ca="1" t="shared" si="22"/>
        <v>1006006</v>
      </c>
      <c r="B161" s="91" t="s">
        <v>496</v>
      </c>
      <c r="C161" s="186">
        <v>1</v>
      </c>
      <c r="D161" s="186">
        <v>6</v>
      </c>
      <c r="E161" s="165" t="s">
        <v>1050</v>
      </c>
      <c r="F161" s="165" t="str">
        <f>"上一招为拳法时，增加造成伤害"&amp;skill!$O$11/100&amp;"%的护甲"</f>
        <v>上一招为拳法时，增加造成伤害35%的护甲</v>
      </c>
      <c r="G161" s="186">
        <f ca="1">OFFSET(卡牌辅助配置表!$C$1,MATCH(AC161,卡牌辅助配置表!A:A,0)-1,0)</f>
        <v>3</v>
      </c>
      <c r="H161" s="186">
        <f ca="1" t="shared" si="32"/>
        <v>0</v>
      </c>
      <c r="I161" s="186"/>
      <c r="J161" s="186">
        <f ca="1">OFFSET(card_type!$F$1,MATCH(Q161,card_type!A:A,0)-1,0)</f>
        <v>1</v>
      </c>
      <c r="K161" s="243">
        <f ca="1">OFFSET(card_type!$G$1,MATCH(Q161,card_type!A:A,0)-1,0)</f>
        <v>1</v>
      </c>
      <c r="L161" s="157">
        <v>2</v>
      </c>
      <c r="M161" s="157">
        <v>2</v>
      </c>
      <c r="N161" s="153">
        <f t="shared" si="23"/>
        <v>6</v>
      </c>
      <c r="O161" s="157"/>
      <c r="P161" s="157"/>
      <c r="Q161" s="153">
        <f ca="1">OFFSET(card_type!$A$1,MATCH(card!B161,card_type!B:B,0)-1,0)</f>
        <v>1006</v>
      </c>
      <c r="R161" s="153">
        <v>1</v>
      </c>
      <c r="S161" s="157">
        <f ca="1">ROUND(IF(R161=0,0,IF(R161=1,X161*$S$1,IF(R161=2,X161*$S$1*buff的资质计算!$E$2,IF(R161=3,X161*$S$1*buff的资质计算!$E$3,0)))),0)*0</f>
        <v>0</v>
      </c>
      <c r="T161" s="153">
        <v>1</v>
      </c>
      <c r="U161" s="153">
        <f ca="1" t="shared" si="24"/>
        <v>11</v>
      </c>
      <c r="V161" s="153">
        <f ca="1">ROUND((OFFSET(卡牌辅助配置表!$O$1,MATCH(U161,卡牌辅助配置表!M:M,0)-1,0)+(N161-1)*OFFSET(卡牌辅助配置表!$P$1,MATCH(U161,卡牌辅助配置表!M:M,0)-1,0))*M161,2)</f>
        <v>14.63</v>
      </c>
      <c r="W161" s="157">
        <f ca="1">ROUND(IF(R161=0,0,IF(R161=1,X161*$W$1,IF(R161=2,X161*$W$1*buff的资质计算!$E$2,IF(R161=3,X161*$W$1*buff的资质计算!$E$3,0)))),2)</f>
        <v>4.65</v>
      </c>
      <c r="X161" s="157">
        <f ca="1" t="shared" si="25"/>
        <v>15.5</v>
      </c>
      <c r="Y161" s="157">
        <f ca="1" t="shared" si="26"/>
        <v>15.5</v>
      </c>
      <c r="Z161" s="304">
        <f ca="1" t="shared" si="27"/>
        <v>7.75</v>
      </c>
      <c r="AA161" s="304">
        <f ca="1">OFFSET(卡牌辅助配置表!$AD$1,MATCH(AB161,卡牌辅助配置表!AB:AB,0)-1,0)</f>
        <v>108</v>
      </c>
      <c r="AB161" s="304">
        <f ca="1" t="shared" si="28"/>
        <v>1106</v>
      </c>
      <c r="AC161" s="153">
        <v>3</v>
      </c>
      <c r="AE161" s="153">
        <v>1</v>
      </c>
      <c r="AF161" s="153" t="str">
        <f ca="1" t="shared" si="29"/>
        <v>10060011|</v>
      </c>
      <c r="AJ161" s="205" t="str">
        <f ca="1" t="shared" si="30"/>
        <v>400023|1700|;</v>
      </c>
      <c r="AK161" s="205">
        <f ca="1">OFFSET([1]item_type!$A$1,MATCH(Q161,[1]item_type!$G:$G,0)-1,0)</f>
        <v>301006</v>
      </c>
      <c r="AL161" s="205"/>
      <c r="AM161" s="205">
        <f ca="1">IF(B161=B162,OFFSET(卡牌辅助配置表!$AE$1,MATCH(AB161,卡牌辅助配置表!AB:AB,0),0),0)</f>
        <v>1700</v>
      </c>
      <c r="AN161" s="153">
        <f ca="1" t="shared" si="31"/>
        <v>1006007</v>
      </c>
      <c r="AP161" s="153" t="str">
        <f ca="1">IF(AC161=0,0,IF(AC161=12,0,OFFSET(effect!$N$1,MATCH(K161,effect!M:M,0)-1,0)))</f>
        <v>kpsx_pt</v>
      </c>
    </row>
    <row r="162" spans="1:42">
      <c r="A162" s="153">
        <f ca="1" t="shared" si="22"/>
        <v>1006007</v>
      </c>
      <c r="B162" s="91" t="s">
        <v>496</v>
      </c>
      <c r="C162" s="186">
        <v>1</v>
      </c>
      <c r="D162" s="186">
        <v>6</v>
      </c>
      <c r="E162" s="165" t="s">
        <v>1050</v>
      </c>
      <c r="F162" s="165" t="str">
        <f>"上一招为拳法时，增加造成伤害"&amp;skill!$O$11/100&amp;"%的护甲"</f>
        <v>上一招为拳法时，增加造成伤害35%的护甲</v>
      </c>
      <c r="G162" s="186">
        <f ca="1">OFFSET(卡牌辅助配置表!$C$1,MATCH(AC162,卡牌辅助配置表!A:A,0)-1,0)</f>
        <v>3</v>
      </c>
      <c r="H162" s="186">
        <f ca="1" t="shared" si="32"/>
        <v>0</v>
      </c>
      <c r="I162" s="186"/>
      <c r="J162" s="186">
        <f ca="1">OFFSET(card_type!$F$1,MATCH(Q162,card_type!A:A,0)-1,0)</f>
        <v>1</v>
      </c>
      <c r="K162" s="243">
        <f ca="1">OFFSET(card_type!$G$1,MATCH(Q162,card_type!A:A,0)-1,0)</f>
        <v>1</v>
      </c>
      <c r="L162" s="157">
        <v>2</v>
      </c>
      <c r="M162" s="157">
        <v>2</v>
      </c>
      <c r="N162" s="153">
        <f t="shared" si="23"/>
        <v>7</v>
      </c>
      <c r="O162" s="157"/>
      <c r="P162" s="157"/>
      <c r="Q162" s="153">
        <f ca="1">OFFSET(card_type!$A$1,MATCH(card!B162,card_type!B:B,0)-1,0)</f>
        <v>1006</v>
      </c>
      <c r="R162" s="153">
        <v>1</v>
      </c>
      <c r="S162" s="157">
        <f ca="1">ROUND(IF(R162=0,0,IF(R162=1,X162*$S$1,IF(R162=2,X162*$S$1*buff的资质计算!$E$2,IF(R162=3,X162*$S$1*buff的资质计算!$E$3,0)))),0)*0</f>
        <v>0</v>
      </c>
      <c r="T162" s="153">
        <v>1</v>
      </c>
      <c r="U162" s="153">
        <f ca="1" t="shared" si="24"/>
        <v>11</v>
      </c>
      <c r="V162" s="153">
        <f ca="1">ROUND((OFFSET(卡牌辅助配置表!$O$1,MATCH(U162,卡牌辅助配置表!M:M,0)-1,0)+(N162-1)*OFFSET(卡牌辅助配置表!$P$1,MATCH(U162,卡牌辅助配置表!M:M,0)-1,0))*M162,2)</f>
        <v>15.05</v>
      </c>
      <c r="W162" s="157">
        <f ca="1">ROUND(IF(R162=0,0,IF(R162=1,X162*$W$1,IF(R162=2,X162*$W$1*buff的资质计算!$E$2,IF(R162=3,X162*$W$1*buff的资质计算!$E$3,0)))),2)</f>
        <v>4.8</v>
      </c>
      <c r="X162" s="157">
        <f ca="1" t="shared" si="25"/>
        <v>16</v>
      </c>
      <c r="Y162" s="157">
        <f ca="1" t="shared" si="26"/>
        <v>16</v>
      </c>
      <c r="Z162" s="304">
        <f ca="1" t="shared" si="27"/>
        <v>8</v>
      </c>
      <c r="AA162" s="304">
        <f ca="1">OFFSET(卡牌辅助配置表!$AD$1,MATCH(AB162,卡牌辅助配置表!AB:AB,0)-1,0)</f>
        <v>126</v>
      </c>
      <c r="AB162" s="304">
        <f ca="1" t="shared" si="28"/>
        <v>1107</v>
      </c>
      <c r="AC162" s="153">
        <v>3</v>
      </c>
      <c r="AE162" s="153">
        <v>1</v>
      </c>
      <c r="AF162" s="153" t="str">
        <f ca="1" t="shared" si="29"/>
        <v>10060011|</v>
      </c>
      <c r="AJ162" s="205" t="str">
        <f ca="1" t="shared" si="30"/>
        <v>400023|1900|;</v>
      </c>
      <c r="AK162" s="205">
        <f ca="1">OFFSET([1]item_type!$A$1,MATCH(Q162,[1]item_type!$G:$G,0)-1,0)</f>
        <v>301006</v>
      </c>
      <c r="AL162" s="205"/>
      <c r="AM162" s="205">
        <f ca="1">IF(B162=B163,OFFSET(卡牌辅助配置表!$AE$1,MATCH(AB162,卡牌辅助配置表!AB:AB,0),0),0)</f>
        <v>1900</v>
      </c>
      <c r="AN162" s="153">
        <f ca="1" t="shared" si="31"/>
        <v>1006008</v>
      </c>
      <c r="AP162" s="153" t="str">
        <f ca="1">IF(AC162=0,0,IF(AC162=12,0,OFFSET(effect!$N$1,MATCH(K162,effect!M:M,0)-1,0)))</f>
        <v>kpsx_pt</v>
      </c>
    </row>
    <row r="163" spans="1:42">
      <c r="A163" s="153">
        <f ca="1" t="shared" si="22"/>
        <v>1006008</v>
      </c>
      <c r="B163" s="91" t="s">
        <v>496</v>
      </c>
      <c r="C163" s="186">
        <v>1</v>
      </c>
      <c r="D163" s="186">
        <v>6</v>
      </c>
      <c r="E163" s="165" t="s">
        <v>1050</v>
      </c>
      <c r="F163" s="165" t="str">
        <f>"上一招为拳法时，增加造成伤害"&amp;skill!$O$11/100&amp;"%的护甲"</f>
        <v>上一招为拳法时，增加造成伤害35%的护甲</v>
      </c>
      <c r="G163" s="186">
        <f ca="1">OFFSET(卡牌辅助配置表!$C$1,MATCH(AC163,卡牌辅助配置表!A:A,0)-1,0)</f>
        <v>3</v>
      </c>
      <c r="H163" s="186">
        <f ca="1" t="shared" si="32"/>
        <v>0</v>
      </c>
      <c r="I163" s="186"/>
      <c r="J163" s="186">
        <f ca="1">OFFSET(card_type!$F$1,MATCH(Q163,card_type!A:A,0)-1,0)</f>
        <v>1</v>
      </c>
      <c r="K163" s="243">
        <f ca="1">OFFSET(card_type!$G$1,MATCH(Q163,card_type!A:A,0)-1,0)</f>
        <v>1</v>
      </c>
      <c r="L163" s="157">
        <v>2</v>
      </c>
      <c r="M163" s="157">
        <v>2</v>
      </c>
      <c r="N163" s="153">
        <f t="shared" si="23"/>
        <v>8</v>
      </c>
      <c r="O163" s="157"/>
      <c r="P163" s="157"/>
      <c r="Q163" s="153">
        <f ca="1">OFFSET(card_type!$A$1,MATCH(card!B163,card_type!B:B,0)-1,0)</f>
        <v>1006</v>
      </c>
      <c r="R163" s="153">
        <v>1</v>
      </c>
      <c r="S163" s="157">
        <f ca="1">ROUND(IF(R163=0,0,IF(R163=1,X163*$S$1,IF(R163=2,X163*$S$1*buff的资质计算!$E$2,IF(R163=3,X163*$S$1*buff的资质计算!$E$3,0)))),0)*0</f>
        <v>0</v>
      </c>
      <c r="T163" s="153">
        <v>1</v>
      </c>
      <c r="U163" s="153">
        <f ca="1" t="shared" si="24"/>
        <v>11</v>
      </c>
      <c r="V163" s="153">
        <f ca="1">ROUND((OFFSET(卡牌辅助配置表!$O$1,MATCH(U163,卡牌辅助配置表!M:M,0)-1,0)+(N163-1)*OFFSET(卡牌辅助配置表!$P$1,MATCH(U163,卡牌辅助配置表!M:M,0)-1,0))*M163,2)</f>
        <v>15.47</v>
      </c>
      <c r="W163" s="157">
        <f ca="1">ROUND(IF(R163=0,0,IF(R163=1,X163*$W$1,IF(R163=2,X163*$W$1*buff的资质计算!$E$2,IF(R163=3,X163*$W$1*buff的资质计算!$E$3,0)))),2)</f>
        <v>4.95</v>
      </c>
      <c r="X163" s="157">
        <f ca="1" t="shared" si="25"/>
        <v>16.5</v>
      </c>
      <c r="Y163" s="157">
        <f ca="1" t="shared" si="26"/>
        <v>16.5</v>
      </c>
      <c r="Z163" s="304">
        <f ca="1" t="shared" si="27"/>
        <v>8.25</v>
      </c>
      <c r="AA163" s="304">
        <f ca="1">OFFSET(卡牌辅助配置表!$AD$1,MATCH(AB163,卡牌辅助配置表!AB:AB,0)-1,0)</f>
        <v>144</v>
      </c>
      <c r="AB163" s="304">
        <f ca="1" t="shared" si="28"/>
        <v>1108</v>
      </c>
      <c r="AC163" s="153">
        <v>3</v>
      </c>
      <c r="AE163" s="153">
        <v>1</v>
      </c>
      <c r="AF163" s="153" t="str">
        <f ca="1" t="shared" si="29"/>
        <v>10060011|</v>
      </c>
      <c r="AJ163" s="205" t="str">
        <f ca="1" t="shared" si="30"/>
        <v>400023|2100|;</v>
      </c>
      <c r="AK163" s="205">
        <f ca="1">OFFSET([1]item_type!$A$1,MATCH(Q163,[1]item_type!$G:$G,0)-1,0)</f>
        <v>301006</v>
      </c>
      <c r="AL163" s="205"/>
      <c r="AM163" s="205">
        <f ca="1">IF(B163=B164,OFFSET(卡牌辅助配置表!$AE$1,MATCH(AB163,卡牌辅助配置表!AB:AB,0),0),0)</f>
        <v>2100</v>
      </c>
      <c r="AN163" s="153">
        <f ca="1" t="shared" si="31"/>
        <v>1006009</v>
      </c>
      <c r="AP163" s="153" t="str">
        <f ca="1">IF(AC163=0,0,IF(AC163=12,0,OFFSET(effect!$N$1,MATCH(K163,effect!M:M,0)-1,0)))</f>
        <v>kpsx_pt</v>
      </c>
    </row>
    <row r="164" spans="1:42">
      <c r="A164" s="153">
        <f ca="1" t="shared" si="22"/>
        <v>1006009</v>
      </c>
      <c r="B164" s="91" t="s">
        <v>496</v>
      </c>
      <c r="C164" s="186">
        <v>1</v>
      </c>
      <c r="D164" s="186">
        <v>6</v>
      </c>
      <c r="E164" s="165" t="s">
        <v>1050</v>
      </c>
      <c r="F164" s="165" t="str">
        <f>"上一招为拳法时，增加造成伤害"&amp;skill!$O$11/100&amp;"%的护甲"</f>
        <v>上一招为拳法时，增加造成伤害35%的护甲</v>
      </c>
      <c r="G164" s="186">
        <f ca="1">OFFSET(卡牌辅助配置表!$C$1,MATCH(AC164,卡牌辅助配置表!A:A,0)-1,0)</f>
        <v>3</v>
      </c>
      <c r="H164" s="186">
        <f ca="1" t="shared" si="32"/>
        <v>0</v>
      </c>
      <c r="I164" s="186"/>
      <c r="J164" s="186">
        <f ca="1">OFFSET(card_type!$F$1,MATCH(Q164,card_type!A:A,0)-1,0)</f>
        <v>1</v>
      </c>
      <c r="K164" s="243">
        <f ca="1">OFFSET(card_type!$G$1,MATCH(Q164,card_type!A:A,0)-1,0)</f>
        <v>1</v>
      </c>
      <c r="L164" s="157">
        <v>2</v>
      </c>
      <c r="M164" s="157">
        <v>2</v>
      </c>
      <c r="N164" s="153">
        <f t="shared" si="23"/>
        <v>9</v>
      </c>
      <c r="O164" s="157"/>
      <c r="P164" s="157"/>
      <c r="Q164" s="153">
        <f ca="1">OFFSET(card_type!$A$1,MATCH(card!B164,card_type!B:B,0)-1,0)</f>
        <v>1006</v>
      </c>
      <c r="R164" s="153">
        <v>1</v>
      </c>
      <c r="S164" s="157">
        <f ca="1">ROUND(IF(R164=0,0,IF(R164=1,X164*$S$1,IF(R164=2,X164*$S$1*buff的资质计算!$E$2,IF(R164=3,X164*$S$1*buff的资质计算!$E$3,0)))),0)*0</f>
        <v>0</v>
      </c>
      <c r="T164" s="153">
        <v>1</v>
      </c>
      <c r="U164" s="153">
        <f ca="1" t="shared" si="24"/>
        <v>11</v>
      </c>
      <c r="V164" s="153">
        <f ca="1">ROUND((OFFSET(卡牌辅助配置表!$O$1,MATCH(U164,卡牌辅助配置表!M:M,0)-1,0)+(N164-1)*OFFSET(卡牌辅助配置表!$P$1,MATCH(U164,卡牌辅助配置表!M:M,0)-1,0))*M164,2)</f>
        <v>15.88</v>
      </c>
      <c r="W164" s="157">
        <f ca="1">ROUND(IF(R164=0,0,IF(R164=1,X164*$W$1,IF(R164=2,X164*$W$1*buff的资质计算!$E$2,IF(R164=3,X164*$W$1*buff的资质计算!$E$3,0)))),2)</f>
        <v>5.1</v>
      </c>
      <c r="X164" s="157">
        <f ca="1" t="shared" si="25"/>
        <v>17</v>
      </c>
      <c r="Y164" s="157">
        <f ca="1" t="shared" si="26"/>
        <v>17</v>
      </c>
      <c r="Z164" s="304">
        <f ca="1" t="shared" si="27"/>
        <v>8.5</v>
      </c>
      <c r="AA164" s="304">
        <f ca="1">OFFSET(卡牌辅助配置表!$AD$1,MATCH(AB164,卡牌辅助配置表!AB:AB,0)-1,0)</f>
        <v>162</v>
      </c>
      <c r="AB164" s="304">
        <f ca="1" t="shared" si="28"/>
        <v>1109</v>
      </c>
      <c r="AC164" s="153">
        <v>3</v>
      </c>
      <c r="AE164" s="153">
        <v>1</v>
      </c>
      <c r="AF164" s="153" t="str">
        <f ca="1" t="shared" si="29"/>
        <v>10060011|</v>
      </c>
      <c r="AJ164" s="205" t="str">
        <f ca="1" t="shared" si="30"/>
        <v>301006|15|;400023|2300|;</v>
      </c>
      <c r="AK164" s="205">
        <f ca="1">OFFSET([1]item_type!$A$1,MATCH(Q164,[1]item_type!$G:$G,0)-1,0)</f>
        <v>301006</v>
      </c>
      <c r="AL164" s="205">
        <v>15</v>
      </c>
      <c r="AM164" s="205">
        <f ca="1">IF(B164=B165,OFFSET(卡牌辅助配置表!$AE$1,MATCH(AB164,卡牌辅助配置表!AB:AB,0),0),0)</f>
        <v>2300</v>
      </c>
      <c r="AN164" s="153">
        <f ca="1" t="shared" si="31"/>
        <v>1006010</v>
      </c>
      <c r="AP164" s="153" t="str">
        <f ca="1">IF(AC164=0,0,IF(AC164=12,0,OFFSET(effect!$N$1,MATCH(K164,effect!M:M,0)-1,0)))</f>
        <v>kpsx_pt</v>
      </c>
    </row>
    <row r="165" spans="1:42">
      <c r="A165" s="153">
        <f ca="1" t="shared" si="22"/>
        <v>1006010</v>
      </c>
      <c r="B165" s="91" t="s">
        <v>496</v>
      </c>
      <c r="C165" s="186">
        <v>1</v>
      </c>
      <c r="D165" s="186">
        <v>6</v>
      </c>
      <c r="E165" s="165" t="s">
        <v>1050</v>
      </c>
      <c r="F165" s="165" t="str">
        <f>"上一招为拳法时，增加造成伤害"&amp;skill!$O$11/100&amp;"%的护甲"</f>
        <v>上一招为拳法时，增加造成伤害35%的护甲</v>
      </c>
      <c r="G165" s="186">
        <f ca="1">OFFSET(卡牌辅助配置表!$C$1,MATCH(AC165,卡牌辅助配置表!A:A,0)-1,0)</f>
        <v>3</v>
      </c>
      <c r="H165" s="186">
        <f ca="1" t="shared" si="32"/>
        <v>0</v>
      </c>
      <c r="I165" s="186"/>
      <c r="J165" s="186">
        <f ca="1">OFFSET(card_type!$F$1,MATCH(Q165,card_type!A:A,0)-1,0)</f>
        <v>1</v>
      </c>
      <c r="K165" s="243">
        <f ca="1">OFFSET(card_type!$G$1,MATCH(Q165,card_type!A:A,0)-1,0)</f>
        <v>1</v>
      </c>
      <c r="L165" s="157">
        <v>2</v>
      </c>
      <c r="M165" s="157">
        <v>2</v>
      </c>
      <c r="N165" s="153">
        <f t="shared" si="23"/>
        <v>10</v>
      </c>
      <c r="O165" s="157"/>
      <c r="P165" s="157"/>
      <c r="Q165" s="153">
        <f ca="1">OFFSET(card_type!$A$1,MATCH(card!B165,card_type!B:B,0)-1,0)</f>
        <v>1006</v>
      </c>
      <c r="R165" s="153">
        <v>1</v>
      </c>
      <c r="S165" s="157">
        <f ca="1">ROUND(IF(R165=0,0,IF(R165=1,X165*$S$1,IF(R165=2,X165*$S$1*buff的资质计算!$E$2,IF(R165=3,X165*$S$1*buff的资质计算!$E$3,0)))),0)*0</f>
        <v>0</v>
      </c>
      <c r="T165" s="153">
        <v>1</v>
      </c>
      <c r="U165" s="153">
        <f ca="1" t="shared" si="24"/>
        <v>11</v>
      </c>
      <c r="V165" s="153">
        <f ca="1">ROUND((OFFSET(卡牌辅助配置表!$O$1,MATCH(U165,卡牌辅助配置表!M:M,0)-1,0)+(N165-1)*OFFSET(卡牌辅助配置表!$P$1,MATCH(U165,卡牌辅助配置表!M:M,0)-1,0))*M165,2)</f>
        <v>16.3</v>
      </c>
      <c r="W165" s="157">
        <f ca="1">ROUND(IF(R165=0,0,IF(R165=1,X165*$W$1,IF(R165=2,X165*$W$1*buff的资质计算!$E$2,IF(R165=3,X165*$W$1*buff的资质计算!$E$3,0)))),2)</f>
        <v>5.25</v>
      </c>
      <c r="X165" s="157">
        <f ca="1" t="shared" si="25"/>
        <v>17.5</v>
      </c>
      <c r="Y165" s="157">
        <f ca="1" t="shared" si="26"/>
        <v>17.5</v>
      </c>
      <c r="Z165" s="304">
        <f ca="1" t="shared" si="27"/>
        <v>8.75</v>
      </c>
      <c r="AA165" s="304">
        <f ca="1">OFFSET(卡牌辅助配置表!$AD$1,MATCH(AB165,卡牌辅助配置表!AB:AB,0)-1,0)</f>
        <v>180</v>
      </c>
      <c r="AB165" s="304">
        <f ca="1" t="shared" si="28"/>
        <v>1110</v>
      </c>
      <c r="AC165" s="153">
        <v>3</v>
      </c>
      <c r="AE165" s="153">
        <v>1</v>
      </c>
      <c r="AF165" s="153" t="str">
        <f ca="1" t="shared" si="29"/>
        <v>10060011|</v>
      </c>
      <c r="AJ165" s="205" t="str">
        <f ca="1" t="shared" si="30"/>
        <v>400023|2700|;</v>
      </c>
      <c r="AK165" s="205">
        <f ca="1">OFFSET([1]item_type!$A$1,MATCH(Q165,[1]item_type!$G:$G,0)-1,0)</f>
        <v>301006</v>
      </c>
      <c r="AL165" s="205"/>
      <c r="AM165" s="205">
        <f ca="1">IF(B165=B166,OFFSET(卡牌辅助配置表!$AE$1,MATCH(AB165,卡牌辅助配置表!AB:AB,0),0),0)</f>
        <v>2700</v>
      </c>
      <c r="AN165" s="153">
        <f ca="1" t="shared" si="31"/>
        <v>1006011</v>
      </c>
      <c r="AP165" s="153" t="str">
        <f ca="1">IF(AC165=0,0,IF(AC165=12,0,OFFSET(effect!$N$1,MATCH(K165,effect!M:M,0)-1,0)))</f>
        <v>kpsx_pt</v>
      </c>
    </row>
    <row r="166" spans="1:42">
      <c r="A166" s="153">
        <f ca="1" t="shared" si="22"/>
        <v>1006011</v>
      </c>
      <c r="B166" s="91" t="s">
        <v>496</v>
      </c>
      <c r="C166" s="186">
        <v>1</v>
      </c>
      <c r="D166" s="186">
        <v>6</v>
      </c>
      <c r="E166" s="165" t="s">
        <v>1050</v>
      </c>
      <c r="F166" s="165" t="str">
        <f>"上一招为拳法时，增加造成伤害"&amp;skill!$O$11/100&amp;"%的护甲"</f>
        <v>上一招为拳法时，增加造成伤害35%的护甲</v>
      </c>
      <c r="G166" s="186">
        <f ca="1">OFFSET(卡牌辅助配置表!$C$1,MATCH(AC166,卡牌辅助配置表!A:A,0)-1,0)</f>
        <v>3</v>
      </c>
      <c r="H166" s="186">
        <f ca="1" t="shared" si="32"/>
        <v>0</v>
      </c>
      <c r="I166" s="186"/>
      <c r="J166" s="186">
        <f ca="1">OFFSET(card_type!$F$1,MATCH(Q166,card_type!A:A,0)-1,0)</f>
        <v>1</v>
      </c>
      <c r="K166" s="243">
        <f ca="1">OFFSET(card_type!$G$1,MATCH(Q166,card_type!A:A,0)-1,0)</f>
        <v>1</v>
      </c>
      <c r="L166" s="157">
        <v>2</v>
      </c>
      <c r="M166" s="157">
        <v>2</v>
      </c>
      <c r="N166" s="153">
        <f t="shared" si="23"/>
        <v>11</v>
      </c>
      <c r="O166" s="157"/>
      <c r="P166" s="157"/>
      <c r="Q166" s="153">
        <f ca="1">OFFSET(card_type!$A$1,MATCH(card!B166,card_type!B:B,0)-1,0)</f>
        <v>1006</v>
      </c>
      <c r="R166" s="153">
        <v>1</v>
      </c>
      <c r="S166" s="157">
        <f ca="1">ROUND(IF(R166=0,0,IF(R166=1,X166*$S$1,IF(R166=2,X166*$S$1*buff的资质计算!$E$2,IF(R166=3,X166*$S$1*buff的资质计算!$E$3,0)))),0)*0</f>
        <v>0</v>
      </c>
      <c r="T166" s="153">
        <v>1</v>
      </c>
      <c r="U166" s="153">
        <f ca="1" t="shared" si="24"/>
        <v>11</v>
      </c>
      <c r="V166" s="153">
        <f ca="1">ROUND((OFFSET(卡牌辅助配置表!$O$1,MATCH(U166,卡牌辅助配置表!M:M,0)-1,0)+(N166-1)*OFFSET(卡牌辅助配置表!$P$1,MATCH(U166,卡牌辅助配置表!M:M,0)-1,0))*M166,2)</f>
        <v>16.72</v>
      </c>
      <c r="W166" s="157">
        <f ca="1">ROUND(IF(R166=0,0,IF(R166=1,X166*$W$1,IF(R166=2,X166*$W$1*buff的资质计算!$E$2,IF(R166=3,X166*$W$1*buff的资质计算!$E$3,0)))),2)</f>
        <v>5.4</v>
      </c>
      <c r="X166" s="157">
        <f ca="1" t="shared" si="25"/>
        <v>18</v>
      </c>
      <c r="Y166" s="157">
        <f ca="1" t="shared" si="26"/>
        <v>18</v>
      </c>
      <c r="Z166" s="304">
        <f ca="1" t="shared" si="27"/>
        <v>9</v>
      </c>
      <c r="AA166" s="304">
        <f ca="1">OFFSET(卡牌辅助配置表!$AD$1,MATCH(AB166,卡牌辅助配置表!AB:AB,0)-1,0)</f>
        <v>207</v>
      </c>
      <c r="AB166" s="304">
        <f ca="1" t="shared" si="28"/>
        <v>1111</v>
      </c>
      <c r="AC166" s="153">
        <v>3</v>
      </c>
      <c r="AE166" s="153">
        <v>1</v>
      </c>
      <c r="AF166" s="153" t="str">
        <f ca="1" t="shared" si="29"/>
        <v>10060011|</v>
      </c>
      <c r="AJ166" s="205" t="str">
        <f ca="1" t="shared" si="30"/>
        <v>400023|3100|;</v>
      </c>
      <c r="AK166" s="205">
        <f ca="1">OFFSET([1]item_type!$A$1,MATCH(Q166,[1]item_type!$G:$G,0)-1,0)</f>
        <v>301006</v>
      </c>
      <c r="AL166" s="205"/>
      <c r="AM166" s="205">
        <f ca="1">IF(B166=B167,OFFSET(卡牌辅助配置表!$AE$1,MATCH(AB166,卡牌辅助配置表!AB:AB,0),0),0)</f>
        <v>3100</v>
      </c>
      <c r="AN166" s="153">
        <f ca="1" t="shared" si="31"/>
        <v>1006012</v>
      </c>
      <c r="AP166" s="153" t="str">
        <f ca="1">IF(AC166=0,0,IF(AC166=12,0,OFFSET(effect!$N$1,MATCH(K166,effect!M:M,0)-1,0)))</f>
        <v>kpsx_pt</v>
      </c>
    </row>
    <row r="167" spans="1:42">
      <c r="A167" s="153">
        <f ca="1" t="shared" si="22"/>
        <v>1006012</v>
      </c>
      <c r="B167" s="91" t="s">
        <v>496</v>
      </c>
      <c r="C167" s="186">
        <v>1</v>
      </c>
      <c r="D167" s="186">
        <v>6</v>
      </c>
      <c r="E167" s="165" t="s">
        <v>1050</v>
      </c>
      <c r="F167" s="165" t="str">
        <f>"上一招为拳法时，增加造成伤害"&amp;skill!$O$11/100&amp;"%的护甲"</f>
        <v>上一招为拳法时，增加造成伤害35%的护甲</v>
      </c>
      <c r="G167" s="186">
        <f ca="1">OFFSET(卡牌辅助配置表!$C$1,MATCH(AC167,卡牌辅助配置表!A:A,0)-1,0)</f>
        <v>3</v>
      </c>
      <c r="H167" s="186">
        <f ca="1" t="shared" si="32"/>
        <v>0</v>
      </c>
      <c r="I167" s="186"/>
      <c r="J167" s="186">
        <f ca="1">OFFSET(card_type!$F$1,MATCH(Q167,card_type!A:A,0)-1,0)</f>
        <v>1</v>
      </c>
      <c r="K167" s="243">
        <f ca="1">OFFSET(card_type!$G$1,MATCH(Q167,card_type!A:A,0)-1,0)</f>
        <v>1</v>
      </c>
      <c r="L167" s="157">
        <v>2</v>
      </c>
      <c r="M167" s="157">
        <v>2</v>
      </c>
      <c r="N167" s="153">
        <f t="shared" si="23"/>
        <v>12</v>
      </c>
      <c r="O167" s="157"/>
      <c r="P167" s="157"/>
      <c r="Q167" s="153">
        <f ca="1">OFFSET(card_type!$A$1,MATCH(card!B167,card_type!B:B,0)-1,0)</f>
        <v>1006</v>
      </c>
      <c r="R167" s="153">
        <v>1</v>
      </c>
      <c r="S167" s="157">
        <f ca="1">ROUND(IF(R167=0,0,IF(R167=1,X167*$S$1,IF(R167=2,X167*$S$1*buff的资质计算!$E$2,IF(R167=3,X167*$S$1*buff的资质计算!$E$3,0)))),0)*0</f>
        <v>0</v>
      </c>
      <c r="T167" s="153">
        <v>1</v>
      </c>
      <c r="U167" s="153">
        <f ca="1" t="shared" si="24"/>
        <v>11</v>
      </c>
      <c r="V167" s="153">
        <f ca="1">ROUND((OFFSET(卡牌辅助配置表!$O$1,MATCH(U167,卡牌辅助配置表!M:M,0)-1,0)+(N167-1)*OFFSET(卡牌辅助配置表!$P$1,MATCH(U167,卡牌辅助配置表!M:M,0)-1,0))*M167,2)</f>
        <v>17.14</v>
      </c>
      <c r="W167" s="157">
        <f ca="1">ROUND(IF(R167=0,0,IF(R167=1,X167*$W$1,IF(R167=2,X167*$W$1*buff的资质计算!$E$2,IF(R167=3,X167*$W$1*buff的资质计算!$E$3,0)))),2)</f>
        <v>5.55</v>
      </c>
      <c r="X167" s="157">
        <f ca="1" t="shared" si="25"/>
        <v>18.5</v>
      </c>
      <c r="Y167" s="157">
        <f ca="1" t="shared" si="26"/>
        <v>18.5</v>
      </c>
      <c r="Z167" s="304">
        <f ca="1" t="shared" si="27"/>
        <v>9.25</v>
      </c>
      <c r="AA167" s="304">
        <f ca="1">OFFSET(卡牌辅助配置表!$AD$1,MATCH(AB167,卡牌辅助配置表!AB:AB,0)-1,0)</f>
        <v>234</v>
      </c>
      <c r="AB167" s="304">
        <f ca="1" t="shared" si="28"/>
        <v>1112</v>
      </c>
      <c r="AC167" s="153">
        <v>3</v>
      </c>
      <c r="AE167" s="153">
        <v>1</v>
      </c>
      <c r="AF167" s="153" t="str">
        <f ca="1" t="shared" si="29"/>
        <v>10060011|</v>
      </c>
      <c r="AJ167" s="205" t="str">
        <f ca="1" t="shared" si="30"/>
        <v>400023|3500|;</v>
      </c>
      <c r="AK167" s="205">
        <f ca="1">OFFSET([1]item_type!$A$1,MATCH(Q167,[1]item_type!$G:$G,0)-1,0)</f>
        <v>301006</v>
      </c>
      <c r="AL167" s="205"/>
      <c r="AM167" s="205">
        <f ca="1">IF(B167=B168,OFFSET(卡牌辅助配置表!$AE$1,MATCH(AB167,卡牌辅助配置表!AB:AB,0),0),0)</f>
        <v>3500</v>
      </c>
      <c r="AN167" s="153">
        <f ca="1" t="shared" si="31"/>
        <v>1006013</v>
      </c>
      <c r="AP167" s="153" t="str">
        <f ca="1">IF(AC167=0,0,IF(AC167=12,0,OFFSET(effect!$N$1,MATCH(K167,effect!M:M,0)-1,0)))</f>
        <v>kpsx_pt</v>
      </c>
    </row>
    <row r="168" spans="1:42">
      <c r="A168" s="153">
        <f ca="1" t="shared" si="22"/>
        <v>1006013</v>
      </c>
      <c r="B168" s="91" t="s">
        <v>496</v>
      </c>
      <c r="C168" s="186">
        <v>1</v>
      </c>
      <c r="D168" s="186">
        <v>6</v>
      </c>
      <c r="E168" s="165" t="s">
        <v>1050</v>
      </c>
      <c r="F168" s="165" t="str">
        <f>"上一招为拳法时，增加造成伤害"&amp;skill!$O$11/100&amp;"%的护甲"</f>
        <v>上一招为拳法时，增加造成伤害35%的护甲</v>
      </c>
      <c r="G168" s="186">
        <f ca="1">OFFSET(卡牌辅助配置表!$C$1,MATCH(AC168,卡牌辅助配置表!A:A,0)-1,0)</f>
        <v>3</v>
      </c>
      <c r="H168" s="186">
        <f ca="1" t="shared" si="32"/>
        <v>0</v>
      </c>
      <c r="I168" s="186"/>
      <c r="J168" s="186">
        <f ca="1">OFFSET(card_type!$F$1,MATCH(Q168,card_type!A:A,0)-1,0)</f>
        <v>1</v>
      </c>
      <c r="K168" s="243">
        <f ca="1">OFFSET(card_type!$G$1,MATCH(Q168,card_type!A:A,0)-1,0)</f>
        <v>1</v>
      </c>
      <c r="L168" s="157">
        <v>2</v>
      </c>
      <c r="M168" s="157">
        <v>2</v>
      </c>
      <c r="N168" s="153">
        <f t="shared" si="23"/>
        <v>13</v>
      </c>
      <c r="O168" s="157"/>
      <c r="P168" s="157"/>
      <c r="Q168" s="153">
        <f ca="1">OFFSET(card_type!$A$1,MATCH(card!B168,card_type!B:B,0)-1,0)</f>
        <v>1006</v>
      </c>
      <c r="R168" s="153">
        <v>1</v>
      </c>
      <c r="S168" s="157">
        <f ca="1">ROUND(IF(R168=0,0,IF(R168=1,X168*$S$1,IF(R168=2,X168*$S$1*buff的资质计算!$E$2,IF(R168=3,X168*$S$1*buff的资质计算!$E$3,0)))),0)*0</f>
        <v>0</v>
      </c>
      <c r="T168" s="153">
        <v>1</v>
      </c>
      <c r="U168" s="153">
        <f ca="1" t="shared" si="24"/>
        <v>11</v>
      </c>
      <c r="V168" s="153">
        <f ca="1">ROUND((OFFSET(卡牌辅助配置表!$O$1,MATCH(U168,卡牌辅助配置表!M:M,0)-1,0)+(N168-1)*OFFSET(卡牌辅助配置表!$P$1,MATCH(U168,卡牌辅助配置表!M:M,0)-1,0))*M168,2)</f>
        <v>17.56</v>
      </c>
      <c r="W168" s="157">
        <f ca="1">ROUND(IF(R168=0,0,IF(R168=1,X168*$W$1,IF(R168=2,X168*$W$1*buff的资质计算!$E$2,IF(R168=3,X168*$W$1*buff的资质计算!$E$3,0)))),2)</f>
        <v>5.7</v>
      </c>
      <c r="X168" s="157">
        <f ca="1" t="shared" si="25"/>
        <v>19</v>
      </c>
      <c r="Y168" s="157">
        <f ca="1" t="shared" si="26"/>
        <v>19</v>
      </c>
      <c r="Z168" s="304">
        <f ca="1" t="shared" si="27"/>
        <v>9.5</v>
      </c>
      <c r="AA168" s="304">
        <f ca="1">OFFSET(卡牌辅助配置表!$AD$1,MATCH(AB168,卡牌辅助配置表!AB:AB,0)-1,0)</f>
        <v>261</v>
      </c>
      <c r="AB168" s="304">
        <f ca="1" t="shared" si="28"/>
        <v>1113</v>
      </c>
      <c r="AC168" s="153">
        <v>3</v>
      </c>
      <c r="AE168" s="153">
        <v>1</v>
      </c>
      <c r="AF168" s="153" t="str">
        <f ca="1" t="shared" si="29"/>
        <v>10060011|</v>
      </c>
      <c r="AJ168" s="205" t="str">
        <f ca="1" t="shared" si="30"/>
        <v>400023|3900|;</v>
      </c>
      <c r="AK168" s="205">
        <f ca="1">OFFSET([1]item_type!$A$1,MATCH(Q168,[1]item_type!$G:$G,0)-1,0)</f>
        <v>301006</v>
      </c>
      <c r="AL168" s="205"/>
      <c r="AM168" s="205">
        <f ca="1">IF(B168=B169,OFFSET(卡牌辅助配置表!$AE$1,MATCH(AB168,卡牌辅助配置表!AB:AB,0),0),0)</f>
        <v>3900</v>
      </c>
      <c r="AN168" s="153">
        <f ca="1" t="shared" si="31"/>
        <v>1006014</v>
      </c>
      <c r="AP168" s="153" t="str">
        <f ca="1">IF(AC168=0,0,IF(AC168=12,0,OFFSET(effect!$N$1,MATCH(K168,effect!M:M,0)-1,0)))</f>
        <v>kpsx_pt</v>
      </c>
    </row>
    <row r="169" spans="1:42">
      <c r="A169" s="153">
        <f ca="1" t="shared" si="22"/>
        <v>1006014</v>
      </c>
      <c r="B169" s="91" t="s">
        <v>496</v>
      </c>
      <c r="C169" s="186">
        <v>1</v>
      </c>
      <c r="D169" s="186">
        <v>6</v>
      </c>
      <c r="E169" s="165" t="s">
        <v>1050</v>
      </c>
      <c r="F169" s="165" t="str">
        <f>"上一招为拳法时，增加造成伤害"&amp;skill!$O$11/100&amp;"%的护甲"</f>
        <v>上一招为拳法时，增加造成伤害35%的护甲</v>
      </c>
      <c r="G169" s="186">
        <f ca="1">OFFSET(卡牌辅助配置表!$C$1,MATCH(AC169,卡牌辅助配置表!A:A,0)-1,0)</f>
        <v>3</v>
      </c>
      <c r="H169" s="186">
        <f ca="1" t="shared" si="32"/>
        <v>0</v>
      </c>
      <c r="I169" s="186"/>
      <c r="J169" s="186">
        <f ca="1">OFFSET(card_type!$F$1,MATCH(Q169,card_type!A:A,0)-1,0)</f>
        <v>1</v>
      </c>
      <c r="K169" s="243">
        <f ca="1">OFFSET(card_type!$G$1,MATCH(Q169,card_type!A:A,0)-1,0)</f>
        <v>1</v>
      </c>
      <c r="L169" s="157">
        <v>2</v>
      </c>
      <c r="M169" s="157">
        <v>2</v>
      </c>
      <c r="N169" s="153">
        <f t="shared" si="23"/>
        <v>14</v>
      </c>
      <c r="O169" s="157"/>
      <c r="P169" s="157"/>
      <c r="Q169" s="153">
        <f ca="1">OFFSET(card_type!$A$1,MATCH(card!B169,card_type!B:B,0)-1,0)</f>
        <v>1006</v>
      </c>
      <c r="R169" s="153">
        <v>1</v>
      </c>
      <c r="S169" s="157">
        <f ca="1">ROUND(IF(R169=0,0,IF(R169=1,X169*$S$1,IF(R169=2,X169*$S$1*buff的资质计算!$E$2,IF(R169=3,X169*$S$1*buff的资质计算!$E$3,0)))),0)*0</f>
        <v>0</v>
      </c>
      <c r="T169" s="153">
        <v>1</v>
      </c>
      <c r="U169" s="153">
        <f ca="1" t="shared" si="24"/>
        <v>11</v>
      </c>
      <c r="V169" s="153">
        <f ca="1">ROUND((OFFSET(卡牌辅助配置表!$O$1,MATCH(U169,卡牌辅助配置表!M:M,0)-1,0)+(N169-1)*OFFSET(卡牌辅助配置表!$P$1,MATCH(U169,卡牌辅助配置表!M:M,0)-1,0))*M169,2)</f>
        <v>17.97</v>
      </c>
      <c r="W169" s="157">
        <f ca="1">ROUND(IF(R169=0,0,IF(R169=1,X169*$W$1,IF(R169=2,X169*$W$1*buff的资质计算!$E$2,IF(R169=3,X169*$W$1*buff的资质计算!$E$3,0)))),2)</f>
        <v>5.85</v>
      </c>
      <c r="X169" s="157">
        <f ca="1" t="shared" si="25"/>
        <v>19.5</v>
      </c>
      <c r="Y169" s="157">
        <f ca="1" t="shared" si="26"/>
        <v>19.5</v>
      </c>
      <c r="Z169" s="304">
        <f ca="1" t="shared" si="27"/>
        <v>9.75</v>
      </c>
      <c r="AA169" s="304">
        <f ca="1">OFFSET(卡牌辅助配置表!$AD$1,MATCH(AB169,卡牌辅助配置表!AB:AB,0)-1,0)</f>
        <v>288</v>
      </c>
      <c r="AB169" s="304">
        <f ca="1" t="shared" si="28"/>
        <v>1114</v>
      </c>
      <c r="AC169" s="153">
        <v>3</v>
      </c>
      <c r="AE169" s="153">
        <v>1</v>
      </c>
      <c r="AF169" s="153" t="str">
        <f ca="1" t="shared" si="29"/>
        <v>10060011|</v>
      </c>
      <c r="AJ169" s="205" t="str">
        <f ca="1" t="shared" si="30"/>
        <v>400023|4300|;</v>
      </c>
      <c r="AK169" s="205">
        <f ca="1">OFFSET([1]item_type!$A$1,MATCH(Q169,[1]item_type!$G:$G,0)-1,0)</f>
        <v>301006</v>
      </c>
      <c r="AL169" s="205"/>
      <c r="AM169" s="205">
        <f ca="1">IF(B169=B170,OFFSET(卡牌辅助配置表!$AE$1,MATCH(AB169,卡牌辅助配置表!AB:AB,0),0),0)</f>
        <v>4300</v>
      </c>
      <c r="AN169" s="153">
        <f ca="1" t="shared" si="31"/>
        <v>1006015</v>
      </c>
      <c r="AP169" s="153" t="str">
        <f ca="1">IF(AC169=0,0,IF(AC169=12,0,OFFSET(effect!$N$1,MATCH(K169,effect!M:M,0)-1,0)))</f>
        <v>kpsx_pt</v>
      </c>
    </row>
    <row r="170" spans="1:42">
      <c r="A170" s="153">
        <f ca="1" t="shared" si="22"/>
        <v>1006015</v>
      </c>
      <c r="B170" s="91" t="s">
        <v>496</v>
      </c>
      <c r="C170" s="186">
        <v>1</v>
      </c>
      <c r="D170" s="186">
        <v>6</v>
      </c>
      <c r="E170" s="165" t="s">
        <v>1050</v>
      </c>
      <c r="F170" s="165" t="str">
        <f>"上一招为拳法时，增加造成伤害"&amp;skill!$O$11/100&amp;"%的护甲"</f>
        <v>上一招为拳法时，增加造成伤害35%的护甲</v>
      </c>
      <c r="G170" s="186">
        <f ca="1">OFFSET(卡牌辅助配置表!$C$1,MATCH(AC170,卡牌辅助配置表!A:A,0)-1,0)</f>
        <v>3</v>
      </c>
      <c r="H170" s="186">
        <f ca="1" t="shared" si="32"/>
        <v>0</v>
      </c>
      <c r="I170" s="186"/>
      <c r="J170" s="186">
        <f ca="1">OFFSET(card_type!$F$1,MATCH(Q170,card_type!A:A,0)-1,0)</f>
        <v>1</v>
      </c>
      <c r="K170" s="243">
        <f ca="1">OFFSET(card_type!$G$1,MATCH(Q170,card_type!A:A,0)-1,0)</f>
        <v>1</v>
      </c>
      <c r="L170" s="157">
        <v>2</v>
      </c>
      <c r="M170" s="157">
        <v>2</v>
      </c>
      <c r="N170" s="153">
        <f t="shared" si="23"/>
        <v>15</v>
      </c>
      <c r="O170" s="157"/>
      <c r="P170" s="157"/>
      <c r="Q170" s="153">
        <f ca="1">OFFSET(card_type!$A$1,MATCH(card!B170,card_type!B:B,0)-1,0)</f>
        <v>1006</v>
      </c>
      <c r="R170" s="153">
        <v>1</v>
      </c>
      <c r="S170" s="157">
        <f ca="1">ROUND(IF(R170=0,0,IF(R170=1,X170*$S$1,IF(R170=2,X170*$S$1*buff的资质计算!$E$2,IF(R170=3,X170*$S$1*buff的资质计算!$E$3,0)))),0)*0</f>
        <v>0</v>
      </c>
      <c r="T170" s="153">
        <v>1</v>
      </c>
      <c r="U170" s="153">
        <f ca="1" t="shared" si="24"/>
        <v>11</v>
      </c>
      <c r="V170" s="153">
        <f ca="1">ROUND((OFFSET(卡牌辅助配置表!$O$1,MATCH(U170,卡牌辅助配置表!M:M,0)-1,0)+(N170-1)*OFFSET(卡牌辅助配置表!$P$1,MATCH(U170,卡牌辅助配置表!M:M,0)-1,0))*M170,2)</f>
        <v>18.39</v>
      </c>
      <c r="W170" s="157">
        <f ca="1">ROUND(IF(R170=0,0,IF(R170=1,X170*$W$1,IF(R170=2,X170*$W$1*buff的资质计算!$E$2,IF(R170=3,X170*$W$1*buff的资质计算!$E$3,0)))),2)</f>
        <v>6</v>
      </c>
      <c r="X170" s="157">
        <f ca="1" t="shared" si="25"/>
        <v>20</v>
      </c>
      <c r="Y170" s="157">
        <f ca="1" t="shared" si="26"/>
        <v>20</v>
      </c>
      <c r="Z170" s="304">
        <f ca="1" t="shared" si="27"/>
        <v>10</v>
      </c>
      <c r="AA170" s="304">
        <f ca="1">OFFSET(卡牌辅助配置表!$AD$1,MATCH(AB170,卡牌辅助配置表!AB:AB,0)-1,0)</f>
        <v>315</v>
      </c>
      <c r="AB170" s="304">
        <f ca="1" t="shared" si="28"/>
        <v>1115</v>
      </c>
      <c r="AC170" s="153">
        <v>3</v>
      </c>
      <c r="AE170" s="153">
        <v>1</v>
      </c>
      <c r="AF170" s="153" t="str">
        <f ca="1" t="shared" si="29"/>
        <v>10060011|</v>
      </c>
      <c r="AJ170" s="205" t="str">
        <f ca="1" t="shared" si="30"/>
        <v>400023|4700|;</v>
      </c>
      <c r="AK170" s="205">
        <f ca="1">OFFSET([1]item_type!$A$1,MATCH(Q170,[1]item_type!$G:$G,0)-1,0)</f>
        <v>301006</v>
      </c>
      <c r="AL170" s="205"/>
      <c r="AM170" s="205">
        <f ca="1">IF(B170=B171,OFFSET(卡牌辅助配置表!$AE$1,MATCH(AB170,卡牌辅助配置表!AB:AB,0),0),0)</f>
        <v>4700</v>
      </c>
      <c r="AN170" s="153">
        <f ca="1" t="shared" si="31"/>
        <v>1006016</v>
      </c>
      <c r="AP170" s="153" t="str">
        <f ca="1">IF(AC170=0,0,IF(AC170=12,0,OFFSET(effect!$N$1,MATCH(K170,effect!M:M,0)-1,0)))</f>
        <v>kpsx_pt</v>
      </c>
    </row>
    <row r="171" spans="1:42">
      <c r="A171" s="153">
        <f ca="1" t="shared" si="22"/>
        <v>1006016</v>
      </c>
      <c r="B171" s="91" t="s">
        <v>496</v>
      </c>
      <c r="C171" s="186">
        <v>1</v>
      </c>
      <c r="D171" s="186">
        <v>6</v>
      </c>
      <c r="E171" s="165" t="s">
        <v>1050</v>
      </c>
      <c r="F171" s="165" t="str">
        <f>"上一招为拳法时，增加造成伤害"&amp;skill!$O$11/100&amp;"%的护甲"</f>
        <v>上一招为拳法时，增加造成伤害35%的护甲</v>
      </c>
      <c r="G171" s="186">
        <f ca="1">OFFSET(卡牌辅助配置表!$C$1,MATCH(AC171,卡牌辅助配置表!A:A,0)-1,0)</f>
        <v>3</v>
      </c>
      <c r="H171" s="186">
        <f ca="1" t="shared" si="32"/>
        <v>0</v>
      </c>
      <c r="I171" s="186"/>
      <c r="J171" s="186">
        <f ca="1">OFFSET(card_type!$F$1,MATCH(Q171,card_type!A:A,0)-1,0)</f>
        <v>1</v>
      </c>
      <c r="K171" s="243">
        <f ca="1">OFFSET(card_type!$G$1,MATCH(Q171,card_type!A:A,0)-1,0)</f>
        <v>1</v>
      </c>
      <c r="L171" s="157">
        <v>2</v>
      </c>
      <c r="M171" s="157">
        <v>2</v>
      </c>
      <c r="N171" s="153">
        <f t="shared" si="23"/>
        <v>16</v>
      </c>
      <c r="O171" s="157"/>
      <c r="P171" s="157"/>
      <c r="Q171" s="153">
        <f ca="1">OFFSET(card_type!$A$1,MATCH(card!B171,card_type!B:B,0)-1,0)</f>
        <v>1006</v>
      </c>
      <c r="R171" s="153">
        <v>1</v>
      </c>
      <c r="S171" s="157">
        <f ca="1">ROUND(IF(R171=0,0,IF(R171=1,X171*$S$1,IF(R171=2,X171*$S$1*buff的资质计算!$E$2,IF(R171=3,X171*$S$1*buff的资质计算!$E$3,0)))),0)*0</f>
        <v>0</v>
      </c>
      <c r="T171" s="153">
        <v>1</v>
      </c>
      <c r="U171" s="153">
        <f ca="1" t="shared" si="24"/>
        <v>11</v>
      </c>
      <c r="V171" s="153">
        <f ca="1">ROUND((OFFSET(卡牌辅助配置表!$O$1,MATCH(U171,卡牌辅助配置表!M:M,0)-1,0)+(N171-1)*OFFSET(卡牌辅助配置表!$P$1,MATCH(U171,卡牌辅助配置表!M:M,0)-1,0))*M171,2)</f>
        <v>18.81</v>
      </c>
      <c r="W171" s="157">
        <f ca="1">ROUND(IF(R171=0,0,IF(R171=1,X171*$W$1,IF(R171=2,X171*$W$1*buff的资质计算!$E$2,IF(R171=3,X171*$W$1*buff的资质计算!$E$3,0)))),2)</f>
        <v>6.15</v>
      </c>
      <c r="X171" s="157">
        <f ca="1" t="shared" si="25"/>
        <v>20.5</v>
      </c>
      <c r="Y171" s="157">
        <f ca="1" t="shared" si="26"/>
        <v>20.5</v>
      </c>
      <c r="Z171" s="304">
        <f ca="1" t="shared" si="27"/>
        <v>10.25</v>
      </c>
      <c r="AA171" s="304">
        <f ca="1">OFFSET(卡牌辅助配置表!$AD$1,MATCH(AB171,卡牌辅助配置表!AB:AB,0)-1,0)</f>
        <v>342</v>
      </c>
      <c r="AB171" s="304">
        <f ca="1" t="shared" si="28"/>
        <v>1116</v>
      </c>
      <c r="AC171" s="153">
        <v>3</v>
      </c>
      <c r="AE171" s="153">
        <v>1</v>
      </c>
      <c r="AF171" s="153" t="str">
        <f ca="1" t="shared" si="29"/>
        <v>10060011|</v>
      </c>
      <c r="AJ171" s="205" t="str">
        <f ca="1" t="shared" si="30"/>
        <v>400023|5100|;</v>
      </c>
      <c r="AK171" s="205">
        <f ca="1">OFFSET([1]item_type!$A$1,MATCH(Q171,[1]item_type!$G:$G,0)-1,0)</f>
        <v>301006</v>
      </c>
      <c r="AL171" s="205"/>
      <c r="AM171" s="205">
        <f ca="1">IF(B171=B172,OFFSET(卡牌辅助配置表!$AE$1,MATCH(AB171,卡牌辅助配置表!AB:AB,0),0),0)</f>
        <v>5100</v>
      </c>
      <c r="AN171" s="153">
        <f ca="1" t="shared" si="31"/>
        <v>1006017</v>
      </c>
      <c r="AP171" s="153" t="str">
        <f ca="1">IF(AC171=0,0,IF(AC171=12,0,OFFSET(effect!$N$1,MATCH(K171,effect!M:M,0)-1,0)))</f>
        <v>kpsx_pt</v>
      </c>
    </row>
    <row r="172" spans="1:42">
      <c r="A172" s="153">
        <f ca="1" t="shared" si="22"/>
        <v>1006017</v>
      </c>
      <c r="B172" s="91" t="s">
        <v>496</v>
      </c>
      <c r="C172" s="186">
        <v>1</v>
      </c>
      <c r="D172" s="186">
        <v>6</v>
      </c>
      <c r="E172" s="165" t="s">
        <v>1050</v>
      </c>
      <c r="F172" s="165" t="str">
        <f>"上一招为拳法时，增加造成伤害"&amp;skill!$O$11/100&amp;"%的护甲"</f>
        <v>上一招为拳法时，增加造成伤害35%的护甲</v>
      </c>
      <c r="G172" s="186">
        <f ca="1">OFFSET(卡牌辅助配置表!$C$1,MATCH(AC172,卡牌辅助配置表!A:A,0)-1,0)</f>
        <v>3</v>
      </c>
      <c r="H172" s="186">
        <f ca="1" t="shared" si="32"/>
        <v>0</v>
      </c>
      <c r="I172" s="186"/>
      <c r="J172" s="186">
        <f ca="1">OFFSET(card_type!$F$1,MATCH(Q172,card_type!A:A,0)-1,0)</f>
        <v>1</v>
      </c>
      <c r="K172" s="243">
        <f ca="1">OFFSET(card_type!$G$1,MATCH(Q172,card_type!A:A,0)-1,0)</f>
        <v>1</v>
      </c>
      <c r="L172" s="157">
        <v>2</v>
      </c>
      <c r="M172" s="157">
        <v>2</v>
      </c>
      <c r="N172" s="153">
        <f t="shared" si="23"/>
        <v>17</v>
      </c>
      <c r="O172" s="157"/>
      <c r="P172" s="157"/>
      <c r="Q172" s="153">
        <f ca="1">OFFSET(card_type!$A$1,MATCH(card!B172,card_type!B:B,0)-1,0)</f>
        <v>1006</v>
      </c>
      <c r="R172" s="153">
        <v>1</v>
      </c>
      <c r="S172" s="157">
        <f ca="1">ROUND(IF(R172=0,0,IF(R172=1,X172*$S$1,IF(R172=2,X172*$S$1*buff的资质计算!$E$2,IF(R172=3,X172*$S$1*buff的资质计算!$E$3,0)))),0)*0</f>
        <v>0</v>
      </c>
      <c r="T172" s="153">
        <v>1</v>
      </c>
      <c r="U172" s="153">
        <f ca="1" t="shared" si="24"/>
        <v>11</v>
      </c>
      <c r="V172" s="153">
        <f ca="1">ROUND((OFFSET(卡牌辅助配置表!$O$1,MATCH(U172,卡牌辅助配置表!M:M,0)-1,0)+(N172-1)*OFFSET(卡牌辅助配置表!$P$1,MATCH(U172,卡牌辅助配置表!M:M,0)-1,0))*M172,2)</f>
        <v>19.23</v>
      </c>
      <c r="W172" s="157">
        <f ca="1">ROUND(IF(R172=0,0,IF(R172=1,X172*$W$1,IF(R172=2,X172*$W$1*buff的资质计算!$E$2,IF(R172=3,X172*$W$1*buff的资质计算!$E$3,0)))),2)</f>
        <v>6.3</v>
      </c>
      <c r="X172" s="157">
        <f ca="1" t="shared" si="25"/>
        <v>21</v>
      </c>
      <c r="Y172" s="157">
        <f ca="1" t="shared" si="26"/>
        <v>21</v>
      </c>
      <c r="Z172" s="304">
        <f ca="1" t="shared" si="27"/>
        <v>10.5</v>
      </c>
      <c r="AA172" s="304">
        <f ca="1">OFFSET(卡牌辅助配置表!$AD$1,MATCH(AB172,卡牌辅助配置表!AB:AB,0)-1,0)</f>
        <v>369</v>
      </c>
      <c r="AB172" s="304">
        <f ca="1" t="shared" si="28"/>
        <v>1117</v>
      </c>
      <c r="AC172" s="153">
        <v>3</v>
      </c>
      <c r="AE172" s="153">
        <v>1</v>
      </c>
      <c r="AF172" s="153" t="str">
        <f ca="1" t="shared" si="29"/>
        <v>10060011|</v>
      </c>
      <c r="AJ172" s="205" t="str">
        <f ca="1" t="shared" si="30"/>
        <v>400023|5500|;</v>
      </c>
      <c r="AK172" s="205">
        <f ca="1">OFFSET([1]item_type!$A$1,MATCH(Q172,[1]item_type!$G:$G,0)-1,0)</f>
        <v>301006</v>
      </c>
      <c r="AL172" s="205"/>
      <c r="AM172" s="205">
        <f ca="1">IF(B172=B173,OFFSET(卡牌辅助配置表!$AE$1,MATCH(AB172,卡牌辅助配置表!AB:AB,0),0),0)</f>
        <v>5500</v>
      </c>
      <c r="AN172" s="153">
        <f ca="1" t="shared" si="31"/>
        <v>1006018</v>
      </c>
      <c r="AP172" s="153" t="str">
        <f ca="1">IF(AC172=0,0,IF(AC172=12,0,OFFSET(effect!$N$1,MATCH(K172,effect!M:M,0)-1,0)))</f>
        <v>kpsx_pt</v>
      </c>
    </row>
    <row r="173" spans="1:42">
      <c r="A173" s="153">
        <f ca="1" t="shared" si="22"/>
        <v>1006018</v>
      </c>
      <c r="B173" s="91" t="s">
        <v>496</v>
      </c>
      <c r="C173" s="186">
        <v>1</v>
      </c>
      <c r="D173" s="186">
        <v>6</v>
      </c>
      <c r="E173" s="165" t="s">
        <v>1050</v>
      </c>
      <c r="F173" s="165" t="str">
        <f>"上一招为拳法时，增加造成伤害"&amp;skill!$O$11/100&amp;"%的护甲"</f>
        <v>上一招为拳法时，增加造成伤害35%的护甲</v>
      </c>
      <c r="G173" s="186">
        <f ca="1">OFFSET(卡牌辅助配置表!$C$1,MATCH(AC173,卡牌辅助配置表!A:A,0)-1,0)</f>
        <v>3</v>
      </c>
      <c r="H173" s="186">
        <f ca="1" t="shared" si="32"/>
        <v>0</v>
      </c>
      <c r="I173" s="186"/>
      <c r="J173" s="186">
        <f ca="1">OFFSET(card_type!$F$1,MATCH(Q173,card_type!A:A,0)-1,0)</f>
        <v>1</v>
      </c>
      <c r="K173" s="243">
        <f ca="1">OFFSET(card_type!$G$1,MATCH(Q173,card_type!A:A,0)-1,0)</f>
        <v>1</v>
      </c>
      <c r="L173" s="157">
        <v>2</v>
      </c>
      <c r="M173" s="157">
        <v>2</v>
      </c>
      <c r="N173" s="153">
        <f t="shared" si="23"/>
        <v>18</v>
      </c>
      <c r="O173" s="157"/>
      <c r="P173" s="157"/>
      <c r="Q173" s="153">
        <f ca="1">OFFSET(card_type!$A$1,MATCH(card!B173,card_type!B:B,0)-1,0)</f>
        <v>1006</v>
      </c>
      <c r="R173" s="153">
        <v>1</v>
      </c>
      <c r="S173" s="157">
        <f ca="1">ROUND(IF(R173=0,0,IF(R173=1,X173*$S$1,IF(R173=2,X173*$S$1*buff的资质计算!$E$2,IF(R173=3,X173*$S$1*buff的资质计算!$E$3,0)))),0)*0</f>
        <v>0</v>
      </c>
      <c r="T173" s="153">
        <v>1</v>
      </c>
      <c r="U173" s="153">
        <f ca="1" t="shared" si="24"/>
        <v>11</v>
      </c>
      <c r="V173" s="153">
        <f ca="1">ROUND((OFFSET(卡牌辅助配置表!$O$1,MATCH(U173,卡牌辅助配置表!M:M,0)-1,0)+(N173-1)*OFFSET(卡牌辅助配置表!$P$1,MATCH(U173,卡牌辅助配置表!M:M,0)-1,0))*M173,2)</f>
        <v>19.65</v>
      </c>
      <c r="W173" s="157">
        <f ca="1">ROUND(IF(R173=0,0,IF(R173=1,X173*$W$1,IF(R173=2,X173*$W$1*buff的资质计算!$E$2,IF(R173=3,X173*$W$1*buff的资质计算!$E$3,0)))),2)</f>
        <v>6.45</v>
      </c>
      <c r="X173" s="157">
        <f ca="1" t="shared" si="25"/>
        <v>21.5</v>
      </c>
      <c r="Y173" s="157">
        <f ca="1" t="shared" si="26"/>
        <v>21.5</v>
      </c>
      <c r="Z173" s="304">
        <f ca="1" t="shared" si="27"/>
        <v>10.75</v>
      </c>
      <c r="AA173" s="304">
        <f ca="1">OFFSET(卡牌辅助配置表!$AD$1,MATCH(AB173,卡牌辅助配置表!AB:AB,0)-1,0)</f>
        <v>396</v>
      </c>
      <c r="AB173" s="304">
        <f ca="1" t="shared" si="28"/>
        <v>1118</v>
      </c>
      <c r="AC173" s="153">
        <v>3</v>
      </c>
      <c r="AE173" s="153">
        <v>1</v>
      </c>
      <c r="AF173" s="153" t="str">
        <f ca="1" t="shared" si="29"/>
        <v>10060011|</v>
      </c>
      <c r="AJ173" s="205" t="str">
        <f ca="1" t="shared" si="30"/>
        <v>400023|5900|;</v>
      </c>
      <c r="AK173" s="205">
        <f ca="1">OFFSET([1]item_type!$A$1,MATCH(Q173,[1]item_type!$G:$G,0)-1,0)</f>
        <v>301006</v>
      </c>
      <c r="AL173" s="205"/>
      <c r="AM173" s="205">
        <f ca="1">IF(B173=B174,OFFSET(卡牌辅助配置表!$AE$1,MATCH(AB173,卡牌辅助配置表!AB:AB,0),0),0)</f>
        <v>5900</v>
      </c>
      <c r="AN173" s="153">
        <f ca="1" t="shared" si="31"/>
        <v>1006019</v>
      </c>
      <c r="AP173" s="153" t="str">
        <f ca="1">IF(AC173=0,0,IF(AC173=12,0,OFFSET(effect!$N$1,MATCH(K173,effect!M:M,0)-1,0)))</f>
        <v>kpsx_pt</v>
      </c>
    </row>
    <row r="174" spans="1:42">
      <c r="A174" s="153">
        <f ca="1" t="shared" si="22"/>
        <v>1006019</v>
      </c>
      <c r="B174" s="91" t="s">
        <v>496</v>
      </c>
      <c r="C174" s="186">
        <v>1</v>
      </c>
      <c r="D174" s="186">
        <v>6</v>
      </c>
      <c r="E174" s="165" t="s">
        <v>1050</v>
      </c>
      <c r="F174" s="165" t="str">
        <f>"上一招为拳法时，增加造成伤害"&amp;skill!$O$11/100&amp;"%的护甲"</f>
        <v>上一招为拳法时，增加造成伤害35%的护甲</v>
      </c>
      <c r="G174" s="186">
        <f ca="1">OFFSET(卡牌辅助配置表!$C$1,MATCH(AC174,卡牌辅助配置表!A:A,0)-1,0)</f>
        <v>3</v>
      </c>
      <c r="H174" s="186">
        <f ca="1" t="shared" si="32"/>
        <v>0</v>
      </c>
      <c r="I174" s="186"/>
      <c r="J174" s="186">
        <f ca="1">OFFSET(card_type!$F$1,MATCH(Q174,card_type!A:A,0)-1,0)</f>
        <v>1</v>
      </c>
      <c r="K174" s="243">
        <f ca="1">OFFSET(card_type!$G$1,MATCH(Q174,card_type!A:A,0)-1,0)</f>
        <v>1</v>
      </c>
      <c r="L174" s="157">
        <v>2</v>
      </c>
      <c r="M174" s="157">
        <v>2</v>
      </c>
      <c r="N174" s="153">
        <f t="shared" si="23"/>
        <v>19</v>
      </c>
      <c r="O174" s="157"/>
      <c r="P174" s="157"/>
      <c r="Q174" s="153">
        <f ca="1">OFFSET(card_type!$A$1,MATCH(card!B174,card_type!B:B,0)-1,0)</f>
        <v>1006</v>
      </c>
      <c r="R174" s="153">
        <v>1</v>
      </c>
      <c r="S174" s="157">
        <f ca="1">ROUND(IF(R174=0,0,IF(R174=1,X174*$S$1,IF(R174=2,X174*$S$1*buff的资质计算!$E$2,IF(R174=3,X174*$S$1*buff的资质计算!$E$3,0)))),0)*0</f>
        <v>0</v>
      </c>
      <c r="T174" s="153">
        <v>1</v>
      </c>
      <c r="U174" s="153">
        <f ca="1" t="shared" si="24"/>
        <v>11</v>
      </c>
      <c r="V174" s="153">
        <f ca="1">ROUND((OFFSET(卡牌辅助配置表!$O$1,MATCH(U174,卡牌辅助配置表!M:M,0)-1,0)+(N174-1)*OFFSET(卡牌辅助配置表!$P$1,MATCH(U174,卡牌辅助配置表!M:M,0)-1,0))*M174,2)</f>
        <v>20.06</v>
      </c>
      <c r="W174" s="157">
        <f ca="1">ROUND(IF(R174=0,0,IF(R174=1,X174*$W$1,IF(R174=2,X174*$W$1*buff的资质计算!$E$2,IF(R174=3,X174*$W$1*buff的资质计算!$E$3,0)))),2)</f>
        <v>6.6</v>
      </c>
      <c r="X174" s="157">
        <f ca="1" t="shared" si="25"/>
        <v>22</v>
      </c>
      <c r="Y174" s="157">
        <f ca="1" t="shared" si="26"/>
        <v>22</v>
      </c>
      <c r="Z174" s="304">
        <f ca="1" t="shared" si="27"/>
        <v>11</v>
      </c>
      <c r="AA174" s="304">
        <f ca="1">OFFSET(卡牌辅助配置表!$AD$1,MATCH(AB174,卡牌辅助配置表!AB:AB,0)-1,0)</f>
        <v>423</v>
      </c>
      <c r="AB174" s="304">
        <f ca="1" t="shared" si="28"/>
        <v>1119</v>
      </c>
      <c r="AC174" s="153">
        <v>3</v>
      </c>
      <c r="AE174" s="153">
        <v>1</v>
      </c>
      <c r="AF174" s="153" t="str">
        <f ca="1" t="shared" si="29"/>
        <v>10060011|</v>
      </c>
      <c r="AJ174" s="205" t="str">
        <f ca="1" t="shared" si="30"/>
        <v>301006|20|;400023|6300|;</v>
      </c>
      <c r="AK174" s="205">
        <f ca="1">OFFSET([1]item_type!$A$1,MATCH(Q174,[1]item_type!$G:$G,0)-1,0)</f>
        <v>301006</v>
      </c>
      <c r="AL174" s="205">
        <v>20</v>
      </c>
      <c r="AM174" s="205">
        <f ca="1">IF(B174=B175,OFFSET(卡牌辅助配置表!$AE$1,MATCH(AB174,卡牌辅助配置表!AB:AB,0),0),0)</f>
        <v>6300</v>
      </c>
      <c r="AN174" s="153">
        <f ca="1" t="shared" si="31"/>
        <v>1006020</v>
      </c>
      <c r="AP174" s="153" t="str">
        <f ca="1">IF(AC174=0,0,IF(AC174=12,0,OFFSET(effect!$N$1,MATCH(K174,effect!M:M,0)-1,0)))</f>
        <v>kpsx_pt</v>
      </c>
    </row>
    <row r="175" spans="1:42">
      <c r="A175" s="153">
        <f ca="1" t="shared" si="22"/>
        <v>1006020</v>
      </c>
      <c r="B175" s="91" t="s">
        <v>496</v>
      </c>
      <c r="C175" s="186">
        <v>1</v>
      </c>
      <c r="D175" s="186">
        <v>6</v>
      </c>
      <c r="E175" s="165" t="s">
        <v>1050</v>
      </c>
      <c r="F175" s="165" t="str">
        <f>"上一招为拳法时，增加造成伤害"&amp;skill!$O$11/100&amp;"%的护甲"</f>
        <v>上一招为拳法时，增加造成伤害35%的护甲</v>
      </c>
      <c r="G175" s="186">
        <f ca="1">OFFSET(卡牌辅助配置表!$C$1,MATCH(AC175,卡牌辅助配置表!A:A,0)-1,0)</f>
        <v>3</v>
      </c>
      <c r="H175" s="186">
        <f ca="1" t="shared" si="32"/>
        <v>0</v>
      </c>
      <c r="I175" s="186"/>
      <c r="J175" s="186">
        <f ca="1">OFFSET(card_type!$F$1,MATCH(Q175,card_type!A:A,0)-1,0)</f>
        <v>1</v>
      </c>
      <c r="K175" s="243">
        <f ca="1">OFFSET(card_type!$G$1,MATCH(Q175,card_type!A:A,0)-1,0)</f>
        <v>1</v>
      </c>
      <c r="L175" s="157">
        <v>2</v>
      </c>
      <c r="M175" s="157">
        <v>2</v>
      </c>
      <c r="N175" s="153">
        <f t="shared" si="23"/>
        <v>20</v>
      </c>
      <c r="O175" s="157"/>
      <c r="P175" s="157"/>
      <c r="Q175" s="153">
        <f ca="1">OFFSET(card_type!$A$1,MATCH(card!B175,card_type!B:B,0)-1,0)</f>
        <v>1006</v>
      </c>
      <c r="R175" s="153">
        <v>1</v>
      </c>
      <c r="S175" s="157">
        <f ca="1">ROUND(IF(R175=0,0,IF(R175=1,X175*$S$1,IF(R175=2,X175*$S$1*buff的资质计算!$E$2,IF(R175=3,X175*$S$1*buff的资质计算!$E$3,0)))),0)*0</f>
        <v>0</v>
      </c>
      <c r="T175" s="153">
        <v>1</v>
      </c>
      <c r="U175" s="153">
        <f ca="1" t="shared" si="24"/>
        <v>11</v>
      </c>
      <c r="V175" s="153">
        <f ca="1">ROUND((OFFSET(卡牌辅助配置表!$O$1,MATCH(U175,卡牌辅助配置表!M:M,0)-1,0)+(N175-1)*OFFSET(卡牌辅助配置表!$P$1,MATCH(U175,卡牌辅助配置表!M:M,0)-1,0))*M175,2)</f>
        <v>20.48</v>
      </c>
      <c r="W175" s="157">
        <f ca="1">ROUND(IF(R175=0,0,IF(R175=1,X175*$W$1,IF(R175=2,X175*$W$1*buff的资质计算!$E$2,IF(R175=3,X175*$W$1*buff的资质计算!$E$3,0)))),2)</f>
        <v>6.75</v>
      </c>
      <c r="X175" s="157">
        <f ca="1" t="shared" si="25"/>
        <v>22.5</v>
      </c>
      <c r="Y175" s="157">
        <f ca="1" t="shared" si="26"/>
        <v>22.5</v>
      </c>
      <c r="Z175" s="304">
        <f ca="1" t="shared" si="27"/>
        <v>11.25</v>
      </c>
      <c r="AA175" s="304">
        <f ca="1">OFFSET(卡牌辅助配置表!$AD$1,MATCH(AB175,卡牌辅助配置表!AB:AB,0)-1,0)</f>
        <v>450</v>
      </c>
      <c r="AB175" s="304">
        <f ca="1" t="shared" si="28"/>
        <v>1120</v>
      </c>
      <c r="AC175" s="153">
        <v>3</v>
      </c>
      <c r="AE175" s="153">
        <v>1</v>
      </c>
      <c r="AF175" s="153" t="str">
        <f ca="1" t="shared" si="29"/>
        <v>10060011|</v>
      </c>
      <c r="AJ175" s="205" t="str">
        <f ca="1" t="shared" si="30"/>
        <v>400023|7100|;</v>
      </c>
      <c r="AK175" s="205">
        <f ca="1">OFFSET([1]item_type!$A$1,MATCH(Q175,[1]item_type!$G:$G,0)-1,0)</f>
        <v>301006</v>
      </c>
      <c r="AL175" s="205"/>
      <c r="AM175" s="205">
        <f ca="1">IF(B175=B176,OFFSET(卡牌辅助配置表!$AE$1,MATCH(AB175,卡牌辅助配置表!AB:AB,0),0),0)</f>
        <v>7100</v>
      </c>
      <c r="AN175" s="153">
        <f ca="1" t="shared" si="31"/>
        <v>1006021</v>
      </c>
      <c r="AP175" s="153" t="str">
        <f ca="1">IF(AC175=0,0,IF(AC175=12,0,OFFSET(effect!$N$1,MATCH(K175,effect!M:M,0)-1,0)))</f>
        <v>kpsx_pt</v>
      </c>
    </row>
    <row r="176" spans="1:42">
      <c r="A176" s="153">
        <f ca="1" t="shared" si="22"/>
        <v>1006021</v>
      </c>
      <c r="B176" s="91" t="s">
        <v>496</v>
      </c>
      <c r="C176" s="186">
        <v>1</v>
      </c>
      <c r="D176" s="186">
        <v>6</v>
      </c>
      <c r="E176" s="165" t="s">
        <v>1050</v>
      </c>
      <c r="F176" s="165" t="str">
        <f>"上一招为拳法时，增加造成伤害"&amp;skill!$O$11/100&amp;"%的护甲"</f>
        <v>上一招为拳法时，增加造成伤害35%的护甲</v>
      </c>
      <c r="G176" s="186">
        <f ca="1">OFFSET(卡牌辅助配置表!$C$1,MATCH(AC176,卡牌辅助配置表!A:A,0)-1,0)</f>
        <v>3</v>
      </c>
      <c r="H176" s="186">
        <f ca="1" t="shared" si="32"/>
        <v>0</v>
      </c>
      <c r="I176" s="186"/>
      <c r="J176" s="186">
        <f ca="1">OFFSET(card_type!$F$1,MATCH(Q176,card_type!A:A,0)-1,0)</f>
        <v>1</v>
      </c>
      <c r="K176" s="243">
        <f ca="1">OFFSET(card_type!$G$1,MATCH(Q176,card_type!A:A,0)-1,0)</f>
        <v>1</v>
      </c>
      <c r="L176" s="157">
        <v>2</v>
      </c>
      <c r="M176" s="157">
        <v>2</v>
      </c>
      <c r="N176" s="153">
        <f t="shared" si="23"/>
        <v>21</v>
      </c>
      <c r="O176" s="157"/>
      <c r="P176" s="157"/>
      <c r="Q176" s="153">
        <f ca="1">OFFSET(card_type!$A$1,MATCH(card!B176,card_type!B:B,0)-1,0)</f>
        <v>1006</v>
      </c>
      <c r="R176" s="153">
        <v>1</v>
      </c>
      <c r="S176" s="157">
        <f ca="1">ROUND(IF(R176=0,0,IF(R176=1,X176*$S$1,IF(R176=2,X176*$S$1*buff的资质计算!$E$2,IF(R176=3,X176*$S$1*buff的资质计算!$E$3,0)))),0)*0</f>
        <v>0</v>
      </c>
      <c r="T176" s="153">
        <v>1</v>
      </c>
      <c r="U176" s="153">
        <f ca="1" t="shared" si="24"/>
        <v>11</v>
      </c>
      <c r="V176" s="153">
        <f ca="1">ROUND((OFFSET(卡牌辅助配置表!$O$1,MATCH(U176,卡牌辅助配置表!M:M,0)-1,0)+(N176-1)*OFFSET(卡牌辅助配置表!$P$1,MATCH(U176,卡牌辅助配置表!M:M,0)-1,0))*M176,2)</f>
        <v>20.9</v>
      </c>
      <c r="W176" s="157">
        <f ca="1">ROUND(IF(R176=0,0,IF(R176=1,X176*$W$1,IF(R176=2,X176*$W$1*buff的资质计算!$E$2,IF(R176=3,X176*$W$1*buff的资质计算!$E$3,0)))),2)</f>
        <v>6.9</v>
      </c>
      <c r="X176" s="157">
        <f ca="1" t="shared" si="25"/>
        <v>23</v>
      </c>
      <c r="Y176" s="157">
        <f ca="1" t="shared" si="26"/>
        <v>23</v>
      </c>
      <c r="Z176" s="304">
        <f ca="1" t="shared" si="27"/>
        <v>11.5</v>
      </c>
      <c r="AA176" s="304">
        <f ca="1">OFFSET(卡牌辅助配置表!$AD$1,MATCH(AB176,卡牌辅助配置表!AB:AB,0)-1,0)</f>
        <v>486</v>
      </c>
      <c r="AB176" s="304">
        <f ca="1" t="shared" si="28"/>
        <v>1121</v>
      </c>
      <c r="AC176" s="153">
        <v>3</v>
      </c>
      <c r="AE176" s="153">
        <v>1</v>
      </c>
      <c r="AF176" s="153" t="str">
        <f ca="1" t="shared" si="29"/>
        <v>10060011|</v>
      </c>
      <c r="AJ176" s="205" t="str">
        <f ca="1" t="shared" si="30"/>
        <v>400023|7900|;</v>
      </c>
      <c r="AK176" s="205">
        <f ca="1">OFFSET([1]item_type!$A$1,MATCH(Q176,[1]item_type!$G:$G,0)-1,0)</f>
        <v>301006</v>
      </c>
      <c r="AL176" s="205"/>
      <c r="AM176" s="205">
        <f ca="1">IF(B176=B177,OFFSET(卡牌辅助配置表!$AE$1,MATCH(AB176,卡牌辅助配置表!AB:AB,0),0),0)</f>
        <v>7900</v>
      </c>
      <c r="AN176" s="153">
        <f ca="1" t="shared" si="31"/>
        <v>1006022</v>
      </c>
      <c r="AP176" s="153" t="str">
        <f ca="1">IF(AC176=0,0,IF(AC176=12,0,OFFSET(effect!$N$1,MATCH(K176,effect!M:M,0)-1,0)))</f>
        <v>kpsx_pt</v>
      </c>
    </row>
    <row r="177" spans="1:42">
      <c r="A177" s="153">
        <f ca="1" t="shared" si="22"/>
        <v>1006022</v>
      </c>
      <c r="B177" s="91" t="s">
        <v>496</v>
      </c>
      <c r="C177" s="186">
        <v>1</v>
      </c>
      <c r="D177" s="186">
        <v>6</v>
      </c>
      <c r="E177" s="165" t="s">
        <v>1050</v>
      </c>
      <c r="F177" s="165" t="str">
        <f>"上一招为拳法时，增加造成伤害"&amp;skill!$O$11/100&amp;"%的护甲"</f>
        <v>上一招为拳法时，增加造成伤害35%的护甲</v>
      </c>
      <c r="G177" s="186">
        <f ca="1">OFFSET(卡牌辅助配置表!$C$1,MATCH(AC177,卡牌辅助配置表!A:A,0)-1,0)</f>
        <v>3</v>
      </c>
      <c r="H177" s="186">
        <f ca="1" t="shared" si="32"/>
        <v>0</v>
      </c>
      <c r="I177" s="186"/>
      <c r="J177" s="186">
        <f ca="1">OFFSET(card_type!$F$1,MATCH(Q177,card_type!A:A,0)-1,0)</f>
        <v>1</v>
      </c>
      <c r="K177" s="243">
        <f ca="1">OFFSET(card_type!$G$1,MATCH(Q177,card_type!A:A,0)-1,0)</f>
        <v>1</v>
      </c>
      <c r="L177" s="157">
        <v>2</v>
      </c>
      <c r="M177" s="157">
        <v>2</v>
      </c>
      <c r="N177" s="153">
        <f t="shared" si="23"/>
        <v>22</v>
      </c>
      <c r="O177" s="157"/>
      <c r="P177" s="157"/>
      <c r="Q177" s="153">
        <f ca="1">OFFSET(card_type!$A$1,MATCH(card!B177,card_type!B:B,0)-1,0)</f>
        <v>1006</v>
      </c>
      <c r="R177" s="153">
        <v>1</v>
      </c>
      <c r="S177" s="157">
        <f ca="1">ROUND(IF(R177=0,0,IF(R177=1,X177*$S$1,IF(R177=2,X177*$S$1*buff的资质计算!$E$2,IF(R177=3,X177*$S$1*buff的资质计算!$E$3,0)))),0)*0</f>
        <v>0</v>
      </c>
      <c r="T177" s="153">
        <v>1</v>
      </c>
      <c r="U177" s="153">
        <f ca="1" t="shared" si="24"/>
        <v>11</v>
      </c>
      <c r="V177" s="153">
        <f ca="1">ROUND((OFFSET(卡牌辅助配置表!$O$1,MATCH(U177,卡牌辅助配置表!M:M,0)-1,0)+(N177-1)*OFFSET(卡牌辅助配置表!$P$1,MATCH(U177,卡牌辅助配置表!M:M,0)-1,0))*M177,2)</f>
        <v>21.32</v>
      </c>
      <c r="W177" s="157">
        <f ca="1">ROUND(IF(R177=0,0,IF(R177=1,X177*$W$1,IF(R177=2,X177*$W$1*buff的资质计算!$E$2,IF(R177=3,X177*$W$1*buff的资质计算!$E$3,0)))),2)</f>
        <v>7.05</v>
      </c>
      <c r="X177" s="157">
        <f ca="1" t="shared" si="25"/>
        <v>23.5</v>
      </c>
      <c r="Y177" s="157">
        <f ca="1" t="shared" si="26"/>
        <v>23.5</v>
      </c>
      <c r="Z177" s="304">
        <f ca="1" t="shared" si="27"/>
        <v>11.75</v>
      </c>
      <c r="AA177" s="304">
        <f ca="1">OFFSET(卡牌辅助配置表!$AD$1,MATCH(AB177,卡牌辅助配置表!AB:AB,0)-1,0)</f>
        <v>522</v>
      </c>
      <c r="AB177" s="304">
        <f ca="1" t="shared" si="28"/>
        <v>1122</v>
      </c>
      <c r="AC177" s="153">
        <v>3</v>
      </c>
      <c r="AE177" s="153">
        <v>1</v>
      </c>
      <c r="AF177" s="153" t="str">
        <f ca="1" t="shared" si="29"/>
        <v>10060011|</v>
      </c>
      <c r="AJ177" s="205" t="str">
        <f ca="1" t="shared" si="30"/>
        <v>400023|8700|;</v>
      </c>
      <c r="AK177" s="205">
        <f ca="1">OFFSET([1]item_type!$A$1,MATCH(Q177,[1]item_type!$G:$G,0)-1,0)</f>
        <v>301006</v>
      </c>
      <c r="AL177" s="205"/>
      <c r="AM177" s="205">
        <f ca="1">IF(B177=B178,OFFSET(卡牌辅助配置表!$AE$1,MATCH(AB177,卡牌辅助配置表!AB:AB,0),0),0)</f>
        <v>8700</v>
      </c>
      <c r="AN177" s="153">
        <f ca="1" t="shared" si="31"/>
        <v>1006023</v>
      </c>
      <c r="AP177" s="153" t="str">
        <f ca="1">IF(AC177=0,0,IF(AC177=12,0,OFFSET(effect!$N$1,MATCH(K177,effect!M:M,0)-1,0)))</f>
        <v>kpsx_pt</v>
      </c>
    </row>
    <row r="178" spans="1:42">
      <c r="A178" s="153">
        <f ca="1" t="shared" si="22"/>
        <v>1006023</v>
      </c>
      <c r="B178" s="91" t="s">
        <v>496</v>
      </c>
      <c r="C178" s="186">
        <v>1</v>
      </c>
      <c r="D178" s="186">
        <v>6</v>
      </c>
      <c r="E178" s="165" t="s">
        <v>1050</v>
      </c>
      <c r="F178" s="165" t="str">
        <f>"上一招为拳法时，增加造成伤害"&amp;skill!$O$11/100&amp;"%的护甲"</f>
        <v>上一招为拳法时，增加造成伤害35%的护甲</v>
      </c>
      <c r="G178" s="186">
        <f ca="1">OFFSET(卡牌辅助配置表!$C$1,MATCH(AC178,卡牌辅助配置表!A:A,0)-1,0)</f>
        <v>3</v>
      </c>
      <c r="H178" s="186">
        <f ca="1" t="shared" si="32"/>
        <v>0</v>
      </c>
      <c r="I178" s="186"/>
      <c r="J178" s="186">
        <f ca="1">OFFSET(card_type!$F$1,MATCH(Q178,card_type!A:A,0)-1,0)</f>
        <v>1</v>
      </c>
      <c r="K178" s="243">
        <f ca="1">OFFSET(card_type!$G$1,MATCH(Q178,card_type!A:A,0)-1,0)</f>
        <v>1</v>
      </c>
      <c r="L178" s="157">
        <v>2</v>
      </c>
      <c r="M178" s="157">
        <v>2</v>
      </c>
      <c r="N178" s="153">
        <f t="shared" si="23"/>
        <v>23</v>
      </c>
      <c r="O178" s="157"/>
      <c r="P178" s="157"/>
      <c r="Q178" s="153">
        <f ca="1">OFFSET(card_type!$A$1,MATCH(card!B178,card_type!B:B,0)-1,0)</f>
        <v>1006</v>
      </c>
      <c r="R178" s="153">
        <v>1</v>
      </c>
      <c r="S178" s="157">
        <f ca="1">ROUND(IF(R178=0,0,IF(R178=1,X178*$S$1,IF(R178=2,X178*$S$1*buff的资质计算!$E$2,IF(R178=3,X178*$S$1*buff的资质计算!$E$3,0)))),0)*0</f>
        <v>0</v>
      </c>
      <c r="T178" s="153">
        <v>1</v>
      </c>
      <c r="U178" s="153">
        <f ca="1" t="shared" si="24"/>
        <v>11</v>
      </c>
      <c r="V178" s="153">
        <f ca="1">ROUND((OFFSET(卡牌辅助配置表!$O$1,MATCH(U178,卡牌辅助配置表!M:M,0)-1,0)+(N178-1)*OFFSET(卡牌辅助配置表!$P$1,MATCH(U178,卡牌辅助配置表!M:M,0)-1,0))*M178,2)</f>
        <v>21.74</v>
      </c>
      <c r="W178" s="157">
        <f ca="1">ROUND(IF(R178=0,0,IF(R178=1,X178*$W$1,IF(R178=2,X178*$W$1*buff的资质计算!$E$2,IF(R178=3,X178*$W$1*buff的资质计算!$E$3,0)))),2)</f>
        <v>7.2</v>
      </c>
      <c r="X178" s="157">
        <f ca="1" t="shared" si="25"/>
        <v>24</v>
      </c>
      <c r="Y178" s="157">
        <f ca="1" t="shared" si="26"/>
        <v>24</v>
      </c>
      <c r="Z178" s="304">
        <f ca="1" t="shared" si="27"/>
        <v>12</v>
      </c>
      <c r="AA178" s="304">
        <f ca="1">OFFSET(卡牌辅助配置表!$AD$1,MATCH(AB178,卡牌辅助配置表!AB:AB,0)-1,0)</f>
        <v>558</v>
      </c>
      <c r="AB178" s="304">
        <f ca="1" t="shared" si="28"/>
        <v>1123</v>
      </c>
      <c r="AC178" s="153">
        <v>3</v>
      </c>
      <c r="AE178" s="153">
        <v>1</v>
      </c>
      <c r="AF178" s="153" t="str">
        <f ca="1" t="shared" si="29"/>
        <v>10060011|</v>
      </c>
      <c r="AJ178" s="205" t="str">
        <f ca="1" t="shared" si="30"/>
        <v>400023|9500|;</v>
      </c>
      <c r="AK178" s="205">
        <f ca="1">OFFSET([1]item_type!$A$1,MATCH(Q178,[1]item_type!$G:$G,0)-1,0)</f>
        <v>301006</v>
      </c>
      <c r="AL178" s="205"/>
      <c r="AM178" s="205">
        <f ca="1">IF(B178=B179,OFFSET(卡牌辅助配置表!$AE$1,MATCH(AB178,卡牌辅助配置表!AB:AB,0),0),0)</f>
        <v>9500</v>
      </c>
      <c r="AN178" s="153">
        <f ca="1" t="shared" si="31"/>
        <v>1006024</v>
      </c>
      <c r="AP178" s="153" t="str">
        <f ca="1">IF(AC178=0,0,IF(AC178=12,0,OFFSET(effect!$N$1,MATCH(K178,effect!M:M,0)-1,0)))</f>
        <v>kpsx_pt</v>
      </c>
    </row>
    <row r="179" spans="1:42">
      <c r="A179" s="153">
        <f ca="1" t="shared" si="22"/>
        <v>1006024</v>
      </c>
      <c r="B179" s="91" t="s">
        <v>496</v>
      </c>
      <c r="C179" s="186">
        <v>1</v>
      </c>
      <c r="D179" s="186">
        <v>6</v>
      </c>
      <c r="E179" s="165" t="s">
        <v>1050</v>
      </c>
      <c r="F179" s="165" t="str">
        <f>"上一招为拳法时，增加造成伤害"&amp;skill!$O$11/100&amp;"%的护甲"</f>
        <v>上一招为拳法时，增加造成伤害35%的护甲</v>
      </c>
      <c r="G179" s="186">
        <f ca="1">OFFSET(卡牌辅助配置表!$C$1,MATCH(AC179,卡牌辅助配置表!A:A,0)-1,0)</f>
        <v>3</v>
      </c>
      <c r="H179" s="186">
        <f ca="1" t="shared" si="32"/>
        <v>0</v>
      </c>
      <c r="I179" s="186"/>
      <c r="J179" s="186">
        <f ca="1">OFFSET(card_type!$F$1,MATCH(Q179,card_type!A:A,0)-1,0)</f>
        <v>1</v>
      </c>
      <c r="K179" s="243">
        <f ca="1">OFFSET(card_type!$G$1,MATCH(Q179,card_type!A:A,0)-1,0)</f>
        <v>1</v>
      </c>
      <c r="L179" s="157">
        <v>2</v>
      </c>
      <c r="M179" s="157">
        <v>2</v>
      </c>
      <c r="N179" s="153">
        <f t="shared" si="23"/>
        <v>24</v>
      </c>
      <c r="O179" s="157"/>
      <c r="P179" s="157"/>
      <c r="Q179" s="153">
        <f ca="1">OFFSET(card_type!$A$1,MATCH(card!B179,card_type!B:B,0)-1,0)</f>
        <v>1006</v>
      </c>
      <c r="R179" s="153">
        <v>1</v>
      </c>
      <c r="S179" s="157">
        <f ca="1">ROUND(IF(R179=0,0,IF(R179=1,X179*$S$1,IF(R179=2,X179*$S$1*buff的资质计算!$E$2,IF(R179=3,X179*$S$1*buff的资质计算!$E$3,0)))),0)*0</f>
        <v>0</v>
      </c>
      <c r="T179" s="153">
        <v>1</v>
      </c>
      <c r="U179" s="153">
        <f ca="1" t="shared" si="24"/>
        <v>11</v>
      </c>
      <c r="V179" s="153">
        <f ca="1">ROUND((OFFSET(卡牌辅助配置表!$O$1,MATCH(U179,卡牌辅助配置表!M:M,0)-1,0)+(N179-1)*OFFSET(卡牌辅助配置表!$P$1,MATCH(U179,卡牌辅助配置表!M:M,0)-1,0))*M179,2)</f>
        <v>22.15</v>
      </c>
      <c r="W179" s="157">
        <f ca="1">ROUND(IF(R179=0,0,IF(R179=1,X179*$W$1,IF(R179=2,X179*$W$1*buff的资质计算!$E$2,IF(R179=3,X179*$W$1*buff的资质计算!$E$3,0)))),2)</f>
        <v>7.35</v>
      </c>
      <c r="X179" s="157">
        <f ca="1" t="shared" si="25"/>
        <v>24.5</v>
      </c>
      <c r="Y179" s="157">
        <f ca="1" t="shared" si="26"/>
        <v>24.5</v>
      </c>
      <c r="Z179" s="304">
        <f ca="1" t="shared" si="27"/>
        <v>12.25</v>
      </c>
      <c r="AA179" s="304">
        <f ca="1">OFFSET(卡牌辅助配置表!$AD$1,MATCH(AB179,卡牌辅助配置表!AB:AB,0)-1,0)</f>
        <v>594</v>
      </c>
      <c r="AB179" s="304">
        <f ca="1" t="shared" si="28"/>
        <v>1124</v>
      </c>
      <c r="AC179" s="153">
        <v>3</v>
      </c>
      <c r="AE179" s="153">
        <v>1</v>
      </c>
      <c r="AF179" s="153" t="str">
        <f ca="1" t="shared" si="29"/>
        <v>10060011|</v>
      </c>
      <c r="AJ179" s="205" t="str">
        <f ca="1" t="shared" si="30"/>
        <v>400023|10300|;</v>
      </c>
      <c r="AK179" s="205">
        <f ca="1">OFFSET([1]item_type!$A$1,MATCH(Q179,[1]item_type!$G:$G,0)-1,0)</f>
        <v>301006</v>
      </c>
      <c r="AL179" s="205"/>
      <c r="AM179" s="205">
        <f ca="1">IF(B179=B180,OFFSET(卡牌辅助配置表!$AE$1,MATCH(AB179,卡牌辅助配置表!AB:AB,0),0),0)</f>
        <v>10300</v>
      </c>
      <c r="AN179" s="153">
        <f ca="1" t="shared" si="31"/>
        <v>1006025</v>
      </c>
      <c r="AP179" s="153" t="str">
        <f ca="1">IF(AC179=0,0,IF(AC179=12,0,OFFSET(effect!$N$1,MATCH(K179,effect!M:M,0)-1,0)))</f>
        <v>kpsx_pt</v>
      </c>
    </row>
    <row r="180" spans="1:42">
      <c r="A180" s="153">
        <f ca="1" t="shared" si="22"/>
        <v>1006025</v>
      </c>
      <c r="B180" s="91" t="s">
        <v>496</v>
      </c>
      <c r="C180" s="186">
        <v>1</v>
      </c>
      <c r="D180" s="186">
        <v>6</v>
      </c>
      <c r="E180" s="165" t="s">
        <v>1050</v>
      </c>
      <c r="F180" s="165" t="str">
        <f>"上一招为拳法时，增加造成伤害"&amp;skill!$O$11/100&amp;"%的护甲"</f>
        <v>上一招为拳法时，增加造成伤害35%的护甲</v>
      </c>
      <c r="G180" s="186">
        <f ca="1">OFFSET(卡牌辅助配置表!$C$1,MATCH(AC180,卡牌辅助配置表!A:A,0)-1,0)</f>
        <v>3</v>
      </c>
      <c r="H180" s="186">
        <f ca="1" t="shared" si="32"/>
        <v>0</v>
      </c>
      <c r="I180" s="186"/>
      <c r="J180" s="186">
        <f ca="1">OFFSET(card_type!$F$1,MATCH(Q180,card_type!A:A,0)-1,0)</f>
        <v>1</v>
      </c>
      <c r="K180" s="243">
        <f ca="1">OFFSET(card_type!$G$1,MATCH(Q180,card_type!A:A,0)-1,0)</f>
        <v>1</v>
      </c>
      <c r="L180" s="157">
        <v>2</v>
      </c>
      <c r="M180" s="157">
        <v>2</v>
      </c>
      <c r="N180" s="153">
        <f t="shared" si="23"/>
        <v>25</v>
      </c>
      <c r="O180" s="157"/>
      <c r="P180" s="157"/>
      <c r="Q180" s="153">
        <f ca="1">OFFSET(card_type!$A$1,MATCH(card!B180,card_type!B:B,0)-1,0)</f>
        <v>1006</v>
      </c>
      <c r="R180" s="153">
        <v>1</v>
      </c>
      <c r="S180" s="157">
        <f ca="1">ROUND(IF(R180=0,0,IF(R180=1,X180*$S$1,IF(R180=2,X180*$S$1*buff的资质计算!$E$2,IF(R180=3,X180*$S$1*buff的资质计算!$E$3,0)))),0)*0</f>
        <v>0</v>
      </c>
      <c r="T180" s="153">
        <v>1</v>
      </c>
      <c r="U180" s="153">
        <f ca="1" t="shared" si="24"/>
        <v>11</v>
      </c>
      <c r="V180" s="153">
        <f ca="1">ROUND((OFFSET(卡牌辅助配置表!$O$1,MATCH(U180,卡牌辅助配置表!M:M,0)-1,0)+(N180-1)*OFFSET(卡牌辅助配置表!$P$1,MATCH(U180,卡牌辅助配置表!M:M,0)-1,0))*M180,2)</f>
        <v>22.57</v>
      </c>
      <c r="W180" s="157">
        <f ca="1">ROUND(IF(R180=0,0,IF(R180=1,X180*$W$1,IF(R180=2,X180*$W$1*buff的资质计算!$E$2,IF(R180=3,X180*$W$1*buff的资质计算!$E$3,0)))),2)</f>
        <v>7.5</v>
      </c>
      <c r="X180" s="157">
        <f ca="1" t="shared" si="25"/>
        <v>25</v>
      </c>
      <c r="Y180" s="157">
        <f ca="1" t="shared" si="26"/>
        <v>25</v>
      </c>
      <c r="Z180" s="304">
        <f ca="1" t="shared" si="27"/>
        <v>12.5</v>
      </c>
      <c r="AA180" s="304">
        <f ca="1">OFFSET(卡牌辅助配置表!$AD$1,MATCH(AB180,卡牌辅助配置表!AB:AB,0)-1,0)</f>
        <v>630</v>
      </c>
      <c r="AB180" s="304">
        <f ca="1" t="shared" si="28"/>
        <v>1125</v>
      </c>
      <c r="AC180" s="153">
        <v>3</v>
      </c>
      <c r="AE180" s="153">
        <v>1</v>
      </c>
      <c r="AF180" s="153" t="str">
        <f ca="1" t="shared" si="29"/>
        <v>10060011|</v>
      </c>
      <c r="AJ180" s="205" t="str">
        <f ca="1" t="shared" si="30"/>
        <v>400023|11100|;</v>
      </c>
      <c r="AK180" s="205">
        <f ca="1">OFFSET([1]item_type!$A$1,MATCH(Q180,[1]item_type!$G:$G,0)-1,0)</f>
        <v>301006</v>
      </c>
      <c r="AL180" s="205"/>
      <c r="AM180" s="205">
        <f ca="1">IF(B180=B181,OFFSET(卡牌辅助配置表!$AE$1,MATCH(AB180,卡牌辅助配置表!AB:AB,0),0),0)</f>
        <v>11100</v>
      </c>
      <c r="AN180" s="153">
        <f ca="1" t="shared" si="31"/>
        <v>1006026</v>
      </c>
      <c r="AP180" s="153" t="str">
        <f ca="1">IF(AC180=0,0,IF(AC180=12,0,OFFSET(effect!$N$1,MATCH(K180,effect!M:M,0)-1,0)))</f>
        <v>kpsx_pt</v>
      </c>
    </row>
    <row r="181" spans="1:42">
      <c r="A181" s="153">
        <f ca="1" t="shared" si="22"/>
        <v>1006026</v>
      </c>
      <c r="B181" s="91" t="s">
        <v>496</v>
      </c>
      <c r="C181" s="186">
        <v>1</v>
      </c>
      <c r="D181" s="186">
        <v>6</v>
      </c>
      <c r="E181" s="165" t="s">
        <v>1050</v>
      </c>
      <c r="F181" s="165" t="str">
        <f>"上一招为拳法时，增加造成伤害"&amp;skill!$O$11/100&amp;"%的护甲"</f>
        <v>上一招为拳法时，增加造成伤害35%的护甲</v>
      </c>
      <c r="G181" s="186">
        <f ca="1">OFFSET(卡牌辅助配置表!$C$1,MATCH(AC181,卡牌辅助配置表!A:A,0)-1,0)</f>
        <v>3</v>
      </c>
      <c r="H181" s="186">
        <f ca="1" t="shared" si="32"/>
        <v>0</v>
      </c>
      <c r="I181" s="186"/>
      <c r="J181" s="186">
        <f ca="1">OFFSET(card_type!$F$1,MATCH(Q181,card_type!A:A,0)-1,0)</f>
        <v>1</v>
      </c>
      <c r="K181" s="243">
        <f ca="1">OFFSET(card_type!$G$1,MATCH(Q181,card_type!A:A,0)-1,0)</f>
        <v>1</v>
      </c>
      <c r="L181" s="157">
        <v>2</v>
      </c>
      <c r="M181" s="157">
        <v>2</v>
      </c>
      <c r="N181" s="153">
        <f t="shared" si="23"/>
        <v>26</v>
      </c>
      <c r="O181" s="157"/>
      <c r="P181" s="157"/>
      <c r="Q181" s="153">
        <f ca="1">OFFSET(card_type!$A$1,MATCH(card!B181,card_type!B:B,0)-1,0)</f>
        <v>1006</v>
      </c>
      <c r="R181" s="153">
        <v>1</v>
      </c>
      <c r="S181" s="157">
        <f ca="1">ROUND(IF(R181=0,0,IF(R181=1,X181*$S$1,IF(R181=2,X181*$S$1*buff的资质计算!$E$2,IF(R181=3,X181*$S$1*buff的资质计算!$E$3,0)))),0)*0</f>
        <v>0</v>
      </c>
      <c r="T181" s="153">
        <v>1</v>
      </c>
      <c r="U181" s="153">
        <f ca="1" t="shared" si="24"/>
        <v>11</v>
      </c>
      <c r="V181" s="153">
        <f ca="1">ROUND((OFFSET(卡牌辅助配置表!$O$1,MATCH(U181,卡牌辅助配置表!M:M,0)-1,0)+(N181-1)*OFFSET(卡牌辅助配置表!$P$1,MATCH(U181,卡牌辅助配置表!M:M,0)-1,0))*M181,2)</f>
        <v>22.99</v>
      </c>
      <c r="W181" s="157">
        <f ca="1">ROUND(IF(R181=0,0,IF(R181=1,X181*$W$1,IF(R181=2,X181*$W$1*buff的资质计算!$E$2,IF(R181=3,X181*$W$1*buff的资质计算!$E$3,0)))),2)</f>
        <v>7.65</v>
      </c>
      <c r="X181" s="157">
        <f ca="1" t="shared" si="25"/>
        <v>25.5</v>
      </c>
      <c r="Y181" s="157">
        <f ca="1" t="shared" si="26"/>
        <v>25.5</v>
      </c>
      <c r="Z181" s="304">
        <f ca="1" t="shared" si="27"/>
        <v>12.75</v>
      </c>
      <c r="AA181" s="304">
        <f ca="1">OFFSET(卡牌辅助配置表!$AD$1,MATCH(AB181,卡牌辅助配置表!AB:AB,0)-1,0)</f>
        <v>666</v>
      </c>
      <c r="AB181" s="304">
        <f ca="1" t="shared" si="28"/>
        <v>1126</v>
      </c>
      <c r="AC181" s="153">
        <v>3</v>
      </c>
      <c r="AE181" s="153">
        <v>1</v>
      </c>
      <c r="AF181" s="153" t="str">
        <f ca="1" t="shared" si="29"/>
        <v>10060011|</v>
      </c>
      <c r="AJ181" s="205" t="str">
        <f ca="1" t="shared" si="30"/>
        <v>400023|11900|;</v>
      </c>
      <c r="AK181" s="205">
        <f ca="1">OFFSET([1]item_type!$A$1,MATCH(Q181,[1]item_type!$G:$G,0)-1,0)</f>
        <v>301006</v>
      </c>
      <c r="AL181" s="205"/>
      <c r="AM181" s="205">
        <f ca="1">IF(B181=B182,OFFSET(卡牌辅助配置表!$AE$1,MATCH(AB181,卡牌辅助配置表!AB:AB,0),0),0)</f>
        <v>11900</v>
      </c>
      <c r="AN181" s="153">
        <f ca="1" t="shared" si="31"/>
        <v>1006027</v>
      </c>
      <c r="AP181" s="153" t="str">
        <f ca="1">IF(AC181=0,0,IF(AC181=12,0,OFFSET(effect!$N$1,MATCH(K181,effect!M:M,0)-1,0)))</f>
        <v>kpsx_pt</v>
      </c>
    </row>
    <row r="182" spans="1:42">
      <c r="A182" s="153">
        <f ca="1" t="shared" si="22"/>
        <v>1006027</v>
      </c>
      <c r="B182" s="91" t="s">
        <v>496</v>
      </c>
      <c r="C182" s="186">
        <v>1</v>
      </c>
      <c r="D182" s="186">
        <v>6</v>
      </c>
      <c r="E182" s="165" t="s">
        <v>1050</v>
      </c>
      <c r="F182" s="165" t="str">
        <f>"上一招为拳法时，增加造成伤害"&amp;skill!$O$11/100&amp;"%的护甲"</f>
        <v>上一招为拳法时，增加造成伤害35%的护甲</v>
      </c>
      <c r="G182" s="186">
        <f ca="1">OFFSET(卡牌辅助配置表!$C$1,MATCH(AC182,卡牌辅助配置表!A:A,0)-1,0)</f>
        <v>3</v>
      </c>
      <c r="H182" s="186">
        <f ca="1" t="shared" si="32"/>
        <v>0</v>
      </c>
      <c r="I182" s="186"/>
      <c r="J182" s="186">
        <f ca="1">OFFSET(card_type!$F$1,MATCH(Q182,card_type!A:A,0)-1,0)</f>
        <v>1</v>
      </c>
      <c r="K182" s="243">
        <f ca="1">OFFSET(card_type!$G$1,MATCH(Q182,card_type!A:A,0)-1,0)</f>
        <v>1</v>
      </c>
      <c r="L182" s="157">
        <v>2</v>
      </c>
      <c r="M182" s="157">
        <v>2</v>
      </c>
      <c r="N182" s="153">
        <f t="shared" si="23"/>
        <v>27</v>
      </c>
      <c r="O182" s="157"/>
      <c r="P182" s="157"/>
      <c r="Q182" s="153">
        <f ca="1">OFFSET(card_type!$A$1,MATCH(card!B182,card_type!B:B,0)-1,0)</f>
        <v>1006</v>
      </c>
      <c r="R182" s="153">
        <v>1</v>
      </c>
      <c r="S182" s="157">
        <f ca="1">ROUND(IF(R182=0,0,IF(R182=1,X182*$S$1,IF(R182=2,X182*$S$1*buff的资质计算!$E$2,IF(R182=3,X182*$S$1*buff的资质计算!$E$3,0)))),0)*0</f>
        <v>0</v>
      </c>
      <c r="T182" s="153">
        <v>1</v>
      </c>
      <c r="U182" s="153">
        <f ca="1" t="shared" si="24"/>
        <v>11</v>
      </c>
      <c r="V182" s="153">
        <f ca="1">ROUND((OFFSET(卡牌辅助配置表!$O$1,MATCH(U182,卡牌辅助配置表!M:M,0)-1,0)+(N182-1)*OFFSET(卡牌辅助配置表!$P$1,MATCH(U182,卡牌辅助配置表!M:M,0)-1,0))*M182,2)</f>
        <v>23.41</v>
      </c>
      <c r="W182" s="157">
        <f ca="1">ROUND(IF(R182=0,0,IF(R182=1,X182*$W$1,IF(R182=2,X182*$W$1*buff的资质计算!$E$2,IF(R182=3,X182*$W$1*buff的资质计算!$E$3,0)))),2)</f>
        <v>7.8</v>
      </c>
      <c r="X182" s="157">
        <f ca="1" t="shared" si="25"/>
        <v>26</v>
      </c>
      <c r="Y182" s="157">
        <f ca="1" t="shared" si="26"/>
        <v>26</v>
      </c>
      <c r="Z182" s="304">
        <f ca="1" t="shared" si="27"/>
        <v>13</v>
      </c>
      <c r="AA182" s="304">
        <f ca="1">OFFSET(卡牌辅助配置表!$AD$1,MATCH(AB182,卡牌辅助配置表!AB:AB,0)-1,0)</f>
        <v>702</v>
      </c>
      <c r="AB182" s="304">
        <f ca="1" t="shared" si="28"/>
        <v>1127</v>
      </c>
      <c r="AC182" s="153">
        <v>3</v>
      </c>
      <c r="AE182" s="153">
        <v>1</v>
      </c>
      <c r="AF182" s="153" t="str">
        <f ca="1" t="shared" si="29"/>
        <v>10060011|</v>
      </c>
      <c r="AJ182" s="205" t="str">
        <f ca="1" t="shared" si="30"/>
        <v>400023|12700|;</v>
      </c>
      <c r="AK182" s="205">
        <f ca="1">OFFSET([1]item_type!$A$1,MATCH(Q182,[1]item_type!$G:$G,0)-1,0)</f>
        <v>301006</v>
      </c>
      <c r="AL182" s="205"/>
      <c r="AM182" s="205">
        <f ca="1">IF(B182=B183,OFFSET(卡牌辅助配置表!$AE$1,MATCH(AB182,卡牌辅助配置表!AB:AB,0),0),0)</f>
        <v>12700</v>
      </c>
      <c r="AN182" s="153">
        <f ca="1" t="shared" si="31"/>
        <v>1006028</v>
      </c>
      <c r="AP182" s="153" t="str">
        <f ca="1">IF(AC182=0,0,IF(AC182=12,0,OFFSET(effect!$N$1,MATCH(K182,effect!M:M,0)-1,0)))</f>
        <v>kpsx_pt</v>
      </c>
    </row>
    <row r="183" spans="1:42">
      <c r="A183" s="153">
        <f ca="1" t="shared" si="22"/>
        <v>1006028</v>
      </c>
      <c r="B183" s="91" t="s">
        <v>496</v>
      </c>
      <c r="C183" s="186">
        <v>1</v>
      </c>
      <c r="D183" s="186">
        <v>6</v>
      </c>
      <c r="E183" s="165" t="s">
        <v>1050</v>
      </c>
      <c r="F183" s="165" t="str">
        <f>"上一招为拳法时，增加造成伤害"&amp;skill!$O$11/100&amp;"%的护甲"</f>
        <v>上一招为拳法时，增加造成伤害35%的护甲</v>
      </c>
      <c r="G183" s="186">
        <f ca="1">OFFSET(卡牌辅助配置表!$C$1,MATCH(AC183,卡牌辅助配置表!A:A,0)-1,0)</f>
        <v>3</v>
      </c>
      <c r="H183" s="186">
        <f ca="1" t="shared" si="32"/>
        <v>0</v>
      </c>
      <c r="I183" s="186"/>
      <c r="J183" s="186">
        <f ca="1">OFFSET(card_type!$F$1,MATCH(Q183,card_type!A:A,0)-1,0)</f>
        <v>1</v>
      </c>
      <c r="K183" s="243">
        <f ca="1">OFFSET(card_type!$G$1,MATCH(Q183,card_type!A:A,0)-1,0)</f>
        <v>1</v>
      </c>
      <c r="L183" s="157">
        <v>2</v>
      </c>
      <c r="M183" s="157">
        <v>2</v>
      </c>
      <c r="N183" s="153">
        <f t="shared" si="23"/>
        <v>28</v>
      </c>
      <c r="O183" s="157"/>
      <c r="P183" s="157"/>
      <c r="Q183" s="153">
        <f ca="1">OFFSET(card_type!$A$1,MATCH(card!B183,card_type!B:B,0)-1,0)</f>
        <v>1006</v>
      </c>
      <c r="R183" s="153">
        <v>1</v>
      </c>
      <c r="S183" s="157">
        <f ca="1">ROUND(IF(R183=0,0,IF(R183=1,X183*$S$1,IF(R183=2,X183*$S$1*buff的资质计算!$E$2,IF(R183=3,X183*$S$1*buff的资质计算!$E$3,0)))),0)*0</f>
        <v>0</v>
      </c>
      <c r="T183" s="153">
        <v>1</v>
      </c>
      <c r="U183" s="153">
        <f ca="1" t="shared" si="24"/>
        <v>11</v>
      </c>
      <c r="V183" s="153">
        <f ca="1">ROUND((OFFSET(卡牌辅助配置表!$O$1,MATCH(U183,卡牌辅助配置表!M:M,0)-1,0)+(N183-1)*OFFSET(卡牌辅助配置表!$P$1,MATCH(U183,卡牌辅助配置表!M:M,0)-1,0))*M183,2)</f>
        <v>23.83</v>
      </c>
      <c r="W183" s="157">
        <f ca="1">ROUND(IF(R183=0,0,IF(R183=1,X183*$W$1,IF(R183=2,X183*$W$1*buff的资质计算!$E$2,IF(R183=3,X183*$W$1*buff的资质计算!$E$3,0)))),2)</f>
        <v>7.95</v>
      </c>
      <c r="X183" s="157">
        <f ca="1" t="shared" si="25"/>
        <v>26.5</v>
      </c>
      <c r="Y183" s="157">
        <f ca="1" t="shared" si="26"/>
        <v>26.5</v>
      </c>
      <c r="Z183" s="304">
        <f ca="1" t="shared" si="27"/>
        <v>13.25</v>
      </c>
      <c r="AA183" s="304">
        <f ca="1">OFFSET(卡牌辅助配置表!$AD$1,MATCH(AB183,卡牌辅助配置表!AB:AB,0)-1,0)</f>
        <v>738</v>
      </c>
      <c r="AB183" s="304">
        <f ca="1" t="shared" si="28"/>
        <v>1128</v>
      </c>
      <c r="AC183" s="153">
        <v>3</v>
      </c>
      <c r="AE183" s="153">
        <v>1</v>
      </c>
      <c r="AF183" s="153" t="str">
        <f ca="1" t="shared" si="29"/>
        <v>10060011|</v>
      </c>
      <c r="AJ183" s="205" t="str">
        <f ca="1" t="shared" si="30"/>
        <v>400023|13500|;</v>
      </c>
      <c r="AK183" s="205">
        <f ca="1">OFFSET([1]item_type!$A$1,MATCH(Q183,[1]item_type!$G:$G,0)-1,0)</f>
        <v>301006</v>
      </c>
      <c r="AL183" s="205"/>
      <c r="AM183" s="205">
        <f ca="1">IF(B183=B184,OFFSET(卡牌辅助配置表!$AE$1,MATCH(AB183,卡牌辅助配置表!AB:AB,0),0),0)</f>
        <v>13500</v>
      </c>
      <c r="AN183" s="153">
        <f ca="1" t="shared" si="31"/>
        <v>1006029</v>
      </c>
      <c r="AP183" s="153" t="str">
        <f ca="1">IF(AC183=0,0,IF(AC183=12,0,OFFSET(effect!$N$1,MATCH(K183,effect!M:M,0)-1,0)))</f>
        <v>kpsx_pt</v>
      </c>
    </row>
    <row r="184" spans="1:42">
      <c r="A184" s="153">
        <f ca="1" t="shared" si="22"/>
        <v>1006029</v>
      </c>
      <c r="B184" s="91" t="s">
        <v>496</v>
      </c>
      <c r="C184" s="186">
        <v>1</v>
      </c>
      <c r="D184" s="186">
        <v>6</v>
      </c>
      <c r="E184" s="165" t="s">
        <v>1050</v>
      </c>
      <c r="F184" s="165" t="str">
        <f>"上一招为拳法时，增加造成伤害"&amp;skill!$O$11/100&amp;"%的护甲"</f>
        <v>上一招为拳法时，增加造成伤害35%的护甲</v>
      </c>
      <c r="G184" s="186">
        <f ca="1">OFFSET(卡牌辅助配置表!$C$1,MATCH(AC184,卡牌辅助配置表!A:A,0)-1,0)</f>
        <v>3</v>
      </c>
      <c r="H184" s="186">
        <f ca="1" t="shared" si="32"/>
        <v>0</v>
      </c>
      <c r="I184" s="186"/>
      <c r="J184" s="186">
        <f ca="1">OFFSET(card_type!$F$1,MATCH(Q184,card_type!A:A,0)-1,0)</f>
        <v>1</v>
      </c>
      <c r="K184" s="243">
        <f ca="1">OFFSET(card_type!$G$1,MATCH(Q184,card_type!A:A,0)-1,0)</f>
        <v>1</v>
      </c>
      <c r="L184" s="157">
        <v>2</v>
      </c>
      <c r="M184" s="157">
        <v>2</v>
      </c>
      <c r="N184" s="153">
        <f t="shared" si="23"/>
        <v>29</v>
      </c>
      <c r="O184" s="157"/>
      <c r="P184" s="157"/>
      <c r="Q184" s="153">
        <f ca="1">OFFSET(card_type!$A$1,MATCH(card!B184,card_type!B:B,0)-1,0)</f>
        <v>1006</v>
      </c>
      <c r="R184" s="153">
        <v>1</v>
      </c>
      <c r="S184" s="157">
        <f ca="1">ROUND(IF(R184=0,0,IF(R184=1,X184*$S$1,IF(R184=2,X184*$S$1*buff的资质计算!$E$2,IF(R184=3,X184*$S$1*buff的资质计算!$E$3,0)))),0)*0</f>
        <v>0</v>
      </c>
      <c r="T184" s="153">
        <v>1</v>
      </c>
      <c r="U184" s="153">
        <f ca="1" t="shared" si="24"/>
        <v>11</v>
      </c>
      <c r="V184" s="153">
        <f ca="1">ROUND((OFFSET(卡牌辅助配置表!$O$1,MATCH(U184,卡牌辅助配置表!M:M,0)-1,0)+(N184-1)*OFFSET(卡牌辅助配置表!$P$1,MATCH(U184,卡牌辅助配置表!M:M,0)-1,0))*M184,2)</f>
        <v>24.24</v>
      </c>
      <c r="W184" s="157">
        <f ca="1">ROUND(IF(R184=0,0,IF(R184=1,X184*$W$1,IF(R184=2,X184*$W$1*buff的资质计算!$E$2,IF(R184=3,X184*$W$1*buff的资质计算!$E$3,0)))),2)</f>
        <v>8.1</v>
      </c>
      <c r="X184" s="157">
        <f ca="1" t="shared" si="25"/>
        <v>27</v>
      </c>
      <c r="Y184" s="157">
        <f ca="1" t="shared" si="26"/>
        <v>27</v>
      </c>
      <c r="Z184" s="304">
        <f ca="1" t="shared" si="27"/>
        <v>13.5</v>
      </c>
      <c r="AA184" s="304">
        <f ca="1">OFFSET(卡牌辅助配置表!$AD$1,MATCH(AB184,卡牌辅助配置表!AB:AB,0)-1,0)</f>
        <v>774</v>
      </c>
      <c r="AB184" s="304">
        <f ca="1" t="shared" si="28"/>
        <v>1129</v>
      </c>
      <c r="AC184" s="153">
        <v>3</v>
      </c>
      <c r="AE184" s="153">
        <v>1</v>
      </c>
      <c r="AF184" s="153" t="str">
        <f ca="1" t="shared" si="29"/>
        <v>10060011|</v>
      </c>
      <c r="AJ184" s="205" t="str">
        <f ca="1" t="shared" si="30"/>
        <v>301006|30|;400023|14300|;</v>
      </c>
      <c r="AK184" s="205">
        <f ca="1">OFFSET([1]item_type!$A$1,MATCH(Q184,[1]item_type!$G:$G,0)-1,0)</f>
        <v>301006</v>
      </c>
      <c r="AL184" s="205">
        <v>30</v>
      </c>
      <c r="AM184" s="205">
        <f ca="1">IF(B184=B185,OFFSET(卡牌辅助配置表!$AE$1,MATCH(AB184,卡牌辅助配置表!AB:AB,0),0),0)</f>
        <v>14300</v>
      </c>
      <c r="AN184" s="153">
        <f ca="1" t="shared" si="31"/>
        <v>1006030</v>
      </c>
      <c r="AP184" s="153" t="str">
        <f ca="1">IF(AC184=0,0,IF(AC184=12,0,OFFSET(effect!$N$1,MATCH(K184,effect!M:M,0)-1,0)))</f>
        <v>kpsx_pt</v>
      </c>
    </row>
    <row r="185" spans="1:42">
      <c r="A185" s="153">
        <f ca="1" t="shared" si="22"/>
        <v>1006030</v>
      </c>
      <c r="B185" s="91" t="s">
        <v>496</v>
      </c>
      <c r="C185" s="186">
        <v>1</v>
      </c>
      <c r="D185" s="186">
        <v>6</v>
      </c>
      <c r="E185" s="165" t="s">
        <v>1050</v>
      </c>
      <c r="F185" s="165" t="str">
        <f>"上一招为拳法时，增加造成伤害"&amp;skill!$O$11/100&amp;"%的护甲"</f>
        <v>上一招为拳法时，增加造成伤害35%的护甲</v>
      </c>
      <c r="G185" s="186">
        <f ca="1">OFFSET(卡牌辅助配置表!$C$1,MATCH(AC185,卡牌辅助配置表!A:A,0)-1,0)</f>
        <v>3</v>
      </c>
      <c r="H185" s="186">
        <f ca="1" t="shared" si="32"/>
        <v>0</v>
      </c>
      <c r="I185" s="186"/>
      <c r="J185" s="186">
        <f ca="1">OFFSET(card_type!$F$1,MATCH(Q185,card_type!A:A,0)-1,0)</f>
        <v>1</v>
      </c>
      <c r="K185" s="243">
        <f ca="1">OFFSET(card_type!$G$1,MATCH(Q185,card_type!A:A,0)-1,0)</f>
        <v>1</v>
      </c>
      <c r="L185" s="157">
        <v>2</v>
      </c>
      <c r="M185" s="157">
        <v>2</v>
      </c>
      <c r="N185" s="153">
        <f t="shared" si="23"/>
        <v>30</v>
      </c>
      <c r="O185" s="157"/>
      <c r="P185" s="157"/>
      <c r="Q185" s="153">
        <f ca="1">OFFSET(card_type!$A$1,MATCH(card!B185,card_type!B:B,0)-1,0)</f>
        <v>1006</v>
      </c>
      <c r="R185" s="153">
        <v>1</v>
      </c>
      <c r="S185" s="157">
        <f ca="1">ROUND(IF(R185=0,0,IF(R185=1,X185*$S$1,IF(R185=2,X185*$S$1*buff的资质计算!$E$2,IF(R185=3,X185*$S$1*buff的资质计算!$E$3,0)))),0)*0</f>
        <v>0</v>
      </c>
      <c r="T185" s="153">
        <v>1</v>
      </c>
      <c r="U185" s="153">
        <f ca="1" t="shared" si="24"/>
        <v>11</v>
      </c>
      <c r="V185" s="153">
        <f ca="1">ROUND((OFFSET(卡牌辅助配置表!$O$1,MATCH(U185,卡牌辅助配置表!M:M,0)-1,0)+(N185-1)*OFFSET(卡牌辅助配置表!$P$1,MATCH(U185,卡牌辅助配置表!M:M,0)-1,0))*M185,2)</f>
        <v>24.66</v>
      </c>
      <c r="W185" s="157">
        <f ca="1">ROUND(IF(R185=0,0,IF(R185=1,X185*$W$1,IF(R185=2,X185*$W$1*buff的资质计算!$E$2,IF(R185=3,X185*$W$1*buff的资质计算!$E$3,0)))),2)</f>
        <v>8.25</v>
      </c>
      <c r="X185" s="157">
        <f ca="1" t="shared" si="25"/>
        <v>27.5</v>
      </c>
      <c r="Y185" s="157">
        <f ca="1" t="shared" si="26"/>
        <v>27.5</v>
      </c>
      <c r="Z185" s="304">
        <f ca="1" t="shared" si="27"/>
        <v>13.75</v>
      </c>
      <c r="AA185" s="304">
        <f ca="1">OFFSET(卡牌辅助配置表!$AD$1,MATCH(AB185,卡牌辅助配置表!AB:AB,0)-1,0)</f>
        <v>810</v>
      </c>
      <c r="AB185" s="304">
        <f ca="1" t="shared" si="28"/>
        <v>1130</v>
      </c>
      <c r="AC185" s="153">
        <v>3</v>
      </c>
      <c r="AE185" s="153">
        <v>1</v>
      </c>
      <c r="AF185" s="153" t="str">
        <f ca="1" t="shared" si="29"/>
        <v>10060011|</v>
      </c>
      <c r="AJ185" s="205">
        <f ca="1" t="shared" si="30"/>
        <v>0</v>
      </c>
      <c r="AK185" s="205">
        <f ca="1">OFFSET([1]item_type!$A$1,MATCH(Q185,[1]item_type!$G:$G,0)-1,0)</f>
        <v>301006</v>
      </c>
      <c r="AL185" s="205"/>
      <c r="AM185" s="205">
        <f ca="1">IF(B185=B186,OFFSET(卡牌辅助配置表!$AE$1,MATCH(AB185,卡牌辅助配置表!AB:AB,0),0),0)</f>
        <v>0</v>
      </c>
      <c r="AN185" s="153">
        <f ca="1" t="shared" si="31"/>
        <v>0</v>
      </c>
      <c r="AP185" s="153" t="str">
        <f ca="1">IF(AC185=0,0,IF(AC185=12,0,OFFSET(effect!$N$1,MATCH(K185,effect!M:M,0)-1,0)))</f>
        <v>kpsx_pt</v>
      </c>
    </row>
    <row r="186" spans="1:42">
      <c r="A186" s="153">
        <f ca="1" t="shared" si="22"/>
        <v>1007001</v>
      </c>
      <c r="B186" s="91" t="s">
        <v>413</v>
      </c>
      <c r="C186" s="186">
        <v>1</v>
      </c>
      <c r="D186" s="186">
        <v>6</v>
      </c>
      <c r="E186" s="165" t="s">
        <v>1050</v>
      </c>
      <c r="F186" s="165" t="str">
        <f>"额外造成当前护甲"&amp;skill!$O$12%&amp;"%的伤害"</f>
        <v>额外造成当前护甲70%的伤害</v>
      </c>
      <c r="G186" s="186">
        <f ca="1">OFFSET(卡牌辅助配置表!$C$1,MATCH(AC186,卡牌辅助配置表!A:A,0)-1,0)</f>
        <v>0</v>
      </c>
      <c r="H186" s="186">
        <f ca="1" t="shared" si="32"/>
        <v>0</v>
      </c>
      <c r="I186" s="186"/>
      <c r="J186" s="186">
        <f ca="1">OFFSET(card_type!$F$1,MATCH(Q186,card_type!A:A,0)-1,0)</f>
        <v>1</v>
      </c>
      <c r="K186" s="243">
        <f ca="1">OFFSET(card_type!$G$1,MATCH(Q186,card_type!A:A,0)-1,0)</f>
        <v>2</v>
      </c>
      <c r="L186" s="157">
        <v>2</v>
      </c>
      <c r="M186" s="157">
        <v>2</v>
      </c>
      <c r="N186" s="153">
        <f t="shared" si="23"/>
        <v>1</v>
      </c>
      <c r="O186" s="157"/>
      <c r="P186" s="157"/>
      <c r="Q186" s="153">
        <f ca="1">OFFSET(card_type!$A$1,MATCH(card!B186,card_type!B:B,0)-1,0)</f>
        <v>1007</v>
      </c>
      <c r="R186" s="153">
        <v>1</v>
      </c>
      <c r="S186" s="157">
        <f ca="1">ROUND(IF(R186=0,0,IF(R186=1,X186*$S$1,IF(R186=2,X186*$S$1*buff的资质计算!$E$2,IF(R186=3,X186*$S$1*buff的资质计算!$E$3,0)))),0)*0</f>
        <v>0</v>
      </c>
      <c r="T186" s="153">
        <v>2</v>
      </c>
      <c r="U186" s="153">
        <f ca="1" t="shared" si="24"/>
        <v>12</v>
      </c>
      <c r="V186" s="153">
        <f ca="1">ROUND((OFFSET(卡牌辅助配置表!$O$1,MATCH(U186,卡牌辅助配置表!M:M,0)-1,0)+(N186-1)*OFFSET(卡牌辅助配置表!$P$1,MATCH(U186,卡牌辅助配置表!M:M,0)-1,0))*M186,2)</f>
        <v>19</v>
      </c>
      <c r="W186" s="157">
        <f ca="1">ROUND(IF(R186=0,0,IF(R186=1,X186*$W$1,IF(R186=2,X186*$W$1*buff的资质计算!$E$2,IF(R186=3,X186*$W$1*buff的资质计算!$E$3,0)))),2)</f>
        <v>5.4</v>
      </c>
      <c r="X186" s="157">
        <f ca="1" t="shared" si="25"/>
        <v>18</v>
      </c>
      <c r="Y186" s="157">
        <f ca="1" t="shared" si="26"/>
        <v>18</v>
      </c>
      <c r="Z186" s="304">
        <f ca="1" t="shared" si="27"/>
        <v>9</v>
      </c>
      <c r="AA186" s="304">
        <f ca="1">OFFSET(卡牌辅助配置表!$AD$1,MATCH(AB186,卡牌辅助配置表!AB:AB,0)-1,0)</f>
        <v>36</v>
      </c>
      <c r="AB186" s="304">
        <f ca="1" t="shared" si="28"/>
        <v>1201</v>
      </c>
      <c r="AC186" s="153">
        <v>12</v>
      </c>
      <c r="AF186" s="153" t="str">
        <f ca="1" t="shared" si="29"/>
        <v>10070011|</v>
      </c>
      <c r="AJ186" s="205" t="str">
        <f ca="1" t="shared" si="30"/>
        <v>400023|1050|;</v>
      </c>
      <c r="AK186" s="205">
        <f ca="1">OFFSET([1]item_type!$A$1,MATCH(Q186,[1]item_type!$G:$G,0)-1,0)</f>
        <v>301007</v>
      </c>
      <c r="AL186" s="205"/>
      <c r="AM186" s="205">
        <f ca="1">IF(B186=B187,OFFSET(卡牌辅助配置表!$AE$1,MATCH(AB186,卡牌辅助配置表!AB:AB,0),0),0)</f>
        <v>1050</v>
      </c>
      <c r="AN186" s="153">
        <f ca="1" t="shared" si="31"/>
        <v>1007002</v>
      </c>
      <c r="AP186" s="153">
        <f ca="1">IF(AC186=0,0,IF(AC186=12,0,OFFSET(effect!$N$1,MATCH(K186,effect!M:M,0)-1,0)))</f>
        <v>0</v>
      </c>
    </row>
    <row r="187" spans="1:42">
      <c r="A187" s="153">
        <f ca="1" t="shared" si="22"/>
        <v>1007002</v>
      </c>
      <c r="B187" s="91" t="s">
        <v>413</v>
      </c>
      <c r="C187" s="186">
        <v>1</v>
      </c>
      <c r="D187" s="186">
        <v>6</v>
      </c>
      <c r="E187" s="165" t="s">
        <v>1050</v>
      </c>
      <c r="F187" s="165" t="str">
        <f>"额外造成当前护甲"&amp;skill!$O$12%&amp;"%的伤害"</f>
        <v>额外造成当前护甲70%的伤害</v>
      </c>
      <c r="G187" s="186">
        <f ca="1">OFFSET(卡牌辅助配置表!$C$1,MATCH(AC187,卡牌辅助配置表!A:A,0)-1,0)</f>
        <v>0</v>
      </c>
      <c r="H187" s="186">
        <f ca="1" t="shared" si="32"/>
        <v>0</v>
      </c>
      <c r="I187" s="186"/>
      <c r="J187" s="186">
        <f ca="1">OFFSET(card_type!$F$1,MATCH(Q187,card_type!A:A,0)-1,0)</f>
        <v>1</v>
      </c>
      <c r="K187" s="243">
        <f ca="1">OFFSET(card_type!$G$1,MATCH(Q187,card_type!A:A,0)-1,0)</f>
        <v>2</v>
      </c>
      <c r="L187" s="157">
        <v>2</v>
      </c>
      <c r="M187" s="157">
        <v>2</v>
      </c>
      <c r="N187" s="153">
        <f t="shared" si="23"/>
        <v>2</v>
      </c>
      <c r="O187" s="157"/>
      <c r="P187" s="157"/>
      <c r="Q187" s="153">
        <f ca="1">OFFSET(card_type!$A$1,MATCH(card!B187,card_type!B:B,0)-1,0)</f>
        <v>1007</v>
      </c>
      <c r="R187" s="153">
        <v>1</v>
      </c>
      <c r="S187" s="157">
        <f ca="1">ROUND(IF(R187=0,0,IF(R187=1,X187*$S$1,IF(R187=2,X187*$S$1*buff的资质计算!$E$2,IF(R187=3,X187*$S$1*buff的资质计算!$E$3,0)))),0)*0</f>
        <v>0</v>
      </c>
      <c r="T187" s="153">
        <v>2</v>
      </c>
      <c r="U187" s="153">
        <f ca="1" t="shared" si="24"/>
        <v>12</v>
      </c>
      <c r="V187" s="153">
        <f ca="1">ROUND((OFFSET(卡牌辅助配置表!$O$1,MATCH(U187,卡牌辅助配置表!M:M,0)-1,0)+(N187-1)*OFFSET(卡牌辅助配置表!$P$1,MATCH(U187,卡牌辅助配置表!M:M,0)-1,0))*M187,2)</f>
        <v>19.63</v>
      </c>
      <c r="W187" s="157">
        <f ca="1">ROUND(IF(R187=0,0,IF(R187=1,X187*$W$1,IF(R187=2,X187*$W$1*buff的资质计算!$E$2,IF(R187=3,X187*$W$1*buff的资质计算!$E$3,0)))),2)</f>
        <v>5.55</v>
      </c>
      <c r="X187" s="157">
        <f ca="1" t="shared" si="25"/>
        <v>18.5</v>
      </c>
      <c r="Y187" s="157">
        <f ca="1" t="shared" si="26"/>
        <v>18.5</v>
      </c>
      <c r="Z187" s="304">
        <f ca="1" t="shared" si="27"/>
        <v>9.25</v>
      </c>
      <c r="AA187" s="304">
        <f ca="1">OFFSET(卡牌辅助配置表!$AD$1,MATCH(AB187,卡牌辅助配置表!AB:AB,0)-1,0)</f>
        <v>72</v>
      </c>
      <c r="AB187" s="304">
        <f ca="1" t="shared" si="28"/>
        <v>1202</v>
      </c>
      <c r="AC187" s="153">
        <v>12</v>
      </c>
      <c r="AF187" s="153" t="str">
        <f ca="1" t="shared" si="29"/>
        <v>10070011|</v>
      </c>
      <c r="AJ187" s="205" t="str">
        <f ca="1" t="shared" si="30"/>
        <v>400023|1350|;</v>
      </c>
      <c r="AK187" s="205">
        <f ca="1">OFFSET([1]item_type!$A$1,MATCH(Q187,[1]item_type!$G:$G,0)-1,0)</f>
        <v>301007</v>
      </c>
      <c r="AL187" s="205"/>
      <c r="AM187" s="205">
        <f ca="1">IF(B187=B188,OFFSET(卡牌辅助配置表!$AE$1,MATCH(AB187,卡牌辅助配置表!AB:AB,0),0),0)</f>
        <v>1350</v>
      </c>
      <c r="AN187" s="153">
        <f ca="1" t="shared" si="31"/>
        <v>1007003</v>
      </c>
      <c r="AP187" s="153">
        <f ca="1">IF(AC187=0,0,IF(AC187=12,0,OFFSET(effect!$N$1,MATCH(K187,effect!M:M,0)-1,0)))</f>
        <v>0</v>
      </c>
    </row>
    <row r="188" spans="1:42">
      <c r="A188" s="153">
        <f ca="1" t="shared" si="22"/>
        <v>1007003</v>
      </c>
      <c r="B188" s="91" t="s">
        <v>413</v>
      </c>
      <c r="C188" s="186">
        <v>1</v>
      </c>
      <c r="D188" s="186">
        <v>6</v>
      </c>
      <c r="E188" s="165" t="s">
        <v>1050</v>
      </c>
      <c r="F188" s="165" t="str">
        <f>"额外造成当前护甲"&amp;skill!$O$12%&amp;"%的伤害"</f>
        <v>额外造成当前护甲70%的伤害</v>
      </c>
      <c r="G188" s="186">
        <f ca="1">OFFSET(卡牌辅助配置表!$C$1,MATCH(AC188,卡牌辅助配置表!A:A,0)-1,0)</f>
        <v>0</v>
      </c>
      <c r="H188" s="186">
        <f ca="1" t="shared" si="32"/>
        <v>0</v>
      </c>
      <c r="I188" s="186"/>
      <c r="J188" s="186">
        <f ca="1">OFFSET(card_type!$F$1,MATCH(Q188,card_type!A:A,0)-1,0)</f>
        <v>1</v>
      </c>
      <c r="K188" s="243">
        <f ca="1">OFFSET(card_type!$G$1,MATCH(Q188,card_type!A:A,0)-1,0)</f>
        <v>2</v>
      </c>
      <c r="L188" s="157">
        <v>2</v>
      </c>
      <c r="M188" s="157">
        <v>2</v>
      </c>
      <c r="N188" s="153">
        <f t="shared" si="23"/>
        <v>3</v>
      </c>
      <c r="O188" s="157"/>
      <c r="P188" s="157"/>
      <c r="Q188" s="153">
        <f ca="1">OFFSET(card_type!$A$1,MATCH(card!B188,card_type!B:B,0)-1,0)</f>
        <v>1007</v>
      </c>
      <c r="R188" s="153">
        <v>1</v>
      </c>
      <c r="S188" s="157">
        <f ca="1">ROUND(IF(R188=0,0,IF(R188=1,X188*$S$1,IF(R188=2,X188*$S$1*buff的资质计算!$E$2,IF(R188=3,X188*$S$1*buff的资质计算!$E$3,0)))),0)*0</f>
        <v>0</v>
      </c>
      <c r="T188" s="153">
        <v>2</v>
      </c>
      <c r="U188" s="153">
        <f ca="1" t="shared" si="24"/>
        <v>12</v>
      </c>
      <c r="V188" s="153">
        <f ca="1">ROUND((OFFSET(卡牌辅助配置表!$O$1,MATCH(U188,卡牌辅助配置表!M:M,0)-1,0)+(N188-1)*OFFSET(卡牌辅助配置表!$P$1,MATCH(U188,卡牌辅助配置表!M:M,0)-1,0))*M188,2)</f>
        <v>20.27</v>
      </c>
      <c r="W188" s="157">
        <f ca="1">ROUND(IF(R188=0,0,IF(R188=1,X188*$W$1,IF(R188=2,X188*$W$1*buff的资质计算!$E$2,IF(R188=3,X188*$W$1*buff的资质计算!$E$3,0)))),2)</f>
        <v>5.7</v>
      </c>
      <c r="X188" s="157">
        <f ca="1" t="shared" si="25"/>
        <v>19</v>
      </c>
      <c r="Y188" s="157">
        <f ca="1" t="shared" si="26"/>
        <v>19</v>
      </c>
      <c r="Z188" s="304">
        <f ca="1" t="shared" si="27"/>
        <v>9.5</v>
      </c>
      <c r="AA188" s="304">
        <f ca="1">OFFSET(卡牌辅助配置表!$AD$1,MATCH(AB188,卡牌辅助配置表!AB:AB,0)-1,0)</f>
        <v>108</v>
      </c>
      <c r="AB188" s="304">
        <f ca="1" t="shared" si="28"/>
        <v>1203</v>
      </c>
      <c r="AC188" s="153">
        <v>12</v>
      </c>
      <c r="AF188" s="153" t="str">
        <f ca="1" t="shared" si="29"/>
        <v>10070011|</v>
      </c>
      <c r="AJ188" s="205" t="str">
        <f ca="1" t="shared" si="30"/>
        <v>400023|1650|;</v>
      </c>
      <c r="AK188" s="205">
        <f ca="1">OFFSET([1]item_type!$A$1,MATCH(Q188,[1]item_type!$G:$G,0)-1,0)</f>
        <v>301007</v>
      </c>
      <c r="AL188" s="205"/>
      <c r="AM188" s="205">
        <f ca="1">IF(B188=B189,OFFSET(卡牌辅助配置表!$AE$1,MATCH(AB188,卡牌辅助配置表!AB:AB,0),0),0)</f>
        <v>1650</v>
      </c>
      <c r="AN188" s="153">
        <f ca="1" t="shared" si="31"/>
        <v>1007004</v>
      </c>
      <c r="AP188" s="153">
        <f ca="1">IF(AC188=0,0,IF(AC188=12,0,OFFSET(effect!$N$1,MATCH(K188,effect!M:M,0)-1,0)))</f>
        <v>0</v>
      </c>
    </row>
    <row r="189" spans="1:42">
      <c r="A189" s="153">
        <f ca="1" t="shared" si="22"/>
        <v>1007004</v>
      </c>
      <c r="B189" s="91" t="s">
        <v>413</v>
      </c>
      <c r="C189" s="186">
        <v>1</v>
      </c>
      <c r="D189" s="186">
        <v>6</v>
      </c>
      <c r="E189" s="165" t="s">
        <v>1050</v>
      </c>
      <c r="F189" s="165" t="str">
        <f>"额外造成当前护甲"&amp;skill!$O$12%&amp;"%的伤害"</f>
        <v>额外造成当前护甲70%的伤害</v>
      </c>
      <c r="G189" s="186">
        <f ca="1">OFFSET(卡牌辅助配置表!$C$1,MATCH(AC189,卡牌辅助配置表!A:A,0)-1,0)</f>
        <v>0</v>
      </c>
      <c r="H189" s="186">
        <f ca="1" t="shared" si="32"/>
        <v>0</v>
      </c>
      <c r="I189" s="186"/>
      <c r="J189" s="186">
        <f ca="1">OFFSET(card_type!$F$1,MATCH(Q189,card_type!A:A,0)-1,0)</f>
        <v>1</v>
      </c>
      <c r="K189" s="243">
        <f ca="1">OFFSET(card_type!$G$1,MATCH(Q189,card_type!A:A,0)-1,0)</f>
        <v>2</v>
      </c>
      <c r="L189" s="157">
        <v>2</v>
      </c>
      <c r="M189" s="157">
        <v>2</v>
      </c>
      <c r="N189" s="153">
        <f t="shared" si="23"/>
        <v>4</v>
      </c>
      <c r="O189" s="157"/>
      <c r="P189" s="157"/>
      <c r="Q189" s="153">
        <f ca="1">OFFSET(card_type!$A$1,MATCH(card!B189,card_type!B:B,0)-1,0)</f>
        <v>1007</v>
      </c>
      <c r="R189" s="153">
        <v>1</v>
      </c>
      <c r="S189" s="157">
        <f ca="1">ROUND(IF(R189=0,0,IF(R189=1,X189*$S$1,IF(R189=2,X189*$S$1*buff的资质计算!$E$2,IF(R189=3,X189*$S$1*buff的资质计算!$E$3,0)))),0)*0</f>
        <v>0</v>
      </c>
      <c r="T189" s="153">
        <v>2</v>
      </c>
      <c r="U189" s="153">
        <f ca="1" t="shared" si="24"/>
        <v>12</v>
      </c>
      <c r="V189" s="153">
        <f ca="1">ROUND((OFFSET(卡牌辅助配置表!$O$1,MATCH(U189,卡牌辅助配置表!M:M,0)-1,0)+(N189-1)*OFFSET(卡牌辅助配置表!$P$1,MATCH(U189,卡牌辅助配置表!M:M,0)-1,0))*M189,2)</f>
        <v>20.9</v>
      </c>
      <c r="W189" s="157">
        <f ca="1">ROUND(IF(R189=0,0,IF(R189=1,X189*$W$1,IF(R189=2,X189*$W$1*buff的资质计算!$E$2,IF(R189=3,X189*$W$1*buff的资质计算!$E$3,0)))),2)</f>
        <v>5.85</v>
      </c>
      <c r="X189" s="157">
        <f ca="1" t="shared" si="25"/>
        <v>19.5</v>
      </c>
      <c r="Y189" s="157">
        <f ca="1" t="shared" si="26"/>
        <v>19.5</v>
      </c>
      <c r="Z189" s="304">
        <f ca="1" t="shared" si="27"/>
        <v>9.75</v>
      </c>
      <c r="AA189" s="304">
        <f ca="1">OFFSET(卡牌辅助配置表!$AD$1,MATCH(AB189,卡牌辅助配置表!AB:AB,0)-1,0)</f>
        <v>144</v>
      </c>
      <c r="AB189" s="304">
        <f ca="1" t="shared" si="28"/>
        <v>1204</v>
      </c>
      <c r="AC189" s="153">
        <v>12</v>
      </c>
      <c r="AF189" s="153" t="str">
        <f ca="1" t="shared" si="29"/>
        <v>10070011|</v>
      </c>
      <c r="AJ189" s="205" t="str">
        <f ca="1" t="shared" si="30"/>
        <v>400023|1950|;</v>
      </c>
      <c r="AK189" s="205">
        <f ca="1">OFFSET([1]item_type!$A$1,MATCH(Q189,[1]item_type!$G:$G,0)-1,0)</f>
        <v>301007</v>
      </c>
      <c r="AL189" s="205"/>
      <c r="AM189" s="205">
        <f ca="1">IF(B189=B190,OFFSET(卡牌辅助配置表!$AE$1,MATCH(AB189,卡牌辅助配置表!AB:AB,0),0),0)</f>
        <v>1950</v>
      </c>
      <c r="AN189" s="153">
        <f ca="1" t="shared" si="31"/>
        <v>1007005</v>
      </c>
      <c r="AP189" s="153">
        <f ca="1">IF(AC189=0,0,IF(AC189=12,0,OFFSET(effect!$N$1,MATCH(K189,effect!M:M,0)-1,0)))</f>
        <v>0</v>
      </c>
    </row>
    <row r="190" spans="1:42">
      <c r="A190" s="153">
        <f ca="1" t="shared" si="22"/>
        <v>1007005</v>
      </c>
      <c r="B190" s="91" t="s">
        <v>413</v>
      </c>
      <c r="C190" s="186">
        <v>1</v>
      </c>
      <c r="D190" s="186">
        <v>6</v>
      </c>
      <c r="E190" s="165" t="s">
        <v>1050</v>
      </c>
      <c r="F190" s="165" t="str">
        <f>"额外造成当前护甲"&amp;skill!$O$12%&amp;"%的伤害"</f>
        <v>额外造成当前护甲70%的伤害</v>
      </c>
      <c r="G190" s="186">
        <f ca="1">OFFSET(卡牌辅助配置表!$C$1,MATCH(AC190,卡牌辅助配置表!A:A,0)-1,0)</f>
        <v>0</v>
      </c>
      <c r="H190" s="186">
        <f ca="1" t="shared" si="32"/>
        <v>0</v>
      </c>
      <c r="I190" s="186"/>
      <c r="J190" s="186">
        <f ca="1">OFFSET(card_type!$F$1,MATCH(Q190,card_type!A:A,0)-1,0)</f>
        <v>1</v>
      </c>
      <c r="K190" s="243">
        <f ca="1">OFFSET(card_type!$G$1,MATCH(Q190,card_type!A:A,0)-1,0)</f>
        <v>2</v>
      </c>
      <c r="L190" s="157">
        <v>2</v>
      </c>
      <c r="M190" s="157">
        <v>2</v>
      </c>
      <c r="N190" s="153">
        <f t="shared" si="23"/>
        <v>5</v>
      </c>
      <c r="O190" s="157"/>
      <c r="P190" s="157"/>
      <c r="Q190" s="153">
        <f ca="1">OFFSET(card_type!$A$1,MATCH(card!B190,card_type!B:B,0)-1,0)</f>
        <v>1007</v>
      </c>
      <c r="R190" s="153">
        <v>1</v>
      </c>
      <c r="S190" s="157">
        <f ca="1">ROUND(IF(R190=0,0,IF(R190=1,X190*$S$1,IF(R190=2,X190*$S$1*buff的资质计算!$E$2,IF(R190=3,X190*$S$1*buff的资质计算!$E$3,0)))),0)*0</f>
        <v>0</v>
      </c>
      <c r="T190" s="153">
        <v>2</v>
      </c>
      <c r="U190" s="153">
        <f ca="1" t="shared" si="24"/>
        <v>12</v>
      </c>
      <c r="V190" s="153">
        <f ca="1">ROUND((OFFSET(卡牌辅助配置表!$O$1,MATCH(U190,卡牌辅助配置表!M:M,0)-1,0)+(N190-1)*OFFSET(卡牌辅助配置表!$P$1,MATCH(U190,卡牌辅助配置表!M:M,0)-1,0))*M190,2)</f>
        <v>21.53</v>
      </c>
      <c r="W190" s="157">
        <f ca="1">ROUND(IF(R190=0,0,IF(R190=1,X190*$W$1,IF(R190=2,X190*$W$1*buff的资质计算!$E$2,IF(R190=3,X190*$W$1*buff的资质计算!$E$3,0)))),2)</f>
        <v>6</v>
      </c>
      <c r="X190" s="157">
        <f ca="1" t="shared" si="25"/>
        <v>20</v>
      </c>
      <c r="Y190" s="157">
        <f ca="1" t="shared" si="26"/>
        <v>20</v>
      </c>
      <c r="Z190" s="304">
        <f ca="1" t="shared" si="27"/>
        <v>10</v>
      </c>
      <c r="AA190" s="304">
        <f ca="1">OFFSET(卡牌辅助配置表!$AD$1,MATCH(AB190,卡牌辅助配置表!AB:AB,0)-1,0)</f>
        <v>180</v>
      </c>
      <c r="AB190" s="304">
        <f ca="1" t="shared" si="28"/>
        <v>1205</v>
      </c>
      <c r="AC190" s="153">
        <v>12</v>
      </c>
      <c r="AF190" s="153" t="str">
        <f ca="1" t="shared" si="29"/>
        <v>10070011|</v>
      </c>
      <c r="AJ190" s="205" t="str">
        <f ca="1" t="shared" si="30"/>
        <v>400023|2250|;</v>
      </c>
      <c r="AK190" s="205">
        <f ca="1">OFFSET([1]item_type!$A$1,MATCH(Q190,[1]item_type!$G:$G,0)-1,0)</f>
        <v>301007</v>
      </c>
      <c r="AL190" s="205"/>
      <c r="AM190" s="205">
        <f ca="1">IF(B190=B191,OFFSET(卡牌辅助配置表!$AE$1,MATCH(AB190,卡牌辅助配置表!AB:AB,0),0),0)</f>
        <v>2250</v>
      </c>
      <c r="AN190" s="153">
        <f ca="1" t="shared" si="31"/>
        <v>1007006</v>
      </c>
      <c r="AP190" s="153">
        <f ca="1">IF(AC190=0,0,IF(AC190=12,0,OFFSET(effect!$N$1,MATCH(K190,effect!M:M,0)-1,0)))</f>
        <v>0</v>
      </c>
    </row>
    <row r="191" spans="1:42">
      <c r="A191" s="153">
        <f ca="1" t="shared" si="22"/>
        <v>1007006</v>
      </c>
      <c r="B191" s="91" t="s">
        <v>413</v>
      </c>
      <c r="C191" s="186">
        <v>1</v>
      </c>
      <c r="D191" s="186">
        <v>6</v>
      </c>
      <c r="E191" s="165" t="s">
        <v>1050</v>
      </c>
      <c r="F191" s="165" t="str">
        <f>"额外造成当前护甲"&amp;skill!$O$12%&amp;"%的伤害"</f>
        <v>额外造成当前护甲70%的伤害</v>
      </c>
      <c r="G191" s="186">
        <f ca="1">OFFSET(卡牌辅助配置表!$C$1,MATCH(AC191,卡牌辅助配置表!A:A,0)-1,0)</f>
        <v>0</v>
      </c>
      <c r="H191" s="186">
        <f ca="1" t="shared" si="32"/>
        <v>0</v>
      </c>
      <c r="I191" s="186"/>
      <c r="J191" s="186">
        <f ca="1">OFFSET(card_type!$F$1,MATCH(Q191,card_type!A:A,0)-1,0)</f>
        <v>1</v>
      </c>
      <c r="K191" s="243">
        <f ca="1">OFFSET(card_type!$G$1,MATCH(Q191,card_type!A:A,0)-1,0)</f>
        <v>2</v>
      </c>
      <c r="L191" s="157">
        <v>2</v>
      </c>
      <c r="M191" s="157">
        <v>2</v>
      </c>
      <c r="N191" s="153">
        <f t="shared" si="23"/>
        <v>6</v>
      </c>
      <c r="O191" s="157"/>
      <c r="P191" s="157"/>
      <c r="Q191" s="153">
        <f ca="1">OFFSET(card_type!$A$1,MATCH(card!B191,card_type!B:B,0)-1,0)</f>
        <v>1007</v>
      </c>
      <c r="R191" s="153">
        <v>1</v>
      </c>
      <c r="S191" s="157">
        <f ca="1">ROUND(IF(R191=0,0,IF(R191=1,X191*$S$1,IF(R191=2,X191*$S$1*buff的资质计算!$E$2,IF(R191=3,X191*$S$1*buff的资质计算!$E$3,0)))),0)*0</f>
        <v>0</v>
      </c>
      <c r="T191" s="153">
        <v>2</v>
      </c>
      <c r="U191" s="153">
        <f ca="1" t="shared" si="24"/>
        <v>12</v>
      </c>
      <c r="V191" s="153">
        <f ca="1">ROUND((OFFSET(卡牌辅助配置表!$O$1,MATCH(U191,卡牌辅助配置表!M:M,0)-1,0)+(N191-1)*OFFSET(卡牌辅助配置表!$P$1,MATCH(U191,卡牌辅助配置表!M:M,0)-1,0))*M191,2)</f>
        <v>22.17</v>
      </c>
      <c r="W191" s="157">
        <f ca="1">ROUND(IF(R191=0,0,IF(R191=1,X191*$W$1,IF(R191=2,X191*$W$1*buff的资质计算!$E$2,IF(R191=3,X191*$W$1*buff的资质计算!$E$3,0)))),2)</f>
        <v>6.15</v>
      </c>
      <c r="X191" s="157">
        <f ca="1" t="shared" si="25"/>
        <v>20.5</v>
      </c>
      <c r="Y191" s="157">
        <f ca="1" t="shared" si="26"/>
        <v>20.5</v>
      </c>
      <c r="Z191" s="304">
        <f ca="1" t="shared" si="27"/>
        <v>10.25</v>
      </c>
      <c r="AA191" s="304">
        <f ca="1">OFFSET(卡牌辅助配置表!$AD$1,MATCH(AB191,卡牌辅助配置表!AB:AB,0)-1,0)</f>
        <v>216</v>
      </c>
      <c r="AB191" s="304">
        <f ca="1" t="shared" si="28"/>
        <v>1206</v>
      </c>
      <c r="AC191" s="153">
        <v>12</v>
      </c>
      <c r="AF191" s="153" t="str">
        <f ca="1" t="shared" si="29"/>
        <v>10070011|</v>
      </c>
      <c r="AJ191" s="205" t="str">
        <f ca="1" t="shared" si="30"/>
        <v>400023|2550|;</v>
      </c>
      <c r="AK191" s="205">
        <f ca="1">OFFSET([1]item_type!$A$1,MATCH(Q191,[1]item_type!$G:$G,0)-1,0)</f>
        <v>301007</v>
      </c>
      <c r="AL191" s="205"/>
      <c r="AM191" s="205">
        <f ca="1">IF(B191=B192,OFFSET(卡牌辅助配置表!$AE$1,MATCH(AB191,卡牌辅助配置表!AB:AB,0),0),0)</f>
        <v>2550</v>
      </c>
      <c r="AN191" s="153">
        <f ca="1" t="shared" si="31"/>
        <v>1007007</v>
      </c>
      <c r="AP191" s="153">
        <f ca="1">IF(AC191=0,0,IF(AC191=12,0,OFFSET(effect!$N$1,MATCH(K191,effect!M:M,0)-1,0)))</f>
        <v>0</v>
      </c>
    </row>
    <row r="192" spans="1:42">
      <c r="A192" s="153">
        <f ca="1" t="shared" si="22"/>
        <v>1007007</v>
      </c>
      <c r="B192" s="91" t="s">
        <v>413</v>
      </c>
      <c r="C192" s="186">
        <v>1</v>
      </c>
      <c r="D192" s="186">
        <v>6</v>
      </c>
      <c r="E192" s="165" t="s">
        <v>1050</v>
      </c>
      <c r="F192" s="165" t="str">
        <f>"额外造成当前护甲"&amp;skill!$O$12%&amp;"%的伤害"</f>
        <v>额外造成当前护甲70%的伤害</v>
      </c>
      <c r="G192" s="186">
        <f ca="1">OFFSET(卡牌辅助配置表!$C$1,MATCH(AC192,卡牌辅助配置表!A:A,0)-1,0)</f>
        <v>0</v>
      </c>
      <c r="H192" s="186">
        <f ca="1" t="shared" si="32"/>
        <v>0</v>
      </c>
      <c r="I192" s="186"/>
      <c r="J192" s="186">
        <f ca="1">OFFSET(card_type!$F$1,MATCH(Q192,card_type!A:A,0)-1,0)</f>
        <v>1</v>
      </c>
      <c r="K192" s="243">
        <f ca="1">OFFSET(card_type!$G$1,MATCH(Q192,card_type!A:A,0)-1,0)</f>
        <v>2</v>
      </c>
      <c r="L192" s="157">
        <v>2</v>
      </c>
      <c r="M192" s="157">
        <v>2</v>
      </c>
      <c r="N192" s="153">
        <f t="shared" si="23"/>
        <v>7</v>
      </c>
      <c r="O192" s="157"/>
      <c r="P192" s="157"/>
      <c r="Q192" s="153">
        <f ca="1">OFFSET(card_type!$A$1,MATCH(card!B192,card_type!B:B,0)-1,0)</f>
        <v>1007</v>
      </c>
      <c r="R192" s="153">
        <v>1</v>
      </c>
      <c r="S192" s="157">
        <f ca="1">ROUND(IF(R192=0,0,IF(R192=1,X192*$S$1,IF(R192=2,X192*$S$1*buff的资质计算!$E$2,IF(R192=3,X192*$S$1*buff的资质计算!$E$3,0)))),0)*0</f>
        <v>0</v>
      </c>
      <c r="T192" s="153">
        <v>2</v>
      </c>
      <c r="U192" s="153">
        <f ca="1" t="shared" si="24"/>
        <v>12</v>
      </c>
      <c r="V192" s="153">
        <f ca="1">ROUND((OFFSET(卡牌辅助配置表!$O$1,MATCH(U192,卡牌辅助配置表!M:M,0)-1,0)+(N192-1)*OFFSET(卡牌辅助配置表!$P$1,MATCH(U192,卡牌辅助配置表!M:M,0)-1,0))*M192,2)</f>
        <v>22.8</v>
      </c>
      <c r="W192" s="157">
        <f ca="1">ROUND(IF(R192=0,0,IF(R192=1,X192*$W$1,IF(R192=2,X192*$W$1*buff的资质计算!$E$2,IF(R192=3,X192*$W$1*buff的资质计算!$E$3,0)))),2)</f>
        <v>6.3</v>
      </c>
      <c r="X192" s="157">
        <f ca="1" t="shared" si="25"/>
        <v>21</v>
      </c>
      <c r="Y192" s="157">
        <f ca="1" t="shared" si="26"/>
        <v>21</v>
      </c>
      <c r="Z192" s="304">
        <f ca="1" t="shared" si="27"/>
        <v>10.5</v>
      </c>
      <c r="AA192" s="304">
        <f ca="1">OFFSET(卡牌辅助配置表!$AD$1,MATCH(AB192,卡牌辅助配置表!AB:AB,0)-1,0)</f>
        <v>252</v>
      </c>
      <c r="AB192" s="304">
        <f ca="1" t="shared" si="28"/>
        <v>1207</v>
      </c>
      <c r="AC192" s="153">
        <v>12</v>
      </c>
      <c r="AF192" s="153" t="str">
        <f ca="1" t="shared" si="29"/>
        <v>10070011|</v>
      </c>
      <c r="AJ192" s="205" t="str">
        <f ca="1" t="shared" si="30"/>
        <v>400023|2850|;</v>
      </c>
      <c r="AK192" s="205">
        <f ca="1">OFFSET([1]item_type!$A$1,MATCH(Q192,[1]item_type!$G:$G,0)-1,0)</f>
        <v>301007</v>
      </c>
      <c r="AL192" s="205"/>
      <c r="AM192" s="205">
        <f ca="1">IF(B192=B193,OFFSET(卡牌辅助配置表!$AE$1,MATCH(AB192,卡牌辅助配置表!AB:AB,0),0),0)</f>
        <v>2850</v>
      </c>
      <c r="AN192" s="153">
        <f ca="1" t="shared" si="31"/>
        <v>1007008</v>
      </c>
      <c r="AP192" s="153">
        <f ca="1">IF(AC192=0,0,IF(AC192=12,0,OFFSET(effect!$N$1,MATCH(K192,effect!M:M,0)-1,0)))</f>
        <v>0</v>
      </c>
    </row>
    <row r="193" spans="1:42">
      <c r="A193" s="153">
        <f ca="1" t="shared" si="22"/>
        <v>1007008</v>
      </c>
      <c r="B193" s="91" t="s">
        <v>413</v>
      </c>
      <c r="C193" s="186">
        <v>1</v>
      </c>
      <c r="D193" s="186">
        <v>6</v>
      </c>
      <c r="E193" s="165" t="s">
        <v>1050</v>
      </c>
      <c r="F193" s="165" t="str">
        <f>"额外造成当前护甲"&amp;skill!$O$12%&amp;"%的伤害"</f>
        <v>额外造成当前护甲70%的伤害</v>
      </c>
      <c r="G193" s="186">
        <f ca="1">OFFSET(卡牌辅助配置表!$C$1,MATCH(AC193,卡牌辅助配置表!A:A,0)-1,0)</f>
        <v>0</v>
      </c>
      <c r="H193" s="186">
        <f ca="1" t="shared" si="32"/>
        <v>0</v>
      </c>
      <c r="I193" s="186"/>
      <c r="J193" s="186">
        <f ca="1">OFFSET(card_type!$F$1,MATCH(Q193,card_type!A:A,0)-1,0)</f>
        <v>1</v>
      </c>
      <c r="K193" s="243">
        <f ca="1">OFFSET(card_type!$G$1,MATCH(Q193,card_type!A:A,0)-1,0)</f>
        <v>2</v>
      </c>
      <c r="L193" s="157">
        <v>2</v>
      </c>
      <c r="M193" s="157">
        <v>2</v>
      </c>
      <c r="N193" s="153">
        <f t="shared" si="23"/>
        <v>8</v>
      </c>
      <c r="O193" s="157"/>
      <c r="P193" s="157"/>
      <c r="Q193" s="153">
        <f ca="1">OFFSET(card_type!$A$1,MATCH(card!B193,card_type!B:B,0)-1,0)</f>
        <v>1007</v>
      </c>
      <c r="R193" s="153">
        <v>1</v>
      </c>
      <c r="S193" s="157">
        <f ca="1">ROUND(IF(R193=0,0,IF(R193=1,X193*$S$1,IF(R193=2,X193*$S$1*buff的资质计算!$E$2,IF(R193=3,X193*$S$1*buff的资质计算!$E$3,0)))),0)*0</f>
        <v>0</v>
      </c>
      <c r="T193" s="153">
        <v>2</v>
      </c>
      <c r="U193" s="153">
        <f ca="1" t="shared" si="24"/>
        <v>12</v>
      </c>
      <c r="V193" s="153">
        <f ca="1">ROUND((OFFSET(卡牌辅助配置表!$O$1,MATCH(U193,卡牌辅助配置表!M:M,0)-1,0)+(N193-1)*OFFSET(卡牌辅助配置表!$P$1,MATCH(U193,卡牌辅助配置表!M:M,0)-1,0))*M193,2)</f>
        <v>23.43</v>
      </c>
      <c r="W193" s="157">
        <f ca="1">ROUND(IF(R193=0,0,IF(R193=1,X193*$W$1,IF(R193=2,X193*$W$1*buff的资质计算!$E$2,IF(R193=3,X193*$W$1*buff的资质计算!$E$3,0)))),2)</f>
        <v>6.45</v>
      </c>
      <c r="X193" s="157">
        <f ca="1" t="shared" si="25"/>
        <v>21.5</v>
      </c>
      <c r="Y193" s="157">
        <f ca="1" t="shared" si="26"/>
        <v>21.5</v>
      </c>
      <c r="Z193" s="304">
        <f ca="1" t="shared" si="27"/>
        <v>10.75</v>
      </c>
      <c r="AA193" s="304">
        <f ca="1">OFFSET(卡牌辅助配置表!$AD$1,MATCH(AB193,卡牌辅助配置表!AB:AB,0)-1,0)</f>
        <v>288</v>
      </c>
      <c r="AB193" s="304">
        <f ca="1" t="shared" si="28"/>
        <v>1208</v>
      </c>
      <c r="AC193" s="153">
        <v>12</v>
      </c>
      <c r="AF193" s="153" t="str">
        <f ca="1" t="shared" si="29"/>
        <v>10070011|</v>
      </c>
      <c r="AJ193" s="205" t="str">
        <f ca="1" t="shared" si="30"/>
        <v>400023|3150|;</v>
      </c>
      <c r="AK193" s="205">
        <f ca="1">OFFSET([1]item_type!$A$1,MATCH(Q193,[1]item_type!$G:$G,0)-1,0)</f>
        <v>301007</v>
      </c>
      <c r="AL193" s="205"/>
      <c r="AM193" s="205">
        <f ca="1">IF(B193=B194,OFFSET(卡牌辅助配置表!$AE$1,MATCH(AB193,卡牌辅助配置表!AB:AB,0),0),0)</f>
        <v>3150</v>
      </c>
      <c r="AN193" s="153">
        <f ca="1" t="shared" si="31"/>
        <v>1007009</v>
      </c>
      <c r="AP193" s="153">
        <f ca="1">IF(AC193=0,0,IF(AC193=12,0,OFFSET(effect!$N$1,MATCH(K193,effect!M:M,0)-1,0)))</f>
        <v>0</v>
      </c>
    </row>
    <row r="194" spans="1:42">
      <c r="A194" s="153">
        <f ca="1" t="shared" si="22"/>
        <v>1007009</v>
      </c>
      <c r="B194" s="91" t="s">
        <v>413</v>
      </c>
      <c r="C194" s="186">
        <v>1</v>
      </c>
      <c r="D194" s="186">
        <v>6</v>
      </c>
      <c r="E194" s="165" t="s">
        <v>1050</v>
      </c>
      <c r="F194" s="165" t="str">
        <f>"额外造成当前护甲"&amp;skill!$O$12%&amp;"%的伤害"</f>
        <v>额外造成当前护甲70%的伤害</v>
      </c>
      <c r="G194" s="186">
        <f ca="1">OFFSET(卡牌辅助配置表!$C$1,MATCH(AC194,卡牌辅助配置表!A:A,0)-1,0)</f>
        <v>0</v>
      </c>
      <c r="H194" s="186">
        <f ca="1" t="shared" si="32"/>
        <v>0</v>
      </c>
      <c r="I194" s="186"/>
      <c r="J194" s="186">
        <f ca="1">OFFSET(card_type!$F$1,MATCH(Q194,card_type!A:A,0)-1,0)</f>
        <v>1</v>
      </c>
      <c r="K194" s="243">
        <f ca="1">OFFSET(card_type!$G$1,MATCH(Q194,card_type!A:A,0)-1,0)</f>
        <v>2</v>
      </c>
      <c r="L194" s="157">
        <v>2</v>
      </c>
      <c r="M194" s="157">
        <v>2</v>
      </c>
      <c r="N194" s="153">
        <f t="shared" si="23"/>
        <v>9</v>
      </c>
      <c r="O194" s="157"/>
      <c r="P194" s="157"/>
      <c r="Q194" s="153">
        <f ca="1">OFFSET(card_type!$A$1,MATCH(card!B194,card_type!B:B,0)-1,0)</f>
        <v>1007</v>
      </c>
      <c r="R194" s="153">
        <v>1</v>
      </c>
      <c r="S194" s="157">
        <f ca="1">ROUND(IF(R194=0,0,IF(R194=1,X194*$S$1,IF(R194=2,X194*$S$1*buff的资质计算!$E$2,IF(R194=3,X194*$S$1*buff的资质计算!$E$3,0)))),0)*0</f>
        <v>0</v>
      </c>
      <c r="T194" s="153">
        <v>2</v>
      </c>
      <c r="U194" s="153">
        <f ca="1" t="shared" si="24"/>
        <v>12</v>
      </c>
      <c r="V194" s="153">
        <f ca="1">ROUND((OFFSET(卡牌辅助配置表!$O$1,MATCH(U194,卡牌辅助配置表!M:M,0)-1,0)+(N194-1)*OFFSET(卡牌辅助配置表!$P$1,MATCH(U194,卡牌辅助配置表!M:M,0)-1,0))*M194,2)</f>
        <v>24.07</v>
      </c>
      <c r="W194" s="157">
        <f ca="1">ROUND(IF(R194=0,0,IF(R194=1,X194*$W$1,IF(R194=2,X194*$W$1*buff的资质计算!$E$2,IF(R194=3,X194*$W$1*buff的资质计算!$E$3,0)))),2)</f>
        <v>6.6</v>
      </c>
      <c r="X194" s="157">
        <f ca="1" t="shared" si="25"/>
        <v>22</v>
      </c>
      <c r="Y194" s="157">
        <f ca="1" t="shared" si="26"/>
        <v>22</v>
      </c>
      <c r="Z194" s="304">
        <f ca="1" t="shared" si="27"/>
        <v>11</v>
      </c>
      <c r="AA194" s="304">
        <f ca="1">OFFSET(卡牌辅助配置表!$AD$1,MATCH(AB194,卡牌辅助配置表!AB:AB,0)-1,0)</f>
        <v>324</v>
      </c>
      <c r="AB194" s="304">
        <f ca="1" t="shared" si="28"/>
        <v>1209</v>
      </c>
      <c r="AC194" s="153">
        <v>12</v>
      </c>
      <c r="AF194" s="153" t="str">
        <f ca="1" t="shared" si="29"/>
        <v>10070011|</v>
      </c>
      <c r="AJ194" s="205" t="str">
        <f ca="1" t="shared" si="30"/>
        <v>301007|15|;400023|3450|;</v>
      </c>
      <c r="AK194" s="205">
        <f ca="1">OFFSET([1]item_type!$A$1,MATCH(Q194,[1]item_type!$G:$G,0)-1,0)</f>
        <v>301007</v>
      </c>
      <c r="AL194" s="205">
        <v>15</v>
      </c>
      <c r="AM194" s="205">
        <f ca="1">IF(B194=B195,OFFSET(卡牌辅助配置表!$AE$1,MATCH(AB194,卡牌辅助配置表!AB:AB,0),0),0)</f>
        <v>3450</v>
      </c>
      <c r="AN194" s="153">
        <f ca="1" t="shared" si="31"/>
        <v>1007010</v>
      </c>
      <c r="AP194" s="153">
        <f ca="1">IF(AC194=0,0,IF(AC194=12,0,OFFSET(effect!$N$1,MATCH(K194,effect!M:M,0)-1,0)))</f>
        <v>0</v>
      </c>
    </row>
    <row r="195" spans="1:42">
      <c r="A195" s="153">
        <f ca="1" t="shared" si="22"/>
        <v>1007010</v>
      </c>
      <c r="B195" s="91" t="s">
        <v>413</v>
      </c>
      <c r="C195" s="186">
        <v>1</v>
      </c>
      <c r="D195" s="186">
        <v>6</v>
      </c>
      <c r="E195" s="165" t="s">
        <v>1050</v>
      </c>
      <c r="F195" s="165" t="str">
        <f>"额外造成当前护甲"&amp;skill!$O$12%&amp;"%的伤害"</f>
        <v>额外造成当前护甲70%的伤害</v>
      </c>
      <c r="G195" s="186">
        <f ca="1">OFFSET(卡牌辅助配置表!$C$1,MATCH(AC195,卡牌辅助配置表!A:A,0)-1,0)</f>
        <v>0</v>
      </c>
      <c r="H195" s="186">
        <f ca="1" t="shared" si="32"/>
        <v>0</v>
      </c>
      <c r="I195" s="186"/>
      <c r="J195" s="186">
        <f ca="1">OFFSET(card_type!$F$1,MATCH(Q195,card_type!A:A,0)-1,0)</f>
        <v>1</v>
      </c>
      <c r="K195" s="243">
        <f ca="1">OFFSET(card_type!$G$1,MATCH(Q195,card_type!A:A,0)-1,0)</f>
        <v>2</v>
      </c>
      <c r="L195" s="157">
        <v>2</v>
      </c>
      <c r="M195" s="157">
        <v>2</v>
      </c>
      <c r="N195" s="153">
        <f t="shared" si="23"/>
        <v>10</v>
      </c>
      <c r="O195" s="157"/>
      <c r="P195" s="157"/>
      <c r="Q195" s="153">
        <f ca="1">OFFSET(card_type!$A$1,MATCH(card!B195,card_type!B:B,0)-1,0)</f>
        <v>1007</v>
      </c>
      <c r="R195" s="153">
        <v>1</v>
      </c>
      <c r="S195" s="157">
        <f ca="1">ROUND(IF(R195=0,0,IF(R195=1,X195*$S$1,IF(R195=2,X195*$S$1*buff的资质计算!$E$2,IF(R195=3,X195*$S$1*buff的资质计算!$E$3,0)))),0)*0</f>
        <v>0</v>
      </c>
      <c r="T195" s="153">
        <v>2</v>
      </c>
      <c r="U195" s="153">
        <f ca="1" t="shared" si="24"/>
        <v>12</v>
      </c>
      <c r="V195" s="153">
        <f ca="1">ROUND((OFFSET(卡牌辅助配置表!$O$1,MATCH(U195,卡牌辅助配置表!M:M,0)-1,0)+(N195-1)*OFFSET(卡牌辅助配置表!$P$1,MATCH(U195,卡牌辅助配置表!M:M,0)-1,0))*M195,2)</f>
        <v>24.7</v>
      </c>
      <c r="W195" s="157">
        <f ca="1">ROUND(IF(R195=0,0,IF(R195=1,X195*$W$1,IF(R195=2,X195*$W$1*buff的资质计算!$E$2,IF(R195=3,X195*$W$1*buff的资质计算!$E$3,0)))),2)</f>
        <v>6.75</v>
      </c>
      <c r="X195" s="157">
        <f ca="1" t="shared" si="25"/>
        <v>22.5</v>
      </c>
      <c r="Y195" s="157">
        <f ca="1" t="shared" si="26"/>
        <v>22.5</v>
      </c>
      <c r="Z195" s="304">
        <f ca="1" t="shared" si="27"/>
        <v>11.25</v>
      </c>
      <c r="AA195" s="304">
        <f ca="1">OFFSET(卡牌辅助配置表!$AD$1,MATCH(AB195,卡牌辅助配置表!AB:AB,0)-1,0)</f>
        <v>360</v>
      </c>
      <c r="AB195" s="304">
        <f ca="1" t="shared" si="28"/>
        <v>1210</v>
      </c>
      <c r="AC195" s="153">
        <v>12</v>
      </c>
      <c r="AF195" s="153" t="str">
        <f ca="1" t="shared" si="29"/>
        <v>10070011|</v>
      </c>
      <c r="AJ195" s="205" t="str">
        <f ca="1" t="shared" si="30"/>
        <v>400023|4050|;</v>
      </c>
      <c r="AK195" s="205">
        <f ca="1">OFFSET([1]item_type!$A$1,MATCH(Q195,[1]item_type!$G:$G,0)-1,0)</f>
        <v>301007</v>
      </c>
      <c r="AL195" s="205"/>
      <c r="AM195" s="205">
        <f ca="1">IF(B195=B196,OFFSET(卡牌辅助配置表!$AE$1,MATCH(AB195,卡牌辅助配置表!AB:AB,0),0),0)</f>
        <v>4050</v>
      </c>
      <c r="AN195" s="153">
        <f ca="1" t="shared" si="31"/>
        <v>1007011</v>
      </c>
      <c r="AP195" s="153">
        <f ca="1">IF(AC195=0,0,IF(AC195=12,0,OFFSET(effect!$N$1,MATCH(K195,effect!M:M,0)-1,0)))</f>
        <v>0</v>
      </c>
    </row>
    <row r="196" spans="1:42">
      <c r="A196" s="153">
        <f ca="1" t="shared" si="22"/>
        <v>1007011</v>
      </c>
      <c r="B196" s="91" t="s">
        <v>413</v>
      </c>
      <c r="C196" s="186">
        <v>1</v>
      </c>
      <c r="D196" s="186">
        <v>6</v>
      </c>
      <c r="E196" s="165" t="s">
        <v>1050</v>
      </c>
      <c r="F196" s="165" t="str">
        <f>"额外造成当前护甲"&amp;skill!$O$12%&amp;"%的伤害"</f>
        <v>额外造成当前护甲70%的伤害</v>
      </c>
      <c r="G196" s="186">
        <f ca="1">OFFSET(卡牌辅助配置表!$C$1,MATCH(AC196,卡牌辅助配置表!A:A,0)-1,0)</f>
        <v>0</v>
      </c>
      <c r="H196" s="186">
        <f ca="1" t="shared" si="32"/>
        <v>0</v>
      </c>
      <c r="I196" s="186"/>
      <c r="J196" s="186">
        <f ca="1">OFFSET(card_type!$F$1,MATCH(Q196,card_type!A:A,0)-1,0)</f>
        <v>1</v>
      </c>
      <c r="K196" s="243">
        <f ca="1">OFFSET(card_type!$G$1,MATCH(Q196,card_type!A:A,0)-1,0)</f>
        <v>2</v>
      </c>
      <c r="L196" s="157">
        <v>2</v>
      </c>
      <c r="M196" s="157">
        <v>2</v>
      </c>
      <c r="N196" s="153">
        <f t="shared" si="23"/>
        <v>11</v>
      </c>
      <c r="O196" s="157"/>
      <c r="P196" s="157"/>
      <c r="Q196" s="153">
        <f ca="1">OFFSET(card_type!$A$1,MATCH(card!B196,card_type!B:B,0)-1,0)</f>
        <v>1007</v>
      </c>
      <c r="R196" s="153">
        <v>1</v>
      </c>
      <c r="S196" s="157">
        <f ca="1">ROUND(IF(R196=0,0,IF(R196=1,X196*$S$1,IF(R196=2,X196*$S$1*buff的资质计算!$E$2,IF(R196=3,X196*$S$1*buff的资质计算!$E$3,0)))),0)*0</f>
        <v>0</v>
      </c>
      <c r="T196" s="153">
        <v>2</v>
      </c>
      <c r="U196" s="153">
        <f ca="1" t="shared" si="24"/>
        <v>12</v>
      </c>
      <c r="V196" s="153">
        <f ca="1">ROUND((OFFSET(卡牌辅助配置表!$O$1,MATCH(U196,卡牌辅助配置表!M:M,0)-1,0)+(N196-1)*OFFSET(卡牌辅助配置表!$P$1,MATCH(U196,卡牌辅助配置表!M:M,0)-1,0))*M196,2)</f>
        <v>25.33</v>
      </c>
      <c r="W196" s="157">
        <f ca="1">ROUND(IF(R196=0,0,IF(R196=1,X196*$W$1,IF(R196=2,X196*$W$1*buff的资质计算!$E$2,IF(R196=3,X196*$W$1*buff的资质计算!$E$3,0)))),2)</f>
        <v>6.9</v>
      </c>
      <c r="X196" s="157">
        <f ca="1" t="shared" si="25"/>
        <v>23</v>
      </c>
      <c r="Y196" s="157">
        <f ca="1" t="shared" si="26"/>
        <v>23</v>
      </c>
      <c r="Z196" s="304">
        <f ca="1" t="shared" si="27"/>
        <v>11.5</v>
      </c>
      <c r="AA196" s="304">
        <f ca="1">OFFSET(卡牌辅助配置表!$AD$1,MATCH(AB196,卡牌辅助配置表!AB:AB,0)-1,0)</f>
        <v>415</v>
      </c>
      <c r="AB196" s="304">
        <f ca="1" t="shared" si="28"/>
        <v>1211</v>
      </c>
      <c r="AC196" s="153">
        <v>12</v>
      </c>
      <c r="AF196" s="153" t="str">
        <f ca="1" t="shared" si="29"/>
        <v>10070011|</v>
      </c>
      <c r="AJ196" s="205" t="str">
        <f ca="1" t="shared" si="30"/>
        <v>400023|4650|;</v>
      </c>
      <c r="AK196" s="205">
        <f ca="1">OFFSET([1]item_type!$A$1,MATCH(Q196,[1]item_type!$G:$G,0)-1,0)</f>
        <v>301007</v>
      </c>
      <c r="AL196" s="205"/>
      <c r="AM196" s="205">
        <f ca="1">IF(B196=B197,OFFSET(卡牌辅助配置表!$AE$1,MATCH(AB196,卡牌辅助配置表!AB:AB,0),0),0)</f>
        <v>4650</v>
      </c>
      <c r="AN196" s="153">
        <f ca="1" t="shared" si="31"/>
        <v>1007012</v>
      </c>
      <c r="AP196" s="153">
        <f ca="1">IF(AC196=0,0,IF(AC196=12,0,OFFSET(effect!$N$1,MATCH(K196,effect!M:M,0)-1,0)))</f>
        <v>0</v>
      </c>
    </row>
    <row r="197" spans="1:42">
      <c r="A197" s="153">
        <f ca="1" t="shared" si="22"/>
        <v>1007012</v>
      </c>
      <c r="B197" s="91" t="s">
        <v>413</v>
      </c>
      <c r="C197" s="186">
        <v>1</v>
      </c>
      <c r="D197" s="186">
        <v>6</v>
      </c>
      <c r="E197" s="165" t="s">
        <v>1050</v>
      </c>
      <c r="F197" s="165" t="str">
        <f>"额外造成当前护甲"&amp;skill!$O$12%&amp;"%的伤害"</f>
        <v>额外造成当前护甲70%的伤害</v>
      </c>
      <c r="G197" s="186">
        <f ca="1">OFFSET(卡牌辅助配置表!$C$1,MATCH(AC197,卡牌辅助配置表!A:A,0)-1,0)</f>
        <v>0</v>
      </c>
      <c r="H197" s="186">
        <f ca="1" t="shared" si="32"/>
        <v>0</v>
      </c>
      <c r="I197" s="186"/>
      <c r="J197" s="186">
        <f ca="1">OFFSET(card_type!$F$1,MATCH(Q197,card_type!A:A,0)-1,0)</f>
        <v>1</v>
      </c>
      <c r="K197" s="243">
        <f ca="1">OFFSET(card_type!$G$1,MATCH(Q197,card_type!A:A,0)-1,0)</f>
        <v>2</v>
      </c>
      <c r="L197" s="157">
        <v>2</v>
      </c>
      <c r="M197" s="157">
        <v>2</v>
      </c>
      <c r="N197" s="153">
        <f t="shared" si="23"/>
        <v>12</v>
      </c>
      <c r="O197" s="157"/>
      <c r="P197" s="157"/>
      <c r="Q197" s="153">
        <f ca="1">OFFSET(card_type!$A$1,MATCH(card!B197,card_type!B:B,0)-1,0)</f>
        <v>1007</v>
      </c>
      <c r="R197" s="153">
        <v>1</v>
      </c>
      <c r="S197" s="157">
        <f ca="1">ROUND(IF(R197=0,0,IF(R197=1,X197*$S$1,IF(R197=2,X197*$S$1*buff的资质计算!$E$2,IF(R197=3,X197*$S$1*buff的资质计算!$E$3,0)))),0)*0</f>
        <v>0</v>
      </c>
      <c r="T197" s="153">
        <v>2</v>
      </c>
      <c r="U197" s="153">
        <f ca="1" t="shared" si="24"/>
        <v>12</v>
      </c>
      <c r="V197" s="153">
        <f ca="1">ROUND((OFFSET(卡牌辅助配置表!$O$1,MATCH(U197,卡牌辅助配置表!M:M,0)-1,0)+(N197-1)*OFFSET(卡牌辅助配置表!$P$1,MATCH(U197,卡牌辅助配置表!M:M,0)-1,0))*M197,2)</f>
        <v>25.97</v>
      </c>
      <c r="W197" s="157">
        <f ca="1">ROUND(IF(R197=0,0,IF(R197=1,X197*$W$1,IF(R197=2,X197*$W$1*buff的资质计算!$E$2,IF(R197=3,X197*$W$1*buff的资质计算!$E$3,0)))),2)</f>
        <v>7.05</v>
      </c>
      <c r="X197" s="157">
        <f ca="1" t="shared" si="25"/>
        <v>23.5</v>
      </c>
      <c r="Y197" s="157">
        <f ca="1" t="shared" si="26"/>
        <v>23.5</v>
      </c>
      <c r="Z197" s="304">
        <f ca="1" t="shared" si="27"/>
        <v>11.75</v>
      </c>
      <c r="AA197" s="304">
        <f ca="1">OFFSET(卡牌辅助配置表!$AD$1,MATCH(AB197,卡牌辅助配置表!AB:AB,0)-1,0)</f>
        <v>470</v>
      </c>
      <c r="AB197" s="304">
        <f ca="1" t="shared" si="28"/>
        <v>1212</v>
      </c>
      <c r="AC197" s="153">
        <v>12</v>
      </c>
      <c r="AF197" s="153" t="str">
        <f ca="1" t="shared" si="29"/>
        <v>10070011|</v>
      </c>
      <c r="AJ197" s="205" t="str">
        <f ca="1" t="shared" si="30"/>
        <v>400023|5250|;</v>
      </c>
      <c r="AK197" s="205">
        <f ca="1">OFFSET([1]item_type!$A$1,MATCH(Q197,[1]item_type!$G:$G,0)-1,0)</f>
        <v>301007</v>
      </c>
      <c r="AL197" s="205"/>
      <c r="AM197" s="205">
        <f ca="1">IF(B197=B198,OFFSET(卡牌辅助配置表!$AE$1,MATCH(AB197,卡牌辅助配置表!AB:AB,0),0),0)</f>
        <v>5250</v>
      </c>
      <c r="AN197" s="153">
        <f ca="1" t="shared" si="31"/>
        <v>1007013</v>
      </c>
      <c r="AP197" s="153">
        <f ca="1">IF(AC197=0,0,IF(AC197=12,0,OFFSET(effect!$N$1,MATCH(K197,effect!M:M,0)-1,0)))</f>
        <v>0</v>
      </c>
    </row>
    <row r="198" spans="1:42">
      <c r="A198" s="153">
        <f ca="1" t="shared" ref="A198:A261" si="33">Q198*1000+N198</f>
        <v>1007013</v>
      </c>
      <c r="B198" s="91" t="s">
        <v>413</v>
      </c>
      <c r="C198" s="186">
        <v>1</v>
      </c>
      <c r="D198" s="186">
        <v>6</v>
      </c>
      <c r="E198" s="165" t="s">
        <v>1050</v>
      </c>
      <c r="F198" s="165" t="str">
        <f>"额外造成当前护甲"&amp;skill!$O$12%&amp;"%的伤害"</f>
        <v>额外造成当前护甲70%的伤害</v>
      </c>
      <c r="G198" s="186">
        <f ca="1">OFFSET(卡牌辅助配置表!$C$1,MATCH(AC198,卡牌辅助配置表!A:A,0)-1,0)</f>
        <v>0</v>
      </c>
      <c r="H198" s="186">
        <f ca="1" t="shared" si="32"/>
        <v>0</v>
      </c>
      <c r="I198" s="186"/>
      <c r="J198" s="186">
        <f ca="1">OFFSET(card_type!$F$1,MATCH(Q198,card_type!A:A,0)-1,0)</f>
        <v>1</v>
      </c>
      <c r="K198" s="243">
        <f ca="1">OFFSET(card_type!$G$1,MATCH(Q198,card_type!A:A,0)-1,0)</f>
        <v>2</v>
      </c>
      <c r="L198" s="157">
        <v>2</v>
      </c>
      <c r="M198" s="157">
        <v>2</v>
      </c>
      <c r="N198" s="153">
        <f t="shared" ref="N198:N261" si="34">IF(B197=B198,N197+1,1)</f>
        <v>13</v>
      </c>
      <c r="O198" s="157"/>
      <c r="P198" s="157"/>
      <c r="Q198" s="153">
        <f ca="1">OFFSET(card_type!$A$1,MATCH(card!B198,card_type!B:B,0)-1,0)</f>
        <v>1007</v>
      </c>
      <c r="R198" s="153">
        <v>1</v>
      </c>
      <c r="S198" s="157">
        <f ca="1">ROUND(IF(R198=0,0,IF(R198=1,X198*$S$1,IF(R198=2,X198*$S$1*buff的资质计算!$E$2,IF(R198=3,X198*$S$1*buff的资质计算!$E$3,0)))),0)*0</f>
        <v>0</v>
      </c>
      <c r="T198" s="153">
        <v>2</v>
      </c>
      <c r="U198" s="153">
        <f ca="1" t="shared" ref="U198:U261" si="35">J198*10+K198</f>
        <v>12</v>
      </c>
      <c r="V198" s="153">
        <f ca="1">ROUND((OFFSET(卡牌辅助配置表!$O$1,MATCH(U198,卡牌辅助配置表!M:M,0)-1,0)+(N198-1)*OFFSET(卡牌辅助配置表!$P$1,MATCH(U198,卡牌辅助配置表!M:M,0)-1,0))*M198,2)</f>
        <v>26.6</v>
      </c>
      <c r="W198" s="157">
        <f ca="1">ROUND(IF(R198=0,0,IF(R198=1,X198*$W$1,IF(R198=2,X198*$W$1*buff的资质计算!$E$2,IF(R198=3,X198*$W$1*buff的资质计算!$E$3,0)))),2)</f>
        <v>7.2</v>
      </c>
      <c r="X198" s="157">
        <f ca="1" t="shared" ref="X198:X261" si="36">M198*($M$1+(J198-1)*$J$1+(K198-1)*$K$1)+G198+$J$1*(N198-1)/$N$1</f>
        <v>24</v>
      </c>
      <c r="Y198" s="157">
        <f ca="1" t="shared" ref="Y198:Y261" si="37">X198+H198</f>
        <v>24</v>
      </c>
      <c r="Z198" s="304">
        <f ca="1" t="shared" ref="Z198:Z261" si="38">Y198/M198</f>
        <v>12</v>
      </c>
      <c r="AA198" s="304">
        <f ca="1">OFFSET(卡牌辅助配置表!$AD$1,MATCH(AB198,卡牌辅助配置表!AB:AB,0)-1,0)</f>
        <v>525</v>
      </c>
      <c r="AB198" s="304">
        <f ca="1" t="shared" ref="AB198:AB261" si="39">J198*1000+K198*100+N198</f>
        <v>1213</v>
      </c>
      <c r="AC198" s="153">
        <v>12</v>
      </c>
      <c r="AF198" s="153" t="str">
        <f ca="1" t="shared" ref="AF198:AF261" si="40">((Q198*1000+1)*10+1)&amp;$AF$1</f>
        <v>10070011|</v>
      </c>
      <c r="AJ198" s="205" t="str">
        <f ca="1" t="shared" ref="AJ198:AJ261" si="41">IF(AN198=0,0,IF(AL198=0,$AM$1&amp;$AF$1&amp;AM198&amp;$AF$1&amp;$AJ$1,AK198&amp;$AF$1&amp;AL198&amp;$AF$1&amp;$AJ$1&amp;$AM$1&amp;$AF$1&amp;AM198&amp;$AF$1&amp;$AJ$1))</f>
        <v>400023|5850|;</v>
      </c>
      <c r="AK198" s="205">
        <f ca="1">OFFSET([1]item_type!$A$1,MATCH(Q198,[1]item_type!$G:$G,0)-1,0)</f>
        <v>301007</v>
      </c>
      <c r="AL198" s="205"/>
      <c r="AM198" s="205">
        <f ca="1">IF(B198=B199,OFFSET(卡牌辅助配置表!$AE$1,MATCH(AB198,卡牌辅助配置表!AB:AB,0),0),0)</f>
        <v>5850</v>
      </c>
      <c r="AN198" s="153">
        <f ca="1" t="shared" ref="AN198:AN261" si="42">IF(B198=B199,A198+1,0)</f>
        <v>1007014</v>
      </c>
      <c r="AP198" s="153">
        <f ca="1">IF(AC198=0,0,IF(AC198=12,0,OFFSET(effect!$N$1,MATCH(K198,effect!M:M,0)-1,0)))</f>
        <v>0</v>
      </c>
    </row>
    <row r="199" spans="1:42">
      <c r="A199" s="153">
        <f ca="1" t="shared" si="33"/>
        <v>1007014</v>
      </c>
      <c r="B199" s="91" t="s">
        <v>413</v>
      </c>
      <c r="C199" s="186">
        <v>1</v>
      </c>
      <c r="D199" s="186">
        <v>6</v>
      </c>
      <c r="E199" s="165" t="s">
        <v>1050</v>
      </c>
      <c r="F199" s="165" t="str">
        <f>"额外造成当前护甲"&amp;skill!$O$12%&amp;"%的伤害"</f>
        <v>额外造成当前护甲70%的伤害</v>
      </c>
      <c r="G199" s="186">
        <f ca="1">OFFSET(卡牌辅助配置表!$C$1,MATCH(AC199,卡牌辅助配置表!A:A,0)-1,0)</f>
        <v>0</v>
      </c>
      <c r="H199" s="186">
        <f ca="1" t="shared" si="32"/>
        <v>0</v>
      </c>
      <c r="I199" s="186"/>
      <c r="J199" s="186">
        <f ca="1">OFFSET(card_type!$F$1,MATCH(Q199,card_type!A:A,0)-1,0)</f>
        <v>1</v>
      </c>
      <c r="K199" s="243">
        <f ca="1">OFFSET(card_type!$G$1,MATCH(Q199,card_type!A:A,0)-1,0)</f>
        <v>2</v>
      </c>
      <c r="L199" s="157">
        <v>2</v>
      </c>
      <c r="M199" s="157">
        <v>2</v>
      </c>
      <c r="N199" s="153">
        <f t="shared" si="34"/>
        <v>14</v>
      </c>
      <c r="O199" s="157"/>
      <c r="P199" s="157"/>
      <c r="Q199" s="153">
        <f ca="1">OFFSET(card_type!$A$1,MATCH(card!B199,card_type!B:B,0)-1,0)</f>
        <v>1007</v>
      </c>
      <c r="R199" s="153">
        <v>1</v>
      </c>
      <c r="S199" s="157">
        <f ca="1">ROUND(IF(R199=0,0,IF(R199=1,X199*$S$1,IF(R199=2,X199*$S$1*buff的资质计算!$E$2,IF(R199=3,X199*$S$1*buff的资质计算!$E$3,0)))),0)*0</f>
        <v>0</v>
      </c>
      <c r="T199" s="153">
        <v>2</v>
      </c>
      <c r="U199" s="153">
        <f ca="1" t="shared" si="35"/>
        <v>12</v>
      </c>
      <c r="V199" s="153">
        <f ca="1">ROUND((OFFSET(卡牌辅助配置表!$O$1,MATCH(U199,卡牌辅助配置表!M:M,0)-1,0)+(N199-1)*OFFSET(卡牌辅助配置表!$P$1,MATCH(U199,卡牌辅助配置表!M:M,0)-1,0))*M199,2)</f>
        <v>27.23</v>
      </c>
      <c r="W199" s="157">
        <f ca="1">ROUND(IF(R199=0,0,IF(R199=1,X199*$W$1,IF(R199=2,X199*$W$1*buff的资质计算!$E$2,IF(R199=3,X199*$W$1*buff的资质计算!$E$3,0)))),2)</f>
        <v>7.35</v>
      </c>
      <c r="X199" s="157">
        <f ca="1" t="shared" si="36"/>
        <v>24.5</v>
      </c>
      <c r="Y199" s="157">
        <f ca="1" t="shared" si="37"/>
        <v>24.5</v>
      </c>
      <c r="Z199" s="304">
        <f ca="1" t="shared" si="38"/>
        <v>12.25</v>
      </c>
      <c r="AA199" s="304">
        <f ca="1">OFFSET(卡牌辅助配置表!$AD$1,MATCH(AB199,卡牌辅助配置表!AB:AB,0)-1,0)</f>
        <v>580</v>
      </c>
      <c r="AB199" s="304">
        <f ca="1" t="shared" si="39"/>
        <v>1214</v>
      </c>
      <c r="AC199" s="153">
        <v>12</v>
      </c>
      <c r="AF199" s="153" t="str">
        <f ca="1" t="shared" si="40"/>
        <v>10070011|</v>
      </c>
      <c r="AJ199" s="205" t="str">
        <f ca="1" t="shared" si="41"/>
        <v>400023|6450|;</v>
      </c>
      <c r="AK199" s="205">
        <f ca="1">OFFSET([1]item_type!$A$1,MATCH(Q199,[1]item_type!$G:$G,0)-1,0)</f>
        <v>301007</v>
      </c>
      <c r="AL199" s="205"/>
      <c r="AM199" s="205">
        <f ca="1">IF(B199=B200,OFFSET(卡牌辅助配置表!$AE$1,MATCH(AB199,卡牌辅助配置表!AB:AB,0),0),0)</f>
        <v>6450</v>
      </c>
      <c r="AN199" s="153">
        <f ca="1" t="shared" si="42"/>
        <v>1007015</v>
      </c>
      <c r="AP199" s="153">
        <f ca="1">IF(AC199=0,0,IF(AC199=12,0,OFFSET(effect!$N$1,MATCH(K199,effect!M:M,0)-1,0)))</f>
        <v>0</v>
      </c>
    </row>
    <row r="200" spans="1:42">
      <c r="A200" s="153">
        <f ca="1" t="shared" si="33"/>
        <v>1007015</v>
      </c>
      <c r="B200" s="91" t="s">
        <v>413</v>
      </c>
      <c r="C200" s="186">
        <v>1</v>
      </c>
      <c r="D200" s="186">
        <v>6</v>
      </c>
      <c r="E200" s="165" t="s">
        <v>1050</v>
      </c>
      <c r="F200" s="165" t="str">
        <f>"额外造成当前护甲"&amp;skill!$O$12%&amp;"%的伤害"</f>
        <v>额外造成当前护甲70%的伤害</v>
      </c>
      <c r="G200" s="186">
        <f ca="1">OFFSET(卡牌辅助配置表!$C$1,MATCH(AC200,卡牌辅助配置表!A:A,0)-1,0)</f>
        <v>0</v>
      </c>
      <c r="H200" s="186">
        <f ca="1" t="shared" si="32"/>
        <v>0</v>
      </c>
      <c r="I200" s="186"/>
      <c r="J200" s="186">
        <f ca="1">OFFSET(card_type!$F$1,MATCH(Q200,card_type!A:A,0)-1,0)</f>
        <v>1</v>
      </c>
      <c r="K200" s="243">
        <f ca="1">OFFSET(card_type!$G$1,MATCH(Q200,card_type!A:A,0)-1,0)</f>
        <v>2</v>
      </c>
      <c r="L200" s="157">
        <v>2</v>
      </c>
      <c r="M200" s="157">
        <v>2</v>
      </c>
      <c r="N200" s="153">
        <f t="shared" si="34"/>
        <v>15</v>
      </c>
      <c r="O200" s="157"/>
      <c r="P200" s="157"/>
      <c r="Q200" s="153">
        <f ca="1">OFFSET(card_type!$A$1,MATCH(card!B200,card_type!B:B,0)-1,0)</f>
        <v>1007</v>
      </c>
      <c r="R200" s="153">
        <v>1</v>
      </c>
      <c r="S200" s="157">
        <f ca="1">ROUND(IF(R200=0,0,IF(R200=1,X200*$S$1,IF(R200=2,X200*$S$1*buff的资质计算!$E$2,IF(R200=3,X200*$S$1*buff的资质计算!$E$3,0)))),0)*0</f>
        <v>0</v>
      </c>
      <c r="T200" s="153">
        <v>2</v>
      </c>
      <c r="U200" s="153">
        <f ca="1" t="shared" si="35"/>
        <v>12</v>
      </c>
      <c r="V200" s="153">
        <f ca="1">ROUND((OFFSET(卡牌辅助配置表!$O$1,MATCH(U200,卡牌辅助配置表!M:M,0)-1,0)+(N200-1)*OFFSET(卡牌辅助配置表!$P$1,MATCH(U200,卡牌辅助配置表!M:M,0)-1,0))*M200,2)</f>
        <v>27.87</v>
      </c>
      <c r="W200" s="157">
        <f ca="1">ROUND(IF(R200=0,0,IF(R200=1,X200*$W$1,IF(R200=2,X200*$W$1*buff的资质计算!$E$2,IF(R200=3,X200*$W$1*buff的资质计算!$E$3,0)))),2)</f>
        <v>7.5</v>
      </c>
      <c r="X200" s="157">
        <f ca="1" t="shared" si="36"/>
        <v>25</v>
      </c>
      <c r="Y200" s="157">
        <f ca="1" t="shared" si="37"/>
        <v>25</v>
      </c>
      <c r="Z200" s="304">
        <f ca="1" t="shared" si="38"/>
        <v>12.5</v>
      </c>
      <c r="AA200" s="304">
        <f ca="1">OFFSET(卡牌辅助配置表!$AD$1,MATCH(AB200,卡牌辅助配置表!AB:AB,0)-1,0)</f>
        <v>635</v>
      </c>
      <c r="AB200" s="304">
        <f ca="1" t="shared" si="39"/>
        <v>1215</v>
      </c>
      <c r="AC200" s="153">
        <v>12</v>
      </c>
      <c r="AF200" s="153" t="str">
        <f ca="1" t="shared" si="40"/>
        <v>10070011|</v>
      </c>
      <c r="AJ200" s="205" t="str">
        <f ca="1" t="shared" si="41"/>
        <v>400023|7050|;</v>
      </c>
      <c r="AK200" s="205">
        <f ca="1">OFFSET([1]item_type!$A$1,MATCH(Q200,[1]item_type!$G:$G,0)-1,0)</f>
        <v>301007</v>
      </c>
      <c r="AL200" s="205"/>
      <c r="AM200" s="205">
        <f ca="1">IF(B200=B201,OFFSET(卡牌辅助配置表!$AE$1,MATCH(AB200,卡牌辅助配置表!AB:AB,0),0),0)</f>
        <v>7050</v>
      </c>
      <c r="AN200" s="153">
        <f ca="1" t="shared" si="42"/>
        <v>1007016</v>
      </c>
      <c r="AP200" s="153">
        <f ca="1">IF(AC200=0,0,IF(AC200=12,0,OFFSET(effect!$N$1,MATCH(K200,effect!M:M,0)-1,0)))</f>
        <v>0</v>
      </c>
    </row>
    <row r="201" spans="1:42">
      <c r="A201" s="153">
        <f ca="1" t="shared" si="33"/>
        <v>1007016</v>
      </c>
      <c r="B201" s="91" t="s">
        <v>413</v>
      </c>
      <c r="C201" s="186">
        <v>1</v>
      </c>
      <c r="D201" s="186">
        <v>6</v>
      </c>
      <c r="E201" s="165" t="s">
        <v>1050</v>
      </c>
      <c r="F201" s="165" t="str">
        <f>"额外造成当前护甲"&amp;skill!$O$12%&amp;"%的伤害"</f>
        <v>额外造成当前护甲70%的伤害</v>
      </c>
      <c r="G201" s="186">
        <f ca="1">OFFSET(卡牌辅助配置表!$C$1,MATCH(AC201,卡牌辅助配置表!A:A,0)-1,0)</f>
        <v>0</v>
      </c>
      <c r="H201" s="186">
        <f ca="1" t="shared" si="32"/>
        <v>0</v>
      </c>
      <c r="I201" s="186"/>
      <c r="J201" s="186">
        <f ca="1">OFFSET(card_type!$F$1,MATCH(Q201,card_type!A:A,0)-1,0)</f>
        <v>1</v>
      </c>
      <c r="K201" s="243">
        <f ca="1">OFFSET(card_type!$G$1,MATCH(Q201,card_type!A:A,0)-1,0)</f>
        <v>2</v>
      </c>
      <c r="L201" s="157">
        <v>2</v>
      </c>
      <c r="M201" s="157">
        <v>2</v>
      </c>
      <c r="N201" s="153">
        <f t="shared" si="34"/>
        <v>16</v>
      </c>
      <c r="O201" s="157"/>
      <c r="P201" s="157"/>
      <c r="Q201" s="153">
        <f ca="1">OFFSET(card_type!$A$1,MATCH(card!B201,card_type!B:B,0)-1,0)</f>
        <v>1007</v>
      </c>
      <c r="R201" s="153">
        <v>1</v>
      </c>
      <c r="S201" s="157">
        <f ca="1">ROUND(IF(R201=0,0,IF(R201=1,X201*$S$1,IF(R201=2,X201*$S$1*buff的资质计算!$E$2,IF(R201=3,X201*$S$1*buff的资质计算!$E$3,0)))),0)*0</f>
        <v>0</v>
      </c>
      <c r="T201" s="153">
        <v>2</v>
      </c>
      <c r="U201" s="153">
        <f ca="1" t="shared" si="35"/>
        <v>12</v>
      </c>
      <c r="V201" s="153">
        <f ca="1">ROUND((OFFSET(卡牌辅助配置表!$O$1,MATCH(U201,卡牌辅助配置表!M:M,0)-1,0)+(N201-1)*OFFSET(卡牌辅助配置表!$P$1,MATCH(U201,卡牌辅助配置表!M:M,0)-1,0))*M201,2)</f>
        <v>28.5</v>
      </c>
      <c r="W201" s="157">
        <f ca="1">ROUND(IF(R201=0,0,IF(R201=1,X201*$W$1,IF(R201=2,X201*$W$1*buff的资质计算!$E$2,IF(R201=3,X201*$W$1*buff的资质计算!$E$3,0)))),2)</f>
        <v>7.65</v>
      </c>
      <c r="X201" s="157">
        <f ca="1" t="shared" si="36"/>
        <v>25.5</v>
      </c>
      <c r="Y201" s="157">
        <f ca="1" t="shared" si="37"/>
        <v>25.5</v>
      </c>
      <c r="Z201" s="304">
        <f ca="1" t="shared" si="38"/>
        <v>12.75</v>
      </c>
      <c r="AA201" s="304">
        <f ca="1">OFFSET(卡牌辅助配置表!$AD$1,MATCH(AB201,卡牌辅助配置表!AB:AB,0)-1,0)</f>
        <v>690</v>
      </c>
      <c r="AB201" s="304">
        <f ca="1" t="shared" si="39"/>
        <v>1216</v>
      </c>
      <c r="AC201" s="153">
        <v>12</v>
      </c>
      <c r="AF201" s="153" t="str">
        <f ca="1" t="shared" si="40"/>
        <v>10070011|</v>
      </c>
      <c r="AJ201" s="205" t="str">
        <f ca="1" t="shared" si="41"/>
        <v>400023|7650|;</v>
      </c>
      <c r="AK201" s="205">
        <f ca="1">OFFSET([1]item_type!$A$1,MATCH(Q201,[1]item_type!$G:$G,0)-1,0)</f>
        <v>301007</v>
      </c>
      <c r="AL201" s="205"/>
      <c r="AM201" s="205">
        <f ca="1">IF(B201=B202,OFFSET(卡牌辅助配置表!$AE$1,MATCH(AB201,卡牌辅助配置表!AB:AB,0),0),0)</f>
        <v>7650</v>
      </c>
      <c r="AN201" s="153">
        <f ca="1" t="shared" si="42"/>
        <v>1007017</v>
      </c>
      <c r="AP201" s="153">
        <f ca="1">IF(AC201=0,0,IF(AC201=12,0,OFFSET(effect!$N$1,MATCH(K201,effect!M:M,0)-1,0)))</f>
        <v>0</v>
      </c>
    </row>
    <row r="202" spans="1:42">
      <c r="A202" s="153">
        <f ca="1" t="shared" si="33"/>
        <v>1007017</v>
      </c>
      <c r="B202" s="91" t="s">
        <v>413</v>
      </c>
      <c r="C202" s="186">
        <v>1</v>
      </c>
      <c r="D202" s="186">
        <v>6</v>
      </c>
      <c r="E202" s="165" t="s">
        <v>1050</v>
      </c>
      <c r="F202" s="165" t="str">
        <f>"额外造成当前护甲"&amp;skill!$O$12%&amp;"%的伤害"</f>
        <v>额外造成当前护甲70%的伤害</v>
      </c>
      <c r="G202" s="186">
        <f ca="1">OFFSET(卡牌辅助配置表!$C$1,MATCH(AC202,卡牌辅助配置表!A:A,0)-1,0)</f>
        <v>0</v>
      </c>
      <c r="H202" s="186">
        <f ca="1" t="shared" si="32"/>
        <v>0</v>
      </c>
      <c r="I202" s="186"/>
      <c r="J202" s="186">
        <f ca="1">OFFSET(card_type!$F$1,MATCH(Q202,card_type!A:A,0)-1,0)</f>
        <v>1</v>
      </c>
      <c r="K202" s="243">
        <f ca="1">OFFSET(card_type!$G$1,MATCH(Q202,card_type!A:A,0)-1,0)</f>
        <v>2</v>
      </c>
      <c r="L202" s="157">
        <v>2</v>
      </c>
      <c r="M202" s="157">
        <v>2</v>
      </c>
      <c r="N202" s="153">
        <f t="shared" si="34"/>
        <v>17</v>
      </c>
      <c r="O202" s="157"/>
      <c r="P202" s="157"/>
      <c r="Q202" s="153">
        <f ca="1">OFFSET(card_type!$A$1,MATCH(card!B202,card_type!B:B,0)-1,0)</f>
        <v>1007</v>
      </c>
      <c r="R202" s="153">
        <v>1</v>
      </c>
      <c r="S202" s="157">
        <f ca="1">ROUND(IF(R202=0,0,IF(R202=1,X202*$S$1,IF(R202=2,X202*$S$1*buff的资质计算!$E$2,IF(R202=3,X202*$S$1*buff的资质计算!$E$3,0)))),0)*0</f>
        <v>0</v>
      </c>
      <c r="T202" s="153">
        <v>2</v>
      </c>
      <c r="U202" s="153">
        <f ca="1" t="shared" si="35"/>
        <v>12</v>
      </c>
      <c r="V202" s="153">
        <f ca="1">ROUND((OFFSET(卡牌辅助配置表!$O$1,MATCH(U202,卡牌辅助配置表!M:M,0)-1,0)+(N202-1)*OFFSET(卡牌辅助配置表!$P$1,MATCH(U202,卡牌辅助配置表!M:M,0)-1,0))*M202,2)</f>
        <v>29.13</v>
      </c>
      <c r="W202" s="157">
        <f ca="1">ROUND(IF(R202=0,0,IF(R202=1,X202*$W$1,IF(R202=2,X202*$W$1*buff的资质计算!$E$2,IF(R202=3,X202*$W$1*buff的资质计算!$E$3,0)))),2)</f>
        <v>7.8</v>
      </c>
      <c r="X202" s="157">
        <f ca="1" t="shared" si="36"/>
        <v>26</v>
      </c>
      <c r="Y202" s="157">
        <f ca="1" t="shared" si="37"/>
        <v>26</v>
      </c>
      <c r="Z202" s="304">
        <f ca="1" t="shared" si="38"/>
        <v>13</v>
      </c>
      <c r="AA202" s="304">
        <f ca="1">OFFSET(卡牌辅助配置表!$AD$1,MATCH(AB202,卡牌辅助配置表!AB:AB,0)-1,0)</f>
        <v>745</v>
      </c>
      <c r="AB202" s="304">
        <f ca="1" t="shared" si="39"/>
        <v>1217</v>
      </c>
      <c r="AC202" s="153">
        <v>12</v>
      </c>
      <c r="AF202" s="153" t="str">
        <f ca="1" t="shared" si="40"/>
        <v>10070011|</v>
      </c>
      <c r="AJ202" s="205" t="str">
        <f ca="1" t="shared" si="41"/>
        <v>400023|8250|;</v>
      </c>
      <c r="AK202" s="205">
        <f ca="1">OFFSET([1]item_type!$A$1,MATCH(Q202,[1]item_type!$G:$G,0)-1,0)</f>
        <v>301007</v>
      </c>
      <c r="AL202" s="205"/>
      <c r="AM202" s="205">
        <f ca="1">IF(B202=B203,OFFSET(卡牌辅助配置表!$AE$1,MATCH(AB202,卡牌辅助配置表!AB:AB,0),0),0)</f>
        <v>8250</v>
      </c>
      <c r="AN202" s="153">
        <f ca="1" t="shared" si="42"/>
        <v>1007018</v>
      </c>
      <c r="AP202" s="153">
        <f ca="1">IF(AC202=0,0,IF(AC202=12,0,OFFSET(effect!$N$1,MATCH(K202,effect!M:M,0)-1,0)))</f>
        <v>0</v>
      </c>
    </row>
    <row r="203" spans="1:42">
      <c r="A203" s="153">
        <f ca="1" t="shared" si="33"/>
        <v>1007018</v>
      </c>
      <c r="B203" s="91" t="s">
        <v>413</v>
      </c>
      <c r="C203" s="186">
        <v>1</v>
      </c>
      <c r="D203" s="186">
        <v>6</v>
      </c>
      <c r="E203" s="165" t="s">
        <v>1050</v>
      </c>
      <c r="F203" s="165" t="str">
        <f>"额外造成当前护甲"&amp;skill!$O$12%&amp;"%的伤害"</f>
        <v>额外造成当前护甲70%的伤害</v>
      </c>
      <c r="G203" s="186">
        <f ca="1">OFFSET(卡牌辅助配置表!$C$1,MATCH(AC203,卡牌辅助配置表!A:A,0)-1,0)</f>
        <v>0</v>
      </c>
      <c r="H203" s="186">
        <f ca="1" t="shared" si="32"/>
        <v>0</v>
      </c>
      <c r="I203" s="186"/>
      <c r="J203" s="186">
        <f ca="1">OFFSET(card_type!$F$1,MATCH(Q203,card_type!A:A,0)-1,0)</f>
        <v>1</v>
      </c>
      <c r="K203" s="243">
        <f ca="1">OFFSET(card_type!$G$1,MATCH(Q203,card_type!A:A,0)-1,0)</f>
        <v>2</v>
      </c>
      <c r="L203" s="157">
        <v>2</v>
      </c>
      <c r="M203" s="157">
        <v>2</v>
      </c>
      <c r="N203" s="153">
        <f t="shared" si="34"/>
        <v>18</v>
      </c>
      <c r="O203" s="157"/>
      <c r="P203" s="157"/>
      <c r="Q203" s="153">
        <f ca="1">OFFSET(card_type!$A$1,MATCH(card!B203,card_type!B:B,0)-1,0)</f>
        <v>1007</v>
      </c>
      <c r="R203" s="153">
        <v>1</v>
      </c>
      <c r="S203" s="157">
        <f ca="1">ROUND(IF(R203=0,0,IF(R203=1,X203*$S$1,IF(R203=2,X203*$S$1*buff的资质计算!$E$2,IF(R203=3,X203*$S$1*buff的资质计算!$E$3,0)))),0)*0</f>
        <v>0</v>
      </c>
      <c r="T203" s="153">
        <v>2</v>
      </c>
      <c r="U203" s="153">
        <f ca="1" t="shared" si="35"/>
        <v>12</v>
      </c>
      <c r="V203" s="153">
        <f ca="1">ROUND((OFFSET(卡牌辅助配置表!$O$1,MATCH(U203,卡牌辅助配置表!M:M,0)-1,0)+(N203-1)*OFFSET(卡牌辅助配置表!$P$1,MATCH(U203,卡牌辅助配置表!M:M,0)-1,0))*M203,2)</f>
        <v>29.77</v>
      </c>
      <c r="W203" s="157">
        <f ca="1">ROUND(IF(R203=0,0,IF(R203=1,X203*$W$1,IF(R203=2,X203*$W$1*buff的资质计算!$E$2,IF(R203=3,X203*$W$1*buff的资质计算!$E$3,0)))),2)</f>
        <v>7.95</v>
      </c>
      <c r="X203" s="157">
        <f ca="1" t="shared" si="36"/>
        <v>26.5</v>
      </c>
      <c r="Y203" s="157">
        <f ca="1" t="shared" si="37"/>
        <v>26.5</v>
      </c>
      <c r="Z203" s="304">
        <f ca="1" t="shared" si="38"/>
        <v>13.25</v>
      </c>
      <c r="AA203" s="304">
        <f ca="1">OFFSET(卡牌辅助配置表!$AD$1,MATCH(AB203,卡牌辅助配置表!AB:AB,0)-1,0)</f>
        <v>800</v>
      </c>
      <c r="AB203" s="304">
        <f ca="1" t="shared" si="39"/>
        <v>1218</v>
      </c>
      <c r="AC203" s="153">
        <v>12</v>
      </c>
      <c r="AF203" s="153" t="str">
        <f ca="1" t="shared" si="40"/>
        <v>10070011|</v>
      </c>
      <c r="AJ203" s="205" t="str">
        <f ca="1" t="shared" si="41"/>
        <v>400023|8850|;</v>
      </c>
      <c r="AK203" s="205">
        <f ca="1">OFFSET([1]item_type!$A$1,MATCH(Q203,[1]item_type!$G:$G,0)-1,0)</f>
        <v>301007</v>
      </c>
      <c r="AL203" s="205"/>
      <c r="AM203" s="205">
        <f ca="1">IF(B203=B204,OFFSET(卡牌辅助配置表!$AE$1,MATCH(AB203,卡牌辅助配置表!AB:AB,0),0),0)</f>
        <v>8850</v>
      </c>
      <c r="AN203" s="153">
        <f ca="1" t="shared" si="42"/>
        <v>1007019</v>
      </c>
      <c r="AP203" s="153">
        <f ca="1">IF(AC203=0,0,IF(AC203=12,0,OFFSET(effect!$N$1,MATCH(K203,effect!M:M,0)-1,0)))</f>
        <v>0</v>
      </c>
    </row>
    <row r="204" spans="1:42">
      <c r="A204" s="153">
        <f ca="1" t="shared" si="33"/>
        <v>1007019</v>
      </c>
      <c r="B204" s="91" t="s">
        <v>413</v>
      </c>
      <c r="C204" s="186">
        <v>1</v>
      </c>
      <c r="D204" s="186">
        <v>6</v>
      </c>
      <c r="E204" s="165" t="s">
        <v>1050</v>
      </c>
      <c r="F204" s="165" t="str">
        <f>"额外造成当前护甲"&amp;skill!$O$12%&amp;"%的伤害"</f>
        <v>额外造成当前护甲70%的伤害</v>
      </c>
      <c r="G204" s="186">
        <f ca="1">OFFSET(卡牌辅助配置表!$C$1,MATCH(AC204,卡牌辅助配置表!A:A,0)-1,0)</f>
        <v>0</v>
      </c>
      <c r="H204" s="186">
        <f ca="1" t="shared" si="32"/>
        <v>0</v>
      </c>
      <c r="I204" s="186"/>
      <c r="J204" s="186">
        <f ca="1">OFFSET(card_type!$F$1,MATCH(Q204,card_type!A:A,0)-1,0)</f>
        <v>1</v>
      </c>
      <c r="K204" s="243">
        <f ca="1">OFFSET(card_type!$G$1,MATCH(Q204,card_type!A:A,0)-1,0)</f>
        <v>2</v>
      </c>
      <c r="L204" s="157">
        <v>2</v>
      </c>
      <c r="M204" s="157">
        <v>2</v>
      </c>
      <c r="N204" s="153">
        <f t="shared" si="34"/>
        <v>19</v>
      </c>
      <c r="O204" s="157"/>
      <c r="P204" s="157"/>
      <c r="Q204" s="153">
        <f ca="1">OFFSET(card_type!$A$1,MATCH(card!B204,card_type!B:B,0)-1,0)</f>
        <v>1007</v>
      </c>
      <c r="R204" s="153">
        <v>1</v>
      </c>
      <c r="S204" s="157">
        <f ca="1">ROUND(IF(R204=0,0,IF(R204=1,X204*$S$1,IF(R204=2,X204*$S$1*buff的资质计算!$E$2,IF(R204=3,X204*$S$1*buff的资质计算!$E$3,0)))),0)*0</f>
        <v>0</v>
      </c>
      <c r="T204" s="153">
        <v>2</v>
      </c>
      <c r="U204" s="153">
        <f ca="1" t="shared" si="35"/>
        <v>12</v>
      </c>
      <c r="V204" s="153">
        <f ca="1">ROUND((OFFSET(卡牌辅助配置表!$O$1,MATCH(U204,卡牌辅助配置表!M:M,0)-1,0)+(N204-1)*OFFSET(卡牌辅助配置表!$P$1,MATCH(U204,卡牌辅助配置表!M:M,0)-1,0))*M204,2)</f>
        <v>30.4</v>
      </c>
      <c r="W204" s="157">
        <f ca="1">ROUND(IF(R204=0,0,IF(R204=1,X204*$W$1,IF(R204=2,X204*$W$1*buff的资质计算!$E$2,IF(R204=3,X204*$W$1*buff的资质计算!$E$3,0)))),2)</f>
        <v>8.1</v>
      </c>
      <c r="X204" s="157">
        <f ca="1" t="shared" si="36"/>
        <v>27</v>
      </c>
      <c r="Y204" s="157">
        <f ca="1" t="shared" si="37"/>
        <v>27</v>
      </c>
      <c r="Z204" s="304">
        <f ca="1" t="shared" si="38"/>
        <v>13.5</v>
      </c>
      <c r="AA204" s="304">
        <f ca="1">OFFSET(卡牌辅助配置表!$AD$1,MATCH(AB204,卡牌辅助配置表!AB:AB,0)-1,0)</f>
        <v>855</v>
      </c>
      <c r="AB204" s="304">
        <f ca="1" t="shared" si="39"/>
        <v>1219</v>
      </c>
      <c r="AC204" s="153">
        <v>12</v>
      </c>
      <c r="AF204" s="153" t="str">
        <f ca="1" t="shared" si="40"/>
        <v>10070011|</v>
      </c>
      <c r="AJ204" s="205" t="str">
        <f ca="1" t="shared" si="41"/>
        <v>301007|20|;400023|9450|;</v>
      </c>
      <c r="AK204" s="205">
        <f ca="1">OFFSET([1]item_type!$A$1,MATCH(Q204,[1]item_type!$G:$G,0)-1,0)</f>
        <v>301007</v>
      </c>
      <c r="AL204" s="205">
        <v>20</v>
      </c>
      <c r="AM204" s="205">
        <f ca="1">IF(B204=B205,OFFSET(卡牌辅助配置表!$AE$1,MATCH(AB204,卡牌辅助配置表!AB:AB,0),0),0)</f>
        <v>9450</v>
      </c>
      <c r="AN204" s="153">
        <f ca="1" t="shared" si="42"/>
        <v>1007020</v>
      </c>
      <c r="AP204" s="153">
        <f ca="1">IF(AC204=0,0,IF(AC204=12,0,OFFSET(effect!$N$1,MATCH(K204,effect!M:M,0)-1,0)))</f>
        <v>0</v>
      </c>
    </row>
    <row r="205" spans="1:42">
      <c r="A205" s="153">
        <f ca="1" t="shared" si="33"/>
        <v>1007020</v>
      </c>
      <c r="B205" s="91" t="s">
        <v>413</v>
      </c>
      <c r="C205" s="186">
        <v>1</v>
      </c>
      <c r="D205" s="186">
        <v>6</v>
      </c>
      <c r="E205" s="165" t="s">
        <v>1050</v>
      </c>
      <c r="F205" s="165" t="str">
        <f>"额外造成当前护甲"&amp;skill!$O$12%&amp;"%的伤害"</f>
        <v>额外造成当前护甲70%的伤害</v>
      </c>
      <c r="G205" s="186">
        <f ca="1">OFFSET(卡牌辅助配置表!$C$1,MATCH(AC205,卡牌辅助配置表!A:A,0)-1,0)</f>
        <v>0</v>
      </c>
      <c r="H205" s="186">
        <f ca="1" t="shared" si="32"/>
        <v>0</v>
      </c>
      <c r="I205" s="186"/>
      <c r="J205" s="186">
        <f ca="1">OFFSET(card_type!$F$1,MATCH(Q205,card_type!A:A,0)-1,0)</f>
        <v>1</v>
      </c>
      <c r="K205" s="243">
        <f ca="1">OFFSET(card_type!$G$1,MATCH(Q205,card_type!A:A,0)-1,0)</f>
        <v>2</v>
      </c>
      <c r="L205" s="157">
        <v>2</v>
      </c>
      <c r="M205" s="157">
        <v>2</v>
      </c>
      <c r="N205" s="153">
        <f t="shared" si="34"/>
        <v>20</v>
      </c>
      <c r="O205" s="157"/>
      <c r="P205" s="157"/>
      <c r="Q205" s="153">
        <f ca="1">OFFSET(card_type!$A$1,MATCH(card!B205,card_type!B:B,0)-1,0)</f>
        <v>1007</v>
      </c>
      <c r="R205" s="153">
        <v>1</v>
      </c>
      <c r="S205" s="157">
        <f ca="1">ROUND(IF(R205=0,0,IF(R205=1,X205*$S$1,IF(R205=2,X205*$S$1*buff的资质计算!$E$2,IF(R205=3,X205*$S$1*buff的资质计算!$E$3,0)))),0)*0</f>
        <v>0</v>
      </c>
      <c r="T205" s="153">
        <v>2</v>
      </c>
      <c r="U205" s="153">
        <f ca="1" t="shared" si="35"/>
        <v>12</v>
      </c>
      <c r="V205" s="153">
        <f ca="1">ROUND((OFFSET(卡牌辅助配置表!$O$1,MATCH(U205,卡牌辅助配置表!M:M,0)-1,0)+(N205-1)*OFFSET(卡牌辅助配置表!$P$1,MATCH(U205,卡牌辅助配置表!M:M,0)-1,0))*M205,2)</f>
        <v>31.03</v>
      </c>
      <c r="W205" s="157">
        <f ca="1">ROUND(IF(R205=0,0,IF(R205=1,X205*$W$1,IF(R205=2,X205*$W$1*buff的资质计算!$E$2,IF(R205=3,X205*$W$1*buff的资质计算!$E$3,0)))),2)</f>
        <v>8.25</v>
      </c>
      <c r="X205" s="157">
        <f ca="1" t="shared" si="36"/>
        <v>27.5</v>
      </c>
      <c r="Y205" s="157">
        <f ca="1" t="shared" si="37"/>
        <v>27.5</v>
      </c>
      <c r="Z205" s="304">
        <f ca="1" t="shared" si="38"/>
        <v>13.75</v>
      </c>
      <c r="AA205" s="304">
        <f ca="1">OFFSET(卡牌辅助配置表!$AD$1,MATCH(AB205,卡牌辅助配置表!AB:AB,0)-1,0)</f>
        <v>910</v>
      </c>
      <c r="AB205" s="304">
        <f ca="1" t="shared" si="39"/>
        <v>1220</v>
      </c>
      <c r="AC205" s="153">
        <v>12</v>
      </c>
      <c r="AF205" s="153" t="str">
        <f ca="1" t="shared" si="40"/>
        <v>10070011|</v>
      </c>
      <c r="AJ205" s="205" t="str">
        <f ca="1" t="shared" si="41"/>
        <v>400023|10650|;</v>
      </c>
      <c r="AK205" s="205">
        <f ca="1">OFFSET([1]item_type!$A$1,MATCH(Q205,[1]item_type!$G:$G,0)-1,0)</f>
        <v>301007</v>
      </c>
      <c r="AL205" s="205"/>
      <c r="AM205" s="205">
        <f ca="1">IF(B205=B206,OFFSET(卡牌辅助配置表!$AE$1,MATCH(AB205,卡牌辅助配置表!AB:AB,0),0),0)</f>
        <v>10650</v>
      </c>
      <c r="AN205" s="153">
        <f ca="1" t="shared" si="42"/>
        <v>1007021</v>
      </c>
      <c r="AP205" s="153">
        <f ca="1">IF(AC205=0,0,IF(AC205=12,0,OFFSET(effect!$N$1,MATCH(K205,effect!M:M,0)-1,0)))</f>
        <v>0</v>
      </c>
    </row>
    <row r="206" spans="1:42">
      <c r="A206" s="153">
        <f ca="1" t="shared" si="33"/>
        <v>1007021</v>
      </c>
      <c r="B206" s="91" t="s">
        <v>413</v>
      </c>
      <c r="C206" s="186">
        <v>1</v>
      </c>
      <c r="D206" s="186">
        <v>6</v>
      </c>
      <c r="E206" s="165" t="s">
        <v>1050</v>
      </c>
      <c r="F206" s="165" t="str">
        <f>"额外造成当前护甲"&amp;skill!$O$12%&amp;"%的伤害"</f>
        <v>额外造成当前护甲70%的伤害</v>
      </c>
      <c r="G206" s="186">
        <f ca="1">OFFSET(卡牌辅助配置表!$C$1,MATCH(AC206,卡牌辅助配置表!A:A,0)-1,0)</f>
        <v>0</v>
      </c>
      <c r="H206" s="186">
        <f ca="1" t="shared" si="32"/>
        <v>0</v>
      </c>
      <c r="I206" s="186"/>
      <c r="J206" s="186">
        <f ca="1">OFFSET(card_type!$F$1,MATCH(Q206,card_type!A:A,0)-1,0)</f>
        <v>1</v>
      </c>
      <c r="K206" s="243">
        <f ca="1">OFFSET(card_type!$G$1,MATCH(Q206,card_type!A:A,0)-1,0)</f>
        <v>2</v>
      </c>
      <c r="L206" s="157">
        <v>2</v>
      </c>
      <c r="M206" s="157">
        <v>2</v>
      </c>
      <c r="N206" s="153">
        <f t="shared" si="34"/>
        <v>21</v>
      </c>
      <c r="O206" s="157"/>
      <c r="P206" s="157"/>
      <c r="Q206" s="153">
        <f ca="1">OFFSET(card_type!$A$1,MATCH(card!B206,card_type!B:B,0)-1,0)</f>
        <v>1007</v>
      </c>
      <c r="R206" s="153">
        <v>1</v>
      </c>
      <c r="S206" s="157">
        <f ca="1">ROUND(IF(R206=0,0,IF(R206=1,X206*$S$1,IF(R206=2,X206*$S$1*buff的资质计算!$E$2,IF(R206=3,X206*$S$1*buff的资质计算!$E$3,0)))),0)*0</f>
        <v>0</v>
      </c>
      <c r="T206" s="153">
        <v>2</v>
      </c>
      <c r="U206" s="153">
        <f ca="1" t="shared" si="35"/>
        <v>12</v>
      </c>
      <c r="V206" s="153">
        <f ca="1">ROUND((OFFSET(卡牌辅助配置表!$O$1,MATCH(U206,卡牌辅助配置表!M:M,0)-1,0)+(N206-1)*OFFSET(卡牌辅助配置表!$P$1,MATCH(U206,卡牌辅助配置表!M:M,0)-1,0))*M206,2)</f>
        <v>31.67</v>
      </c>
      <c r="W206" s="157">
        <f ca="1">ROUND(IF(R206=0,0,IF(R206=1,X206*$W$1,IF(R206=2,X206*$W$1*buff的资质计算!$E$2,IF(R206=3,X206*$W$1*buff的资质计算!$E$3,0)))),2)</f>
        <v>8.4</v>
      </c>
      <c r="X206" s="157">
        <f ca="1" t="shared" si="36"/>
        <v>28</v>
      </c>
      <c r="Y206" s="157">
        <f ca="1" t="shared" si="37"/>
        <v>28</v>
      </c>
      <c r="Z206" s="304">
        <f ca="1" t="shared" si="38"/>
        <v>14</v>
      </c>
      <c r="AA206" s="304">
        <f ca="1">OFFSET(卡牌辅助配置表!$AD$1,MATCH(AB206,卡牌辅助配置表!AB:AB,0)-1,0)</f>
        <v>983</v>
      </c>
      <c r="AB206" s="304">
        <f ca="1" t="shared" si="39"/>
        <v>1221</v>
      </c>
      <c r="AC206" s="153">
        <v>12</v>
      </c>
      <c r="AF206" s="153" t="str">
        <f ca="1" t="shared" si="40"/>
        <v>10070011|</v>
      </c>
      <c r="AJ206" s="205" t="str">
        <f ca="1" t="shared" si="41"/>
        <v>400023|11850|;</v>
      </c>
      <c r="AK206" s="205">
        <f ca="1">OFFSET([1]item_type!$A$1,MATCH(Q206,[1]item_type!$G:$G,0)-1,0)</f>
        <v>301007</v>
      </c>
      <c r="AL206" s="205"/>
      <c r="AM206" s="205">
        <f ca="1">IF(B206=B207,OFFSET(卡牌辅助配置表!$AE$1,MATCH(AB206,卡牌辅助配置表!AB:AB,0),0),0)</f>
        <v>11850</v>
      </c>
      <c r="AN206" s="153">
        <f ca="1" t="shared" si="42"/>
        <v>1007022</v>
      </c>
      <c r="AP206" s="153">
        <f ca="1">IF(AC206=0,0,IF(AC206=12,0,OFFSET(effect!$N$1,MATCH(K206,effect!M:M,0)-1,0)))</f>
        <v>0</v>
      </c>
    </row>
    <row r="207" spans="1:42">
      <c r="A207" s="153">
        <f ca="1" t="shared" si="33"/>
        <v>1007022</v>
      </c>
      <c r="B207" s="91" t="s">
        <v>413</v>
      </c>
      <c r="C207" s="186">
        <v>1</v>
      </c>
      <c r="D207" s="186">
        <v>6</v>
      </c>
      <c r="E207" s="165" t="s">
        <v>1050</v>
      </c>
      <c r="F207" s="165" t="str">
        <f>"额外造成当前护甲"&amp;skill!$O$12%&amp;"%的伤害"</f>
        <v>额外造成当前护甲70%的伤害</v>
      </c>
      <c r="G207" s="186">
        <f ca="1">OFFSET(卡牌辅助配置表!$C$1,MATCH(AC207,卡牌辅助配置表!A:A,0)-1,0)</f>
        <v>0</v>
      </c>
      <c r="H207" s="186">
        <f ca="1" t="shared" si="32"/>
        <v>0</v>
      </c>
      <c r="I207" s="186"/>
      <c r="J207" s="186">
        <f ca="1">OFFSET(card_type!$F$1,MATCH(Q207,card_type!A:A,0)-1,0)</f>
        <v>1</v>
      </c>
      <c r="K207" s="243">
        <f ca="1">OFFSET(card_type!$G$1,MATCH(Q207,card_type!A:A,0)-1,0)</f>
        <v>2</v>
      </c>
      <c r="L207" s="157">
        <v>2</v>
      </c>
      <c r="M207" s="157">
        <v>2</v>
      </c>
      <c r="N207" s="153">
        <f t="shared" si="34"/>
        <v>22</v>
      </c>
      <c r="O207" s="157"/>
      <c r="P207" s="157"/>
      <c r="Q207" s="153">
        <f ca="1">OFFSET(card_type!$A$1,MATCH(card!B207,card_type!B:B,0)-1,0)</f>
        <v>1007</v>
      </c>
      <c r="R207" s="153">
        <v>1</v>
      </c>
      <c r="S207" s="157">
        <f ca="1">ROUND(IF(R207=0,0,IF(R207=1,X207*$S$1,IF(R207=2,X207*$S$1*buff的资质计算!$E$2,IF(R207=3,X207*$S$1*buff的资质计算!$E$3,0)))),0)*0</f>
        <v>0</v>
      </c>
      <c r="T207" s="153">
        <v>2</v>
      </c>
      <c r="U207" s="153">
        <f ca="1" t="shared" si="35"/>
        <v>12</v>
      </c>
      <c r="V207" s="153">
        <f ca="1">ROUND((OFFSET(卡牌辅助配置表!$O$1,MATCH(U207,卡牌辅助配置表!M:M,0)-1,0)+(N207-1)*OFFSET(卡牌辅助配置表!$P$1,MATCH(U207,卡牌辅助配置表!M:M,0)-1,0))*M207,2)</f>
        <v>32.3</v>
      </c>
      <c r="W207" s="157">
        <f ca="1">ROUND(IF(R207=0,0,IF(R207=1,X207*$W$1,IF(R207=2,X207*$W$1*buff的资质计算!$E$2,IF(R207=3,X207*$W$1*buff的资质计算!$E$3,0)))),2)</f>
        <v>8.55</v>
      </c>
      <c r="X207" s="157">
        <f ca="1" t="shared" si="36"/>
        <v>28.5</v>
      </c>
      <c r="Y207" s="157">
        <f ca="1" t="shared" si="37"/>
        <v>28.5</v>
      </c>
      <c r="Z207" s="304">
        <f ca="1" t="shared" si="38"/>
        <v>14.25</v>
      </c>
      <c r="AA207" s="304">
        <f ca="1">OFFSET(卡牌辅助配置表!$AD$1,MATCH(AB207,卡牌辅助配置表!AB:AB,0)-1,0)</f>
        <v>1056</v>
      </c>
      <c r="AB207" s="304">
        <f ca="1" t="shared" si="39"/>
        <v>1222</v>
      </c>
      <c r="AC207" s="153">
        <v>12</v>
      </c>
      <c r="AF207" s="153" t="str">
        <f ca="1" t="shared" si="40"/>
        <v>10070011|</v>
      </c>
      <c r="AJ207" s="205" t="str">
        <f ca="1" t="shared" si="41"/>
        <v>400023|13050|;</v>
      </c>
      <c r="AK207" s="205">
        <f ca="1">OFFSET([1]item_type!$A$1,MATCH(Q207,[1]item_type!$G:$G,0)-1,0)</f>
        <v>301007</v>
      </c>
      <c r="AL207" s="205"/>
      <c r="AM207" s="205">
        <f ca="1">IF(B207=B208,OFFSET(卡牌辅助配置表!$AE$1,MATCH(AB207,卡牌辅助配置表!AB:AB,0),0),0)</f>
        <v>13050</v>
      </c>
      <c r="AN207" s="153">
        <f ca="1" t="shared" si="42"/>
        <v>1007023</v>
      </c>
      <c r="AP207" s="153">
        <f ca="1">IF(AC207=0,0,IF(AC207=12,0,OFFSET(effect!$N$1,MATCH(K207,effect!M:M,0)-1,0)))</f>
        <v>0</v>
      </c>
    </row>
    <row r="208" spans="1:42">
      <c r="A208" s="153">
        <f ca="1" t="shared" si="33"/>
        <v>1007023</v>
      </c>
      <c r="B208" s="91" t="s">
        <v>413</v>
      </c>
      <c r="C208" s="186">
        <v>1</v>
      </c>
      <c r="D208" s="186">
        <v>6</v>
      </c>
      <c r="E208" s="165" t="s">
        <v>1050</v>
      </c>
      <c r="F208" s="165" t="str">
        <f>"额外造成当前护甲"&amp;skill!$O$12%&amp;"%的伤害"</f>
        <v>额外造成当前护甲70%的伤害</v>
      </c>
      <c r="G208" s="186">
        <f ca="1">OFFSET(卡牌辅助配置表!$C$1,MATCH(AC208,卡牌辅助配置表!A:A,0)-1,0)</f>
        <v>0</v>
      </c>
      <c r="H208" s="186">
        <f ca="1" t="shared" si="32"/>
        <v>0</v>
      </c>
      <c r="I208" s="186"/>
      <c r="J208" s="186">
        <f ca="1">OFFSET(card_type!$F$1,MATCH(Q208,card_type!A:A,0)-1,0)</f>
        <v>1</v>
      </c>
      <c r="K208" s="243">
        <f ca="1">OFFSET(card_type!$G$1,MATCH(Q208,card_type!A:A,0)-1,0)</f>
        <v>2</v>
      </c>
      <c r="L208" s="157">
        <v>2</v>
      </c>
      <c r="M208" s="157">
        <v>2</v>
      </c>
      <c r="N208" s="153">
        <f t="shared" si="34"/>
        <v>23</v>
      </c>
      <c r="O208" s="157"/>
      <c r="P208" s="157"/>
      <c r="Q208" s="153">
        <f ca="1">OFFSET(card_type!$A$1,MATCH(card!B208,card_type!B:B,0)-1,0)</f>
        <v>1007</v>
      </c>
      <c r="R208" s="153">
        <v>1</v>
      </c>
      <c r="S208" s="157">
        <f ca="1">ROUND(IF(R208=0,0,IF(R208=1,X208*$S$1,IF(R208=2,X208*$S$1*buff的资质计算!$E$2,IF(R208=3,X208*$S$1*buff的资质计算!$E$3,0)))),0)*0</f>
        <v>0</v>
      </c>
      <c r="T208" s="153">
        <v>2</v>
      </c>
      <c r="U208" s="153">
        <f ca="1" t="shared" si="35"/>
        <v>12</v>
      </c>
      <c r="V208" s="153">
        <f ca="1">ROUND((OFFSET(卡牌辅助配置表!$O$1,MATCH(U208,卡牌辅助配置表!M:M,0)-1,0)+(N208-1)*OFFSET(卡牌辅助配置表!$P$1,MATCH(U208,卡牌辅助配置表!M:M,0)-1,0))*M208,2)</f>
        <v>32.93</v>
      </c>
      <c r="W208" s="157">
        <f ca="1">ROUND(IF(R208=0,0,IF(R208=1,X208*$W$1,IF(R208=2,X208*$W$1*buff的资质计算!$E$2,IF(R208=3,X208*$W$1*buff的资质计算!$E$3,0)))),2)</f>
        <v>8.7</v>
      </c>
      <c r="X208" s="157">
        <f ca="1" t="shared" si="36"/>
        <v>29</v>
      </c>
      <c r="Y208" s="157">
        <f ca="1" t="shared" si="37"/>
        <v>29</v>
      </c>
      <c r="Z208" s="304">
        <f ca="1" t="shared" si="38"/>
        <v>14.5</v>
      </c>
      <c r="AA208" s="304">
        <f ca="1">OFFSET(卡牌辅助配置表!$AD$1,MATCH(AB208,卡牌辅助配置表!AB:AB,0)-1,0)</f>
        <v>1129</v>
      </c>
      <c r="AB208" s="304">
        <f ca="1" t="shared" si="39"/>
        <v>1223</v>
      </c>
      <c r="AC208" s="153">
        <v>12</v>
      </c>
      <c r="AF208" s="153" t="str">
        <f ca="1" t="shared" si="40"/>
        <v>10070011|</v>
      </c>
      <c r="AJ208" s="205" t="str">
        <f ca="1" t="shared" si="41"/>
        <v>400023|14250|;</v>
      </c>
      <c r="AK208" s="205">
        <f ca="1">OFFSET([1]item_type!$A$1,MATCH(Q208,[1]item_type!$G:$G,0)-1,0)</f>
        <v>301007</v>
      </c>
      <c r="AL208" s="205"/>
      <c r="AM208" s="205">
        <f ca="1">IF(B208=B209,OFFSET(卡牌辅助配置表!$AE$1,MATCH(AB208,卡牌辅助配置表!AB:AB,0),0),0)</f>
        <v>14250</v>
      </c>
      <c r="AN208" s="153">
        <f ca="1" t="shared" si="42"/>
        <v>1007024</v>
      </c>
      <c r="AP208" s="153">
        <f ca="1">IF(AC208=0,0,IF(AC208=12,0,OFFSET(effect!$N$1,MATCH(K208,effect!M:M,0)-1,0)))</f>
        <v>0</v>
      </c>
    </row>
    <row r="209" spans="1:42">
      <c r="A209" s="153">
        <f ca="1" t="shared" si="33"/>
        <v>1007024</v>
      </c>
      <c r="B209" s="91" t="s">
        <v>413</v>
      </c>
      <c r="C209" s="186">
        <v>1</v>
      </c>
      <c r="D209" s="186">
        <v>6</v>
      </c>
      <c r="E209" s="165" t="s">
        <v>1050</v>
      </c>
      <c r="F209" s="165" t="str">
        <f>"额外造成当前护甲"&amp;skill!$O$12%&amp;"%的伤害"</f>
        <v>额外造成当前护甲70%的伤害</v>
      </c>
      <c r="G209" s="186">
        <f ca="1">OFFSET(卡牌辅助配置表!$C$1,MATCH(AC209,卡牌辅助配置表!A:A,0)-1,0)</f>
        <v>0</v>
      </c>
      <c r="H209" s="186">
        <f ca="1" t="shared" si="32"/>
        <v>0</v>
      </c>
      <c r="I209" s="186"/>
      <c r="J209" s="186">
        <f ca="1">OFFSET(card_type!$F$1,MATCH(Q209,card_type!A:A,0)-1,0)</f>
        <v>1</v>
      </c>
      <c r="K209" s="243">
        <f ca="1">OFFSET(card_type!$G$1,MATCH(Q209,card_type!A:A,0)-1,0)</f>
        <v>2</v>
      </c>
      <c r="L209" s="157">
        <v>2</v>
      </c>
      <c r="M209" s="157">
        <v>2</v>
      </c>
      <c r="N209" s="153">
        <f t="shared" si="34"/>
        <v>24</v>
      </c>
      <c r="O209" s="157"/>
      <c r="P209" s="157"/>
      <c r="Q209" s="153">
        <f ca="1">OFFSET(card_type!$A$1,MATCH(card!B209,card_type!B:B,0)-1,0)</f>
        <v>1007</v>
      </c>
      <c r="R209" s="153">
        <v>1</v>
      </c>
      <c r="S209" s="157">
        <f ca="1">ROUND(IF(R209=0,0,IF(R209=1,X209*$S$1,IF(R209=2,X209*$S$1*buff的资质计算!$E$2,IF(R209=3,X209*$S$1*buff的资质计算!$E$3,0)))),0)*0</f>
        <v>0</v>
      </c>
      <c r="T209" s="153">
        <v>2</v>
      </c>
      <c r="U209" s="153">
        <f ca="1" t="shared" si="35"/>
        <v>12</v>
      </c>
      <c r="V209" s="153">
        <f ca="1">ROUND((OFFSET(卡牌辅助配置表!$O$1,MATCH(U209,卡牌辅助配置表!M:M,0)-1,0)+(N209-1)*OFFSET(卡牌辅助配置表!$P$1,MATCH(U209,卡牌辅助配置表!M:M,0)-1,0))*M209,2)</f>
        <v>33.57</v>
      </c>
      <c r="W209" s="157">
        <f ca="1">ROUND(IF(R209=0,0,IF(R209=1,X209*$W$1,IF(R209=2,X209*$W$1*buff的资质计算!$E$2,IF(R209=3,X209*$W$1*buff的资质计算!$E$3,0)))),2)</f>
        <v>8.85</v>
      </c>
      <c r="X209" s="157">
        <f ca="1" t="shared" si="36"/>
        <v>29.5</v>
      </c>
      <c r="Y209" s="157">
        <f ca="1" t="shared" si="37"/>
        <v>29.5</v>
      </c>
      <c r="Z209" s="304">
        <f ca="1" t="shared" si="38"/>
        <v>14.75</v>
      </c>
      <c r="AA209" s="304">
        <f ca="1">OFFSET(卡牌辅助配置表!$AD$1,MATCH(AB209,卡牌辅助配置表!AB:AB,0)-1,0)</f>
        <v>1202</v>
      </c>
      <c r="AB209" s="304">
        <f ca="1" t="shared" si="39"/>
        <v>1224</v>
      </c>
      <c r="AC209" s="153">
        <v>12</v>
      </c>
      <c r="AF209" s="153" t="str">
        <f ca="1" t="shared" si="40"/>
        <v>10070011|</v>
      </c>
      <c r="AJ209" s="205" t="str">
        <f ca="1" t="shared" si="41"/>
        <v>400023|15450|;</v>
      </c>
      <c r="AK209" s="205">
        <f ca="1">OFFSET([1]item_type!$A$1,MATCH(Q209,[1]item_type!$G:$G,0)-1,0)</f>
        <v>301007</v>
      </c>
      <c r="AL209" s="205"/>
      <c r="AM209" s="205">
        <f ca="1">IF(B209=B210,OFFSET(卡牌辅助配置表!$AE$1,MATCH(AB209,卡牌辅助配置表!AB:AB,0),0),0)</f>
        <v>15450</v>
      </c>
      <c r="AN209" s="153">
        <f ca="1" t="shared" si="42"/>
        <v>1007025</v>
      </c>
      <c r="AP209" s="153">
        <f ca="1">IF(AC209=0,0,IF(AC209=12,0,OFFSET(effect!$N$1,MATCH(K209,effect!M:M,0)-1,0)))</f>
        <v>0</v>
      </c>
    </row>
    <row r="210" spans="1:42">
      <c r="A210" s="153">
        <f ca="1" t="shared" si="33"/>
        <v>1007025</v>
      </c>
      <c r="B210" s="91" t="s">
        <v>413</v>
      </c>
      <c r="C210" s="186">
        <v>1</v>
      </c>
      <c r="D210" s="186">
        <v>6</v>
      </c>
      <c r="E210" s="165" t="s">
        <v>1050</v>
      </c>
      <c r="F210" s="165" t="str">
        <f>"额外造成当前护甲"&amp;skill!$O$12%&amp;"%的伤害"</f>
        <v>额外造成当前护甲70%的伤害</v>
      </c>
      <c r="G210" s="186">
        <f ca="1">OFFSET(卡牌辅助配置表!$C$1,MATCH(AC210,卡牌辅助配置表!A:A,0)-1,0)</f>
        <v>0</v>
      </c>
      <c r="H210" s="186">
        <f ca="1" t="shared" si="32"/>
        <v>0</v>
      </c>
      <c r="I210" s="186"/>
      <c r="J210" s="186">
        <f ca="1">OFFSET(card_type!$F$1,MATCH(Q210,card_type!A:A,0)-1,0)</f>
        <v>1</v>
      </c>
      <c r="K210" s="243">
        <f ca="1">OFFSET(card_type!$G$1,MATCH(Q210,card_type!A:A,0)-1,0)</f>
        <v>2</v>
      </c>
      <c r="L210" s="157">
        <v>2</v>
      </c>
      <c r="M210" s="157">
        <v>2</v>
      </c>
      <c r="N210" s="153">
        <f t="shared" si="34"/>
        <v>25</v>
      </c>
      <c r="O210" s="157"/>
      <c r="P210" s="157"/>
      <c r="Q210" s="153">
        <f ca="1">OFFSET(card_type!$A$1,MATCH(card!B210,card_type!B:B,0)-1,0)</f>
        <v>1007</v>
      </c>
      <c r="R210" s="153">
        <v>1</v>
      </c>
      <c r="S210" s="157">
        <f ca="1">ROUND(IF(R210=0,0,IF(R210=1,X210*$S$1,IF(R210=2,X210*$S$1*buff的资质计算!$E$2,IF(R210=3,X210*$S$1*buff的资质计算!$E$3,0)))),0)*0</f>
        <v>0</v>
      </c>
      <c r="T210" s="153">
        <v>2</v>
      </c>
      <c r="U210" s="153">
        <f ca="1" t="shared" si="35"/>
        <v>12</v>
      </c>
      <c r="V210" s="153">
        <f ca="1">ROUND((OFFSET(卡牌辅助配置表!$O$1,MATCH(U210,卡牌辅助配置表!M:M,0)-1,0)+(N210-1)*OFFSET(卡牌辅助配置表!$P$1,MATCH(U210,卡牌辅助配置表!M:M,0)-1,0))*M210,2)</f>
        <v>34.2</v>
      </c>
      <c r="W210" s="157">
        <f ca="1">ROUND(IF(R210=0,0,IF(R210=1,X210*$W$1,IF(R210=2,X210*$W$1*buff的资质计算!$E$2,IF(R210=3,X210*$W$1*buff的资质计算!$E$3,0)))),2)</f>
        <v>9</v>
      </c>
      <c r="X210" s="157">
        <f ca="1" t="shared" si="36"/>
        <v>30</v>
      </c>
      <c r="Y210" s="157">
        <f ca="1" t="shared" si="37"/>
        <v>30</v>
      </c>
      <c r="Z210" s="304">
        <f ca="1" t="shared" si="38"/>
        <v>15</v>
      </c>
      <c r="AA210" s="304">
        <f ca="1">OFFSET(卡牌辅助配置表!$AD$1,MATCH(AB210,卡牌辅助配置表!AB:AB,0)-1,0)</f>
        <v>1275</v>
      </c>
      <c r="AB210" s="304">
        <f ca="1" t="shared" si="39"/>
        <v>1225</v>
      </c>
      <c r="AC210" s="153">
        <v>12</v>
      </c>
      <c r="AF210" s="153" t="str">
        <f ca="1" t="shared" si="40"/>
        <v>10070011|</v>
      </c>
      <c r="AJ210" s="205" t="str">
        <f ca="1" t="shared" si="41"/>
        <v>400023|16650|;</v>
      </c>
      <c r="AK210" s="205">
        <f ca="1">OFFSET([1]item_type!$A$1,MATCH(Q210,[1]item_type!$G:$G,0)-1,0)</f>
        <v>301007</v>
      </c>
      <c r="AL210" s="205"/>
      <c r="AM210" s="205">
        <f ca="1">IF(B210=B211,OFFSET(卡牌辅助配置表!$AE$1,MATCH(AB210,卡牌辅助配置表!AB:AB,0),0),0)</f>
        <v>16650</v>
      </c>
      <c r="AN210" s="153">
        <f ca="1" t="shared" si="42"/>
        <v>1007026</v>
      </c>
      <c r="AP210" s="153">
        <f ca="1">IF(AC210=0,0,IF(AC210=12,0,OFFSET(effect!$N$1,MATCH(K210,effect!M:M,0)-1,0)))</f>
        <v>0</v>
      </c>
    </row>
    <row r="211" spans="1:42">
      <c r="A211" s="153">
        <f ca="1" t="shared" si="33"/>
        <v>1007026</v>
      </c>
      <c r="B211" s="91" t="s">
        <v>413</v>
      </c>
      <c r="C211" s="186">
        <v>1</v>
      </c>
      <c r="D211" s="186">
        <v>6</v>
      </c>
      <c r="E211" s="165" t="s">
        <v>1050</v>
      </c>
      <c r="F211" s="165" t="str">
        <f>"额外造成当前护甲"&amp;skill!$O$12%&amp;"%的伤害"</f>
        <v>额外造成当前护甲70%的伤害</v>
      </c>
      <c r="G211" s="186">
        <f ca="1">OFFSET(卡牌辅助配置表!$C$1,MATCH(AC211,卡牌辅助配置表!A:A,0)-1,0)</f>
        <v>0</v>
      </c>
      <c r="H211" s="186">
        <f ca="1" t="shared" si="32"/>
        <v>0</v>
      </c>
      <c r="I211" s="186"/>
      <c r="J211" s="186">
        <f ca="1">OFFSET(card_type!$F$1,MATCH(Q211,card_type!A:A,0)-1,0)</f>
        <v>1</v>
      </c>
      <c r="K211" s="243">
        <f ca="1">OFFSET(card_type!$G$1,MATCH(Q211,card_type!A:A,0)-1,0)</f>
        <v>2</v>
      </c>
      <c r="L211" s="157">
        <v>2</v>
      </c>
      <c r="M211" s="157">
        <v>2</v>
      </c>
      <c r="N211" s="153">
        <f t="shared" si="34"/>
        <v>26</v>
      </c>
      <c r="O211" s="157"/>
      <c r="P211" s="157"/>
      <c r="Q211" s="153">
        <f ca="1">OFFSET(card_type!$A$1,MATCH(card!B211,card_type!B:B,0)-1,0)</f>
        <v>1007</v>
      </c>
      <c r="R211" s="153">
        <v>1</v>
      </c>
      <c r="S211" s="157">
        <f ca="1">ROUND(IF(R211=0,0,IF(R211=1,X211*$S$1,IF(R211=2,X211*$S$1*buff的资质计算!$E$2,IF(R211=3,X211*$S$1*buff的资质计算!$E$3,0)))),0)*0</f>
        <v>0</v>
      </c>
      <c r="T211" s="153">
        <v>2</v>
      </c>
      <c r="U211" s="153">
        <f ca="1" t="shared" si="35"/>
        <v>12</v>
      </c>
      <c r="V211" s="153">
        <f ca="1">ROUND((OFFSET(卡牌辅助配置表!$O$1,MATCH(U211,卡牌辅助配置表!M:M,0)-1,0)+(N211-1)*OFFSET(卡牌辅助配置表!$P$1,MATCH(U211,卡牌辅助配置表!M:M,0)-1,0))*M211,2)</f>
        <v>34.83</v>
      </c>
      <c r="W211" s="157">
        <f ca="1">ROUND(IF(R211=0,0,IF(R211=1,X211*$W$1,IF(R211=2,X211*$W$1*buff的资质计算!$E$2,IF(R211=3,X211*$W$1*buff的资质计算!$E$3,0)))),2)</f>
        <v>9.15</v>
      </c>
      <c r="X211" s="157">
        <f ca="1" t="shared" si="36"/>
        <v>30.5</v>
      </c>
      <c r="Y211" s="157">
        <f ca="1" t="shared" si="37"/>
        <v>30.5</v>
      </c>
      <c r="Z211" s="304">
        <f ca="1" t="shared" si="38"/>
        <v>15.25</v>
      </c>
      <c r="AA211" s="304">
        <f ca="1">OFFSET(卡牌辅助配置表!$AD$1,MATCH(AB211,卡牌辅助配置表!AB:AB,0)-1,0)</f>
        <v>1348</v>
      </c>
      <c r="AB211" s="304">
        <f ca="1" t="shared" si="39"/>
        <v>1226</v>
      </c>
      <c r="AC211" s="153">
        <v>12</v>
      </c>
      <c r="AF211" s="153" t="str">
        <f ca="1" t="shared" si="40"/>
        <v>10070011|</v>
      </c>
      <c r="AJ211" s="205" t="str">
        <f ca="1" t="shared" si="41"/>
        <v>400023|17850|;</v>
      </c>
      <c r="AK211" s="205">
        <f ca="1">OFFSET([1]item_type!$A$1,MATCH(Q211,[1]item_type!$G:$G,0)-1,0)</f>
        <v>301007</v>
      </c>
      <c r="AL211" s="205"/>
      <c r="AM211" s="205">
        <f ca="1">IF(B211=B212,OFFSET(卡牌辅助配置表!$AE$1,MATCH(AB211,卡牌辅助配置表!AB:AB,0),0),0)</f>
        <v>17850</v>
      </c>
      <c r="AN211" s="153">
        <f ca="1" t="shared" si="42"/>
        <v>1007027</v>
      </c>
      <c r="AP211" s="153">
        <f ca="1">IF(AC211=0,0,IF(AC211=12,0,OFFSET(effect!$N$1,MATCH(K211,effect!M:M,0)-1,0)))</f>
        <v>0</v>
      </c>
    </row>
    <row r="212" spans="1:42">
      <c r="A212" s="153">
        <f ca="1" t="shared" si="33"/>
        <v>1007027</v>
      </c>
      <c r="B212" s="91" t="s">
        <v>413</v>
      </c>
      <c r="C212" s="186">
        <v>1</v>
      </c>
      <c r="D212" s="186">
        <v>6</v>
      </c>
      <c r="E212" s="165" t="s">
        <v>1050</v>
      </c>
      <c r="F212" s="165" t="str">
        <f>"额外造成当前护甲"&amp;skill!$O$12%&amp;"%的伤害"</f>
        <v>额外造成当前护甲70%的伤害</v>
      </c>
      <c r="G212" s="186">
        <f ca="1">OFFSET(卡牌辅助配置表!$C$1,MATCH(AC212,卡牌辅助配置表!A:A,0)-1,0)</f>
        <v>0</v>
      </c>
      <c r="H212" s="186">
        <f ca="1" t="shared" si="32"/>
        <v>0</v>
      </c>
      <c r="I212" s="186"/>
      <c r="J212" s="186">
        <f ca="1">OFFSET(card_type!$F$1,MATCH(Q212,card_type!A:A,0)-1,0)</f>
        <v>1</v>
      </c>
      <c r="K212" s="243">
        <f ca="1">OFFSET(card_type!$G$1,MATCH(Q212,card_type!A:A,0)-1,0)</f>
        <v>2</v>
      </c>
      <c r="L212" s="157">
        <v>2</v>
      </c>
      <c r="M212" s="157">
        <v>2</v>
      </c>
      <c r="N212" s="153">
        <f t="shared" si="34"/>
        <v>27</v>
      </c>
      <c r="O212" s="157"/>
      <c r="P212" s="157"/>
      <c r="Q212" s="153">
        <f ca="1">OFFSET(card_type!$A$1,MATCH(card!B212,card_type!B:B,0)-1,0)</f>
        <v>1007</v>
      </c>
      <c r="R212" s="153">
        <v>1</v>
      </c>
      <c r="S212" s="157">
        <f ca="1">ROUND(IF(R212=0,0,IF(R212=1,X212*$S$1,IF(R212=2,X212*$S$1*buff的资质计算!$E$2,IF(R212=3,X212*$S$1*buff的资质计算!$E$3,0)))),0)*0</f>
        <v>0</v>
      </c>
      <c r="T212" s="153">
        <v>2</v>
      </c>
      <c r="U212" s="153">
        <f ca="1" t="shared" si="35"/>
        <v>12</v>
      </c>
      <c r="V212" s="153">
        <f ca="1">ROUND((OFFSET(卡牌辅助配置表!$O$1,MATCH(U212,卡牌辅助配置表!M:M,0)-1,0)+(N212-1)*OFFSET(卡牌辅助配置表!$P$1,MATCH(U212,卡牌辅助配置表!M:M,0)-1,0))*M212,2)</f>
        <v>35.47</v>
      </c>
      <c r="W212" s="157">
        <f ca="1">ROUND(IF(R212=0,0,IF(R212=1,X212*$W$1,IF(R212=2,X212*$W$1*buff的资质计算!$E$2,IF(R212=3,X212*$W$1*buff的资质计算!$E$3,0)))),2)</f>
        <v>9.3</v>
      </c>
      <c r="X212" s="157">
        <f ca="1" t="shared" si="36"/>
        <v>31</v>
      </c>
      <c r="Y212" s="157">
        <f ca="1" t="shared" si="37"/>
        <v>31</v>
      </c>
      <c r="Z212" s="304">
        <f ca="1" t="shared" si="38"/>
        <v>15.5</v>
      </c>
      <c r="AA212" s="304">
        <f ca="1">OFFSET(卡牌辅助配置表!$AD$1,MATCH(AB212,卡牌辅助配置表!AB:AB,0)-1,0)</f>
        <v>1421</v>
      </c>
      <c r="AB212" s="304">
        <f ca="1" t="shared" si="39"/>
        <v>1227</v>
      </c>
      <c r="AC212" s="153">
        <v>12</v>
      </c>
      <c r="AF212" s="153" t="str">
        <f ca="1" t="shared" si="40"/>
        <v>10070011|</v>
      </c>
      <c r="AJ212" s="205" t="str">
        <f ca="1" t="shared" si="41"/>
        <v>400023|19050|;</v>
      </c>
      <c r="AK212" s="205">
        <f ca="1">OFFSET([1]item_type!$A$1,MATCH(Q212,[1]item_type!$G:$G,0)-1,0)</f>
        <v>301007</v>
      </c>
      <c r="AL212" s="205"/>
      <c r="AM212" s="205">
        <f ca="1">IF(B212=B213,OFFSET(卡牌辅助配置表!$AE$1,MATCH(AB212,卡牌辅助配置表!AB:AB,0),0),0)</f>
        <v>19050</v>
      </c>
      <c r="AN212" s="153">
        <f ca="1" t="shared" si="42"/>
        <v>1007028</v>
      </c>
      <c r="AP212" s="153">
        <f ca="1">IF(AC212=0,0,IF(AC212=12,0,OFFSET(effect!$N$1,MATCH(K212,effect!M:M,0)-1,0)))</f>
        <v>0</v>
      </c>
    </row>
    <row r="213" spans="1:42">
      <c r="A213" s="153">
        <f ca="1" t="shared" si="33"/>
        <v>1007028</v>
      </c>
      <c r="B213" s="91" t="s">
        <v>413</v>
      </c>
      <c r="C213" s="186">
        <v>1</v>
      </c>
      <c r="D213" s="186">
        <v>6</v>
      </c>
      <c r="E213" s="165" t="s">
        <v>1050</v>
      </c>
      <c r="F213" s="165" t="str">
        <f>"额外造成当前护甲"&amp;skill!$O$12%&amp;"%的伤害"</f>
        <v>额外造成当前护甲70%的伤害</v>
      </c>
      <c r="G213" s="186">
        <f ca="1">OFFSET(卡牌辅助配置表!$C$1,MATCH(AC213,卡牌辅助配置表!A:A,0)-1,0)</f>
        <v>0</v>
      </c>
      <c r="H213" s="186">
        <f ca="1" t="shared" si="32"/>
        <v>0</v>
      </c>
      <c r="I213" s="186"/>
      <c r="J213" s="186">
        <f ca="1">OFFSET(card_type!$F$1,MATCH(Q213,card_type!A:A,0)-1,0)</f>
        <v>1</v>
      </c>
      <c r="K213" s="243">
        <f ca="1">OFFSET(card_type!$G$1,MATCH(Q213,card_type!A:A,0)-1,0)</f>
        <v>2</v>
      </c>
      <c r="L213" s="157">
        <v>2</v>
      </c>
      <c r="M213" s="157">
        <v>2</v>
      </c>
      <c r="N213" s="153">
        <f t="shared" si="34"/>
        <v>28</v>
      </c>
      <c r="O213" s="157"/>
      <c r="P213" s="157"/>
      <c r="Q213" s="153">
        <f ca="1">OFFSET(card_type!$A$1,MATCH(card!B213,card_type!B:B,0)-1,0)</f>
        <v>1007</v>
      </c>
      <c r="R213" s="153">
        <v>1</v>
      </c>
      <c r="S213" s="157">
        <f ca="1">ROUND(IF(R213=0,0,IF(R213=1,X213*$S$1,IF(R213=2,X213*$S$1*buff的资质计算!$E$2,IF(R213=3,X213*$S$1*buff的资质计算!$E$3,0)))),0)*0</f>
        <v>0</v>
      </c>
      <c r="T213" s="153">
        <v>2</v>
      </c>
      <c r="U213" s="153">
        <f ca="1" t="shared" si="35"/>
        <v>12</v>
      </c>
      <c r="V213" s="153">
        <f ca="1">ROUND((OFFSET(卡牌辅助配置表!$O$1,MATCH(U213,卡牌辅助配置表!M:M,0)-1,0)+(N213-1)*OFFSET(卡牌辅助配置表!$P$1,MATCH(U213,卡牌辅助配置表!M:M,0)-1,0))*M213,2)</f>
        <v>36.1</v>
      </c>
      <c r="W213" s="157">
        <f ca="1">ROUND(IF(R213=0,0,IF(R213=1,X213*$W$1,IF(R213=2,X213*$W$1*buff的资质计算!$E$2,IF(R213=3,X213*$W$1*buff的资质计算!$E$3,0)))),2)</f>
        <v>9.45</v>
      </c>
      <c r="X213" s="157">
        <f ca="1" t="shared" si="36"/>
        <v>31.5</v>
      </c>
      <c r="Y213" s="157">
        <f ca="1" t="shared" si="37"/>
        <v>31.5</v>
      </c>
      <c r="Z213" s="304">
        <f ca="1" t="shared" si="38"/>
        <v>15.75</v>
      </c>
      <c r="AA213" s="304">
        <f ca="1">OFFSET(卡牌辅助配置表!$AD$1,MATCH(AB213,卡牌辅助配置表!AB:AB,0)-1,0)</f>
        <v>1494</v>
      </c>
      <c r="AB213" s="304">
        <f ca="1" t="shared" si="39"/>
        <v>1228</v>
      </c>
      <c r="AC213" s="153">
        <v>12</v>
      </c>
      <c r="AF213" s="153" t="str">
        <f ca="1" t="shared" si="40"/>
        <v>10070011|</v>
      </c>
      <c r="AJ213" s="205" t="str">
        <f ca="1" t="shared" si="41"/>
        <v>400023|20250|;</v>
      </c>
      <c r="AK213" s="205">
        <f ca="1">OFFSET([1]item_type!$A$1,MATCH(Q213,[1]item_type!$G:$G,0)-1,0)</f>
        <v>301007</v>
      </c>
      <c r="AL213" s="205"/>
      <c r="AM213" s="205">
        <f ca="1">IF(B213=B214,OFFSET(卡牌辅助配置表!$AE$1,MATCH(AB213,卡牌辅助配置表!AB:AB,0),0),0)</f>
        <v>20250</v>
      </c>
      <c r="AN213" s="153">
        <f ca="1" t="shared" si="42"/>
        <v>1007029</v>
      </c>
      <c r="AP213" s="153">
        <f ca="1">IF(AC213=0,0,IF(AC213=12,0,OFFSET(effect!$N$1,MATCH(K213,effect!M:M,0)-1,0)))</f>
        <v>0</v>
      </c>
    </row>
    <row r="214" spans="1:42">
      <c r="A214" s="153">
        <f ca="1" t="shared" si="33"/>
        <v>1007029</v>
      </c>
      <c r="B214" s="91" t="s">
        <v>413</v>
      </c>
      <c r="C214" s="186">
        <v>1</v>
      </c>
      <c r="D214" s="186">
        <v>6</v>
      </c>
      <c r="E214" s="165" t="s">
        <v>1050</v>
      </c>
      <c r="F214" s="165" t="str">
        <f>"额外造成当前护甲"&amp;skill!$O$12%&amp;"%的伤害"</f>
        <v>额外造成当前护甲70%的伤害</v>
      </c>
      <c r="G214" s="186">
        <f ca="1">OFFSET(卡牌辅助配置表!$C$1,MATCH(AC214,卡牌辅助配置表!A:A,0)-1,0)</f>
        <v>0</v>
      </c>
      <c r="H214" s="186">
        <f ca="1" t="shared" si="32"/>
        <v>0</v>
      </c>
      <c r="I214" s="186"/>
      <c r="J214" s="186">
        <f ca="1">OFFSET(card_type!$F$1,MATCH(Q214,card_type!A:A,0)-1,0)</f>
        <v>1</v>
      </c>
      <c r="K214" s="243">
        <f ca="1">OFFSET(card_type!$G$1,MATCH(Q214,card_type!A:A,0)-1,0)</f>
        <v>2</v>
      </c>
      <c r="L214" s="157">
        <v>2</v>
      </c>
      <c r="M214" s="157">
        <v>2</v>
      </c>
      <c r="N214" s="153">
        <f t="shared" si="34"/>
        <v>29</v>
      </c>
      <c r="O214" s="157"/>
      <c r="P214" s="157"/>
      <c r="Q214" s="153">
        <f ca="1">OFFSET(card_type!$A$1,MATCH(card!B214,card_type!B:B,0)-1,0)</f>
        <v>1007</v>
      </c>
      <c r="R214" s="153">
        <v>1</v>
      </c>
      <c r="S214" s="157">
        <f ca="1">ROUND(IF(R214=0,0,IF(R214=1,X214*$S$1,IF(R214=2,X214*$S$1*buff的资质计算!$E$2,IF(R214=3,X214*$S$1*buff的资质计算!$E$3,0)))),0)*0</f>
        <v>0</v>
      </c>
      <c r="T214" s="153">
        <v>2</v>
      </c>
      <c r="U214" s="153">
        <f ca="1" t="shared" si="35"/>
        <v>12</v>
      </c>
      <c r="V214" s="153">
        <f ca="1">ROUND((OFFSET(卡牌辅助配置表!$O$1,MATCH(U214,卡牌辅助配置表!M:M,0)-1,0)+(N214-1)*OFFSET(卡牌辅助配置表!$P$1,MATCH(U214,卡牌辅助配置表!M:M,0)-1,0))*M214,2)</f>
        <v>36.73</v>
      </c>
      <c r="W214" s="157">
        <f ca="1">ROUND(IF(R214=0,0,IF(R214=1,X214*$W$1,IF(R214=2,X214*$W$1*buff的资质计算!$E$2,IF(R214=3,X214*$W$1*buff的资质计算!$E$3,0)))),2)</f>
        <v>9.6</v>
      </c>
      <c r="X214" s="157">
        <f ca="1" t="shared" si="36"/>
        <v>32</v>
      </c>
      <c r="Y214" s="157">
        <f ca="1" t="shared" si="37"/>
        <v>32</v>
      </c>
      <c r="Z214" s="304">
        <f ca="1" t="shared" si="38"/>
        <v>16</v>
      </c>
      <c r="AA214" s="304">
        <f ca="1">OFFSET(卡牌辅助配置表!$AD$1,MATCH(AB214,卡牌辅助配置表!AB:AB,0)-1,0)</f>
        <v>1567</v>
      </c>
      <c r="AB214" s="304">
        <f ca="1" t="shared" si="39"/>
        <v>1229</v>
      </c>
      <c r="AC214" s="153">
        <v>12</v>
      </c>
      <c r="AF214" s="153" t="str">
        <f ca="1" t="shared" si="40"/>
        <v>10070011|</v>
      </c>
      <c r="AJ214" s="205" t="str">
        <f ca="1" t="shared" si="41"/>
        <v>301007|30|;400023|21450|;</v>
      </c>
      <c r="AK214" s="205">
        <f ca="1">OFFSET([1]item_type!$A$1,MATCH(Q214,[1]item_type!$G:$G,0)-1,0)</f>
        <v>301007</v>
      </c>
      <c r="AL214" s="205">
        <v>30</v>
      </c>
      <c r="AM214" s="205">
        <f ca="1">IF(B214=B215,OFFSET(卡牌辅助配置表!$AE$1,MATCH(AB214,卡牌辅助配置表!AB:AB,0),0),0)</f>
        <v>21450</v>
      </c>
      <c r="AN214" s="153">
        <f ca="1" t="shared" si="42"/>
        <v>1007030</v>
      </c>
      <c r="AP214" s="153">
        <f ca="1">IF(AC214=0,0,IF(AC214=12,0,OFFSET(effect!$N$1,MATCH(K214,effect!M:M,0)-1,0)))</f>
        <v>0</v>
      </c>
    </row>
    <row r="215" spans="1:42">
      <c r="A215" s="153">
        <f ca="1" t="shared" si="33"/>
        <v>1007030</v>
      </c>
      <c r="B215" s="91" t="s">
        <v>413</v>
      </c>
      <c r="C215" s="186">
        <v>1</v>
      </c>
      <c r="D215" s="186">
        <v>6</v>
      </c>
      <c r="E215" s="165" t="s">
        <v>1050</v>
      </c>
      <c r="F215" s="165" t="str">
        <f>"额外造成当前护甲"&amp;skill!$O$12%&amp;"%的伤害"</f>
        <v>额外造成当前护甲70%的伤害</v>
      </c>
      <c r="G215" s="186">
        <f ca="1">OFFSET(卡牌辅助配置表!$C$1,MATCH(AC215,卡牌辅助配置表!A:A,0)-1,0)</f>
        <v>0</v>
      </c>
      <c r="H215" s="186">
        <f ca="1" t="shared" si="32"/>
        <v>0</v>
      </c>
      <c r="I215" s="186"/>
      <c r="J215" s="186">
        <f ca="1">OFFSET(card_type!$F$1,MATCH(Q215,card_type!A:A,0)-1,0)</f>
        <v>1</v>
      </c>
      <c r="K215" s="243">
        <f ca="1">OFFSET(card_type!$G$1,MATCH(Q215,card_type!A:A,0)-1,0)</f>
        <v>2</v>
      </c>
      <c r="L215" s="157">
        <v>2</v>
      </c>
      <c r="M215" s="157">
        <v>2</v>
      </c>
      <c r="N215" s="153">
        <f t="shared" si="34"/>
        <v>30</v>
      </c>
      <c r="O215" s="157"/>
      <c r="P215" s="157"/>
      <c r="Q215" s="153">
        <f ca="1">OFFSET(card_type!$A$1,MATCH(card!B215,card_type!B:B,0)-1,0)</f>
        <v>1007</v>
      </c>
      <c r="R215" s="153">
        <v>1</v>
      </c>
      <c r="S215" s="157">
        <f ca="1">ROUND(IF(R215=0,0,IF(R215=1,X215*$S$1,IF(R215=2,X215*$S$1*buff的资质计算!$E$2,IF(R215=3,X215*$S$1*buff的资质计算!$E$3,0)))),0)*0</f>
        <v>0</v>
      </c>
      <c r="T215" s="153">
        <v>2</v>
      </c>
      <c r="U215" s="153">
        <f ca="1" t="shared" si="35"/>
        <v>12</v>
      </c>
      <c r="V215" s="153">
        <f ca="1">ROUND((OFFSET(卡牌辅助配置表!$O$1,MATCH(U215,卡牌辅助配置表!M:M,0)-1,0)+(N215-1)*OFFSET(卡牌辅助配置表!$P$1,MATCH(U215,卡牌辅助配置表!M:M,0)-1,0))*M215,2)</f>
        <v>37.37</v>
      </c>
      <c r="W215" s="157">
        <f ca="1">ROUND(IF(R215=0,0,IF(R215=1,X215*$W$1,IF(R215=2,X215*$W$1*buff的资质计算!$E$2,IF(R215=3,X215*$W$1*buff的资质计算!$E$3,0)))),2)</f>
        <v>9.75</v>
      </c>
      <c r="X215" s="157">
        <f ca="1" t="shared" si="36"/>
        <v>32.5</v>
      </c>
      <c r="Y215" s="157">
        <f ca="1" t="shared" si="37"/>
        <v>32.5</v>
      </c>
      <c r="Z215" s="304">
        <f ca="1" t="shared" si="38"/>
        <v>16.25</v>
      </c>
      <c r="AA215" s="304">
        <f ca="1">OFFSET(卡牌辅助配置表!$AD$1,MATCH(AB215,卡牌辅助配置表!AB:AB,0)-1,0)</f>
        <v>1640</v>
      </c>
      <c r="AB215" s="304">
        <f ca="1" t="shared" si="39"/>
        <v>1230</v>
      </c>
      <c r="AC215" s="153">
        <v>12</v>
      </c>
      <c r="AF215" s="153" t="str">
        <f ca="1" t="shared" si="40"/>
        <v>10070011|</v>
      </c>
      <c r="AJ215" s="205">
        <f ca="1" t="shared" si="41"/>
        <v>0</v>
      </c>
      <c r="AK215" s="205">
        <f ca="1">OFFSET([1]item_type!$A$1,MATCH(Q215,[1]item_type!$G:$G,0)-1,0)</f>
        <v>301007</v>
      </c>
      <c r="AL215" s="205"/>
      <c r="AM215" s="205">
        <f ca="1">IF(B215=B216,OFFSET(卡牌辅助配置表!$AE$1,MATCH(AB215,卡牌辅助配置表!AB:AB,0),0),0)</f>
        <v>0</v>
      </c>
      <c r="AN215" s="153">
        <f ca="1" t="shared" si="42"/>
        <v>0</v>
      </c>
      <c r="AP215" s="153">
        <f ca="1">IF(AC215=0,0,IF(AC215=12,0,OFFSET(effect!$N$1,MATCH(K215,effect!M:M,0)-1,0)))</f>
        <v>0</v>
      </c>
    </row>
    <row r="216" spans="1:42">
      <c r="A216" s="153">
        <f ca="1" t="shared" si="33"/>
        <v>1008001</v>
      </c>
      <c r="B216" s="91" t="s">
        <v>447</v>
      </c>
      <c r="C216" s="186">
        <v>1</v>
      </c>
      <c r="D216" s="186">
        <v>4</v>
      </c>
      <c r="E216" s="165" t="s">
        <v>1050</v>
      </c>
      <c r="F216" s="165" t="str">
        <f>"血量低于50%时，获得"&amp;skill!$O$13/100&amp;"%吸血效果"</f>
        <v>血量低于50%时，获得40%吸血效果</v>
      </c>
      <c r="G216" s="186">
        <f ca="1">OFFSET(卡牌辅助配置表!$C$1,MATCH(AC216,卡牌辅助配置表!A:A,0)-1,0)</f>
        <v>6</v>
      </c>
      <c r="H216" s="186">
        <f ca="1" t="shared" si="32"/>
        <v>0</v>
      </c>
      <c r="I216" s="186"/>
      <c r="J216" s="186">
        <f ca="1">OFFSET(card_type!$F$1,MATCH(Q216,card_type!A:A,0)-1,0)</f>
        <v>1</v>
      </c>
      <c r="K216" s="243">
        <f ca="1">OFFSET(card_type!$G$1,MATCH(Q216,card_type!A:A,0)-1,0)</f>
        <v>2</v>
      </c>
      <c r="L216" s="157">
        <v>2</v>
      </c>
      <c r="M216" s="157">
        <v>2</v>
      </c>
      <c r="N216" s="153">
        <f t="shared" si="34"/>
        <v>1</v>
      </c>
      <c r="O216" s="157"/>
      <c r="P216" s="157"/>
      <c r="Q216" s="153">
        <f ca="1">OFFSET(card_type!$A$1,MATCH(card!B216,card_type!B:B,0)-1,0)</f>
        <v>1008</v>
      </c>
      <c r="R216" s="153">
        <v>1</v>
      </c>
      <c r="S216" s="157">
        <f ca="1">ROUND(IF(R216=0,0,IF(R216=1,X216*$S$1,IF(R216=2,X216*$S$1*buff的资质计算!$E$2,IF(R216=3,X216*$S$1*buff的资质计算!$E$3,0)))),0)*0</f>
        <v>0</v>
      </c>
      <c r="T216" s="153">
        <v>1</v>
      </c>
      <c r="U216" s="153">
        <f ca="1" t="shared" si="35"/>
        <v>12</v>
      </c>
      <c r="V216" s="153">
        <f ca="1">ROUND((OFFSET(卡牌辅助配置表!$O$1,MATCH(U216,卡牌辅助配置表!M:M,0)-1,0)+(N216-1)*OFFSET(卡牌辅助配置表!$P$1,MATCH(U216,卡牌辅助配置表!M:M,0)-1,0))*M216,2)</f>
        <v>19</v>
      </c>
      <c r="W216" s="157">
        <f ca="1">ROUND(IF(R216=0,0,IF(R216=1,X216*$W$1,IF(R216=2,X216*$W$1*buff的资质计算!$E$2,IF(R216=3,X216*$W$1*buff的资质计算!$E$3,0)))),2)</f>
        <v>7.2</v>
      </c>
      <c r="X216" s="157">
        <f ca="1" t="shared" si="36"/>
        <v>24</v>
      </c>
      <c r="Y216" s="157">
        <f ca="1" t="shared" si="37"/>
        <v>24</v>
      </c>
      <c r="Z216" s="304">
        <f ca="1" t="shared" si="38"/>
        <v>12</v>
      </c>
      <c r="AA216" s="304">
        <f ca="1">OFFSET(卡牌辅助配置表!$AD$1,MATCH(AB216,卡牌辅助配置表!AB:AB,0)-1,0)</f>
        <v>36</v>
      </c>
      <c r="AB216" s="304">
        <f ca="1" t="shared" si="39"/>
        <v>1201</v>
      </c>
      <c r="AC216" s="153">
        <v>11</v>
      </c>
      <c r="AE216" s="153">
        <v>5000</v>
      </c>
      <c r="AF216" s="153" t="str">
        <f ca="1" t="shared" si="40"/>
        <v>10080011|</v>
      </c>
      <c r="AH216" s="153">
        <v>2</v>
      </c>
      <c r="AJ216" s="205" t="str">
        <f ca="1" t="shared" si="41"/>
        <v>400023|1050|;</v>
      </c>
      <c r="AK216" s="205">
        <f ca="1">OFFSET([1]item_type!$A$1,MATCH(Q216,[1]item_type!$G:$G,0)-1,0)</f>
        <v>301008</v>
      </c>
      <c r="AL216" s="205"/>
      <c r="AM216" s="205">
        <f ca="1">IF(B216=B217,OFFSET(卡牌辅助配置表!$AE$1,MATCH(AB216,卡牌辅助配置表!AB:AB,0),0),0)</f>
        <v>1050</v>
      </c>
      <c r="AN216" s="153">
        <f ca="1" t="shared" si="42"/>
        <v>1008002</v>
      </c>
      <c r="AP216" s="153" t="str">
        <f ca="1">IF(AC216=0,0,IF(AC216=12,0,OFFSET(effect!$N$1,MATCH(K216,effect!M:M,0)-1,0)))</f>
        <v>kpsx_pt</v>
      </c>
    </row>
    <row r="217" spans="1:42">
      <c r="A217" s="153">
        <f ca="1" t="shared" si="33"/>
        <v>1008002</v>
      </c>
      <c r="B217" s="91" t="s">
        <v>447</v>
      </c>
      <c r="C217" s="186">
        <v>1</v>
      </c>
      <c r="D217" s="186">
        <v>4</v>
      </c>
      <c r="E217" s="165" t="s">
        <v>1050</v>
      </c>
      <c r="F217" s="165" t="str">
        <f>"血量低于50%时，获得"&amp;skill!$O$13/100&amp;"%吸血效果"</f>
        <v>血量低于50%时，获得40%吸血效果</v>
      </c>
      <c r="G217" s="186">
        <f ca="1">OFFSET(卡牌辅助配置表!$C$1,MATCH(AC217,卡牌辅助配置表!A:A,0)-1,0)</f>
        <v>6</v>
      </c>
      <c r="H217" s="186">
        <f ca="1" t="shared" si="32"/>
        <v>0</v>
      </c>
      <c r="I217" s="186"/>
      <c r="J217" s="186">
        <f ca="1">OFFSET(card_type!$F$1,MATCH(Q217,card_type!A:A,0)-1,0)</f>
        <v>1</v>
      </c>
      <c r="K217" s="243">
        <f ca="1">OFFSET(card_type!$G$1,MATCH(Q217,card_type!A:A,0)-1,0)</f>
        <v>2</v>
      </c>
      <c r="L217" s="157">
        <v>2</v>
      </c>
      <c r="M217" s="157">
        <v>2</v>
      </c>
      <c r="N217" s="153">
        <f t="shared" si="34"/>
        <v>2</v>
      </c>
      <c r="O217" s="157"/>
      <c r="P217" s="157"/>
      <c r="Q217" s="153">
        <f ca="1">OFFSET(card_type!$A$1,MATCH(card!B217,card_type!B:B,0)-1,0)</f>
        <v>1008</v>
      </c>
      <c r="R217" s="153">
        <v>1</v>
      </c>
      <c r="S217" s="157">
        <f ca="1">ROUND(IF(R217=0,0,IF(R217=1,X217*$S$1,IF(R217=2,X217*$S$1*buff的资质计算!$E$2,IF(R217=3,X217*$S$1*buff的资质计算!$E$3,0)))),0)*0</f>
        <v>0</v>
      </c>
      <c r="T217" s="153">
        <v>1</v>
      </c>
      <c r="U217" s="153">
        <f ca="1" t="shared" si="35"/>
        <v>12</v>
      </c>
      <c r="V217" s="153">
        <f ca="1">ROUND((OFFSET(卡牌辅助配置表!$O$1,MATCH(U217,卡牌辅助配置表!M:M,0)-1,0)+(N217-1)*OFFSET(卡牌辅助配置表!$P$1,MATCH(U217,卡牌辅助配置表!M:M,0)-1,0))*M217,2)</f>
        <v>19.63</v>
      </c>
      <c r="W217" s="157">
        <f ca="1">ROUND(IF(R217=0,0,IF(R217=1,X217*$W$1,IF(R217=2,X217*$W$1*buff的资质计算!$E$2,IF(R217=3,X217*$W$1*buff的资质计算!$E$3,0)))),2)</f>
        <v>7.35</v>
      </c>
      <c r="X217" s="157">
        <f ca="1" t="shared" si="36"/>
        <v>24.5</v>
      </c>
      <c r="Y217" s="157">
        <f ca="1" t="shared" si="37"/>
        <v>24.5</v>
      </c>
      <c r="Z217" s="304">
        <f ca="1" t="shared" si="38"/>
        <v>12.25</v>
      </c>
      <c r="AA217" s="304">
        <f ca="1">OFFSET(卡牌辅助配置表!$AD$1,MATCH(AB217,卡牌辅助配置表!AB:AB,0)-1,0)</f>
        <v>72</v>
      </c>
      <c r="AB217" s="304">
        <f ca="1" t="shared" si="39"/>
        <v>1202</v>
      </c>
      <c r="AC217" s="153">
        <v>11</v>
      </c>
      <c r="AE217" s="153">
        <v>5000</v>
      </c>
      <c r="AF217" s="153" t="str">
        <f ca="1" t="shared" si="40"/>
        <v>10080011|</v>
      </c>
      <c r="AH217" s="153">
        <v>2</v>
      </c>
      <c r="AJ217" s="205" t="str">
        <f ca="1" t="shared" si="41"/>
        <v>400023|1350|;</v>
      </c>
      <c r="AK217" s="205">
        <f ca="1">OFFSET([1]item_type!$A$1,MATCH(Q217,[1]item_type!$G:$G,0)-1,0)</f>
        <v>301008</v>
      </c>
      <c r="AL217" s="205"/>
      <c r="AM217" s="205">
        <f ca="1">IF(B217=B218,OFFSET(卡牌辅助配置表!$AE$1,MATCH(AB217,卡牌辅助配置表!AB:AB,0),0),0)</f>
        <v>1350</v>
      </c>
      <c r="AN217" s="153">
        <f ca="1" t="shared" si="42"/>
        <v>1008003</v>
      </c>
      <c r="AP217" s="153" t="str">
        <f ca="1">IF(AC217=0,0,IF(AC217=12,0,OFFSET(effect!$N$1,MATCH(K217,effect!M:M,0)-1,0)))</f>
        <v>kpsx_pt</v>
      </c>
    </row>
    <row r="218" spans="1:42">
      <c r="A218" s="153">
        <f ca="1" t="shared" si="33"/>
        <v>1008003</v>
      </c>
      <c r="B218" s="91" t="s">
        <v>447</v>
      </c>
      <c r="C218" s="186">
        <v>1</v>
      </c>
      <c r="D218" s="186">
        <v>4</v>
      </c>
      <c r="E218" s="165" t="s">
        <v>1050</v>
      </c>
      <c r="F218" s="165" t="str">
        <f>"血量低于50%时，获得"&amp;skill!$O$13/100&amp;"%吸血效果"</f>
        <v>血量低于50%时，获得40%吸血效果</v>
      </c>
      <c r="G218" s="186">
        <f ca="1">OFFSET(卡牌辅助配置表!$C$1,MATCH(AC218,卡牌辅助配置表!A:A,0)-1,0)</f>
        <v>6</v>
      </c>
      <c r="H218" s="186">
        <f ca="1" t="shared" si="32"/>
        <v>0</v>
      </c>
      <c r="I218" s="186"/>
      <c r="J218" s="186">
        <f ca="1">OFFSET(card_type!$F$1,MATCH(Q218,card_type!A:A,0)-1,0)</f>
        <v>1</v>
      </c>
      <c r="K218" s="243">
        <f ca="1">OFFSET(card_type!$G$1,MATCH(Q218,card_type!A:A,0)-1,0)</f>
        <v>2</v>
      </c>
      <c r="L218" s="157">
        <v>2</v>
      </c>
      <c r="M218" s="157">
        <v>2</v>
      </c>
      <c r="N218" s="153">
        <f t="shared" si="34"/>
        <v>3</v>
      </c>
      <c r="O218" s="157"/>
      <c r="P218" s="157"/>
      <c r="Q218" s="153">
        <f ca="1">OFFSET(card_type!$A$1,MATCH(card!B218,card_type!B:B,0)-1,0)</f>
        <v>1008</v>
      </c>
      <c r="R218" s="153">
        <v>1</v>
      </c>
      <c r="S218" s="157">
        <f ca="1">ROUND(IF(R218=0,0,IF(R218=1,X218*$S$1,IF(R218=2,X218*$S$1*buff的资质计算!$E$2,IF(R218=3,X218*$S$1*buff的资质计算!$E$3,0)))),0)*0</f>
        <v>0</v>
      </c>
      <c r="T218" s="153">
        <v>1</v>
      </c>
      <c r="U218" s="153">
        <f ca="1" t="shared" si="35"/>
        <v>12</v>
      </c>
      <c r="V218" s="153">
        <f ca="1">ROUND((OFFSET(卡牌辅助配置表!$O$1,MATCH(U218,卡牌辅助配置表!M:M,0)-1,0)+(N218-1)*OFFSET(卡牌辅助配置表!$P$1,MATCH(U218,卡牌辅助配置表!M:M,0)-1,0))*M218,2)</f>
        <v>20.27</v>
      </c>
      <c r="W218" s="157">
        <f ca="1">ROUND(IF(R218=0,0,IF(R218=1,X218*$W$1,IF(R218=2,X218*$W$1*buff的资质计算!$E$2,IF(R218=3,X218*$W$1*buff的资质计算!$E$3,0)))),2)</f>
        <v>7.5</v>
      </c>
      <c r="X218" s="157">
        <f ca="1" t="shared" si="36"/>
        <v>25</v>
      </c>
      <c r="Y218" s="157">
        <f ca="1" t="shared" si="37"/>
        <v>25</v>
      </c>
      <c r="Z218" s="304">
        <f ca="1" t="shared" si="38"/>
        <v>12.5</v>
      </c>
      <c r="AA218" s="304">
        <f ca="1">OFFSET(卡牌辅助配置表!$AD$1,MATCH(AB218,卡牌辅助配置表!AB:AB,0)-1,0)</f>
        <v>108</v>
      </c>
      <c r="AB218" s="304">
        <f ca="1" t="shared" si="39"/>
        <v>1203</v>
      </c>
      <c r="AC218" s="153">
        <v>11</v>
      </c>
      <c r="AE218" s="153">
        <v>5000</v>
      </c>
      <c r="AF218" s="153" t="str">
        <f ca="1" t="shared" si="40"/>
        <v>10080011|</v>
      </c>
      <c r="AH218" s="153">
        <v>2</v>
      </c>
      <c r="AJ218" s="205" t="str">
        <f ca="1" t="shared" si="41"/>
        <v>400023|1650|;</v>
      </c>
      <c r="AK218" s="205">
        <f ca="1">OFFSET([1]item_type!$A$1,MATCH(Q218,[1]item_type!$G:$G,0)-1,0)</f>
        <v>301008</v>
      </c>
      <c r="AL218" s="205"/>
      <c r="AM218" s="205">
        <f ca="1">IF(B218=B219,OFFSET(卡牌辅助配置表!$AE$1,MATCH(AB218,卡牌辅助配置表!AB:AB,0),0),0)</f>
        <v>1650</v>
      </c>
      <c r="AN218" s="153">
        <f ca="1" t="shared" si="42"/>
        <v>1008004</v>
      </c>
      <c r="AP218" s="153" t="str">
        <f ca="1">IF(AC218=0,0,IF(AC218=12,0,OFFSET(effect!$N$1,MATCH(K218,effect!M:M,0)-1,0)))</f>
        <v>kpsx_pt</v>
      </c>
    </row>
    <row r="219" spans="1:42">
      <c r="A219" s="153">
        <f ca="1" t="shared" si="33"/>
        <v>1008004</v>
      </c>
      <c r="B219" s="91" t="s">
        <v>447</v>
      </c>
      <c r="C219" s="186">
        <v>1</v>
      </c>
      <c r="D219" s="186">
        <v>4</v>
      </c>
      <c r="E219" s="165" t="s">
        <v>1050</v>
      </c>
      <c r="F219" s="165" t="str">
        <f>"血量低于50%时，获得"&amp;skill!$O$13/100&amp;"%吸血效果"</f>
        <v>血量低于50%时，获得40%吸血效果</v>
      </c>
      <c r="G219" s="186">
        <f ca="1">OFFSET(卡牌辅助配置表!$C$1,MATCH(AC219,卡牌辅助配置表!A:A,0)-1,0)</f>
        <v>6</v>
      </c>
      <c r="H219" s="186">
        <f ca="1" t="shared" si="32"/>
        <v>0</v>
      </c>
      <c r="I219" s="186"/>
      <c r="J219" s="186">
        <f ca="1">OFFSET(card_type!$F$1,MATCH(Q219,card_type!A:A,0)-1,0)</f>
        <v>1</v>
      </c>
      <c r="K219" s="243">
        <f ca="1">OFFSET(card_type!$G$1,MATCH(Q219,card_type!A:A,0)-1,0)</f>
        <v>2</v>
      </c>
      <c r="L219" s="157">
        <v>2</v>
      </c>
      <c r="M219" s="157">
        <v>2</v>
      </c>
      <c r="N219" s="153">
        <f t="shared" si="34"/>
        <v>4</v>
      </c>
      <c r="O219" s="157"/>
      <c r="P219" s="157"/>
      <c r="Q219" s="153">
        <f ca="1">OFFSET(card_type!$A$1,MATCH(card!B219,card_type!B:B,0)-1,0)</f>
        <v>1008</v>
      </c>
      <c r="R219" s="153">
        <v>1</v>
      </c>
      <c r="S219" s="157">
        <f ca="1">ROUND(IF(R219=0,0,IF(R219=1,X219*$S$1,IF(R219=2,X219*$S$1*buff的资质计算!$E$2,IF(R219=3,X219*$S$1*buff的资质计算!$E$3,0)))),0)*0</f>
        <v>0</v>
      </c>
      <c r="T219" s="153">
        <v>1</v>
      </c>
      <c r="U219" s="153">
        <f ca="1" t="shared" si="35"/>
        <v>12</v>
      </c>
      <c r="V219" s="153">
        <f ca="1">ROUND((OFFSET(卡牌辅助配置表!$O$1,MATCH(U219,卡牌辅助配置表!M:M,0)-1,0)+(N219-1)*OFFSET(卡牌辅助配置表!$P$1,MATCH(U219,卡牌辅助配置表!M:M,0)-1,0))*M219,2)</f>
        <v>20.9</v>
      </c>
      <c r="W219" s="157">
        <f ca="1">ROUND(IF(R219=0,0,IF(R219=1,X219*$W$1,IF(R219=2,X219*$W$1*buff的资质计算!$E$2,IF(R219=3,X219*$W$1*buff的资质计算!$E$3,0)))),2)</f>
        <v>7.65</v>
      </c>
      <c r="X219" s="157">
        <f ca="1" t="shared" si="36"/>
        <v>25.5</v>
      </c>
      <c r="Y219" s="157">
        <f ca="1" t="shared" si="37"/>
        <v>25.5</v>
      </c>
      <c r="Z219" s="304">
        <f ca="1" t="shared" si="38"/>
        <v>12.75</v>
      </c>
      <c r="AA219" s="304">
        <f ca="1">OFFSET(卡牌辅助配置表!$AD$1,MATCH(AB219,卡牌辅助配置表!AB:AB,0)-1,0)</f>
        <v>144</v>
      </c>
      <c r="AB219" s="304">
        <f ca="1" t="shared" si="39"/>
        <v>1204</v>
      </c>
      <c r="AC219" s="153">
        <v>11</v>
      </c>
      <c r="AE219" s="153">
        <v>5000</v>
      </c>
      <c r="AF219" s="153" t="str">
        <f ca="1" t="shared" si="40"/>
        <v>10080011|</v>
      </c>
      <c r="AH219" s="153">
        <v>2</v>
      </c>
      <c r="AJ219" s="205" t="str">
        <f ca="1" t="shared" si="41"/>
        <v>400023|1950|;</v>
      </c>
      <c r="AK219" s="205">
        <f ca="1">OFFSET([1]item_type!$A$1,MATCH(Q219,[1]item_type!$G:$G,0)-1,0)</f>
        <v>301008</v>
      </c>
      <c r="AL219" s="205"/>
      <c r="AM219" s="205">
        <f ca="1">IF(B219=B220,OFFSET(卡牌辅助配置表!$AE$1,MATCH(AB219,卡牌辅助配置表!AB:AB,0),0),0)</f>
        <v>1950</v>
      </c>
      <c r="AN219" s="153">
        <f ca="1" t="shared" si="42"/>
        <v>1008005</v>
      </c>
      <c r="AP219" s="153" t="str">
        <f ca="1">IF(AC219=0,0,IF(AC219=12,0,OFFSET(effect!$N$1,MATCH(K219,effect!M:M,0)-1,0)))</f>
        <v>kpsx_pt</v>
      </c>
    </row>
    <row r="220" spans="1:42">
      <c r="A220" s="153">
        <f ca="1" t="shared" si="33"/>
        <v>1008005</v>
      </c>
      <c r="B220" s="91" t="s">
        <v>447</v>
      </c>
      <c r="C220" s="186">
        <v>1</v>
      </c>
      <c r="D220" s="186">
        <v>4</v>
      </c>
      <c r="E220" s="165" t="s">
        <v>1050</v>
      </c>
      <c r="F220" s="165" t="str">
        <f>"血量低于50%时，获得"&amp;skill!$O$13/100&amp;"%吸血效果"</f>
        <v>血量低于50%时，获得40%吸血效果</v>
      </c>
      <c r="G220" s="186">
        <f ca="1">OFFSET(卡牌辅助配置表!$C$1,MATCH(AC220,卡牌辅助配置表!A:A,0)-1,0)</f>
        <v>6</v>
      </c>
      <c r="H220" s="186">
        <f ca="1" t="shared" si="32"/>
        <v>0</v>
      </c>
      <c r="I220" s="186"/>
      <c r="J220" s="186">
        <f ca="1">OFFSET(card_type!$F$1,MATCH(Q220,card_type!A:A,0)-1,0)</f>
        <v>1</v>
      </c>
      <c r="K220" s="243">
        <f ca="1">OFFSET(card_type!$G$1,MATCH(Q220,card_type!A:A,0)-1,0)</f>
        <v>2</v>
      </c>
      <c r="L220" s="157">
        <v>2</v>
      </c>
      <c r="M220" s="157">
        <v>2</v>
      </c>
      <c r="N220" s="153">
        <f t="shared" si="34"/>
        <v>5</v>
      </c>
      <c r="O220" s="157"/>
      <c r="P220" s="157"/>
      <c r="Q220" s="153">
        <f ca="1">OFFSET(card_type!$A$1,MATCH(card!B220,card_type!B:B,0)-1,0)</f>
        <v>1008</v>
      </c>
      <c r="R220" s="153">
        <v>1</v>
      </c>
      <c r="S220" s="157">
        <f ca="1">ROUND(IF(R220=0,0,IF(R220=1,X220*$S$1,IF(R220=2,X220*$S$1*buff的资质计算!$E$2,IF(R220=3,X220*$S$1*buff的资质计算!$E$3,0)))),0)*0</f>
        <v>0</v>
      </c>
      <c r="T220" s="153">
        <v>1</v>
      </c>
      <c r="U220" s="153">
        <f ca="1" t="shared" si="35"/>
        <v>12</v>
      </c>
      <c r="V220" s="153">
        <f ca="1">ROUND((OFFSET(卡牌辅助配置表!$O$1,MATCH(U220,卡牌辅助配置表!M:M,0)-1,0)+(N220-1)*OFFSET(卡牌辅助配置表!$P$1,MATCH(U220,卡牌辅助配置表!M:M,0)-1,0))*M220,2)</f>
        <v>21.53</v>
      </c>
      <c r="W220" s="157">
        <f ca="1">ROUND(IF(R220=0,0,IF(R220=1,X220*$W$1,IF(R220=2,X220*$W$1*buff的资质计算!$E$2,IF(R220=3,X220*$W$1*buff的资质计算!$E$3,0)))),2)</f>
        <v>7.8</v>
      </c>
      <c r="X220" s="157">
        <f ca="1" t="shared" si="36"/>
        <v>26</v>
      </c>
      <c r="Y220" s="157">
        <f ca="1" t="shared" si="37"/>
        <v>26</v>
      </c>
      <c r="Z220" s="304">
        <f ca="1" t="shared" si="38"/>
        <v>13</v>
      </c>
      <c r="AA220" s="304">
        <f ca="1">OFFSET(卡牌辅助配置表!$AD$1,MATCH(AB220,卡牌辅助配置表!AB:AB,0)-1,0)</f>
        <v>180</v>
      </c>
      <c r="AB220" s="304">
        <f ca="1" t="shared" si="39"/>
        <v>1205</v>
      </c>
      <c r="AC220" s="153">
        <v>11</v>
      </c>
      <c r="AE220" s="153">
        <v>5000</v>
      </c>
      <c r="AF220" s="153" t="str">
        <f ca="1" t="shared" si="40"/>
        <v>10080011|</v>
      </c>
      <c r="AH220" s="153">
        <v>2</v>
      </c>
      <c r="AJ220" s="205" t="str">
        <f ca="1" t="shared" si="41"/>
        <v>400023|2250|;</v>
      </c>
      <c r="AK220" s="205">
        <f ca="1">OFFSET([1]item_type!$A$1,MATCH(Q220,[1]item_type!$G:$G,0)-1,0)</f>
        <v>301008</v>
      </c>
      <c r="AL220" s="205"/>
      <c r="AM220" s="205">
        <f ca="1">IF(B220=B221,OFFSET(卡牌辅助配置表!$AE$1,MATCH(AB220,卡牌辅助配置表!AB:AB,0),0),0)</f>
        <v>2250</v>
      </c>
      <c r="AN220" s="153">
        <f ca="1" t="shared" si="42"/>
        <v>1008006</v>
      </c>
      <c r="AP220" s="153" t="str">
        <f ca="1">IF(AC220=0,0,IF(AC220=12,0,OFFSET(effect!$N$1,MATCH(K220,effect!M:M,0)-1,0)))</f>
        <v>kpsx_pt</v>
      </c>
    </row>
    <row r="221" spans="1:42">
      <c r="A221" s="153">
        <f ca="1" t="shared" si="33"/>
        <v>1008006</v>
      </c>
      <c r="B221" s="91" t="s">
        <v>447</v>
      </c>
      <c r="C221" s="186">
        <v>1</v>
      </c>
      <c r="D221" s="186">
        <v>4</v>
      </c>
      <c r="E221" s="165" t="s">
        <v>1050</v>
      </c>
      <c r="F221" s="165" t="str">
        <f>"血量低于50%时，获得"&amp;skill!$O$13/100&amp;"%吸血效果"</f>
        <v>血量低于50%时，获得40%吸血效果</v>
      </c>
      <c r="G221" s="186">
        <f ca="1">OFFSET(卡牌辅助配置表!$C$1,MATCH(AC221,卡牌辅助配置表!A:A,0)-1,0)</f>
        <v>6</v>
      </c>
      <c r="H221" s="186">
        <f ca="1" t="shared" si="32"/>
        <v>0</v>
      </c>
      <c r="I221" s="186"/>
      <c r="J221" s="186">
        <f ca="1">OFFSET(card_type!$F$1,MATCH(Q221,card_type!A:A,0)-1,0)</f>
        <v>1</v>
      </c>
      <c r="K221" s="243">
        <f ca="1">OFFSET(card_type!$G$1,MATCH(Q221,card_type!A:A,0)-1,0)</f>
        <v>2</v>
      </c>
      <c r="L221" s="157">
        <v>2</v>
      </c>
      <c r="M221" s="157">
        <v>2</v>
      </c>
      <c r="N221" s="153">
        <f t="shared" si="34"/>
        <v>6</v>
      </c>
      <c r="O221" s="157"/>
      <c r="P221" s="157"/>
      <c r="Q221" s="153">
        <f ca="1">OFFSET(card_type!$A$1,MATCH(card!B221,card_type!B:B,0)-1,0)</f>
        <v>1008</v>
      </c>
      <c r="R221" s="153">
        <v>1</v>
      </c>
      <c r="S221" s="157">
        <f ca="1">ROUND(IF(R221=0,0,IF(R221=1,X221*$S$1,IF(R221=2,X221*$S$1*buff的资质计算!$E$2,IF(R221=3,X221*$S$1*buff的资质计算!$E$3,0)))),0)*0</f>
        <v>0</v>
      </c>
      <c r="T221" s="153">
        <v>1</v>
      </c>
      <c r="U221" s="153">
        <f ca="1" t="shared" si="35"/>
        <v>12</v>
      </c>
      <c r="V221" s="153">
        <f ca="1">ROUND((OFFSET(卡牌辅助配置表!$O$1,MATCH(U221,卡牌辅助配置表!M:M,0)-1,0)+(N221-1)*OFFSET(卡牌辅助配置表!$P$1,MATCH(U221,卡牌辅助配置表!M:M,0)-1,0))*M221,2)</f>
        <v>22.17</v>
      </c>
      <c r="W221" s="157">
        <f ca="1">ROUND(IF(R221=0,0,IF(R221=1,X221*$W$1,IF(R221=2,X221*$W$1*buff的资质计算!$E$2,IF(R221=3,X221*$W$1*buff的资质计算!$E$3,0)))),2)</f>
        <v>7.95</v>
      </c>
      <c r="X221" s="157">
        <f ca="1" t="shared" si="36"/>
        <v>26.5</v>
      </c>
      <c r="Y221" s="157">
        <f ca="1" t="shared" si="37"/>
        <v>26.5</v>
      </c>
      <c r="Z221" s="304">
        <f ca="1" t="shared" si="38"/>
        <v>13.25</v>
      </c>
      <c r="AA221" s="304">
        <f ca="1">OFFSET(卡牌辅助配置表!$AD$1,MATCH(AB221,卡牌辅助配置表!AB:AB,0)-1,0)</f>
        <v>216</v>
      </c>
      <c r="AB221" s="304">
        <f ca="1" t="shared" si="39"/>
        <v>1206</v>
      </c>
      <c r="AC221" s="153">
        <v>11</v>
      </c>
      <c r="AE221" s="153">
        <v>5000</v>
      </c>
      <c r="AF221" s="153" t="str">
        <f ca="1" t="shared" si="40"/>
        <v>10080011|</v>
      </c>
      <c r="AH221" s="153">
        <v>2</v>
      </c>
      <c r="AJ221" s="205" t="str">
        <f ca="1" t="shared" si="41"/>
        <v>400023|2550|;</v>
      </c>
      <c r="AK221" s="205">
        <f ca="1">OFFSET([1]item_type!$A$1,MATCH(Q221,[1]item_type!$G:$G,0)-1,0)</f>
        <v>301008</v>
      </c>
      <c r="AL221" s="205"/>
      <c r="AM221" s="205">
        <f ca="1">IF(B221=B222,OFFSET(卡牌辅助配置表!$AE$1,MATCH(AB221,卡牌辅助配置表!AB:AB,0),0),0)</f>
        <v>2550</v>
      </c>
      <c r="AN221" s="153">
        <f ca="1" t="shared" si="42"/>
        <v>1008007</v>
      </c>
      <c r="AP221" s="153" t="str">
        <f ca="1">IF(AC221=0,0,IF(AC221=12,0,OFFSET(effect!$N$1,MATCH(K221,effect!M:M,0)-1,0)))</f>
        <v>kpsx_pt</v>
      </c>
    </row>
    <row r="222" spans="1:42">
      <c r="A222" s="153">
        <f ca="1" t="shared" si="33"/>
        <v>1008007</v>
      </c>
      <c r="B222" s="91" t="s">
        <v>447</v>
      </c>
      <c r="C222" s="186">
        <v>1</v>
      </c>
      <c r="D222" s="186">
        <v>4</v>
      </c>
      <c r="E222" s="165" t="s">
        <v>1050</v>
      </c>
      <c r="F222" s="165" t="str">
        <f>"血量低于50%时，获得"&amp;skill!$O$13/100&amp;"%吸血效果"</f>
        <v>血量低于50%时，获得40%吸血效果</v>
      </c>
      <c r="G222" s="186">
        <f ca="1">OFFSET(卡牌辅助配置表!$C$1,MATCH(AC222,卡牌辅助配置表!A:A,0)-1,0)</f>
        <v>6</v>
      </c>
      <c r="H222" s="186">
        <f ca="1" t="shared" si="32"/>
        <v>0</v>
      </c>
      <c r="I222" s="186"/>
      <c r="J222" s="186">
        <f ca="1">OFFSET(card_type!$F$1,MATCH(Q222,card_type!A:A,0)-1,0)</f>
        <v>1</v>
      </c>
      <c r="K222" s="243">
        <f ca="1">OFFSET(card_type!$G$1,MATCH(Q222,card_type!A:A,0)-1,0)</f>
        <v>2</v>
      </c>
      <c r="L222" s="157">
        <v>2</v>
      </c>
      <c r="M222" s="157">
        <v>2</v>
      </c>
      <c r="N222" s="153">
        <f t="shared" si="34"/>
        <v>7</v>
      </c>
      <c r="O222" s="157"/>
      <c r="P222" s="157"/>
      <c r="Q222" s="153">
        <f ca="1">OFFSET(card_type!$A$1,MATCH(card!B222,card_type!B:B,0)-1,0)</f>
        <v>1008</v>
      </c>
      <c r="R222" s="153">
        <v>1</v>
      </c>
      <c r="S222" s="157">
        <f ca="1">ROUND(IF(R222=0,0,IF(R222=1,X222*$S$1,IF(R222=2,X222*$S$1*buff的资质计算!$E$2,IF(R222=3,X222*$S$1*buff的资质计算!$E$3,0)))),0)*0</f>
        <v>0</v>
      </c>
      <c r="T222" s="153">
        <v>1</v>
      </c>
      <c r="U222" s="153">
        <f ca="1" t="shared" si="35"/>
        <v>12</v>
      </c>
      <c r="V222" s="153">
        <f ca="1">ROUND((OFFSET(卡牌辅助配置表!$O$1,MATCH(U222,卡牌辅助配置表!M:M,0)-1,0)+(N222-1)*OFFSET(卡牌辅助配置表!$P$1,MATCH(U222,卡牌辅助配置表!M:M,0)-1,0))*M222,2)</f>
        <v>22.8</v>
      </c>
      <c r="W222" s="157">
        <f ca="1">ROUND(IF(R222=0,0,IF(R222=1,X222*$W$1,IF(R222=2,X222*$W$1*buff的资质计算!$E$2,IF(R222=3,X222*$W$1*buff的资质计算!$E$3,0)))),2)</f>
        <v>8.1</v>
      </c>
      <c r="X222" s="157">
        <f ca="1" t="shared" si="36"/>
        <v>27</v>
      </c>
      <c r="Y222" s="157">
        <f ca="1" t="shared" si="37"/>
        <v>27</v>
      </c>
      <c r="Z222" s="304">
        <f ca="1" t="shared" si="38"/>
        <v>13.5</v>
      </c>
      <c r="AA222" s="304">
        <f ca="1">OFFSET(卡牌辅助配置表!$AD$1,MATCH(AB222,卡牌辅助配置表!AB:AB,0)-1,0)</f>
        <v>252</v>
      </c>
      <c r="AB222" s="304">
        <f ca="1" t="shared" si="39"/>
        <v>1207</v>
      </c>
      <c r="AC222" s="153">
        <v>11</v>
      </c>
      <c r="AE222" s="153">
        <v>5000</v>
      </c>
      <c r="AF222" s="153" t="str">
        <f ca="1" t="shared" si="40"/>
        <v>10080011|</v>
      </c>
      <c r="AH222" s="153">
        <v>2</v>
      </c>
      <c r="AJ222" s="205" t="str">
        <f ca="1" t="shared" si="41"/>
        <v>400023|2850|;</v>
      </c>
      <c r="AK222" s="205">
        <f ca="1">OFFSET([1]item_type!$A$1,MATCH(Q222,[1]item_type!$G:$G,0)-1,0)</f>
        <v>301008</v>
      </c>
      <c r="AL222" s="205"/>
      <c r="AM222" s="205">
        <f ca="1">IF(B222=B223,OFFSET(卡牌辅助配置表!$AE$1,MATCH(AB222,卡牌辅助配置表!AB:AB,0),0),0)</f>
        <v>2850</v>
      </c>
      <c r="AN222" s="153">
        <f ca="1" t="shared" si="42"/>
        <v>1008008</v>
      </c>
      <c r="AP222" s="153" t="str">
        <f ca="1">IF(AC222=0,0,IF(AC222=12,0,OFFSET(effect!$N$1,MATCH(K222,effect!M:M,0)-1,0)))</f>
        <v>kpsx_pt</v>
      </c>
    </row>
    <row r="223" spans="1:42">
      <c r="A223" s="153">
        <f ca="1" t="shared" si="33"/>
        <v>1008008</v>
      </c>
      <c r="B223" s="91" t="s">
        <v>447</v>
      </c>
      <c r="C223" s="186">
        <v>1</v>
      </c>
      <c r="D223" s="186">
        <v>4</v>
      </c>
      <c r="E223" s="165" t="s">
        <v>1050</v>
      </c>
      <c r="F223" s="165" t="str">
        <f>"血量低于50%时，获得"&amp;skill!$O$13/100&amp;"%吸血效果"</f>
        <v>血量低于50%时，获得40%吸血效果</v>
      </c>
      <c r="G223" s="186">
        <f ca="1">OFFSET(卡牌辅助配置表!$C$1,MATCH(AC223,卡牌辅助配置表!A:A,0)-1,0)</f>
        <v>6</v>
      </c>
      <c r="H223" s="186">
        <f ca="1" t="shared" si="32"/>
        <v>0</v>
      </c>
      <c r="I223" s="186"/>
      <c r="J223" s="186">
        <f ca="1">OFFSET(card_type!$F$1,MATCH(Q223,card_type!A:A,0)-1,0)</f>
        <v>1</v>
      </c>
      <c r="K223" s="243">
        <f ca="1">OFFSET(card_type!$G$1,MATCH(Q223,card_type!A:A,0)-1,0)</f>
        <v>2</v>
      </c>
      <c r="L223" s="157">
        <v>2</v>
      </c>
      <c r="M223" s="157">
        <v>2</v>
      </c>
      <c r="N223" s="153">
        <f t="shared" si="34"/>
        <v>8</v>
      </c>
      <c r="O223" s="157"/>
      <c r="P223" s="157"/>
      <c r="Q223" s="153">
        <f ca="1">OFFSET(card_type!$A$1,MATCH(card!B223,card_type!B:B,0)-1,0)</f>
        <v>1008</v>
      </c>
      <c r="R223" s="153">
        <v>1</v>
      </c>
      <c r="S223" s="157">
        <f ca="1">ROUND(IF(R223=0,0,IF(R223=1,X223*$S$1,IF(R223=2,X223*$S$1*buff的资质计算!$E$2,IF(R223=3,X223*$S$1*buff的资质计算!$E$3,0)))),0)*0</f>
        <v>0</v>
      </c>
      <c r="T223" s="153">
        <v>1</v>
      </c>
      <c r="U223" s="153">
        <f ca="1" t="shared" si="35"/>
        <v>12</v>
      </c>
      <c r="V223" s="153">
        <f ca="1">ROUND((OFFSET(卡牌辅助配置表!$O$1,MATCH(U223,卡牌辅助配置表!M:M,0)-1,0)+(N223-1)*OFFSET(卡牌辅助配置表!$P$1,MATCH(U223,卡牌辅助配置表!M:M,0)-1,0))*M223,2)</f>
        <v>23.43</v>
      </c>
      <c r="W223" s="157">
        <f ca="1">ROUND(IF(R223=0,0,IF(R223=1,X223*$W$1,IF(R223=2,X223*$W$1*buff的资质计算!$E$2,IF(R223=3,X223*$W$1*buff的资质计算!$E$3,0)))),2)</f>
        <v>8.25</v>
      </c>
      <c r="X223" s="157">
        <f ca="1" t="shared" si="36"/>
        <v>27.5</v>
      </c>
      <c r="Y223" s="157">
        <f ca="1" t="shared" si="37"/>
        <v>27.5</v>
      </c>
      <c r="Z223" s="304">
        <f ca="1" t="shared" si="38"/>
        <v>13.75</v>
      </c>
      <c r="AA223" s="304">
        <f ca="1">OFFSET(卡牌辅助配置表!$AD$1,MATCH(AB223,卡牌辅助配置表!AB:AB,0)-1,0)</f>
        <v>288</v>
      </c>
      <c r="AB223" s="304">
        <f ca="1" t="shared" si="39"/>
        <v>1208</v>
      </c>
      <c r="AC223" s="153">
        <v>11</v>
      </c>
      <c r="AE223" s="153">
        <v>5000</v>
      </c>
      <c r="AF223" s="153" t="str">
        <f ca="1" t="shared" si="40"/>
        <v>10080011|</v>
      </c>
      <c r="AH223" s="153">
        <v>2</v>
      </c>
      <c r="AJ223" s="205" t="str">
        <f ca="1" t="shared" si="41"/>
        <v>400023|3150|;</v>
      </c>
      <c r="AK223" s="205">
        <f ca="1">OFFSET([1]item_type!$A$1,MATCH(Q223,[1]item_type!$G:$G,0)-1,0)</f>
        <v>301008</v>
      </c>
      <c r="AL223" s="205"/>
      <c r="AM223" s="205">
        <f ca="1">IF(B223=B224,OFFSET(卡牌辅助配置表!$AE$1,MATCH(AB223,卡牌辅助配置表!AB:AB,0),0),0)</f>
        <v>3150</v>
      </c>
      <c r="AN223" s="153">
        <f ca="1" t="shared" si="42"/>
        <v>1008009</v>
      </c>
      <c r="AP223" s="153" t="str">
        <f ca="1">IF(AC223=0,0,IF(AC223=12,0,OFFSET(effect!$N$1,MATCH(K223,effect!M:M,0)-1,0)))</f>
        <v>kpsx_pt</v>
      </c>
    </row>
    <row r="224" spans="1:42">
      <c r="A224" s="153">
        <f ca="1" t="shared" si="33"/>
        <v>1008009</v>
      </c>
      <c r="B224" s="91" t="s">
        <v>447</v>
      </c>
      <c r="C224" s="186">
        <v>1</v>
      </c>
      <c r="D224" s="186">
        <v>4</v>
      </c>
      <c r="E224" s="165" t="s">
        <v>1050</v>
      </c>
      <c r="F224" s="165" t="str">
        <f>"血量低于50%时，获得"&amp;skill!$O$13/100&amp;"%吸血效果"</f>
        <v>血量低于50%时，获得40%吸血效果</v>
      </c>
      <c r="G224" s="186">
        <f ca="1">OFFSET(卡牌辅助配置表!$C$1,MATCH(AC224,卡牌辅助配置表!A:A,0)-1,0)</f>
        <v>6</v>
      </c>
      <c r="H224" s="186">
        <f ca="1" t="shared" ref="H224:H245" si="43">IF(R224=0,Y224,0)</f>
        <v>0</v>
      </c>
      <c r="I224" s="186"/>
      <c r="J224" s="186">
        <f ca="1">OFFSET(card_type!$F$1,MATCH(Q224,card_type!A:A,0)-1,0)</f>
        <v>1</v>
      </c>
      <c r="K224" s="243">
        <f ca="1">OFFSET(card_type!$G$1,MATCH(Q224,card_type!A:A,0)-1,0)</f>
        <v>2</v>
      </c>
      <c r="L224" s="157">
        <v>2</v>
      </c>
      <c r="M224" s="157">
        <v>2</v>
      </c>
      <c r="N224" s="153">
        <f t="shared" si="34"/>
        <v>9</v>
      </c>
      <c r="O224" s="157"/>
      <c r="P224" s="157"/>
      <c r="Q224" s="153">
        <f ca="1">OFFSET(card_type!$A$1,MATCH(card!B224,card_type!B:B,0)-1,0)</f>
        <v>1008</v>
      </c>
      <c r="R224" s="153">
        <v>1</v>
      </c>
      <c r="S224" s="157">
        <f ca="1">ROUND(IF(R224=0,0,IF(R224=1,X224*$S$1,IF(R224=2,X224*$S$1*buff的资质计算!$E$2,IF(R224=3,X224*$S$1*buff的资质计算!$E$3,0)))),0)*0</f>
        <v>0</v>
      </c>
      <c r="T224" s="153">
        <v>1</v>
      </c>
      <c r="U224" s="153">
        <f ca="1" t="shared" si="35"/>
        <v>12</v>
      </c>
      <c r="V224" s="153">
        <f ca="1">ROUND((OFFSET(卡牌辅助配置表!$O$1,MATCH(U224,卡牌辅助配置表!M:M,0)-1,0)+(N224-1)*OFFSET(卡牌辅助配置表!$P$1,MATCH(U224,卡牌辅助配置表!M:M,0)-1,0))*M224,2)</f>
        <v>24.07</v>
      </c>
      <c r="W224" s="157">
        <f ca="1">ROUND(IF(R224=0,0,IF(R224=1,X224*$W$1,IF(R224=2,X224*$W$1*buff的资质计算!$E$2,IF(R224=3,X224*$W$1*buff的资质计算!$E$3,0)))),2)</f>
        <v>8.4</v>
      </c>
      <c r="X224" s="157">
        <f ca="1" t="shared" si="36"/>
        <v>28</v>
      </c>
      <c r="Y224" s="157">
        <f ca="1" t="shared" si="37"/>
        <v>28</v>
      </c>
      <c r="Z224" s="304">
        <f ca="1" t="shared" si="38"/>
        <v>14</v>
      </c>
      <c r="AA224" s="304">
        <f ca="1">OFFSET(卡牌辅助配置表!$AD$1,MATCH(AB224,卡牌辅助配置表!AB:AB,0)-1,0)</f>
        <v>324</v>
      </c>
      <c r="AB224" s="304">
        <f ca="1" t="shared" si="39"/>
        <v>1209</v>
      </c>
      <c r="AC224" s="153">
        <v>11</v>
      </c>
      <c r="AE224" s="153">
        <v>5000</v>
      </c>
      <c r="AF224" s="153" t="str">
        <f ca="1" t="shared" si="40"/>
        <v>10080011|</v>
      </c>
      <c r="AH224" s="153">
        <v>2</v>
      </c>
      <c r="AJ224" s="205" t="str">
        <f ca="1" t="shared" si="41"/>
        <v>301008|15|;400023|3450|;</v>
      </c>
      <c r="AK224" s="205">
        <f ca="1">OFFSET([1]item_type!$A$1,MATCH(Q224,[1]item_type!$G:$G,0)-1,0)</f>
        <v>301008</v>
      </c>
      <c r="AL224" s="205">
        <v>15</v>
      </c>
      <c r="AM224" s="205">
        <f ca="1">IF(B224=B225,OFFSET(卡牌辅助配置表!$AE$1,MATCH(AB224,卡牌辅助配置表!AB:AB,0),0),0)</f>
        <v>3450</v>
      </c>
      <c r="AN224" s="153">
        <f ca="1" t="shared" si="42"/>
        <v>1008010</v>
      </c>
      <c r="AP224" s="153" t="str">
        <f ca="1">IF(AC224=0,0,IF(AC224=12,0,OFFSET(effect!$N$1,MATCH(K224,effect!M:M,0)-1,0)))</f>
        <v>kpsx_pt</v>
      </c>
    </row>
    <row r="225" spans="1:42">
      <c r="A225" s="153">
        <f ca="1" t="shared" si="33"/>
        <v>1008010</v>
      </c>
      <c r="B225" s="91" t="s">
        <v>447</v>
      </c>
      <c r="C225" s="186">
        <v>1</v>
      </c>
      <c r="D225" s="186">
        <v>4</v>
      </c>
      <c r="E225" s="165" t="s">
        <v>1050</v>
      </c>
      <c r="F225" s="165" t="str">
        <f>"血量低于50%时，获得"&amp;skill!$O$13/100&amp;"%吸血效果"</f>
        <v>血量低于50%时，获得40%吸血效果</v>
      </c>
      <c r="G225" s="186">
        <f ca="1">OFFSET(卡牌辅助配置表!$C$1,MATCH(AC225,卡牌辅助配置表!A:A,0)-1,0)</f>
        <v>6</v>
      </c>
      <c r="H225" s="186">
        <f ca="1" t="shared" si="43"/>
        <v>0</v>
      </c>
      <c r="I225" s="186"/>
      <c r="J225" s="186">
        <f ca="1">OFFSET(card_type!$F$1,MATCH(Q225,card_type!A:A,0)-1,0)</f>
        <v>1</v>
      </c>
      <c r="K225" s="243">
        <f ca="1">OFFSET(card_type!$G$1,MATCH(Q225,card_type!A:A,0)-1,0)</f>
        <v>2</v>
      </c>
      <c r="L225" s="157">
        <v>2</v>
      </c>
      <c r="M225" s="157">
        <v>2</v>
      </c>
      <c r="N225" s="153">
        <f t="shared" si="34"/>
        <v>10</v>
      </c>
      <c r="O225" s="157"/>
      <c r="P225" s="157"/>
      <c r="Q225" s="153">
        <f ca="1">OFFSET(card_type!$A$1,MATCH(card!B225,card_type!B:B,0)-1,0)</f>
        <v>1008</v>
      </c>
      <c r="R225" s="153">
        <v>1</v>
      </c>
      <c r="S225" s="157">
        <f ca="1">ROUND(IF(R225=0,0,IF(R225=1,X225*$S$1,IF(R225=2,X225*$S$1*buff的资质计算!$E$2,IF(R225=3,X225*$S$1*buff的资质计算!$E$3,0)))),0)*0</f>
        <v>0</v>
      </c>
      <c r="T225" s="153">
        <v>1</v>
      </c>
      <c r="U225" s="153">
        <f ca="1" t="shared" si="35"/>
        <v>12</v>
      </c>
      <c r="V225" s="153">
        <f ca="1">ROUND((OFFSET(卡牌辅助配置表!$O$1,MATCH(U225,卡牌辅助配置表!M:M,0)-1,0)+(N225-1)*OFFSET(卡牌辅助配置表!$P$1,MATCH(U225,卡牌辅助配置表!M:M,0)-1,0))*M225,2)</f>
        <v>24.7</v>
      </c>
      <c r="W225" s="157">
        <f ca="1">ROUND(IF(R225=0,0,IF(R225=1,X225*$W$1,IF(R225=2,X225*$W$1*buff的资质计算!$E$2,IF(R225=3,X225*$W$1*buff的资质计算!$E$3,0)))),2)</f>
        <v>8.55</v>
      </c>
      <c r="X225" s="157">
        <f ca="1" t="shared" si="36"/>
        <v>28.5</v>
      </c>
      <c r="Y225" s="157">
        <f ca="1" t="shared" si="37"/>
        <v>28.5</v>
      </c>
      <c r="Z225" s="304">
        <f ca="1" t="shared" si="38"/>
        <v>14.25</v>
      </c>
      <c r="AA225" s="304">
        <f ca="1">OFFSET(卡牌辅助配置表!$AD$1,MATCH(AB225,卡牌辅助配置表!AB:AB,0)-1,0)</f>
        <v>360</v>
      </c>
      <c r="AB225" s="304">
        <f ca="1" t="shared" si="39"/>
        <v>1210</v>
      </c>
      <c r="AC225" s="153">
        <v>11</v>
      </c>
      <c r="AE225" s="153">
        <v>5000</v>
      </c>
      <c r="AF225" s="153" t="str">
        <f ca="1" t="shared" si="40"/>
        <v>10080011|</v>
      </c>
      <c r="AH225" s="153">
        <v>2</v>
      </c>
      <c r="AJ225" s="205" t="str">
        <f ca="1" t="shared" si="41"/>
        <v>400023|4050|;</v>
      </c>
      <c r="AK225" s="205">
        <f ca="1">OFFSET([1]item_type!$A$1,MATCH(Q225,[1]item_type!$G:$G,0)-1,0)</f>
        <v>301008</v>
      </c>
      <c r="AL225" s="205"/>
      <c r="AM225" s="205">
        <f ca="1">IF(B225=B226,OFFSET(卡牌辅助配置表!$AE$1,MATCH(AB225,卡牌辅助配置表!AB:AB,0),0),0)</f>
        <v>4050</v>
      </c>
      <c r="AN225" s="153">
        <f ca="1" t="shared" si="42"/>
        <v>1008011</v>
      </c>
      <c r="AP225" s="153" t="str">
        <f ca="1">IF(AC225=0,0,IF(AC225=12,0,OFFSET(effect!$N$1,MATCH(K225,effect!M:M,0)-1,0)))</f>
        <v>kpsx_pt</v>
      </c>
    </row>
    <row r="226" spans="1:42">
      <c r="A226" s="153">
        <f ca="1" t="shared" si="33"/>
        <v>1008011</v>
      </c>
      <c r="B226" s="91" t="s">
        <v>447</v>
      </c>
      <c r="C226" s="186">
        <v>1</v>
      </c>
      <c r="D226" s="186">
        <v>4</v>
      </c>
      <c r="E226" s="165" t="s">
        <v>1050</v>
      </c>
      <c r="F226" s="165" t="str">
        <f>"血量低于50%时，获得"&amp;skill!$O$13/100&amp;"%吸血效果"</f>
        <v>血量低于50%时，获得40%吸血效果</v>
      </c>
      <c r="G226" s="186">
        <f ca="1">OFFSET(卡牌辅助配置表!$C$1,MATCH(AC226,卡牌辅助配置表!A:A,0)-1,0)</f>
        <v>6</v>
      </c>
      <c r="H226" s="186">
        <f ca="1" t="shared" si="43"/>
        <v>0</v>
      </c>
      <c r="I226" s="186"/>
      <c r="J226" s="186">
        <f ca="1">OFFSET(card_type!$F$1,MATCH(Q226,card_type!A:A,0)-1,0)</f>
        <v>1</v>
      </c>
      <c r="K226" s="243">
        <f ca="1">OFFSET(card_type!$G$1,MATCH(Q226,card_type!A:A,0)-1,0)</f>
        <v>2</v>
      </c>
      <c r="L226" s="157">
        <v>2</v>
      </c>
      <c r="M226" s="157">
        <v>2</v>
      </c>
      <c r="N226" s="153">
        <f t="shared" si="34"/>
        <v>11</v>
      </c>
      <c r="O226" s="157"/>
      <c r="P226" s="157"/>
      <c r="Q226" s="153">
        <f ca="1">OFFSET(card_type!$A$1,MATCH(card!B226,card_type!B:B,0)-1,0)</f>
        <v>1008</v>
      </c>
      <c r="R226" s="153">
        <v>1</v>
      </c>
      <c r="S226" s="157">
        <f ca="1">ROUND(IF(R226=0,0,IF(R226=1,X226*$S$1,IF(R226=2,X226*$S$1*buff的资质计算!$E$2,IF(R226=3,X226*$S$1*buff的资质计算!$E$3,0)))),0)*0</f>
        <v>0</v>
      </c>
      <c r="T226" s="153">
        <v>1</v>
      </c>
      <c r="U226" s="153">
        <f ca="1" t="shared" si="35"/>
        <v>12</v>
      </c>
      <c r="V226" s="153">
        <f ca="1">ROUND((OFFSET(卡牌辅助配置表!$O$1,MATCH(U226,卡牌辅助配置表!M:M,0)-1,0)+(N226-1)*OFFSET(卡牌辅助配置表!$P$1,MATCH(U226,卡牌辅助配置表!M:M,0)-1,0))*M226,2)</f>
        <v>25.33</v>
      </c>
      <c r="W226" s="157">
        <f ca="1">ROUND(IF(R226=0,0,IF(R226=1,X226*$W$1,IF(R226=2,X226*$W$1*buff的资质计算!$E$2,IF(R226=3,X226*$W$1*buff的资质计算!$E$3,0)))),2)</f>
        <v>8.7</v>
      </c>
      <c r="X226" s="157">
        <f ca="1" t="shared" si="36"/>
        <v>29</v>
      </c>
      <c r="Y226" s="157">
        <f ca="1" t="shared" si="37"/>
        <v>29</v>
      </c>
      <c r="Z226" s="304">
        <f ca="1" t="shared" si="38"/>
        <v>14.5</v>
      </c>
      <c r="AA226" s="304">
        <f ca="1">OFFSET(卡牌辅助配置表!$AD$1,MATCH(AB226,卡牌辅助配置表!AB:AB,0)-1,0)</f>
        <v>415</v>
      </c>
      <c r="AB226" s="304">
        <f ca="1" t="shared" si="39"/>
        <v>1211</v>
      </c>
      <c r="AC226" s="153">
        <v>11</v>
      </c>
      <c r="AE226" s="153">
        <v>5000</v>
      </c>
      <c r="AF226" s="153" t="str">
        <f ca="1" t="shared" si="40"/>
        <v>10080011|</v>
      </c>
      <c r="AH226" s="153">
        <v>2</v>
      </c>
      <c r="AJ226" s="205" t="str">
        <f ca="1" t="shared" si="41"/>
        <v>400023|4650|;</v>
      </c>
      <c r="AK226" s="205">
        <f ca="1">OFFSET([1]item_type!$A$1,MATCH(Q226,[1]item_type!$G:$G,0)-1,0)</f>
        <v>301008</v>
      </c>
      <c r="AL226" s="205"/>
      <c r="AM226" s="205">
        <f ca="1">IF(B226=B227,OFFSET(卡牌辅助配置表!$AE$1,MATCH(AB226,卡牌辅助配置表!AB:AB,0),0),0)</f>
        <v>4650</v>
      </c>
      <c r="AN226" s="153">
        <f ca="1" t="shared" si="42"/>
        <v>1008012</v>
      </c>
      <c r="AP226" s="153" t="str">
        <f ca="1">IF(AC226=0,0,IF(AC226=12,0,OFFSET(effect!$N$1,MATCH(K226,effect!M:M,0)-1,0)))</f>
        <v>kpsx_pt</v>
      </c>
    </row>
    <row r="227" spans="1:42">
      <c r="A227" s="153">
        <f ca="1" t="shared" si="33"/>
        <v>1008012</v>
      </c>
      <c r="B227" s="91" t="s">
        <v>447</v>
      </c>
      <c r="C227" s="186">
        <v>1</v>
      </c>
      <c r="D227" s="186">
        <v>4</v>
      </c>
      <c r="E227" s="165" t="s">
        <v>1050</v>
      </c>
      <c r="F227" s="165" t="str">
        <f>"血量低于50%时，获得"&amp;skill!$O$13/100&amp;"%吸血效果"</f>
        <v>血量低于50%时，获得40%吸血效果</v>
      </c>
      <c r="G227" s="186">
        <f ca="1">OFFSET(卡牌辅助配置表!$C$1,MATCH(AC227,卡牌辅助配置表!A:A,0)-1,0)</f>
        <v>6</v>
      </c>
      <c r="H227" s="186">
        <f ca="1" t="shared" si="43"/>
        <v>0</v>
      </c>
      <c r="I227" s="186"/>
      <c r="J227" s="186">
        <f ca="1">OFFSET(card_type!$F$1,MATCH(Q227,card_type!A:A,0)-1,0)</f>
        <v>1</v>
      </c>
      <c r="K227" s="243">
        <f ca="1">OFFSET(card_type!$G$1,MATCH(Q227,card_type!A:A,0)-1,0)</f>
        <v>2</v>
      </c>
      <c r="L227" s="157">
        <v>2</v>
      </c>
      <c r="M227" s="157">
        <v>2</v>
      </c>
      <c r="N227" s="153">
        <f t="shared" si="34"/>
        <v>12</v>
      </c>
      <c r="O227" s="157"/>
      <c r="P227" s="157"/>
      <c r="Q227" s="153">
        <f ca="1">OFFSET(card_type!$A$1,MATCH(card!B227,card_type!B:B,0)-1,0)</f>
        <v>1008</v>
      </c>
      <c r="R227" s="153">
        <v>1</v>
      </c>
      <c r="S227" s="157">
        <f ca="1">ROUND(IF(R227=0,0,IF(R227=1,X227*$S$1,IF(R227=2,X227*$S$1*buff的资质计算!$E$2,IF(R227=3,X227*$S$1*buff的资质计算!$E$3,0)))),0)*0</f>
        <v>0</v>
      </c>
      <c r="T227" s="153">
        <v>1</v>
      </c>
      <c r="U227" s="153">
        <f ca="1" t="shared" si="35"/>
        <v>12</v>
      </c>
      <c r="V227" s="153">
        <f ca="1">ROUND((OFFSET(卡牌辅助配置表!$O$1,MATCH(U227,卡牌辅助配置表!M:M,0)-1,0)+(N227-1)*OFFSET(卡牌辅助配置表!$P$1,MATCH(U227,卡牌辅助配置表!M:M,0)-1,0))*M227,2)</f>
        <v>25.97</v>
      </c>
      <c r="W227" s="157">
        <f ca="1">ROUND(IF(R227=0,0,IF(R227=1,X227*$W$1,IF(R227=2,X227*$W$1*buff的资质计算!$E$2,IF(R227=3,X227*$W$1*buff的资质计算!$E$3,0)))),2)</f>
        <v>8.85</v>
      </c>
      <c r="X227" s="157">
        <f ca="1" t="shared" si="36"/>
        <v>29.5</v>
      </c>
      <c r="Y227" s="157">
        <f ca="1" t="shared" si="37"/>
        <v>29.5</v>
      </c>
      <c r="Z227" s="304">
        <f ca="1" t="shared" si="38"/>
        <v>14.75</v>
      </c>
      <c r="AA227" s="304">
        <f ca="1">OFFSET(卡牌辅助配置表!$AD$1,MATCH(AB227,卡牌辅助配置表!AB:AB,0)-1,0)</f>
        <v>470</v>
      </c>
      <c r="AB227" s="304">
        <f ca="1" t="shared" si="39"/>
        <v>1212</v>
      </c>
      <c r="AC227" s="153">
        <v>11</v>
      </c>
      <c r="AE227" s="153">
        <v>5000</v>
      </c>
      <c r="AF227" s="153" t="str">
        <f ca="1" t="shared" si="40"/>
        <v>10080011|</v>
      </c>
      <c r="AH227" s="153">
        <v>2</v>
      </c>
      <c r="AJ227" s="205" t="str">
        <f ca="1" t="shared" si="41"/>
        <v>400023|5250|;</v>
      </c>
      <c r="AK227" s="205">
        <f ca="1">OFFSET([1]item_type!$A$1,MATCH(Q227,[1]item_type!$G:$G,0)-1,0)</f>
        <v>301008</v>
      </c>
      <c r="AL227" s="205"/>
      <c r="AM227" s="205">
        <f ca="1">IF(B227=B228,OFFSET(卡牌辅助配置表!$AE$1,MATCH(AB227,卡牌辅助配置表!AB:AB,0),0),0)</f>
        <v>5250</v>
      </c>
      <c r="AN227" s="153">
        <f ca="1" t="shared" si="42"/>
        <v>1008013</v>
      </c>
      <c r="AP227" s="153" t="str">
        <f ca="1">IF(AC227=0,0,IF(AC227=12,0,OFFSET(effect!$N$1,MATCH(K227,effect!M:M,0)-1,0)))</f>
        <v>kpsx_pt</v>
      </c>
    </row>
    <row r="228" spans="1:42">
      <c r="A228" s="153">
        <f ca="1" t="shared" si="33"/>
        <v>1008013</v>
      </c>
      <c r="B228" s="91" t="s">
        <v>447</v>
      </c>
      <c r="C228" s="186">
        <v>1</v>
      </c>
      <c r="D228" s="186">
        <v>4</v>
      </c>
      <c r="E228" s="165" t="s">
        <v>1050</v>
      </c>
      <c r="F228" s="165" t="str">
        <f>"血量低于50%时，获得"&amp;skill!$O$13/100&amp;"%吸血效果"</f>
        <v>血量低于50%时，获得40%吸血效果</v>
      </c>
      <c r="G228" s="186">
        <f ca="1">OFFSET(卡牌辅助配置表!$C$1,MATCH(AC228,卡牌辅助配置表!A:A,0)-1,0)</f>
        <v>6</v>
      </c>
      <c r="H228" s="186">
        <f ca="1" t="shared" si="43"/>
        <v>0</v>
      </c>
      <c r="I228" s="186"/>
      <c r="J228" s="186">
        <f ca="1">OFFSET(card_type!$F$1,MATCH(Q228,card_type!A:A,0)-1,0)</f>
        <v>1</v>
      </c>
      <c r="K228" s="243">
        <f ca="1">OFFSET(card_type!$G$1,MATCH(Q228,card_type!A:A,0)-1,0)</f>
        <v>2</v>
      </c>
      <c r="L228" s="157">
        <v>2</v>
      </c>
      <c r="M228" s="157">
        <v>2</v>
      </c>
      <c r="N228" s="153">
        <f t="shared" si="34"/>
        <v>13</v>
      </c>
      <c r="O228" s="157"/>
      <c r="P228" s="157"/>
      <c r="Q228" s="153">
        <f ca="1">OFFSET(card_type!$A$1,MATCH(card!B228,card_type!B:B,0)-1,0)</f>
        <v>1008</v>
      </c>
      <c r="R228" s="153">
        <v>1</v>
      </c>
      <c r="S228" s="157">
        <f ca="1">ROUND(IF(R228=0,0,IF(R228=1,X228*$S$1,IF(R228=2,X228*$S$1*buff的资质计算!$E$2,IF(R228=3,X228*$S$1*buff的资质计算!$E$3,0)))),0)*0</f>
        <v>0</v>
      </c>
      <c r="T228" s="153">
        <v>1</v>
      </c>
      <c r="U228" s="153">
        <f ca="1" t="shared" si="35"/>
        <v>12</v>
      </c>
      <c r="V228" s="153">
        <f ca="1">ROUND((OFFSET(卡牌辅助配置表!$O$1,MATCH(U228,卡牌辅助配置表!M:M,0)-1,0)+(N228-1)*OFFSET(卡牌辅助配置表!$P$1,MATCH(U228,卡牌辅助配置表!M:M,0)-1,0))*M228,2)</f>
        <v>26.6</v>
      </c>
      <c r="W228" s="157">
        <f ca="1">ROUND(IF(R228=0,0,IF(R228=1,X228*$W$1,IF(R228=2,X228*$W$1*buff的资质计算!$E$2,IF(R228=3,X228*$W$1*buff的资质计算!$E$3,0)))),2)</f>
        <v>9</v>
      </c>
      <c r="X228" s="157">
        <f ca="1" t="shared" si="36"/>
        <v>30</v>
      </c>
      <c r="Y228" s="157">
        <f ca="1" t="shared" si="37"/>
        <v>30</v>
      </c>
      <c r="Z228" s="304">
        <f ca="1" t="shared" si="38"/>
        <v>15</v>
      </c>
      <c r="AA228" s="304">
        <f ca="1">OFFSET(卡牌辅助配置表!$AD$1,MATCH(AB228,卡牌辅助配置表!AB:AB,0)-1,0)</f>
        <v>525</v>
      </c>
      <c r="AB228" s="304">
        <f ca="1" t="shared" si="39"/>
        <v>1213</v>
      </c>
      <c r="AC228" s="153">
        <v>11</v>
      </c>
      <c r="AE228" s="153">
        <v>5000</v>
      </c>
      <c r="AF228" s="153" t="str">
        <f ca="1" t="shared" si="40"/>
        <v>10080011|</v>
      </c>
      <c r="AH228" s="153">
        <v>2</v>
      </c>
      <c r="AJ228" s="205" t="str">
        <f ca="1" t="shared" si="41"/>
        <v>400023|5850|;</v>
      </c>
      <c r="AK228" s="205">
        <f ca="1">OFFSET([1]item_type!$A$1,MATCH(Q228,[1]item_type!$G:$G,0)-1,0)</f>
        <v>301008</v>
      </c>
      <c r="AL228" s="205"/>
      <c r="AM228" s="205">
        <f ca="1">IF(B228=B229,OFFSET(卡牌辅助配置表!$AE$1,MATCH(AB228,卡牌辅助配置表!AB:AB,0),0),0)</f>
        <v>5850</v>
      </c>
      <c r="AN228" s="153">
        <f ca="1" t="shared" si="42"/>
        <v>1008014</v>
      </c>
      <c r="AP228" s="153" t="str">
        <f ca="1">IF(AC228=0,0,IF(AC228=12,0,OFFSET(effect!$N$1,MATCH(K228,effect!M:M,0)-1,0)))</f>
        <v>kpsx_pt</v>
      </c>
    </row>
    <row r="229" spans="1:42">
      <c r="A229" s="153">
        <f ca="1" t="shared" si="33"/>
        <v>1008014</v>
      </c>
      <c r="B229" s="91" t="s">
        <v>447</v>
      </c>
      <c r="C229" s="186">
        <v>1</v>
      </c>
      <c r="D229" s="186">
        <v>4</v>
      </c>
      <c r="E229" s="165" t="s">
        <v>1050</v>
      </c>
      <c r="F229" s="165" t="str">
        <f>"血量低于50%时，获得"&amp;skill!$O$13/100&amp;"%吸血效果"</f>
        <v>血量低于50%时，获得40%吸血效果</v>
      </c>
      <c r="G229" s="186">
        <f ca="1">OFFSET(卡牌辅助配置表!$C$1,MATCH(AC229,卡牌辅助配置表!A:A,0)-1,0)</f>
        <v>6</v>
      </c>
      <c r="H229" s="186">
        <f ca="1" t="shared" si="43"/>
        <v>0</v>
      </c>
      <c r="I229" s="186"/>
      <c r="J229" s="186">
        <f ca="1">OFFSET(card_type!$F$1,MATCH(Q229,card_type!A:A,0)-1,0)</f>
        <v>1</v>
      </c>
      <c r="K229" s="243">
        <f ca="1">OFFSET(card_type!$G$1,MATCH(Q229,card_type!A:A,0)-1,0)</f>
        <v>2</v>
      </c>
      <c r="L229" s="157">
        <v>2</v>
      </c>
      <c r="M229" s="157">
        <v>2</v>
      </c>
      <c r="N229" s="153">
        <f t="shared" si="34"/>
        <v>14</v>
      </c>
      <c r="O229" s="157"/>
      <c r="P229" s="157"/>
      <c r="Q229" s="153">
        <f ca="1">OFFSET(card_type!$A$1,MATCH(card!B229,card_type!B:B,0)-1,0)</f>
        <v>1008</v>
      </c>
      <c r="R229" s="153">
        <v>1</v>
      </c>
      <c r="S229" s="157">
        <f ca="1">ROUND(IF(R229=0,0,IF(R229=1,X229*$S$1,IF(R229=2,X229*$S$1*buff的资质计算!$E$2,IF(R229=3,X229*$S$1*buff的资质计算!$E$3,0)))),0)*0</f>
        <v>0</v>
      </c>
      <c r="T229" s="153">
        <v>1</v>
      </c>
      <c r="U229" s="153">
        <f ca="1" t="shared" si="35"/>
        <v>12</v>
      </c>
      <c r="V229" s="153">
        <f ca="1">ROUND((OFFSET(卡牌辅助配置表!$O$1,MATCH(U229,卡牌辅助配置表!M:M,0)-1,0)+(N229-1)*OFFSET(卡牌辅助配置表!$P$1,MATCH(U229,卡牌辅助配置表!M:M,0)-1,0))*M229,2)</f>
        <v>27.23</v>
      </c>
      <c r="W229" s="157">
        <f ca="1">ROUND(IF(R229=0,0,IF(R229=1,X229*$W$1,IF(R229=2,X229*$W$1*buff的资质计算!$E$2,IF(R229=3,X229*$W$1*buff的资质计算!$E$3,0)))),2)</f>
        <v>9.15</v>
      </c>
      <c r="X229" s="157">
        <f ca="1" t="shared" si="36"/>
        <v>30.5</v>
      </c>
      <c r="Y229" s="157">
        <f ca="1" t="shared" si="37"/>
        <v>30.5</v>
      </c>
      <c r="Z229" s="304">
        <f ca="1" t="shared" si="38"/>
        <v>15.25</v>
      </c>
      <c r="AA229" s="304">
        <f ca="1">OFFSET(卡牌辅助配置表!$AD$1,MATCH(AB229,卡牌辅助配置表!AB:AB,0)-1,0)</f>
        <v>580</v>
      </c>
      <c r="AB229" s="304">
        <f ca="1" t="shared" si="39"/>
        <v>1214</v>
      </c>
      <c r="AC229" s="153">
        <v>11</v>
      </c>
      <c r="AE229" s="153">
        <v>5000</v>
      </c>
      <c r="AF229" s="153" t="str">
        <f ca="1" t="shared" si="40"/>
        <v>10080011|</v>
      </c>
      <c r="AH229" s="153">
        <v>2</v>
      </c>
      <c r="AJ229" s="205" t="str">
        <f ca="1" t="shared" si="41"/>
        <v>400023|6450|;</v>
      </c>
      <c r="AK229" s="205">
        <f ca="1">OFFSET([1]item_type!$A$1,MATCH(Q229,[1]item_type!$G:$G,0)-1,0)</f>
        <v>301008</v>
      </c>
      <c r="AL229" s="205"/>
      <c r="AM229" s="205">
        <f ca="1">IF(B229=B230,OFFSET(卡牌辅助配置表!$AE$1,MATCH(AB229,卡牌辅助配置表!AB:AB,0),0),0)</f>
        <v>6450</v>
      </c>
      <c r="AN229" s="153">
        <f ca="1" t="shared" si="42"/>
        <v>1008015</v>
      </c>
      <c r="AP229" s="153" t="str">
        <f ca="1">IF(AC229=0,0,IF(AC229=12,0,OFFSET(effect!$N$1,MATCH(K229,effect!M:M,0)-1,0)))</f>
        <v>kpsx_pt</v>
      </c>
    </row>
    <row r="230" spans="1:42">
      <c r="A230" s="153">
        <f ca="1" t="shared" si="33"/>
        <v>1008015</v>
      </c>
      <c r="B230" s="91" t="s">
        <v>447</v>
      </c>
      <c r="C230" s="186">
        <v>1</v>
      </c>
      <c r="D230" s="186">
        <v>4</v>
      </c>
      <c r="E230" s="165" t="s">
        <v>1050</v>
      </c>
      <c r="F230" s="165" t="str">
        <f>"血量低于50%时，获得"&amp;skill!$O$13/100&amp;"%吸血效果"</f>
        <v>血量低于50%时，获得40%吸血效果</v>
      </c>
      <c r="G230" s="186">
        <f ca="1">OFFSET(卡牌辅助配置表!$C$1,MATCH(AC230,卡牌辅助配置表!A:A,0)-1,0)</f>
        <v>6</v>
      </c>
      <c r="H230" s="186">
        <f ca="1" t="shared" si="43"/>
        <v>0</v>
      </c>
      <c r="I230" s="186"/>
      <c r="J230" s="186">
        <f ca="1">OFFSET(card_type!$F$1,MATCH(Q230,card_type!A:A,0)-1,0)</f>
        <v>1</v>
      </c>
      <c r="K230" s="243">
        <f ca="1">OFFSET(card_type!$G$1,MATCH(Q230,card_type!A:A,0)-1,0)</f>
        <v>2</v>
      </c>
      <c r="L230" s="157">
        <v>2</v>
      </c>
      <c r="M230" s="157">
        <v>2</v>
      </c>
      <c r="N230" s="153">
        <f t="shared" si="34"/>
        <v>15</v>
      </c>
      <c r="O230" s="157"/>
      <c r="P230" s="157"/>
      <c r="Q230" s="153">
        <f ca="1">OFFSET(card_type!$A$1,MATCH(card!B230,card_type!B:B,0)-1,0)</f>
        <v>1008</v>
      </c>
      <c r="R230" s="153">
        <v>1</v>
      </c>
      <c r="S230" s="157">
        <f ca="1">ROUND(IF(R230=0,0,IF(R230=1,X230*$S$1,IF(R230=2,X230*$S$1*buff的资质计算!$E$2,IF(R230=3,X230*$S$1*buff的资质计算!$E$3,0)))),0)*0</f>
        <v>0</v>
      </c>
      <c r="T230" s="153">
        <v>1</v>
      </c>
      <c r="U230" s="153">
        <f ca="1" t="shared" si="35"/>
        <v>12</v>
      </c>
      <c r="V230" s="153">
        <f ca="1">ROUND((OFFSET(卡牌辅助配置表!$O$1,MATCH(U230,卡牌辅助配置表!M:M,0)-1,0)+(N230-1)*OFFSET(卡牌辅助配置表!$P$1,MATCH(U230,卡牌辅助配置表!M:M,0)-1,0))*M230,2)</f>
        <v>27.87</v>
      </c>
      <c r="W230" s="157">
        <f ca="1">ROUND(IF(R230=0,0,IF(R230=1,X230*$W$1,IF(R230=2,X230*$W$1*buff的资质计算!$E$2,IF(R230=3,X230*$W$1*buff的资质计算!$E$3,0)))),2)</f>
        <v>9.3</v>
      </c>
      <c r="X230" s="157">
        <f ca="1" t="shared" si="36"/>
        <v>31</v>
      </c>
      <c r="Y230" s="157">
        <f ca="1" t="shared" si="37"/>
        <v>31</v>
      </c>
      <c r="Z230" s="304">
        <f ca="1" t="shared" si="38"/>
        <v>15.5</v>
      </c>
      <c r="AA230" s="304">
        <f ca="1">OFFSET(卡牌辅助配置表!$AD$1,MATCH(AB230,卡牌辅助配置表!AB:AB,0)-1,0)</f>
        <v>635</v>
      </c>
      <c r="AB230" s="304">
        <f ca="1" t="shared" si="39"/>
        <v>1215</v>
      </c>
      <c r="AC230" s="153">
        <v>11</v>
      </c>
      <c r="AE230" s="153">
        <v>5000</v>
      </c>
      <c r="AF230" s="153" t="str">
        <f ca="1" t="shared" si="40"/>
        <v>10080011|</v>
      </c>
      <c r="AH230" s="153">
        <v>2</v>
      </c>
      <c r="AJ230" s="205" t="str">
        <f ca="1" t="shared" si="41"/>
        <v>400023|7050|;</v>
      </c>
      <c r="AK230" s="205">
        <f ca="1">OFFSET([1]item_type!$A$1,MATCH(Q230,[1]item_type!$G:$G,0)-1,0)</f>
        <v>301008</v>
      </c>
      <c r="AL230" s="205"/>
      <c r="AM230" s="205">
        <f ca="1">IF(B230=B231,OFFSET(卡牌辅助配置表!$AE$1,MATCH(AB230,卡牌辅助配置表!AB:AB,0),0),0)</f>
        <v>7050</v>
      </c>
      <c r="AN230" s="153">
        <f ca="1" t="shared" si="42"/>
        <v>1008016</v>
      </c>
      <c r="AP230" s="153" t="str">
        <f ca="1">IF(AC230=0,0,IF(AC230=12,0,OFFSET(effect!$N$1,MATCH(K230,effect!M:M,0)-1,0)))</f>
        <v>kpsx_pt</v>
      </c>
    </row>
    <row r="231" spans="1:42">
      <c r="A231" s="153">
        <f ca="1" t="shared" si="33"/>
        <v>1008016</v>
      </c>
      <c r="B231" s="91" t="s">
        <v>447</v>
      </c>
      <c r="C231" s="186">
        <v>1</v>
      </c>
      <c r="D231" s="186">
        <v>4</v>
      </c>
      <c r="E231" s="165" t="s">
        <v>1050</v>
      </c>
      <c r="F231" s="165" t="str">
        <f>"血量低于50%时，获得"&amp;skill!$O$13/100&amp;"%吸血效果"</f>
        <v>血量低于50%时，获得40%吸血效果</v>
      </c>
      <c r="G231" s="186">
        <f ca="1">OFFSET(卡牌辅助配置表!$C$1,MATCH(AC231,卡牌辅助配置表!A:A,0)-1,0)</f>
        <v>6</v>
      </c>
      <c r="H231" s="186">
        <f ca="1" t="shared" si="43"/>
        <v>0</v>
      </c>
      <c r="I231" s="186"/>
      <c r="J231" s="186">
        <f ca="1">OFFSET(card_type!$F$1,MATCH(Q231,card_type!A:A,0)-1,0)</f>
        <v>1</v>
      </c>
      <c r="K231" s="243">
        <f ca="1">OFFSET(card_type!$G$1,MATCH(Q231,card_type!A:A,0)-1,0)</f>
        <v>2</v>
      </c>
      <c r="L231" s="157">
        <v>2</v>
      </c>
      <c r="M231" s="157">
        <v>2</v>
      </c>
      <c r="N231" s="153">
        <f t="shared" si="34"/>
        <v>16</v>
      </c>
      <c r="O231" s="157"/>
      <c r="P231" s="157"/>
      <c r="Q231" s="153">
        <f ca="1">OFFSET(card_type!$A$1,MATCH(card!B231,card_type!B:B,0)-1,0)</f>
        <v>1008</v>
      </c>
      <c r="R231" s="153">
        <v>1</v>
      </c>
      <c r="S231" s="157">
        <f ca="1">ROUND(IF(R231=0,0,IF(R231=1,X231*$S$1,IF(R231=2,X231*$S$1*buff的资质计算!$E$2,IF(R231=3,X231*$S$1*buff的资质计算!$E$3,0)))),0)*0</f>
        <v>0</v>
      </c>
      <c r="T231" s="153">
        <v>1</v>
      </c>
      <c r="U231" s="153">
        <f ca="1" t="shared" si="35"/>
        <v>12</v>
      </c>
      <c r="V231" s="153">
        <f ca="1">ROUND((OFFSET(卡牌辅助配置表!$O$1,MATCH(U231,卡牌辅助配置表!M:M,0)-1,0)+(N231-1)*OFFSET(卡牌辅助配置表!$P$1,MATCH(U231,卡牌辅助配置表!M:M,0)-1,0))*M231,2)</f>
        <v>28.5</v>
      </c>
      <c r="W231" s="157">
        <f ca="1">ROUND(IF(R231=0,0,IF(R231=1,X231*$W$1,IF(R231=2,X231*$W$1*buff的资质计算!$E$2,IF(R231=3,X231*$W$1*buff的资质计算!$E$3,0)))),2)</f>
        <v>9.45</v>
      </c>
      <c r="X231" s="157">
        <f ca="1" t="shared" si="36"/>
        <v>31.5</v>
      </c>
      <c r="Y231" s="157">
        <f ca="1" t="shared" si="37"/>
        <v>31.5</v>
      </c>
      <c r="Z231" s="304">
        <f ca="1" t="shared" si="38"/>
        <v>15.75</v>
      </c>
      <c r="AA231" s="304">
        <f ca="1">OFFSET(卡牌辅助配置表!$AD$1,MATCH(AB231,卡牌辅助配置表!AB:AB,0)-1,0)</f>
        <v>690</v>
      </c>
      <c r="AB231" s="304">
        <f ca="1" t="shared" si="39"/>
        <v>1216</v>
      </c>
      <c r="AC231" s="153">
        <v>11</v>
      </c>
      <c r="AE231" s="153">
        <v>5000</v>
      </c>
      <c r="AF231" s="153" t="str">
        <f ca="1" t="shared" si="40"/>
        <v>10080011|</v>
      </c>
      <c r="AH231" s="153">
        <v>2</v>
      </c>
      <c r="AJ231" s="205" t="str">
        <f ca="1" t="shared" si="41"/>
        <v>400023|7650|;</v>
      </c>
      <c r="AK231" s="205">
        <f ca="1">OFFSET([1]item_type!$A$1,MATCH(Q231,[1]item_type!$G:$G,0)-1,0)</f>
        <v>301008</v>
      </c>
      <c r="AL231" s="205"/>
      <c r="AM231" s="205">
        <f ca="1">IF(B231=B232,OFFSET(卡牌辅助配置表!$AE$1,MATCH(AB231,卡牌辅助配置表!AB:AB,0),0),0)</f>
        <v>7650</v>
      </c>
      <c r="AN231" s="153">
        <f ca="1" t="shared" si="42"/>
        <v>1008017</v>
      </c>
      <c r="AP231" s="153" t="str">
        <f ca="1">IF(AC231=0,0,IF(AC231=12,0,OFFSET(effect!$N$1,MATCH(K231,effect!M:M,0)-1,0)))</f>
        <v>kpsx_pt</v>
      </c>
    </row>
    <row r="232" spans="1:42">
      <c r="A232" s="153">
        <f ca="1" t="shared" si="33"/>
        <v>1008017</v>
      </c>
      <c r="B232" s="91" t="s">
        <v>447</v>
      </c>
      <c r="C232" s="186">
        <v>1</v>
      </c>
      <c r="D232" s="186">
        <v>4</v>
      </c>
      <c r="E232" s="165" t="s">
        <v>1050</v>
      </c>
      <c r="F232" s="165" t="str">
        <f>"血量低于50%时，获得"&amp;skill!$O$13/100&amp;"%吸血效果"</f>
        <v>血量低于50%时，获得40%吸血效果</v>
      </c>
      <c r="G232" s="186">
        <f ca="1">OFFSET(卡牌辅助配置表!$C$1,MATCH(AC232,卡牌辅助配置表!A:A,0)-1,0)</f>
        <v>6</v>
      </c>
      <c r="H232" s="186">
        <f ca="1" t="shared" si="43"/>
        <v>0</v>
      </c>
      <c r="I232" s="186"/>
      <c r="J232" s="186">
        <f ca="1">OFFSET(card_type!$F$1,MATCH(Q232,card_type!A:A,0)-1,0)</f>
        <v>1</v>
      </c>
      <c r="K232" s="243">
        <f ca="1">OFFSET(card_type!$G$1,MATCH(Q232,card_type!A:A,0)-1,0)</f>
        <v>2</v>
      </c>
      <c r="L232" s="157">
        <v>2</v>
      </c>
      <c r="M232" s="157">
        <v>2</v>
      </c>
      <c r="N232" s="153">
        <f t="shared" si="34"/>
        <v>17</v>
      </c>
      <c r="O232" s="157"/>
      <c r="P232" s="157"/>
      <c r="Q232" s="153">
        <f ca="1">OFFSET(card_type!$A$1,MATCH(card!B232,card_type!B:B,0)-1,0)</f>
        <v>1008</v>
      </c>
      <c r="R232" s="153">
        <v>1</v>
      </c>
      <c r="S232" s="157">
        <f ca="1">ROUND(IF(R232=0,0,IF(R232=1,X232*$S$1,IF(R232=2,X232*$S$1*buff的资质计算!$E$2,IF(R232=3,X232*$S$1*buff的资质计算!$E$3,0)))),0)*0</f>
        <v>0</v>
      </c>
      <c r="T232" s="153">
        <v>1</v>
      </c>
      <c r="U232" s="153">
        <f ca="1" t="shared" si="35"/>
        <v>12</v>
      </c>
      <c r="V232" s="153">
        <f ca="1">ROUND((OFFSET(卡牌辅助配置表!$O$1,MATCH(U232,卡牌辅助配置表!M:M,0)-1,0)+(N232-1)*OFFSET(卡牌辅助配置表!$P$1,MATCH(U232,卡牌辅助配置表!M:M,0)-1,0))*M232,2)</f>
        <v>29.13</v>
      </c>
      <c r="W232" s="157">
        <f ca="1">ROUND(IF(R232=0,0,IF(R232=1,X232*$W$1,IF(R232=2,X232*$W$1*buff的资质计算!$E$2,IF(R232=3,X232*$W$1*buff的资质计算!$E$3,0)))),2)</f>
        <v>9.6</v>
      </c>
      <c r="X232" s="157">
        <f ca="1" t="shared" si="36"/>
        <v>32</v>
      </c>
      <c r="Y232" s="157">
        <f ca="1" t="shared" si="37"/>
        <v>32</v>
      </c>
      <c r="Z232" s="304">
        <f ca="1" t="shared" si="38"/>
        <v>16</v>
      </c>
      <c r="AA232" s="304">
        <f ca="1">OFFSET(卡牌辅助配置表!$AD$1,MATCH(AB232,卡牌辅助配置表!AB:AB,0)-1,0)</f>
        <v>745</v>
      </c>
      <c r="AB232" s="304">
        <f ca="1" t="shared" si="39"/>
        <v>1217</v>
      </c>
      <c r="AC232" s="153">
        <v>11</v>
      </c>
      <c r="AE232" s="153">
        <v>5000</v>
      </c>
      <c r="AF232" s="153" t="str">
        <f ca="1" t="shared" si="40"/>
        <v>10080011|</v>
      </c>
      <c r="AH232" s="153">
        <v>2</v>
      </c>
      <c r="AJ232" s="205" t="str">
        <f ca="1" t="shared" si="41"/>
        <v>400023|8250|;</v>
      </c>
      <c r="AK232" s="205">
        <f ca="1">OFFSET([1]item_type!$A$1,MATCH(Q232,[1]item_type!$G:$G,0)-1,0)</f>
        <v>301008</v>
      </c>
      <c r="AL232" s="205"/>
      <c r="AM232" s="205">
        <f ca="1">IF(B232=B233,OFFSET(卡牌辅助配置表!$AE$1,MATCH(AB232,卡牌辅助配置表!AB:AB,0),0),0)</f>
        <v>8250</v>
      </c>
      <c r="AN232" s="153">
        <f ca="1" t="shared" si="42"/>
        <v>1008018</v>
      </c>
      <c r="AP232" s="153" t="str">
        <f ca="1">IF(AC232=0,0,IF(AC232=12,0,OFFSET(effect!$N$1,MATCH(K232,effect!M:M,0)-1,0)))</f>
        <v>kpsx_pt</v>
      </c>
    </row>
    <row r="233" spans="1:42">
      <c r="A233" s="153">
        <f ca="1" t="shared" si="33"/>
        <v>1008018</v>
      </c>
      <c r="B233" s="91" t="s">
        <v>447</v>
      </c>
      <c r="C233" s="186">
        <v>1</v>
      </c>
      <c r="D233" s="186">
        <v>4</v>
      </c>
      <c r="E233" s="165" t="s">
        <v>1050</v>
      </c>
      <c r="F233" s="165" t="str">
        <f>"血量低于50%时，获得"&amp;skill!$O$13/100&amp;"%吸血效果"</f>
        <v>血量低于50%时，获得40%吸血效果</v>
      </c>
      <c r="G233" s="186">
        <f ca="1">OFFSET(卡牌辅助配置表!$C$1,MATCH(AC233,卡牌辅助配置表!A:A,0)-1,0)</f>
        <v>6</v>
      </c>
      <c r="H233" s="186">
        <f ca="1" t="shared" si="43"/>
        <v>0</v>
      </c>
      <c r="I233" s="186"/>
      <c r="J233" s="186">
        <f ca="1">OFFSET(card_type!$F$1,MATCH(Q233,card_type!A:A,0)-1,0)</f>
        <v>1</v>
      </c>
      <c r="K233" s="243">
        <f ca="1">OFFSET(card_type!$G$1,MATCH(Q233,card_type!A:A,0)-1,0)</f>
        <v>2</v>
      </c>
      <c r="L233" s="157">
        <v>2</v>
      </c>
      <c r="M233" s="157">
        <v>2</v>
      </c>
      <c r="N233" s="153">
        <f t="shared" si="34"/>
        <v>18</v>
      </c>
      <c r="O233" s="157"/>
      <c r="P233" s="157"/>
      <c r="Q233" s="153">
        <f ca="1">OFFSET(card_type!$A$1,MATCH(card!B233,card_type!B:B,0)-1,0)</f>
        <v>1008</v>
      </c>
      <c r="R233" s="153">
        <v>1</v>
      </c>
      <c r="S233" s="157">
        <f ca="1">ROUND(IF(R233=0,0,IF(R233=1,X233*$S$1,IF(R233=2,X233*$S$1*buff的资质计算!$E$2,IF(R233=3,X233*$S$1*buff的资质计算!$E$3,0)))),0)*0</f>
        <v>0</v>
      </c>
      <c r="T233" s="153">
        <v>1</v>
      </c>
      <c r="U233" s="153">
        <f ca="1" t="shared" si="35"/>
        <v>12</v>
      </c>
      <c r="V233" s="153">
        <f ca="1">ROUND((OFFSET(卡牌辅助配置表!$O$1,MATCH(U233,卡牌辅助配置表!M:M,0)-1,0)+(N233-1)*OFFSET(卡牌辅助配置表!$P$1,MATCH(U233,卡牌辅助配置表!M:M,0)-1,0))*M233,2)</f>
        <v>29.77</v>
      </c>
      <c r="W233" s="157">
        <f ca="1">ROUND(IF(R233=0,0,IF(R233=1,X233*$W$1,IF(R233=2,X233*$W$1*buff的资质计算!$E$2,IF(R233=3,X233*$W$1*buff的资质计算!$E$3,0)))),2)</f>
        <v>9.75</v>
      </c>
      <c r="X233" s="157">
        <f ca="1" t="shared" si="36"/>
        <v>32.5</v>
      </c>
      <c r="Y233" s="157">
        <f ca="1" t="shared" si="37"/>
        <v>32.5</v>
      </c>
      <c r="Z233" s="304">
        <f ca="1" t="shared" si="38"/>
        <v>16.25</v>
      </c>
      <c r="AA233" s="304">
        <f ca="1">OFFSET(卡牌辅助配置表!$AD$1,MATCH(AB233,卡牌辅助配置表!AB:AB,0)-1,0)</f>
        <v>800</v>
      </c>
      <c r="AB233" s="304">
        <f ca="1" t="shared" si="39"/>
        <v>1218</v>
      </c>
      <c r="AC233" s="153">
        <v>11</v>
      </c>
      <c r="AE233" s="153">
        <v>5000</v>
      </c>
      <c r="AF233" s="153" t="str">
        <f ca="1" t="shared" si="40"/>
        <v>10080011|</v>
      </c>
      <c r="AH233" s="153">
        <v>2</v>
      </c>
      <c r="AJ233" s="205" t="str">
        <f ca="1" t="shared" si="41"/>
        <v>400023|8850|;</v>
      </c>
      <c r="AK233" s="205">
        <f ca="1">OFFSET([1]item_type!$A$1,MATCH(Q233,[1]item_type!$G:$G,0)-1,0)</f>
        <v>301008</v>
      </c>
      <c r="AL233" s="205"/>
      <c r="AM233" s="205">
        <f ca="1">IF(B233=B234,OFFSET(卡牌辅助配置表!$AE$1,MATCH(AB233,卡牌辅助配置表!AB:AB,0),0),0)</f>
        <v>8850</v>
      </c>
      <c r="AN233" s="153">
        <f ca="1" t="shared" si="42"/>
        <v>1008019</v>
      </c>
      <c r="AP233" s="153" t="str">
        <f ca="1">IF(AC233=0,0,IF(AC233=12,0,OFFSET(effect!$N$1,MATCH(K233,effect!M:M,0)-1,0)))</f>
        <v>kpsx_pt</v>
      </c>
    </row>
    <row r="234" spans="1:42">
      <c r="A234" s="153">
        <f ca="1" t="shared" si="33"/>
        <v>1008019</v>
      </c>
      <c r="B234" s="91" t="s">
        <v>447</v>
      </c>
      <c r="C234" s="186">
        <v>1</v>
      </c>
      <c r="D234" s="186">
        <v>4</v>
      </c>
      <c r="E234" s="165" t="s">
        <v>1050</v>
      </c>
      <c r="F234" s="165" t="str">
        <f>"血量低于50%时，获得"&amp;skill!$O$13/100&amp;"%吸血效果"</f>
        <v>血量低于50%时，获得40%吸血效果</v>
      </c>
      <c r="G234" s="186">
        <f ca="1">OFFSET(卡牌辅助配置表!$C$1,MATCH(AC234,卡牌辅助配置表!A:A,0)-1,0)</f>
        <v>6</v>
      </c>
      <c r="H234" s="186">
        <f ca="1" t="shared" si="43"/>
        <v>0</v>
      </c>
      <c r="I234" s="186"/>
      <c r="J234" s="186">
        <f ca="1">OFFSET(card_type!$F$1,MATCH(Q234,card_type!A:A,0)-1,0)</f>
        <v>1</v>
      </c>
      <c r="K234" s="243">
        <f ca="1">OFFSET(card_type!$G$1,MATCH(Q234,card_type!A:A,0)-1,0)</f>
        <v>2</v>
      </c>
      <c r="L234" s="157">
        <v>2</v>
      </c>
      <c r="M234" s="157">
        <v>2</v>
      </c>
      <c r="N234" s="153">
        <f t="shared" si="34"/>
        <v>19</v>
      </c>
      <c r="O234" s="157"/>
      <c r="P234" s="157"/>
      <c r="Q234" s="153">
        <f ca="1">OFFSET(card_type!$A$1,MATCH(card!B234,card_type!B:B,0)-1,0)</f>
        <v>1008</v>
      </c>
      <c r="R234" s="153">
        <v>1</v>
      </c>
      <c r="S234" s="157">
        <f ca="1">ROUND(IF(R234=0,0,IF(R234=1,X234*$S$1,IF(R234=2,X234*$S$1*buff的资质计算!$E$2,IF(R234=3,X234*$S$1*buff的资质计算!$E$3,0)))),0)*0</f>
        <v>0</v>
      </c>
      <c r="T234" s="153">
        <v>1</v>
      </c>
      <c r="U234" s="153">
        <f ca="1" t="shared" si="35"/>
        <v>12</v>
      </c>
      <c r="V234" s="153">
        <f ca="1">ROUND((OFFSET(卡牌辅助配置表!$O$1,MATCH(U234,卡牌辅助配置表!M:M,0)-1,0)+(N234-1)*OFFSET(卡牌辅助配置表!$P$1,MATCH(U234,卡牌辅助配置表!M:M,0)-1,0))*M234,2)</f>
        <v>30.4</v>
      </c>
      <c r="W234" s="157">
        <f ca="1">ROUND(IF(R234=0,0,IF(R234=1,X234*$W$1,IF(R234=2,X234*$W$1*buff的资质计算!$E$2,IF(R234=3,X234*$W$1*buff的资质计算!$E$3,0)))),2)</f>
        <v>9.9</v>
      </c>
      <c r="X234" s="157">
        <f ca="1" t="shared" si="36"/>
        <v>33</v>
      </c>
      <c r="Y234" s="157">
        <f ca="1" t="shared" si="37"/>
        <v>33</v>
      </c>
      <c r="Z234" s="304">
        <f ca="1" t="shared" si="38"/>
        <v>16.5</v>
      </c>
      <c r="AA234" s="304">
        <f ca="1">OFFSET(卡牌辅助配置表!$AD$1,MATCH(AB234,卡牌辅助配置表!AB:AB,0)-1,0)</f>
        <v>855</v>
      </c>
      <c r="AB234" s="304">
        <f ca="1" t="shared" si="39"/>
        <v>1219</v>
      </c>
      <c r="AC234" s="153">
        <v>11</v>
      </c>
      <c r="AE234" s="153">
        <v>5000</v>
      </c>
      <c r="AF234" s="153" t="str">
        <f ca="1" t="shared" si="40"/>
        <v>10080011|</v>
      </c>
      <c r="AH234" s="153">
        <v>2</v>
      </c>
      <c r="AJ234" s="205" t="str">
        <f ca="1" t="shared" si="41"/>
        <v>301008|20|;400023|9450|;</v>
      </c>
      <c r="AK234" s="205">
        <f ca="1">OFFSET([1]item_type!$A$1,MATCH(Q234,[1]item_type!$G:$G,0)-1,0)</f>
        <v>301008</v>
      </c>
      <c r="AL234" s="205">
        <v>20</v>
      </c>
      <c r="AM234" s="205">
        <f ca="1">IF(B234=B235,OFFSET(卡牌辅助配置表!$AE$1,MATCH(AB234,卡牌辅助配置表!AB:AB,0),0),0)</f>
        <v>9450</v>
      </c>
      <c r="AN234" s="153">
        <f ca="1" t="shared" si="42"/>
        <v>1008020</v>
      </c>
      <c r="AP234" s="153" t="str">
        <f ca="1">IF(AC234=0,0,IF(AC234=12,0,OFFSET(effect!$N$1,MATCH(K234,effect!M:M,0)-1,0)))</f>
        <v>kpsx_pt</v>
      </c>
    </row>
    <row r="235" spans="1:42">
      <c r="A235" s="153">
        <f ca="1" t="shared" si="33"/>
        <v>1008020</v>
      </c>
      <c r="B235" s="91" t="s">
        <v>447</v>
      </c>
      <c r="C235" s="186">
        <v>1</v>
      </c>
      <c r="D235" s="186">
        <v>4</v>
      </c>
      <c r="E235" s="165" t="s">
        <v>1050</v>
      </c>
      <c r="F235" s="165" t="str">
        <f>"血量低于50%时，获得"&amp;skill!$O$13/100&amp;"%吸血效果"</f>
        <v>血量低于50%时，获得40%吸血效果</v>
      </c>
      <c r="G235" s="186">
        <f ca="1">OFFSET(卡牌辅助配置表!$C$1,MATCH(AC235,卡牌辅助配置表!A:A,0)-1,0)</f>
        <v>6</v>
      </c>
      <c r="H235" s="186">
        <f ca="1" t="shared" si="43"/>
        <v>0</v>
      </c>
      <c r="I235" s="186"/>
      <c r="J235" s="186">
        <f ca="1">OFFSET(card_type!$F$1,MATCH(Q235,card_type!A:A,0)-1,0)</f>
        <v>1</v>
      </c>
      <c r="K235" s="243">
        <f ca="1">OFFSET(card_type!$G$1,MATCH(Q235,card_type!A:A,0)-1,0)</f>
        <v>2</v>
      </c>
      <c r="L235" s="157">
        <v>2</v>
      </c>
      <c r="M235" s="157">
        <v>2</v>
      </c>
      <c r="N235" s="153">
        <f t="shared" si="34"/>
        <v>20</v>
      </c>
      <c r="O235" s="157"/>
      <c r="P235" s="157"/>
      <c r="Q235" s="153">
        <f ca="1">OFFSET(card_type!$A$1,MATCH(card!B235,card_type!B:B,0)-1,0)</f>
        <v>1008</v>
      </c>
      <c r="R235" s="153">
        <v>1</v>
      </c>
      <c r="S235" s="157">
        <f ca="1">ROUND(IF(R235=0,0,IF(R235=1,X235*$S$1,IF(R235=2,X235*$S$1*buff的资质计算!$E$2,IF(R235=3,X235*$S$1*buff的资质计算!$E$3,0)))),0)*0</f>
        <v>0</v>
      </c>
      <c r="T235" s="153">
        <v>1</v>
      </c>
      <c r="U235" s="153">
        <f ca="1" t="shared" si="35"/>
        <v>12</v>
      </c>
      <c r="V235" s="153">
        <f ca="1">ROUND((OFFSET(卡牌辅助配置表!$O$1,MATCH(U235,卡牌辅助配置表!M:M,0)-1,0)+(N235-1)*OFFSET(卡牌辅助配置表!$P$1,MATCH(U235,卡牌辅助配置表!M:M,0)-1,0))*M235,2)</f>
        <v>31.03</v>
      </c>
      <c r="W235" s="157">
        <f ca="1">ROUND(IF(R235=0,0,IF(R235=1,X235*$W$1,IF(R235=2,X235*$W$1*buff的资质计算!$E$2,IF(R235=3,X235*$W$1*buff的资质计算!$E$3,0)))),2)</f>
        <v>10.05</v>
      </c>
      <c r="X235" s="157">
        <f ca="1" t="shared" si="36"/>
        <v>33.5</v>
      </c>
      <c r="Y235" s="157">
        <f ca="1" t="shared" si="37"/>
        <v>33.5</v>
      </c>
      <c r="Z235" s="304">
        <f ca="1" t="shared" si="38"/>
        <v>16.75</v>
      </c>
      <c r="AA235" s="304">
        <f ca="1">OFFSET(卡牌辅助配置表!$AD$1,MATCH(AB235,卡牌辅助配置表!AB:AB,0)-1,0)</f>
        <v>910</v>
      </c>
      <c r="AB235" s="304">
        <f ca="1" t="shared" si="39"/>
        <v>1220</v>
      </c>
      <c r="AC235" s="153">
        <v>11</v>
      </c>
      <c r="AE235" s="153">
        <v>5000</v>
      </c>
      <c r="AF235" s="153" t="str">
        <f ca="1" t="shared" si="40"/>
        <v>10080011|</v>
      </c>
      <c r="AH235" s="153">
        <v>2</v>
      </c>
      <c r="AJ235" s="205" t="str">
        <f ca="1" t="shared" si="41"/>
        <v>400023|10650|;</v>
      </c>
      <c r="AK235" s="205">
        <f ca="1">OFFSET([1]item_type!$A$1,MATCH(Q235,[1]item_type!$G:$G,0)-1,0)</f>
        <v>301008</v>
      </c>
      <c r="AL235" s="205"/>
      <c r="AM235" s="205">
        <f ca="1">IF(B235=B236,OFFSET(卡牌辅助配置表!$AE$1,MATCH(AB235,卡牌辅助配置表!AB:AB,0),0),0)</f>
        <v>10650</v>
      </c>
      <c r="AN235" s="153">
        <f ca="1" t="shared" si="42"/>
        <v>1008021</v>
      </c>
      <c r="AP235" s="153" t="str">
        <f ca="1">IF(AC235=0,0,IF(AC235=12,0,OFFSET(effect!$N$1,MATCH(K235,effect!M:M,0)-1,0)))</f>
        <v>kpsx_pt</v>
      </c>
    </row>
    <row r="236" spans="1:42">
      <c r="A236" s="153">
        <f ca="1" t="shared" si="33"/>
        <v>1008021</v>
      </c>
      <c r="B236" s="91" t="s">
        <v>447</v>
      </c>
      <c r="C236" s="186">
        <v>1</v>
      </c>
      <c r="D236" s="186">
        <v>4</v>
      </c>
      <c r="E236" s="165" t="s">
        <v>1050</v>
      </c>
      <c r="F236" s="165" t="str">
        <f>"血量低于50%时，获得"&amp;skill!$O$13/100&amp;"%吸血效果"</f>
        <v>血量低于50%时，获得40%吸血效果</v>
      </c>
      <c r="G236" s="186">
        <f ca="1">OFFSET(卡牌辅助配置表!$C$1,MATCH(AC236,卡牌辅助配置表!A:A,0)-1,0)</f>
        <v>6</v>
      </c>
      <c r="H236" s="186">
        <f ca="1" t="shared" si="43"/>
        <v>0</v>
      </c>
      <c r="I236" s="186"/>
      <c r="J236" s="186">
        <f ca="1">OFFSET(card_type!$F$1,MATCH(Q236,card_type!A:A,0)-1,0)</f>
        <v>1</v>
      </c>
      <c r="K236" s="243">
        <f ca="1">OFFSET(card_type!$G$1,MATCH(Q236,card_type!A:A,0)-1,0)</f>
        <v>2</v>
      </c>
      <c r="L236" s="157">
        <v>2</v>
      </c>
      <c r="M236" s="157">
        <v>2</v>
      </c>
      <c r="N236" s="153">
        <f t="shared" si="34"/>
        <v>21</v>
      </c>
      <c r="O236" s="157"/>
      <c r="P236" s="157"/>
      <c r="Q236" s="153">
        <f ca="1">OFFSET(card_type!$A$1,MATCH(card!B236,card_type!B:B,0)-1,0)</f>
        <v>1008</v>
      </c>
      <c r="R236" s="153">
        <v>1</v>
      </c>
      <c r="S236" s="157">
        <f ca="1">ROUND(IF(R236=0,0,IF(R236=1,X236*$S$1,IF(R236=2,X236*$S$1*buff的资质计算!$E$2,IF(R236=3,X236*$S$1*buff的资质计算!$E$3,0)))),0)*0</f>
        <v>0</v>
      </c>
      <c r="T236" s="153">
        <v>1</v>
      </c>
      <c r="U236" s="153">
        <f ca="1" t="shared" si="35"/>
        <v>12</v>
      </c>
      <c r="V236" s="153">
        <f ca="1">ROUND((OFFSET(卡牌辅助配置表!$O$1,MATCH(U236,卡牌辅助配置表!M:M,0)-1,0)+(N236-1)*OFFSET(卡牌辅助配置表!$P$1,MATCH(U236,卡牌辅助配置表!M:M,0)-1,0))*M236,2)</f>
        <v>31.67</v>
      </c>
      <c r="W236" s="157">
        <f ca="1">ROUND(IF(R236=0,0,IF(R236=1,X236*$W$1,IF(R236=2,X236*$W$1*buff的资质计算!$E$2,IF(R236=3,X236*$W$1*buff的资质计算!$E$3,0)))),2)</f>
        <v>10.2</v>
      </c>
      <c r="X236" s="157">
        <f ca="1" t="shared" si="36"/>
        <v>34</v>
      </c>
      <c r="Y236" s="157">
        <f ca="1" t="shared" si="37"/>
        <v>34</v>
      </c>
      <c r="Z236" s="304">
        <f ca="1" t="shared" si="38"/>
        <v>17</v>
      </c>
      <c r="AA236" s="304">
        <f ca="1">OFFSET(卡牌辅助配置表!$AD$1,MATCH(AB236,卡牌辅助配置表!AB:AB,0)-1,0)</f>
        <v>983</v>
      </c>
      <c r="AB236" s="304">
        <f ca="1" t="shared" si="39"/>
        <v>1221</v>
      </c>
      <c r="AC236" s="153">
        <v>11</v>
      </c>
      <c r="AE236" s="153">
        <v>5000</v>
      </c>
      <c r="AF236" s="153" t="str">
        <f ca="1" t="shared" si="40"/>
        <v>10080011|</v>
      </c>
      <c r="AH236" s="153">
        <v>2</v>
      </c>
      <c r="AJ236" s="205" t="str">
        <f ca="1" t="shared" si="41"/>
        <v>400023|11850|;</v>
      </c>
      <c r="AK236" s="205">
        <f ca="1">OFFSET([1]item_type!$A$1,MATCH(Q236,[1]item_type!$G:$G,0)-1,0)</f>
        <v>301008</v>
      </c>
      <c r="AL236" s="205"/>
      <c r="AM236" s="205">
        <f ca="1">IF(B236=B237,OFFSET(卡牌辅助配置表!$AE$1,MATCH(AB236,卡牌辅助配置表!AB:AB,0),0),0)</f>
        <v>11850</v>
      </c>
      <c r="AN236" s="153">
        <f ca="1" t="shared" si="42"/>
        <v>1008022</v>
      </c>
      <c r="AP236" s="153" t="str">
        <f ca="1">IF(AC236=0,0,IF(AC236=12,0,OFFSET(effect!$N$1,MATCH(K236,effect!M:M,0)-1,0)))</f>
        <v>kpsx_pt</v>
      </c>
    </row>
    <row r="237" spans="1:42">
      <c r="A237" s="153">
        <f ca="1" t="shared" si="33"/>
        <v>1008022</v>
      </c>
      <c r="B237" s="91" t="s">
        <v>447</v>
      </c>
      <c r="C237" s="186">
        <v>1</v>
      </c>
      <c r="D237" s="186">
        <v>4</v>
      </c>
      <c r="E237" s="165" t="s">
        <v>1050</v>
      </c>
      <c r="F237" s="165" t="str">
        <f>"血量低于50%时，获得"&amp;skill!$O$13/100&amp;"%吸血效果"</f>
        <v>血量低于50%时，获得40%吸血效果</v>
      </c>
      <c r="G237" s="186">
        <f ca="1">OFFSET(卡牌辅助配置表!$C$1,MATCH(AC237,卡牌辅助配置表!A:A,0)-1,0)</f>
        <v>6</v>
      </c>
      <c r="H237" s="186">
        <f ca="1" t="shared" si="43"/>
        <v>0</v>
      </c>
      <c r="I237" s="186"/>
      <c r="J237" s="186">
        <f ca="1">OFFSET(card_type!$F$1,MATCH(Q237,card_type!A:A,0)-1,0)</f>
        <v>1</v>
      </c>
      <c r="K237" s="243">
        <f ca="1">OFFSET(card_type!$G$1,MATCH(Q237,card_type!A:A,0)-1,0)</f>
        <v>2</v>
      </c>
      <c r="L237" s="157">
        <v>2</v>
      </c>
      <c r="M237" s="157">
        <v>2</v>
      </c>
      <c r="N237" s="153">
        <f t="shared" si="34"/>
        <v>22</v>
      </c>
      <c r="O237" s="157"/>
      <c r="P237" s="157"/>
      <c r="Q237" s="153">
        <f ca="1">OFFSET(card_type!$A$1,MATCH(card!B237,card_type!B:B,0)-1,0)</f>
        <v>1008</v>
      </c>
      <c r="R237" s="153">
        <v>1</v>
      </c>
      <c r="S237" s="157">
        <f ca="1">ROUND(IF(R237=0,0,IF(R237=1,X237*$S$1,IF(R237=2,X237*$S$1*buff的资质计算!$E$2,IF(R237=3,X237*$S$1*buff的资质计算!$E$3,0)))),0)*0</f>
        <v>0</v>
      </c>
      <c r="T237" s="153">
        <v>1</v>
      </c>
      <c r="U237" s="153">
        <f ca="1" t="shared" si="35"/>
        <v>12</v>
      </c>
      <c r="V237" s="153">
        <f ca="1">ROUND((OFFSET(卡牌辅助配置表!$O$1,MATCH(U237,卡牌辅助配置表!M:M,0)-1,0)+(N237-1)*OFFSET(卡牌辅助配置表!$P$1,MATCH(U237,卡牌辅助配置表!M:M,0)-1,0))*M237,2)</f>
        <v>32.3</v>
      </c>
      <c r="W237" s="157">
        <f ca="1">ROUND(IF(R237=0,0,IF(R237=1,X237*$W$1,IF(R237=2,X237*$W$1*buff的资质计算!$E$2,IF(R237=3,X237*$W$1*buff的资质计算!$E$3,0)))),2)</f>
        <v>10.35</v>
      </c>
      <c r="X237" s="157">
        <f ca="1" t="shared" si="36"/>
        <v>34.5</v>
      </c>
      <c r="Y237" s="157">
        <f ca="1" t="shared" si="37"/>
        <v>34.5</v>
      </c>
      <c r="Z237" s="304">
        <f ca="1" t="shared" si="38"/>
        <v>17.25</v>
      </c>
      <c r="AA237" s="304">
        <f ca="1">OFFSET(卡牌辅助配置表!$AD$1,MATCH(AB237,卡牌辅助配置表!AB:AB,0)-1,0)</f>
        <v>1056</v>
      </c>
      <c r="AB237" s="304">
        <f ca="1" t="shared" si="39"/>
        <v>1222</v>
      </c>
      <c r="AC237" s="153">
        <v>11</v>
      </c>
      <c r="AE237" s="153">
        <v>5000</v>
      </c>
      <c r="AF237" s="153" t="str">
        <f ca="1" t="shared" si="40"/>
        <v>10080011|</v>
      </c>
      <c r="AH237" s="153">
        <v>2</v>
      </c>
      <c r="AJ237" s="205" t="str">
        <f ca="1" t="shared" si="41"/>
        <v>400023|13050|;</v>
      </c>
      <c r="AK237" s="205">
        <f ca="1">OFFSET([1]item_type!$A$1,MATCH(Q237,[1]item_type!$G:$G,0)-1,0)</f>
        <v>301008</v>
      </c>
      <c r="AL237" s="205"/>
      <c r="AM237" s="205">
        <f ca="1">IF(B237=B238,OFFSET(卡牌辅助配置表!$AE$1,MATCH(AB237,卡牌辅助配置表!AB:AB,0),0),0)</f>
        <v>13050</v>
      </c>
      <c r="AN237" s="153">
        <f ca="1" t="shared" si="42"/>
        <v>1008023</v>
      </c>
      <c r="AP237" s="153" t="str">
        <f ca="1">IF(AC237=0,0,IF(AC237=12,0,OFFSET(effect!$N$1,MATCH(K237,effect!M:M,0)-1,0)))</f>
        <v>kpsx_pt</v>
      </c>
    </row>
    <row r="238" spans="1:42">
      <c r="A238" s="153">
        <f ca="1" t="shared" si="33"/>
        <v>1008023</v>
      </c>
      <c r="B238" s="91" t="s">
        <v>447</v>
      </c>
      <c r="C238" s="186">
        <v>1</v>
      </c>
      <c r="D238" s="186">
        <v>4</v>
      </c>
      <c r="E238" s="165" t="s">
        <v>1050</v>
      </c>
      <c r="F238" s="165" t="str">
        <f>"血量低于50%时，获得"&amp;skill!$O$13/100&amp;"%吸血效果"</f>
        <v>血量低于50%时，获得40%吸血效果</v>
      </c>
      <c r="G238" s="186">
        <f ca="1">OFFSET(卡牌辅助配置表!$C$1,MATCH(AC238,卡牌辅助配置表!A:A,0)-1,0)</f>
        <v>6</v>
      </c>
      <c r="H238" s="186">
        <f ca="1" t="shared" si="43"/>
        <v>0</v>
      </c>
      <c r="I238" s="186"/>
      <c r="J238" s="186">
        <f ca="1">OFFSET(card_type!$F$1,MATCH(Q238,card_type!A:A,0)-1,0)</f>
        <v>1</v>
      </c>
      <c r="K238" s="243">
        <f ca="1">OFFSET(card_type!$G$1,MATCH(Q238,card_type!A:A,0)-1,0)</f>
        <v>2</v>
      </c>
      <c r="L238" s="157">
        <v>2</v>
      </c>
      <c r="M238" s="157">
        <v>2</v>
      </c>
      <c r="N238" s="153">
        <f t="shared" si="34"/>
        <v>23</v>
      </c>
      <c r="O238" s="157"/>
      <c r="P238" s="157"/>
      <c r="Q238" s="153">
        <f ca="1">OFFSET(card_type!$A$1,MATCH(card!B238,card_type!B:B,0)-1,0)</f>
        <v>1008</v>
      </c>
      <c r="R238" s="153">
        <v>1</v>
      </c>
      <c r="S238" s="157">
        <f ca="1">ROUND(IF(R238=0,0,IF(R238=1,X238*$S$1,IF(R238=2,X238*$S$1*buff的资质计算!$E$2,IF(R238=3,X238*$S$1*buff的资质计算!$E$3,0)))),0)*0</f>
        <v>0</v>
      </c>
      <c r="T238" s="153">
        <v>1</v>
      </c>
      <c r="U238" s="153">
        <f ca="1" t="shared" si="35"/>
        <v>12</v>
      </c>
      <c r="V238" s="153">
        <f ca="1">ROUND((OFFSET(卡牌辅助配置表!$O$1,MATCH(U238,卡牌辅助配置表!M:M,0)-1,0)+(N238-1)*OFFSET(卡牌辅助配置表!$P$1,MATCH(U238,卡牌辅助配置表!M:M,0)-1,0))*M238,2)</f>
        <v>32.93</v>
      </c>
      <c r="W238" s="157">
        <f ca="1">ROUND(IF(R238=0,0,IF(R238=1,X238*$W$1,IF(R238=2,X238*$W$1*buff的资质计算!$E$2,IF(R238=3,X238*$W$1*buff的资质计算!$E$3,0)))),2)</f>
        <v>10.5</v>
      </c>
      <c r="X238" s="157">
        <f ca="1" t="shared" si="36"/>
        <v>35</v>
      </c>
      <c r="Y238" s="157">
        <f ca="1" t="shared" si="37"/>
        <v>35</v>
      </c>
      <c r="Z238" s="304">
        <f ca="1" t="shared" si="38"/>
        <v>17.5</v>
      </c>
      <c r="AA238" s="304">
        <f ca="1">OFFSET(卡牌辅助配置表!$AD$1,MATCH(AB238,卡牌辅助配置表!AB:AB,0)-1,0)</f>
        <v>1129</v>
      </c>
      <c r="AB238" s="304">
        <f ca="1" t="shared" si="39"/>
        <v>1223</v>
      </c>
      <c r="AC238" s="153">
        <v>11</v>
      </c>
      <c r="AE238" s="153">
        <v>5000</v>
      </c>
      <c r="AF238" s="153" t="str">
        <f ca="1" t="shared" si="40"/>
        <v>10080011|</v>
      </c>
      <c r="AH238" s="153">
        <v>2</v>
      </c>
      <c r="AJ238" s="205" t="str">
        <f ca="1" t="shared" si="41"/>
        <v>400023|14250|;</v>
      </c>
      <c r="AK238" s="205">
        <f ca="1">OFFSET([1]item_type!$A$1,MATCH(Q238,[1]item_type!$G:$G,0)-1,0)</f>
        <v>301008</v>
      </c>
      <c r="AL238" s="205"/>
      <c r="AM238" s="205">
        <f ca="1">IF(B238=B239,OFFSET(卡牌辅助配置表!$AE$1,MATCH(AB238,卡牌辅助配置表!AB:AB,0),0),0)</f>
        <v>14250</v>
      </c>
      <c r="AN238" s="153">
        <f ca="1" t="shared" si="42"/>
        <v>1008024</v>
      </c>
      <c r="AP238" s="153" t="str">
        <f ca="1">IF(AC238=0,0,IF(AC238=12,0,OFFSET(effect!$N$1,MATCH(K238,effect!M:M,0)-1,0)))</f>
        <v>kpsx_pt</v>
      </c>
    </row>
    <row r="239" spans="1:42">
      <c r="A239" s="153">
        <f ca="1" t="shared" si="33"/>
        <v>1008024</v>
      </c>
      <c r="B239" s="91" t="s">
        <v>447</v>
      </c>
      <c r="C239" s="186">
        <v>1</v>
      </c>
      <c r="D239" s="186">
        <v>4</v>
      </c>
      <c r="E239" s="165" t="s">
        <v>1050</v>
      </c>
      <c r="F239" s="165" t="str">
        <f>"血量低于50%时，获得"&amp;skill!$O$13/100&amp;"%吸血效果"</f>
        <v>血量低于50%时，获得40%吸血效果</v>
      </c>
      <c r="G239" s="186">
        <f ca="1">OFFSET(卡牌辅助配置表!$C$1,MATCH(AC239,卡牌辅助配置表!A:A,0)-1,0)</f>
        <v>6</v>
      </c>
      <c r="H239" s="186">
        <f ca="1" t="shared" si="43"/>
        <v>0</v>
      </c>
      <c r="I239" s="186"/>
      <c r="J239" s="186">
        <f ca="1">OFFSET(card_type!$F$1,MATCH(Q239,card_type!A:A,0)-1,0)</f>
        <v>1</v>
      </c>
      <c r="K239" s="243">
        <f ca="1">OFFSET(card_type!$G$1,MATCH(Q239,card_type!A:A,0)-1,0)</f>
        <v>2</v>
      </c>
      <c r="L239" s="157">
        <v>2</v>
      </c>
      <c r="M239" s="157">
        <v>2</v>
      </c>
      <c r="N239" s="153">
        <f t="shared" si="34"/>
        <v>24</v>
      </c>
      <c r="O239" s="157"/>
      <c r="P239" s="157"/>
      <c r="Q239" s="153">
        <f ca="1">OFFSET(card_type!$A$1,MATCH(card!B239,card_type!B:B,0)-1,0)</f>
        <v>1008</v>
      </c>
      <c r="R239" s="153">
        <v>1</v>
      </c>
      <c r="S239" s="157">
        <f ca="1">ROUND(IF(R239=0,0,IF(R239=1,X239*$S$1,IF(R239=2,X239*$S$1*buff的资质计算!$E$2,IF(R239=3,X239*$S$1*buff的资质计算!$E$3,0)))),0)*0</f>
        <v>0</v>
      </c>
      <c r="T239" s="153">
        <v>1</v>
      </c>
      <c r="U239" s="153">
        <f ca="1" t="shared" si="35"/>
        <v>12</v>
      </c>
      <c r="V239" s="153">
        <f ca="1">ROUND((OFFSET(卡牌辅助配置表!$O$1,MATCH(U239,卡牌辅助配置表!M:M,0)-1,0)+(N239-1)*OFFSET(卡牌辅助配置表!$P$1,MATCH(U239,卡牌辅助配置表!M:M,0)-1,0))*M239,2)</f>
        <v>33.57</v>
      </c>
      <c r="W239" s="157">
        <f ca="1">ROUND(IF(R239=0,0,IF(R239=1,X239*$W$1,IF(R239=2,X239*$W$1*buff的资质计算!$E$2,IF(R239=3,X239*$W$1*buff的资质计算!$E$3,0)))),2)</f>
        <v>10.65</v>
      </c>
      <c r="X239" s="157">
        <f ca="1" t="shared" si="36"/>
        <v>35.5</v>
      </c>
      <c r="Y239" s="157">
        <f ca="1" t="shared" si="37"/>
        <v>35.5</v>
      </c>
      <c r="Z239" s="304">
        <f ca="1" t="shared" si="38"/>
        <v>17.75</v>
      </c>
      <c r="AA239" s="304">
        <f ca="1">OFFSET(卡牌辅助配置表!$AD$1,MATCH(AB239,卡牌辅助配置表!AB:AB,0)-1,0)</f>
        <v>1202</v>
      </c>
      <c r="AB239" s="304">
        <f ca="1" t="shared" si="39"/>
        <v>1224</v>
      </c>
      <c r="AC239" s="153">
        <v>11</v>
      </c>
      <c r="AE239" s="153">
        <v>5000</v>
      </c>
      <c r="AF239" s="153" t="str">
        <f ca="1" t="shared" si="40"/>
        <v>10080011|</v>
      </c>
      <c r="AH239" s="153">
        <v>2</v>
      </c>
      <c r="AJ239" s="205" t="str">
        <f ca="1" t="shared" si="41"/>
        <v>400023|15450|;</v>
      </c>
      <c r="AK239" s="205">
        <f ca="1">OFFSET([1]item_type!$A$1,MATCH(Q239,[1]item_type!$G:$G,0)-1,0)</f>
        <v>301008</v>
      </c>
      <c r="AL239" s="205"/>
      <c r="AM239" s="205">
        <f ca="1">IF(B239=B240,OFFSET(卡牌辅助配置表!$AE$1,MATCH(AB239,卡牌辅助配置表!AB:AB,0),0),0)</f>
        <v>15450</v>
      </c>
      <c r="AN239" s="153">
        <f ca="1" t="shared" si="42"/>
        <v>1008025</v>
      </c>
      <c r="AP239" s="153" t="str">
        <f ca="1">IF(AC239=0,0,IF(AC239=12,0,OFFSET(effect!$N$1,MATCH(K239,effect!M:M,0)-1,0)))</f>
        <v>kpsx_pt</v>
      </c>
    </row>
    <row r="240" spans="1:42">
      <c r="A240" s="153">
        <f ca="1" t="shared" si="33"/>
        <v>1008025</v>
      </c>
      <c r="B240" s="91" t="s">
        <v>447</v>
      </c>
      <c r="C240" s="186">
        <v>1</v>
      </c>
      <c r="D240" s="186">
        <v>4</v>
      </c>
      <c r="E240" s="165" t="s">
        <v>1050</v>
      </c>
      <c r="F240" s="165" t="str">
        <f>"血量低于50%时，获得"&amp;skill!$O$13/100&amp;"%吸血效果"</f>
        <v>血量低于50%时，获得40%吸血效果</v>
      </c>
      <c r="G240" s="186">
        <f ca="1">OFFSET(卡牌辅助配置表!$C$1,MATCH(AC240,卡牌辅助配置表!A:A,0)-1,0)</f>
        <v>6</v>
      </c>
      <c r="H240" s="186">
        <f ca="1" t="shared" si="43"/>
        <v>0</v>
      </c>
      <c r="I240" s="186"/>
      <c r="J240" s="186">
        <f ca="1">OFFSET(card_type!$F$1,MATCH(Q240,card_type!A:A,0)-1,0)</f>
        <v>1</v>
      </c>
      <c r="K240" s="243">
        <f ca="1">OFFSET(card_type!$G$1,MATCH(Q240,card_type!A:A,0)-1,0)</f>
        <v>2</v>
      </c>
      <c r="L240" s="157">
        <v>2</v>
      </c>
      <c r="M240" s="157">
        <v>2</v>
      </c>
      <c r="N240" s="153">
        <f t="shared" si="34"/>
        <v>25</v>
      </c>
      <c r="O240" s="157"/>
      <c r="P240" s="157"/>
      <c r="Q240" s="153">
        <f ca="1">OFFSET(card_type!$A$1,MATCH(card!B240,card_type!B:B,0)-1,0)</f>
        <v>1008</v>
      </c>
      <c r="R240" s="153">
        <v>1</v>
      </c>
      <c r="S240" s="157">
        <f ca="1">ROUND(IF(R240=0,0,IF(R240=1,X240*$S$1,IF(R240=2,X240*$S$1*buff的资质计算!$E$2,IF(R240=3,X240*$S$1*buff的资质计算!$E$3,0)))),0)*0</f>
        <v>0</v>
      </c>
      <c r="T240" s="153">
        <v>1</v>
      </c>
      <c r="U240" s="153">
        <f ca="1" t="shared" si="35"/>
        <v>12</v>
      </c>
      <c r="V240" s="153">
        <f ca="1">ROUND((OFFSET(卡牌辅助配置表!$O$1,MATCH(U240,卡牌辅助配置表!M:M,0)-1,0)+(N240-1)*OFFSET(卡牌辅助配置表!$P$1,MATCH(U240,卡牌辅助配置表!M:M,0)-1,0))*M240,2)</f>
        <v>34.2</v>
      </c>
      <c r="W240" s="157">
        <f ca="1">ROUND(IF(R240=0,0,IF(R240=1,X240*$W$1,IF(R240=2,X240*$W$1*buff的资质计算!$E$2,IF(R240=3,X240*$W$1*buff的资质计算!$E$3,0)))),2)</f>
        <v>10.8</v>
      </c>
      <c r="X240" s="157">
        <f ca="1" t="shared" si="36"/>
        <v>36</v>
      </c>
      <c r="Y240" s="157">
        <f ca="1" t="shared" si="37"/>
        <v>36</v>
      </c>
      <c r="Z240" s="304">
        <f ca="1" t="shared" si="38"/>
        <v>18</v>
      </c>
      <c r="AA240" s="304">
        <f ca="1">OFFSET(卡牌辅助配置表!$AD$1,MATCH(AB240,卡牌辅助配置表!AB:AB,0)-1,0)</f>
        <v>1275</v>
      </c>
      <c r="AB240" s="304">
        <f ca="1" t="shared" si="39"/>
        <v>1225</v>
      </c>
      <c r="AC240" s="153">
        <v>11</v>
      </c>
      <c r="AE240" s="153">
        <v>5000</v>
      </c>
      <c r="AF240" s="153" t="str">
        <f ca="1" t="shared" si="40"/>
        <v>10080011|</v>
      </c>
      <c r="AH240" s="153">
        <v>2</v>
      </c>
      <c r="AJ240" s="205" t="str">
        <f ca="1" t="shared" si="41"/>
        <v>400023|16650|;</v>
      </c>
      <c r="AK240" s="205">
        <f ca="1">OFFSET([1]item_type!$A$1,MATCH(Q240,[1]item_type!$G:$G,0)-1,0)</f>
        <v>301008</v>
      </c>
      <c r="AL240" s="205"/>
      <c r="AM240" s="205">
        <f ca="1">IF(B240=B241,OFFSET(卡牌辅助配置表!$AE$1,MATCH(AB240,卡牌辅助配置表!AB:AB,0),0),0)</f>
        <v>16650</v>
      </c>
      <c r="AN240" s="153">
        <f ca="1" t="shared" si="42"/>
        <v>1008026</v>
      </c>
      <c r="AP240" s="153" t="str">
        <f ca="1">IF(AC240=0,0,IF(AC240=12,0,OFFSET(effect!$N$1,MATCH(K240,effect!M:M,0)-1,0)))</f>
        <v>kpsx_pt</v>
      </c>
    </row>
    <row r="241" spans="1:42">
      <c r="A241" s="153">
        <f ca="1" t="shared" si="33"/>
        <v>1008026</v>
      </c>
      <c r="B241" s="91" t="s">
        <v>447</v>
      </c>
      <c r="C241" s="186">
        <v>1</v>
      </c>
      <c r="D241" s="186">
        <v>4</v>
      </c>
      <c r="E241" s="165" t="s">
        <v>1050</v>
      </c>
      <c r="F241" s="165" t="str">
        <f>"血量低于50%时，获得"&amp;skill!$O$13/100&amp;"%吸血效果"</f>
        <v>血量低于50%时，获得40%吸血效果</v>
      </c>
      <c r="G241" s="186">
        <f ca="1">OFFSET(卡牌辅助配置表!$C$1,MATCH(AC241,卡牌辅助配置表!A:A,0)-1,0)</f>
        <v>6</v>
      </c>
      <c r="H241" s="186">
        <f ca="1" t="shared" si="43"/>
        <v>0</v>
      </c>
      <c r="I241" s="186"/>
      <c r="J241" s="186">
        <f ca="1">OFFSET(card_type!$F$1,MATCH(Q241,card_type!A:A,0)-1,0)</f>
        <v>1</v>
      </c>
      <c r="K241" s="243">
        <f ca="1">OFFSET(card_type!$G$1,MATCH(Q241,card_type!A:A,0)-1,0)</f>
        <v>2</v>
      </c>
      <c r="L241" s="157">
        <v>2</v>
      </c>
      <c r="M241" s="157">
        <v>2</v>
      </c>
      <c r="N241" s="153">
        <f t="shared" si="34"/>
        <v>26</v>
      </c>
      <c r="O241" s="157"/>
      <c r="P241" s="157"/>
      <c r="Q241" s="153">
        <f ca="1">OFFSET(card_type!$A$1,MATCH(card!B241,card_type!B:B,0)-1,0)</f>
        <v>1008</v>
      </c>
      <c r="R241" s="153">
        <v>1</v>
      </c>
      <c r="S241" s="157">
        <f ca="1">ROUND(IF(R241=0,0,IF(R241=1,X241*$S$1,IF(R241=2,X241*$S$1*buff的资质计算!$E$2,IF(R241=3,X241*$S$1*buff的资质计算!$E$3,0)))),0)*0</f>
        <v>0</v>
      </c>
      <c r="T241" s="153">
        <v>1</v>
      </c>
      <c r="U241" s="153">
        <f ca="1" t="shared" si="35"/>
        <v>12</v>
      </c>
      <c r="V241" s="153">
        <f ca="1">ROUND((OFFSET(卡牌辅助配置表!$O$1,MATCH(U241,卡牌辅助配置表!M:M,0)-1,0)+(N241-1)*OFFSET(卡牌辅助配置表!$P$1,MATCH(U241,卡牌辅助配置表!M:M,0)-1,0))*M241,2)</f>
        <v>34.83</v>
      </c>
      <c r="W241" s="157">
        <f ca="1">ROUND(IF(R241=0,0,IF(R241=1,X241*$W$1,IF(R241=2,X241*$W$1*buff的资质计算!$E$2,IF(R241=3,X241*$W$1*buff的资质计算!$E$3,0)))),2)</f>
        <v>10.95</v>
      </c>
      <c r="X241" s="157">
        <f ca="1" t="shared" si="36"/>
        <v>36.5</v>
      </c>
      <c r="Y241" s="157">
        <f ca="1" t="shared" si="37"/>
        <v>36.5</v>
      </c>
      <c r="Z241" s="304">
        <f ca="1" t="shared" si="38"/>
        <v>18.25</v>
      </c>
      <c r="AA241" s="304">
        <f ca="1">OFFSET(卡牌辅助配置表!$AD$1,MATCH(AB241,卡牌辅助配置表!AB:AB,0)-1,0)</f>
        <v>1348</v>
      </c>
      <c r="AB241" s="304">
        <f ca="1" t="shared" si="39"/>
        <v>1226</v>
      </c>
      <c r="AC241" s="153">
        <v>11</v>
      </c>
      <c r="AE241" s="153">
        <v>5000</v>
      </c>
      <c r="AF241" s="153" t="str">
        <f ca="1" t="shared" si="40"/>
        <v>10080011|</v>
      </c>
      <c r="AH241" s="153">
        <v>2</v>
      </c>
      <c r="AJ241" s="205" t="str">
        <f ca="1" t="shared" si="41"/>
        <v>400023|17850|;</v>
      </c>
      <c r="AK241" s="205">
        <f ca="1">OFFSET([1]item_type!$A$1,MATCH(Q241,[1]item_type!$G:$G,0)-1,0)</f>
        <v>301008</v>
      </c>
      <c r="AL241" s="205"/>
      <c r="AM241" s="205">
        <f ca="1">IF(B241=B242,OFFSET(卡牌辅助配置表!$AE$1,MATCH(AB241,卡牌辅助配置表!AB:AB,0),0),0)</f>
        <v>17850</v>
      </c>
      <c r="AN241" s="153">
        <f ca="1" t="shared" si="42"/>
        <v>1008027</v>
      </c>
      <c r="AP241" s="153" t="str">
        <f ca="1">IF(AC241=0,0,IF(AC241=12,0,OFFSET(effect!$N$1,MATCH(K241,effect!M:M,0)-1,0)))</f>
        <v>kpsx_pt</v>
      </c>
    </row>
    <row r="242" spans="1:42">
      <c r="A242" s="153">
        <f ca="1" t="shared" si="33"/>
        <v>1008027</v>
      </c>
      <c r="B242" s="91" t="s">
        <v>447</v>
      </c>
      <c r="C242" s="186">
        <v>1</v>
      </c>
      <c r="D242" s="186">
        <v>4</v>
      </c>
      <c r="E242" s="165" t="s">
        <v>1050</v>
      </c>
      <c r="F242" s="165" t="str">
        <f>"血量低于50%时，获得"&amp;skill!$O$13/100&amp;"%吸血效果"</f>
        <v>血量低于50%时，获得40%吸血效果</v>
      </c>
      <c r="G242" s="186">
        <f ca="1">OFFSET(卡牌辅助配置表!$C$1,MATCH(AC242,卡牌辅助配置表!A:A,0)-1,0)</f>
        <v>6</v>
      </c>
      <c r="H242" s="186">
        <f ca="1" t="shared" si="43"/>
        <v>0</v>
      </c>
      <c r="I242" s="186"/>
      <c r="J242" s="186">
        <f ca="1">OFFSET(card_type!$F$1,MATCH(Q242,card_type!A:A,0)-1,0)</f>
        <v>1</v>
      </c>
      <c r="K242" s="243">
        <f ca="1">OFFSET(card_type!$G$1,MATCH(Q242,card_type!A:A,0)-1,0)</f>
        <v>2</v>
      </c>
      <c r="L242" s="157">
        <v>2</v>
      </c>
      <c r="M242" s="157">
        <v>2</v>
      </c>
      <c r="N242" s="153">
        <f t="shared" si="34"/>
        <v>27</v>
      </c>
      <c r="O242" s="157"/>
      <c r="P242" s="157"/>
      <c r="Q242" s="153">
        <f ca="1">OFFSET(card_type!$A$1,MATCH(card!B242,card_type!B:B,0)-1,0)</f>
        <v>1008</v>
      </c>
      <c r="R242" s="153">
        <v>1</v>
      </c>
      <c r="S242" s="157">
        <f ca="1">ROUND(IF(R242=0,0,IF(R242=1,X242*$S$1,IF(R242=2,X242*$S$1*buff的资质计算!$E$2,IF(R242=3,X242*$S$1*buff的资质计算!$E$3,0)))),0)*0</f>
        <v>0</v>
      </c>
      <c r="T242" s="153">
        <v>1</v>
      </c>
      <c r="U242" s="153">
        <f ca="1" t="shared" si="35"/>
        <v>12</v>
      </c>
      <c r="V242" s="153">
        <f ca="1">ROUND((OFFSET(卡牌辅助配置表!$O$1,MATCH(U242,卡牌辅助配置表!M:M,0)-1,0)+(N242-1)*OFFSET(卡牌辅助配置表!$P$1,MATCH(U242,卡牌辅助配置表!M:M,0)-1,0))*M242,2)</f>
        <v>35.47</v>
      </c>
      <c r="W242" s="157">
        <f ca="1">ROUND(IF(R242=0,0,IF(R242=1,X242*$W$1,IF(R242=2,X242*$W$1*buff的资质计算!$E$2,IF(R242=3,X242*$W$1*buff的资质计算!$E$3,0)))),2)</f>
        <v>11.1</v>
      </c>
      <c r="X242" s="157">
        <f ca="1" t="shared" si="36"/>
        <v>37</v>
      </c>
      <c r="Y242" s="157">
        <f ca="1" t="shared" si="37"/>
        <v>37</v>
      </c>
      <c r="Z242" s="304">
        <f ca="1" t="shared" si="38"/>
        <v>18.5</v>
      </c>
      <c r="AA242" s="304">
        <f ca="1">OFFSET(卡牌辅助配置表!$AD$1,MATCH(AB242,卡牌辅助配置表!AB:AB,0)-1,0)</f>
        <v>1421</v>
      </c>
      <c r="AB242" s="304">
        <f ca="1" t="shared" si="39"/>
        <v>1227</v>
      </c>
      <c r="AC242" s="153">
        <v>11</v>
      </c>
      <c r="AE242" s="153">
        <v>5000</v>
      </c>
      <c r="AF242" s="153" t="str">
        <f ca="1" t="shared" si="40"/>
        <v>10080011|</v>
      </c>
      <c r="AH242" s="153">
        <v>2</v>
      </c>
      <c r="AJ242" s="205" t="str">
        <f ca="1" t="shared" si="41"/>
        <v>400023|19050|;</v>
      </c>
      <c r="AK242" s="205">
        <f ca="1">OFFSET([1]item_type!$A$1,MATCH(Q242,[1]item_type!$G:$G,0)-1,0)</f>
        <v>301008</v>
      </c>
      <c r="AL242" s="205"/>
      <c r="AM242" s="205">
        <f ca="1">IF(B242=B243,OFFSET(卡牌辅助配置表!$AE$1,MATCH(AB242,卡牌辅助配置表!AB:AB,0),0),0)</f>
        <v>19050</v>
      </c>
      <c r="AN242" s="153">
        <f ca="1" t="shared" si="42"/>
        <v>1008028</v>
      </c>
      <c r="AP242" s="153" t="str">
        <f ca="1">IF(AC242=0,0,IF(AC242=12,0,OFFSET(effect!$N$1,MATCH(K242,effect!M:M,0)-1,0)))</f>
        <v>kpsx_pt</v>
      </c>
    </row>
    <row r="243" spans="1:42">
      <c r="A243" s="153">
        <f ca="1" t="shared" si="33"/>
        <v>1008028</v>
      </c>
      <c r="B243" s="91" t="s">
        <v>447</v>
      </c>
      <c r="C243" s="186">
        <v>1</v>
      </c>
      <c r="D243" s="186">
        <v>4</v>
      </c>
      <c r="E243" s="165" t="s">
        <v>1050</v>
      </c>
      <c r="F243" s="165" t="str">
        <f>"血量低于50%时，获得"&amp;skill!$O$13/100&amp;"%吸血效果"</f>
        <v>血量低于50%时，获得40%吸血效果</v>
      </c>
      <c r="G243" s="186">
        <f ca="1">OFFSET(卡牌辅助配置表!$C$1,MATCH(AC243,卡牌辅助配置表!A:A,0)-1,0)</f>
        <v>6</v>
      </c>
      <c r="H243" s="186">
        <f ca="1" t="shared" si="43"/>
        <v>0</v>
      </c>
      <c r="I243" s="186"/>
      <c r="J243" s="186">
        <f ca="1">OFFSET(card_type!$F$1,MATCH(Q243,card_type!A:A,0)-1,0)</f>
        <v>1</v>
      </c>
      <c r="K243" s="243">
        <f ca="1">OFFSET(card_type!$G$1,MATCH(Q243,card_type!A:A,0)-1,0)</f>
        <v>2</v>
      </c>
      <c r="L243" s="157">
        <v>2</v>
      </c>
      <c r="M243" s="157">
        <v>2</v>
      </c>
      <c r="N243" s="153">
        <f t="shared" si="34"/>
        <v>28</v>
      </c>
      <c r="O243" s="157"/>
      <c r="P243" s="157"/>
      <c r="Q243" s="153">
        <f ca="1">OFFSET(card_type!$A$1,MATCH(card!B243,card_type!B:B,0)-1,0)</f>
        <v>1008</v>
      </c>
      <c r="R243" s="153">
        <v>1</v>
      </c>
      <c r="S243" s="157">
        <f ca="1">ROUND(IF(R243=0,0,IF(R243=1,X243*$S$1,IF(R243=2,X243*$S$1*buff的资质计算!$E$2,IF(R243=3,X243*$S$1*buff的资质计算!$E$3,0)))),0)*0</f>
        <v>0</v>
      </c>
      <c r="T243" s="153">
        <v>1</v>
      </c>
      <c r="U243" s="153">
        <f ca="1" t="shared" si="35"/>
        <v>12</v>
      </c>
      <c r="V243" s="153">
        <f ca="1">ROUND((OFFSET(卡牌辅助配置表!$O$1,MATCH(U243,卡牌辅助配置表!M:M,0)-1,0)+(N243-1)*OFFSET(卡牌辅助配置表!$P$1,MATCH(U243,卡牌辅助配置表!M:M,0)-1,0))*M243,2)</f>
        <v>36.1</v>
      </c>
      <c r="W243" s="157">
        <f ca="1">ROUND(IF(R243=0,0,IF(R243=1,X243*$W$1,IF(R243=2,X243*$W$1*buff的资质计算!$E$2,IF(R243=3,X243*$W$1*buff的资质计算!$E$3,0)))),2)</f>
        <v>11.25</v>
      </c>
      <c r="X243" s="157">
        <f ca="1" t="shared" si="36"/>
        <v>37.5</v>
      </c>
      <c r="Y243" s="157">
        <f ca="1" t="shared" si="37"/>
        <v>37.5</v>
      </c>
      <c r="Z243" s="304">
        <f ca="1" t="shared" si="38"/>
        <v>18.75</v>
      </c>
      <c r="AA243" s="304">
        <f ca="1">OFFSET(卡牌辅助配置表!$AD$1,MATCH(AB243,卡牌辅助配置表!AB:AB,0)-1,0)</f>
        <v>1494</v>
      </c>
      <c r="AB243" s="304">
        <f ca="1" t="shared" si="39"/>
        <v>1228</v>
      </c>
      <c r="AC243" s="153">
        <v>11</v>
      </c>
      <c r="AE243" s="153">
        <v>5000</v>
      </c>
      <c r="AF243" s="153" t="str">
        <f ca="1" t="shared" si="40"/>
        <v>10080011|</v>
      </c>
      <c r="AH243" s="153">
        <v>2</v>
      </c>
      <c r="AJ243" s="205" t="str">
        <f ca="1" t="shared" si="41"/>
        <v>400023|20250|;</v>
      </c>
      <c r="AK243" s="205">
        <f ca="1">OFFSET([1]item_type!$A$1,MATCH(Q243,[1]item_type!$G:$G,0)-1,0)</f>
        <v>301008</v>
      </c>
      <c r="AL243" s="205"/>
      <c r="AM243" s="205">
        <f ca="1">IF(B243=B244,OFFSET(卡牌辅助配置表!$AE$1,MATCH(AB243,卡牌辅助配置表!AB:AB,0),0),0)</f>
        <v>20250</v>
      </c>
      <c r="AN243" s="153">
        <f ca="1" t="shared" si="42"/>
        <v>1008029</v>
      </c>
      <c r="AP243" s="153" t="str">
        <f ca="1">IF(AC243=0,0,IF(AC243=12,0,OFFSET(effect!$N$1,MATCH(K243,effect!M:M,0)-1,0)))</f>
        <v>kpsx_pt</v>
      </c>
    </row>
    <row r="244" spans="1:42">
      <c r="A244" s="153">
        <f ca="1" t="shared" si="33"/>
        <v>1008029</v>
      </c>
      <c r="B244" s="91" t="s">
        <v>447</v>
      </c>
      <c r="C244" s="186">
        <v>1</v>
      </c>
      <c r="D244" s="186">
        <v>4</v>
      </c>
      <c r="E244" s="165" t="s">
        <v>1050</v>
      </c>
      <c r="F244" s="165" t="str">
        <f>"血量低于50%时，获得"&amp;skill!$O$13/100&amp;"%吸血效果"</f>
        <v>血量低于50%时，获得40%吸血效果</v>
      </c>
      <c r="G244" s="186">
        <f ca="1">OFFSET(卡牌辅助配置表!$C$1,MATCH(AC244,卡牌辅助配置表!A:A,0)-1,0)</f>
        <v>6</v>
      </c>
      <c r="H244" s="186">
        <f ca="1" t="shared" si="43"/>
        <v>0</v>
      </c>
      <c r="I244" s="186"/>
      <c r="J244" s="186">
        <f ca="1">OFFSET(card_type!$F$1,MATCH(Q244,card_type!A:A,0)-1,0)</f>
        <v>1</v>
      </c>
      <c r="K244" s="243">
        <f ca="1">OFFSET(card_type!$G$1,MATCH(Q244,card_type!A:A,0)-1,0)</f>
        <v>2</v>
      </c>
      <c r="L244" s="157">
        <v>2</v>
      </c>
      <c r="M244" s="157">
        <v>2</v>
      </c>
      <c r="N244" s="153">
        <f t="shared" si="34"/>
        <v>29</v>
      </c>
      <c r="O244" s="157"/>
      <c r="P244" s="157"/>
      <c r="Q244" s="153">
        <f ca="1">OFFSET(card_type!$A$1,MATCH(card!B244,card_type!B:B,0)-1,0)</f>
        <v>1008</v>
      </c>
      <c r="R244" s="153">
        <v>1</v>
      </c>
      <c r="S244" s="157">
        <f ca="1">ROUND(IF(R244=0,0,IF(R244=1,X244*$S$1,IF(R244=2,X244*$S$1*buff的资质计算!$E$2,IF(R244=3,X244*$S$1*buff的资质计算!$E$3,0)))),0)*0</f>
        <v>0</v>
      </c>
      <c r="T244" s="153">
        <v>1</v>
      </c>
      <c r="U244" s="153">
        <f ca="1" t="shared" si="35"/>
        <v>12</v>
      </c>
      <c r="V244" s="153">
        <f ca="1">ROUND((OFFSET(卡牌辅助配置表!$O$1,MATCH(U244,卡牌辅助配置表!M:M,0)-1,0)+(N244-1)*OFFSET(卡牌辅助配置表!$P$1,MATCH(U244,卡牌辅助配置表!M:M,0)-1,0))*M244,2)</f>
        <v>36.73</v>
      </c>
      <c r="W244" s="157">
        <f ca="1">ROUND(IF(R244=0,0,IF(R244=1,X244*$W$1,IF(R244=2,X244*$W$1*buff的资质计算!$E$2,IF(R244=3,X244*$W$1*buff的资质计算!$E$3,0)))),2)</f>
        <v>11.4</v>
      </c>
      <c r="X244" s="157">
        <f ca="1" t="shared" si="36"/>
        <v>38</v>
      </c>
      <c r="Y244" s="157">
        <f ca="1" t="shared" si="37"/>
        <v>38</v>
      </c>
      <c r="Z244" s="304">
        <f ca="1" t="shared" si="38"/>
        <v>19</v>
      </c>
      <c r="AA244" s="304">
        <f ca="1">OFFSET(卡牌辅助配置表!$AD$1,MATCH(AB244,卡牌辅助配置表!AB:AB,0)-1,0)</f>
        <v>1567</v>
      </c>
      <c r="AB244" s="304">
        <f ca="1" t="shared" si="39"/>
        <v>1229</v>
      </c>
      <c r="AC244" s="153">
        <v>11</v>
      </c>
      <c r="AE244" s="153">
        <v>5000</v>
      </c>
      <c r="AF244" s="153" t="str">
        <f ca="1" t="shared" si="40"/>
        <v>10080011|</v>
      </c>
      <c r="AH244" s="153">
        <v>2</v>
      </c>
      <c r="AJ244" s="205" t="str">
        <f ca="1" t="shared" si="41"/>
        <v>301008|30|;400023|21450|;</v>
      </c>
      <c r="AK244" s="205">
        <f ca="1">OFFSET([1]item_type!$A$1,MATCH(Q244,[1]item_type!$G:$G,0)-1,0)</f>
        <v>301008</v>
      </c>
      <c r="AL244" s="205">
        <v>30</v>
      </c>
      <c r="AM244" s="205">
        <f ca="1">IF(B244=B245,OFFSET(卡牌辅助配置表!$AE$1,MATCH(AB244,卡牌辅助配置表!AB:AB,0),0),0)</f>
        <v>21450</v>
      </c>
      <c r="AN244" s="153">
        <f ca="1" t="shared" si="42"/>
        <v>1008030</v>
      </c>
      <c r="AP244" s="153" t="str">
        <f ca="1">IF(AC244=0,0,IF(AC244=12,0,OFFSET(effect!$N$1,MATCH(K244,effect!M:M,0)-1,0)))</f>
        <v>kpsx_pt</v>
      </c>
    </row>
    <row r="245" spans="1:42">
      <c r="A245" s="153">
        <f ca="1" t="shared" si="33"/>
        <v>1008030</v>
      </c>
      <c r="B245" s="91" t="s">
        <v>447</v>
      </c>
      <c r="C245" s="186">
        <v>1</v>
      </c>
      <c r="D245" s="186">
        <v>4</v>
      </c>
      <c r="E245" s="165" t="s">
        <v>1050</v>
      </c>
      <c r="F245" s="165" t="str">
        <f>"血量低于50%时，获得"&amp;skill!$O$13/100&amp;"%吸血效果"</f>
        <v>血量低于50%时，获得40%吸血效果</v>
      </c>
      <c r="G245" s="186">
        <f ca="1">OFFSET(卡牌辅助配置表!$C$1,MATCH(AC245,卡牌辅助配置表!A:A,0)-1,0)</f>
        <v>6</v>
      </c>
      <c r="H245" s="186">
        <f ca="1" t="shared" si="43"/>
        <v>0</v>
      </c>
      <c r="I245" s="186"/>
      <c r="J245" s="186">
        <f ca="1">OFFSET(card_type!$F$1,MATCH(Q245,card_type!A:A,0)-1,0)</f>
        <v>1</v>
      </c>
      <c r="K245" s="243">
        <f ca="1">OFFSET(card_type!$G$1,MATCH(Q245,card_type!A:A,0)-1,0)</f>
        <v>2</v>
      </c>
      <c r="L245" s="157">
        <v>2</v>
      </c>
      <c r="M245" s="157">
        <v>2</v>
      </c>
      <c r="N245" s="153">
        <f t="shared" si="34"/>
        <v>30</v>
      </c>
      <c r="O245" s="157"/>
      <c r="P245" s="157"/>
      <c r="Q245" s="153">
        <f ca="1">OFFSET(card_type!$A$1,MATCH(card!B245,card_type!B:B,0)-1,0)</f>
        <v>1008</v>
      </c>
      <c r="R245" s="153">
        <v>1</v>
      </c>
      <c r="S245" s="157">
        <f ca="1">ROUND(IF(R245=0,0,IF(R245=1,X245*$S$1,IF(R245=2,X245*$S$1*buff的资质计算!$E$2,IF(R245=3,X245*$S$1*buff的资质计算!$E$3,0)))),0)*0</f>
        <v>0</v>
      </c>
      <c r="T245" s="153">
        <v>1</v>
      </c>
      <c r="U245" s="153">
        <f ca="1" t="shared" si="35"/>
        <v>12</v>
      </c>
      <c r="V245" s="153">
        <f ca="1">ROUND((OFFSET(卡牌辅助配置表!$O$1,MATCH(U245,卡牌辅助配置表!M:M,0)-1,0)+(N245-1)*OFFSET(卡牌辅助配置表!$P$1,MATCH(U245,卡牌辅助配置表!M:M,0)-1,0))*M245,2)</f>
        <v>37.37</v>
      </c>
      <c r="W245" s="157">
        <f ca="1">ROUND(IF(R245=0,0,IF(R245=1,X245*$W$1,IF(R245=2,X245*$W$1*buff的资质计算!$E$2,IF(R245=3,X245*$W$1*buff的资质计算!$E$3,0)))),2)</f>
        <v>11.55</v>
      </c>
      <c r="X245" s="157">
        <f ca="1" t="shared" si="36"/>
        <v>38.5</v>
      </c>
      <c r="Y245" s="157">
        <f ca="1" t="shared" si="37"/>
        <v>38.5</v>
      </c>
      <c r="Z245" s="304">
        <f ca="1" t="shared" si="38"/>
        <v>19.25</v>
      </c>
      <c r="AA245" s="304">
        <f ca="1">OFFSET(卡牌辅助配置表!$AD$1,MATCH(AB245,卡牌辅助配置表!AB:AB,0)-1,0)</f>
        <v>1640</v>
      </c>
      <c r="AB245" s="304">
        <f ca="1" t="shared" si="39"/>
        <v>1230</v>
      </c>
      <c r="AC245" s="153">
        <v>11</v>
      </c>
      <c r="AE245" s="153">
        <v>5000</v>
      </c>
      <c r="AF245" s="153" t="str">
        <f ca="1" t="shared" si="40"/>
        <v>10080011|</v>
      </c>
      <c r="AH245" s="153">
        <v>2</v>
      </c>
      <c r="AJ245" s="205">
        <f ca="1" t="shared" si="41"/>
        <v>0</v>
      </c>
      <c r="AK245" s="205">
        <f ca="1">OFFSET([1]item_type!$A$1,MATCH(Q245,[1]item_type!$G:$G,0)-1,0)</f>
        <v>301008</v>
      </c>
      <c r="AL245" s="205"/>
      <c r="AM245" s="205">
        <f ca="1">IF(B245=B246,OFFSET(卡牌辅助配置表!$AE$1,MATCH(AB245,卡牌辅助配置表!AB:AB,0),0),0)</f>
        <v>0</v>
      </c>
      <c r="AN245" s="153">
        <f ca="1" t="shared" si="42"/>
        <v>0</v>
      </c>
      <c r="AP245" s="153" t="str">
        <f ca="1">IF(AC245=0,0,IF(AC245=12,0,OFFSET(effect!$N$1,MATCH(K245,effect!M:M,0)-1,0)))</f>
        <v>kpsx_pt</v>
      </c>
    </row>
    <row r="246" spans="1:42">
      <c r="A246" s="153">
        <f ca="1" t="shared" si="33"/>
        <v>1009001</v>
      </c>
      <c r="B246" s="91" t="s">
        <v>619</v>
      </c>
      <c r="C246" s="186">
        <v>1</v>
      </c>
      <c r="D246" s="186">
        <v>4</v>
      </c>
      <c r="E246" s="165" t="s">
        <v>1050</v>
      </c>
      <c r="F246" s="165" t="str">
        <f>"血量低于50%时，伤害增加"&amp;skill!$O$14/100&amp;"%"</f>
        <v>血量低于50%时，伤害增加30%</v>
      </c>
      <c r="G246" s="186">
        <f ca="1">OFFSET(卡牌辅助配置表!$C$1,MATCH(AC246,卡牌辅助配置表!A:A,0)-1,0)</f>
        <v>6</v>
      </c>
      <c r="H246" s="186">
        <f ca="1">OFFSET(skill!$Q$1,MATCH(B246,skill!B:B,0)-1,0)</f>
        <v>0.461538461538462</v>
      </c>
      <c r="I246" s="186"/>
      <c r="J246" s="186">
        <f ca="1">OFFSET(card_type!$F$1,MATCH(Q246,card_type!A:A,0)-1,0)</f>
        <v>1</v>
      </c>
      <c r="K246" s="243">
        <f ca="1">OFFSET(card_type!$G$1,MATCH(Q246,card_type!A:A,0)-1,0)</f>
        <v>1</v>
      </c>
      <c r="L246" s="157">
        <v>2</v>
      </c>
      <c r="M246" s="157">
        <v>2</v>
      </c>
      <c r="N246" s="153">
        <f t="shared" si="34"/>
        <v>1</v>
      </c>
      <c r="O246" s="157"/>
      <c r="P246" s="157"/>
      <c r="Q246" s="153">
        <f ca="1">OFFSET(card_type!$A$1,MATCH(card!B246,card_type!B:B,0)-1,0)</f>
        <v>1009</v>
      </c>
      <c r="R246" s="153">
        <v>1</v>
      </c>
      <c r="S246" s="157">
        <f ca="1">ROUND(IF(R246=0,0,IF(R246=1,X246*$S$1,IF(R246=2,X246*$S$1*buff的资质计算!$E$2,IF(R246=3,X246*$S$1*buff的资质计算!$E$3,0)))),0)*0</f>
        <v>0</v>
      </c>
      <c r="T246" s="153">
        <v>1</v>
      </c>
      <c r="U246" s="153">
        <f ca="1" t="shared" si="35"/>
        <v>11</v>
      </c>
      <c r="V246" s="153">
        <f ca="1">ROUND((OFFSET(卡牌辅助配置表!$O$1,MATCH(U246,卡牌辅助配置表!M:M,0)-1,0)+(N246-1)*OFFSET(卡牌辅助配置表!$P$1,MATCH(U246,卡牌辅助配置表!M:M,0)-1,0))*M246,2)</f>
        <v>12.54</v>
      </c>
      <c r="W246" s="157">
        <f ca="1">ROUND(IF(R246=0,0,IF(R246=1,X246*$W$1,IF(R246=2,X246*$W$1*buff的资质计算!$E$2,IF(R246=3,X246*$W$1*buff的资质计算!$E$3,0)))),2)</f>
        <v>4.8</v>
      </c>
      <c r="X246" s="157">
        <f ca="1" t="shared" si="36"/>
        <v>16</v>
      </c>
      <c r="Y246" s="157">
        <f ca="1" t="shared" si="37"/>
        <v>16.4615384615385</v>
      </c>
      <c r="Z246" s="304">
        <f ca="1" t="shared" si="38"/>
        <v>8.23076923076923</v>
      </c>
      <c r="AA246" s="304">
        <f ca="1">OFFSET(卡牌辅助配置表!$AD$1,MATCH(AB246,卡牌辅助配置表!AB:AB,0)-1,0)</f>
        <v>18</v>
      </c>
      <c r="AB246" s="304">
        <f ca="1" t="shared" si="39"/>
        <v>1101</v>
      </c>
      <c r="AC246" s="153">
        <v>11</v>
      </c>
      <c r="AE246" s="153">
        <v>5000</v>
      </c>
      <c r="AF246" s="153" t="str">
        <f ca="1" t="shared" si="40"/>
        <v>10090011|</v>
      </c>
      <c r="AJ246" s="205" t="str">
        <f ca="1" t="shared" si="41"/>
        <v>400023|700|;</v>
      </c>
      <c r="AK246" s="205">
        <f ca="1">OFFSET([1]item_type!$A$1,MATCH(Q246,[1]item_type!$G:$G,0)-1,0)</f>
        <v>301009</v>
      </c>
      <c r="AL246" s="205"/>
      <c r="AM246" s="205">
        <f ca="1">IF(B246=B247,OFFSET(卡牌辅助配置表!$AE$1,MATCH(AB246,卡牌辅助配置表!AB:AB,0),0),0)</f>
        <v>700</v>
      </c>
      <c r="AN246" s="153">
        <f ca="1" t="shared" si="42"/>
        <v>1009002</v>
      </c>
      <c r="AP246" s="153" t="str">
        <f ca="1">IF(AC246=0,0,IF(AC246=12,0,OFFSET(effect!$N$1,MATCH(K246,effect!M:M,0)-1,0)))</f>
        <v>kpsx_pt</v>
      </c>
    </row>
    <row r="247" spans="1:42">
      <c r="A247" s="153">
        <f ca="1" t="shared" si="33"/>
        <v>1009002</v>
      </c>
      <c r="B247" s="91" t="s">
        <v>619</v>
      </c>
      <c r="C247" s="186">
        <v>1</v>
      </c>
      <c r="D247" s="186">
        <v>4</v>
      </c>
      <c r="E247" s="165" t="s">
        <v>1050</v>
      </c>
      <c r="F247" s="165" t="str">
        <f>"血量低于50%时，伤害增加"&amp;skill!$O$14/100&amp;"%"</f>
        <v>血量低于50%时，伤害增加30%</v>
      </c>
      <c r="G247" s="186">
        <f ca="1">OFFSET(卡牌辅助配置表!$C$1,MATCH(AC247,卡牌辅助配置表!A:A,0)-1,0)</f>
        <v>6</v>
      </c>
      <c r="H247" s="186">
        <f ca="1">OFFSET(skill!$Q$1,MATCH(B247,skill!B:B,0)-1,0)</f>
        <v>0.461538461538462</v>
      </c>
      <c r="I247" s="186"/>
      <c r="J247" s="186">
        <f ca="1">OFFSET(card_type!$F$1,MATCH(Q247,card_type!A:A,0)-1,0)</f>
        <v>1</v>
      </c>
      <c r="K247" s="243">
        <f ca="1">OFFSET(card_type!$G$1,MATCH(Q247,card_type!A:A,0)-1,0)</f>
        <v>1</v>
      </c>
      <c r="L247" s="157">
        <v>2</v>
      </c>
      <c r="M247" s="157">
        <v>2</v>
      </c>
      <c r="N247" s="153">
        <f t="shared" si="34"/>
        <v>2</v>
      </c>
      <c r="O247" s="157"/>
      <c r="P247" s="157"/>
      <c r="Q247" s="153">
        <f ca="1">OFFSET(card_type!$A$1,MATCH(card!B247,card_type!B:B,0)-1,0)</f>
        <v>1009</v>
      </c>
      <c r="R247" s="153">
        <v>1</v>
      </c>
      <c r="S247" s="157">
        <f ca="1">ROUND(IF(R247=0,0,IF(R247=1,X247*$S$1,IF(R247=2,X247*$S$1*buff的资质计算!$E$2,IF(R247=3,X247*$S$1*buff的资质计算!$E$3,0)))),0)*0</f>
        <v>0</v>
      </c>
      <c r="T247" s="153">
        <v>1</v>
      </c>
      <c r="U247" s="153">
        <f ca="1" t="shared" si="35"/>
        <v>11</v>
      </c>
      <c r="V247" s="153">
        <f ca="1">ROUND((OFFSET(卡牌辅助配置表!$O$1,MATCH(U247,卡牌辅助配置表!M:M,0)-1,0)+(N247-1)*OFFSET(卡牌辅助配置表!$P$1,MATCH(U247,卡牌辅助配置表!M:M,0)-1,0))*M247,2)</f>
        <v>12.96</v>
      </c>
      <c r="W247" s="157">
        <f ca="1">ROUND(IF(R247=0,0,IF(R247=1,X247*$W$1,IF(R247=2,X247*$W$1*buff的资质计算!$E$2,IF(R247=3,X247*$W$1*buff的资质计算!$E$3,0)))),2)</f>
        <v>4.95</v>
      </c>
      <c r="X247" s="157">
        <f ca="1" t="shared" si="36"/>
        <v>16.5</v>
      </c>
      <c r="Y247" s="157">
        <f ca="1" t="shared" si="37"/>
        <v>16.9615384615385</v>
      </c>
      <c r="Z247" s="304">
        <f ca="1" t="shared" si="38"/>
        <v>8.48076923076923</v>
      </c>
      <c r="AA247" s="304">
        <f ca="1">OFFSET(卡牌辅助配置表!$AD$1,MATCH(AB247,卡牌辅助配置表!AB:AB,0)-1,0)</f>
        <v>36</v>
      </c>
      <c r="AB247" s="304">
        <f ca="1" t="shared" si="39"/>
        <v>1102</v>
      </c>
      <c r="AC247" s="153">
        <v>11</v>
      </c>
      <c r="AE247" s="153">
        <v>5000</v>
      </c>
      <c r="AF247" s="153" t="str">
        <f ca="1" t="shared" si="40"/>
        <v>10090011|</v>
      </c>
      <c r="AJ247" s="205" t="str">
        <f ca="1" t="shared" si="41"/>
        <v>400023|900|;</v>
      </c>
      <c r="AK247" s="205">
        <f ca="1">OFFSET([1]item_type!$A$1,MATCH(Q247,[1]item_type!$G:$G,0)-1,0)</f>
        <v>301009</v>
      </c>
      <c r="AL247" s="205"/>
      <c r="AM247" s="205">
        <f ca="1">IF(B247=B248,OFFSET(卡牌辅助配置表!$AE$1,MATCH(AB247,卡牌辅助配置表!AB:AB,0),0),0)</f>
        <v>900</v>
      </c>
      <c r="AN247" s="153">
        <f ca="1" t="shared" si="42"/>
        <v>1009003</v>
      </c>
      <c r="AP247" s="153" t="str">
        <f ca="1">IF(AC247=0,0,IF(AC247=12,0,OFFSET(effect!$N$1,MATCH(K247,effect!M:M,0)-1,0)))</f>
        <v>kpsx_pt</v>
      </c>
    </row>
    <row r="248" spans="1:42">
      <c r="A248" s="153">
        <f ca="1" t="shared" si="33"/>
        <v>1009003</v>
      </c>
      <c r="B248" s="91" t="s">
        <v>619</v>
      </c>
      <c r="C248" s="186">
        <v>1</v>
      </c>
      <c r="D248" s="186">
        <v>4</v>
      </c>
      <c r="E248" s="165" t="s">
        <v>1050</v>
      </c>
      <c r="F248" s="165" t="str">
        <f>"血量低于50%时，伤害增加"&amp;skill!$O$14/100&amp;"%"</f>
        <v>血量低于50%时，伤害增加30%</v>
      </c>
      <c r="G248" s="186">
        <f ca="1">OFFSET(卡牌辅助配置表!$C$1,MATCH(AC248,卡牌辅助配置表!A:A,0)-1,0)</f>
        <v>6</v>
      </c>
      <c r="H248" s="186">
        <f ca="1">OFFSET(skill!$Q$1,MATCH(B248,skill!B:B,0)-1,0)</f>
        <v>0.461538461538462</v>
      </c>
      <c r="I248" s="186"/>
      <c r="J248" s="186">
        <f ca="1">OFFSET(card_type!$F$1,MATCH(Q248,card_type!A:A,0)-1,0)</f>
        <v>1</v>
      </c>
      <c r="K248" s="243">
        <f ca="1">OFFSET(card_type!$G$1,MATCH(Q248,card_type!A:A,0)-1,0)</f>
        <v>1</v>
      </c>
      <c r="L248" s="157">
        <v>2</v>
      </c>
      <c r="M248" s="157">
        <v>2</v>
      </c>
      <c r="N248" s="153">
        <f t="shared" si="34"/>
        <v>3</v>
      </c>
      <c r="O248" s="157"/>
      <c r="P248" s="157"/>
      <c r="Q248" s="153">
        <f ca="1">OFFSET(card_type!$A$1,MATCH(card!B248,card_type!B:B,0)-1,0)</f>
        <v>1009</v>
      </c>
      <c r="R248" s="153">
        <v>1</v>
      </c>
      <c r="S248" s="157">
        <f ca="1">ROUND(IF(R248=0,0,IF(R248=1,X248*$S$1,IF(R248=2,X248*$S$1*buff的资质计算!$E$2,IF(R248=3,X248*$S$1*buff的资质计算!$E$3,0)))),0)*0</f>
        <v>0</v>
      </c>
      <c r="T248" s="153">
        <v>1</v>
      </c>
      <c r="U248" s="153">
        <f ca="1" t="shared" si="35"/>
        <v>11</v>
      </c>
      <c r="V248" s="153">
        <f ca="1">ROUND((OFFSET(卡牌辅助配置表!$O$1,MATCH(U248,卡牌辅助配置表!M:M,0)-1,0)+(N248-1)*OFFSET(卡牌辅助配置表!$P$1,MATCH(U248,卡牌辅助配置表!M:M,0)-1,0))*M248,2)</f>
        <v>13.38</v>
      </c>
      <c r="W248" s="157">
        <f ca="1">ROUND(IF(R248=0,0,IF(R248=1,X248*$W$1,IF(R248=2,X248*$W$1*buff的资质计算!$E$2,IF(R248=3,X248*$W$1*buff的资质计算!$E$3,0)))),2)</f>
        <v>5.1</v>
      </c>
      <c r="X248" s="157">
        <f ca="1" t="shared" si="36"/>
        <v>17</v>
      </c>
      <c r="Y248" s="157">
        <f ca="1" t="shared" si="37"/>
        <v>17.4615384615385</v>
      </c>
      <c r="Z248" s="304">
        <f ca="1" t="shared" si="38"/>
        <v>8.73076923076923</v>
      </c>
      <c r="AA248" s="304">
        <f ca="1">OFFSET(卡牌辅助配置表!$AD$1,MATCH(AB248,卡牌辅助配置表!AB:AB,0)-1,0)</f>
        <v>54</v>
      </c>
      <c r="AB248" s="304">
        <f ca="1" t="shared" si="39"/>
        <v>1103</v>
      </c>
      <c r="AC248" s="153">
        <v>11</v>
      </c>
      <c r="AE248" s="153">
        <v>5000</v>
      </c>
      <c r="AF248" s="153" t="str">
        <f ca="1" t="shared" si="40"/>
        <v>10090011|</v>
      </c>
      <c r="AJ248" s="205" t="str">
        <f ca="1" t="shared" si="41"/>
        <v>400023|1100|;</v>
      </c>
      <c r="AK248" s="205">
        <f ca="1">OFFSET([1]item_type!$A$1,MATCH(Q248,[1]item_type!$G:$G,0)-1,0)</f>
        <v>301009</v>
      </c>
      <c r="AL248" s="205"/>
      <c r="AM248" s="205">
        <f ca="1">IF(B248=B249,OFFSET(卡牌辅助配置表!$AE$1,MATCH(AB248,卡牌辅助配置表!AB:AB,0),0),0)</f>
        <v>1100</v>
      </c>
      <c r="AN248" s="153">
        <f ca="1" t="shared" si="42"/>
        <v>1009004</v>
      </c>
      <c r="AP248" s="153" t="str">
        <f ca="1">IF(AC248=0,0,IF(AC248=12,0,OFFSET(effect!$N$1,MATCH(K248,effect!M:M,0)-1,0)))</f>
        <v>kpsx_pt</v>
      </c>
    </row>
    <row r="249" spans="1:42">
      <c r="A249" s="153">
        <f ca="1" t="shared" si="33"/>
        <v>1009004</v>
      </c>
      <c r="B249" s="91" t="s">
        <v>619</v>
      </c>
      <c r="C249" s="186">
        <v>1</v>
      </c>
      <c r="D249" s="186">
        <v>4</v>
      </c>
      <c r="E249" s="165" t="s">
        <v>1050</v>
      </c>
      <c r="F249" s="165" t="str">
        <f>"血量低于50%时，伤害增加"&amp;skill!$O$14/100&amp;"%"</f>
        <v>血量低于50%时，伤害增加30%</v>
      </c>
      <c r="G249" s="186">
        <f ca="1">OFFSET(卡牌辅助配置表!$C$1,MATCH(AC249,卡牌辅助配置表!A:A,0)-1,0)</f>
        <v>6</v>
      </c>
      <c r="H249" s="186">
        <f ca="1">OFFSET(skill!$Q$1,MATCH(B249,skill!B:B,0)-1,0)</f>
        <v>0.461538461538462</v>
      </c>
      <c r="I249" s="186"/>
      <c r="J249" s="186">
        <f ca="1">OFFSET(card_type!$F$1,MATCH(Q249,card_type!A:A,0)-1,0)</f>
        <v>1</v>
      </c>
      <c r="K249" s="243">
        <f ca="1">OFFSET(card_type!$G$1,MATCH(Q249,card_type!A:A,0)-1,0)</f>
        <v>1</v>
      </c>
      <c r="L249" s="157">
        <v>2</v>
      </c>
      <c r="M249" s="157">
        <v>2</v>
      </c>
      <c r="N249" s="153">
        <f t="shared" si="34"/>
        <v>4</v>
      </c>
      <c r="O249" s="157"/>
      <c r="P249" s="157"/>
      <c r="Q249" s="153">
        <f ca="1">OFFSET(card_type!$A$1,MATCH(card!B249,card_type!B:B,0)-1,0)</f>
        <v>1009</v>
      </c>
      <c r="R249" s="153">
        <v>1</v>
      </c>
      <c r="S249" s="157">
        <f ca="1">ROUND(IF(R249=0,0,IF(R249=1,X249*$S$1,IF(R249=2,X249*$S$1*buff的资质计算!$E$2,IF(R249=3,X249*$S$1*buff的资质计算!$E$3,0)))),0)*0</f>
        <v>0</v>
      </c>
      <c r="T249" s="153">
        <v>1</v>
      </c>
      <c r="U249" s="153">
        <f ca="1" t="shared" si="35"/>
        <v>11</v>
      </c>
      <c r="V249" s="153">
        <f ca="1">ROUND((OFFSET(卡牌辅助配置表!$O$1,MATCH(U249,卡牌辅助配置表!M:M,0)-1,0)+(N249-1)*OFFSET(卡牌辅助配置表!$P$1,MATCH(U249,卡牌辅助配置表!M:M,0)-1,0))*M249,2)</f>
        <v>13.79</v>
      </c>
      <c r="W249" s="157">
        <f ca="1">ROUND(IF(R249=0,0,IF(R249=1,X249*$W$1,IF(R249=2,X249*$W$1*buff的资质计算!$E$2,IF(R249=3,X249*$W$1*buff的资质计算!$E$3,0)))),2)</f>
        <v>5.25</v>
      </c>
      <c r="X249" s="157">
        <f ca="1" t="shared" si="36"/>
        <v>17.5</v>
      </c>
      <c r="Y249" s="157">
        <f ca="1" t="shared" si="37"/>
        <v>17.9615384615385</v>
      </c>
      <c r="Z249" s="304">
        <f ca="1" t="shared" si="38"/>
        <v>8.98076923076923</v>
      </c>
      <c r="AA249" s="304">
        <f ca="1">OFFSET(卡牌辅助配置表!$AD$1,MATCH(AB249,卡牌辅助配置表!AB:AB,0)-1,0)</f>
        <v>72</v>
      </c>
      <c r="AB249" s="304">
        <f ca="1" t="shared" si="39"/>
        <v>1104</v>
      </c>
      <c r="AC249" s="153">
        <v>11</v>
      </c>
      <c r="AE249" s="153">
        <v>5000</v>
      </c>
      <c r="AF249" s="153" t="str">
        <f ca="1" t="shared" si="40"/>
        <v>10090011|</v>
      </c>
      <c r="AJ249" s="205" t="str">
        <f ca="1" t="shared" si="41"/>
        <v>400023|1300|;</v>
      </c>
      <c r="AK249" s="205">
        <f ca="1">OFFSET([1]item_type!$A$1,MATCH(Q249,[1]item_type!$G:$G,0)-1,0)</f>
        <v>301009</v>
      </c>
      <c r="AL249" s="205"/>
      <c r="AM249" s="205">
        <f ca="1">IF(B249=B250,OFFSET(卡牌辅助配置表!$AE$1,MATCH(AB249,卡牌辅助配置表!AB:AB,0),0),0)</f>
        <v>1300</v>
      </c>
      <c r="AN249" s="153">
        <f ca="1" t="shared" si="42"/>
        <v>1009005</v>
      </c>
      <c r="AP249" s="153" t="str">
        <f ca="1">IF(AC249=0,0,IF(AC249=12,0,OFFSET(effect!$N$1,MATCH(K249,effect!M:M,0)-1,0)))</f>
        <v>kpsx_pt</v>
      </c>
    </row>
    <row r="250" spans="1:42">
      <c r="A250" s="153">
        <f ca="1" t="shared" si="33"/>
        <v>1009005</v>
      </c>
      <c r="B250" s="91" t="s">
        <v>619</v>
      </c>
      <c r="C250" s="186">
        <v>1</v>
      </c>
      <c r="D250" s="186">
        <v>4</v>
      </c>
      <c r="E250" s="165" t="s">
        <v>1050</v>
      </c>
      <c r="F250" s="165" t="str">
        <f>"血量低于50%时，伤害增加"&amp;skill!$O$14/100&amp;"%"</f>
        <v>血量低于50%时，伤害增加30%</v>
      </c>
      <c r="G250" s="186">
        <f ca="1">OFFSET(卡牌辅助配置表!$C$1,MATCH(AC250,卡牌辅助配置表!A:A,0)-1,0)</f>
        <v>6</v>
      </c>
      <c r="H250" s="186">
        <f ca="1">OFFSET(skill!$Q$1,MATCH(B250,skill!B:B,0)-1,0)</f>
        <v>0.461538461538462</v>
      </c>
      <c r="I250" s="186"/>
      <c r="J250" s="186">
        <f ca="1">OFFSET(card_type!$F$1,MATCH(Q250,card_type!A:A,0)-1,0)</f>
        <v>1</v>
      </c>
      <c r="K250" s="243">
        <f ca="1">OFFSET(card_type!$G$1,MATCH(Q250,card_type!A:A,0)-1,0)</f>
        <v>1</v>
      </c>
      <c r="L250" s="157">
        <v>2</v>
      </c>
      <c r="M250" s="157">
        <v>2</v>
      </c>
      <c r="N250" s="153">
        <f t="shared" si="34"/>
        <v>5</v>
      </c>
      <c r="O250" s="157"/>
      <c r="P250" s="157"/>
      <c r="Q250" s="153">
        <f ca="1">OFFSET(card_type!$A$1,MATCH(card!B250,card_type!B:B,0)-1,0)</f>
        <v>1009</v>
      </c>
      <c r="R250" s="153">
        <v>1</v>
      </c>
      <c r="S250" s="157">
        <f ca="1">ROUND(IF(R250=0,0,IF(R250=1,X250*$S$1,IF(R250=2,X250*$S$1*buff的资质计算!$E$2,IF(R250=3,X250*$S$1*buff的资质计算!$E$3,0)))),0)*0</f>
        <v>0</v>
      </c>
      <c r="T250" s="153">
        <v>1</v>
      </c>
      <c r="U250" s="153">
        <f ca="1" t="shared" si="35"/>
        <v>11</v>
      </c>
      <c r="V250" s="153">
        <f ca="1">ROUND((OFFSET(卡牌辅助配置表!$O$1,MATCH(U250,卡牌辅助配置表!M:M,0)-1,0)+(N250-1)*OFFSET(卡牌辅助配置表!$P$1,MATCH(U250,卡牌辅助配置表!M:M,0)-1,0))*M250,2)</f>
        <v>14.21</v>
      </c>
      <c r="W250" s="157">
        <f ca="1">ROUND(IF(R250=0,0,IF(R250=1,X250*$W$1,IF(R250=2,X250*$W$1*buff的资质计算!$E$2,IF(R250=3,X250*$W$1*buff的资质计算!$E$3,0)))),2)</f>
        <v>5.4</v>
      </c>
      <c r="X250" s="157">
        <f ca="1" t="shared" si="36"/>
        <v>18</v>
      </c>
      <c r="Y250" s="157">
        <f ca="1" t="shared" si="37"/>
        <v>18.4615384615385</v>
      </c>
      <c r="Z250" s="304">
        <f ca="1" t="shared" si="38"/>
        <v>9.23076923076923</v>
      </c>
      <c r="AA250" s="304">
        <f ca="1">OFFSET(卡牌辅助配置表!$AD$1,MATCH(AB250,卡牌辅助配置表!AB:AB,0)-1,0)</f>
        <v>90</v>
      </c>
      <c r="AB250" s="304">
        <f ca="1" t="shared" si="39"/>
        <v>1105</v>
      </c>
      <c r="AC250" s="153">
        <v>11</v>
      </c>
      <c r="AE250" s="153">
        <v>5000</v>
      </c>
      <c r="AF250" s="153" t="str">
        <f ca="1" t="shared" si="40"/>
        <v>10090011|</v>
      </c>
      <c r="AJ250" s="205" t="str">
        <f ca="1" t="shared" si="41"/>
        <v>400023|1500|;</v>
      </c>
      <c r="AK250" s="205">
        <f ca="1">OFFSET([1]item_type!$A$1,MATCH(Q250,[1]item_type!$G:$G,0)-1,0)</f>
        <v>301009</v>
      </c>
      <c r="AL250" s="205"/>
      <c r="AM250" s="205">
        <f ca="1">IF(B250=B251,OFFSET(卡牌辅助配置表!$AE$1,MATCH(AB250,卡牌辅助配置表!AB:AB,0),0),0)</f>
        <v>1500</v>
      </c>
      <c r="AN250" s="153">
        <f ca="1" t="shared" si="42"/>
        <v>1009006</v>
      </c>
      <c r="AP250" s="153" t="str">
        <f ca="1">IF(AC250=0,0,IF(AC250=12,0,OFFSET(effect!$N$1,MATCH(K250,effect!M:M,0)-1,0)))</f>
        <v>kpsx_pt</v>
      </c>
    </row>
    <row r="251" spans="1:42">
      <c r="A251" s="153">
        <f ca="1" t="shared" si="33"/>
        <v>1009006</v>
      </c>
      <c r="B251" s="91" t="s">
        <v>619</v>
      </c>
      <c r="C251" s="186">
        <v>1</v>
      </c>
      <c r="D251" s="186">
        <v>4</v>
      </c>
      <c r="E251" s="165" t="s">
        <v>1050</v>
      </c>
      <c r="F251" s="165" t="str">
        <f>"血量低于50%时，伤害增加"&amp;skill!$O$14/100&amp;"%"</f>
        <v>血量低于50%时，伤害增加30%</v>
      </c>
      <c r="G251" s="186">
        <f ca="1">OFFSET(卡牌辅助配置表!$C$1,MATCH(AC251,卡牌辅助配置表!A:A,0)-1,0)</f>
        <v>6</v>
      </c>
      <c r="H251" s="186">
        <f ca="1">OFFSET(skill!$Q$1,MATCH(B251,skill!B:B,0)-1,0)</f>
        <v>0.461538461538462</v>
      </c>
      <c r="I251" s="186"/>
      <c r="J251" s="186">
        <f ca="1">OFFSET(card_type!$F$1,MATCH(Q251,card_type!A:A,0)-1,0)</f>
        <v>1</v>
      </c>
      <c r="K251" s="243">
        <f ca="1">OFFSET(card_type!$G$1,MATCH(Q251,card_type!A:A,0)-1,0)</f>
        <v>1</v>
      </c>
      <c r="L251" s="157">
        <v>2</v>
      </c>
      <c r="M251" s="157">
        <v>2</v>
      </c>
      <c r="N251" s="153">
        <f t="shared" si="34"/>
        <v>6</v>
      </c>
      <c r="O251" s="157"/>
      <c r="P251" s="157"/>
      <c r="Q251" s="153">
        <f ca="1">OFFSET(card_type!$A$1,MATCH(card!B251,card_type!B:B,0)-1,0)</f>
        <v>1009</v>
      </c>
      <c r="R251" s="153">
        <v>1</v>
      </c>
      <c r="S251" s="157">
        <f ca="1">ROUND(IF(R251=0,0,IF(R251=1,X251*$S$1,IF(R251=2,X251*$S$1*buff的资质计算!$E$2,IF(R251=3,X251*$S$1*buff的资质计算!$E$3,0)))),0)*0</f>
        <v>0</v>
      </c>
      <c r="T251" s="153">
        <v>1</v>
      </c>
      <c r="U251" s="153">
        <f ca="1" t="shared" si="35"/>
        <v>11</v>
      </c>
      <c r="V251" s="153">
        <f ca="1">ROUND((OFFSET(卡牌辅助配置表!$O$1,MATCH(U251,卡牌辅助配置表!M:M,0)-1,0)+(N251-1)*OFFSET(卡牌辅助配置表!$P$1,MATCH(U251,卡牌辅助配置表!M:M,0)-1,0))*M251,2)</f>
        <v>14.63</v>
      </c>
      <c r="W251" s="157">
        <f ca="1">ROUND(IF(R251=0,0,IF(R251=1,X251*$W$1,IF(R251=2,X251*$W$1*buff的资质计算!$E$2,IF(R251=3,X251*$W$1*buff的资质计算!$E$3,0)))),2)</f>
        <v>5.55</v>
      </c>
      <c r="X251" s="157">
        <f ca="1" t="shared" si="36"/>
        <v>18.5</v>
      </c>
      <c r="Y251" s="157">
        <f ca="1" t="shared" si="37"/>
        <v>18.9615384615385</v>
      </c>
      <c r="Z251" s="304">
        <f ca="1" t="shared" si="38"/>
        <v>9.48076923076923</v>
      </c>
      <c r="AA251" s="304">
        <f ca="1">OFFSET(卡牌辅助配置表!$AD$1,MATCH(AB251,卡牌辅助配置表!AB:AB,0)-1,0)</f>
        <v>108</v>
      </c>
      <c r="AB251" s="304">
        <f ca="1" t="shared" si="39"/>
        <v>1106</v>
      </c>
      <c r="AC251" s="153">
        <v>11</v>
      </c>
      <c r="AE251" s="153">
        <v>5000</v>
      </c>
      <c r="AF251" s="153" t="str">
        <f ca="1" t="shared" si="40"/>
        <v>10090011|</v>
      </c>
      <c r="AJ251" s="205" t="str">
        <f ca="1" t="shared" si="41"/>
        <v>400023|1700|;</v>
      </c>
      <c r="AK251" s="205">
        <f ca="1">OFFSET([1]item_type!$A$1,MATCH(Q251,[1]item_type!$G:$G,0)-1,0)</f>
        <v>301009</v>
      </c>
      <c r="AL251" s="205"/>
      <c r="AM251" s="205">
        <f ca="1">IF(B251=B252,OFFSET(卡牌辅助配置表!$AE$1,MATCH(AB251,卡牌辅助配置表!AB:AB,0),0),0)</f>
        <v>1700</v>
      </c>
      <c r="AN251" s="153">
        <f ca="1" t="shared" si="42"/>
        <v>1009007</v>
      </c>
      <c r="AP251" s="153" t="str">
        <f ca="1">IF(AC251=0,0,IF(AC251=12,0,OFFSET(effect!$N$1,MATCH(K251,effect!M:M,0)-1,0)))</f>
        <v>kpsx_pt</v>
      </c>
    </row>
    <row r="252" spans="1:42">
      <c r="A252" s="153">
        <f ca="1" t="shared" si="33"/>
        <v>1009007</v>
      </c>
      <c r="B252" s="91" t="s">
        <v>619</v>
      </c>
      <c r="C252" s="186">
        <v>1</v>
      </c>
      <c r="D252" s="186">
        <v>4</v>
      </c>
      <c r="E252" s="165" t="s">
        <v>1050</v>
      </c>
      <c r="F252" s="165" t="str">
        <f>"血量低于50%时，伤害增加"&amp;skill!$O$14/100&amp;"%"</f>
        <v>血量低于50%时，伤害增加30%</v>
      </c>
      <c r="G252" s="186">
        <f ca="1">OFFSET(卡牌辅助配置表!$C$1,MATCH(AC252,卡牌辅助配置表!A:A,0)-1,0)</f>
        <v>6</v>
      </c>
      <c r="H252" s="186">
        <f ca="1">OFFSET(skill!$Q$1,MATCH(B252,skill!B:B,0)-1,0)</f>
        <v>0.461538461538462</v>
      </c>
      <c r="I252" s="186"/>
      <c r="J252" s="186">
        <f ca="1">OFFSET(card_type!$F$1,MATCH(Q252,card_type!A:A,0)-1,0)</f>
        <v>1</v>
      </c>
      <c r="K252" s="243">
        <f ca="1">OFFSET(card_type!$G$1,MATCH(Q252,card_type!A:A,0)-1,0)</f>
        <v>1</v>
      </c>
      <c r="L252" s="157">
        <v>2</v>
      </c>
      <c r="M252" s="157">
        <v>2</v>
      </c>
      <c r="N252" s="153">
        <f t="shared" si="34"/>
        <v>7</v>
      </c>
      <c r="O252" s="157"/>
      <c r="P252" s="157"/>
      <c r="Q252" s="153">
        <f ca="1">OFFSET(card_type!$A$1,MATCH(card!B252,card_type!B:B,0)-1,0)</f>
        <v>1009</v>
      </c>
      <c r="R252" s="153">
        <v>1</v>
      </c>
      <c r="S252" s="157">
        <f ca="1">ROUND(IF(R252=0,0,IF(R252=1,X252*$S$1,IF(R252=2,X252*$S$1*buff的资质计算!$E$2,IF(R252=3,X252*$S$1*buff的资质计算!$E$3,0)))),0)*0</f>
        <v>0</v>
      </c>
      <c r="T252" s="153">
        <v>1</v>
      </c>
      <c r="U252" s="153">
        <f ca="1" t="shared" si="35"/>
        <v>11</v>
      </c>
      <c r="V252" s="153">
        <f ca="1">ROUND((OFFSET(卡牌辅助配置表!$O$1,MATCH(U252,卡牌辅助配置表!M:M,0)-1,0)+(N252-1)*OFFSET(卡牌辅助配置表!$P$1,MATCH(U252,卡牌辅助配置表!M:M,0)-1,0))*M252,2)</f>
        <v>15.05</v>
      </c>
      <c r="W252" s="157">
        <f ca="1">ROUND(IF(R252=0,0,IF(R252=1,X252*$W$1,IF(R252=2,X252*$W$1*buff的资质计算!$E$2,IF(R252=3,X252*$W$1*buff的资质计算!$E$3,0)))),2)</f>
        <v>5.7</v>
      </c>
      <c r="X252" s="157">
        <f ca="1" t="shared" si="36"/>
        <v>19</v>
      </c>
      <c r="Y252" s="157">
        <f ca="1" t="shared" si="37"/>
        <v>19.4615384615385</v>
      </c>
      <c r="Z252" s="304">
        <f ca="1" t="shared" si="38"/>
        <v>9.73076923076923</v>
      </c>
      <c r="AA252" s="304">
        <f ca="1">OFFSET(卡牌辅助配置表!$AD$1,MATCH(AB252,卡牌辅助配置表!AB:AB,0)-1,0)</f>
        <v>126</v>
      </c>
      <c r="AB252" s="304">
        <f ca="1" t="shared" si="39"/>
        <v>1107</v>
      </c>
      <c r="AC252" s="153">
        <v>11</v>
      </c>
      <c r="AE252" s="153">
        <v>5000</v>
      </c>
      <c r="AF252" s="153" t="str">
        <f ca="1" t="shared" si="40"/>
        <v>10090011|</v>
      </c>
      <c r="AJ252" s="205" t="str">
        <f ca="1" t="shared" si="41"/>
        <v>400023|1900|;</v>
      </c>
      <c r="AK252" s="205">
        <f ca="1">OFFSET([1]item_type!$A$1,MATCH(Q252,[1]item_type!$G:$G,0)-1,0)</f>
        <v>301009</v>
      </c>
      <c r="AL252" s="205"/>
      <c r="AM252" s="205">
        <f ca="1">IF(B252=B253,OFFSET(卡牌辅助配置表!$AE$1,MATCH(AB252,卡牌辅助配置表!AB:AB,0),0),0)</f>
        <v>1900</v>
      </c>
      <c r="AN252" s="153">
        <f ca="1" t="shared" si="42"/>
        <v>1009008</v>
      </c>
      <c r="AP252" s="153" t="str">
        <f ca="1">IF(AC252=0,0,IF(AC252=12,0,OFFSET(effect!$N$1,MATCH(K252,effect!M:M,0)-1,0)))</f>
        <v>kpsx_pt</v>
      </c>
    </row>
    <row r="253" spans="1:42">
      <c r="A253" s="153">
        <f ca="1" t="shared" si="33"/>
        <v>1009008</v>
      </c>
      <c r="B253" s="91" t="s">
        <v>619</v>
      </c>
      <c r="C253" s="186">
        <v>1</v>
      </c>
      <c r="D253" s="186">
        <v>4</v>
      </c>
      <c r="E253" s="165" t="s">
        <v>1050</v>
      </c>
      <c r="F253" s="165" t="str">
        <f>"血量低于50%时，伤害增加"&amp;skill!$O$14/100&amp;"%"</f>
        <v>血量低于50%时，伤害增加30%</v>
      </c>
      <c r="G253" s="186">
        <f ca="1">OFFSET(卡牌辅助配置表!$C$1,MATCH(AC253,卡牌辅助配置表!A:A,0)-1,0)</f>
        <v>6</v>
      </c>
      <c r="H253" s="186">
        <f ca="1">OFFSET(skill!$Q$1,MATCH(B253,skill!B:B,0)-1,0)</f>
        <v>0.461538461538462</v>
      </c>
      <c r="I253" s="186"/>
      <c r="J253" s="186">
        <f ca="1">OFFSET(card_type!$F$1,MATCH(Q253,card_type!A:A,0)-1,0)</f>
        <v>1</v>
      </c>
      <c r="K253" s="243">
        <f ca="1">OFFSET(card_type!$G$1,MATCH(Q253,card_type!A:A,0)-1,0)</f>
        <v>1</v>
      </c>
      <c r="L253" s="157">
        <v>2</v>
      </c>
      <c r="M253" s="157">
        <v>2</v>
      </c>
      <c r="N253" s="153">
        <f t="shared" si="34"/>
        <v>8</v>
      </c>
      <c r="O253" s="157"/>
      <c r="P253" s="157"/>
      <c r="Q253" s="153">
        <f ca="1">OFFSET(card_type!$A$1,MATCH(card!B253,card_type!B:B,0)-1,0)</f>
        <v>1009</v>
      </c>
      <c r="R253" s="153">
        <v>1</v>
      </c>
      <c r="S253" s="157">
        <f ca="1">ROUND(IF(R253=0,0,IF(R253=1,X253*$S$1,IF(R253=2,X253*$S$1*buff的资质计算!$E$2,IF(R253=3,X253*$S$1*buff的资质计算!$E$3,0)))),0)*0</f>
        <v>0</v>
      </c>
      <c r="T253" s="153">
        <v>1</v>
      </c>
      <c r="U253" s="153">
        <f ca="1" t="shared" si="35"/>
        <v>11</v>
      </c>
      <c r="V253" s="153">
        <f ca="1">ROUND((OFFSET(卡牌辅助配置表!$O$1,MATCH(U253,卡牌辅助配置表!M:M,0)-1,0)+(N253-1)*OFFSET(卡牌辅助配置表!$P$1,MATCH(U253,卡牌辅助配置表!M:M,0)-1,0))*M253,2)</f>
        <v>15.47</v>
      </c>
      <c r="W253" s="157">
        <f ca="1">ROUND(IF(R253=0,0,IF(R253=1,X253*$W$1,IF(R253=2,X253*$W$1*buff的资质计算!$E$2,IF(R253=3,X253*$W$1*buff的资质计算!$E$3,0)))),2)</f>
        <v>5.85</v>
      </c>
      <c r="X253" s="157">
        <f ca="1" t="shared" si="36"/>
        <v>19.5</v>
      </c>
      <c r="Y253" s="157">
        <f ca="1" t="shared" si="37"/>
        <v>19.9615384615385</v>
      </c>
      <c r="Z253" s="304">
        <f ca="1" t="shared" si="38"/>
        <v>9.98076923076923</v>
      </c>
      <c r="AA253" s="304">
        <f ca="1">OFFSET(卡牌辅助配置表!$AD$1,MATCH(AB253,卡牌辅助配置表!AB:AB,0)-1,0)</f>
        <v>144</v>
      </c>
      <c r="AB253" s="304">
        <f ca="1" t="shared" si="39"/>
        <v>1108</v>
      </c>
      <c r="AC253" s="153">
        <v>11</v>
      </c>
      <c r="AE253" s="153">
        <v>5000</v>
      </c>
      <c r="AF253" s="153" t="str">
        <f ca="1" t="shared" si="40"/>
        <v>10090011|</v>
      </c>
      <c r="AJ253" s="205" t="str">
        <f ca="1" t="shared" si="41"/>
        <v>400023|2100|;</v>
      </c>
      <c r="AK253" s="205">
        <f ca="1">OFFSET([1]item_type!$A$1,MATCH(Q253,[1]item_type!$G:$G,0)-1,0)</f>
        <v>301009</v>
      </c>
      <c r="AL253" s="205"/>
      <c r="AM253" s="205">
        <f ca="1">IF(B253=B254,OFFSET(卡牌辅助配置表!$AE$1,MATCH(AB253,卡牌辅助配置表!AB:AB,0),0),0)</f>
        <v>2100</v>
      </c>
      <c r="AN253" s="153">
        <f ca="1" t="shared" si="42"/>
        <v>1009009</v>
      </c>
      <c r="AP253" s="153" t="str">
        <f ca="1">IF(AC253=0,0,IF(AC253=12,0,OFFSET(effect!$N$1,MATCH(K253,effect!M:M,0)-1,0)))</f>
        <v>kpsx_pt</v>
      </c>
    </row>
    <row r="254" spans="1:42">
      <c r="A254" s="153">
        <f ca="1" t="shared" si="33"/>
        <v>1009009</v>
      </c>
      <c r="B254" s="91" t="s">
        <v>619</v>
      </c>
      <c r="C254" s="186">
        <v>1</v>
      </c>
      <c r="D254" s="186">
        <v>4</v>
      </c>
      <c r="E254" s="165" t="s">
        <v>1050</v>
      </c>
      <c r="F254" s="165" t="str">
        <f>"血量低于50%时，伤害增加"&amp;skill!$O$14/100&amp;"%"</f>
        <v>血量低于50%时，伤害增加30%</v>
      </c>
      <c r="G254" s="186">
        <f ca="1">OFFSET(卡牌辅助配置表!$C$1,MATCH(AC254,卡牌辅助配置表!A:A,0)-1,0)</f>
        <v>6</v>
      </c>
      <c r="H254" s="186">
        <f ca="1">OFFSET(skill!$Q$1,MATCH(B254,skill!B:B,0)-1,0)</f>
        <v>0.461538461538462</v>
      </c>
      <c r="I254" s="186"/>
      <c r="J254" s="186">
        <f ca="1">OFFSET(card_type!$F$1,MATCH(Q254,card_type!A:A,0)-1,0)</f>
        <v>1</v>
      </c>
      <c r="K254" s="243">
        <f ca="1">OFFSET(card_type!$G$1,MATCH(Q254,card_type!A:A,0)-1,0)</f>
        <v>1</v>
      </c>
      <c r="L254" s="157">
        <v>2</v>
      </c>
      <c r="M254" s="157">
        <v>2</v>
      </c>
      <c r="N254" s="153">
        <f t="shared" si="34"/>
        <v>9</v>
      </c>
      <c r="O254" s="157"/>
      <c r="P254" s="157"/>
      <c r="Q254" s="153">
        <f ca="1">OFFSET(card_type!$A$1,MATCH(card!B254,card_type!B:B,0)-1,0)</f>
        <v>1009</v>
      </c>
      <c r="R254" s="153">
        <v>1</v>
      </c>
      <c r="S254" s="157">
        <f ca="1">ROUND(IF(R254=0,0,IF(R254=1,X254*$S$1,IF(R254=2,X254*$S$1*buff的资质计算!$E$2,IF(R254=3,X254*$S$1*buff的资质计算!$E$3,0)))),0)*0</f>
        <v>0</v>
      </c>
      <c r="T254" s="153">
        <v>1</v>
      </c>
      <c r="U254" s="153">
        <f ca="1" t="shared" si="35"/>
        <v>11</v>
      </c>
      <c r="V254" s="153">
        <f ca="1">ROUND((OFFSET(卡牌辅助配置表!$O$1,MATCH(U254,卡牌辅助配置表!M:M,0)-1,0)+(N254-1)*OFFSET(卡牌辅助配置表!$P$1,MATCH(U254,卡牌辅助配置表!M:M,0)-1,0))*M254,2)</f>
        <v>15.88</v>
      </c>
      <c r="W254" s="157">
        <f ca="1">ROUND(IF(R254=0,0,IF(R254=1,X254*$W$1,IF(R254=2,X254*$W$1*buff的资质计算!$E$2,IF(R254=3,X254*$W$1*buff的资质计算!$E$3,0)))),2)</f>
        <v>6</v>
      </c>
      <c r="X254" s="157">
        <f ca="1" t="shared" si="36"/>
        <v>20</v>
      </c>
      <c r="Y254" s="157">
        <f ca="1" t="shared" si="37"/>
        <v>20.4615384615385</v>
      </c>
      <c r="Z254" s="304">
        <f ca="1" t="shared" si="38"/>
        <v>10.2307692307692</v>
      </c>
      <c r="AA254" s="304">
        <f ca="1">OFFSET(卡牌辅助配置表!$AD$1,MATCH(AB254,卡牌辅助配置表!AB:AB,0)-1,0)</f>
        <v>162</v>
      </c>
      <c r="AB254" s="304">
        <f ca="1" t="shared" si="39"/>
        <v>1109</v>
      </c>
      <c r="AC254" s="153">
        <v>11</v>
      </c>
      <c r="AE254" s="153">
        <v>5000</v>
      </c>
      <c r="AF254" s="153" t="str">
        <f ca="1" t="shared" si="40"/>
        <v>10090011|</v>
      </c>
      <c r="AJ254" s="205" t="str">
        <f ca="1" t="shared" si="41"/>
        <v>301009|15|;400023|2300|;</v>
      </c>
      <c r="AK254" s="205">
        <f ca="1">OFFSET([1]item_type!$A$1,MATCH(Q254,[1]item_type!$G:$G,0)-1,0)</f>
        <v>301009</v>
      </c>
      <c r="AL254" s="205">
        <v>15</v>
      </c>
      <c r="AM254" s="205">
        <f ca="1">IF(B254=B255,OFFSET(卡牌辅助配置表!$AE$1,MATCH(AB254,卡牌辅助配置表!AB:AB,0),0),0)</f>
        <v>2300</v>
      </c>
      <c r="AN254" s="153">
        <f ca="1" t="shared" si="42"/>
        <v>1009010</v>
      </c>
      <c r="AP254" s="153" t="str">
        <f ca="1">IF(AC254=0,0,IF(AC254=12,0,OFFSET(effect!$N$1,MATCH(K254,effect!M:M,0)-1,0)))</f>
        <v>kpsx_pt</v>
      </c>
    </row>
    <row r="255" spans="1:42">
      <c r="A255" s="153">
        <f ca="1" t="shared" si="33"/>
        <v>1009010</v>
      </c>
      <c r="B255" s="91" t="s">
        <v>619</v>
      </c>
      <c r="C255" s="186">
        <v>1</v>
      </c>
      <c r="D255" s="186">
        <v>4</v>
      </c>
      <c r="E255" s="165" t="s">
        <v>1050</v>
      </c>
      <c r="F255" s="165" t="str">
        <f>"血量低于50%时，伤害增加"&amp;skill!$O$14/100&amp;"%"</f>
        <v>血量低于50%时，伤害增加30%</v>
      </c>
      <c r="G255" s="186">
        <f ca="1">OFFSET(卡牌辅助配置表!$C$1,MATCH(AC255,卡牌辅助配置表!A:A,0)-1,0)</f>
        <v>6</v>
      </c>
      <c r="H255" s="186">
        <f ca="1">OFFSET(skill!$Q$1,MATCH(B255,skill!B:B,0)-1,0)</f>
        <v>0.461538461538462</v>
      </c>
      <c r="I255" s="186"/>
      <c r="J255" s="186">
        <f ca="1">OFFSET(card_type!$F$1,MATCH(Q255,card_type!A:A,0)-1,0)</f>
        <v>1</v>
      </c>
      <c r="K255" s="243">
        <f ca="1">OFFSET(card_type!$G$1,MATCH(Q255,card_type!A:A,0)-1,0)</f>
        <v>1</v>
      </c>
      <c r="L255" s="157">
        <v>2</v>
      </c>
      <c r="M255" s="157">
        <v>2</v>
      </c>
      <c r="N255" s="153">
        <f t="shared" si="34"/>
        <v>10</v>
      </c>
      <c r="O255" s="157"/>
      <c r="P255" s="157"/>
      <c r="Q255" s="153">
        <f ca="1">OFFSET(card_type!$A$1,MATCH(card!B255,card_type!B:B,0)-1,0)</f>
        <v>1009</v>
      </c>
      <c r="R255" s="153">
        <v>1</v>
      </c>
      <c r="S255" s="157">
        <f ca="1">ROUND(IF(R255=0,0,IF(R255=1,X255*$S$1,IF(R255=2,X255*$S$1*buff的资质计算!$E$2,IF(R255=3,X255*$S$1*buff的资质计算!$E$3,0)))),0)*0</f>
        <v>0</v>
      </c>
      <c r="T255" s="153">
        <v>1</v>
      </c>
      <c r="U255" s="153">
        <f ca="1" t="shared" si="35"/>
        <v>11</v>
      </c>
      <c r="V255" s="153">
        <f ca="1">ROUND((OFFSET(卡牌辅助配置表!$O$1,MATCH(U255,卡牌辅助配置表!M:M,0)-1,0)+(N255-1)*OFFSET(卡牌辅助配置表!$P$1,MATCH(U255,卡牌辅助配置表!M:M,0)-1,0))*M255,2)</f>
        <v>16.3</v>
      </c>
      <c r="W255" s="157">
        <f ca="1">ROUND(IF(R255=0,0,IF(R255=1,X255*$W$1,IF(R255=2,X255*$W$1*buff的资质计算!$E$2,IF(R255=3,X255*$W$1*buff的资质计算!$E$3,0)))),2)</f>
        <v>6.15</v>
      </c>
      <c r="X255" s="157">
        <f ca="1" t="shared" si="36"/>
        <v>20.5</v>
      </c>
      <c r="Y255" s="157">
        <f ca="1" t="shared" si="37"/>
        <v>20.9615384615385</v>
      </c>
      <c r="Z255" s="304">
        <f ca="1" t="shared" si="38"/>
        <v>10.4807692307692</v>
      </c>
      <c r="AA255" s="304">
        <f ca="1">OFFSET(卡牌辅助配置表!$AD$1,MATCH(AB255,卡牌辅助配置表!AB:AB,0)-1,0)</f>
        <v>180</v>
      </c>
      <c r="AB255" s="304">
        <f ca="1" t="shared" si="39"/>
        <v>1110</v>
      </c>
      <c r="AC255" s="153">
        <v>11</v>
      </c>
      <c r="AE255" s="153">
        <v>5000</v>
      </c>
      <c r="AF255" s="153" t="str">
        <f ca="1" t="shared" si="40"/>
        <v>10090011|</v>
      </c>
      <c r="AJ255" s="205" t="str">
        <f ca="1" t="shared" si="41"/>
        <v>400023|2700|;</v>
      </c>
      <c r="AK255" s="205">
        <f ca="1">OFFSET([1]item_type!$A$1,MATCH(Q255,[1]item_type!$G:$G,0)-1,0)</f>
        <v>301009</v>
      </c>
      <c r="AL255" s="205"/>
      <c r="AM255" s="205">
        <f ca="1">IF(B255=B256,OFFSET(卡牌辅助配置表!$AE$1,MATCH(AB255,卡牌辅助配置表!AB:AB,0),0),0)</f>
        <v>2700</v>
      </c>
      <c r="AN255" s="153">
        <f ca="1" t="shared" si="42"/>
        <v>1009011</v>
      </c>
      <c r="AP255" s="153" t="str">
        <f ca="1">IF(AC255=0,0,IF(AC255=12,0,OFFSET(effect!$N$1,MATCH(K255,effect!M:M,0)-1,0)))</f>
        <v>kpsx_pt</v>
      </c>
    </row>
    <row r="256" spans="1:42">
      <c r="A256" s="153">
        <f ca="1" t="shared" si="33"/>
        <v>1009011</v>
      </c>
      <c r="B256" s="91" t="s">
        <v>619</v>
      </c>
      <c r="C256" s="186">
        <v>1</v>
      </c>
      <c r="D256" s="186">
        <v>4</v>
      </c>
      <c r="E256" s="165" t="s">
        <v>1050</v>
      </c>
      <c r="F256" s="165" t="str">
        <f>"血量低于50%时，伤害增加"&amp;skill!$O$14/100&amp;"%"</f>
        <v>血量低于50%时，伤害增加30%</v>
      </c>
      <c r="G256" s="186">
        <f ca="1">OFFSET(卡牌辅助配置表!$C$1,MATCH(AC256,卡牌辅助配置表!A:A,0)-1,0)</f>
        <v>6</v>
      </c>
      <c r="H256" s="186">
        <f ca="1">OFFSET(skill!$Q$1,MATCH(B256,skill!B:B,0)-1,0)</f>
        <v>0.461538461538462</v>
      </c>
      <c r="I256" s="186"/>
      <c r="J256" s="186">
        <f ca="1">OFFSET(card_type!$F$1,MATCH(Q256,card_type!A:A,0)-1,0)</f>
        <v>1</v>
      </c>
      <c r="K256" s="243">
        <f ca="1">OFFSET(card_type!$G$1,MATCH(Q256,card_type!A:A,0)-1,0)</f>
        <v>1</v>
      </c>
      <c r="L256" s="157">
        <v>2</v>
      </c>
      <c r="M256" s="157">
        <v>2</v>
      </c>
      <c r="N256" s="153">
        <f t="shared" si="34"/>
        <v>11</v>
      </c>
      <c r="O256" s="157"/>
      <c r="P256" s="157"/>
      <c r="Q256" s="153">
        <f ca="1">OFFSET(card_type!$A$1,MATCH(card!B256,card_type!B:B,0)-1,0)</f>
        <v>1009</v>
      </c>
      <c r="R256" s="153">
        <v>1</v>
      </c>
      <c r="S256" s="157">
        <f ca="1">ROUND(IF(R256=0,0,IF(R256=1,X256*$S$1,IF(R256=2,X256*$S$1*buff的资质计算!$E$2,IF(R256=3,X256*$S$1*buff的资质计算!$E$3,0)))),0)*0</f>
        <v>0</v>
      </c>
      <c r="T256" s="153">
        <v>1</v>
      </c>
      <c r="U256" s="153">
        <f ca="1" t="shared" si="35"/>
        <v>11</v>
      </c>
      <c r="V256" s="153">
        <f ca="1">ROUND((OFFSET(卡牌辅助配置表!$O$1,MATCH(U256,卡牌辅助配置表!M:M,0)-1,0)+(N256-1)*OFFSET(卡牌辅助配置表!$P$1,MATCH(U256,卡牌辅助配置表!M:M,0)-1,0))*M256,2)</f>
        <v>16.72</v>
      </c>
      <c r="W256" s="157">
        <f ca="1">ROUND(IF(R256=0,0,IF(R256=1,X256*$W$1,IF(R256=2,X256*$W$1*buff的资质计算!$E$2,IF(R256=3,X256*$W$1*buff的资质计算!$E$3,0)))),2)</f>
        <v>6.3</v>
      </c>
      <c r="X256" s="157">
        <f ca="1" t="shared" si="36"/>
        <v>21</v>
      </c>
      <c r="Y256" s="157">
        <f ca="1" t="shared" si="37"/>
        <v>21.4615384615385</v>
      </c>
      <c r="Z256" s="304">
        <f ca="1" t="shared" si="38"/>
        <v>10.7307692307692</v>
      </c>
      <c r="AA256" s="304">
        <f ca="1">OFFSET(卡牌辅助配置表!$AD$1,MATCH(AB256,卡牌辅助配置表!AB:AB,0)-1,0)</f>
        <v>207</v>
      </c>
      <c r="AB256" s="304">
        <f ca="1" t="shared" si="39"/>
        <v>1111</v>
      </c>
      <c r="AC256" s="153">
        <v>11</v>
      </c>
      <c r="AE256" s="153">
        <v>5000</v>
      </c>
      <c r="AF256" s="153" t="str">
        <f ca="1" t="shared" si="40"/>
        <v>10090011|</v>
      </c>
      <c r="AJ256" s="205" t="str">
        <f ca="1" t="shared" si="41"/>
        <v>400023|3100|;</v>
      </c>
      <c r="AK256" s="205">
        <f ca="1">OFFSET([1]item_type!$A$1,MATCH(Q256,[1]item_type!$G:$G,0)-1,0)</f>
        <v>301009</v>
      </c>
      <c r="AL256" s="205"/>
      <c r="AM256" s="205">
        <f ca="1">IF(B256=B257,OFFSET(卡牌辅助配置表!$AE$1,MATCH(AB256,卡牌辅助配置表!AB:AB,0),0),0)</f>
        <v>3100</v>
      </c>
      <c r="AN256" s="153">
        <f ca="1" t="shared" si="42"/>
        <v>1009012</v>
      </c>
      <c r="AP256" s="153" t="str">
        <f ca="1">IF(AC256=0,0,IF(AC256=12,0,OFFSET(effect!$N$1,MATCH(K256,effect!M:M,0)-1,0)))</f>
        <v>kpsx_pt</v>
      </c>
    </row>
    <row r="257" spans="1:42">
      <c r="A257" s="153">
        <f ca="1" t="shared" si="33"/>
        <v>1009012</v>
      </c>
      <c r="B257" s="91" t="s">
        <v>619</v>
      </c>
      <c r="C257" s="186">
        <v>1</v>
      </c>
      <c r="D257" s="186">
        <v>4</v>
      </c>
      <c r="E257" s="165" t="s">
        <v>1050</v>
      </c>
      <c r="F257" s="165" t="str">
        <f>"血量低于50%时，伤害增加"&amp;skill!$O$14/100&amp;"%"</f>
        <v>血量低于50%时，伤害增加30%</v>
      </c>
      <c r="G257" s="186">
        <f ca="1">OFFSET(卡牌辅助配置表!$C$1,MATCH(AC257,卡牌辅助配置表!A:A,0)-1,0)</f>
        <v>6</v>
      </c>
      <c r="H257" s="186">
        <f ca="1">OFFSET(skill!$Q$1,MATCH(B257,skill!B:B,0)-1,0)</f>
        <v>0.461538461538462</v>
      </c>
      <c r="I257" s="186"/>
      <c r="J257" s="186">
        <f ca="1">OFFSET(card_type!$F$1,MATCH(Q257,card_type!A:A,0)-1,0)</f>
        <v>1</v>
      </c>
      <c r="K257" s="243">
        <f ca="1">OFFSET(card_type!$G$1,MATCH(Q257,card_type!A:A,0)-1,0)</f>
        <v>1</v>
      </c>
      <c r="L257" s="157">
        <v>2</v>
      </c>
      <c r="M257" s="157">
        <v>2</v>
      </c>
      <c r="N257" s="153">
        <f t="shared" si="34"/>
        <v>12</v>
      </c>
      <c r="O257" s="157"/>
      <c r="P257" s="157"/>
      <c r="Q257" s="153">
        <f ca="1">OFFSET(card_type!$A$1,MATCH(card!B257,card_type!B:B,0)-1,0)</f>
        <v>1009</v>
      </c>
      <c r="R257" s="153">
        <v>1</v>
      </c>
      <c r="S257" s="157">
        <f ca="1">ROUND(IF(R257=0,0,IF(R257=1,X257*$S$1,IF(R257=2,X257*$S$1*buff的资质计算!$E$2,IF(R257=3,X257*$S$1*buff的资质计算!$E$3,0)))),0)*0</f>
        <v>0</v>
      </c>
      <c r="T257" s="153">
        <v>1</v>
      </c>
      <c r="U257" s="153">
        <f ca="1" t="shared" si="35"/>
        <v>11</v>
      </c>
      <c r="V257" s="153">
        <f ca="1">ROUND((OFFSET(卡牌辅助配置表!$O$1,MATCH(U257,卡牌辅助配置表!M:M,0)-1,0)+(N257-1)*OFFSET(卡牌辅助配置表!$P$1,MATCH(U257,卡牌辅助配置表!M:M,0)-1,0))*M257,2)</f>
        <v>17.14</v>
      </c>
      <c r="W257" s="157">
        <f ca="1">ROUND(IF(R257=0,0,IF(R257=1,X257*$W$1,IF(R257=2,X257*$W$1*buff的资质计算!$E$2,IF(R257=3,X257*$W$1*buff的资质计算!$E$3,0)))),2)</f>
        <v>6.45</v>
      </c>
      <c r="X257" s="157">
        <f ca="1" t="shared" si="36"/>
        <v>21.5</v>
      </c>
      <c r="Y257" s="157">
        <f ca="1" t="shared" si="37"/>
        <v>21.9615384615385</v>
      </c>
      <c r="Z257" s="304">
        <f ca="1" t="shared" si="38"/>
        <v>10.9807692307692</v>
      </c>
      <c r="AA257" s="304">
        <f ca="1">OFFSET(卡牌辅助配置表!$AD$1,MATCH(AB257,卡牌辅助配置表!AB:AB,0)-1,0)</f>
        <v>234</v>
      </c>
      <c r="AB257" s="304">
        <f ca="1" t="shared" si="39"/>
        <v>1112</v>
      </c>
      <c r="AC257" s="153">
        <v>11</v>
      </c>
      <c r="AE257" s="153">
        <v>5000</v>
      </c>
      <c r="AF257" s="153" t="str">
        <f ca="1" t="shared" si="40"/>
        <v>10090011|</v>
      </c>
      <c r="AJ257" s="205" t="str">
        <f ca="1" t="shared" si="41"/>
        <v>400023|3500|;</v>
      </c>
      <c r="AK257" s="205">
        <f ca="1">OFFSET([1]item_type!$A$1,MATCH(Q257,[1]item_type!$G:$G,0)-1,0)</f>
        <v>301009</v>
      </c>
      <c r="AL257" s="205"/>
      <c r="AM257" s="205">
        <f ca="1">IF(B257=B258,OFFSET(卡牌辅助配置表!$AE$1,MATCH(AB257,卡牌辅助配置表!AB:AB,0),0),0)</f>
        <v>3500</v>
      </c>
      <c r="AN257" s="153">
        <f ca="1" t="shared" si="42"/>
        <v>1009013</v>
      </c>
      <c r="AP257" s="153" t="str">
        <f ca="1">IF(AC257=0,0,IF(AC257=12,0,OFFSET(effect!$N$1,MATCH(K257,effect!M:M,0)-1,0)))</f>
        <v>kpsx_pt</v>
      </c>
    </row>
    <row r="258" spans="1:42">
      <c r="A258" s="153">
        <f ca="1" t="shared" si="33"/>
        <v>1009013</v>
      </c>
      <c r="B258" s="91" t="s">
        <v>619</v>
      </c>
      <c r="C258" s="186">
        <v>1</v>
      </c>
      <c r="D258" s="186">
        <v>4</v>
      </c>
      <c r="E258" s="165" t="s">
        <v>1050</v>
      </c>
      <c r="F258" s="165" t="str">
        <f>"血量低于50%时，伤害增加"&amp;skill!$O$14/100&amp;"%"</f>
        <v>血量低于50%时，伤害增加30%</v>
      </c>
      <c r="G258" s="186">
        <f ca="1">OFFSET(卡牌辅助配置表!$C$1,MATCH(AC258,卡牌辅助配置表!A:A,0)-1,0)</f>
        <v>6</v>
      </c>
      <c r="H258" s="186">
        <f ca="1">OFFSET(skill!$Q$1,MATCH(B258,skill!B:B,0)-1,0)</f>
        <v>0.461538461538462</v>
      </c>
      <c r="I258" s="186"/>
      <c r="J258" s="186">
        <f ca="1">OFFSET(card_type!$F$1,MATCH(Q258,card_type!A:A,0)-1,0)</f>
        <v>1</v>
      </c>
      <c r="K258" s="243">
        <f ca="1">OFFSET(card_type!$G$1,MATCH(Q258,card_type!A:A,0)-1,0)</f>
        <v>1</v>
      </c>
      <c r="L258" s="157">
        <v>2</v>
      </c>
      <c r="M258" s="157">
        <v>2</v>
      </c>
      <c r="N258" s="153">
        <f t="shared" si="34"/>
        <v>13</v>
      </c>
      <c r="O258" s="157"/>
      <c r="P258" s="157"/>
      <c r="Q258" s="153">
        <f ca="1">OFFSET(card_type!$A$1,MATCH(card!B258,card_type!B:B,0)-1,0)</f>
        <v>1009</v>
      </c>
      <c r="R258" s="153">
        <v>1</v>
      </c>
      <c r="S258" s="157">
        <f ca="1">ROUND(IF(R258=0,0,IF(R258=1,X258*$S$1,IF(R258=2,X258*$S$1*buff的资质计算!$E$2,IF(R258=3,X258*$S$1*buff的资质计算!$E$3,0)))),0)*0</f>
        <v>0</v>
      </c>
      <c r="T258" s="153">
        <v>1</v>
      </c>
      <c r="U258" s="153">
        <f ca="1" t="shared" si="35"/>
        <v>11</v>
      </c>
      <c r="V258" s="153">
        <f ca="1">ROUND((OFFSET(卡牌辅助配置表!$O$1,MATCH(U258,卡牌辅助配置表!M:M,0)-1,0)+(N258-1)*OFFSET(卡牌辅助配置表!$P$1,MATCH(U258,卡牌辅助配置表!M:M,0)-1,0))*M258,2)</f>
        <v>17.56</v>
      </c>
      <c r="W258" s="157">
        <f ca="1">ROUND(IF(R258=0,0,IF(R258=1,X258*$W$1,IF(R258=2,X258*$W$1*buff的资质计算!$E$2,IF(R258=3,X258*$W$1*buff的资质计算!$E$3,0)))),2)</f>
        <v>6.6</v>
      </c>
      <c r="X258" s="157">
        <f ca="1" t="shared" si="36"/>
        <v>22</v>
      </c>
      <c r="Y258" s="157">
        <f ca="1" t="shared" si="37"/>
        <v>22.4615384615385</v>
      </c>
      <c r="Z258" s="304">
        <f ca="1" t="shared" si="38"/>
        <v>11.2307692307692</v>
      </c>
      <c r="AA258" s="304">
        <f ca="1">OFFSET(卡牌辅助配置表!$AD$1,MATCH(AB258,卡牌辅助配置表!AB:AB,0)-1,0)</f>
        <v>261</v>
      </c>
      <c r="AB258" s="304">
        <f ca="1" t="shared" si="39"/>
        <v>1113</v>
      </c>
      <c r="AC258" s="153">
        <v>11</v>
      </c>
      <c r="AE258" s="153">
        <v>5000</v>
      </c>
      <c r="AF258" s="153" t="str">
        <f ca="1" t="shared" si="40"/>
        <v>10090011|</v>
      </c>
      <c r="AJ258" s="205" t="str">
        <f ca="1" t="shared" si="41"/>
        <v>400023|3900|;</v>
      </c>
      <c r="AK258" s="205">
        <f ca="1">OFFSET([1]item_type!$A$1,MATCH(Q258,[1]item_type!$G:$G,0)-1,0)</f>
        <v>301009</v>
      </c>
      <c r="AL258" s="205"/>
      <c r="AM258" s="205">
        <f ca="1">IF(B258=B259,OFFSET(卡牌辅助配置表!$AE$1,MATCH(AB258,卡牌辅助配置表!AB:AB,0),0),0)</f>
        <v>3900</v>
      </c>
      <c r="AN258" s="153">
        <f ca="1" t="shared" si="42"/>
        <v>1009014</v>
      </c>
      <c r="AP258" s="153" t="str">
        <f ca="1">IF(AC258=0,0,IF(AC258=12,0,OFFSET(effect!$N$1,MATCH(K258,effect!M:M,0)-1,0)))</f>
        <v>kpsx_pt</v>
      </c>
    </row>
    <row r="259" spans="1:42">
      <c r="A259" s="153">
        <f ca="1" t="shared" si="33"/>
        <v>1009014</v>
      </c>
      <c r="B259" s="91" t="s">
        <v>619</v>
      </c>
      <c r="C259" s="186">
        <v>1</v>
      </c>
      <c r="D259" s="186">
        <v>4</v>
      </c>
      <c r="E259" s="165" t="s">
        <v>1050</v>
      </c>
      <c r="F259" s="165" t="str">
        <f>"血量低于50%时，伤害增加"&amp;skill!$O$14/100&amp;"%"</f>
        <v>血量低于50%时，伤害增加30%</v>
      </c>
      <c r="G259" s="186">
        <f ca="1">OFFSET(卡牌辅助配置表!$C$1,MATCH(AC259,卡牌辅助配置表!A:A,0)-1,0)</f>
        <v>6</v>
      </c>
      <c r="H259" s="186">
        <f ca="1">OFFSET(skill!$Q$1,MATCH(B259,skill!B:B,0)-1,0)</f>
        <v>0.461538461538462</v>
      </c>
      <c r="I259" s="186"/>
      <c r="J259" s="186">
        <f ca="1">OFFSET(card_type!$F$1,MATCH(Q259,card_type!A:A,0)-1,0)</f>
        <v>1</v>
      </c>
      <c r="K259" s="243">
        <f ca="1">OFFSET(card_type!$G$1,MATCH(Q259,card_type!A:A,0)-1,0)</f>
        <v>1</v>
      </c>
      <c r="L259" s="157">
        <v>2</v>
      </c>
      <c r="M259" s="157">
        <v>2</v>
      </c>
      <c r="N259" s="153">
        <f t="shared" si="34"/>
        <v>14</v>
      </c>
      <c r="O259" s="157"/>
      <c r="P259" s="157"/>
      <c r="Q259" s="153">
        <f ca="1">OFFSET(card_type!$A$1,MATCH(card!B259,card_type!B:B,0)-1,0)</f>
        <v>1009</v>
      </c>
      <c r="R259" s="153">
        <v>1</v>
      </c>
      <c r="S259" s="157">
        <f ca="1">ROUND(IF(R259=0,0,IF(R259=1,X259*$S$1,IF(R259=2,X259*$S$1*buff的资质计算!$E$2,IF(R259=3,X259*$S$1*buff的资质计算!$E$3,0)))),0)*0</f>
        <v>0</v>
      </c>
      <c r="T259" s="153">
        <v>1</v>
      </c>
      <c r="U259" s="153">
        <f ca="1" t="shared" si="35"/>
        <v>11</v>
      </c>
      <c r="V259" s="153">
        <f ca="1">ROUND((OFFSET(卡牌辅助配置表!$O$1,MATCH(U259,卡牌辅助配置表!M:M,0)-1,0)+(N259-1)*OFFSET(卡牌辅助配置表!$P$1,MATCH(U259,卡牌辅助配置表!M:M,0)-1,0))*M259,2)</f>
        <v>17.97</v>
      </c>
      <c r="W259" s="157">
        <f ca="1">ROUND(IF(R259=0,0,IF(R259=1,X259*$W$1,IF(R259=2,X259*$W$1*buff的资质计算!$E$2,IF(R259=3,X259*$W$1*buff的资质计算!$E$3,0)))),2)</f>
        <v>6.75</v>
      </c>
      <c r="X259" s="157">
        <f ca="1" t="shared" si="36"/>
        <v>22.5</v>
      </c>
      <c r="Y259" s="157">
        <f ca="1" t="shared" si="37"/>
        <v>22.9615384615385</v>
      </c>
      <c r="Z259" s="304">
        <f ca="1" t="shared" si="38"/>
        <v>11.4807692307692</v>
      </c>
      <c r="AA259" s="304">
        <f ca="1">OFFSET(卡牌辅助配置表!$AD$1,MATCH(AB259,卡牌辅助配置表!AB:AB,0)-1,0)</f>
        <v>288</v>
      </c>
      <c r="AB259" s="304">
        <f ca="1" t="shared" si="39"/>
        <v>1114</v>
      </c>
      <c r="AC259" s="153">
        <v>11</v>
      </c>
      <c r="AE259" s="153">
        <v>5000</v>
      </c>
      <c r="AF259" s="153" t="str">
        <f ca="1" t="shared" si="40"/>
        <v>10090011|</v>
      </c>
      <c r="AJ259" s="205" t="str">
        <f ca="1" t="shared" si="41"/>
        <v>400023|4300|;</v>
      </c>
      <c r="AK259" s="205">
        <f ca="1">OFFSET([1]item_type!$A$1,MATCH(Q259,[1]item_type!$G:$G,0)-1,0)</f>
        <v>301009</v>
      </c>
      <c r="AL259" s="205"/>
      <c r="AM259" s="205">
        <f ca="1">IF(B259=B260,OFFSET(卡牌辅助配置表!$AE$1,MATCH(AB259,卡牌辅助配置表!AB:AB,0),0),0)</f>
        <v>4300</v>
      </c>
      <c r="AN259" s="153">
        <f ca="1" t="shared" si="42"/>
        <v>1009015</v>
      </c>
      <c r="AP259" s="153" t="str">
        <f ca="1">IF(AC259=0,0,IF(AC259=12,0,OFFSET(effect!$N$1,MATCH(K259,effect!M:M,0)-1,0)))</f>
        <v>kpsx_pt</v>
      </c>
    </row>
    <row r="260" spans="1:42">
      <c r="A260" s="153">
        <f ca="1" t="shared" si="33"/>
        <v>1009015</v>
      </c>
      <c r="B260" s="91" t="s">
        <v>619</v>
      </c>
      <c r="C260" s="186">
        <v>1</v>
      </c>
      <c r="D260" s="186">
        <v>4</v>
      </c>
      <c r="E260" s="165" t="s">
        <v>1050</v>
      </c>
      <c r="F260" s="165" t="str">
        <f>"血量低于50%时，伤害增加"&amp;skill!$O$14/100&amp;"%"</f>
        <v>血量低于50%时，伤害增加30%</v>
      </c>
      <c r="G260" s="186">
        <f ca="1">OFFSET(卡牌辅助配置表!$C$1,MATCH(AC260,卡牌辅助配置表!A:A,0)-1,0)</f>
        <v>6</v>
      </c>
      <c r="H260" s="186">
        <f ca="1">OFFSET(skill!$Q$1,MATCH(B260,skill!B:B,0)-1,0)</f>
        <v>0.461538461538462</v>
      </c>
      <c r="I260" s="186"/>
      <c r="J260" s="186">
        <f ca="1">OFFSET(card_type!$F$1,MATCH(Q260,card_type!A:A,0)-1,0)</f>
        <v>1</v>
      </c>
      <c r="K260" s="243">
        <f ca="1">OFFSET(card_type!$G$1,MATCH(Q260,card_type!A:A,0)-1,0)</f>
        <v>1</v>
      </c>
      <c r="L260" s="157">
        <v>2</v>
      </c>
      <c r="M260" s="157">
        <v>2</v>
      </c>
      <c r="N260" s="153">
        <f t="shared" si="34"/>
        <v>15</v>
      </c>
      <c r="O260" s="157"/>
      <c r="P260" s="157"/>
      <c r="Q260" s="153">
        <f ca="1">OFFSET(card_type!$A$1,MATCH(card!B260,card_type!B:B,0)-1,0)</f>
        <v>1009</v>
      </c>
      <c r="R260" s="153">
        <v>1</v>
      </c>
      <c r="S260" s="157">
        <f ca="1">ROUND(IF(R260=0,0,IF(R260=1,X260*$S$1,IF(R260=2,X260*$S$1*buff的资质计算!$E$2,IF(R260=3,X260*$S$1*buff的资质计算!$E$3,0)))),0)*0</f>
        <v>0</v>
      </c>
      <c r="T260" s="153">
        <v>1</v>
      </c>
      <c r="U260" s="153">
        <f ca="1" t="shared" si="35"/>
        <v>11</v>
      </c>
      <c r="V260" s="153">
        <f ca="1">ROUND((OFFSET(卡牌辅助配置表!$O$1,MATCH(U260,卡牌辅助配置表!M:M,0)-1,0)+(N260-1)*OFFSET(卡牌辅助配置表!$P$1,MATCH(U260,卡牌辅助配置表!M:M,0)-1,0))*M260,2)</f>
        <v>18.39</v>
      </c>
      <c r="W260" s="157">
        <f ca="1">ROUND(IF(R260=0,0,IF(R260=1,X260*$W$1,IF(R260=2,X260*$W$1*buff的资质计算!$E$2,IF(R260=3,X260*$W$1*buff的资质计算!$E$3,0)))),2)</f>
        <v>6.9</v>
      </c>
      <c r="X260" s="157">
        <f ca="1" t="shared" si="36"/>
        <v>23</v>
      </c>
      <c r="Y260" s="157">
        <f ca="1" t="shared" si="37"/>
        <v>23.4615384615385</v>
      </c>
      <c r="Z260" s="304">
        <f ca="1" t="shared" si="38"/>
        <v>11.7307692307692</v>
      </c>
      <c r="AA260" s="304">
        <f ca="1">OFFSET(卡牌辅助配置表!$AD$1,MATCH(AB260,卡牌辅助配置表!AB:AB,0)-1,0)</f>
        <v>315</v>
      </c>
      <c r="AB260" s="304">
        <f ca="1" t="shared" si="39"/>
        <v>1115</v>
      </c>
      <c r="AC260" s="153">
        <v>11</v>
      </c>
      <c r="AE260" s="153">
        <v>5000</v>
      </c>
      <c r="AF260" s="153" t="str">
        <f ca="1" t="shared" si="40"/>
        <v>10090011|</v>
      </c>
      <c r="AJ260" s="205" t="str">
        <f ca="1" t="shared" si="41"/>
        <v>400023|4700|;</v>
      </c>
      <c r="AK260" s="205">
        <f ca="1">OFFSET([1]item_type!$A$1,MATCH(Q260,[1]item_type!$G:$G,0)-1,0)</f>
        <v>301009</v>
      </c>
      <c r="AL260" s="205"/>
      <c r="AM260" s="205">
        <f ca="1">IF(B260=B261,OFFSET(卡牌辅助配置表!$AE$1,MATCH(AB260,卡牌辅助配置表!AB:AB,0),0),0)</f>
        <v>4700</v>
      </c>
      <c r="AN260" s="153">
        <f ca="1" t="shared" si="42"/>
        <v>1009016</v>
      </c>
      <c r="AP260" s="153" t="str">
        <f ca="1">IF(AC260=0,0,IF(AC260=12,0,OFFSET(effect!$N$1,MATCH(K260,effect!M:M,0)-1,0)))</f>
        <v>kpsx_pt</v>
      </c>
    </row>
    <row r="261" spans="1:42">
      <c r="A261" s="153">
        <f ca="1" t="shared" si="33"/>
        <v>1009016</v>
      </c>
      <c r="B261" s="91" t="s">
        <v>619</v>
      </c>
      <c r="C261" s="186">
        <v>1</v>
      </c>
      <c r="D261" s="186">
        <v>4</v>
      </c>
      <c r="E261" s="165" t="s">
        <v>1050</v>
      </c>
      <c r="F261" s="165" t="str">
        <f>"血量低于50%时，伤害增加"&amp;skill!$O$14/100&amp;"%"</f>
        <v>血量低于50%时，伤害增加30%</v>
      </c>
      <c r="G261" s="186">
        <f ca="1">OFFSET(卡牌辅助配置表!$C$1,MATCH(AC261,卡牌辅助配置表!A:A,0)-1,0)</f>
        <v>6</v>
      </c>
      <c r="H261" s="186">
        <f ca="1">OFFSET(skill!$Q$1,MATCH(B261,skill!B:B,0)-1,0)</f>
        <v>0.461538461538462</v>
      </c>
      <c r="I261" s="186"/>
      <c r="J261" s="186">
        <f ca="1">OFFSET(card_type!$F$1,MATCH(Q261,card_type!A:A,0)-1,0)</f>
        <v>1</v>
      </c>
      <c r="K261" s="243">
        <f ca="1">OFFSET(card_type!$G$1,MATCH(Q261,card_type!A:A,0)-1,0)</f>
        <v>1</v>
      </c>
      <c r="L261" s="157">
        <v>2</v>
      </c>
      <c r="M261" s="157">
        <v>2</v>
      </c>
      <c r="N261" s="153">
        <f t="shared" si="34"/>
        <v>16</v>
      </c>
      <c r="O261" s="157"/>
      <c r="P261" s="157"/>
      <c r="Q261" s="153">
        <f ca="1">OFFSET(card_type!$A$1,MATCH(card!B261,card_type!B:B,0)-1,0)</f>
        <v>1009</v>
      </c>
      <c r="R261" s="153">
        <v>1</v>
      </c>
      <c r="S261" s="157">
        <f ca="1">ROUND(IF(R261=0,0,IF(R261=1,X261*$S$1,IF(R261=2,X261*$S$1*buff的资质计算!$E$2,IF(R261=3,X261*$S$1*buff的资质计算!$E$3,0)))),0)*0</f>
        <v>0</v>
      </c>
      <c r="T261" s="153">
        <v>1</v>
      </c>
      <c r="U261" s="153">
        <f ca="1" t="shared" si="35"/>
        <v>11</v>
      </c>
      <c r="V261" s="153">
        <f ca="1">ROUND((OFFSET(卡牌辅助配置表!$O$1,MATCH(U261,卡牌辅助配置表!M:M,0)-1,0)+(N261-1)*OFFSET(卡牌辅助配置表!$P$1,MATCH(U261,卡牌辅助配置表!M:M,0)-1,0))*M261,2)</f>
        <v>18.81</v>
      </c>
      <c r="W261" s="157">
        <f ca="1">ROUND(IF(R261=0,0,IF(R261=1,X261*$W$1,IF(R261=2,X261*$W$1*buff的资质计算!$E$2,IF(R261=3,X261*$W$1*buff的资质计算!$E$3,0)))),2)</f>
        <v>7.05</v>
      </c>
      <c r="X261" s="157">
        <f ca="1" t="shared" si="36"/>
        <v>23.5</v>
      </c>
      <c r="Y261" s="157">
        <f ca="1" t="shared" si="37"/>
        <v>23.9615384615385</v>
      </c>
      <c r="Z261" s="304">
        <f ca="1" t="shared" si="38"/>
        <v>11.9807692307692</v>
      </c>
      <c r="AA261" s="304">
        <f ca="1">OFFSET(卡牌辅助配置表!$AD$1,MATCH(AB261,卡牌辅助配置表!AB:AB,0)-1,0)</f>
        <v>342</v>
      </c>
      <c r="AB261" s="304">
        <f ca="1" t="shared" si="39"/>
        <v>1116</v>
      </c>
      <c r="AC261" s="153">
        <v>11</v>
      </c>
      <c r="AE261" s="153">
        <v>5000</v>
      </c>
      <c r="AF261" s="153" t="str">
        <f ca="1" t="shared" si="40"/>
        <v>10090011|</v>
      </c>
      <c r="AJ261" s="205" t="str">
        <f ca="1" t="shared" si="41"/>
        <v>400023|5100|;</v>
      </c>
      <c r="AK261" s="205">
        <f ca="1">OFFSET([1]item_type!$A$1,MATCH(Q261,[1]item_type!$G:$G,0)-1,0)</f>
        <v>301009</v>
      </c>
      <c r="AL261" s="205"/>
      <c r="AM261" s="205">
        <f ca="1">IF(B261=B262,OFFSET(卡牌辅助配置表!$AE$1,MATCH(AB261,卡牌辅助配置表!AB:AB,0),0),0)</f>
        <v>5100</v>
      </c>
      <c r="AN261" s="153">
        <f ca="1" t="shared" si="42"/>
        <v>1009017</v>
      </c>
      <c r="AP261" s="153" t="str">
        <f ca="1">IF(AC261=0,0,IF(AC261=12,0,OFFSET(effect!$N$1,MATCH(K261,effect!M:M,0)-1,0)))</f>
        <v>kpsx_pt</v>
      </c>
    </row>
    <row r="262" spans="1:42">
      <c r="A262" s="153">
        <f ca="1" t="shared" ref="A262:A325" si="44">Q262*1000+N262</f>
        <v>1009017</v>
      </c>
      <c r="B262" s="91" t="s">
        <v>619</v>
      </c>
      <c r="C262" s="186">
        <v>1</v>
      </c>
      <c r="D262" s="186">
        <v>4</v>
      </c>
      <c r="E262" s="165" t="s">
        <v>1050</v>
      </c>
      <c r="F262" s="165" t="str">
        <f>"血量低于50%时，伤害增加"&amp;skill!$O$14/100&amp;"%"</f>
        <v>血量低于50%时，伤害增加30%</v>
      </c>
      <c r="G262" s="186">
        <f ca="1">OFFSET(卡牌辅助配置表!$C$1,MATCH(AC262,卡牌辅助配置表!A:A,0)-1,0)</f>
        <v>6</v>
      </c>
      <c r="H262" s="186">
        <f ca="1">OFFSET(skill!$Q$1,MATCH(B262,skill!B:B,0)-1,0)</f>
        <v>0.461538461538462</v>
      </c>
      <c r="I262" s="186"/>
      <c r="J262" s="186">
        <f ca="1">OFFSET(card_type!$F$1,MATCH(Q262,card_type!A:A,0)-1,0)</f>
        <v>1</v>
      </c>
      <c r="K262" s="243">
        <f ca="1">OFFSET(card_type!$G$1,MATCH(Q262,card_type!A:A,0)-1,0)</f>
        <v>1</v>
      </c>
      <c r="L262" s="157">
        <v>2</v>
      </c>
      <c r="M262" s="157">
        <v>2</v>
      </c>
      <c r="N262" s="153">
        <f t="shared" ref="N262:N325" si="45">IF(B261=B262,N261+1,1)</f>
        <v>17</v>
      </c>
      <c r="O262" s="157"/>
      <c r="P262" s="157"/>
      <c r="Q262" s="153">
        <f ca="1">OFFSET(card_type!$A$1,MATCH(card!B262,card_type!B:B,0)-1,0)</f>
        <v>1009</v>
      </c>
      <c r="R262" s="153">
        <v>1</v>
      </c>
      <c r="S262" s="157">
        <f ca="1">ROUND(IF(R262=0,0,IF(R262=1,X262*$S$1,IF(R262=2,X262*$S$1*buff的资质计算!$E$2,IF(R262=3,X262*$S$1*buff的资质计算!$E$3,0)))),0)*0</f>
        <v>0</v>
      </c>
      <c r="T262" s="153">
        <v>1</v>
      </c>
      <c r="U262" s="153">
        <f ca="1" t="shared" ref="U262:U325" si="46">J262*10+K262</f>
        <v>11</v>
      </c>
      <c r="V262" s="153">
        <f ca="1">ROUND((OFFSET(卡牌辅助配置表!$O$1,MATCH(U262,卡牌辅助配置表!M:M,0)-1,0)+(N262-1)*OFFSET(卡牌辅助配置表!$P$1,MATCH(U262,卡牌辅助配置表!M:M,0)-1,0))*M262,2)</f>
        <v>19.23</v>
      </c>
      <c r="W262" s="157">
        <f ca="1">ROUND(IF(R262=0,0,IF(R262=1,X262*$W$1,IF(R262=2,X262*$W$1*buff的资质计算!$E$2,IF(R262=3,X262*$W$1*buff的资质计算!$E$3,0)))),2)</f>
        <v>7.2</v>
      </c>
      <c r="X262" s="157">
        <f ca="1" t="shared" ref="X262:X325" si="47">M262*($M$1+(J262-1)*$J$1+(K262-1)*$K$1)+G262+$J$1*(N262-1)/$N$1</f>
        <v>24</v>
      </c>
      <c r="Y262" s="157">
        <f ca="1" t="shared" ref="Y262:Y305" si="48">X262+H262</f>
        <v>24.4615384615385</v>
      </c>
      <c r="Z262" s="304">
        <f ca="1" t="shared" ref="Z262:Z325" si="49">Y262/M262</f>
        <v>12.2307692307692</v>
      </c>
      <c r="AA262" s="304">
        <f ca="1">OFFSET(卡牌辅助配置表!$AD$1,MATCH(AB262,卡牌辅助配置表!AB:AB,0)-1,0)</f>
        <v>369</v>
      </c>
      <c r="AB262" s="304">
        <f ca="1" t="shared" ref="AB262:AB325" si="50">J262*1000+K262*100+N262</f>
        <v>1117</v>
      </c>
      <c r="AC262" s="153">
        <v>11</v>
      </c>
      <c r="AE262" s="153">
        <v>5000</v>
      </c>
      <c r="AF262" s="153" t="str">
        <f ca="1" t="shared" ref="AF262:AF305" si="51">((Q262*1000+1)*10+1)&amp;$AF$1</f>
        <v>10090011|</v>
      </c>
      <c r="AJ262" s="205" t="str">
        <f ca="1" t="shared" ref="AJ262:AJ325" si="52">IF(AN262=0,0,IF(AL262=0,$AM$1&amp;$AF$1&amp;AM262&amp;$AF$1&amp;$AJ$1,AK262&amp;$AF$1&amp;AL262&amp;$AF$1&amp;$AJ$1&amp;$AM$1&amp;$AF$1&amp;AM262&amp;$AF$1&amp;$AJ$1))</f>
        <v>400023|5500|;</v>
      </c>
      <c r="AK262" s="205">
        <f ca="1">OFFSET([1]item_type!$A$1,MATCH(Q262,[1]item_type!$G:$G,0)-1,0)</f>
        <v>301009</v>
      </c>
      <c r="AL262" s="205"/>
      <c r="AM262" s="205">
        <f ca="1">IF(B262=B263,OFFSET(卡牌辅助配置表!$AE$1,MATCH(AB262,卡牌辅助配置表!AB:AB,0),0),0)</f>
        <v>5500</v>
      </c>
      <c r="AN262" s="153">
        <f ca="1" t="shared" ref="AN262:AN325" si="53">IF(B262=B263,A262+1,0)</f>
        <v>1009018</v>
      </c>
      <c r="AP262" s="153" t="str">
        <f ca="1">IF(AC262=0,0,IF(AC262=12,0,OFFSET(effect!$N$1,MATCH(K262,effect!M:M,0)-1,0)))</f>
        <v>kpsx_pt</v>
      </c>
    </row>
    <row r="263" spans="1:42">
      <c r="A263" s="153">
        <f ca="1" t="shared" si="44"/>
        <v>1009018</v>
      </c>
      <c r="B263" s="91" t="s">
        <v>619</v>
      </c>
      <c r="C263" s="186">
        <v>1</v>
      </c>
      <c r="D263" s="186">
        <v>4</v>
      </c>
      <c r="E263" s="165" t="s">
        <v>1050</v>
      </c>
      <c r="F263" s="165" t="str">
        <f>"血量低于50%时，伤害增加"&amp;skill!$O$14/100&amp;"%"</f>
        <v>血量低于50%时，伤害增加30%</v>
      </c>
      <c r="G263" s="186">
        <f ca="1">OFFSET(卡牌辅助配置表!$C$1,MATCH(AC263,卡牌辅助配置表!A:A,0)-1,0)</f>
        <v>6</v>
      </c>
      <c r="H263" s="186">
        <f ca="1">OFFSET(skill!$Q$1,MATCH(B263,skill!B:B,0)-1,0)</f>
        <v>0.461538461538462</v>
      </c>
      <c r="I263" s="186"/>
      <c r="J263" s="186">
        <f ca="1">OFFSET(card_type!$F$1,MATCH(Q263,card_type!A:A,0)-1,0)</f>
        <v>1</v>
      </c>
      <c r="K263" s="243">
        <f ca="1">OFFSET(card_type!$G$1,MATCH(Q263,card_type!A:A,0)-1,0)</f>
        <v>1</v>
      </c>
      <c r="L263" s="157">
        <v>2</v>
      </c>
      <c r="M263" s="157">
        <v>2</v>
      </c>
      <c r="N263" s="153">
        <f t="shared" si="45"/>
        <v>18</v>
      </c>
      <c r="O263" s="157"/>
      <c r="P263" s="157"/>
      <c r="Q263" s="153">
        <f ca="1">OFFSET(card_type!$A$1,MATCH(card!B263,card_type!B:B,0)-1,0)</f>
        <v>1009</v>
      </c>
      <c r="R263" s="153">
        <v>1</v>
      </c>
      <c r="S263" s="157">
        <f ca="1">ROUND(IF(R263=0,0,IF(R263=1,X263*$S$1,IF(R263=2,X263*$S$1*buff的资质计算!$E$2,IF(R263=3,X263*$S$1*buff的资质计算!$E$3,0)))),0)*0</f>
        <v>0</v>
      </c>
      <c r="T263" s="153">
        <v>1</v>
      </c>
      <c r="U263" s="153">
        <f ca="1" t="shared" si="46"/>
        <v>11</v>
      </c>
      <c r="V263" s="153">
        <f ca="1">ROUND((OFFSET(卡牌辅助配置表!$O$1,MATCH(U263,卡牌辅助配置表!M:M,0)-1,0)+(N263-1)*OFFSET(卡牌辅助配置表!$P$1,MATCH(U263,卡牌辅助配置表!M:M,0)-1,0))*M263,2)</f>
        <v>19.65</v>
      </c>
      <c r="W263" s="157">
        <f ca="1">ROUND(IF(R263=0,0,IF(R263=1,X263*$W$1,IF(R263=2,X263*$W$1*buff的资质计算!$E$2,IF(R263=3,X263*$W$1*buff的资质计算!$E$3,0)))),2)</f>
        <v>7.35</v>
      </c>
      <c r="X263" s="157">
        <f ca="1" t="shared" si="47"/>
        <v>24.5</v>
      </c>
      <c r="Y263" s="157">
        <f ca="1" t="shared" si="48"/>
        <v>24.9615384615385</v>
      </c>
      <c r="Z263" s="304">
        <f ca="1" t="shared" si="49"/>
        <v>12.4807692307692</v>
      </c>
      <c r="AA263" s="304">
        <f ca="1">OFFSET(卡牌辅助配置表!$AD$1,MATCH(AB263,卡牌辅助配置表!AB:AB,0)-1,0)</f>
        <v>396</v>
      </c>
      <c r="AB263" s="304">
        <f ca="1" t="shared" si="50"/>
        <v>1118</v>
      </c>
      <c r="AC263" s="153">
        <v>11</v>
      </c>
      <c r="AE263" s="153">
        <v>5000</v>
      </c>
      <c r="AF263" s="153" t="str">
        <f ca="1" t="shared" si="51"/>
        <v>10090011|</v>
      </c>
      <c r="AJ263" s="205" t="str">
        <f ca="1" t="shared" si="52"/>
        <v>400023|5900|;</v>
      </c>
      <c r="AK263" s="205">
        <f ca="1">OFFSET([1]item_type!$A$1,MATCH(Q263,[1]item_type!$G:$G,0)-1,0)</f>
        <v>301009</v>
      </c>
      <c r="AL263" s="205"/>
      <c r="AM263" s="205">
        <f ca="1">IF(B263=B264,OFFSET(卡牌辅助配置表!$AE$1,MATCH(AB263,卡牌辅助配置表!AB:AB,0),0),0)</f>
        <v>5900</v>
      </c>
      <c r="AN263" s="153">
        <f ca="1" t="shared" si="53"/>
        <v>1009019</v>
      </c>
      <c r="AP263" s="153" t="str">
        <f ca="1">IF(AC263=0,0,IF(AC263=12,0,OFFSET(effect!$N$1,MATCH(K263,effect!M:M,0)-1,0)))</f>
        <v>kpsx_pt</v>
      </c>
    </row>
    <row r="264" spans="1:42">
      <c r="A264" s="153">
        <f ca="1" t="shared" si="44"/>
        <v>1009019</v>
      </c>
      <c r="B264" s="91" t="s">
        <v>619</v>
      </c>
      <c r="C264" s="186">
        <v>1</v>
      </c>
      <c r="D264" s="186">
        <v>4</v>
      </c>
      <c r="E264" s="165" t="s">
        <v>1050</v>
      </c>
      <c r="F264" s="165" t="str">
        <f>"血量低于50%时，伤害增加"&amp;skill!$O$14/100&amp;"%"</f>
        <v>血量低于50%时，伤害增加30%</v>
      </c>
      <c r="G264" s="186">
        <f ca="1">OFFSET(卡牌辅助配置表!$C$1,MATCH(AC264,卡牌辅助配置表!A:A,0)-1,0)</f>
        <v>6</v>
      </c>
      <c r="H264" s="186">
        <f ca="1">OFFSET(skill!$Q$1,MATCH(B264,skill!B:B,0)-1,0)</f>
        <v>0.461538461538462</v>
      </c>
      <c r="I264" s="186"/>
      <c r="J264" s="186">
        <f ca="1">OFFSET(card_type!$F$1,MATCH(Q264,card_type!A:A,0)-1,0)</f>
        <v>1</v>
      </c>
      <c r="K264" s="243">
        <f ca="1">OFFSET(card_type!$G$1,MATCH(Q264,card_type!A:A,0)-1,0)</f>
        <v>1</v>
      </c>
      <c r="L264" s="157">
        <v>2</v>
      </c>
      <c r="M264" s="157">
        <v>2</v>
      </c>
      <c r="N264" s="153">
        <f t="shared" si="45"/>
        <v>19</v>
      </c>
      <c r="O264" s="157"/>
      <c r="P264" s="157"/>
      <c r="Q264" s="153">
        <f ca="1">OFFSET(card_type!$A$1,MATCH(card!B264,card_type!B:B,0)-1,0)</f>
        <v>1009</v>
      </c>
      <c r="R264" s="153">
        <v>1</v>
      </c>
      <c r="S264" s="157">
        <f ca="1">ROUND(IF(R264=0,0,IF(R264=1,X264*$S$1,IF(R264=2,X264*$S$1*buff的资质计算!$E$2,IF(R264=3,X264*$S$1*buff的资质计算!$E$3,0)))),0)*0</f>
        <v>0</v>
      </c>
      <c r="T264" s="153">
        <v>1</v>
      </c>
      <c r="U264" s="153">
        <f ca="1" t="shared" si="46"/>
        <v>11</v>
      </c>
      <c r="V264" s="153">
        <f ca="1">ROUND((OFFSET(卡牌辅助配置表!$O$1,MATCH(U264,卡牌辅助配置表!M:M,0)-1,0)+(N264-1)*OFFSET(卡牌辅助配置表!$P$1,MATCH(U264,卡牌辅助配置表!M:M,0)-1,0))*M264,2)</f>
        <v>20.06</v>
      </c>
      <c r="W264" s="157">
        <f ca="1">ROUND(IF(R264=0,0,IF(R264=1,X264*$W$1,IF(R264=2,X264*$W$1*buff的资质计算!$E$2,IF(R264=3,X264*$W$1*buff的资质计算!$E$3,0)))),2)</f>
        <v>7.5</v>
      </c>
      <c r="X264" s="157">
        <f ca="1" t="shared" si="47"/>
        <v>25</v>
      </c>
      <c r="Y264" s="157">
        <f ca="1" t="shared" si="48"/>
        <v>25.4615384615385</v>
      </c>
      <c r="Z264" s="304">
        <f ca="1" t="shared" si="49"/>
        <v>12.7307692307692</v>
      </c>
      <c r="AA264" s="304">
        <f ca="1">OFFSET(卡牌辅助配置表!$AD$1,MATCH(AB264,卡牌辅助配置表!AB:AB,0)-1,0)</f>
        <v>423</v>
      </c>
      <c r="AB264" s="304">
        <f ca="1" t="shared" si="50"/>
        <v>1119</v>
      </c>
      <c r="AC264" s="153">
        <v>11</v>
      </c>
      <c r="AE264" s="153">
        <v>5000</v>
      </c>
      <c r="AF264" s="153" t="str">
        <f ca="1" t="shared" si="51"/>
        <v>10090011|</v>
      </c>
      <c r="AJ264" s="205" t="str">
        <f ca="1" t="shared" si="52"/>
        <v>301009|20|;400023|6300|;</v>
      </c>
      <c r="AK264" s="205">
        <f ca="1">OFFSET([1]item_type!$A$1,MATCH(Q264,[1]item_type!$G:$G,0)-1,0)</f>
        <v>301009</v>
      </c>
      <c r="AL264" s="205">
        <v>20</v>
      </c>
      <c r="AM264" s="205">
        <f ca="1">IF(B264=B265,OFFSET(卡牌辅助配置表!$AE$1,MATCH(AB264,卡牌辅助配置表!AB:AB,0),0),0)</f>
        <v>6300</v>
      </c>
      <c r="AN264" s="153">
        <f ca="1" t="shared" si="53"/>
        <v>1009020</v>
      </c>
      <c r="AP264" s="153" t="str">
        <f ca="1">IF(AC264=0,0,IF(AC264=12,0,OFFSET(effect!$N$1,MATCH(K264,effect!M:M,0)-1,0)))</f>
        <v>kpsx_pt</v>
      </c>
    </row>
    <row r="265" spans="1:42">
      <c r="A265" s="153">
        <f ca="1" t="shared" si="44"/>
        <v>1009020</v>
      </c>
      <c r="B265" s="91" t="s">
        <v>619</v>
      </c>
      <c r="C265" s="186">
        <v>1</v>
      </c>
      <c r="D265" s="186">
        <v>4</v>
      </c>
      <c r="E265" s="165" t="s">
        <v>1050</v>
      </c>
      <c r="F265" s="165" t="str">
        <f>"血量低于50%时，伤害增加"&amp;skill!$O$14/100&amp;"%"</f>
        <v>血量低于50%时，伤害增加30%</v>
      </c>
      <c r="G265" s="186">
        <f ca="1">OFFSET(卡牌辅助配置表!$C$1,MATCH(AC265,卡牌辅助配置表!A:A,0)-1,0)</f>
        <v>6</v>
      </c>
      <c r="H265" s="186">
        <f ca="1">OFFSET(skill!$Q$1,MATCH(B265,skill!B:B,0)-1,0)</f>
        <v>0.461538461538462</v>
      </c>
      <c r="I265" s="186"/>
      <c r="J265" s="186">
        <f ca="1">OFFSET(card_type!$F$1,MATCH(Q265,card_type!A:A,0)-1,0)</f>
        <v>1</v>
      </c>
      <c r="K265" s="243">
        <f ca="1">OFFSET(card_type!$G$1,MATCH(Q265,card_type!A:A,0)-1,0)</f>
        <v>1</v>
      </c>
      <c r="L265" s="157">
        <v>2</v>
      </c>
      <c r="M265" s="157">
        <v>2</v>
      </c>
      <c r="N265" s="153">
        <f t="shared" si="45"/>
        <v>20</v>
      </c>
      <c r="O265" s="157"/>
      <c r="P265" s="157"/>
      <c r="Q265" s="153">
        <f ca="1">OFFSET(card_type!$A$1,MATCH(card!B265,card_type!B:B,0)-1,0)</f>
        <v>1009</v>
      </c>
      <c r="R265" s="153">
        <v>1</v>
      </c>
      <c r="S265" s="157">
        <f ca="1">ROUND(IF(R265=0,0,IF(R265=1,X265*$S$1,IF(R265=2,X265*$S$1*buff的资质计算!$E$2,IF(R265=3,X265*$S$1*buff的资质计算!$E$3,0)))),0)*0</f>
        <v>0</v>
      </c>
      <c r="T265" s="153">
        <v>1</v>
      </c>
      <c r="U265" s="153">
        <f ca="1" t="shared" si="46"/>
        <v>11</v>
      </c>
      <c r="V265" s="153">
        <f ca="1">ROUND((OFFSET(卡牌辅助配置表!$O$1,MATCH(U265,卡牌辅助配置表!M:M,0)-1,0)+(N265-1)*OFFSET(卡牌辅助配置表!$P$1,MATCH(U265,卡牌辅助配置表!M:M,0)-1,0))*M265,2)</f>
        <v>20.48</v>
      </c>
      <c r="W265" s="157">
        <f ca="1">ROUND(IF(R265=0,0,IF(R265=1,X265*$W$1,IF(R265=2,X265*$W$1*buff的资质计算!$E$2,IF(R265=3,X265*$W$1*buff的资质计算!$E$3,0)))),2)</f>
        <v>7.65</v>
      </c>
      <c r="X265" s="157">
        <f ca="1" t="shared" si="47"/>
        <v>25.5</v>
      </c>
      <c r="Y265" s="157">
        <f ca="1" t="shared" si="48"/>
        <v>25.9615384615385</v>
      </c>
      <c r="Z265" s="304">
        <f ca="1" t="shared" si="49"/>
        <v>12.9807692307692</v>
      </c>
      <c r="AA265" s="304">
        <f ca="1">OFFSET(卡牌辅助配置表!$AD$1,MATCH(AB265,卡牌辅助配置表!AB:AB,0)-1,0)</f>
        <v>450</v>
      </c>
      <c r="AB265" s="304">
        <f ca="1" t="shared" si="50"/>
        <v>1120</v>
      </c>
      <c r="AC265" s="153">
        <v>11</v>
      </c>
      <c r="AE265" s="153">
        <v>5000</v>
      </c>
      <c r="AF265" s="153" t="str">
        <f ca="1" t="shared" si="51"/>
        <v>10090011|</v>
      </c>
      <c r="AJ265" s="205" t="str">
        <f ca="1" t="shared" si="52"/>
        <v>400023|7100|;</v>
      </c>
      <c r="AK265" s="205">
        <f ca="1">OFFSET([1]item_type!$A$1,MATCH(Q265,[1]item_type!$G:$G,0)-1,0)</f>
        <v>301009</v>
      </c>
      <c r="AL265" s="205"/>
      <c r="AM265" s="205">
        <f ca="1">IF(B265=B266,OFFSET(卡牌辅助配置表!$AE$1,MATCH(AB265,卡牌辅助配置表!AB:AB,0),0),0)</f>
        <v>7100</v>
      </c>
      <c r="AN265" s="153">
        <f ca="1" t="shared" si="53"/>
        <v>1009021</v>
      </c>
      <c r="AP265" s="153" t="str">
        <f ca="1">IF(AC265=0,0,IF(AC265=12,0,OFFSET(effect!$N$1,MATCH(K265,effect!M:M,0)-1,0)))</f>
        <v>kpsx_pt</v>
      </c>
    </row>
    <row r="266" spans="1:42">
      <c r="A266" s="153">
        <f ca="1" t="shared" si="44"/>
        <v>1009021</v>
      </c>
      <c r="B266" s="91" t="s">
        <v>619</v>
      </c>
      <c r="C266" s="186">
        <v>1</v>
      </c>
      <c r="D266" s="186">
        <v>4</v>
      </c>
      <c r="E266" s="165" t="s">
        <v>1050</v>
      </c>
      <c r="F266" s="165" t="str">
        <f>"血量低于50%时，伤害增加"&amp;skill!$O$14/100&amp;"%"</f>
        <v>血量低于50%时，伤害增加30%</v>
      </c>
      <c r="G266" s="186">
        <f ca="1">OFFSET(卡牌辅助配置表!$C$1,MATCH(AC266,卡牌辅助配置表!A:A,0)-1,0)</f>
        <v>6</v>
      </c>
      <c r="H266" s="186">
        <f ca="1">OFFSET(skill!$Q$1,MATCH(B266,skill!B:B,0)-1,0)</f>
        <v>0.461538461538462</v>
      </c>
      <c r="I266" s="186"/>
      <c r="J266" s="186">
        <f ca="1">OFFSET(card_type!$F$1,MATCH(Q266,card_type!A:A,0)-1,0)</f>
        <v>1</v>
      </c>
      <c r="K266" s="243">
        <f ca="1">OFFSET(card_type!$G$1,MATCH(Q266,card_type!A:A,0)-1,0)</f>
        <v>1</v>
      </c>
      <c r="L266" s="157">
        <v>2</v>
      </c>
      <c r="M266" s="157">
        <v>2</v>
      </c>
      <c r="N266" s="153">
        <f t="shared" si="45"/>
        <v>21</v>
      </c>
      <c r="O266" s="157"/>
      <c r="P266" s="157"/>
      <c r="Q266" s="153">
        <f ca="1">OFFSET(card_type!$A$1,MATCH(card!B266,card_type!B:B,0)-1,0)</f>
        <v>1009</v>
      </c>
      <c r="R266" s="153">
        <v>1</v>
      </c>
      <c r="S266" s="157">
        <f ca="1">ROUND(IF(R266=0,0,IF(R266=1,X266*$S$1,IF(R266=2,X266*$S$1*buff的资质计算!$E$2,IF(R266=3,X266*$S$1*buff的资质计算!$E$3,0)))),0)*0</f>
        <v>0</v>
      </c>
      <c r="T266" s="153">
        <v>1</v>
      </c>
      <c r="U266" s="153">
        <f ca="1" t="shared" si="46"/>
        <v>11</v>
      </c>
      <c r="V266" s="153">
        <f ca="1">ROUND((OFFSET(卡牌辅助配置表!$O$1,MATCH(U266,卡牌辅助配置表!M:M,0)-1,0)+(N266-1)*OFFSET(卡牌辅助配置表!$P$1,MATCH(U266,卡牌辅助配置表!M:M,0)-1,0))*M266,2)</f>
        <v>20.9</v>
      </c>
      <c r="W266" s="157">
        <f ca="1">ROUND(IF(R266=0,0,IF(R266=1,X266*$W$1,IF(R266=2,X266*$W$1*buff的资质计算!$E$2,IF(R266=3,X266*$W$1*buff的资质计算!$E$3,0)))),2)</f>
        <v>7.8</v>
      </c>
      <c r="X266" s="157">
        <f ca="1" t="shared" si="47"/>
        <v>26</v>
      </c>
      <c r="Y266" s="157">
        <f ca="1" t="shared" si="48"/>
        <v>26.4615384615385</v>
      </c>
      <c r="Z266" s="304">
        <f ca="1" t="shared" si="49"/>
        <v>13.2307692307692</v>
      </c>
      <c r="AA266" s="304">
        <f ca="1">OFFSET(卡牌辅助配置表!$AD$1,MATCH(AB266,卡牌辅助配置表!AB:AB,0)-1,0)</f>
        <v>486</v>
      </c>
      <c r="AB266" s="304">
        <f ca="1" t="shared" si="50"/>
        <v>1121</v>
      </c>
      <c r="AC266" s="153">
        <v>11</v>
      </c>
      <c r="AE266" s="153">
        <v>5000</v>
      </c>
      <c r="AF266" s="153" t="str">
        <f ca="1" t="shared" si="51"/>
        <v>10090011|</v>
      </c>
      <c r="AJ266" s="205" t="str">
        <f ca="1" t="shared" si="52"/>
        <v>400023|7900|;</v>
      </c>
      <c r="AK266" s="205">
        <f ca="1">OFFSET([1]item_type!$A$1,MATCH(Q266,[1]item_type!$G:$G,0)-1,0)</f>
        <v>301009</v>
      </c>
      <c r="AL266" s="205"/>
      <c r="AM266" s="205">
        <f ca="1">IF(B266=B267,OFFSET(卡牌辅助配置表!$AE$1,MATCH(AB266,卡牌辅助配置表!AB:AB,0),0),0)</f>
        <v>7900</v>
      </c>
      <c r="AN266" s="153">
        <f ca="1" t="shared" si="53"/>
        <v>1009022</v>
      </c>
      <c r="AP266" s="153" t="str">
        <f ca="1">IF(AC266=0,0,IF(AC266=12,0,OFFSET(effect!$N$1,MATCH(K266,effect!M:M,0)-1,0)))</f>
        <v>kpsx_pt</v>
      </c>
    </row>
    <row r="267" spans="1:42">
      <c r="A267" s="153">
        <f ca="1" t="shared" si="44"/>
        <v>1009022</v>
      </c>
      <c r="B267" s="91" t="s">
        <v>619</v>
      </c>
      <c r="C267" s="186">
        <v>1</v>
      </c>
      <c r="D267" s="186">
        <v>4</v>
      </c>
      <c r="E267" s="165" t="s">
        <v>1050</v>
      </c>
      <c r="F267" s="165" t="str">
        <f>"血量低于50%时，伤害增加"&amp;skill!$O$14/100&amp;"%"</f>
        <v>血量低于50%时，伤害增加30%</v>
      </c>
      <c r="G267" s="186">
        <f ca="1">OFFSET(卡牌辅助配置表!$C$1,MATCH(AC267,卡牌辅助配置表!A:A,0)-1,0)</f>
        <v>6</v>
      </c>
      <c r="H267" s="186">
        <f ca="1">OFFSET(skill!$Q$1,MATCH(B267,skill!B:B,0)-1,0)</f>
        <v>0.461538461538462</v>
      </c>
      <c r="I267" s="186"/>
      <c r="J267" s="186">
        <f ca="1">OFFSET(card_type!$F$1,MATCH(Q267,card_type!A:A,0)-1,0)</f>
        <v>1</v>
      </c>
      <c r="K267" s="243">
        <f ca="1">OFFSET(card_type!$G$1,MATCH(Q267,card_type!A:A,0)-1,0)</f>
        <v>1</v>
      </c>
      <c r="L267" s="157">
        <v>2</v>
      </c>
      <c r="M267" s="157">
        <v>2</v>
      </c>
      <c r="N267" s="153">
        <f t="shared" si="45"/>
        <v>22</v>
      </c>
      <c r="O267" s="157"/>
      <c r="P267" s="157"/>
      <c r="Q267" s="153">
        <f ca="1">OFFSET(card_type!$A$1,MATCH(card!B267,card_type!B:B,0)-1,0)</f>
        <v>1009</v>
      </c>
      <c r="R267" s="153">
        <v>1</v>
      </c>
      <c r="S267" s="157">
        <f ca="1">ROUND(IF(R267=0,0,IF(R267=1,X267*$S$1,IF(R267=2,X267*$S$1*buff的资质计算!$E$2,IF(R267=3,X267*$S$1*buff的资质计算!$E$3,0)))),0)*0</f>
        <v>0</v>
      </c>
      <c r="T267" s="153">
        <v>1</v>
      </c>
      <c r="U267" s="153">
        <f ca="1" t="shared" si="46"/>
        <v>11</v>
      </c>
      <c r="V267" s="153">
        <f ca="1">ROUND((OFFSET(卡牌辅助配置表!$O$1,MATCH(U267,卡牌辅助配置表!M:M,0)-1,0)+(N267-1)*OFFSET(卡牌辅助配置表!$P$1,MATCH(U267,卡牌辅助配置表!M:M,0)-1,0))*M267,2)</f>
        <v>21.32</v>
      </c>
      <c r="W267" s="157">
        <f ca="1">ROUND(IF(R267=0,0,IF(R267=1,X267*$W$1,IF(R267=2,X267*$W$1*buff的资质计算!$E$2,IF(R267=3,X267*$W$1*buff的资质计算!$E$3,0)))),2)</f>
        <v>7.95</v>
      </c>
      <c r="X267" s="157">
        <f ca="1" t="shared" si="47"/>
        <v>26.5</v>
      </c>
      <c r="Y267" s="157">
        <f ca="1" t="shared" si="48"/>
        <v>26.9615384615385</v>
      </c>
      <c r="Z267" s="304">
        <f ca="1" t="shared" si="49"/>
        <v>13.4807692307692</v>
      </c>
      <c r="AA267" s="304">
        <f ca="1">OFFSET(卡牌辅助配置表!$AD$1,MATCH(AB267,卡牌辅助配置表!AB:AB,0)-1,0)</f>
        <v>522</v>
      </c>
      <c r="AB267" s="304">
        <f ca="1" t="shared" si="50"/>
        <v>1122</v>
      </c>
      <c r="AC267" s="153">
        <v>11</v>
      </c>
      <c r="AE267" s="153">
        <v>5000</v>
      </c>
      <c r="AF267" s="153" t="str">
        <f ca="1" t="shared" si="51"/>
        <v>10090011|</v>
      </c>
      <c r="AJ267" s="205" t="str">
        <f ca="1" t="shared" si="52"/>
        <v>400023|8700|;</v>
      </c>
      <c r="AK267" s="205">
        <f ca="1">OFFSET([1]item_type!$A$1,MATCH(Q267,[1]item_type!$G:$G,0)-1,0)</f>
        <v>301009</v>
      </c>
      <c r="AL267" s="205"/>
      <c r="AM267" s="205">
        <f ca="1">IF(B267=B268,OFFSET(卡牌辅助配置表!$AE$1,MATCH(AB267,卡牌辅助配置表!AB:AB,0),0),0)</f>
        <v>8700</v>
      </c>
      <c r="AN267" s="153">
        <f ca="1" t="shared" si="53"/>
        <v>1009023</v>
      </c>
      <c r="AP267" s="153" t="str">
        <f ca="1">IF(AC267=0,0,IF(AC267=12,0,OFFSET(effect!$N$1,MATCH(K267,effect!M:M,0)-1,0)))</f>
        <v>kpsx_pt</v>
      </c>
    </row>
    <row r="268" spans="1:42">
      <c r="A268" s="153">
        <f ca="1" t="shared" si="44"/>
        <v>1009023</v>
      </c>
      <c r="B268" s="91" t="s">
        <v>619</v>
      </c>
      <c r="C268" s="186">
        <v>1</v>
      </c>
      <c r="D268" s="186">
        <v>4</v>
      </c>
      <c r="E268" s="165" t="s">
        <v>1050</v>
      </c>
      <c r="F268" s="165" t="str">
        <f>"血量低于50%时，伤害增加"&amp;skill!$O$14/100&amp;"%"</f>
        <v>血量低于50%时，伤害增加30%</v>
      </c>
      <c r="G268" s="186">
        <f ca="1">OFFSET(卡牌辅助配置表!$C$1,MATCH(AC268,卡牌辅助配置表!A:A,0)-1,0)</f>
        <v>6</v>
      </c>
      <c r="H268" s="186">
        <f ca="1">OFFSET(skill!$Q$1,MATCH(B268,skill!B:B,0)-1,0)</f>
        <v>0.461538461538462</v>
      </c>
      <c r="I268" s="186"/>
      <c r="J268" s="186">
        <f ca="1">OFFSET(card_type!$F$1,MATCH(Q268,card_type!A:A,0)-1,0)</f>
        <v>1</v>
      </c>
      <c r="K268" s="243">
        <f ca="1">OFFSET(card_type!$G$1,MATCH(Q268,card_type!A:A,0)-1,0)</f>
        <v>1</v>
      </c>
      <c r="L268" s="157">
        <v>2</v>
      </c>
      <c r="M268" s="157">
        <v>2</v>
      </c>
      <c r="N268" s="153">
        <f t="shared" si="45"/>
        <v>23</v>
      </c>
      <c r="O268" s="157"/>
      <c r="P268" s="157"/>
      <c r="Q268" s="153">
        <f ca="1">OFFSET(card_type!$A$1,MATCH(card!B268,card_type!B:B,0)-1,0)</f>
        <v>1009</v>
      </c>
      <c r="R268" s="153">
        <v>1</v>
      </c>
      <c r="S268" s="157">
        <f ca="1">ROUND(IF(R268=0,0,IF(R268=1,X268*$S$1,IF(R268=2,X268*$S$1*buff的资质计算!$E$2,IF(R268=3,X268*$S$1*buff的资质计算!$E$3,0)))),0)*0</f>
        <v>0</v>
      </c>
      <c r="T268" s="153">
        <v>1</v>
      </c>
      <c r="U268" s="153">
        <f ca="1" t="shared" si="46"/>
        <v>11</v>
      </c>
      <c r="V268" s="153">
        <f ca="1">ROUND((OFFSET(卡牌辅助配置表!$O$1,MATCH(U268,卡牌辅助配置表!M:M,0)-1,0)+(N268-1)*OFFSET(卡牌辅助配置表!$P$1,MATCH(U268,卡牌辅助配置表!M:M,0)-1,0))*M268,2)</f>
        <v>21.74</v>
      </c>
      <c r="W268" s="157">
        <f ca="1">ROUND(IF(R268=0,0,IF(R268=1,X268*$W$1,IF(R268=2,X268*$W$1*buff的资质计算!$E$2,IF(R268=3,X268*$W$1*buff的资质计算!$E$3,0)))),2)</f>
        <v>8.1</v>
      </c>
      <c r="X268" s="157">
        <f ca="1" t="shared" si="47"/>
        <v>27</v>
      </c>
      <c r="Y268" s="157">
        <f ca="1" t="shared" si="48"/>
        <v>27.4615384615385</v>
      </c>
      <c r="Z268" s="304">
        <f ca="1" t="shared" si="49"/>
        <v>13.7307692307692</v>
      </c>
      <c r="AA268" s="304">
        <f ca="1">OFFSET(卡牌辅助配置表!$AD$1,MATCH(AB268,卡牌辅助配置表!AB:AB,0)-1,0)</f>
        <v>558</v>
      </c>
      <c r="AB268" s="304">
        <f ca="1" t="shared" si="50"/>
        <v>1123</v>
      </c>
      <c r="AC268" s="153">
        <v>11</v>
      </c>
      <c r="AE268" s="153">
        <v>5000</v>
      </c>
      <c r="AF268" s="153" t="str">
        <f ca="1" t="shared" si="51"/>
        <v>10090011|</v>
      </c>
      <c r="AJ268" s="205" t="str">
        <f ca="1" t="shared" si="52"/>
        <v>400023|9500|;</v>
      </c>
      <c r="AK268" s="205">
        <f ca="1">OFFSET([1]item_type!$A$1,MATCH(Q268,[1]item_type!$G:$G,0)-1,0)</f>
        <v>301009</v>
      </c>
      <c r="AL268" s="205"/>
      <c r="AM268" s="205">
        <f ca="1">IF(B268=B269,OFFSET(卡牌辅助配置表!$AE$1,MATCH(AB268,卡牌辅助配置表!AB:AB,0),0),0)</f>
        <v>9500</v>
      </c>
      <c r="AN268" s="153">
        <f ca="1" t="shared" si="53"/>
        <v>1009024</v>
      </c>
      <c r="AP268" s="153" t="str">
        <f ca="1">IF(AC268=0,0,IF(AC268=12,0,OFFSET(effect!$N$1,MATCH(K268,effect!M:M,0)-1,0)))</f>
        <v>kpsx_pt</v>
      </c>
    </row>
    <row r="269" spans="1:42">
      <c r="A269" s="153">
        <f ca="1" t="shared" si="44"/>
        <v>1009024</v>
      </c>
      <c r="B269" s="91" t="s">
        <v>619</v>
      </c>
      <c r="C269" s="186">
        <v>1</v>
      </c>
      <c r="D269" s="186">
        <v>4</v>
      </c>
      <c r="E269" s="165" t="s">
        <v>1050</v>
      </c>
      <c r="F269" s="165" t="str">
        <f>"血量低于50%时，伤害增加"&amp;skill!$O$14/100&amp;"%"</f>
        <v>血量低于50%时，伤害增加30%</v>
      </c>
      <c r="G269" s="186">
        <f ca="1">OFFSET(卡牌辅助配置表!$C$1,MATCH(AC269,卡牌辅助配置表!A:A,0)-1,0)</f>
        <v>6</v>
      </c>
      <c r="H269" s="186">
        <f ca="1">OFFSET(skill!$Q$1,MATCH(B269,skill!B:B,0)-1,0)</f>
        <v>0.461538461538462</v>
      </c>
      <c r="I269" s="186"/>
      <c r="J269" s="186">
        <f ca="1">OFFSET(card_type!$F$1,MATCH(Q269,card_type!A:A,0)-1,0)</f>
        <v>1</v>
      </c>
      <c r="K269" s="243">
        <f ca="1">OFFSET(card_type!$G$1,MATCH(Q269,card_type!A:A,0)-1,0)</f>
        <v>1</v>
      </c>
      <c r="L269" s="157">
        <v>2</v>
      </c>
      <c r="M269" s="157">
        <v>2</v>
      </c>
      <c r="N269" s="153">
        <f t="shared" si="45"/>
        <v>24</v>
      </c>
      <c r="O269" s="157"/>
      <c r="P269" s="157"/>
      <c r="Q269" s="153">
        <f ca="1">OFFSET(card_type!$A$1,MATCH(card!B269,card_type!B:B,0)-1,0)</f>
        <v>1009</v>
      </c>
      <c r="R269" s="153">
        <v>1</v>
      </c>
      <c r="S269" s="157">
        <f ca="1">ROUND(IF(R269=0,0,IF(R269=1,X269*$S$1,IF(R269=2,X269*$S$1*buff的资质计算!$E$2,IF(R269=3,X269*$S$1*buff的资质计算!$E$3,0)))),0)*0</f>
        <v>0</v>
      </c>
      <c r="T269" s="153">
        <v>1</v>
      </c>
      <c r="U269" s="153">
        <f ca="1" t="shared" si="46"/>
        <v>11</v>
      </c>
      <c r="V269" s="153">
        <f ca="1">ROUND((OFFSET(卡牌辅助配置表!$O$1,MATCH(U269,卡牌辅助配置表!M:M,0)-1,0)+(N269-1)*OFFSET(卡牌辅助配置表!$P$1,MATCH(U269,卡牌辅助配置表!M:M,0)-1,0))*M269,2)</f>
        <v>22.15</v>
      </c>
      <c r="W269" s="157">
        <f ca="1">ROUND(IF(R269=0,0,IF(R269=1,X269*$W$1,IF(R269=2,X269*$W$1*buff的资质计算!$E$2,IF(R269=3,X269*$W$1*buff的资质计算!$E$3,0)))),2)</f>
        <v>8.25</v>
      </c>
      <c r="X269" s="157">
        <f ca="1" t="shared" si="47"/>
        <v>27.5</v>
      </c>
      <c r="Y269" s="157">
        <f ca="1" t="shared" si="48"/>
        <v>27.9615384615385</v>
      </c>
      <c r="Z269" s="304">
        <f ca="1" t="shared" si="49"/>
        <v>13.9807692307692</v>
      </c>
      <c r="AA269" s="304">
        <f ca="1">OFFSET(卡牌辅助配置表!$AD$1,MATCH(AB269,卡牌辅助配置表!AB:AB,0)-1,0)</f>
        <v>594</v>
      </c>
      <c r="AB269" s="304">
        <f ca="1" t="shared" si="50"/>
        <v>1124</v>
      </c>
      <c r="AC269" s="153">
        <v>11</v>
      </c>
      <c r="AE269" s="153">
        <v>5000</v>
      </c>
      <c r="AF269" s="153" t="str">
        <f ca="1" t="shared" si="51"/>
        <v>10090011|</v>
      </c>
      <c r="AJ269" s="205" t="str">
        <f ca="1" t="shared" si="52"/>
        <v>400023|10300|;</v>
      </c>
      <c r="AK269" s="205">
        <f ca="1">OFFSET([1]item_type!$A$1,MATCH(Q269,[1]item_type!$G:$G,0)-1,0)</f>
        <v>301009</v>
      </c>
      <c r="AL269" s="205"/>
      <c r="AM269" s="205">
        <f ca="1">IF(B269=B270,OFFSET(卡牌辅助配置表!$AE$1,MATCH(AB269,卡牌辅助配置表!AB:AB,0),0),0)</f>
        <v>10300</v>
      </c>
      <c r="AN269" s="153">
        <f ca="1" t="shared" si="53"/>
        <v>1009025</v>
      </c>
      <c r="AP269" s="153" t="str">
        <f ca="1">IF(AC269=0,0,IF(AC269=12,0,OFFSET(effect!$N$1,MATCH(K269,effect!M:M,0)-1,0)))</f>
        <v>kpsx_pt</v>
      </c>
    </row>
    <row r="270" spans="1:42">
      <c r="A270" s="153">
        <f ca="1" t="shared" si="44"/>
        <v>1009025</v>
      </c>
      <c r="B270" s="91" t="s">
        <v>619</v>
      </c>
      <c r="C270" s="186">
        <v>1</v>
      </c>
      <c r="D270" s="186">
        <v>4</v>
      </c>
      <c r="E270" s="165" t="s">
        <v>1050</v>
      </c>
      <c r="F270" s="165" t="str">
        <f>"血量低于50%时，伤害增加"&amp;skill!$O$14/100&amp;"%"</f>
        <v>血量低于50%时，伤害增加30%</v>
      </c>
      <c r="G270" s="186">
        <f ca="1">OFFSET(卡牌辅助配置表!$C$1,MATCH(AC270,卡牌辅助配置表!A:A,0)-1,0)</f>
        <v>6</v>
      </c>
      <c r="H270" s="186">
        <f ca="1">OFFSET(skill!$Q$1,MATCH(B270,skill!B:B,0)-1,0)</f>
        <v>0.461538461538462</v>
      </c>
      <c r="I270" s="186"/>
      <c r="J270" s="186">
        <f ca="1">OFFSET(card_type!$F$1,MATCH(Q270,card_type!A:A,0)-1,0)</f>
        <v>1</v>
      </c>
      <c r="K270" s="243">
        <f ca="1">OFFSET(card_type!$G$1,MATCH(Q270,card_type!A:A,0)-1,0)</f>
        <v>1</v>
      </c>
      <c r="L270" s="157">
        <v>2</v>
      </c>
      <c r="M270" s="157">
        <v>2</v>
      </c>
      <c r="N270" s="153">
        <f t="shared" si="45"/>
        <v>25</v>
      </c>
      <c r="O270" s="157"/>
      <c r="P270" s="157"/>
      <c r="Q270" s="153">
        <f ca="1">OFFSET(card_type!$A$1,MATCH(card!B270,card_type!B:B,0)-1,0)</f>
        <v>1009</v>
      </c>
      <c r="R270" s="153">
        <v>1</v>
      </c>
      <c r="S270" s="157">
        <f ca="1">ROUND(IF(R270=0,0,IF(R270=1,X270*$S$1,IF(R270=2,X270*$S$1*buff的资质计算!$E$2,IF(R270=3,X270*$S$1*buff的资质计算!$E$3,0)))),0)*0</f>
        <v>0</v>
      </c>
      <c r="T270" s="153">
        <v>1</v>
      </c>
      <c r="U270" s="153">
        <f ca="1" t="shared" si="46"/>
        <v>11</v>
      </c>
      <c r="V270" s="153">
        <f ca="1">ROUND((OFFSET(卡牌辅助配置表!$O$1,MATCH(U270,卡牌辅助配置表!M:M,0)-1,0)+(N270-1)*OFFSET(卡牌辅助配置表!$P$1,MATCH(U270,卡牌辅助配置表!M:M,0)-1,0))*M270,2)</f>
        <v>22.57</v>
      </c>
      <c r="W270" s="157">
        <f ca="1">ROUND(IF(R270=0,0,IF(R270=1,X270*$W$1,IF(R270=2,X270*$W$1*buff的资质计算!$E$2,IF(R270=3,X270*$W$1*buff的资质计算!$E$3,0)))),2)</f>
        <v>8.4</v>
      </c>
      <c r="X270" s="157">
        <f ca="1" t="shared" si="47"/>
        <v>28</v>
      </c>
      <c r="Y270" s="157">
        <f ca="1" t="shared" si="48"/>
        <v>28.4615384615385</v>
      </c>
      <c r="Z270" s="304">
        <f ca="1" t="shared" si="49"/>
        <v>14.2307692307692</v>
      </c>
      <c r="AA270" s="304">
        <f ca="1">OFFSET(卡牌辅助配置表!$AD$1,MATCH(AB270,卡牌辅助配置表!AB:AB,0)-1,0)</f>
        <v>630</v>
      </c>
      <c r="AB270" s="304">
        <f ca="1" t="shared" si="50"/>
        <v>1125</v>
      </c>
      <c r="AC270" s="153">
        <v>11</v>
      </c>
      <c r="AE270" s="153">
        <v>5000</v>
      </c>
      <c r="AF270" s="153" t="str">
        <f ca="1" t="shared" si="51"/>
        <v>10090011|</v>
      </c>
      <c r="AJ270" s="205" t="str">
        <f ca="1" t="shared" si="52"/>
        <v>400023|11100|;</v>
      </c>
      <c r="AK270" s="205">
        <f ca="1">OFFSET([1]item_type!$A$1,MATCH(Q270,[1]item_type!$G:$G,0)-1,0)</f>
        <v>301009</v>
      </c>
      <c r="AL270" s="205"/>
      <c r="AM270" s="205">
        <f ca="1">IF(B270=B271,OFFSET(卡牌辅助配置表!$AE$1,MATCH(AB270,卡牌辅助配置表!AB:AB,0),0),0)</f>
        <v>11100</v>
      </c>
      <c r="AN270" s="153">
        <f ca="1" t="shared" si="53"/>
        <v>1009026</v>
      </c>
      <c r="AP270" s="153" t="str">
        <f ca="1">IF(AC270=0,0,IF(AC270=12,0,OFFSET(effect!$N$1,MATCH(K270,effect!M:M,0)-1,0)))</f>
        <v>kpsx_pt</v>
      </c>
    </row>
    <row r="271" spans="1:42">
      <c r="A271" s="153">
        <f ca="1" t="shared" si="44"/>
        <v>1009026</v>
      </c>
      <c r="B271" s="91" t="s">
        <v>619</v>
      </c>
      <c r="C271" s="186">
        <v>1</v>
      </c>
      <c r="D271" s="186">
        <v>4</v>
      </c>
      <c r="E271" s="165" t="s">
        <v>1050</v>
      </c>
      <c r="F271" s="165" t="str">
        <f>"血量低于50%时，伤害增加"&amp;skill!$O$14/100&amp;"%"</f>
        <v>血量低于50%时，伤害增加30%</v>
      </c>
      <c r="G271" s="186">
        <f ca="1">OFFSET(卡牌辅助配置表!$C$1,MATCH(AC271,卡牌辅助配置表!A:A,0)-1,0)</f>
        <v>6</v>
      </c>
      <c r="H271" s="186">
        <f ca="1">OFFSET(skill!$Q$1,MATCH(B271,skill!B:B,0)-1,0)</f>
        <v>0.461538461538462</v>
      </c>
      <c r="I271" s="186"/>
      <c r="J271" s="186">
        <f ca="1">OFFSET(card_type!$F$1,MATCH(Q271,card_type!A:A,0)-1,0)</f>
        <v>1</v>
      </c>
      <c r="K271" s="243">
        <f ca="1">OFFSET(card_type!$G$1,MATCH(Q271,card_type!A:A,0)-1,0)</f>
        <v>1</v>
      </c>
      <c r="L271" s="157">
        <v>2</v>
      </c>
      <c r="M271" s="157">
        <v>2</v>
      </c>
      <c r="N271" s="153">
        <f t="shared" si="45"/>
        <v>26</v>
      </c>
      <c r="O271" s="157"/>
      <c r="P271" s="157"/>
      <c r="Q271" s="153">
        <f ca="1">OFFSET(card_type!$A$1,MATCH(card!B271,card_type!B:B,0)-1,0)</f>
        <v>1009</v>
      </c>
      <c r="R271" s="153">
        <v>1</v>
      </c>
      <c r="S271" s="157">
        <f ca="1">ROUND(IF(R271=0,0,IF(R271=1,X271*$S$1,IF(R271=2,X271*$S$1*buff的资质计算!$E$2,IF(R271=3,X271*$S$1*buff的资质计算!$E$3,0)))),0)*0</f>
        <v>0</v>
      </c>
      <c r="T271" s="153">
        <v>1</v>
      </c>
      <c r="U271" s="153">
        <f ca="1" t="shared" si="46"/>
        <v>11</v>
      </c>
      <c r="V271" s="153">
        <f ca="1">ROUND((OFFSET(卡牌辅助配置表!$O$1,MATCH(U271,卡牌辅助配置表!M:M,0)-1,0)+(N271-1)*OFFSET(卡牌辅助配置表!$P$1,MATCH(U271,卡牌辅助配置表!M:M,0)-1,0))*M271,2)</f>
        <v>22.99</v>
      </c>
      <c r="W271" s="157">
        <f ca="1">ROUND(IF(R271=0,0,IF(R271=1,X271*$W$1,IF(R271=2,X271*$W$1*buff的资质计算!$E$2,IF(R271=3,X271*$W$1*buff的资质计算!$E$3,0)))),2)</f>
        <v>8.55</v>
      </c>
      <c r="X271" s="157">
        <f ca="1" t="shared" si="47"/>
        <v>28.5</v>
      </c>
      <c r="Y271" s="157">
        <f ca="1" t="shared" si="48"/>
        <v>28.9615384615385</v>
      </c>
      <c r="Z271" s="304">
        <f ca="1" t="shared" si="49"/>
        <v>14.4807692307692</v>
      </c>
      <c r="AA271" s="304">
        <f ca="1">OFFSET(卡牌辅助配置表!$AD$1,MATCH(AB271,卡牌辅助配置表!AB:AB,0)-1,0)</f>
        <v>666</v>
      </c>
      <c r="AB271" s="304">
        <f ca="1" t="shared" si="50"/>
        <v>1126</v>
      </c>
      <c r="AC271" s="153">
        <v>11</v>
      </c>
      <c r="AE271" s="153">
        <v>5000</v>
      </c>
      <c r="AF271" s="153" t="str">
        <f ca="1" t="shared" si="51"/>
        <v>10090011|</v>
      </c>
      <c r="AJ271" s="205" t="str">
        <f ca="1" t="shared" si="52"/>
        <v>400023|11900|;</v>
      </c>
      <c r="AK271" s="205">
        <f ca="1">OFFSET([1]item_type!$A$1,MATCH(Q271,[1]item_type!$G:$G,0)-1,0)</f>
        <v>301009</v>
      </c>
      <c r="AL271" s="205"/>
      <c r="AM271" s="205">
        <f ca="1">IF(B271=B272,OFFSET(卡牌辅助配置表!$AE$1,MATCH(AB271,卡牌辅助配置表!AB:AB,0),0),0)</f>
        <v>11900</v>
      </c>
      <c r="AN271" s="153">
        <f ca="1" t="shared" si="53"/>
        <v>1009027</v>
      </c>
      <c r="AP271" s="153" t="str">
        <f ca="1">IF(AC271=0,0,IF(AC271=12,0,OFFSET(effect!$N$1,MATCH(K271,effect!M:M,0)-1,0)))</f>
        <v>kpsx_pt</v>
      </c>
    </row>
    <row r="272" spans="1:42">
      <c r="A272" s="153">
        <f ca="1" t="shared" si="44"/>
        <v>1009027</v>
      </c>
      <c r="B272" s="91" t="s">
        <v>619</v>
      </c>
      <c r="C272" s="186">
        <v>1</v>
      </c>
      <c r="D272" s="186">
        <v>4</v>
      </c>
      <c r="E272" s="165" t="s">
        <v>1050</v>
      </c>
      <c r="F272" s="165" t="str">
        <f>"血量低于50%时，伤害增加"&amp;skill!$O$14/100&amp;"%"</f>
        <v>血量低于50%时，伤害增加30%</v>
      </c>
      <c r="G272" s="186">
        <f ca="1">OFFSET(卡牌辅助配置表!$C$1,MATCH(AC272,卡牌辅助配置表!A:A,0)-1,0)</f>
        <v>6</v>
      </c>
      <c r="H272" s="186">
        <f ca="1">OFFSET(skill!$Q$1,MATCH(B272,skill!B:B,0)-1,0)</f>
        <v>0.461538461538462</v>
      </c>
      <c r="I272" s="186"/>
      <c r="J272" s="186">
        <f ca="1">OFFSET(card_type!$F$1,MATCH(Q272,card_type!A:A,0)-1,0)</f>
        <v>1</v>
      </c>
      <c r="K272" s="243">
        <f ca="1">OFFSET(card_type!$G$1,MATCH(Q272,card_type!A:A,0)-1,0)</f>
        <v>1</v>
      </c>
      <c r="L272" s="157">
        <v>2</v>
      </c>
      <c r="M272" s="157">
        <v>2</v>
      </c>
      <c r="N272" s="153">
        <f t="shared" si="45"/>
        <v>27</v>
      </c>
      <c r="O272" s="157"/>
      <c r="P272" s="157"/>
      <c r="Q272" s="153">
        <f ca="1">OFFSET(card_type!$A$1,MATCH(card!B272,card_type!B:B,0)-1,0)</f>
        <v>1009</v>
      </c>
      <c r="R272" s="153">
        <v>1</v>
      </c>
      <c r="S272" s="157">
        <f ca="1">ROUND(IF(R272=0,0,IF(R272=1,X272*$S$1,IF(R272=2,X272*$S$1*buff的资质计算!$E$2,IF(R272=3,X272*$S$1*buff的资质计算!$E$3,0)))),0)*0</f>
        <v>0</v>
      </c>
      <c r="T272" s="153">
        <v>1</v>
      </c>
      <c r="U272" s="153">
        <f ca="1" t="shared" si="46"/>
        <v>11</v>
      </c>
      <c r="V272" s="153">
        <f ca="1">ROUND((OFFSET(卡牌辅助配置表!$O$1,MATCH(U272,卡牌辅助配置表!M:M,0)-1,0)+(N272-1)*OFFSET(卡牌辅助配置表!$P$1,MATCH(U272,卡牌辅助配置表!M:M,0)-1,0))*M272,2)</f>
        <v>23.41</v>
      </c>
      <c r="W272" s="157">
        <f ca="1">ROUND(IF(R272=0,0,IF(R272=1,X272*$W$1,IF(R272=2,X272*$W$1*buff的资质计算!$E$2,IF(R272=3,X272*$W$1*buff的资质计算!$E$3,0)))),2)</f>
        <v>8.7</v>
      </c>
      <c r="X272" s="157">
        <f ca="1" t="shared" si="47"/>
        <v>29</v>
      </c>
      <c r="Y272" s="157">
        <f ca="1" t="shared" si="48"/>
        <v>29.4615384615385</v>
      </c>
      <c r="Z272" s="304">
        <f ca="1" t="shared" si="49"/>
        <v>14.7307692307692</v>
      </c>
      <c r="AA272" s="304">
        <f ca="1">OFFSET(卡牌辅助配置表!$AD$1,MATCH(AB272,卡牌辅助配置表!AB:AB,0)-1,0)</f>
        <v>702</v>
      </c>
      <c r="AB272" s="304">
        <f ca="1" t="shared" si="50"/>
        <v>1127</v>
      </c>
      <c r="AC272" s="153">
        <v>11</v>
      </c>
      <c r="AE272" s="153">
        <v>5000</v>
      </c>
      <c r="AF272" s="153" t="str">
        <f ca="1" t="shared" si="51"/>
        <v>10090011|</v>
      </c>
      <c r="AJ272" s="205" t="str">
        <f ca="1" t="shared" si="52"/>
        <v>400023|12700|;</v>
      </c>
      <c r="AK272" s="205">
        <f ca="1">OFFSET([1]item_type!$A$1,MATCH(Q272,[1]item_type!$G:$G,0)-1,0)</f>
        <v>301009</v>
      </c>
      <c r="AL272" s="205"/>
      <c r="AM272" s="205">
        <f ca="1">IF(B272=B273,OFFSET(卡牌辅助配置表!$AE$1,MATCH(AB272,卡牌辅助配置表!AB:AB,0),0),0)</f>
        <v>12700</v>
      </c>
      <c r="AN272" s="153">
        <f ca="1" t="shared" si="53"/>
        <v>1009028</v>
      </c>
      <c r="AP272" s="153" t="str">
        <f ca="1">IF(AC272=0,0,IF(AC272=12,0,OFFSET(effect!$N$1,MATCH(K272,effect!M:M,0)-1,0)))</f>
        <v>kpsx_pt</v>
      </c>
    </row>
    <row r="273" spans="1:42">
      <c r="A273" s="153">
        <f ca="1" t="shared" si="44"/>
        <v>1009028</v>
      </c>
      <c r="B273" s="91" t="s">
        <v>619</v>
      </c>
      <c r="C273" s="186">
        <v>1</v>
      </c>
      <c r="D273" s="186">
        <v>4</v>
      </c>
      <c r="E273" s="165" t="s">
        <v>1050</v>
      </c>
      <c r="F273" s="165" t="str">
        <f>"血量低于50%时，伤害增加"&amp;skill!$O$14/100&amp;"%"</f>
        <v>血量低于50%时，伤害增加30%</v>
      </c>
      <c r="G273" s="186">
        <f ca="1">OFFSET(卡牌辅助配置表!$C$1,MATCH(AC273,卡牌辅助配置表!A:A,0)-1,0)</f>
        <v>6</v>
      </c>
      <c r="H273" s="186">
        <f ca="1">OFFSET(skill!$Q$1,MATCH(B273,skill!B:B,0)-1,0)</f>
        <v>0.461538461538462</v>
      </c>
      <c r="I273" s="186"/>
      <c r="J273" s="186">
        <f ca="1">OFFSET(card_type!$F$1,MATCH(Q273,card_type!A:A,0)-1,0)</f>
        <v>1</v>
      </c>
      <c r="K273" s="243">
        <f ca="1">OFFSET(card_type!$G$1,MATCH(Q273,card_type!A:A,0)-1,0)</f>
        <v>1</v>
      </c>
      <c r="L273" s="157">
        <v>2</v>
      </c>
      <c r="M273" s="157">
        <v>2</v>
      </c>
      <c r="N273" s="153">
        <f t="shared" si="45"/>
        <v>28</v>
      </c>
      <c r="O273" s="157"/>
      <c r="P273" s="157"/>
      <c r="Q273" s="153">
        <f ca="1">OFFSET(card_type!$A$1,MATCH(card!B273,card_type!B:B,0)-1,0)</f>
        <v>1009</v>
      </c>
      <c r="R273" s="153">
        <v>1</v>
      </c>
      <c r="S273" s="157">
        <f ca="1">ROUND(IF(R273=0,0,IF(R273=1,X273*$S$1,IF(R273=2,X273*$S$1*buff的资质计算!$E$2,IF(R273=3,X273*$S$1*buff的资质计算!$E$3,0)))),0)*0</f>
        <v>0</v>
      </c>
      <c r="T273" s="153">
        <v>1</v>
      </c>
      <c r="U273" s="153">
        <f ca="1" t="shared" si="46"/>
        <v>11</v>
      </c>
      <c r="V273" s="153">
        <f ca="1">ROUND((OFFSET(卡牌辅助配置表!$O$1,MATCH(U273,卡牌辅助配置表!M:M,0)-1,0)+(N273-1)*OFFSET(卡牌辅助配置表!$P$1,MATCH(U273,卡牌辅助配置表!M:M,0)-1,0))*M273,2)</f>
        <v>23.83</v>
      </c>
      <c r="W273" s="157">
        <f ca="1">ROUND(IF(R273=0,0,IF(R273=1,X273*$W$1,IF(R273=2,X273*$W$1*buff的资质计算!$E$2,IF(R273=3,X273*$W$1*buff的资质计算!$E$3,0)))),2)</f>
        <v>8.85</v>
      </c>
      <c r="X273" s="157">
        <f ca="1" t="shared" si="47"/>
        <v>29.5</v>
      </c>
      <c r="Y273" s="157">
        <f ca="1" t="shared" si="48"/>
        <v>29.9615384615385</v>
      </c>
      <c r="Z273" s="304">
        <f ca="1" t="shared" si="49"/>
        <v>14.9807692307692</v>
      </c>
      <c r="AA273" s="304">
        <f ca="1">OFFSET(卡牌辅助配置表!$AD$1,MATCH(AB273,卡牌辅助配置表!AB:AB,0)-1,0)</f>
        <v>738</v>
      </c>
      <c r="AB273" s="304">
        <f ca="1" t="shared" si="50"/>
        <v>1128</v>
      </c>
      <c r="AC273" s="153">
        <v>11</v>
      </c>
      <c r="AE273" s="153">
        <v>5000</v>
      </c>
      <c r="AF273" s="153" t="str">
        <f ca="1" t="shared" si="51"/>
        <v>10090011|</v>
      </c>
      <c r="AJ273" s="205" t="str">
        <f ca="1" t="shared" si="52"/>
        <v>400023|13500|;</v>
      </c>
      <c r="AK273" s="205">
        <f ca="1">OFFSET([1]item_type!$A$1,MATCH(Q273,[1]item_type!$G:$G,0)-1,0)</f>
        <v>301009</v>
      </c>
      <c r="AL273" s="205"/>
      <c r="AM273" s="205">
        <f ca="1">IF(B273=B274,OFFSET(卡牌辅助配置表!$AE$1,MATCH(AB273,卡牌辅助配置表!AB:AB,0),0),0)</f>
        <v>13500</v>
      </c>
      <c r="AN273" s="153">
        <f ca="1" t="shared" si="53"/>
        <v>1009029</v>
      </c>
      <c r="AP273" s="153" t="str">
        <f ca="1">IF(AC273=0,0,IF(AC273=12,0,OFFSET(effect!$N$1,MATCH(K273,effect!M:M,0)-1,0)))</f>
        <v>kpsx_pt</v>
      </c>
    </row>
    <row r="274" spans="1:42">
      <c r="A274" s="153">
        <f ca="1" t="shared" si="44"/>
        <v>1009029</v>
      </c>
      <c r="B274" s="91" t="s">
        <v>619</v>
      </c>
      <c r="C274" s="186">
        <v>1</v>
      </c>
      <c r="D274" s="186">
        <v>4</v>
      </c>
      <c r="E274" s="165" t="s">
        <v>1050</v>
      </c>
      <c r="F274" s="165" t="str">
        <f>"血量低于50%时，伤害增加"&amp;skill!$O$14/100&amp;"%"</f>
        <v>血量低于50%时，伤害增加30%</v>
      </c>
      <c r="G274" s="186">
        <f ca="1">OFFSET(卡牌辅助配置表!$C$1,MATCH(AC274,卡牌辅助配置表!A:A,0)-1,0)</f>
        <v>6</v>
      </c>
      <c r="H274" s="186">
        <f ca="1">OFFSET(skill!$Q$1,MATCH(B274,skill!B:B,0)-1,0)</f>
        <v>0.461538461538462</v>
      </c>
      <c r="I274" s="186"/>
      <c r="J274" s="186">
        <f ca="1">OFFSET(card_type!$F$1,MATCH(Q274,card_type!A:A,0)-1,0)</f>
        <v>1</v>
      </c>
      <c r="K274" s="243">
        <f ca="1">OFFSET(card_type!$G$1,MATCH(Q274,card_type!A:A,0)-1,0)</f>
        <v>1</v>
      </c>
      <c r="L274" s="157">
        <v>2</v>
      </c>
      <c r="M274" s="157">
        <v>2</v>
      </c>
      <c r="N274" s="153">
        <f t="shared" si="45"/>
        <v>29</v>
      </c>
      <c r="O274" s="157"/>
      <c r="P274" s="157"/>
      <c r="Q274" s="153">
        <f ca="1">OFFSET(card_type!$A$1,MATCH(card!B274,card_type!B:B,0)-1,0)</f>
        <v>1009</v>
      </c>
      <c r="R274" s="153">
        <v>1</v>
      </c>
      <c r="S274" s="157">
        <f ca="1">ROUND(IF(R274=0,0,IF(R274=1,X274*$S$1,IF(R274=2,X274*$S$1*buff的资质计算!$E$2,IF(R274=3,X274*$S$1*buff的资质计算!$E$3,0)))),0)*0</f>
        <v>0</v>
      </c>
      <c r="T274" s="153">
        <v>1</v>
      </c>
      <c r="U274" s="153">
        <f ca="1" t="shared" si="46"/>
        <v>11</v>
      </c>
      <c r="V274" s="153">
        <f ca="1">ROUND((OFFSET(卡牌辅助配置表!$O$1,MATCH(U274,卡牌辅助配置表!M:M,0)-1,0)+(N274-1)*OFFSET(卡牌辅助配置表!$P$1,MATCH(U274,卡牌辅助配置表!M:M,0)-1,0))*M274,2)</f>
        <v>24.24</v>
      </c>
      <c r="W274" s="157">
        <f ca="1">ROUND(IF(R274=0,0,IF(R274=1,X274*$W$1,IF(R274=2,X274*$W$1*buff的资质计算!$E$2,IF(R274=3,X274*$W$1*buff的资质计算!$E$3,0)))),2)</f>
        <v>9</v>
      </c>
      <c r="X274" s="157">
        <f ca="1" t="shared" si="47"/>
        <v>30</v>
      </c>
      <c r="Y274" s="157">
        <f ca="1" t="shared" si="48"/>
        <v>30.4615384615385</v>
      </c>
      <c r="Z274" s="304">
        <f ca="1" t="shared" si="49"/>
        <v>15.2307692307692</v>
      </c>
      <c r="AA274" s="304">
        <f ca="1">OFFSET(卡牌辅助配置表!$AD$1,MATCH(AB274,卡牌辅助配置表!AB:AB,0)-1,0)</f>
        <v>774</v>
      </c>
      <c r="AB274" s="304">
        <f ca="1" t="shared" si="50"/>
        <v>1129</v>
      </c>
      <c r="AC274" s="153">
        <v>11</v>
      </c>
      <c r="AE274" s="153">
        <v>5000</v>
      </c>
      <c r="AF274" s="153" t="str">
        <f ca="1" t="shared" si="51"/>
        <v>10090011|</v>
      </c>
      <c r="AJ274" s="205" t="str">
        <f ca="1" t="shared" si="52"/>
        <v>301009|30|;400023|14300|;</v>
      </c>
      <c r="AK274" s="205">
        <f ca="1">OFFSET([1]item_type!$A$1,MATCH(Q274,[1]item_type!$G:$G,0)-1,0)</f>
        <v>301009</v>
      </c>
      <c r="AL274" s="205">
        <v>30</v>
      </c>
      <c r="AM274" s="205">
        <f ca="1">IF(B274=B275,OFFSET(卡牌辅助配置表!$AE$1,MATCH(AB274,卡牌辅助配置表!AB:AB,0),0),0)</f>
        <v>14300</v>
      </c>
      <c r="AN274" s="153">
        <f ca="1" t="shared" si="53"/>
        <v>1009030</v>
      </c>
      <c r="AP274" s="153" t="str">
        <f ca="1">IF(AC274=0,0,IF(AC274=12,0,OFFSET(effect!$N$1,MATCH(K274,effect!M:M,0)-1,0)))</f>
        <v>kpsx_pt</v>
      </c>
    </row>
    <row r="275" spans="1:42">
      <c r="A275" s="153">
        <f ca="1" t="shared" si="44"/>
        <v>1009030</v>
      </c>
      <c r="B275" s="91" t="s">
        <v>619</v>
      </c>
      <c r="C275" s="186">
        <v>1</v>
      </c>
      <c r="D275" s="186">
        <v>4</v>
      </c>
      <c r="E275" s="165" t="s">
        <v>1050</v>
      </c>
      <c r="F275" s="165" t="str">
        <f>"血量低于50%时，伤害增加"&amp;skill!$O$14/100&amp;"%"</f>
        <v>血量低于50%时，伤害增加30%</v>
      </c>
      <c r="G275" s="186">
        <f ca="1">OFFSET(卡牌辅助配置表!$C$1,MATCH(AC275,卡牌辅助配置表!A:A,0)-1,0)</f>
        <v>6</v>
      </c>
      <c r="H275" s="186">
        <f ca="1">OFFSET(skill!$Q$1,MATCH(B275,skill!B:B,0)-1,0)</f>
        <v>0.461538461538462</v>
      </c>
      <c r="I275" s="186"/>
      <c r="J275" s="186">
        <f ca="1">OFFSET(card_type!$F$1,MATCH(Q275,card_type!A:A,0)-1,0)</f>
        <v>1</v>
      </c>
      <c r="K275" s="243">
        <f ca="1">OFFSET(card_type!$G$1,MATCH(Q275,card_type!A:A,0)-1,0)</f>
        <v>1</v>
      </c>
      <c r="L275" s="157">
        <v>2</v>
      </c>
      <c r="M275" s="157">
        <v>2</v>
      </c>
      <c r="N275" s="153">
        <f t="shared" si="45"/>
        <v>30</v>
      </c>
      <c r="O275" s="157"/>
      <c r="P275" s="157"/>
      <c r="Q275" s="153">
        <f ca="1">OFFSET(card_type!$A$1,MATCH(card!B275,card_type!B:B,0)-1,0)</f>
        <v>1009</v>
      </c>
      <c r="R275" s="153">
        <v>1</v>
      </c>
      <c r="S275" s="157">
        <f ca="1">ROUND(IF(R275=0,0,IF(R275=1,X275*$S$1,IF(R275=2,X275*$S$1*buff的资质计算!$E$2,IF(R275=3,X275*$S$1*buff的资质计算!$E$3,0)))),0)*0</f>
        <v>0</v>
      </c>
      <c r="T275" s="153">
        <v>1</v>
      </c>
      <c r="U275" s="153">
        <f ca="1" t="shared" si="46"/>
        <v>11</v>
      </c>
      <c r="V275" s="153">
        <f ca="1">ROUND((OFFSET(卡牌辅助配置表!$O$1,MATCH(U275,卡牌辅助配置表!M:M,0)-1,0)+(N275-1)*OFFSET(卡牌辅助配置表!$P$1,MATCH(U275,卡牌辅助配置表!M:M,0)-1,0))*M275,2)</f>
        <v>24.66</v>
      </c>
      <c r="W275" s="157">
        <f ca="1">ROUND(IF(R275=0,0,IF(R275=1,X275*$W$1,IF(R275=2,X275*$W$1*buff的资质计算!$E$2,IF(R275=3,X275*$W$1*buff的资质计算!$E$3,0)))),2)</f>
        <v>9.15</v>
      </c>
      <c r="X275" s="157">
        <f ca="1" t="shared" si="47"/>
        <v>30.5</v>
      </c>
      <c r="Y275" s="157">
        <f ca="1" t="shared" si="48"/>
        <v>30.9615384615385</v>
      </c>
      <c r="Z275" s="304">
        <f ca="1" t="shared" si="49"/>
        <v>15.4807692307692</v>
      </c>
      <c r="AA275" s="304">
        <f ca="1">OFFSET(卡牌辅助配置表!$AD$1,MATCH(AB275,卡牌辅助配置表!AB:AB,0)-1,0)</f>
        <v>810</v>
      </c>
      <c r="AB275" s="304">
        <f ca="1" t="shared" si="50"/>
        <v>1130</v>
      </c>
      <c r="AC275" s="153">
        <v>11</v>
      </c>
      <c r="AE275" s="153">
        <v>5000</v>
      </c>
      <c r="AF275" s="153" t="str">
        <f ca="1" t="shared" si="51"/>
        <v>10090011|</v>
      </c>
      <c r="AJ275" s="205">
        <f ca="1" t="shared" si="52"/>
        <v>0</v>
      </c>
      <c r="AK275" s="205">
        <f ca="1">OFFSET([1]item_type!$A$1,MATCH(Q275,[1]item_type!$G:$G,0)-1,0)</f>
        <v>301009</v>
      </c>
      <c r="AL275" s="205"/>
      <c r="AM275" s="205">
        <f ca="1">IF(B275=B276,OFFSET(卡牌辅助配置表!$AE$1,MATCH(AB275,卡牌辅助配置表!AB:AB,0),0),0)</f>
        <v>0</v>
      </c>
      <c r="AN275" s="153">
        <f ca="1" t="shared" si="53"/>
        <v>0</v>
      </c>
      <c r="AP275" s="153" t="str">
        <f ca="1">IF(AC275=0,0,IF(AC275=12,0,OFFSET(effect!$N$1,MATCH(K275,effect!M:M,0)-1,0)))</f>
        <v>kpsx_pt</v>
      </c>
    </row>
    <row r="276" spans="1:42">
      <c r="A276" s="153">
        <f ca="1" t="shared" si="44"/>
        <v>1010001</v>
      </c>
      <c r="B276" s="91" t="s">
        <v>365</v>
      </c>
      <c r="C276" s="186">
        <v>1</v>
      </c>
      <c r="D276" s="186">
        <v>6</v>
      </c>
      <c r="E276" s="165" t="s">
        <v>1050</v>
      </c>
      <c r="F276" s="165" t="str">
        <f>"本回合每出一张拳法牌，伤害增加"&amp;skill!$O$15/100&amp;"%"</f>
        <v>本回合每出一张拳法牌，伤害增加30%</v>
      </c>
      <c r="G276" s="186">
        <f ca="1">OFFSET(卡牌辅助配置表!$C$1,MATCH(AC276,卡牌辅助配置表!A:A,0)-1,0)</f>
        <v>3</v>
      </c>
      <c r="H276" s="186">
        <f ca="1">OFFSET(skill!$Q$1,MATCH(B276,skill!B:B,0)-1,0)</f>
        <v>0.461538461538462</v>
      </c>
      <c r="I276" s="186"/>
      <c r="J276" s="186">
        <f ca="1">OFFSET(card_type!$F$1,MATCH(Q276,card_type!A:A,0)-1,0)</f>
        <v>1</v>
      </c>
      <c r="K276" s="243">
        <f ca="1">OFFSET(card_type!$G$1,MATCH(Q276,card_type!A:A,0)-1,0)</f>
        <v>3</v>
      </c>
      <c r="L276" s="157">
        <v>2</v>
      </c>
      <c r="M276" s="157">
        <v>2</v>
      </c>
      <c r="N276" s="153">
        <f t="shared" si="45"/>
        <v>1</v>
      </c>
      <c r="O276" s="157"/>
      <c r="P276" s="157"/>
      <c r="Q276" s="153">
        <f ca="1">OFFSET(card_type!$A$1,MATCH(card!B276,card_type!B:B,0)-1,0)</f>
        <v>1010</v>
      </c>
      <c r="R276" s="153">
        <v>1</v>
      </c>
      <c r="S276" s="157">
        <f ca="1">ROUND(IF(R276=0,0,IF(R276=1,X276*$S$1,IF(R276=2,X276*$S$1*buff的资质计算!$E$2,IF(R276=3,X276*$S$1*buff的资质计算!$E$3,0)))),0)*0</f>
        <v>0</v>
      </c>
      <c r="T276" s="153">
        <v>5</v>
      </c>
      <c r="U276" s="153">
        <f ca="1" t="shared" si="46"/>
        <v>13</v>
      </c>
      <c r="V276" s="153">
        <f ca="1">ROUND((OFFSET(卡牌辅助配置表!$O$1,MATCH(U276,卡牌辅助配置表!M:M,0)-1,0)+(N276-1)*OFFSET(卡牌辅助配置表!$P$1,MATCH(U276,卡牌辅助配置表!M:M,0)-1,0))*M276,2)</f>
        <v>30.4</v>
      </c>
      <c r="W276" s="157">
        <f ca="1">ROUND(IF(R276=0,0,IF(R276=1,X276*$W$1,IF(R276=2,X276*$W$1*buff的资质计算!$E$2,IF(R276=3,X276*$W$1*buff的资质计算!$E$3,0)))),2)</f>
        <v>8.7</v>
      </c>
      <c r="X276" s="157">
        <f ca="1" t="shared" si="47"/>
        <v>29</v>
      </c>
      <c r="Y276" s="157">
        <f ca="1" t="shared" si="48"/>
        <v>29.4615384615385</v>
      </c>
      <c r="Z276" s="304">
        <f ca="1" t="shared" si="49"/>
        <v>14.7307692307692</v>
      </c>
      <c r="AA276" s="304">
        <f ca="1">OFFSET(卡牌辅助配置表!$AD$1,MATCH(AB276,卡牌辅助配置表!AB:AB,0)-1,0)</f>
        <v>91</v>
      </c>
      <c r="AB276" s="304">
        <f ca="1" t="shared" si="50"/>
        <v>1301</v>
      </c>
      <c r="AC276" s="153">
        <v>1</v>
      </c>
      <c r="AE276" s="153">
        <v>1</v>
      </c>
      <c r="AF276" s="153" t="str">
        <f ca="1" t="shared" si="51"/>
        <v>10100011|</v>
      </c>
      <c r="AJ276" s="205" t="str">
        <f ca="1" t="shared" si="52"/>
        <v>400023|1400|;</v>
      </c>
      <c r="AK276" s="205">
        <f ca="1">OFFSET([1]item_type!$A$1,MATCH(Q276,[1]item_type!$G:$G,0)-1,0)</f>
        <v>301010</v>
      </c>
      <c r="AL276" s="205"/>
      <c r="AM276" s="205">
        <f ca="1">IF(B276=B277,OFFSET(卡牌辅助配置表!$AE$1,MATCH(AB276,卡牌辅助配置表!AB:AB,0),0),0)</f>
        <v>1400</v>
      </c>
      <c r="AN276" s="153">
        <f ca="1" t="shared" si="53"/>
        <v>1010002</v>
      </c>
      <c r="AP276" s="153" t="str">
        <f ca="1">IF(AC276=0,0,IF(AC276=12,0,OFFSET(effect!$N$1,MATCH(K276,effect!M:M,0)-1,0)))</f>
        <v>kpsx_zise</v>
      </c>
    </row>
    <row r="277" spans="1:42">
      <c r="A277" s="153">
        <f ca="1" t="shared" si="44"/>
        <v>1010002</v>
      </c>
      <c r="B277" s="91" t="s">
        <v>365</v>
      </c>
      <c r="C277" s="186">
        <v>1</v>
      </c>
      <c r="D277" s="186">
        <v>6</v>
      </c>
      <c r="E277" s="165" t="s">
        <v>1050</v>
      </c>
      <c r="F277" s="165" t="str">
        <f>"本回合每出一张拳法牌，伤害增加"&amp;skill!$O$15/100&amp;"%"</f>
        <v>本回合每出一张拳法牌，伤害增加30%</v>
      </c>
      <c r="G277" s="186">
        <f ca="1">OFFSET(卡牌辅助配置表!$C$1,MATCH(AC277,卡牌辅助配置表!A:A,0)-1,0)</f>
        <v>3</v>
      </c>
      <c r="H277" s="186">
        <f ca="1">OFFSET(skill!$Q$1,MATCH(B277,skill!B:B,0)-1,0)</f>
        <v>0.461538461538462</v>
      </c>
      <c r="I277" s="186"/>
      <c r="J277" s="186">
        <f ca="1">OFFSET(card_type!$F$1,MATCH(Q277,card_type!A:A,0)-1,0)</f>
        <v>1</v>
      </c>
      <c r="K277" s="243">
        <f ca="1">OFFSET(card_type!$G$1,MATCH(Q277,card_type!A:A,0)-1,0)</f>
        <v>3</v>
      </c>
      <c r="L277" s="157">
        <v>2</v>
      </c>
      <c r="M277" s="157">
        <v>2</v>
      </c>
      <c r="N277" s="153">
        <f t="shared" si="45"/>
        <v>2</v>
      </c>
      <c r="O277" s="157"/>
      <c r="P277" s="157"/>
      <c r="Q277" s="153">
        <f ca="1">OFFSET(card_type!$A$1,MATCH(card!B277,card_type!B:B,0)-1,0)</f>
        <v>1010</v>
      </c>
      <c r="R277" s="153">
        <v>1</v>
      </c>
      <c r="S277" s="157">
        <f ca="1">ROUND(IF(R277=0,0,IF(R277=1,X277*$S$1,IF(R277=2,X277*$S$1*buff的资质计算!$E$2,IF(R277=3,X277*$S$1*buff的资质计算!$E$3,0)))),0)*0</f>
        <v>0</v>
      </c>
      <c r="T277" s="153">
        <v>5</v>
      </c>
      <c r="U277" s="153">
        <f ca="1" t="shared" si="46"/>
        <v>13</v>
      </c>
      <c r="V277" s="153">
        <f ca="1">ROUND((OFFSET(卡牌辅助配置表!$O$1,MATCH(U277,卡牌辅助配置表!M:M,0)-1,0)+(N277-1)*OFFSET(卡牌辅助配置表!$P$1,MATCH(U277,卡牌辅助配置表!M:M,0)-1,0))*M277,2)</f>
        <v>31.41</v>
      </c>
      <c r="W277" s="157">
        <f ca="1">ROUND(IF(R277=0,0,IF(R277=1,X277*$W$1,IF(R277=2,X277*$W$1*buff的资质计算!$E$2,IF(R277=3,X277*$W$1*buff的资质计算!$E$3,0)))),2)</f>
        <v>8.85</v>
      </c>
      <c r="X277" s="157">
        <f ca="1" t="shared" si="47"/>
        <v>29.5</v>
      </c>
      <c r="Y277" s="157">
        <f ca="1" t="shared" si="48"/>
        <v>29.9615384615385</v>
      </c>
      <c r="Z277" s="304">
        <f ca="1" t="shared" si="49"/>
        <v>14.9807692307692</v>
      </c>
      <c r="AA277" s="304">
        <f ca="1">OFFSET(卡牌辅助配置表!$AD$1,MATCH(AB277,卡牌辅助配置表!AB:AB,0)-1,0)</f>
        <v>182</v>
      </c>
      <c r="AB277" s="304">
        <f ca="1" t="shared" si="50"/>
        <v>1302</v>
      </c>
      <c r="AC277" s="153">
        <v>1</v>
      </c>
      <c r="AE277" s="153">
        <v>1</v>
      </c>
      <c r="AF277" s="153" t="str">
        <f ca="1" t="shared" si="51"/>
        <v>10100011|</v>
      </c>
      <c r="AJ277" s="205" t="str">
        <f ca="1" t="shared" si="52"/>
        <v>400023|1800|;</v>
      </c>
      <c r="AK277" s="205">
        <f ca="1">OFFSET([1]item_type!$A$1,MATCH(Q277,[1]item_type!$G:$G,0)-1,0)</f>
        <v>301010</v>
      </c>
      <c r="AL277" s="205"/>
      <c r="AM277" s="205">
        <f ca="1">IF(B277=B278,OFFSET(卡牌辅助配置表!$AE$1,MATCH(AB277,卡牌辅助配置表!AB:AB,0),0),0)</f>
        <v>1800</v>
      </c>
      <c r="AN277" s="153">
        <f ca="1" t="shared" si="53"/>
        <v>1010003</v>
      </c>
      <c r="AP277" s="153" t="str">
        <f ca="1">IF(AC277=0,0,IF(AC277=12,0,OFFSET(effect!$N$1,MATCH(K277,effect!M:M,0)-1,0)))</f>
        <v>kpsx_zise</v>
      </c>
    </row>
    <row r="278" spans="1:42">
      <c r="A278" s="153">
        <f ca="1" t="shared" si="44"/>
        <v>1010003</v>
      </c>
      <c r="B278" s="91" t="s">
        <v>365</v>
      </c>
      <c r="C278" s="186">
        <v>1</v>
      </c>
      <c r="D278" s="186">
        <v>6</v>
      </c>
      <c r="E278" s="165" t="s">
        <v>1050</v>
      </c>
      <c r="F278" s="165" t="str">
        <f>"本回合每出一张拳法牌，伤害增加"&amp;skill!$O$15/100&amp;"%"</f>
        <v>本回合每出一张拳法牌，伤害增加30%</v>
      </c>
      <c r="G278" s="186">
        <f ca="1">OFFSET(卡牌辅助配置表!$C$1,MATCH(AC278,卡牌辅助配置表!A:A,0)-1,0)</f>
        <v>3</v>
      </c>
      <c r="H278" s="186">
        <f ca="1">OFFSET(skill!$Q$1,MATCH(B278,skill!B:B,0)-1,0)</f>
        <v>0.461538461538462</v>
      </c>
      <c r="I278" s="186"/>
      <c r="J278" s="186">
        <f ca="1">OFFSET(card_type!$F$1,MATCH(Q278,card_type!A:A,0)-1,0)</f>
        <v>1</v>
      </c>
      <c r="K278" s="243">
        <f ca="1">OFFSET(card_type!$G$1,MATCH(Q278,card_type!A:A,0)-1,0)</f>
        <v>3</v>
      </c>
      <c r="L278" s="157">
        <v>2</v>
      </c>
      <c r="M278" s="157">
        <v>2</v>
      </c>
      <c r="N278" s="153">
        <f t="shared" si="45"/>
        <v>3</v>
      </c>
      <c r="O278" s="157"/>
      <c r="P278" s="157"/>
      <c r="Q278" s="153">
        <f ca="1">OFFSET(card_type!$A$1,MATCH(card!B278,card_type!B:B,0)-1,0)</f>
        <v>1010</v>
      </c>
      <c r="R278" s="153">
        <v>1</v>
      </c>
      <c r="S278" s="157">
        <f ca="1">ROUND(IF(R278=0,0,IF(R278=1,X278*$S$1,IF(R278=2,X278*$S$1*buff的资质计算!$E$2,IF(R278=3,X278*$S$1*buff的资质计算!$E$3,0)))),0)*0</f>
        <v>0</v>
      </c>
      <c r="T278" s="153">
        <v>5</v>
      </c>
      <c r="U278" s="153">
        <f ca="1" t="shared" si="46"/>
        <v>13</v>
      </c>
      <c r="V278" s="153">
        <f ca="1">ROUND((OFFSET(卡牌辅助配置表!$O$1,MATCH(U278,卡牌辅助配置表!M:M,0)-1,0)+(N278-1)*OFFSET(卡牌辅助配置表!$P$1,MATCH(U278,卡牌辅助配置表!M:M,0)-1,0))*M278,2)</f>
        <v>32.43</v>
      </c>
      <c r="W278" s="157">
        <f ca="1">ROUND(IF(R278=0,0,IF(R278=1,X278*$W$1,IF(R278=2,X278*$W$1*buff的资质计算!$E$2,IF(R278=3,X278*$W$1*buff的资质计算!$E$3,0)))),2)</f>
        <v>9</v>
      </c>
      <c r="X278" s="157">
        <f ca="1" t="shared" si="47"/>
        <v>30</v>
      </c>
      <c r="Y278" s="157">
        <f ca="1" t="shared" si="48"/>
        <v>30.4615384615385</v>
      </c>
      <c r="Z278" s="304">
        <f ca="1" t="shared" si="49"/>
        <v>15.2307692307692</v>
      </c>
      <c r="AA278" s="304">
        <f ca="1">OFFSET(卡牌辅助配置表!$AD$1,MATCH(AB278,卡牌辅助配置表!AB:AB,0)-1,0)</f>
        <v>273</v>
      </c>
      <c r="AB278" s="304">
        <f ca="1" t="shared" si="50"/>
        <v>1303</v>
      </c>
      <c r="AC278" s="153">
        <v>1</v>
      </c>
      <c r="AE278" s="153">
        <v>1</v>
      </c>
      <c r="AF278" s="153" t="str">
        <f ca="1" t="shared" si="51"/>
        <v>10100011|</v>
      </c>
      <c r="AJ278" s="205" t="str">
        <f ca="1" t="shared" si="52"/>
        <v>400023|2200|;</v>
      </c>
      <c r="AK278" s="205">
        <f ca="1">OFFSET([1]item_type!$A$1,MATCH(Q278,[1]item_type!$G:$G,0)-1,0)</f>
        <v>301010</v>
      </c>
      <c r="AL278" s="205"/>
      <c r="AM278" s="205">
        <f ca="1">IF(B278=B279,OFFSET(卡牌辅助配置表!$AE$1,MATCH(AB278,卡牌辅助配置表!AB:AB,0),0),0)</f>
        <v>2200</v>
      </c>
      <c r="AN278" s="153">
        <f ca="1" t="shared" si="53"/>
        <v>1010004</v>
      </c>
      <c r="AP278" s="153" t="str">
        <f ca="1">IF(AC278=0,0,IF(AC278=12,0,OFFSET(effect!$N$1,MATCH(K278,effect!M:M,0)-1,0)))</f>
        <v>kpsx_zise</v>
      </c>
    </row>
    <row r="279" spans="1:42">
      <c r="A279" s="153">
        <f ca="1" t="shared" si="44"/>
        <v>1010004</v>
      </c>
      <c r="B279" s="91" t="s">
        <v>365</v>
      </c>
      <c r="C279" s="186">
        <v>1</v>
      </c>
      <c r="D279" s="186">
        <v>6</v>
      </c>
      <c r="E279" s="165" t="s">
        <v>1050</v>
      </c>
      <c r="F279" s="165" t="str">
        <f>"本回合每出一张拳法牌，伤害增加"&amp;skill!$O$15/100&amp;"%"</f>
        <v>本回合每出一张拳法牌，伤害增加30%</v>
      </c>
      <c r="G279" s="186">
        <f ca="1">OFFSET(卡牌辅助配置表!$C$1,MATCH(AC279,卡牌辅助配置表!A:A,0)-1,0)</f>
        <v>3</v>
      </c>
      <c r="H279" s="186">
        <f ca="1">OFFSET(skill!$Q$1,MATCH(B279,skill!B:B,0)-1,0)</f>
        <v>0.461538461538462</v>
      </c>
      <c r="I279" s="186"/>
      <c r="J279" s="186">
        <f ca="1">OFFSET(card_type!$F$1,MATCH(Q279,card_type!A:A,0)-1,0)</f>
        <v>1</v>
      </c>
      <c r="K279" s="243">
        <f ca="1">OFFSET(card_type!$G$1,MATCH(Q279,card_type!A:A,0)-1,0)</f>
        <v>3</v>
      </c>
      <c r="L279" s="157">
        <v>2</v>
      </c>
      <c r="M279" s="157">
        <v>2</v>
      </c>
      <c r="N279" s="153">
        <f t="shared" si="45"/>
        <v>4</v>
      </c>
      <c r="O279" s="157"/>
      <c r="P279" s="157"/>
      <c r="Q279" s="153">
        <f ca="1">OFFSET(card_type!$A$1,MATCH(card!B279,card_type!B:B,0)-1,0)</f>
        <v>1010</v>
      </c>
      <c r="R279" s="153">
        <v>1</v>
      </c>
      <c r="S279" s="157">
        <f ca="1">ROUND(IF(R279=0,0,IF(R279=1,X279*$S$1,IF(R279=2,X279*$S$1*buff的资质计算!$E$2,IF(R279=3,X279*$S$1*buff的资质计算!$E$3,0)))),0)*0</f>
        <v>0</v>
      </c>
      <c r="T279" s="153">
        <v>5</v>
      </c>
      <c r="U279" s="153">
        <f ca="1" t="shared" si="46"/>
        <v>13</v>
      </c>
      <c r="V279" s="153">
        <f ca="1">ROUND((OFFSET(卡牌辅助配置表!$O$1,MATCH(U279,卡牌辅助配置表!M:M,0)-1,0)+(N279-1)*OFFSET(卡牌辅助配置表!$P$1,MATCH(U279,卡牌辅助配置表!M:M,0)-1,0))*M279,2)</f>
        <v>33.44</v>
      </c>
      <c r="W279" s="157">
        <f ca="1">ROUND(IF(R279=0,0,IF(R279=1,X279*$W$1,IF(R279=2,X279*$W$1*buff的资质计算!$E$2,IF(R279=3,X279*$W$1*buff的资质计算!$E$3,0)))),2)</f>
        <v>9.15</v>
      </c>
      <c r="X279" s="157">
        <f ca="1" t="shared" si="47"/>
        <v>30.5</v>
      </c>
      <c r="Y279" s="157">
        <f ca="1" t="shared" si="48"/>
        <v>30.9615384615385</v>
      </c>
      <c r="Z279" s="304">
        <f ca="1" t="shared" si="49"/>
        <v>15.4807692307692</v>
      </c>
      <c r="AA279" s="304">
        <f ca="1">OFFSET(卡牌辅助配置表!$AD$1,MATCH(AB279,卡牌辅助配置表!AB:AB,0)-1,0)</f>
        <v>364</v>
      </c>
      <c r="AB279" s="304">
        <f ca="1" t="shared" si="50"/>
        <v>1304</v>
      </c>
      <c r="AC279" s="153">
        <v>1</v>
      </c>
      <c r="AE279" s="153">
        <v>1</v>
      </c>
      <c r="AF279" s="153" t="str">
        <f ca="1" t="shared" si="51"/>
        <v>10100011|</v>
      </c>
      <c r="AJ279" s="205" t="str">
        <f ca="1" t="shared" si="52"/>
        <v>400023|2600|;</v>
      </c>
      <c r="AK279" s="205">
        <f ca="1">OFFSET([1]item_type!$A$1,MATCH(Q279,[1]item_type!$G:$G,0)-1,0)</f>
        <v>301010</v>
      </c>
      <c r="AL279" s="205"/>
      <c r="AM279" s="205">
        <f ca="1">IF(B279=B280,OFFSET(卡牌辅助配置表!$AE$1,MATCH(AB279,卡牌辅助配置表!AB:AB,0),0),0)</f>
        <v>2600</v>
      </c>
      <c r="AN279" s="153">
        <f ca="1" t="shared" si="53"/>
        <v>1010005</v>
      </c>
      <c r="AP279" s="153" t="str">
        <f ca="1">IF(AC279=0,0,IF(AC279=12,0,OFFSET(effect!$N$1,MATCH(K279,effect!M:M,0)-1,0)))</f>
        <v>kpsx_zise</v>
      </c>
    </row>
    <row r="280" spans="1:42">
      <c r="A280" s="153">
        <f ca="1" t="shared" si="44"/>
        <v>1010005</v>
      </c>
      <c r="B280" s="91" t="s">
        <v>365</v>
      </c>
      <c r="C280" s="186">
        <v>1</v>
      </c>
      <c r="D280" s="186">
        <v>6</v>
      </c>
      <c r="E280" s="165" t="s">
        <v>1050</v>
      </c>
      <c r="F280" s="165" t="str">
        <f>"本回合每出一张拳法牌，伤害增加"&amp;skill!$O$15/100&amp;"%"</f>
        <v>本回合每出一张拳法牌，伤害增加30%</v>
      </c>
      <c r="G280" s="186">
        <f ca="1">OFFSET(卡牌辅助配置表!$C$1,MATCH(AC280,卡牌辅助配置表!A:A,0)-1,0)</f>
        <v>3</v>
      </c>
      <c r="H280" s="186">
        <f ca="1">OFFSET(skill!$Q$1,MATCH(B280,skill!B:B,0)-1,0)</f>
        <v>0.461538461538462</v>
      </c>
      <c r="I280" s="186"/>
      <c r="J280" s="186">
        <f ca="1">OFFSET(card_type!$F$1,MATCH(Q280,card_type!A:A,0)-1,0)</f>
        <v>1</v>
      </c>
      <c r="K280" s="243">
        <f ca="1">OFFSET(card_type!$G$1,MATCH(Q280,card_type!A:A,0)-1,0)</f>
        <v>3</v>
      </c>
      <c r="L280" s="157">
        <v>2</v>
      </c>
      <c r="M280" s="157">
        <v>2</v>
      </c>
      <c r="N280" s="153">
        <f t="shared" si="45"/>
        <v>5</v>
      </c>
      <c r="O280" s="157"/>
      <c r="P280" s="157"/>
      <c r="Q280" s="153">
        <f ca="1">OFFSET(card_type!$A$1,MATCH(card!B280,card_type!B:B,0)-1,0)</f>
        <v>1010</v>
      </c>
      <c r="R280" s="153">
        <v>1</v>
      </c>
      <c r="S280" s="157">
        <f ca="1">ROUND(IF(R280=0,0,IF(R280=1,X280*$S$1,IF(R280=2,X280*$S$1*buff的资质计算!$E$2,IF(R280=3,X280*$S$1*buff的资质计算!$E$3,0)))),0)*0</f>
        <v>0</v>
      </c>
      <c r="T280" s="153">
        <v>5</v>
      </c>
      <c r="U280" s="153">
        <f ca="1" t="shared" si="46"/>
        <v>13</v>
      </c>
      <c r="V280" s="153">
        <f ca="1">ROUND((OFFSET(卡牌辅助配置表!$O$1,MATCH(U280,卡牌辅助配置表!M:M,0)-1,0)+(N280-1)*OFFSET(卡牌辅助配置表!$P$1,MATCH(U280,卡牌辅助配置表!M:M,0)-1,0))*M280,2)</f>
        <v>34.45</v>
      </c>
      <c r="W280" s="157">
        <f ca="1">ROUND(IF(R280=0,0,IF(R280=1,X280*$W$1,IF(R280=2,X280*$W$1*buff的资质计算!$E$2,IF(R280=3,X280*$W$1*buff的资质计算!$E$3,0)))),2)</f>
        <v>9.3</v>
      </c>
      <c r="X280" s="157">
        <f ca="1" t="shared" si="47"/>
        <v>31</v>
      </c>
      <c r="Y280" s="157">
        <f ca="1" t="shared" si="48"/>
        <v>31.4615384615385</v>
      </c>
      <c r="Z280" s="304">
        <f ca="1" t="shared" si="49"/>
        <v>15.7307692307692</v>
      </c>
      <c r="AA280" s="304">
        <f ca="1">OFFSET(卡牌辅助配置表!$AD$1,MATCH(AB280,卡牌辅助配置表!AB:AB,0)-1,0)</f>
        <v>455</v>
      </c>
      <c r="AB280" s="304">
        <f ca="1" t="shared" si="50"/>
        <v>1305</v>
      </c>
      <c r="AC280" s="153">
        <v>1</v>
      </c>
      <c r="AE280" s="153">
        <v>1</v>
      </c>
      <c r="AF280" s="153" t="str">
        <f ca="1" t="shared" si="51"/>
        <v>10100011|</v>
      </c>
      <c r="AJ280" s="205" t="str">
        <f ca="1" t="shared" si="52"/>
        <v>400023|3000|;</v>
      </c>
      <c r="AK280" s="205">
        <f ca="1">OFFSET([1]item_type!$A$1,MATCH(Q280,[1]item_type!$G:$G,0)-1,0)</f>
        <v>301010</v>
      </c>
      <c r="AL280" s="205"/>
      <c r="AM280" s="205">
        <f ca="1">IF(B280=B281,OFFSET(卡牌辅助配置表!$AE$1,MATCH(AB280,卡牌辅助配置表!AB:AB,0),0),0)</f>
        <v>3000</v>
      </c>
      <c r="AN280" s="153">
        <f ca="1" t="shared" si="53"/>
        <v>1010006</v>
      </c>
      <c r="AP280" s="153" t="str">
        <f ca="1">IF(AC280=0,0,IF(AC280=12,0,OFFSET(effect!$N$1,MATCH(K280,effect!M:M,0)-1,0)))</f>
        <v>kpsx_zise</v>
      </c>
    </row>
    <row r="281" spans="1:42">
      <c r="A281" s="153">
        <f ca="1" t="shared" si="44"/>
        <v>1010006</v>
      </c>
      <c r="B281" s="91" t="s">
        <v>365</v>
      </c>
      <c r="C281" s="186">
        <v>1</v>
      </c>
      <c r="D281" s="186">
        <v>6</v>
      </c>
      <c r="E281" s="165" t="s">
        <v>1050</v>
      </c>
      <c r="F281" s="165" t="str">
        <f>"本回合每出一张拳法牌，伤害增加"&amp;skill!$O$15/100&amp;"%"</f>
        <v>本回合每出一张拳法牌，伤害增加30%</v>
      </c>
      <c r="G281" s="186">
        <f ca="1">OFFSET(卡牌辅助配置表!$C$1,MATCH(AC281,卡牌辅助配置表!A:A,0)-1,0)</f>
        <v>3</v>
      </c>
      <c r="H281" s="186">
        <f ca="1">OFFSET(skill!$Q$1,MATCH(B281,skill!B:B,0)-1,0)</f>
        <v>0.461538461538462</v>
      </c>
      <c r="I281" s="186"/>
      <c r="J281" s="186">
        <f ca="1">OFFSET(card_type!$F$1,MATCH(Q281,card_type!A:A,0)-1,0)</f>
        <v>1</v>
      </c>
      <c r="K281" s="243">
        <f ca="1">OFFSET(card_type!$G$1,MATCH(Q281,card_type!A:A,0)-1,0)</f>
        <v>3</v>
      </c>
      <c r="L281" s="157">
        <v>2</v>
      </c>
      <c r="M281" s="157">
        <v>2</v>
      </c>
      <c r="N281" s="153">
        <f t="shared" si="45"/>
        <v>6</v>
      </c>
      <c r="O281" s="157"/>
      <c r="P281" s="157"/>
      <c r="Q281" s="153">
        <f ca="1">OFFSET(card_type!$A$1,MATCH(card!B281,card_type!B:B,0)-1,0)</f>
        <v>1010</v>
      </c>
      <c r="R281" s="153">
        <v>1</v>
      </c>
      <c r="S281" s="157">
        <f ca="1">ROUND(IF(R281=0,0,IF(R281=1,X281*$S$1,IF(R281=2,X281*$S$1*buff的资质计算!$E$2,IF(R281=3,X281*$S$1*buff的资质计算!$E$3,0)))),0)*0</f>
        <v>0</v>
      </c>
      <c r="T281" s="153">
        <v>5</v>
      </c>
      <c r="U281" s="153">
        <f ca="1" t="shared" si="46"/>
        <v>13</v>
      </c>
      <c r="V281" s="153">
        <f ca="1">ROUND((OFFSET(卡牌辅助配置表!$O$1,MATCH(U281,卡牌辅助配置表!M:M,0)-1,0)+(N281-1)*OFFSET(卡牌辅助配置表!$P$1,MATCH(U281,卡牌辅助配置表!M:M,0)-1,0))*M281,2)</f>
        <v>35.47</v>
      </c>
      <c r="W281" s="157">
        <f ca="1">ROUND(IF(R281=0,0,IF(R281=1,X281*$W$1,IF(R281=2,X281*$W$1*buff的资质计算!$E$2,IF(R281=3,X281*$W$1*buff的资质计算!$E$3,0)))),2)</f>
        <v>9.45</v>
      </c>
      <c r="X281" s="157">
        <f ca="1" t="shared" si="47"/>
        <v>31.5</v>
      </c>
      <c r="Y281" s="157">
        <f ca="1" t="shared" si="48"/>
        <v>31.9615384615385</v>
      </c>
      <c r="Z281" s="304">
        <f ca="1" t="shared" si="49"/>
        <v>15.9807692307692</v>
      </c>
      <c r="AA281" s="304">
        <f ca="1">OFFSET(卡牌辅助配置表!$AD$1,MATCH(AB281,卡牌辅助配置表!AB:AB,0)-1,0)</f>
        <v>546</v>
      </c>
      <c r="AB281" s="304">
        <f ca="1" t="shared" si="50"/>
        <v>1306</v>
      </c>
      <c r="AC281" s="153">
        <v>1</v>
      </c>
      <c r="AE281" s="153">
        <v>1</v>
      </c>
      <c r="AF281" s="153" t="str">
        <f ca="1" t="shared" si="51"/>
        <v>10100011|</v>
      </c>
      <c r="AJ281" s="205" t="str">
        <f ca="1" t="shared" si="52"/>
        <v>400023|3400|;</v>
      </c>
      <c r="AK281" s="205">
        <f ca="1">OFFSET([1]item_type!$A$1,MATCH(Q281,[1]item_type!$G:$G,0)-1,0)</f>
        <v>301010</v>
      </c>
      <c r="AL281" s="205"/>
      <c r="AM281" s="205">
        <f ca="1">IF(B281=B282,OFFSET(卡牌辅助配置表!$AE$1,MATCH(AB281,卡牌辅助配置表!AB:AB,0),0),0)</f>
        <v>3400</v>
      </c>
      <c r="AN281" s="153">
        <f ca="1" t="shared" si="53"/>
        <v>1010007</v>
      </c>
      <c r="AP281" s="153" t="str">
        <f ca="1">IF(AC281=0,0,IF(AC281=12,0,OFFSET(effect!$N$1,MATCH(K281,effect!M:M,0)-1,0)))</f>
        <v>kpsx_zise</v>
      </c>
    </row>
    <row r="282" spans="1:42">
      <c r="A282" s="153">
        <f ca="1" t="shared" si="44"/>
        <v>1010007</v>
      </c>
      <c r="B282" s="91" t="s">
        <v>365</v>
      </c>
      <c r="C282" s="186">
        <v>1</v>
      </c>
      <c r="D282" s="186">
        <v>6</v>
      </c>
      <c r="E282" s="165" t="s">
        <v>1050</v>
      </c>
      <c r="F282" s="165" t="str">
        <f>"本回合每出一张拳法牌，伤害增加"&amp;skill!$O$15/100&amp;"%"</f>
        <v>本回合每出一张拳法牌，伤害增加30%</v>
      </c>
      <c r="G282" s="186">
        <f ca="1">OFFSET(卡牌辅助配置表!$C$1,MATCH(AC282,卡牌辅助配置表!A:A,0)-1,0)</f>
        <v>3</v>
      </c>
      <c r="H282" s="186">
        <f ca="1">OFFSET(skill!$Q$1,MATCH(B282,skill!B:B,0)-1,0)</f>
        <v>0.461538461538462</v>
      </c>
      <c r="I282" s="186"/>
      <c r="J282" s="186">
        <f ca="1">OFFSET(card_type!$F$1,MATCH(Q282,card_type!A:A,0)-1,0)</f>
        <v>1</v>
      </c>
      <c r="K282" s="243">
        <f ca="1">OFFSET(card_type!$G$1,MATCH(Q282,card_type!A:A,0)-1,0)</f>
        <v>3</v>
      </c>
      <c r="L282" s="157">
        <v>2</v>
      </c>
      <c r="M282" s="157">
        <v>2</v>
      </c>
      <c r="N282" s="153">
        <f t="shared" si="45"/>
        <v>7</v>
      </c>
      <c r="O282" s="157"/>
      <c r="P282" s="157"/>
      <c r="Q282" s="153">
        <f ca="1">OFFSET(card_type!$A$1,MATCH(card!B282,card_type!B:B,0)-1,0)</f>
        <v>1010</v>
      </c>
      <c r="R282" s="153">
        <v>1</v>
      </c>
      <c r="S282" s="157">
        <f ca="1">ROUND(IF(R282=0,0,IF(R282=1,X282*$S$1,IF(R282=2,X282*$S$1*buff的资质计算!$E$2,IF(R282=3,X282*$S$1*buff的资质计算!$E$3,0)))),0)*0</f>
        <v>0</v>
      </c>
      <c r="T282" s="153">
        <v>5</v>
      </c>
      <c r="U282" s="153">
        <f ca="1" t="shared" si="46"/>
        <v>13</v>
      </c>
      <c r="V282" s="153">
        <f ca="1">ROUND((OFFSET(卡牌辅助配置表!$O$1,MATCH(U282,卡牌辅助配置表!M:M,0)-1,0)+(N282-1)*OFFSET(卡牌辅助配置表!$P$1,MATCH(U282,卡牌辅助配置表!M:M,0)-1,0))*M282,2)</f>
        <v>36.48</v>
      </c>
      <c r="W282" s="157">
        <f ca="1">ROUND(IF(R282=0,0,IF(R282=1,X282*$W$1,IF(R282=2,X282*$W$1*buff的资质计算!$E$2,IF(R282=3,X282*$W$1*buff的资质计算!$E$3,0)))),2)</f>
        <v>9.6</v>
      </c>
      <c r="X282" s="157">
        <f ca="1" t="shared" si="47"/>
        <v>32</v>
      </c>
      <c r="Y282" s="157">
        <f ca="1" t="shared" si="48"/>
        <v>32.4615384615385</v>
      </c>
      <c r="Z282" s="304">
        <f ca="1" t="shared" si="49"/>
        <v>16.2307692307692</v>
      </c>
      <c r="AA282" s="304">
        <f ca="1">OFFSET(卡牌辅助配置表!$AD$1,MATCH(AB282,卡牌辅助配置表!AB:AB,0)-1,0)</f>
        <v>637</v>
      </c>
      <c r="AB282" s="304">
        <f ca="1" t="shared" si="50"/>
        <v>1307</v>
      </c>
      <c r="AC282" s="153">
        <v>1</v>
      </c>
      <c r="AE282" s="153">
        <v>1</v>
      </c>
      <c r="AF282" s="153" t="str">
        <f ca="1" t="shared" si="51"/>
        <v>10100011|</v>
      </c>
      <c r="AJ282" s="205" t="str">
        <f ca="1" t="shared" si="52"/>
        <v>400023|3800|;</v>
      </c>
      <c r="AK282" s="205">
        <f ca="1">OFFSET([1]item_type!$A$1,MATCH(Q282,[1]item_type!$G:$G,0)-1,0)</f>
        <v>301010</v>
      </c>
      <c r="AL282" s="205"/>
      <c r="AM282" s="205">
        <f ca="1">IF(B282=B283,OFFSET(卡牌辅助配置表!$AE$1,MATCH(AB282,卡牌辅助配置表!AB:AB,0),0),0)</f>
        <v>3800</v>
      </c>
      <c r="AN282" s="153">
        <f ca="1" t="shared" si="53"/>
        <v>1010008</v>
      </c>
      <c r="AP282" s="153" t="str">
        <f ca="1">IF(AC282=0,0,IF(AC282=12,0,OFFSET(effect!$N$1,MATCH(K282,effect!M:M,0)-1,0)))</f>
        <v>kpsx_zise</v>
      </c>
    </row>
    <row r="283" spans="1:42">
      <c r="A283" s="153">
        <f ca="1" t="shared" si="44"/>
        <v>1010008</v>
      </c>
      <c r="B283" s="91" t="s">
        <v>365</v>
      </c>
      <c r="C283" s="186">
        <v>1</v>
      </c>
      <c r="D283" s="186">
        <v>6</v>
      </c>
      <c r="E283" s="165" t="s">
        <v>1050</v>
      </c>
      <c r="F283" s="165" t="str">
        <f>"本回合每出一张拳法牌，伤害增加"&amp;skill!$O$15/100&amp;"%"</f>
        <v>本回合每出一张拳法牌，伤害增加30%</v>
      </c>
      <c r="G283" s="186">
        <f ca="1">OFFSET(卡牌辅助配置表!$C$1,MATCH(AC283,卡牌辅助配置表!A:A,0)-1,0)</f>
        <v>3</v>
      </c>
      <c r="H283" s="186">
        <f ca="1">OFFSET(skill!$Q$1,MATCH(B283,skill!B:B,0)-1,0)</f>
        <v>0.461538461538462</v>
      </c>
      <c r="I283" s="186"/>
      <c r="J283" s="186">
        <f ca="1">OFFSET(card_type!$F$1,MATCH(Q283,card_type!A:A,0)-1,0)</f>
        <v>1</v>
      </c>
      <c r="K283" s="243">
        <f ca="1">OFFSET(card_type!$G$1,MATCH(Q283,card_type!A:A,0)-1,0)</f>
        <v>3</v>
      </c>
      <c r="L283" s="157">
        <v>2</v>
      </c>
      <c r="M283" s="157">
        <v>2</v>
      </c>
      <c r="N283" s="153">
        <f t="shared" si="45"/>
        <v>8</v>
      </c>
      <c r="O283" s="157"/>
      <c r="P283" s="157"/>
      <c r="Q283" s="153">
        <f ca="1">OFFSET(card_type!$A$1,MATCH(card!B283,card_type!B:B,0)-1,0)</f>
        <v>1010</v>
      </c>
      <c r="R283" s="153">
        <v>1</v>
      </c>
      <c r="S283" s="157">
        <f ca="1">ROUND(IF(R283=0,0,IF(R283=1,X283*$S$1,IF(R283=2,X283*$S$1*buff的资质计算!$E$2,IF(R283=3,X283*$S$1*buff的资质计算!$E$3,0)))),0)*0</f>
        <v>0</v>
      </c>
      <c r="T283" s="153">
        <v>5</v>
      </c>
      <c r="U283" s="153">
        <f ca="1" t="shared" si="46"/>
        <v>13</v>
      </c>
      <c r="V283" s="153">
        <f ca="1">ROUND((OFFSET(卡牌辅助配置表!$O$1,MATCH(U283,卡牌辅助配置表!M:M,0)-1,0)+(N283-1)*OFFSET(卡牌辅助配置表!$P$1,MATCH(U283,卡牌辅助配置表!M:M,0)-1,0))*M283,2)</f>
        <v>37.49</v>
      </c>
      <c r="W283" s="157">
        <f ca="1">ROUND(IF(R283=0,0,IF(R283=1,X283*$W$1,IF(R283=2,X283*$W$1*buff的资质计算!$E$2,IF(R283=3,X283*$W$1*buff的资质计算!$E$3,0)))),2)</f>
        <v>9.75</v>
      </c>
      <c r="X283" s="157">
        <f ca="1" t="shared" si="47"/>
        <v>32.5</v>
      </c>
      <c r="Y283" s="157">
        <f ca="1" t="shared" si="48"/>
        <v>32.9615384615385</v>
      </c>
      <c r="Z283" s="304">
        <f ca="1" t="shared" si="49"/>
        <v>16.4807692307692</v>
      </c>
      <c r="AA283" s="304">
        <f ca="1">OFFSET(卡牌辅助配置表!$AD$1,MATCH(AB283,卡牌辅助配置表!AB:AB,0)-1,0)</f>
        <v>728</v>
      </c>
      <c r="AB283" s="304">
        <f ca="1" t="shared" si="50"/>
        <v>1308</v>
      </c>
      <c r="AC283" s="153">
        <v>1</v>
      </c>
      <c r="AE283" s="153">
        <v>1</v>
      </c>
      <c r="AF283" s="153" t="str">
        <f ca="1" t="shared" si="51"/>
        <v>10100011|</v>
      </c>
      <c r="AJ283" s="205" t="str">
        <f ca="1" t="shared" si="52"/>
        <v>400023|4200|;</v>
      </c>
      <c r="AK283" s="205">
        <f ca="1">OFFSET([1]item_type!$A$1,MATCH(Q283,[1]item_type!$G:$G,0)-1,0)</f>
        <v>301010</v>
      </c>
      <c r="AL283" s="205"/>
      <c r="AM283" s="205">
        <f ca="1">IF(B283=B284,OFFSET(卡牌辅助配置表!$AE$1,MATCH(AB283,卡牌辅助配置表!AB:AB,0),0),0)</f>
        <v>4200</v>
      </c>
      <c r="AN283" s="153">
        <f ca="1" t="shared" si="53"/>
        <v>1010009</v>
      </c>
      <c r="AP283" s="153" t="str">
        <f ca="1">IF(AC283=0,0,IF(AC283=12,0,OFFSET(effect!$N$1,MATCH(K283,effect!M:M,0)-1,0)))</f>
        <v>kpsx_zise</v>
      </c>
    </row>
    <row r="284" spans="1:42">
      <c r="A284" s="153">
        <f ca="1" t="shared" si="44"/>
        <v>1010009</v>
      </c>
      <c r="B284" s="91" t="s">
        <v>365</v>
      </c>
      <c r="C284" s="186">
        <v>1</v>
      </c>
      <c r="D284" s="186">
        <v>6</v>
      </c>
      <c r="E284" s="165" t="s">
        <v>1050</v>
      </c>
      <c r="F284" s="165" t="str">
        <f>"本回合每出一张拳法牌，伤害增加"&amp;skill!$O$15/100&amp;"%"</f>
        <v>本回合每出一张拳法牌，伤害增加30%</v>
      </c>
      <c r="G284" s="186">
        <f ca="1">OFFSET(卡牌辅助配置表!$C$1,MATCH(AC284,卡牌辅助配置表!A:A,0)-1,0)</f>
        <v>3</v>
      </c>
      <c r="H284" s="186">
        <f ca="1">OFFSET(skill!$Q$1,MATCH(B284,skill!B:B,0)-1,0)</f>
        <v>0.461538461538462</v>
      </c>
      <c r="I284" s="186"/>
      <c r="J284" s="186">
        <f ca="1">OFFSET(card_type!$F$1,MATCH(Q284,card_type!A:A,0)-1,0)</f>
        <v>1</v>
      </c>
      <c r="K284" s="243">
        <f ca="1">OFFSET(card_type!$G$1,MATCH(Q284,card_type!A:A,0)-1,0)</f>
        <v>3</v>
      </c>
      <c r="L284" s="157">
        <v>2</v>
      </c>
      <c r="M284" s="157">
        <v>2</v>
      </c>
      <c r="N284" s="153">
        <f t="shared" si="45"/>
        <v>9</v>
      </c>
      <c r="O284" s="157"/>
      <c r="P284" s="157"/>
      <c r="Q284" s="153">
        <f ca="1">OFFSET(card_type!$A$1,MATCH(card!B284,card_type!B:B,0)-1,0)</f>
        <v>1010</v>
      </c>
      <c r="R284" s="153">
        <v>1</v>
      </c>
      <c r="S284" s="157">
        <f ca="1">ROUND(IF(R284=0,0,IF(R284=1,X284*$S$1,IF(R284=2,X284*$S$1*buff的资质计算!$E$2,IF(R284=3,X284*$S$1*buff的资质计算!$E$3,0)))),0)*0</f>
        <v>0</v>
      </c>
      <c r="T284" s="153">
        <v>5</v>
      </c>
      <c r="U284" s="153">
        <f ca="1" t="shared" si="46"/>
        <v>13</v>
      </c>
      <c r="V284" s="153">
        <f ca="1">ROUND((OFFSET(卡牌辅助配置表!$O$1,MATCH(U284,卡牌辅助配置表!M:M,0)-1,0)+(N284-1)*OFFSET(卡牌辅助配置表!$P$1,MATCH(U284,卡牌辅助配置表!M:M,0)-1,0))*M284,2)</f>
        <v>38.51</v>
      </c>
      <c r="W284" s="157">
        <f ca="1">ROUND(IF(R284=0,0,IF(R284=1,X284*$W$1,IF(R284=2,X284*$W$1*buff的资质计算!$E$2,IF(R284=3,X284*$W$1*buff的资质计算!$E$3,0)))),2)</f>
        <v>9.9</v>
      </c>
      <c r="X284" s="157">
        <f ca="1" t="shared" si="47"/>
        <v>33</v>
      </c>
      <c r="Y284" s="157">
        <f ca="1" t="shared" si="48"/>
        <v>33.4615384615385</v>
      </c>
      <c r="Z284" s="304">
        <f ca="1" t="shared" si="49"/>
        <v>16.7307692307692</v>
      </c>
      <c r="AA284" s="304">
        <f ca="1">OFFSET(卡牌辅助配置表!$AD$1,MATCH(AB284,卡牌辅助配置表!AB:AB,0)-1,0)</f>
        <v>819</v>
      </c>
      <c r="AB284" s="304">
        <f ca="1" t="shared" si="50"/>
        <v>1309</v>
      </c>
      <c r="AC284" s="153">
        <v>1</v>
      </c>
      <c r="AE284" s="153">
        <v>1</v>
      </c>
      <c r="AF284" s="153" t="str">
        <f ca="1" t="shared" si="51"/>
        <v>10100011|</v>
      </c>
      <c r="AJ284" s="205" t="str">
        <f ca="1" t="shared" si="52"/>
        <v>301010|15|;400023|4600|;</v>
      </c>
      <c r="AK284" s="205">
        <f ca="1">OFFSET([1]item_type!$A$1,MATCH(Q284,[1]item_type!$G:$G,0)-1,0)</f>
        <v>301010</v>
      </c>
      <c r="AL284" s="205">
        <v>15</v>
      </c>
      <c r="AM284" s="205">
        <f ca="1">IF(B284=B285,OFFSET(卡牌辅助配置表!$AE$1,MATCH(AB284,卡牌辅助配置表!AB:AB,0),0),0)</f>
        <v>4600</v>
      </c>
      <c r="AN284" s="153">
        <f ca="1" t="shared" si="53"/>
        <v>1010010</v>
      </c>
      <c r="AP284" s="153" t="str">
        <f ca="1">IF(AC284=0,0,IF(AC284=12,0,OFFSET(effect!$N$1,MATCH(K284,effect!M:M,0)-1,0)))</f>
        <v>kpsx_zise</v>
      </c>
    </row>
    <row r="285" spans="1:42">
      <c r="A285" s="153">
        <f ca="1" t="shared" si="44"/>
        <v>1010010</v>
      </c>
      <c r="B285" s="91" t="s">
        <v>365</v>
      </c>
      <c r="C285" s="186">
        <v>1</v>
      </c>
      <c r="D285" s="186">
        <v>6</v>
      </c>
      <c r="E285" s="165" t="s">
        <v>1050</v>
      </c>
      <c r="F285" s="165" t="str">
        <f>"本回合每出一张拳法牌，伤害增加"&amp;skill!$O$15/100&amp;"%"</f>
        <v>本回合每出一张拳法牌，伤害增加30%</v>
      </c>
      <c r="G285" s="186">
        <f ca="1">OFFSET(卡牌辅助配置表!$C$1,MATCH(AC285,卡牌辅助配置表!A:A,0)-1,0)</f>
        <v>3</v>
      </c>
      <c r="H285" s="186">
        <f ca="1">OFFSET(skill!$Q$1,MATCH(B285,skill!B:B,0)-1,0)</f>
        <v>0.461538461538462</v>
      </c>
      <c r="I285" s="186"/>
      <c r="J285" s="186">
        <f ca="1">OFFSET(card_type!$F$1,MATCH(Q285,card_type!A:A,0)-1,0)</f>
        <v>1</v>
      </c>
      <c r="K285" s="243">
        <f ca="1">OFFSET(card_type!$G$1,MATCH(Q285,card_type!A:A,0)-1,0)</f>
        <v>3</v>
      </c>
      <c r="L285" s="157">
        <v>2</v>
      </c>
      <c r="M285" s="157">
        <v>2</v>
      </c>
      <c r="N285" s="153">
        <f t="shared" si="45"/>
        <v>10</v>
      </c>
      <c r="O285" s="157"/>
      <c r="P285" s="157"/>
      <c r="Q285" s="153">
        <f ca="1">OFFSET(card_type!$A$1,MATCH(card!B285,card_type!B:B,0)-1,0)</f>
        <v>1010</v>
      </c>
      <c r="R285" s="153">
        <v>1</v>
      </c>
      <c r="S285" s="157">
        <f ca="1">ROUND(IF(R285=0,0,IF(R285=1,X285*$S$1,IF(R285=2,X285*$S$1*buff的资质计算!$E$2,IF(R285=3,X285*$S$1*buff的资质计算!$E$3,0)))),0)*0</f>
        <v>0</v>
      </c>
      <c r="T285" s="153">
        <v>5</v>
      </c>
      <c r="U285" s="153">
        <f ca="1" t="shared" si="46"/>
        <v>13</v>
      </c>
      <c r="V285" s="153">
        <f ca="1">ROUND((OFFSET(卡牌辅助配置表!$O$1,MATCH(U285,卡牌辅助配置表!M:M,0)-1,0)+(N285-1)*OFFSET(卡牌辅助配置表!$P$1,MATCH(U285,卡牌辅助配置表!M:M,0)-1,0))*M285,2)</f>
        <v>39.52</v>
      </c>
      <c r="W285" s="157">
        <f ca="1">ROUND(IF(R285=0,0,IF(R285=1,X285*$W$1,IF(R285=2,X285*$W$1*buff的资质计算!$E$2,IF(R285=3,X285*$W$1*buff的资质计算!$E$3,0)))),2)</f>
        <v>10.05</v>
      </c>
      <c r="X285" s="157">
        <f ca="1" t="shared" si="47"/>
        <v>33.5</v>
      </c>
      <c r="Y285" s="157">
        <f ca="1" t="shared" si="48"/>
        <v>33.9615384615385</v>
      </c>
      <c r="Z285" s="304">
        <f ca="1" t="shared" si="49"/>
        <v>16.9807692307692</v>
      </c>
      <c r="AA285" s="304">
        <f ca="1">OFFSET(卡牌辅助配置表!$AD$1,MATCH(AB285,卡牌辅助配置表!AB:AB,0)-1,0)</f>
        <v>910</v>
      </c>
      <c r="AB285" s="304">
        <f ca="1" t="shared" si="50"/>
        <v>1310</v>
      </c>
      <c r="AC285" s="153">
        <v>1</v>
      </c>
      <c r="AE285" s="153">
        <v>1</v>
      </c>
      <c r="AF285" s="153" t="str">
        <f ca="1" t="shared" si="51"/>
        <v>10100011|</v>
      </c>
      <c r="AJ285" s="205" t="str">
        <f ca="1" t="shared" si="52"/>
        <v>400023|5400|;</v>
      </c>
      <c r="AK285" s="205">
        <f ca="1">OFFSET([1]item_type!$A$1,MATCH(Q285,[1]item_type!$G:$G,0)-1,0)</f>
        <v>301010</v>
      </c>
      <c r="AL285" s="205"/>
      <c r="AM285" s="205">
        <f ca="1">IF(B285=B286,OFFSET(卡牌辅助配置表!$AE$1,MATCH(AB285,卡牌辅助配置表!AB:AB,0),0),0)</f>
        <v>5400</v>
      </c>
      <c r="AN285" s="153">
        <f ca="1" t="shared" si="53"/>
        <v>1010011</v>
      </c>
      <c r="AP285" s="153" t="str">
        <f ca="1">IF(AC285=0,0,IF(AC285=12,0,OFFSET(effect!$N$1,MATCH(K285,effect!M:M,0)-1,0)))</f>
        <v>kpsx_zise</v>
      </c>
    </row>
    <row r="286" spans="1:42">
      <c r="A286" s="153">
        <f ca="1" t="shared" si="44"/>
        <v>1010011</v>
      </c>
      <c r="B286" s="91" t="s">
        <v>365</v>
      </c>
      <c r="C286" s="186">
        <v>1</v>
      </c>
      <c r="D286" s="186">
        <v>6</v>
      </c>
      <c r="E286" s="165" t="s">
        <v>1050</v>
      </c>
      <c r="F286" s="165" t="str">
        <f>"本回合每出一张拳法牌，伤害增加"&amp;skill!$O$15/100&amp;"%"</f>
        <v>本回合每出一张拳法牌，伤害增加30%</v>
      </c>
      <c r="G286" s="186">
        <f ca="1">OFFSET(卡牌辅助配置表!$C$1,MATCH(AC286,卡牌辅助配置表!A:A,0)-1,0)</f>
        <v>3</v>
      </c>
      <c r="H286" s="186">
        <f ca="1">OFFSET(skill!$Q$1,MATCH(B286,skill!B:B,0)-1,0)</f>
        <v>0.461538461538462</v>
      </c>
      <c r="I286" s="186"/>
      <c r="J286" s="186">
        <f ca="1">OFFSET(card_type!$F$1,MATCH(Q286,card_type!A:A,0)-1,0)</f>
        <v>1</v>
      </c>
      <c r="K286" s="243">
        <f ca="1">OFFSET(card_type!$G$1,MATCH(Q286,card_type!A:A,0)-1,0)</f>
        <v>3</v>
      </c>
      <c r="L286" s="157">
        <v>2</v>
      </c>
      <c r="M286" s="157">
        <v>2</v>
      </c>
      <c r="N286" s="153">
        <f t="shared" si="45"/>
        <v>11</v>
      </c>
      <c r="O286" s="157"/>
      <c r="P286" s="157"/>
      <c r="Q286" s="153">
        <f ca="1">OFFSET(card_type!$A$1,MATCH(card!B286,card_type!B:B,0)-1,0)</f>
        <v>1010</v>
      </c>
      <c r="R286" s="153">
        <v>1</v>
      </c>
      <c r="S286" s="157">
        <f ca="1">ROUND(IF(R286=0,0,IF(R286=1,X286*$S$1,IF(R286=2,X286*$S$1*buff的资质计算!$E$2,IF(R286=3,X286*$S$1*buff的资质计算!$E$3,0)))),0)*0</f>
        <v>0</v>
      </c>
      <c r="T286" s="153">
        <v>5</v>
      </c>
      <c r="U286" s="153">
        <f ca="1" t="shared" si="46"/>
        <v>13</v>
      </c>
      <c r="V286" s="153">
        <f ca="1">ROUND((OFFSET(卡牌辅助配置表!$O$1,MATCH(U286,卡牌辅助配置表!M:M,0)-1,0)+(N286-1)*OFFSET(卡牌辅助配置表!$P$1,MATCH(U286,卡牌辅助配置表!M:M,0)-1,0))*M286,2)</f>
        <v>40.53</v>
      </c>
      <c r="W286" s="157">
        <f ca="1">ROUND(IF(R286=0,0,IF(R286=1,X286*$W$1,IF(R286=2,X286*$W$1*buff的资质计算!$E$2,IF(R286=3,X286*$W$1*buff的资质计算!$E$3,0)))),2)</f>
        <v>10.2</v>
      </c>
      <c r="X286" s="157">
        <f ca="1" t="shared" si="47"/>
        <v>34</v>
      </c>
      <c r="Y286" s="157">
        <f ca="1" t="shared" si="48"/>
        <v>34.4615384615385</v>
      </c>
      <c r="Z286" s="304">
        <f ca="1" t="shared" si="49"/>
        <v>17.2307692307692</v>
      </c>
      <c r="AA286" s="304">
        <f ca="1">OFFSET(卡牌辅助配置表!$AD$1,MATCH(AB286,卡牌辅助配置表!AB:AB,0)-1,0)</f>
        <v>1047</v>
      </c>
      <c r="AB286" s="304">
        <f ca="1" t="shared" si="50"/>
        <v>1311</v>
      </c>
      <c r="AC286" s="153">
        <v>1</v>
      </c>
      <c r="AE286" s="153">
        <v>1</v>
      </c>
      <c r="AF286" s="153" t="str">
        <f ca="1" t="shared" si="51"/>
        <v>10100011|</v>
      </c>
      <c r="AJ286" s="205" t="str">
        <f ca="1" t="shared" si="52"/>
        <v>400023|6200|;</v>
      </c>
      <c r="AK286" s="205">
        <f ca="1">OFFSET([1]item_type!$A$1,MATCH(Q286,[1]item_type!$G:$G,0)-1,0)</f>
        <v>301010</v>
      </c>
      <c r="AL286" s="205"/>
      <c r="AM286" s="205">
        <f ca="1">IF(B286=B287,OFFSET(卡牌辅助配置表!$AE$1,MATCH(AB286,卡牌辅助配置表!AB:AB,0),0),0)</f>
        <v>6200</v>
      </c>
      <c r="AN286" s="153">
        <f ca="1" t="shared" si="53"/>
        <v>1010012</v>
      </c>
      <c r="AP286" s="153" t="str">
        <f ca="1">IF(AC286=0,0,IF(AC286=12,0,OFFSET(effect!$N$1,MATCH(K286,effect!M:M,0)-1,0)))</f>
        <v>kpsx_zise</v>
      </c>
    </row>
    <row r="287" spans="1:42">
      <c r="A287" s="153">
        <f ca="1" t="shared" si="44"/>
        <v>1010012</v>
      </c>
      <c r="B287" s="91" t="s">
        <v>365</v>
      </c>
      <c r="C287" s="186">
        <v>1</v>
      </c>
      <c r="D287" s="186">
        <v>6</v>
      </c>
      <c r="E287" s="165" t="s">
        <v>1050</v>
      </c>
      <c r="F287" s="165" t="str">
        <f>"本回合每出一张拳法牌，伤害增加"&amp;skill!$O$15/100&amp;"%"</f>
        <v>本回合每出一张拳法牌，伤害增加30%</v>
      </c>
      <c r="G287" s="186">
        <f ca="1">OFFSET(卡牌辅助配置表!$C$1,MATCH(AC287,卡牌辅助配置表!A:A,0)-1,0)</f>
        <v>3</v>
      </c>
      <c r="H287" s="186">
        <f ca="1">OFFSET(skill!$Q$1,MATCH(B287,skill!B:B,0)-1,0)</f>
        <v>0.461538461538462</v>
      </c>
      <c r="I287" s="186"/>
      <c r="J287" s="186">
        <f ca="1">OFFSET(card_type!$F$1,MATCH(Q287,card_type!A:A,0)-1,0)</f>
        <v>1</v>
      </c>
      <c r="K287" s="243">
        <f ca="1">OFFSET(card_type!$G$1,MATCH(Q287,card_type!A:A,0)-1,0)</f>
        <v>3</v>
      </c>
      <c r="L287" s="157">
        <v>2</v>
      </c>
      <c r="M287" s="157">
        <v>2</v>
      </c>
      <c r="N287" s="153">
        <f t="shared" si="45"/>
        <v>12</v>
      </c>
      <c r="O287" s="157"/>
      <c r="P287" s="157"/>
      <c r="Q287" s="153">
        <f ca="1">OFFSET(card_type!$A$1,MATCH(card!B287,card_type!B:B,0)-1,0)</f>
        <v>1010</v>
      </c>
      <c r="R287" s="153">
        <v>1</v>
      </c>
      <c r="S287" s="157">
        <f ca="1">ROUND(IF(R287=0,0,IF(R287=1,X287*$S$1,IF(R287=2,X287*$S$1*buff的资质计算!$E$2,IF(R287=3,X287*$S$1*buff的资质计算!$E$3,0)))),0)*0</f>
        <v>0</v>
      </c>
      <c r="T287" s="153">
        <v>5</v>
      </c>
      <c r="U287" s="153">
        <f ca="1" t="shared" si="46"/>
        <v>13</v>
      </c>
      <c r="V287" s="153">
        <f ca="1">ROUND((OFFSET(卡牌辅助配置表!$O$1,MATCH(U287,卡牌辅助配置表!M:M,0)-1,0)+(N287-1)*OFFSET(卡牌辅助配置表!$P$1,MATCH(U287,卡牌辅助配置表!M:M,0)-1,0))*M287,2)</f>
        <v>41.55</v>
      </c>
      <c r="W287" s="157">
        <f ca="1">ROUND(IF(R287=0,0,IF(R287=1,X287*$W$1,IF(R287=2,X287*$W$1*buff的资质计算!$E$2,IF(R287=3,X287*$W$1*buff的资质计算!$E$3,0)))),2)</f>
        <v>10.35</v>
      </c>
      <c r="X287" s="157">
        <f ca="1" t="shared" si="47"/>
        <v>34.5</v>
      </c>
      <c r="Y287" s="157">
        <f ca="1" t="shared" si="48"/>
        <v>34.9615384615385</v>
      </c>
      <c r="Z287" s="304">
        <f ca="1" t="shared" si="49"/>
        <v>17.4807692307692</v>
      </c>
      <c r="AA287" s="304">
        <f ca="1">OFFSET(卡牌辅助配置表!$AD$1,MATCH(AB287,卡牌辅助配置表!AB:AB,0)-1,0)</f>
        <v>1184</v>
      </c>
      <c r="AB287" s="304">
        <f ca="1" t="shared" si="50"/>
        <v>1312</v>
      </c>
      <c r="AC287" s="153">
        <v>1</v>
      </c>
      <c r="AE287" s="153">
        <v>1</v>
      </c>
      <c r="AF287" s="153" t="str">
        <f ca="1" t="shared" si="51"/>
        <v>10100011|</v>
      </c>
      <c r="AJ287" s="205" t="str">
        <f ca="1" t="shared" si="52"/>
        <v>400023|7000|;</v>
      </c>
      <c r="AK287" s="205">
        <f ca="1">OFFSET([1]item_type!$A$1,MATCH(Q287,[1]item_type!$G:$G,0)-1,0)</f>
        <v>301010</v>
      </c>
      <c r="AL287" s="205"/>
      <c r="AM287" s="205">
        <f ca="1">IF(B287=B288,OFFSET(卡牌辅助配置表!$AE$1,MATCH(AB287,卡牌辅助配置表!AB:AB,0),0),0)</f>
        <v>7000</v>
      </c>
      <c r="AN287" s="153">
        <f ca="1" t="shared" si="53"/>
        <v>1010013</v>
      </c>
      <c r="AP287" s="153" t="str">
        <f ca="1">IF(AC287=0,0,IF(AC287=12,0,OFFSET(effect!$N$1,MATCH(K287,effect!M:M,0)-1,0)))</f>
        <v>kpsx_zise</v>
      </c>
    </row>
    <row r="288" spans="1:42">
      <c r="A288" s="153">
        <f ca="1" t="shared" si="44"/>
        <v>1010013</v>
      </c>
      <c r="B288" s="91" t="s">
        <v>365</v>
      </c>
      <c r="C288" s="186">
        <v>1</v>
      </c>
      <c r="D288" s="186">
        <v>6</v>
      </c>
      <c r="E288" s="165" t="s">
        <v>1050</v>
      </c>
      <c r="F288" s="165" t="str">
        <f>"本回合每出一张拳法牌，伤害增加"&amp;skill!$O$15/100&amp;"%"</f>
        <v>本回合每出一张拳法牌，伤害增加30%</v>
      </c>
      <c r="G288" s="186">
        <f ca="1">OFFSET(卡牌辅助配置表!$C$1,MATCH(AC288,卡牌辅助配置表!A:A,0)-1,0)</f>
        <v>3</v>
      </c>
      <c r="H288" s="186">
        <f ca="1">OFFSET(skill!$Q$1,MATCH(B288,skill!B:B,0)-1,0)</f>
        <v>0.461538461538462</v>
      </c>
      <c r="I288" s="186"/>
      <c r="J288" s="186">
        <f ca="1">OFFSET(card_type!$F$1,MATCH(Q288,card_type!A:A,0)-1,0)</f>
        <v>1</v>
      </c>
      <c r="K288" s="243">
        <f ca="1">OFFSET(card_type!$G$1,MATCH(Q288,card_type!A:A,0)-1,0)</f>
        <v>3</v>
      </c>
      <c r="L288" s="157">
        <v>2</v>
      </c>
      <c r="M288" s="157">
        <v>2</v>
      </c>
      <c r="N288" s="153">
        <f t="shared" si="45"/>
        <v>13</v>
      </c>
      <c r="O288" s="157"/>
      <c r="P288" s="157"/>
      <c r="Q288" s="153">
        <f ca="1">OFFSET(card_type!$A$1,MATCH(card!B288,card_type!B:B,0)-1,0)</f>
        <v>1010</v>
      </c>
      <c r="R288" s="153">
        <v>1</v>
      </c>
      <c r="S288" s="157">
        <f ca="1">ROUND(IF(R288=0,0,IF(R288=1,X288*$S$1,IF(R288=2,X288*$S$1*buff的资质计算!$E$2,IF(R288=3,X288*$S$1*buff的资质计算!$E$3,0)))),0)*0</f>
        <v>0</v>
      </c>
      <c r="T288" s="153">
        <v>5</v>
      </c>
      <c r="U288" s="153">
        <f ca="1" t="shared" si="46"/>
        <v>13</v>
      </c>
      <c r="V288" s="153">
        <f ca="1">ROUND((OFFSET(卡牌辅助配置表!$O$1,MATCH(U288,卡牌辅助配置表!M:M,0)-1,0)+(N288-1)*OFFSET(卡牌辅助配置表!$P$1,MATCH(U288,卡牌辅助配置表!M:M,0)-1,0))*M288,2)</f>
        <v>42.56</v>
      </c>
      <c r="W288" s="157">
        <f ca="1">ROUND(IF(R288=0,0,IF(R288=1,X288*$W$1,IF(R288=2,X288*$W$1*buff的资质计算!$E$2,IF(R288=3,X288*$W$1*buff的资质计算!$E$3,0)))),2)</f>
        <v>10.5</v>
      </c>
      <c r="X288" s="157">
        <f ca="1" t="shared" si="47"/>
        <v>35</v>
      </c>
      <c r="Y288" s="157">
        <f ca="1" t="shared" si="48"/>
        <v>35.4615384615385</v>
      </c>
      <c r="Z288" s="304">
        <f ca="1" t="shared" si="49"/>
        <v>17.7307692307692</v>
      </c>
      <c r="AA288" s="304">
        <f ca="1">OFFSET(卡牌辅助配置表!$AD$1,MATCH(AB288,卡牌辅助配置表!AB:AB,0)-1,0)</f>
        <v>1321</v>
      </c>
      <c r="AB288" s="304">
        <f ca="1" t="shared" si="50"/>
        <v>1313</v>
      </c>
      <c r="AC288" s="153">
        <v>1</v>
      </c>
      <c r="AE288" s="153">
        <v>1</v>
      </c>
      <c r="AF288" s="153" t="str">
        <f ca="1" t="shared" si="51"/>
        <v>10100011|</v>
      </c>
      <c r="AJ288" s="205" t="str">
        <f ca="1" t="shared" si="52"/>
        <v>400023|7800|;</v>
      </c>
      <c r="AK288" s="205">
        <f ca="1">OFFSET([1]item_type!$A$1,MATCH(Q288,[1]item_type!$G:$G,0)-1,0)</f>
        <v>301010</v>
      </c>
      <c r="AL288" s="205"/>
      <c r="AM288" s="205">
        <f ca="1">IF(B288=B289,OFFSET(卡牌辅助配置表!$AE$1,MATCH(AB288,卡牌辅助配置表!AB:AB,0),0),0)</f>
        <v>7800</v>
      </c>
      <c r="AN288" s="153">
        <f ca="1" t="shared" si="53"/>
        <v>1010014</v>
      </c>
      <c r="AP288" s="153" t="str">
        <f ca="1">IF(AC288=0,0,IF(AC288=12,0,OFFSET(effect!$N$1,MATCH(K288,effect!M:M,0)-1,0)))</f>
        <v>kpsx_zise</v>
      </c>
    </row>
    <row r="289" spans="1:42">
      <c r="A289" s="153">
        <f ca="1" t="shared" si="44"/>
        <v>1010014</v>
      </c>
      <c r="B289" s="91" t="s">
        <v>365</v>
      </c>
      <c r="C289" s="186">
        <v>1</v>
      </c>
      <c r="D289" s="186">
        <v>6</v>
      </c>
      <c r="E289" s="165" t="s">
        <v>1050</v>
      </c>
      <c r="F289" s="165" t="str">
        <f>"本回合每出一张拳法牌，伤害增加"&amp;skill!$O$15/100&amp;"%"</f>
        <v>本回合每出一张拳法牌，伤害增加30%</v>
      </c>
      <c r="G289" s="186">
        <f ca="1">OFFSET(卡牌辅助配置表!$C$1,MATCH(AC289,卡牌辅助配置表!A:A,0)-1,0)</f>
        <v>3</v>
      </c>
      <c r="H289" s="186">
        <f ca="1">OFFSET(skill!$Q$1,MATCH(B289,skill!B:B,0)-1,0)</f>
        <v>0.461538461538462</v>
      </c>
      <c r="I289" s="186"/>
      <c r="J289" s="186">
        <f ca="1">OFFSET(card_type!$F$1,MATCH(Q289,card_type!A:A,0)-1,0)</f>
        <v>1</v>
      </c>
      <c r="K289" s="243">
        <f ca="1">OFFSET(card_type!$G$1,MATCH(Q289,card_type!A:A,0)-1,0)</f>
        <v>3</v>
      </c>
      <c r="L289" s="157">
        <v>2</v>
      </c>
      <c r="M289" s="157">
        <v>2</v>
      </c>
      <c r="N289" s="153">
        <f t="shared" si="45"/>
        <v>14</v>
      </c>
      <c r="O289" s="157"/>
      <c r="P289" s="157"/>
      <c r="Q289" s="153">
        <f ca="1">OFFSET(card_type!$A$1,MATCH(card!B289,card_type!B:B,0)-1,0)</f>
        <v>1010</v>
      </c>
      <c r="R289" s="153">
        <v>1</v>
      </c>
      <c r="S289" s="157">
        <f ca="1">ROUND(IF(R289=0,0,IF(R289=1,X289*$S$1,IF(R289=2,X289*$S$1*buff的资质计算!$E$2,IF(R289=3,X289*$S$1*buff的资质计算!$E$3,0)))),0)*0</f>
        <v>0</v>
      </c>
      <c r="T289" s="153">
        <v>5</v>
      </c>
      <c r="U289" s="153">
        <f ca="1" t="shared" si="46"/>
        <v>13</v>
      </c>
      <c r="V289" s="153">
        <f ca="1">ROUND((OFFSET(卡牌辅助配置表!$O$1,MATCH(U289,卡牌辅助配置表!M:M,0)-1,0)+(N289-1)*OFFSET(卡牌辅助配置表!$P$1,MATCH(U289,卡牌辅助配置表!M:M,0)-1,0))*M289,2)</f>
        <v>43.57</v>
      </c>
      <c r="W289" s="157">
        <f ca="1">ROUND(IF(R289=0,0,IF(R289=1,X289*$W$1,IF(R289=2,X289*$W$1*buff的资质计算!$E$2,IF(R289=3,X289*$W$1*buff的资质计算!$E$3,0)))),2)</f>
        <v>10.65</v>
      </c>
      <c r="X289" s="157">
        <f ca="1" t="shared" si="47"/>
        <v>35.5</v>
      </c>
      <c r="Y289" s="157">
        <f ca="1" t="shared" si="48"/>
        <v>35.9615384615385</v>
      </c>
      <c r="Z289" s="304">
        <f ca="1" t="shared" si="49"/>
        <v>17.9807692307692</v>
      </c>
      <c r="AA289" s="304">
        <f ca="1">OFFSET(卡牌辅助配置表!$AD$1,MATCH(AB289,卡牌辅助配置表!AB:AB,0)-1,0)</f>
        <v>1458</v>
      </c>
      <c r="AB289" s="304">
        <f ca="1" t="shared" si="50"/>
        <v>1314</v>
      </c>
      <c r="AC289" s="153">
        <v>1</v>
      </c>
      <c r="AE289" s="153">
        <v>1</v>
      </c>
      <c r="AF289" s="153" t="str">
        <f ca="1" t="shared" si="51"/>
        <v>10100011|</v>
      </c>
      <c r="AJ289" s="205" t="str">
        <f ca="1" t="shared" si="52"/>
        <v>400023|8600|;</v>
      </c>
      <c r="AK289" s="205">
        <f ca="1">OFFSET([1]item_type!$A$1,MATCH(Q289,[1]item_type!$G:$G,0)-1,0)</f>
        <v>301010</v>
      </c>
      <c r="AL289" s="205"/>
      <c r="AM289" s="205">
        <f ca="1">IF(B289=B290,OFFSET(卡牌辅助配置表!$AE$1,MATCH(AB289,卡牌辅助配置表!AB:AB,0),0),0)</f>
        <v>8600</v>
      </c>
      <c r="AN289" s="153">
        <f ca="1" t="shared" si="53"/>
        <v>1010015</v>
      </c>
      <c r="AP289" s="153" t="str">
        <f ca="1">IF(AC289=0,0,IF(AC289=12,0,OFFSET(effect!$N$1,MATCH(K289,effect!M:M,0)-1,0)))</f>
        <v>kpsx_zise</v>
      </c>
    </row>
    <row r="290" spans="1:42">
      <c r="A290" s="153">
        <f ca="1" t="shared" si="44"/>
        <v>1010015</v>
      </c>
      <c r="B290" s="91" t="s">
        <v>365</v>
      </c>
      <c r="C290" s="186">
        <v>1</v>
      </c>
      <c r="D290" s="186">
        <v>6</v>
      </c>
      <c r="E290" s="165" t="s">
        <v>1050</v>
      </c>
      <c r="F290" s="165" t="str">
        <f>"本回合每出一张拳法牌，伤害增加"&amp;skill!$O$15/100&amp;"%"</f>
        <v>本回合每出一张拳法牌，伤害增加30%</v>
      </c>
      <c r="G290" s="186">
        <f ca="1">OFFSET(卡牌辅助配置表!$C$1,MATCH(AC290,卡牌辅助配置表!A:A,0)-1,0)</f>
        <v>3</v>
      </c>
      <c r="H290" s="186">
        <f ca="1">OFFSET(skill!$Q$1,MATCH(B290,skill!B:B,0)-1,0)</f>
        <v>0.461538461538462</v>
      </c>
      <c r="I290" s="186"/>
      <c r="J290" s="186">
        <f ca="1">OFFSET(card_type!$F$1,MATCH(Q290,card_type!A:A,0)-1,0)</f>
        <v>1</v>
      </c>
      <c r="K290" s="243">
        <f ca="1">OFFSET(card_type!$G$1,MATCH(Q290,card_type!A:A,0)-1,0)</f>
        <v>3</v>
      </c>
      <c r="L290" s="157">
        <v>2</v>
      </c>
      <c r="M290" s="157">
        <v>2</v>
      </c>
      <c r="N290" s="153">
        <f t="shared" si="45"/>
        <v>15</v>
      </c>
      <c r="O290" s="157"/>
      <c r="P290" s="157"/>
      <c r="Q290" s="153">
        <f ca="1">OFFSET(card_type!$A$1,MATCH(card!B290,card_type!B:B,0)-1,0)</f>
        <v>1010</v>
      </c>
      <c r="R290" s="153">
        <v>1</v>
      </c>
      <c r="S290" s="157">
        <f ca="1">ROUND(IF(R290=0,0,IF(R290=1,X290*$S$1,IF(R290=2,X290*$S$1*buff的资质计算!$E$2,IF(R290=3,X290*$S$1*buff的资质计算!$E$3,0)))),0)*0</f>
        <v>0</v>
      </c>
      <c r="T290" s="153">
        <v>5</v>
      </c>
      <c r="U290" s="153">
        <f ca="1" t="shared" si="46"/>
        <v>13</v>
      </c>
      <c r="V290" s="153">
        <f ca="1">ROUND((OFFSET(卡牌辅助配置表!$O$1,MATCH(U290,卡牌辅助配置表!M:M,0)-1,0)+(N290-1)*OFFSET(卡牌辅助配置表!$P$1,MATCH(U290,卡牌辅助配置表!M:M,0)-1,0))*M290,2)</f>
        <v>44.59</v>
      </c>
      <c r="W290" s="157">
        <f ca="1">ROUND(IF(R290=0,0,IF(R290=1,X290*$W$1,IF(R290=2,X290*$W$1*buff的资质计算!$E$2,IF(R290=3,X290*$W$1*buff的资质计算!$E$3,0)))),2)</f>
        <v>10.8</v>
      </c>
      <c r="X290" s="157">
        <f ca="1" t="shared" si="47"/>
        <v>36</v>
      </c>
      <c r="Y290" s="157">
        <f ca="1" t="shared" si="48"/>
        <v>36.4615384615385</v>
      </c>
      <c r="Z290" s="304">
        <f ca="1" t="shared" si="49"/>
        <v>18.2307692307692</v>
      </c>
      <c r="AA290" s="304">
        <f ca="1">OFFSET(卡牌辅助配置表!$AD$1,MATCH(AB290,卡牌辅助配置表!AB:AB,0)-1,0)</f>
        <v>1595</v>
      </c>
      <c r="AB290" s="304">
        <f ca="1" t="shared" si="50"/>
        <v>1315</v>
      </c>
      <c r="AC290" s="153">
        <v>1</v>
      </c>
      <c r="AE290" s="153">
        <v>1</v>
      </c>
      <c r="AF290" s="153" t="str">
        <f ca="1" t="shared" si="51"/>
        <v>10100011|</v>
      </c>
      <c r="AJ290" s="205" t="str">
        <f ca="1" t="shared" si="52"/>
        <v>400023|9400|;</v>
      </c>
      <c r="AK290" s="205">
        <f ca="1">OFFSET([1]item_type!$A$1,MATCH(Q290,[1]item_type!$G:$G,0)-1,0)</f>
        <v>301010</v>
      </c>
      <c r="AL290" s="205"/>
      <c r="AM290" s="205">
        <f ca="1">IF(B290=B291,OFFSET(卡牌辅助配置表!$AE$1,MATCH(AB290,卡牌辅助配置表!AB:AB,0),0),0)</f>
        <v>9400</v>
      </c>
      <c r="AN290" s="153">
        <f ca="1" t="shared" si="53"/>
        <v>1010016</v>
      </c>
      <c r="AP290" s="153" t="str">
        <f ca="1">IF(AC290=0,0,IF(AC290=12,0,OFFSET(effect!$N$1,MATCH(K290,effect!M:M,0)-1,0)))</f>
        <v>kpsx_zise</v>
      </c>
    </row>
    <row r="291" spans="1:42">
      <c r="A291" s="153">
        <f ca="1" t="shared" si="44"/>
        <v>1010016</v>
      </c>
      <c r="B291" s="91" t="s">
        <v>365</v>
      </c>
      <c r="C291" s="186">
        <v>1</v>
      </c>
      <c r="D291" s="186">
        <v>6</v>
      </c>
      <c r="E291" s="165" t="s">
        <v>1050</v>
      </c>
      <c r="F291" s="165" t="str">
        <f>"本回合每出一张拳法牌，伤害增加"&amp;skill!$O$15/100&amp;"%"</f>
        <v>本回合每出一张拳法牌，伤害增加30%</v>
      </c>
      <c r="G291" s="186">
        <f ca="1">OFFSET(卡牌辅助配置表!$C$1,MATCH(AC291,卡牌辅助配置表!A:A,0)-1,0)</f>
        <v>3</v>
      </c>
      <c r="H291" s="186">
        <f ca="1">OFFSET(skill!$Q$1,MATCH(B291,skill!B:B,0)-1,0)</f>
        <v>0.461538461538462</v>
      </c>
      <c r="I291" s="186"/>
      <c r="J291" s="186">
        <f ca="1">OFFSET(card_type!$F$1,MATCH(Q291,card_type!A:A,0)-1,0)</f>
        <v>1</v>
      </c>
      <c r="K291" s="243">
        <f ca="1">OFFSET(card_type!$G$1,MATCH(Q291,card_type!A:A,0)-1,0)</f>
        <v>3</v>
      </c>
      <c r="L291" s="157">
        <v>2</v>
      </c>
      <c r="M291" s="157">
        <v>2</v>
      </c>
      <c r="N291" s="153">
        <f t="shared" si="45"/>
        <v>16</v>
      </c>
      <c r="O291" s="157"/>
      <c r="P291" s="157"/>
      <c r="Q291" s="153">
        <f ca="1">OFFSET(card_type!$A$1,MATCH(card!B291,card_type!B:B,0)-1,0)</f>
        <v>1010</v>
      </c>
      <c r="R291" s="153">
        <v>1</v>
      </c>
      <c r="S291" s="157">
        <f ca="1">ROUND(IF(R291=0,0,IF(R291=1,X291*$S$1,IF(R291=2,X291*$S$1*buff的资质计算!$E$2,IF(R291=3,X291*$S$1*buff的资质计算!$E$3,0)))),0)*0</f>
        <v>0</v>
      </c>
      <c r="T291" s="153">
        <v>5</v>
      </c>
      <c r="U291" s="153">
        <f ca="1" t="shared" si="46"/>
        <v>13</v>
      </c>
      <c r="V291" s="153">
        <f ca="1">ROUND((OFFSET(卡牌辅助配置表!$O$1,MATCH(U291,卡牌辅助配置表!M:M,0)-1,0)+(N291-1)*OFFSET(卡牌辅助配置表!$P$1,MATCH(U291,卡牌辅助配置表!M:M,0)-1,0))*M291,2)</f>
        <v>45.6</v>
      </c>
      <c r="W291" s="157">
        <f ca="1">ROUND(IF(R291=0,0,IF(R291=1,X291*$W$1,IF(R291=2,X291*$W$1*buff的资质计算!$E$2,IF(R291=3,X291*$W$1*buff的资质计算!$E$3,0)))),2)</f>
        <v>10.95</v>
      </c>
      <c r="X291" s="157">
        <f ca="1" t="shared" si="47"/>
        <v>36.5</v>
      </c>
      <c r="Y291" s="157">
        <f ca="1" t="shared" si="48"/>
        <v>36.9615384615385</v>
      </c>
      <c r="Z291" s="304">
        <f ca="1" t="shared" si="49"/>
        <v>18.4807692307692</v>
      </c>
      <c r="AA291" s="304">
        <f ca="1">OFFSET(卡牌辅助配置表!$AD$1,MATCH(AB291,卡牌辅助配置表!AB:AB,0)-1,0)</f>
        <v>1732</v>
      </c>
      <c r="AB291" s="304">
        <f ca="1" t="shared" si="50"/>
        <v>1316</v>
      </c>
      <c r="AC291" s="153">
        <v>1</v>
      </c>
      <c r="AE291" s="153">
        <v>1</v>
      </c>
      <c r="AF291" s="153" t="str">
        <f ca="1" t="shared" si="51"/>
        <v>10100011|</v>
      </c>
      <c r="AJ291" s="205" t="str">
        <f ca="1" t="shared" si="52"/>
        <v>400023|10200|;</v>
      </c>
      <c r="AK291" s="205">
        <f ca="1">OFFSET([1]item_type!$A$1,MATCH(Q291,[1]item_type!$G:$G,0)-1,0)</f>
        <v>301010</v>
      </c>
      <c r="AL291" s="205"/>
      <c r="AM291" s="205">
        <f ca="1">IF(B291=B292,OFFSET(卡牌辅助配置表!$AE$1,MATCH(AB291,卡牌辅助配置表!AB:AB,0),0),0)</f>
        <v>10200</v>
      </c>
      <c r="AN291" s="153">
        <f ca="1" t="shared" si="53"/>
        <v>1010017</v>
      </c>
      <c r="AP291" s="153" t="str">
        <f ca="1">IF(AC291=0,0,IF(AC291=12,0,OFFSET(effect!$N$1,MATCH(K291,effect!M:M,0)-1,0)))</f>
        <v>kpsx_zise</v>
      </c>
    </row>
    <row r="292" spans="1:42">
      <c r="A292" s="153">
        <f ca="1" t="shared" si="44"/>
        <v>1010017</v>
      </c>
      <c r="B292" s="91" t="s">
        <v>365</v>
      </c>
      <c r="C292" s="186">
        <v>1</v>
      </c>
      <c r="D292" s="186">
        <v>6</v>
      </c>
      <c r="E292" s="165" t="s">
        <v>1050</v>
      </c>
      <c r="F292" s="165" t="str">
        <f>"本回合每出一张拳法牌，伤害增加"&amp;skill!$O$15/100&amp;"%"</f>
        <v>本回合每出一张拳法牌，伤害增加30%</v>
      </c>
      <c r="G292" s="186">
        <f ca="1">OFFSET(卡牌辅助配置表!$C$1,MATCH(AC292,卡牌辅助配置表!A:A,0)-1,0)</f>
        <v>3</v>
      </c>
      <c r="H292" s="186">
        <f ca="1">OFFSET(skill!$Q$1,MATCH(B292,skill!B:B,0)-1,0)</f>
        <v>0.461538461538462</v>
      </c>
      <c r="I292" s="186"/>
      <c r="J292" s="186">
        <f ca="1">OFFSET(card_type!$F$1,MATCH(Q292,card_type!A:A,0)-1,0)</f>
        <v>1</v>
      </c>
      <c r="K292" s="243">
        <f ca="1">OFFSET(card_type!$G$1,MATCH(Q292,card_type!A:A,0)-1,0)</f>
        <v>3</v>
      </c>
      <c r="L292" s="157">
        <v>2</v>
      </c>
      <c r="M292" s="157">
        <v>2</v>
      </c>
      <c r="N292" s="153">
        <f t="shared" si="45"/>
        <v>17</v>
      </c>
      <c r="O292" s="157"/>
      <c r="P292" s="157"/>
      <c r="Q292" s="153">
        <f ca="1">OFFSET(card_type!$A$1,MATCH(card!B292,card_type!B:B,0)-1,0)</f>
        <v>1010</v>
      </c>
      <c r="R292" s="153">
        <v>1</v>
      </c>
      <c r="S292" s="157">
        <f ca="1">ROUND(IF(R292=0,0,IF(R292=1,X292*$S$1,IF(R292=2,X292*$S$1*buff的资质计算!$E$2,IF(R292=3,X292*$S$1*buff的资质计算!$E$3,0)))),0)*0</f>
        <v>0</v>
      </c>
      <c r="T292" s="153">
        <v>5</v>
      </c>
      <c r="U292" s="153">
        <f ca="1" t="shared" si="46"/>
        <v>13</v>
      </c>
      <c r="V292" s="153">
        <f ca="1">ROUND((OFFSET(卡牌辅助配置表!$O$1,MATCH(U292,卡牌辅助配置表!M:M,0)-1,0)+(N292-1)*OFFSET(卡牌辅助配置表!$P$1,MATCH(U292,卡牌辅助配置表!M:M,0)-1,0))*M292,2)</f>
        <v>46.61</v>
      </c>
      <c r="W292" s="157">
        <f ca="1">ROUND(IF(R292=0,0,IF(R292=1,X292*$W$1,IF(R292=2,X292*$W$1*buff的资质计算!$E$2,IF(R292=3,X292*$W$1*buff的资质计算!$E$3,0)))),2)</f>
        <v>11.1</v>
      </c>
      <c r="X292" s="157">
        <f ca="1" t="shared" si="47"/>
        <v>37</v>
      </c>
      <c r="Y292" s="157">
        <f ca="1" t="shared" si="48"/>
        <v>37.4615384615385</v>
      </c>
      <c r="Z292" s="304">
        <f ca="1" t="shared" si="49"/>
        <v>18.7307692307692</v>
      </c>
      <c r="AA292" s="304">
        <f ca="1">OFFSET(卡牌辅助配置表!$AD$1,MATCH(AB292,卡牌辅助配置表!AB:AB,0)-1,0)</f>
        <v>1869</v>
      </c>
      <c r="AB292" s="304">
        <f ca="1" t="shared" si="50"/>
        <v>1317</v>
      </c>
      <c r="AC292" s="153">
        <v>1</v>
      </c>
      <c r="AE292" s="153">
        <v>1</v>
      </c>
      <c r="AF292" s="153" t="str">
        <f ca="1" t="shared" si="51"/>
        <v>10100011|</v>
      </c>
      <c r="AJ292" s="205" t="str">
        <f ca="1" t="shared" si="52"/>
        <v>400023|11000|;</v>
      </c>
      <c r="AK292" s="205">
        <f ca="1">OFFSET([1]item_type!$A$1,MATCH(Q292,[1]item_type!$G:$G,0)-1,0)</f>
        <v>301010</v>
      </c>
      <c r="AL292" s="205"/>
      <c r="AM292" s="205">
        <f ca="1">IF(B292=B293,OFFSET(卡牌辅助配置表!$AE$1,MATCH(AB292,卡牌辅助配置表!AB:AB,0),0),0)</f>
        <v>11000</v>
      </c>
      <c r="AN292" s="153">
        <f ca="1" t="shared" si="53"/>
        <v>1010018</v>
      </c>
      <c r="AP292" s="153" t="str">
        <f ca="1">IF(AC292=0,0,IF(AC292=12,0,OFFSET(effect!$N$1,MATCH(K292,effect!M:M,0)-1,0)))</f>
        <v>kpsx_zise</v>
      </c>
    </row>
    <row r="293" spans="1:42">
      <c r="A293" s="153">
        <f ca="1" t="shared" si="44"/>
        <v>1010018</v>
      </c>
      <c r="B293" s="91" t="s">
        <v>365</v>
      </c>
      <c r="C293" s="186">
        <v>1</v>
      </c>
      <c r="D293" s="186">
        <v>6</v>
      </c>
      <c r="E293" s="165" t="s">
        <v>1050</v>
      </c>
      <c r="F293" s="165" t="str">
        <f>"本回合每出一张拳法牌，伤害增加"&amp;skill!$O$15/100&amp;"%"</f>
        <v>本回合每出一张拳法牌，伤害增加30%</v>
      </c>
      <c r="G293" s="186">
        <f ca="1">OFFSET(卡牌辅助配置表!$C$1,MATCH(AC293,卡牌辅助配置表!A:A,0)-1,0)</f>
        <v>3</v>
      </c>
      <c r="H293" s="186">
        <f ca="1">OFFSET(skill!$Q$1,MATCH(B293,skill!B:B,0)-1,0)</f>
        <v>0.461538461538462</v>
      </c>
      <c r="I293" s="186"/>
      <c r="J293" s="186">
        <f ca="1">OFFSET(card_type!$F$1,MATCH(Q293,card_type!A:A,0)-1,0)</f>
        <v>1</v>
      </c>
      <c r="K293" s="243">
        <f ca="1">OFFSET(card_type!$G$1,MATCH(Q293,card_type!A:A,0)-1,0)</f>
        <v>3</v>
      </c>
      <c r="L293" s="157">
        <v>2</v>
      </c>
      <c r="M293" s="157">
        <v>2</v>
      </c>
      <c r="N293" s="153">
        <f t="shared" si="45"/>
        <v>18</v>
      </c>
      <c r="O293" s="157"/>
      <c r="P293" s="157"/>
      <c r="Q293" s="153">
        <f ca="1">OFFSET(card_type!$A$1,MATCH(card!B293,card_type!B:B,0)-1,0)</f>
        <v>1010</v>
      </c>
      <c r="R293" s="153">
        <v>1</v>
      </c>
      <c r="S293" s="157">
        <f ca="1">ROUND(IF(R293=0,0,IF(R293=1,X293*$S$1,IF(R293=2,X293*$S$1*buff的资质计算!$E$2,IF(R293=3,X293*$S$1*buff的资质计算!$E$3,0)))),0)*0</f>
        <v>0</v>
      </c>
      <c r="T293" s="153">
        <v>5</v>
      </c>
      <c r="U293" s="153">
        <f ca="1" t="shared" si="46"/>
        <v>13</v>
      </c>
      <c r="V293" s="153">
        <f ca="1">ROUND((OFFSET(卡牌辅助配置表!$O$1,MATCH(U293,卡牌辅助配置表!M:M,0)-1,0)+(N293-1)*OFFSET(卡牌辅助配置表!$P$1,MATCH(U293,卡牌辅助配置表!M:M,0)-1,0))*M293,2)</f>
        <v>47.63</v>
      </c>
      <c r="W293" s="157">
        <f ca="1">ROUND(IF(R293=0,0,IF(R293=1,X293*$W$1,IF(R293=2,X293*$W$1*buff的资质计算!$E$2,IF(R293=3,X293*$W$1*buff的资质计算!$E$3,0)))),2)</f>
        <v>11.25</v>
      </c>
      <c r="X293" s="157">
        <f ca="1" t="shared" si="47"/>
        <v>37.5</v>
      </c>
      <c r="Y293" s="157">
        <f ca="1" t="shared" si="48"/>
        <v>37.9615384615385</v>
      </c>
      <c r="Z293" s="304">
        <f ca="1" t="shared" si="49"/>
        <v>18.9807692307692</v>
      </c>
      <c r="AA293" s="304">
        <f ca="1">OFFSET(卡牌辅助配置表!$AD$1,MATCH(AB293,卡牌辅助配置表!AB:AB,0)-1,0)</f>
        <v>2006</v>
      </c>
      <c r="AB293" s="304">
        <f ca="1" t="shared" si="50"/>
        <v>1318</v>
      </c>
      <c r="AC293" s="153">
        <v>1</v>
      </c>
      <c r="AE293" s="153">
        <v>1</v>
      </c>
      <c r="AF293" s="153" t="str">
        <f ca="1" t="shared" si="51"/>
        <v>10100011|</v>
      </c>
      <c r="AJ293" s="205" t="str">
        <f ca="1" t="shared" si="52"/>
        <v>400023|11800|;</v>
      </c>
      <c r="AK293" s="205">
        <f ca="1">OFFSET([1]item_type!$A$1,MATCH(Q293,[1]item_type!$G:$G,0)-1,0)</f>
        <v>301010</v>
      </c>
      <c r="AL293" s="205"/>
      <c r="AM293" s="205">
        <f ca="1">IF(B293=B294,OFFSET(卡牌辅助配置表!$AE$1,MATCH(AB293,卡牌辅助配置表!AB:AB,0),0),0)</f>
        <v>11800</v>
      </c>
      <c r="AN293" s="153">
        <f ca="1" t="shared" si="53"/>
        <v>1010019</v>
      </c>
      <c r="AP293" s="153" t="str">
        <f ca="1">IF(AC293=0,0,IF(AC293=12,0,OFFSET(effect!$N$1,MATCH(K293,effect!M:M,0)-1,0)))</f>
        <v>kpsx_zise</v>
      </c>
    </row>
    <row r="294" spans="1:42">
      <c r="A294" s="153">
        <f ca="1" t="shared" si="44"/>
        <v>1010019</v>
      </c>
      <c r="B294" s="91" t="s">
        <v>365</v>
      </c>
      <c r="C294" s="186">
        <v>1</v>
      </c>
      <c r="D294" s="186">
        <v>6</v>
      </c>
      <c r="E294" s="165" t="s">
        <v>1050</v>
      </c>
      <c r="F294" s="165" t="str">
        <f>"本回合每出一张拳法牌，伤害增加"&amp;skill!$O$15/100&amp;"%"</f>
        <v>本回合每出一张拳法牌，伤害增加30%</v>
      </c>
      <c r="G294" s="186">
        <f ca="1">OFFSET(卡牌辅助配置表!$C$1,MATCH(AC294,卡牌辅助配置表!A:A,0)-1,0)</f>
        <v>3</v>
      </c>
      <c r="H294" s="186">
        <f ca="1">OFFSET(skill!$Q$1,MATCH(B294,skill!B:B,0)-1,0)</f>
        <v>0.461538461538462</v>
      </c>
      <c r="I294" s="186"/>
      <c r="J294" s="186">
        <f ca="1">OFFSET(card_type!$F$1,MATCH(Q294,card_type!A:A,0)-1,0)</f>
        <v>1</v>
      </c>
      <c r="K294" s="243">
        <f ca="1">OFFSET(card_type!$G$1,MATCH(Q294,card_type!A:A,0)-1,0)</f>
        <v>3</v>
      </c>
      <c r="L294" s="157">
        <v>2</v>
      </c>
      <c r="M294" s="157">
        <v>2</v>
      </c>
      <c r="N294" s="153">
        <f t="shared" si="45"/>
        <v>19</v>
      </c>
      <c r="O294" s="157"/>
      <c r="P294" s="157"/>
      <c r="Q294" s="153">
        <f ca="1">OFFSET(card_type!$A$1,MATCH(card!B294,card_type!B:B,0)-1,0)</f>
        <v>1010</v>
      </c>
      <c r="R294" s="153">
        <v>1</v>
      </c>
      <c r="S294" s="157">
        <f ca="1">ROUND(IF(R294=0,0,IF(R294=1,X294*$S$1,IF(R294=2,X294*$S$1*buff的资质计算!$E$2,IF(R294=3,X294*$S$1*buff的资质计算!$E$3,0)))),0)*0</f>
        <v>0</v>
      </c>
      <c r="T294" s="153">
        <v>5</v>
      </c>
      <c r="U294" s="153">
        <f ca="1" t="shared" si="46"/>
        <v>13</v>
      </c>
      <c r="V294" s="153">
        <f ca="1">ROUND((OFFSET(卡牌辅助配置表!$O$1,MATCH(U294,卡牌辅助配置表!M:M,0)-1,0)+(N294-1)*OFFSET(卡牌辅助配置表!$P$1,MATCH(U294,卡牌辅助配置表!M:M,0)-1,0))*M294,2)</f>
        <v>48.64</v>
      </c>
      <c r="W294" s="157">
        <f ca="1">ROUND(IF(R294=0,0,IF(R294=1,X294*$W$1,IF(R294=2,X294*$W$1*buff的资质计算!$E$2,IF(R294=3,X294*$W$1*buff的资质计算!$E$3,0)))),2)</f>
        <v>11.4</v>
      </c>
      <c r="X294" s="157">
        <f ca="1" t="shared" si="47"/>
        <v>38</v>
      </c>
      <c r="Y294" s="157">
        <f ca="1" t="shared" si="48"/>
        <v>38.4615384615385</v>
      </c>
      <c r="Z294" s="304">
        <f ca="1" t="shared" si="49"/>
        <v>19.2307692307692</v>
      </c>
      <c r="AA294" s="304">
        <f ca="1">OFFSET(卡牌辅助配置表!$AD$1,MATCH(AB294,卡牌辅助配置表!AB:AB,0)-1,0)</f>
        <v>2143</v>
      </c>
      <c r="AB294" s="304">
        <f ca="1" t="shared" si="50"/>
        <v>1319</v>
      </c>
      <c r="AC294" s="153">
        <v>1</v>
      </c>
      <c r="AE294" s="153">
        <v>1</v>
      </c>
      <c r="AF294" s="153" t="str">
        <f ca="1" t="shared" si="51"/>
        <v>10100011|</v>
      </c>
      <c r="AJ294" s="205" t="str">
        <f ca="1" t="shared" si="52"/>
        <v>301010|20|;400023|12600|;</v>
      </c>
      <c r="AK294" s="205">
        <f ca="1">OFFSET([1]item_type!$A$1,MATCH(Q294,[1]item_type!$G:$G,0)-1,0)</f>
        <v>301010</v>
      </c>
      <c r="AL294" s="205">
        <v>20</v>
      </c>
      <c r="AM294" s="205">
        <f ca="1">IF(B294=B295,OFFSET(卡牌辅助配置表!$AE$1,MATCH(AB294,卡牌辅助配置表!AB:AB,0),0),0)</f>
        <v>12600</v>
      </c>
      <c r="AN294" s="153">
        <f ca="1" t="shared" si="53"/>
        <v>1010020</v>
      </c>
      <c r="AP294" s="153" t="str">
        <f ca="1">IF(AC294=0,0,IF(AC294=12,0,OFFSET(effect!$N$1,MATCH(K294,effect!M:M,0)-1,0)))</f>
        <v>kpsx_zise</v>
      </c>
    </row>
    <row r="295" spans="1:42">
      <c r="A295" s="153">
        <f ca="1" t="shared" si="44"/>
        <v>1010020</v>
      </c>
      <c r="B295" s="91" t="s">
        <v>365</v>
      </c>
      <c r="C295" s="186">
        <v>1</v>
      </c>
      <c r="D295" s="186">
        <v>6</v>
      </c>
      <c r="E295" s="165" t="s">
        <v>1050</v>
      </c>
      <c r="F295" s="165" t="str">
        <f>"本回合每出一张拳法牌，伤害增加"&amp;skill!$O$15/100&amp;"%"</f>
        <v>本回合每出一张拳法牌，伤害增加30%</v>
      </c>
      <c r="G295" s="186">
        <f ca="1">OFFSET(卡牌辅助配置表!$C$1,MATCH(AC295,卡牌辅助配置表!A:A,0)-1,0)</f>
        <v>3</v>
      </c>
      <c r="H295" s="186">
        <f ca="1">OFFSET(skill!$Q$1,MATCH(B295,skill!B:B,0)-1,0)</f>
        <v>0.461538461538462</v>
      </c>
      <c r="I295" s="186"/>
      <c r="J295" s="186">
        <f ca="1">OFFSET(card_type!$F$1,MATCH(Q295,card_type!A:A,0)-1,0)</f>
        <v>1</v>
      </c>
      <c r="K295" s="243">
        <f ca="1">OFFSET(card_type!$G$1,MATCH(Q295,card_type!A:A,0)-1,0)</f>
        <v>3</v>
      </c>
      <c r="L295" s="157">
        <v>2</v>
      </c>
      <c r="M295" s="157">
        <v>2</v>
      </c>
      <c r="N295" s="153">
        <f t="shared" si="45"/>
        <v>20</v>
      </c>
      <c r="O295" s="157"/>
      <c r="P295" s="157"/>
      <c r="Q295" s="153">
        <f ca="1">OFFSET(card_type!$A$1,MATCH(card!B295,card_type!B:B,0)-1,0)</f>
        <v>1010</v>
      </c>
      <c r="R295" s="153">
        <v>1</v>
      </c>
      <c r="S295" s="157">
        <f ca="1">ROUND(IF(R295=0,0,IF(R295=1,X295*$S$1,IF(R295=2,X295*$S$1*buff的资质计算!$E$2,IF(R295=3,X295*$S$1*buff的资质计算!$E$3,0)))),0)*0</f>
        <v>0</v>
      </c>
      <c r="T295" s="153">
        <v>5</v>
      </c>
      <c r="U295" s="153">
        <f ca="1" t="shared" si="46"/>
        <v>13</v>
      </c>
      <c r="V295" s="153">
        <f ca="1">ROUND((OFFSET(卡牌辅助配置表!$O$1,MATCH(U295,卡牌辅助配置表!M:M,0)-1,0)+(N295-1)*OFFSET(卡牌辅助配置表!$P$1,MATCH(U295,卡牌辅助配置表!M:M,0)-1,0))*M295,2)</f>
        <v>49.65</v>
      </c>
      <c r="W295" s="157">
        <f ca="1">ROUND(IF(R295=0,0,IF(R295=1,X295*$W$1,IF(R295=2,X295*$W$1*buff的资质计算!$E$2,IF(R295=3,X295*$W$1*buff的资质计算!$E$3,0)))),2)</f>
        <v>11.55</v>
      </c>
      <c r="X295" s="157">
        <f ca="1" t="shared" si="47"/>
        <v>38.5</v>
      </c>
      <c r="Y295" s="157">
        <f ca="1" t="shared" si="48"/>
        <v>38.9615384615385</v>
      </c>
      <c r="Z295" s="304">
        <f ca="1" t="shared" si="49"/>
        <v>19.4807692307692</v>
      </c>
      <c r="AA295" s="304">
        <f ca="1">OFFSET(卡牌辅助配置表!$AD$1,MATCH(AB295,卡牌辅助配置表!AB:AB,0)-1,0)</f>
        <v>2280</v>
      </c>
      <c r="AB295" s="304">
        <f ca="1" t="shared" si="50"/>
        <v>1320</v>
      </c>
      <c r="AC295" s="153">
        <v>1</v>
      </c>
      <c r="AE295" s="153">
        <v>1</v>
      </c>
      <c r="AF295" s="153" t="str">
        <f ca="1" t="shared" si="51"/>
        <v>10100011|</v>
      </c>
      <c r="AJ295" s="205" t="str">
        <f ca="1" t="shared" si="52"/>
        <v>400023|14200|;</v>
      </c>
      <c r="AK295" s="205">
        <f ca="1">OFFSET([1]item_type!$A$1,MATCH(Q295,[1]item_type!$G:$G,0)-1,0)</f>
        <v>301010</v>
      </c>
      <c r="AL295" s="205"/>
      <c r="AM295" s="205">
        <f ca="1">IF(B295=B296,OFFSET(卡牌辅助配置表!$AE$1,MATCH(AB295,卡牌辅助配置表!AB:AB,0),0),0)</f>
        <v>14200</v>
      </c>
      <c r="AN295" s="153">
        <f ca="1" t="shared" si="53"/>
        <v>1010021</v>
      </c>
      <c r="AP295" s="153" t="str">
        <f ca="1">IF(AC295=0,0,IF(AC295=12,0,OFFSET(effect!$N$1,MATCH(K295,effect!M:M,0)-1,0)))</f>
        <v>kpsx_zise</v>
      </c>
    </row>
    <row r="296" spans="1:42">
      <c r="A296" s="153">
        <f ca="1" t="shared" si="44"/>
        <v>1010021</v>
      </c>
      <c r="B296" s="91" t="s">
        <v>365</v>
      </c>
      <c r="C296" s="186">
        <v>1</v>
      </c>
      <c r="D296" s="186">
        <v>6</v>
      </c>
      <c r="E296" s="165" t="s">
        <v>1050</v>
      </c>
      <c r="F296" s="165" t="str">
        <f>"本回合每出一张拳法牌，伤害增加"&amp;skill!$O$15/100&amp;"%"</f>
        <v>本回合每出一张拳法牌，伤害增加30%</v>
      </c>
      <c r="G296" s="186">
        <f ca="1">OFFSET(卡牌辅助配置表!$C$1,MATCH(AC296,卡牌辅助配置表!A:A,0)-1,0)</f>
        <v>3</v>
      </c>
      <c r="H296" s="186">
        <f ca="1">OFFSET(skill!$Q$1,MATCH(B296,skill!B:B,0)-1,0)</f>
        <v>0.461538461538462</v>
      </c>
      <c r="I296" s="186"/>
      <c r="J296" s="186">
        <f ca="1">OFFSET(card_type!$F$1,MATCH(Q296,card_type!A:A,0)-1,0)</f>
        <v>1</v>
      </c>
      <c r="K296" s="243">
        <f ca="1">OFFSET(card_type!$G$1,MATCH(Q296,card_type!A:A,0)-1,0)</f>
        <v>3</v>
      </c>
      <c r="L296" s="157">
        <v>2</v>
      </c>
      <c r="M296" s="157">
        <v>2</v>
      </c>
      <c r="N296" s="153">
        <f t="shared" si="45"/>
        <v>21</v>
      </c>
      <c r="O296" s="157"/>
      <c r="P296" s="157"/>
      <c r="Q296" s="153">
        <f ca="1">OFFSET(card_type!$A$1,MATCH(card!B296,card_type!B:B,0)-1,0)</f>
        <v>1010</v>
      </c>
      <c r="R296" s="153">
        <v>1</v>
      </c>
      <c r="S296" s="157">
        <f ca="1">ROUND(IF(R296=0,0,IF(R296=1,X296*$S$1,IF(R296=2,X296*$S$1*buff的资质计算!$E$2,IF(R296=3,X296*$S$1*buff的资质计算!$E$3,0)))),0)*0</f>
        <v>0</v>
      </c>
      <c r="T296" s="153">
        <v>5</v>
      </c>
      <c r="U296" s="153">
        <f ca="1" t="shared" si="46"/>
        <v>13</v>
      </c>
      <c r="V296" s="153">
        <f ca="1">ROUND((OFFSET(卡牌辅助配置表!$O$1,MATCH(U296,卡牌辅助配置表!M:M,0)-1,0)+(N296-1)*OFFSET(卡牌辅助配置表!$P$1,MATCH(U296,卡牌辅助配置表!M:M,0)-1,0))*M296,2)</f>
        <v>50.67</v>
      </c>
      <c r="W296" s="157">
        <f ca="1">ROUND(IF(R296=0,0,IF(R296=1,X296*$W$1,IF(R296=2,X296*$W$1*buff的资质计算!$E$2,IF(R296=3,X296*$W$1*buff的资质计算!$E$3,0)))),2)</f>
        <v>11.7</v>
      </c>
      <c r="X296" s="157">
        <f ca="1" t="shared" si="47"/>
        <v>39</v>
      </c>
      <c r="Y296" s="157">
        <f ca="1" t="shared" si="48"/>
        <v>39.4615384615385</v>
      </c>
      <c r="Z296" s="304">
        <f ca="1" t="shared" si="49"/>
        <v>19.7307692307692</v>
      </c>
      <c r="AA296" s="304">
        <f ca="1">OFFSET(卡牌辅助配置表!$AD$1,MATCH(AB296,卡牌辅助配置表!AB:AB,0)-1,0)</f>
        <v>2462</v>
      </c>
      <c r="AB296" s="304">
        <f ca="1" t="shared" si="50"/>
        <v>1321</v>
      </c>
      <c r="AC296" s="153">
        <v>1</v>
      </c>
      <c r="AE296" s="153">
        <v>1</v>
      </c>
      <c r="AF296" s="153" t="str">
        <f ca="1" t="shared" si="51"/>
        <v>10100011|</v>
      </c>
      <c r="AJ296" s="205" t="str">
        <f ca="1" t="shared" si="52"/>
        <v>400023|15800|;</v>
      </c>
      <c r="AK296" s="205">
        <f ca="1">OFFSET([1]item_type!$A$1,MATCH(Q296,[1]item_type!$G:$G,0)-1,0)</f>
        <v>301010</v>
      </c>
      <c r="AL296" s="205"/>
      <c r="AM296" s="205">
        <f ca="1">IF(B296=B297,OFFSET(卡牌辅助配置表!$AE$1,MATCH(AB296,卡牌辅助配置表!AB:AB,0),0),0)</f>
        <v>15800</v>
      </c>
      <c r="AN296" s="153">
        <f ca="1" t="shared" si="53"/>
        <v>1010022</v>
      </c>
      <c r="AP296" s="153" t="str">
        <f ca="1">IF(AC296=0,0,IF(AC296=12,0,OFFSET(effect!$N$1,MATCH(K296,effect!M:M,0)-1,0)))</f>
        <v>kpsx_zise</v>
      </c>
    </row>
    <row r="297" spans="1:42">
      <c r="A297" s="153">
        <f ca="1" t="shared" si="44"/>
        <v>1010022</v>
      </c>
      <c r="B297" s="91" t="s">
        <v>365</v>
      </c>
      <c r="C297" s="186">
        <v>1</v>
      </c>
      <c r="D297" s="186">
        <v>6</v>
      </c>
      <c r="E297" s="165" t="s">
        <v>1050</v>
      </c>
      <c r="F297" s="165" t="str">
        <f>"本回合每出一张拳法牌，伤害增加"&amp;skill!$O$15/100&amp;"%"</f>
        <v>本回合每出一张拳法牌，伤害增加30%</v>
      </c>
      <c r="G297" s="186">
        <f ca="1">OFFSET(卡牌辅助配置表!$C$1,MATCH(AC297,卡牌辅助配置表!A:A,0)-1,0)</f>
        <v>3</v>
      </c>
      <c r="H297" s="186">
        <f ca="1">OFFSET(skill!$Q$1,MATCH(B297,skill!B:B,0)-1,0)</f>
        <v>0.461538461538462</v>
      </c>
      <c r="I297" s="186"/>
      <c r="J297" s="186">
        <f ca="1">OFFSET(card_type!$F$1,MATCH(Q297,card_type!A:A,0)-1,0)</f>
        <v>1</v>
      </c>
      <c r="K297" s="243">
        <f ca="1">OFFSET(card_type!$G$1,MATCH(Q297,card_type!A:A,0)-1,0)</f>
        <v>3</v>
      </c>
      <c r="L297" s="157">
        <v>2</v>
      </c>
      <c r="M297" s="157">
        <v>2</v>
      </c>
      <c r="N297" s="153">
        <f t="shared" si="45"/>
        <v>22</v>
      </c>
      <c r="O297" s="157"/>
      <c r="P297" s="157"/>
      <c r="Q297" s="153">
        <f ca="1">OFFSET(card_type!$A$1,MATCH(card!B297,card_type!B:B,0)-1,0)</f>
        <v>1010</v>
      </c>
      <c r="R297" s="153">
        <v>1</v>
      </c>
      <c r="S297" s="157">
        <f ca="1">ROUND(IF(R297=0,0,IF(R297=1,X297*$S$1,IF(R297=2,X297*$S$1*buff的资质计算!$E$2,IF(R297=3,X297*$S$1*buff的资质计算!$E$3,0)))),0)*0</f>
        <v>0</v>
      </c>
      <c r="T297" s="153">
        <v>5</v>
      </c>
      <c r="U297" s="153">
        <f ca="1" t="shared" si="46"/>
        <v>13</v>
      </c>
      <c r="V297" s="153">
        <f ca="1">ROUND((OFFSET(卡牌辅助配置表!$O$1,MATCH(U297,卡牌辅助配置表!M:M,0)-1,0)+(N297-1)*OFFSET(卡牌辅助配置表!$P$1,MATCH(U297,卡牌辅助配置表!M:M,0)-1,0))*M297,2)</f>
        <v>51.68</v>
      </c>
      <c r="W297" s="157">
        <f ca="1">ROUND(IF(R297=0,0,IF(R297=1,X297*$W$1,IF(R297=2,X297*$W$1*buff的资质计算!$E$2,IF(R297=3,X297*$W$1*buff的资质计算!$E$3,0)))),2)</f>
        <v>11.85</v>
      </c>
      <c r="X297" s="157">
        <f ca="1" t="shared" si="47"/>
        <v>39.5</v>
      </c>
      <c r="Y297" s="157">
        <f ca="1" t="shared" si="48"/>
        <v>39.9615384615385</v>
      </c>
      <c r="Z297" s="304">
        <f ca="1" t="shared" si="49"/>
        <v>19.9807692307692</v>
      </c>
      <c r="AA297" s="304">
        <f ca="1">OFFSET(卡牌辅助配置表!$AD$1,MATCH(AB297,卡牌辅助配置表!AB:AB,0)-1,0)</f>
        <v>2644</v>
      </c>
      <c r="AB297" s="304">
        <f ca="1" t="shared" si="50"/>
        <v>1322</v>
      </c>
      <c r="AC297" s="153">
        <v>1</v>
      </c>
      <c r="AE297" s="153">
        <v>1</v>
      </c>
      <c r="AF297" s="153" t="str">
        <f ca="1" t="shared" si="51"/>
        <v>10100011|</v>
      </c>
      <c r="AJ297" s="205" t="str">
        <f ca="1" t="shared" si="52"/>
        <v>400023|17400|;</v>
      </c>
      <c r="AK297" s="205">
        <f ca="1">OFFSET([1]item_type!$A$1,MATCH(Q297,[1]item_type!$G:$G,0)-1,0)</f>
        <v>301010</v>
      </c>
      <c r="AL297" s="205"/>
      <c r="AM297" s="205">
        <f ca="1">IF(B297=B298,OFFSET(卡牌辅助配置表!$AE$1,MATCH(AB297,卡牌辅助配置表!AB:AB,0),0),0)</f>
        <v>17400</v>
      </c>
      <c r="AN297" s="153">
        <f ca="1" t="shared" si="53"/>
        <v>1010023</v>
      </c>
      <c r="AP297" s="153" t="str">
        <f ca="1">IF(AC297=0,0,IF(AC297=12,0,OFFSET(effect!$N$1,MATCH(K297,effect!M:M,0)-1,0)))</f>
        <v>kpsx_zise</v>
      </c>
    </row>
    <row r="298" spans="1:42">
      <c r="A298" s="153">
        <f ca="1" t="shared" si="44"/>
        <v>1010023</v>
      </c>
      <c r="B298" s="91" t="s">
        <v>365</v>
      </c>
      <c r="C298" s="186">
        <v>1</v>
      </c>
      <c r="D298" s="186">
        <v>6</v>
      </c>
      <c r="E298" s="165" t="s">
        <v>1050</v>
      </c>
      <c r="F298" s="165" t="str">
        <f>"本回合每出一张拳法牌，伤害增加"&amp;skill!$O$15/100&amp;"%"</f>
        <v>本回合每出一张拳法牌，伤害增加30%</v>
      </c>
      <c r="G298" s="186">
        <f ca="1">OFFSET(卡牌辅助配置表!$C$1,MATCH(AC298,卡牌辅助配置表!A:A,0)-1,0)</f>
        <v>3</v>
      </c>
      <c r="H298" s="186">
        <f ca="1">OFFSET(skill!$Q$1,MATCH(B298,skill!B:B,0)-1,0)</f>
        <v>0.461538461538462</v>
      </c>
      <c r="I298" s="186"/>
      <c r="J298" s="186">
        <f ca="1">OFFSET(card_type!$F$1,MATCH(Q298,card_type!A:A,0)-1,0)</f>
        <v>1</v>
      </c>
      <c r="K298" s="243">
        <f ca="1">OFFSET(card_type!$G$1,MATCH(Q298,card_type!A:A,0)-1,0)</f>
        <v>3</v>
      </c>
      <c r="L298" s="157">
        <v>2</v>
      </c>
      <c r="M298" s="157">
        <v>2</v>
      </c>
      <c r="N298" s="153">
        <f t="shared" si="45"/>
        <v>23</v>
      </c>
      <c r="O298" s="157"/>
      <c r="P298" s="157"/>
      <c r="Q298" s="153">
        <f ca="1">OFFSET(card_type!$A$1,MATCH(card!B298,card_type!B:B,0)-1,0)</f>
        <v>1010</v>
      </c>
      <c r="R298" s="153">
        <v>1</v>
      </c>
      <c r="S298" s="157">
        <f ca="1">ROUND(IF(R298=0,0,IF(R298=1,X298*$S$1,IF(R298=2,X298*$S$1*buff的资质计算!$E$2,IF(R298=3,X298*$S$1*buff的资质计算!$E$3,0)))),0)*0</f>
        <v>0</v>
      </c>
      <c r="T298" s="153">
        <v>5</v>
      </c>
      <c r="U298" s="153">
        <f ca="1" t="shared" si="46"/>
        <v>13</v>
      </c>
      <c r="V298" s="153">
        <f ca="1">ROUND((OFFSET(卡牌辅助配置表!$O$1,MATCH(U298,卡牌辅助配置表!M:M,0)-1,0)+(N298-1)*OFFSET(卡牌辅助配置表!$P$1,MATCH(U298,卡牌辅助配置表!M:M,0)-1,0))*M298,2)</f>
        <v>52.69</v>
      </c>
      <c r="W298" s="157">
        <f ca="1">ROUND(IF(R298=0,0,IF(R298=1,X298*$W$1,IF(R298=2,X298*$W$1*buff的资质计算!$E$2,IF(R298=3,X298*$W$1*buff的资质计算!$E$3,0)))),2)</f>
        <v>12</v>
      </c>
      <c r="X298" s="157">
        <f ca="1" t="shared" si="47"/>
        <v>40</v>
      </c>
      <c r="Y298" s="157">
        <f ca="1" t="shared" si="48"/>
        <v>40.4615384615385</v>
      </c>
      <c r="Z298" s="304">
        <f ca="1" t="shared" si="49"/>
        <v>20.2307692307692</v>
      </c>
      <c r="AA298" s="304">
        <f ca="1">OFFSET(卡牌辅助配置表!$AD$1,MATCH(AB298,卡牌辅助配置表!AB:AB,0)-1,0)</f>
        <v>2826</v>
      </c>
      <c r="AB298" s="304">
        <f ca="1" t="shared" si="50"/>
        <v>1323</v>
      </c>
      <c r="AC298" s="153">
        <v>1</v>
      </c>
      <c r="AE298" s="153">
        <v>1</v>
      </c>
      <c r="AF298" s="153" t="str">
        <f ca="1" t="shared" si="51"/>
        <v>10100011|</v>
      </c>
      <c r="AJ298" s="205" t="str">
        <f ca="1" t="shared" si="52"/>
        <v>400023|19000|;</v>
      </c>
      <c r="AK298" s="205">
        <f ca="1">OFFSET([1]item_type!$A$1,MATCH(Q298,[1]item_type!$G:$G,0)-1,0)</f>
        <v>301010</v>
      </c>
      <c r="AL298" s="205"/>
      <c r="AM298" s="205">
        <f ca="1">IF(B298=B299,OFFSET(卡牌辅助配置表!$AE$1,MATCH(AB298,卡牌辅助配置表!AB:AB,0),0),0)</f>
        <v>19000</v>
      </c>
      <c r="AN298" s="153">
        <f ca="1" t="shared" si="53"/>
        <v>1010024</v>
      </c>
      <c r="AP298" s="153" t="str">
        <f ca="1">IF(AC298=0,0,IF(AC298=12,0,OFFSET(effect!$N$1,MATCH(K298,effect!M:M,0)-1,0)))</f>
        <v>kpsx_zise</v>
      </c>
    </row>
    <row r="299" spans="1:42">
      <c r="A299" s="153">
        <f ca="1" t="shared" si="44"/>
        <v>1010024</v>
      </c>
      <c r="B299" s="91" t="s">
        <v>365</v>
      </c>
      <c r="C299" s="186">
        <v>1</v>
      </c>
      <c r="D299" s="186">
        <v>6</v>
      </c>
      <c r="E299" s="165" t="s">
        <v>1050</v>
      </c>
      <c r="F299" s="165" t="str">
        <f>"本回合每出一张拳法牌，伤害增加"&amp;skill!$O$15/100&amp;"%"</f>
        <v>本回合每出一张拳法牌，伤害增加30%</v>
      </c>
      <c r="G299" s="186">
        <f ca="1">OFFSET(卡牌辅助配置表!$C$1,MATCH(AC299,卡牌辅助配置表!A:A,0)-1,0)</f>
        <v>3</v>
      </c>
      <c r="H299" s="186">
        <f ca="1">OFFSET(skill!$Q$1,MATCH(B299,skill!B:B,0)-1,0)</f>
        <v>0.461538461538462</v>
      </c>
      <c r="I299" s="186"/>
      <c r="J299" s="186">
        <f ca="1">OFFSET(card_type!$F$1,MATCH(Q299,card_type!A:A,0)-1,0)</f>
        <v>1</v>
      </c>
      <c r="K299" s="243">
        <f ca="1">OFFSET(card_type!$G$1,MATCH(Q299,card_type!A:A,0)-1,0)</f>
        <v>3</v>
      </c>
      <c r="L299" s="157">
        <v>2</v>
      </c>
      <c r="M299" s="157">
        <v>2</v>
      </c>
      <c r="N299" s="153">
        <f t="shared" si="45"/>
        <v>24</v>
      </c>
      <c r="O299" s="157"/>
      <c r="P299" s="157"/>
      <c r="Q299" s="153">
        <f ca="1">OFFSET(card_type!$A$1,MATCH(card!B299,card_type!B:B,0)-1,0)</f>
        <v>1010</v>
      </c>
      <c r="R299" s="153">
        <v>1</v>
      </c>
      <c r="S299" s="157">
        <f ca="1">ROUND(IF(R299=0,0,IF(R299=1,X299*$S$1,IF(R299=2,X299*$S$1*buff的资质计算!$E$2,IF(R299=3,X299*$S$1*buff的资质计算!$E$3,0)))),0)*0</f>
        <v>0</v>
      </c>
      <c r="T299" s="153">
        <v>5</v>
      </c>
      <c r="U299" s="153">
        <f ca="1" t="shared" si="46"/>
        <v>13</v>
      </c>
      <c r="V299" s="153">
        <f ca="1">ROUND((OFFSET(卡牌辅助配置表!$O$1,MATCH(U299,卡牌辅助配置表!M:M,0)-1,0)+(N299-1)*OFFSET(卡牌辅助配置表!$P$1,MATCH(U299,卡牌辅助配置表!M:M,0)-1,0))*M299,2)</f>
        <v>53.71</v>
      </c>
      <c r="W299" s="157">
        <f ca="1">ROUND(IF(R299=0,0,IF(R299=1,X299*$W$1,IF(R299=2,X299*$W$1*buff的资质计算!$E$2,IF(R299=3,X299*$W$1*buff的资质计算!$E$3,0)))),2)</f>
        <v>12.15</v>
      </c>
      <c r="X299" s="157">
        <f ca="1" t="shared" si="47"/>
        <v>40.5</v>
      </c>
      <c r="Y299" s="157">
        <f ca="1" t="shared" si="48"/>
        <v>40.9615384615385</v>
      </c>
      <c r="Z299" s="304">
        <f ca="1" t="shared" si="49"/>
        <v>20.4807692307692</v>
      </c>
      <c r="AA299" s="304">
        <f ca="1">OFFSET(卡牌辅助配置表!$AD$1,MATCH(AB299,卡牌辅助配置表!AB:AB,0)-1,0)</f>
        <v>3008</v>
      </c>
      <c r="AB299" s="304">
        <f ca="1" t="shared" si="50"/>
        <v>1324</v>
      </c>
      <c r="AC299" s="153">
        <v>1</v>
      </c>
      <c r="AE299" s="153">
        <v>1</v>
      </c>
      <c r="AF299" s="153" t="str">
        <f ca="1" t="shared" si="51"/>
        <v>10100011|</v>
      </c>
      <c r="AJ299" s="205" t="str">
        <f ca="1" t="shared" si="52"/>
        <v>400023|20600|;</v>
      </c>
      <c r="AK299" s="205">
        <f ca="1">OFFSET([1]item_type!$A$1,MATCH(Q299,[1]item_type!$G:$G,0)-1,0)</f>
        <v>301010</v>
      </c>
      <c r="AL299" s="205"/>
      <c r="AM299" s="205">
        <f ca="1">IF(B299=B300,OFFSET(卡牌辅助配置表!$AE$1,MATCH(AB299,卡牌辅助配置表!AB:AB,0),0),0)</f>
        <v>20600</v>
      </c>
      <c r="AN299" s="153">
        <f ca="1" t="shared" si="53"/>
        <v>1010025</v>
      </c>
      <c r="AP299" s="153" t="str">
        <f ca="1">IF(AC299=0,0,IF(AC299=12,0,OFFSET(effect!$N$1,MATCH(K299,effect!M:M,0)-1,0)))</f>
        <v>kpsx_zise</v>
      </c>
    </row>
    <row r="300" spans="1:42">
      <c r="A300" s="153">
        <f ca="1" t="shared" si="44"/>
        <v>1010025</v>
      </c>
      <c r="B300" s="91" t="s">
        <v>365</v>
      </c>
      <c r="C300" s="186">
        <v>1</v>
      </c>
      <c r="D300" s="186">
        <v>6</v>
      </c>
      <c r="E300" s="165" t="s">
        <v>1050</v>
      </c>
      <c r="F300" s="165" t="str">
        <f>"本回合每出一张拳法牌，伤害增加"&amp;skill!$O$15/100&amp;"%"</f>
        <v>本回合每出一张拳法牌，伤害增加30%</v>
      </c>
      <c r="G300" s="186">
        <f ca="1">OFFSET(卡牌辅助配置表!$C$1,MATCH(AC300,卡牌辅助配置表!A:A,0)-1,0)</f>
        <v>3</v>
      </c>
      <c r="H300" s="186">
        <f ca="1">OFFSET(skill!$Q$1,MATCH(B300,skill!B:B,0)-1,0)</f>
        <v>0.461538461538462</v>
      </c>
      <c r="I300" s="186"/>
      <c r="J300" s="186">
        <f ca="1">OFFSET(card_type!$F$1,MATCH(Q300,card_type!A:A,0)-1,0)</f>
        <v>1</v>
      </c>
      <c r="K300" s="243">
        <f ca="1">OFFSET(card_type!$G$1,MATCH(Q300,card_type!A:A,0)-1,0)</f>
        <v>3</v>
      </c>
      <c r="L300" s="157">
        <v>2</v>
      </c>
      <c r="M300" s="157">
        <v>2</v>
      </c>
      <c r="N300" s="153">
        <f t="shared" si="45"/>
        <v>25</v>
      </c>
      <c r="O300" s="157"/>
      <c r="P300" s="157"/>
      <c r="Q300" s="153">
        <f ca="1">OFFSET(card_type!$A$1,MATCH(card!B300,card_type!B:B,0)-1,0)</f>
        <v>1010</v>
      </c>
      <c r="R300" s="153">
        <v>1</v>
      </c>
      <c r="S300" s="157">
        <f ca="1">ROUND(IF(R300=0,0,IF(R300=1,X300*$S$1,IF(R300=2,X300*$S$1*buff的资质计算!$E$2,IF(R300=3,X300*$S$1*buff的资质计算!$E$3,0)))),0)*0</f>
        <v>0</v>
      </c>
      <c r="T300" s="153">
        <v>5</v>
      </c>
      <c r="U300" s="153">
        <f ca="1" t="shared" si="46"/>
        <v>13</v>
      </c>
      <c r="V300" s="153">
        <f ca="1">ROUND((OFFSET(卡牌辅助配置表!$O$1,MATCH(U300,卡牌辅助配置表!M:M,0)-1,0)+(N300-1)*OFFSET(卡牌辅助配置表!$P$1,MATCH(U300,卡牌辅助配置表!M:M,0)-1,0))*M300,2)</f>
        <v>54.72</v>
      </c>
      <c r="W300" s="157">
        <f ca="1">ROUND(IF(R300=0,0,IF(R300=1,X300*$W$1,IF(R300=2,X300*$W$1*buff的资质计算!$E$2,IF(R300=3,X300*$W$1*buff的资质计算!$E$3,0)))),2)</f>
        <v>12.3</v>
      </c>
      <c r="X300" s="157">
        <f ca="1" t="shared" si="47"/>
        <v>41</v>
      </c>
      <c r="Y300" s="157">
        <f ca="1" t="shared" si="48"/>
        <v>41.4615384615385</v>
      </c>
      <c r="Z300" s="304">
        <f ca="1" t="shared" si="49"/>
        <v>20.7307692307692</v>
      </c>
      <c r="AA300" s="304">
        <f ca="1">OFFSET(卡牌辅助配置表!$AD$1,MATCH(AB300,卡牌辅助配置表!AB:AB,0)-1,0)</f>
        <v>3190</v>
      </c>
      <c r="AB300" s="304">
        <f ca="1" t="shared" si="50"/>
        <v>1325</v>
      </c>
      <c r="AC300" s="153">
        <v>1</v>
      </c>
      <c r="AE300" s="153">
        <v>1</v>
      </c>
      <c r="AF300" s="153" t="str">
        <f ca="1" t="shared" si="51"/>
        <v>10100011|</v>
      </c>
      <c r="AJ300" s="205" t="str">
        <f ca="1" t="shared" si="52"/>
        <v>400023|22200|;</v>
      </c>
      <c r="AK300" s="205">
        <f ca="1">OFFSET([1]item_type!$A$1,MATCH(Q300,[1]item_type!$G:$G,0)-1,0)</f>
        <v>301010</v>
      </c>
      <c r="AL300" s="205"/>
      <c r="AM300" s="205">
        <f ca="1">IF(B300=B301,OFFSET(卡牌辅助配置表!$AE$1,MATCH(AB300,卡牌辅助配置表!AB:AB,0),0),0)</f>
        <v>22200</v>
      </c>
      <c r="AN300" s="153">
        <f ca="1" t="shared" si="53"/>
        <v>1010026</v>
      </c>
      <c r="AP300" s="153" t="str">
        <f ca="1">IF(AC300=0,0,IF(AC300=12,0,OFFSET(effect!$N$1,MATCH(K300,effect!M:M,0)-1,0)))</f>
        <v>kpsx_zise</v>
      </c>
    </row>
    <row r="301" spans="1:42">
      <c r="A301" s="153">
        <f ca="1" t="shared" si="44"/>
        <v>1010026</v>
      </c>
      <c r="B301" s="91" t="s">
        <v>365</v>
      </c>
      <c r="C301" s="186">
        <v>1</v>
      </c>
      <c r="D301" s="186">
        <v>6</v>
      </c>
      <c r="E301" s="165" t="s">
        <v>1050</v>
      </c>
      <c r="F301" s="165" t="str">
        <f>"本回合每出一张拳法牌，伤害增加"&amp;skill!$O$15/100&amp;"%"</f>
        <v>本回合每出一张拳法牌，伤害增加30%</v>
      </c>
      <c r="G301" s="186">
        <f ca="1">OFFSET(卡牌辅助配置表!$C$1,MATCH(AC301,卡牌辅助配置表!A:A,0)-1,0)</f>
        <v>3</v>
      </c>
      <c r="H301" s="186">
        <f ca="1">OFFSET(skill!$Q$1,MATCH(B301,skill!B:B,0)-1,0)</f>
        <v>0.461538461538462</v>
      </c>
      <c r="I301" s="186"/>
      <c r="J301" s="186">
        <f ca="1">OFFSET(card_type!$F$1,MATCH(Q301,card_type!A:A,0)-1,0)</f>
        <v>1</v>
      </c>
      <c r="K301" s="243">
        <f ca="1">OFFSET(card_type!$G$1,MATCH(Q301,card_type!A:A,0)-1,0)</f>
        <v>3</v>
      </c>
      <c r="L301" s="157">
        <v>2</v>
      </c>
      <c r="M301" s="157">
        <v>2</v>
      </c>
      <c r="N301" s="153">
        <f t="shared" si="45"/>
        <v>26</v>
      </c>
      <c r="O301" s="157"/>
      <c r="P301" s="157"/>
      <c r="Q301" s="153">
        <f ca="1">OFFSET(card_type!$A$1,MATCH(card!B301,card_type!B:B,0)-1,0)</f>
        <v>1010</v>
      </c>
      <c r="R301" s="153">
        <v>1</v>
      </c>
      <c r="S301" s="157">
        <f ca="1">ROUND(IF(R301=0,0,IF(R301=1,X301*$S$1,IF(R301=2,X301*$S$1*buff的资质计算!$E$2,IF(R301=3,X301*$S$1*buff的资质计算!$E$3,0)))),0)*0</f>
        <v>0</v>
      </c>
      <c r="T301" s="153">
        <v>5</v>
      </c>
      <c r="U301" s="153">
        <f ca="1" t="shared" si="46"/>
        <v>13</v>
      </c>
      <c r="V301" s="153">
        <f ca="1">ROUND((OFFSET(卡牌辅助配置表!$O$1,MATCH(U301,卡牌辅助配置表!M:M,0)-1,0)+(N301-1)*OFFSET(卡牌辅助配置表!$P$1,MATCH(U301,卡牌辅助配置表!M:M,0)-1,0))*M301,2)</f>
        <v>55.73</v>
      </c>
      <c r="W301" s="157">
        <f ca="1">ROUND(IF(R301=0,0,IF(R301=1,X301*$W$1,IF(R301=2,X301*$W$1*buff的资质计算!$E$2,IF(R301=3,X301*$W$1*buff的资质计算!$E$3,0)))),2)</f>
        <v>12.45</v>
      </c>
      <c r="X301" s="157">
        <f ca="1" t="shared" si="47"/>
        <v>41.5</v>
      </c>
      <c r="Y301" s="157">
        <f ca="1" t="shared" si="48"/>
        <v>41.9615384615385</v>
      </c>
      <c r="Z301" s="304">
        <f ca="1" t="shared" si="49"/>
        <v>20.9807692307692</v>
      </c>
      <c r="AA301" s="304">
        <f ca="1">OFFSET(卡牌辅助配置表!$AD$1,MATCH(AB301,卡牌辅助配置表!AB:AB,0)-1,0)</f>
        <v>3372</v>
      </c>
      <c r="AB301" s="304">
        <f ca="1" t="shared" si="50"/>
        <v>1326</v>
      </c>
      <c r="AC301" s="153">
        <v>1</v>
      </c>
      <c r="AE301" s="153">
        <v>1</v>
      </c>
      <c r="AF301" s="153" t="str">
        <f ca="1" t="shared" si="51"/>
        <v>10100011|</v>
      </c>
      <c r="AJ301" s="205" t="str">
        <f ca="1" t="shared" si="52"/>
        <v>400023|23800|;</v>
      </c>
      <c r="AK301" s="205">
        <f ca="1">OFFSET([1]item_type!$A$1,MATCH(Q301,[1]item_type!$G:$G,0)-1,0)</f>
        <v>301010</v>
      </c>
      <c r="AL301" s="205"/>
      <c r="AM301" s="205">
        <f ca="1">IF(B301=B302,OFFSET(卡牌辅助配置表!$AE$1,MATCH(AB301,卡牌辅助配置表!AB:AB,0),0),0)</f>
        <v>23800</v>
      </c>
      <c r="AN301" s="153">
        <f ca="1" t="shared" si="53"/>
        <v>1010027</v>
      </c>
      <c r="AP301" s="153" t="str">
        <f ca="1">IF(AC301=0,0,IF(AC301=12,0,OFFSET(effect!$N$1,MATCH(K301,effect!M:M,0)-1,0)))</f>
        <v>kpsx_zise</v>
      </c>
    </row>
    <row r="302" spans="1:42">
      <c r="A302" s="153">
        <f ca="1" t="shared" si="44"/>
        <v>1010027</v>
      </c>
      <c r="B302" s="91" t="s">
        <v>365</v>
      </c>
      <c r="C302" s="186">
        <v>1</v>
      </c>
      <c r="D302" s="186">
        <v>6</v>
      </c>
      <c r="E302" s="165" t="s">
        <v>1050</v>
      </c>
      <c r="F302" s="165" t="str">
        <f>"本回合每出一张拳法牌，伤害增加"&amp;skill!$O$15/100&amp;"%"</f>
        <v>本回合每出一张拳法牌，伤害增加30%</v>
      </c>
      <c r="G302" s="186">
        <f ca="1">OFFSET(卡牌辅助配置表!$C$1,MATCH(AC302,卡牌辅助配置表!A:A,0)-1,0)</f>
        <v>3</v>
      </c>
      <c r="H302" s="186">
        <f ca="1">OFFSET(skill!$Q$1,MATCH(B302,skill!B:B,0)-1,0)</f>
        <v>0.461538461538462</v>
      </c>
      <c r="I302" s="186"/>
      <c r="J302" s="186">
        <f ca="1">OFFSET(card_type!$F$1,MATCH(Q302,card_type!A:A,0)-1,0)</f>
        <v>1</v>
      </c>
      <c r="K302" s="243">
        <f ca="1">OFFSET(card_type!$G$1,MATCH(Q302,card_type!A:A,0)-1,0)</f>
        <v>3</v>
      </c>
      <c r="L302" s="157">
        <v>2</v>
      </c>
      <c r="M302" s="157">
        <v>2</v>
      </c>
      <c r="N302" s="153">
        <f t="shared" si="45"/>
        <v>27</v>
      </c>
      <c r="O302" s="157"/>
      <c r="P302" s="157"/>
      <c r="Q302" s="153">
        <f ca="1">OFFSET(card_type!$A$1,MATCH(card!B302,card_type!B:B,0)-1,0)</f>
        <v>1010</v>
      </c>
      <c r="R302" s="153">
        <v>1</v>
      </c>
      <c r="S302" s="157">
        <f ca="1">ROUND(IF(R302=0,0,IF(R302=1,X302*$S$1,IF(R302=2,X302*$S$1*buff的资质计算!$E$2,IF(R302=3,X302*$S$1*buff的资质计算!$E$3,0)))),0)*0</f>
        <v>0</v>
      </c>
      <c r="T302" s="153">
        <v>5</v>
      </c>
      <c r="U302" s="153">
        <f ca="1" t="shared" si="46"/>
        <v>13</v>
      </c>
      <c r="V302" s="153">
        <f ca="1">ROUND((OFFSET(卡牌辅助配置表!$O$1,MATCH(U302,卡牌辅助配置表!M:M,0)-1,0)+(N302-1)*OFFSET(卡牌辅助配置表!$P$1,MATCH(U302,卡牌辅助配置表!M:M,0)-1,0))*M302,2)</f>
        <v>56.75</v>
      </c>
      <c r="W302" s="157">
        <f ca="1">ROUND(IF(R302=0,0,IF(R302=1,X302*$W$1,IF(R302=2,X302*$W$1*buff的资质计算!$E$2,IF(R302=3,X302*$W$1*buff的资质计算!$E$3,0)))),2)</f>
        <v>12.6</v>
      </c>
      <c r="X302" s="157">
        <f ca="1" t="shared" si="47"/>
        <v>42</v>
      </c>
      <c r="Y302" s="157">
        <f ca="1" t="shared" si="48"/>
        <v>42.4615384615385</v>
      </c>
      <c r="Z302" s="304">
        <f ca="1" t="shared" si="49"/>
        <v>21.2307692307692</v>
      </c>
      <c r="AA302" s="304">
        <f ca="1">OFFSET(卡牌辅助配置表!$AD$1,MATCH(AB302,卡牌辅助配置表!AB:AB,0)-1,0)</f>
        <v>3554</v>
      </c>
      <c r="AB302" s="304">
        <f ca="1" t="shared" si="50"/>
        <v>1327</v>
      </c>
      <c r="AC302" s="153">
        <v>1</v>
      </c>
      <c r="AE302" s="153">
        <v>1</v>
      </c>
      <c r="AF302" s="153" t="str">
        <f ca="1" t="shared" si="51"/>
        <v>10100011|</v>
      </c>
      <c r="AJ302" s="205" t="str">
        <f ca="1" t="shared" si="52"/>
        <v>400023|25400|;</v>
      </c>
      <c r="AK302" s="205">
        <f ca="1">OFFSET([1]item_type!$A$1,MATCH(Q302,[1]item_type!$G:$G,0)-1,0)</f>
        <v>301010</v>
      </c>
      <c r="AL302" s="205"/>
      <c r="AM302" s="205">
        <f ca="1">IF(B302=B303,OFFSET(卡牌辅助配置表!$AE$1,MATCH(AB302,卡牌辅助配置表!AB:AB,0),0),0)</f>
        <v>25400</v>
      </c>
      <c r="AN302" s="153">
        <f ca="1" t="shared" si="53"/>
        <v>1010028</v>
      </c>
      <c r="AP302" s="153" t="str">
        <f ca="1">IF(AC302=0,0,IF(AC302=12,0,OFFSET(effect!$N$1,MATCH(K302,effect!M:M,0)-1,0)))</f>
        <v>kpsx_zise</v>
      </c>
    </row>
    <row r="303" spans="1:42">
      <c r="A303" s="153">
        <f ca="1" t="shared" si="44"/>
        <v>1010028</v>
      </c>
      <c r="B303" s="91" t="s">
        <v>365</v>
      </c>
      <c r="C303" s="186">
        <v>1</v>
      </c>
      <c r="D303" s="186">
        <v>6</v>
      </c>
      <c r="E303" s="165" t="s">
        <v>1050</v>
      </c>
      <c r="F303" s="165" t="str">
        <f>"本回合每出一张拳法牌，伤害增加"&amp;skill!$O$15/100&amp;"%"</f>
        <v>本回合每出一张拳法牌，伤害增加30%</v>
      </c>
      <c r="G303" s="186">
        <f ca="1">OFFSET(卡牌辅助配置表!$C$1,MATCH(AC303,卡牌辅助配置表!A:A,0)-1,0)</f>
        <v>3</v>
      </c>
      <c r="H303" s="186">
        <f ca="1">OFFSET(skill!$Q$1,MATCH(B303,skill!B:B,0)-1,0)</f>
        <v>0.461538461538462</v>
      </c>
      <c r="I303" s="186"/>
      <c r="J303" s="186">
        <f ca="1">OFFSET(card_type!$F$1,MATCH(Q303,card_type!A:A,0)-1,0)</f>
        <v>1</v>
      </c>
      <c r="K303" s="243">
        <f ca="1">OFFSET(card_type!$G$1,MATCH(Q303,card_type!A:A,0)-1,0)</f>
        <v>3</v>
      </c>
      <c r="L303" s="157">
        <v>2</v>
      </c>
      <c r="M303" s="157">
        <v>2</v>
      </c>
      <c r="N303" s="153">
        <f t="shared" si="45"/>
        <v>28</v>
      </c>
      <c r="O303" s="157"/>
      <c r="P303" s="157"/>
      <c r="Q303" s="153">
        <f ca="1">OFFSET(card_type!$A$1,MATCH(card!B303,card_type!B:B,0)-1,0)</f>
        <v>1010</v>
      </c>
      <c r="R303" s="153">
        <v>1</v>
      </c>
      <c r="S303" s="157">
        <f ca="1">ROUND(IF(R303=0,0,IF(R303=1,X303*$S$1,IF(R303=2,X303*$S$1*buff的资质计算!$E$2,IF(R303=3,X303*$S$1*buff的资质计算!$E$3,0)))),0)*0</f>
        <v>0</v>
      </c>
      <c r="T303" s="153">
        <v>5</v>
      </c>
      <c r="U303" s="153">
        <f ca="1" t="shared" si="46"/>
        <v>13</v>
      </c>
      <c r="V303" s="153">
        <f ca="1">ROUND((OFFSET(卡牌辅助配置表!$O$1,MATCH(U303,卡牌辅助配置表!M:M,0)-1,0)+(N303-1)*OFFSET(卡牌辅助配置表!$P$1,MATCH(U303,卡牌辅助配置表!M:M,0)-1,0))*M303,2)</f>
        <v>57.76</v>
      </c>
      <c r="W303" s="157">
        <f ca="1">ROUND(IF(R303=0,0,IF(R303=1,X303*$W$1,IF(R303=2,X303*$W$1*buff的资质计算!$E$2,IF(R303=3,X303*$W$1*buff的资质计算!$E$3,0)))),2)</f>
        <v>12.75</v>
      </c>
      <c r="X303" s="157">
        <f ca="1" t="shared" si="47"/>
        <v>42.5</v>
      </c>
      <c r="Y303" s="157">
        <f ca="1" t="shared" si="48"/>
        <v>42.9615384615385</v>
      </c>
      <c r="Z303" s="304">
        <f ca="1" t="shared" si="49"/>
        <v>21.4807692307692</v>
      </c>
      <c r="AA303" s="304">
        <f ca="1">OFFSET(卡牌辅助配置表!$AD$1,MATCH(AB303,卡牌辅助配置表!AB:AB,0)-1,0)</f>
        <v>3736</v>
      </c>
      <c r="AB303" s="304">
        <f ca="1" t="shared" si="50"/>
        <v>1328</v>
      </c>
      <c r="AC303" s="153">
        <v>1</v>
      </c>
      <c r="AE303" s="153">
        <v>1</v>
      </c>
      <c r="AF303" s="153" t="str">
        <f ca="1" t="shared" si="51"/>
        <v>10100011|</v>
      </c>
      <c r="AJ303" s="205" t="str">
        <f ca="1" t="shared" si="52"/>
        <v>400023|27000|;</v>
      </c>
      <c r="AK303" s="205">
        <f ca="1">OFFSET([1]item_type!$A$1,MATCH(Q303,[1]item_type!$G:$G,0)-1,0)</f>
        <v>301010</v>
      </c>
      <c r="AL303" s="205"/>
      <c r="AM303" s="205">
        <f ca="1">IF(B303=B304,OFFSET(卡牌辅助配置表!$AE$1,MATCH(AB303,卡牌辅助配置表!AB:AB,0),0),0)</f>
        <v>27000</v>
      </c>
      <c r="AN303" s="153">
        <f ca="1" t="shared" si="53"/>
        <v>1010029</v>
      </c>
      <c r="AP303" s="153" t="str">
        <f ca="1">IF(AC303=0,0,IF(AC303=12,0,OFFSET(effect!$N$1,MATCH(K303,effect!M:M,0)-1,0)))</f>
        <v>kpsx_zise</v>
      </c>
    </row>
    <row r="304" spans="1:42">
      <c r="A304" s="153">
        <f ca="1" t="shared" si="44"/>
        <v>1010029</v>
      </c>
      <c r="B304" s="91" t="s">
        <v>365</v>
      </c>
      <c r="C304" s="186">
        <v>1</v>
      </c>
      <c r="D304" s="186">
        <v>6</v>
      </c>
      <c r="E304" s="165" t="s">
        <v>1050</v>
      </c>
      <c r="F304" s="165" t="str">
        <f>"本回合每出一张拳法牌，伤害增加"&amp;skill!$O$15/100&amp;"%"</f>
        <v>本回合每出一张拳法牌，伤害增加30%</v>
      </c>
      <c r="G304" s="186">
        <f ca="1">OFFSET(卡牌辅助配置表!$C$1,MATCH(AC304,卡牌辅助配置表!A:A,0)-1,0)</f>
        <v>3</v>
      </c>
      <c r="H304" s="186">
        <f ca="1">OFFSET(skill!$Q$1,MATCH(B304,skill!B:B,0)-1,0)</f>
        <v>0.461538461538462</v>
      </c>
      <c r="I304" s="186"/>
      <c r="J304" s="186">
        <f ca="1">OFFSET(card_type!$F$1,MATCH(Q304,card_type!A:A,0)-1,0)</f>
        <v>1</v>
      </c>
      <c r="K304" s="243">
        <f ca="1">OFFSET(card_type!$G$1,MATCH(Q304,card_type!A:A,0)-1,0)</f>
        <v>3</v>
      </c>
      <c r="L304" s="157">
        <v>2</v>
      </c>
      <c r="M304" s="157">
        <v>2</v>
      </c>
      <c r="N304" s="153">
        <f t="shared" si="45"/>
        <v>29</v>
      </c>
      <c r="O304" s="157"/>
      <c r="P304" s="157"/>
      <c r="Q304" s="153">
        <f ca="1">OFFSET(card_type!$A$1,MATCH(card!B304,card_type!B:B,0)-1,0)</f>
        <v>1010</v>
      </c>
      <c r="R304" s="153">
        <v>1</v>
      </c>
      <c r="S304" s="157">
        <f ca="1">ROUND(IF(R304=0,0,IF(R304=1,X304*$S$1,IF(R304=2,X304*$S$1*buff的资质计算!$E$2,IF(R304=3,X304*$S$1*buff的资质计算!$E$3,0)))),0)*0</f>
        <v>0</v>
      </c>
      <c r="T304" s="153">
        <v>5</v>
      </c>
      <c r="U304" s="153">
        <f ca="1" t="shared" si="46"/>
        <v>13</v>
      </c>
      <c r="V304" s="153">
        <f ca="1">ROUND((OFFSET(卡牌辅助配置表!$O$1,MATCH(U304,卡牌辅助配置表!M:M,0)-1,0)+(N304-1)*OFFSET(卡牌辅助配置表!$P$1,MATCH(U304,卡牌辅助配置表!M:M,0)-1,0))*M304,2)</f>
        <v>58.77</v>
      </c>
      <c r="W304" s="157">
        <f ca="1">ROUND(IF(R304=0,0,IF(R304=1,X304*$W$1,IF(R304=2,X304*$W$1*buff的资质计算!$E$2,IF(R304=3,X304*$W$1*buff的资质计算!$E$3,0)))),2)</f>
        <v>12.9</v>
      </c>
      <c r="X304" s="157">
        <f ca="1" t="shared" si="47"/>
        <v>43</v>
      </c>
      <c r="Y304" s="157">
        <f ca="1" t="shared" si="48"/>
        <v>43.4615384615385</v>
      </c>
      <c r="Z304" s="304">
        <f ca="1" t="shared" si="49"/>
        <v>21.7307692307692</v>
      </c>
      <c r="AA304" s="304">
        <f ca="1">OFFSET(卡牌辅助配置表!$AD$1,MATCH(AB304,卡牌辅助配置表!AB:AB,0)-1,0)</f>
        <v>3918</v>
      </c>
      <c r="AB304" s="304">
        <f ca="1" t="shared" si="50"/>
        <v>1329</v>
      </c>
      <c r="AC304" s="153">
        <v>1</v>
      </c>
      <c r="AE304" s="153">
        <v>1</v>
      </c>
      <c r="AF304" s="153" t="str">
        <f ca="1" t="shared" si="51"/>
        <v>10100011|</v>
      </c>
      <c r="AJ304" s="205" t="str">
        <f ca="1" t="shared" si="52"/>
        <v>301010|30|;400023|28600|;</v>
      </c>
      <c r="AK304" s="205">
        <f ca="1">OFFSET([1]item_type!$A$1,MATCH(Q304,[1]item_type!$G:$G,0)-1,0)</f>
        <v>301010</v>
      </c>
      <c r="AL304" s="205">
        <v>30</v>
      </c>
      <c r="AM304" s="205">
        <f ca="1">IF(B304=B305,OFFSET(卡牌辅助配置表!$AE$1,MATCH(AB304,卡牌辅助配置表!AB:AB,0),0),0)</f>
        <v>28600</v>
      </c>
      <c r="AN304" s="153">
        <f ca="1" t="shared" si="53"/>
        <v>1010030</v>
      </c>
      <c r="AP304" s="153" t="str">
        <f ca="1">IF(AC304=0,0,IF(AC304=12,0,OFFSET(effect!$N$1,MATCH(K304,effect!M:M,0)-1,0)))</f>
        <v>kpsx_zise</v>
      </c>
    </row>
    <row r="305" spans="1:42">
      <c r="A305" s="153">
        <f ca="1" t="shared" si="44"/>
        <v>1010030</v>
      </c>
      <c r="B305" s="91" t="s">
        <v>365</v>
      </c>
      <c r="C305" s="186">
        <v>1</v>
      </c>
      <c r="D305" s="186">
        <v>6</v>
      </c>
      <c r="E305" s="165" t="s">
        <v>1050</v>
      </c>
      <c r="F305" s="165" t="str">
        <f>"本回合每出一张拳法牌，伤害增加"&amp;skill!$O$15/100&amp;"%"</f>
        <v>本回合每出一张拳法牌，伤害增加30%</v>
      </c>
      <c r="G305" s="186">
        <f ca="1">OFFSET(卡牌辅助配置表!$C$1,MATCH(AC305,卡牌辅助配置表!A:A,0)-1,0)</f>
        <v>3</v>
      </c>
      <c r="H305" s="186">
        <f ca="1">OFFSET(skill!$Q$1,MATCH(B305,skill!B:B,0)-1,0)</f>
        <v>0.461538461538462</v>
      </c>
      <c r="I305" s="186"/>
      <c r="J305" s="186">
        <f ca="1">OFFSET(card_type!$F$1,MATCH(Q305,card_type!A:A,0)-1,0)</f>
        <v>1</v>
      </c>
      <c r="K305" s="243">
        <f ca="1">OFFSET(card_type!$G$1,MATCH(Q305,card_type!A:A,0)-1,0)</f>
        <v>3</v>
      </c>
      <c r="L305" s="157">
        <v>2</v>
      </c>
      <c r="M305" s="157">
        <v>2</v>
      </c>
      <c r="N305" s="153">
        <f t="shared" si="45"/>
        <v>30</v>
      </c>
      <c r="O305" s="157"/>
      <c r="P305" s="157"/>
      <c r="Q305" s="153">
        <f ca="1">OFFSET(card_type!$A$1,MATCH(card!B305,card_type!B:B,0)-1,0)</f>
        <v>1010</v>
      </c>
      <c r="R305" s="153">
        <v>1</v>
      </c>
      <c r="S305" s="157">
        <f ca="1">ROUND(IF(R305=0,0,IF(R305=1,X305*$S$1,IF(R305=2,X305*$S$1*buff的资质计算!$E$2,IF(R305=3,X305*$S$1*buff的资质计算!$E$3,0)))),0)*0</f>
        <v>0</v>
      </c>
      <c r="T305" s="153">
        <v>5</v>
      </c>
      <c r="U305" s="153">
        <f ca="1" t="shared" si="46"/>
        <v>13</v>
      </c>
      <c r="V305" s="153">
        <f ca="1">ROUND((OFFSET(卡牌辅助配置表!$O$1,MATCH(U305,卡牌辅助配置表!M:M,0)-1,0)+(N305-1)*OFFSET(卡牌辅助配置表!$P$1,MATCH(U305,卡牌辅助配置表!M:M,0)-1,0))*M305,2)</f>
        <v>59.79</v>
      </c>
      <c r="W305" s="157">
        <f ca="1">ROUND(IF(R305=0,0,IF(R305=1,X305*$W$1,IF(R305=2,X305*$W$1*buff的资质计算!$E$2,IF(R305=3,X305*$W$1*buff的资质计算!$E$3,0)))),2)</f>
        <v>13.05</v>
      </c>
      <c r="X305" s="157">
        <f ca="1" t="shared" si="47"/>
        <v>43.5</v>
      </c>
      <c r="Y305" s="157">
        <f ca="1" t="shared" si="48"/>
        <v>43.9615384615385</v>
      </c>
      <c r="Z305" s="304">
        <f ca="1" t="shared" si="49"/>
        <v>21.9807692307692</v>
      </c>
      <c r="AA305" s="304">
        <f ca="1">OFFSET(卡牌辅助配置表!$AD$1,MATCH(AB305,卡牌辅助配置表!AB:AB,0)-1,0)</f>
        <v>4100</v>
      </c>
      <c r="AB305" s="304">
        <f ca="1" t="shared" si="50"/>
        <v>1330</v>
      </c>
      <c r="AC305" s="153">
        <v>1</v>
      </c>
      <c r="AE305" s="153">
        <v>1</v>
      </c>
      <c r="AF305" s="153" t="str">
        <f ca="1" t="shared" si="51"/>
        <v>10100011|</v>
      </c>
      <c r="AJ305" s="205">
        <f ca="1" t="shared" si="52"/>
        <v>0</v>
      </c>
      <c r="AK305" s="205">
        <f ca="1">OFFSET([1]item_type!$A$1,MATCH(Q305,[1]item_type!$G:$G,0)-1,0)</f>
        <v>301010</v>
      </c>
      <c r="AL305" s="205"/>
      <c r="AM305" s="205">
        <f ca="1">IF(B305=B306,OFFSET(卡牌辅助配置表!$AE$1,MATCH(AB305,卡牌辅助配置表!AB:AB,0),0),0)</f>
        <v>0</v>
      </c>
      <c r="AN305" s="153">
        <f ca="1" t="shared" si="53"/>
        <v>0</v>
      </c>
      <c r="AP305" s="153" t="str">
        <f ca="1">IF(AC305=0,0,IF(AC305=12,0,OFFSET(effect!$N$1,MATCH(K305,effect!M:M,0)-1,0)))</f>
        <v>kpsx_zise</v>
      </c>
    </row>
    <row r="306" spans="1:42">
      <c r="A306" s="153">
        <f ca="1" t="shared" si="44"/>
        <v>1011001</v>
      </c>
      <c r="B306" s="91" t="s">
        <v>363</v>
      </c>
      <c r="C306" s="186">
        <v>1</v>
      </c>
      <c r="D306" s="186">
        <v>6</v>
      </c>
      <c r="E306" s="165"/>
      <c r="F306" s="179" t="str">
        <f>buff!C41</f>
        <v>使下1招伤害增加70%</v>
      </c>
      <c r="G306" s="186">
        <f ca="1">OFFSET(卡牌辅助配置表!$C$1,MATCH(AC306,卡牌辅助配置表!A:A,0)-1,0)</f>
        <v>0</v>
      </c>
      <c r="H306" s="186" t="e">
        <f ca="1">skill!Q16</f>
        <v>#VALUE!</v>
      </c>
      <c r="I306" s="186"/>
      <c r="J306" s="186">
        <f ca="1">OFFSET(card_type!$F$1,MATCH(Q306,card_type!A:A,0)-1,0)</f>
        <v>2</v>
      </c>
      <c r="K306" s="243">
        <f ca="1">OFFSET(card_type!$G$1,MATCH(Q306,card_type!A:A,0)-1,0)</f>
        <v>1</v>
      </c>
      <c r="L306" s="157">
        <v>1</v>
      </c>
      <c r="M306" s="157">
        <v>1</v>
      </c>
      <c r="N306" s="153">
        <f t="shared" si="45"/>
        <v>1</v>
      </c>
      <c r="O306" s="157"/>
      <c r="P306" s="157"/>
      <c r="Q306" s="153">
        <f ca="1">OFFSET(card_type!$A$1,MATCH(card!B306,card_type!B:B,0)-1,0)</f>
        <v>1011</v>
      </c>
      <c r="R306" s="153">
        <v>0</v>
      </c>
      <c r="S306" s="157">
        <f ca="1">ROUND(IF(R306=0,0,IF(R306=1,X306*$S$1,IF(R306=2,X306*$S$1*buff的资质计算!$E$2,IF(R306=3,X306*$S$1*buff的资质计算!$E$3,0)))),0)*0</f>
        <v>0</v>
      </c>
      <c r="U306" s="153">
        <f ca="1" t="shared" si="46"/>
        <v>21</v>
      </c>
      <c r="V306" s="153">
        <f ca="1">ROUND((OFFSET(卡牌辅助配置表!$O$1,MATCH(U306,卡牌辅助配置表!M:M,0)-1,0)+(N306-1)*OFFSET(卡牌辅助配置表!$P$1,MATCH(U306,卡牌辅助配置表!M:M,0)-1,0))*M306,2)</f>
        <v>6.93</v>
      </c>
      <c r="W306" s="157">
        <f ca="1">ROUND(IF(R306=0,0,IF(R306=1,X306*$W$1,IF(R306=2,X306*$W$1*buff的资质计算!$E$2,IF(R306=3,X306*$W$1*buff的资质计算!$E$3,0)))),2)</f>
        <v>0</v>
      </c>
      <c r="X306" s="157">
        <f ca="1" t="shared" si="47"/>
        <v>10</v>
      </c>
      <c r="Y306" s="157" t="e">
        <f ca="1" t="shared" ref="Y306:Y335" si="54">IF(R306=0,H306,X306+H306)</f>
        <v>#VALUE!</v>
      </c>
      <c r="Z306" s="304" t="e">
        <f ca="1" t="shared" si="49"/>
        <v>#VALUE!</v>
      </c>
      <c r="AA306" s="304">
        <f ca="1">OFFSET(卡牌辅助配置表!$AD$1,MATCH(AB306,卡牌辅助配置表!AB:AB,0)-1,0)</f>
        <v>42</v>
      </c>
      <c r="AB306" s="304">
        <f ca="1" t="shared" si="50"/>
        <v>2101</v>
      </c>
      <c r="AC306" s="153">
        <v>12</v>
      </c>
      <c r="AF306" s="153" t="str">
        <f ca="1" t="shared" ref="AF306:AF335" si="55">AG306&amp;$AF$1</f>
        <v>10110011|</v>
      </c>
      <c r="AG306" s="153">
        <f ca="1">skill!A16</f>
        <v>10110011</v>
      </c>
      <c r="AJ306" s="205" t="str">
        <f ca="1" t="shared" si="52"/>
        <v>400023|700|;</v>
      </c>
      <c r="AK306" s="205">
        <f ca="1">OFFSET([1]item_type!$A$1,MATCH(Q306,[1]item_type!$G:$G,0)-1,0)</f>
        <v>301011</v>
      </c>
      <c r="AL306" s="205"/>
      <c r="AM306" s="205">
        <f ca="1">IF(B306=B307,OFFSET(卡牌辅助配置表!$AE$1,MATCH(AB306,卡牌辅助配置表!AB:AB,0),0),0)</f>
        <v>700</v>
      </c>
      <c r="AN306" s="153">
        <f ca="1" t="shared" si="53"/>
        <v>1011002</v>
      </c>
      <c r="AP306" s="153">
        <f ca="1">IF(AC306=0,0,IF(AC306=12,0,OFFSET(effect!$N$1,MATCH(K306,effect!M:M,0)-1,0)))</f>
        <v>0</v>
      </c>
    </row>
    <row r="307" spans="1:42">
      <c r="A307" s="153">
        <f ca="1" t="shared" si="44"/>
        <v>1011002</v>
      </c>
      <c r="B307" s="91" t="s">
        <v>363</v>
      </c>
      <c r="C307" s="186">
        <v>1</v>
      </c>
      <c r="D307" s="186">
        <v>6</v>
      </c>
      <c r="E307" s="165"/>
      <c r="F307" s="179" t="str">
        <f>buff!C42</f>
        <v>使下1招伤害增加72%</v>
      </c>
      <c r="G307" s="186">
        <f ca="1">OFFSET(卡牌辅助配置表!$C$1,MATCH(AC307,卡牌辅助配置表!A:A,0)-1,0)</f>
        <v>0</v>
      </c>
      <c r="H307" s="186" t="e">
        <f ca="1">skill!Q17</f>
        <v>#VALUE!</v>
      </c>
      <c r="I307" s="186"/>
      <c r="J307" s="186">
        <f ca="1">OFFSET(card_type!$F$1,MATCH(Q307,card_type!A:A,0)-1,0)</f>
        <v>2</v>
      </c>
      <c r="K307" s="243">
        <f ca="1">OFFSET(card_type!$G$1,MATCH(Q307,card_type!A:A,0)-1,0)</f>
        <v>1</v>
      </c>
      <c r="L307" s="157">
        <v>1</v>
      </c>
      <c r="M307" s="157">
        <v>1</v>
      </c>
      <c r="N307" s="153">
        <f t="shared" si="45"/>
        <v>2</v>
      </c>
      <c r="O307" s="157"/>
      <c r="P307" s="157"/>
      <c r="Q307" s="153">
        <f ca="1">OFFSET(card_type!$A$1,MATCH(card!B307,card_type!B:B,0)-1,0)</f>
        <v>1011</v>
      </c>
      <c r="R307" s="153">
        <v>0</v>
      </c>
      <c r="S307" s="157">
        <f ca="1">ROUND(IF(R307=0,0,IF(R307=1,X307*$S$1,IF(R307=2,X307*$S$1*buff的资质计算!$E$2,IF(R307=3,X307*$S$1*buff的资质计算!$E$3,0)))),0)*0</f>
        <v>0</v>
      </c>
      <c r="U307" s="153">
        <f ca="1" t="shared" si="46"/>
        <v>21</v>
      </c>
      <c r="V307" s="153">
        <f ca="1">ROUND((OFFSET(卡牌辅助配置表!$O$1,MATCH(U307,卡牌辅助配置表!M:M,0)-1,0)+(N307-1)*OFFSET(卡牌辅助配置表!$P$1,MATCH(U307,卡牌辅助配置表!M:M,0)-1,0))*M307,2)</f>
        <v>7.49</v>
      </c>
      <c r="W307" s="157">
        <f ca="1">ROUND(IF(R307=0,0,IF(R307=1,X307*$W$1,IF(R307=2,X307*$W$1*buff的资质计算!$E$2,IF(R307=3,X307*$W$1*buff的资质计算!$E$3,0)))),2)</f>
        <v>0</v>
      </c>
      <c r="X307" s="157">
        <f ca="1" t="shared" si="47"/>
        <v>10.5</v>
      </c>
      <c r="Y307" s="157" t="e">
        <f ca="1" t="shared" si="54"/>
        <v>#VALUE!</v>
      </c>
      <c r="Z307" s="304" t="e">
        <f ca="1" t="shared" si="49"/>
        <v>#VALUE!</v>
      </c>
      <c r="AA307" s="304">
        <f ca="1">OFFSET(卡牌辅助配置表!$AD$1,MATCH(AB307,卡牌辅助配置表!AB:AB,0)-1,0)</f>
        <v>84</v>
      </c>
      <c r="AB307" s="304">
        <f ca="1" t="shared" si="50"/>
        <v>2102</v>
      </c>
      <c r="AC307" s="153">
        <v>12</v>
      </c>
      <c r="AF307" s="153" t="str">
        <f ca="1" t="shared" si="55"/>
        <v>10110012|</v>
      </c>
      <c r="AG307" s="153">
        <f ca="1">skill!A17</f>
        <v>10110012</v>
      </c>
      <c r="AJ307" s="205" t="str">
        <f ca="1" t="shared" si="52"/>
        <v>400023|900|;</v>
      </c>
      <c r="AK307" s="205">
        <f ca="1">OFFSET([1]item_type!$A$1,MATCH(Q307,[1]item_type!$G:$G,0)-1,0)</f>
        <v>301011</v>
      </c>
      <c r="AL307" s="205"/>
      <c r="AM307" s="205">
        <f ca="1">IF(B307=B308,OFFSET(卡牌辅助配置表!$AE$1,MATCH(AB307,卡牌辅助配置表!AB:AB,0),0),0)</f>
        <v>900</v>
      </c>
      <c r="AN307" s="153">
        <f ca="1" t="shared" si="53"/>
        <v>1011003</v>
      </c>
      <c r="AP307" s="153">
        <f ca="1">IF(AC307=0,0,IF(AC307=12,0,OFFSET(effect!$N$1,MATCH(K307,effect!M:M,0)-1,0)))</f>
        <v>0</v>
      </c>
    </row>
    <row r="308" spans="1:42">
      <c r="A308" s="153">
        <f ca="1" t="shared" si="44"/>
        <v>1011003</v>
      </c>
      <c r="B308" s="91" t="s">
        <v>363</v>
      </c>
      <c r="C308" s="186">
        <v>1</v>
      </c>
      <c r="D308" s="186">
        <v>6</v>
      </c>
      <c r="E308" s="165"/>
      <c r="F308" s="179" t="str">
        <f>buff!C43</f>
        <v>使下1招伤害增加74%</v>
      </c>
      <c r="G308" s="186">
        <f ca="1">OFFSET(卡牌辅助配置表!$C$1,MATCH(AC308,卡牌辅助配置表!A:A,0)-1,0)</f>
        <v>0</v>
      </c>
      <c r="H308" s="186" t="e">
        <f ca="1">skill!Q18</f>
        <v>#VALUE!</v>
      </c>
      <c r="I308" s="186"/>
      <c r="J308" s="186">
        <f ca="1">OFFSET(card_type!$F$1,MATCH(Q308,card_type!A:A,0)-1,0)</f>
        <v>2</v>
      </c>
      <c r="K308" s="243">
        <f ca="1">OFFSET(card_type!$G$1,MATCH(Q308,card_type!A:A,0)-1,0)</f>
        <v>1</v>
      </c>
      <c r="L308" s="157">
        <v>1</v>
      </c>
      <c r="M308" s="157">
        <v>1</v>
      </c>
      <c r="N308" s="153">
        <f t="shared" si="45"/>
        <v>3</v>
      </c>
      <c r="O308" s="157"/>
      <c r="P308" s="157"/>
      <c r="Q308" s="153">
        <f ca="1">OFFSET(card_type!$A$1,MATCH(card!B308,card_type!B:B,0)-1,0)</f>
        <v>1011</v>
      </c>
      <c r="R308" s="153">
        <v>0</v>
      </c>
      <c r="S308" s="157">
        <f ca="1">ROUND(IF(R308=0,0,IF(R308=1,X308*$S$1,IF(R308=2,X308*$S$1*buff的资质计算!$E$2,IF(R308=3,X308*$S$1*buff的资质计算!$E$3,0)))),0)*0</f>
        <v>0</v>
      </c>
      <c r="U308" s="153">
        <f ca="1" t="shared" si="46"/>
        <v>21</v>
      </c>
      <c r="V308" s="153">
        <f ca="1">ROUND((OFFSET(卡牌辅助配置表!$O$1,MATCH(U308,卡牌辅助配置表!M:M,0)-1,0)+(N308-1)*OFFSET(卡牌辅助配置表!$P$1,MATCH(U308,卡牌辅助配置表!M:M,0)-1,0))*M308,2)</f>
        <v>8.05</v>
      </c>
      <c r="W308" s="157">
        <f ca="1">ROUND(IF(R308=0,0,IF(R308=1,X308*$W$1,IF(R308=2,X308*$W$1*buff的资质计算!$E$2,IF(R308=3,X308*$W$1*buff的资质计算!$E$3,0)))),2)</f>
        <v>0</v>
      </c>
      <c r="X308" s="157">
        <f ca="1" t="shared" si="47"/>
        <v>11</v>
      </c>
      <c r="Y308" s="157" t="e">
        <f ca="1" t="shared" si="54"/>
        <v>#VALUE!</v>
      </c>
      <c r="Z308" s="304" t="e">
        <f ca="1" t="shared" si="49"/>
        <v>#VALUE!</v>
      </c>
      <c r="AA308" s="304">
        <f ca="1">OFFSET(卡牌辅助配置表!$AD$1,MATCH(AB308,卡牌辅助配置表!AB:AB,0)-1,0)</f>
        <v>126</v>
      </c>
      <c r="AB308" s="304">
        <f ca="1" t="shared" si="50"/>
        <v>2103</v>
      </c>
      <c r="AC308" s="153">
        <v>12</v>
      </c>
      <c r="AF308" s="153" t="str">
        <f ca="1" t="shared" si="55"/>
        <v>10110013|</v>
      </c>
      <c r="AG308" s="153">
        <f ca="1">skill!A18</f>
        <v>10110013</v>
      </c>
      <c r="AJ308" s="205" t="str">
        <f ca="1" t="shared" si="52"/>
        <v>400023|1100|;</v>
      </c>
      <c r="AK308" s="205">
        <f ca="1">OFFSET([1]item_type!$A$1,MATCH(Q308,[1]item_type!$G:$G,0)-1,0)</f>
        <v>301011</v>
      </c>
      <c r="AL308" s="205"/>
      <c r="AM308" s="205">
        <f ca="1">IF(B308=B309,OFFSET(卡牌辅助配置表!$AE$1,MATCH(AB308,卡牌辅助配置表!AB:AB,0),0),0)</f>
        <v>1100</v>
      </c>
      <c r="AN308" s="153">
        <f ca="1" t="shared" si="53"/>
        <v>1011004</v>
      </c>
      <c r="AP308" s="153">
        <f ca="1">IF(AC308=0,0,IF(AC308=12,0,OFFSET(effect!$N$1,MATCH(K308,effect!M:M,0)-1,0)))</f>
        <v>0</v>
      </c>
    </row>
    <row r="309" spans="1:42">
      <c r="A309" s="153">
        <f ca="1" t="shared" si="44"/>
        <v>1011004</v>
      </c>
      <c r="B309" s="91" t="s">
        <v>363</v>
      </c>
      <c r="C309" s="186">
        <v>1</v>
      </c>
      <c r="D309" s="186">
        <v>6</v>
      </c>
      <c r="E309" s="165"/>
      <c r="F309" s="179" t="str">
        <f>buff!C44</f>
        <v>使下1招伤害增加76%</v>
      </c>
      <c r="G309" s="186">
        <f ca="1">OFFSET(卡牌辅助配置表!$C$1,MATCH(AC309,卡牌辅助配置表!A:A,0)-1,0)</f>
        <v>0</v>
      </c>
      <c r="H309" s="186" t="e">
        <f ca="1">skill!Q19</f>
        <v>#VALUE!</v>
      </c>
      <c r="I309" s="186"/>
      <c r="J309" s="186">
        <f ca="1">OFFSET(card_type!$F$1,MATCH(Q309,card_type!A:A,0)-1,0)</f>
        <v>2</v>
      </c>
      <c r="K309" s="243">
        <f ca="1">OFFSET(card_type!$G$1,MATCH(Q309,card_type!A:A,0)-1,0)</f>
        <v>1</v>
      </c>
      <c r="L309" s="157">
        <v>1</v>
      </c>
      <c r="M309" s="157">
        <v>1</v>
      </c>
      <c r="N309" s="153">
        <f t="shared" si="45"/>
        <v>4</v>
      </c>
      <c r="O309" s="157"/>
      <c r="P309" s="157"/>
      <c r="Q309" s="153">
        <f ca="1">OFFSET(card_type!$A$1,MATCH(card!B309,card_type!B:B,0)-1,0)</f>
        <v>1011</v>
      </c>
      <c r="R309" s="153">
        <v>0</v>
      </c>
      <c r="S309" s="157">
        <f ca="1">ROUND(IF(R309=0,0,IF(R309=1,X309*$S$1,IF(R309=2,X309*$S$1*buff的资质计算!$E$2,IF(R309=3,X309*$S$1*buff的资质计算!$E$3,0)))),0)*0</f>
        <v>0</v>
      </c>
      <c r="U309" s="153">
        <f ca="1" t="shared" si="46"/>
        <v>21</v>
      </c>
      <c r="V309" s="153">
        <f ca="1">ROUND((OFFSET(卡牌辅助配置表!$O$1,MATCH(U309,卡牌辅助配置表!M:M,0)-1,0)+(N309-1)*OFFSET(卡牌辅助配置表!$P$1,MATCH(U309,卡牌辅助配置表!M:M,0)-1,0))*M309,2)</f>
        <v>8.61</v>
      </c>
      <c r="W309" s="157">
        <f ca="1">ROUND(IF(R309=0,0,IF(R309=1,X309*$W$1,IF(R309=2,X309*$W$1*buff的资质计算!$E$2,IF(R309=3,X309*$W$1*buff的资质计算!$E$3,0)))),2)</f>
        <v>0</v>
      </c>
      <c r="X309" s="157">
        <f ca="1" t="shared" si="47"/>
        <v>11.5</v>
      </c>
      <c r="Y309" s="157" t="e">
        <f ca="1" t="shared" si="54"/>
        <v>#VALUE!</v>
      </c>
      <c r="Z309" s="304" t="e">
        <f ca="1" t="shared" si="49"/>
        <v>#VALUE!</v>
      </c>
      <c r="AA309" s="304">
        <f ca="1">OFFSET(卡牌辅助配置表!$AD$1,MATCH(AB309,卡牌辅助配置表!AB:AB,0)-1,0)</f>
        <v>168</v>
      </c>
      <c r="AB309" s="304">
        <f ca="1" t="shared" si="50"/>
        <v>2104</v>
      </c>
      <c r="AC309" s="153">
        <v>12</v>
      </c>
      <c r="AF309" s="153" t="str">
        <f ca="1" t="shared" si="55"/>
        <v>10110014|</v>
      </c>
      <c r="AG309" s="153">
        <f ca="1">skill!A19</f>
        <v>10110014</v>
      </c>
      <c r="AJ309" s="205" t="str">
        <f ca="1" t="shared" si="52"/>
        <v>400023|1300|;</v>
      </c>
      <c r="AK309" s="205">
        <f ca="1">OFFSET([1]item_type!$A$1,MATCH(Q309,[1]item_type!$G:$G,0)-1,0)</f>
        <v>301011</v>
      </c>
      <c r="AL309" s="205"/>
      <c r="AM309" s="205">
        <f ca="1">IF(B309=B310,OFFSET(卡牌辅助配置表!$AE$1,MATCH(AB309,卡牌辅助配置表!AB:AB,0),0),0)</f>
        <v>1300</v>
      </c>
      <c r="AN309" s="153">
        <f ca="1" t="shared" si="53"/>
        <v>1011005</v>
      </c>
      <c r="AP309" s="153">
        <f ca="1">IF(AC309=0,0,IF(AC309=12,0,OFFSET(effect!$N$1,MATCH(K309,effect!M:M,0)-1,0)))</f>
        <v>0</v>
      </c>
    </row>
    <row r="310" spans="1:42">
      <c r="A310" s="153">
        <f ca="1" t="shared" si="44"/>
        <v>1011005</v>
      </c>
      <c r="B310" s="91" t="s">
        <v>363</v>
      </c>
      <c r="C310" s="186">
        <v>1</v>
      </c>
      <c r="D310" s="186">
        <v>6</v>
      </c>
      <c r="E310" s="165"/>
      <c r="F310" s="179" t="str">
        <f>buff!C45</f>
        <v>使下1招伤害增加78%</v>
      </c>
      <c r="G310" s="186">
        <f ca="1">OFFSET(卡牌辅助配置表!$C$1,MATCH(AC310,卡牌辅助配置表!A:A,0)-1,0)</f>
        <v>0</v>
      </c>
      <c r="H310" s="186" t="e">
        <f ca="1">skill!Q20</f>
        <v>#VALUE!</v>
      </c>
      <c r="I310" s="186"/>
      <c r="J310" s="186">
        <f ca="1">OFFSET(card_type!$F$1,MATCH(Q310,card_type!A:A,0)-1,0)</f>
        <v>2</v>
      </c>
      <c r="K310" s="243">
        <f ca="1">OFFSET(card_type!$G$1,MATCH(Q310,card_type!A:A,0)-1,0)</f>
        <v>1</v>
      </c>
      <c r="L310" s="157">
        <v>1</v>
      </c>
      <c r="M310" s="157">
        <v>1</v>
      </c>
      <c r="N310" s="153">
        <f t="shared" si="45"/>
        <v>5</v>
      </c>
      <c r="O310" s="157"/>
      <c r="P310" s="157"/>
      <c r="Q310" s="153">
        <f ca="1">OFFSET(card_type!$A$1,MATCH(card!B310,card_type!B:B,0)-1,0)</f>
        <v>1011</v>
      </c>
      <c r="R310" s="153">
        <v>0</v>
      </c>
      <c r="S310" s="157">
        <f ca="1">ROUND(IF(R310=0,0,IF(R310=1,X310*$S$1,IF(R310=2,X310*$S$1*buff的资质计算!$E$2,IF(R310=3,X310*$S$1*buff的资质计算!$E$3,0)))),0)*0</f>
        <v>0</v>
      </c>
      <c r="U310" s="153">
        <f ca="1" t="shared" si="46"/>
        <v>21</v>
      </c>
      <c r="V310" s="153">
        <f ca="1">ROUND((OFFSET(卡牌辅助配置表!$O$1,MATCH(U310,卡牌辅助配置表!M:M,0)-1,0)+(N310-1)*OFFSET(卡牌辅助配置表!$P$1,MATCH(U310,卡牌辅助配置表!M:M,0)-1,0))*M310,2)</f>
        <v>9.17</v>
      </c>
      <c r="W310" s="157">
        <f ca="1">ROUND(IF(R310=0,0,IF(R310=1,X310*$W$1,IF(R310=2,X310*$W$1*buff的资质计算!$E$2,IF(R310=3,X310*$W$1*buff的资质计算!$E$3,0)))),2)</f>
        <v>0</v>
      </c>
      <c r="X310" s="157">
        <f ca="1" t="shared" si="47"/>
        <v>12</v>
      </c>
      <c r="Y310" s="157" t="e">
        <f ca="1" t="shared" si="54"/>
        <v>#VALUE!</v>
      </c>
      <c r="Z310" s="304" t="e">
        <f ca="1" t="shared" si="49"/>
        <v>#VALUE!</v>
      </c>
      <c r="AA310" s="304">
        <f ca="1">OFFSET(卡牌辅助配置表!$AD$1,MATCH(AB310,卡牌辅助配置表!AB:AB,0)-1,0)</f>
        <v>210</v>
      </c>
      <c r="AB310" s="304">
        <f ca="1" t="shared" si="50"/>
        <v>2105</v>
      </c>
      <c r="AC310" s="153">
        <v>12</v>
      </c>
      <c r="AF310" s="153" t="str">
        <f ca="1" t="shared" si="55"/>
        <v>10110015|</v>
      </c>
      <c r="AG310" s="153">
        <f ca="1">skill!A20</f>
        <v>10110015</v>
      </c>
      <c r="AJ310" s="205" t="str">
        <f ca="1" t="shared" si="52"/>
        <v>400023|1500|;</v>
      </c>
      <c r="AK310" s="205">
        <f ca="1">OFFSET([1]item_type!$A$1,MATCH(Q310,[1]item_type!$G:$G,0)-1,0)</f>
        <v>301011</v>
      </c>
      <c r="AL310" s="205"/>
      <c r="AM310" s="205">
        <f ca="1">IF(B310=B311,OFFSET(卡牌辅助配置表!$AE$1,MATCH(AB310,卡牌辅助配置表!AB:AB,0),0),0)</f>
        <v>1500</v>
      </c>
      <c r="AN310" s="153">
        <f ca="1" t="shared" si="53"/>
        <v>1011006</v>
      </c>
      <c r="AP310" s="153">
        <f ca="1">IF(AC310=0,0,IF(AC310=12,0,OFFSET(effect!$N$1,MATCH(K310,effect!M:M,0)-1,0)))</f>
        <v>0</v>
      </c>
    </row>
    <row r="311" spans="1:42">
      <c r="A311" s="153">
        <f ca="1" t="shared" si="44"/>
        <v>1011006</v>
      </c>
      <c r="B311" s="91" t="s">
        <v>363</v>
      </c>
      <c r="C311" s="186">
        <v>1</v>
      </c>
      <c r="D311" s="186">
        <v>6</v>
      </c>
      <c r="E311" s="165"/>
      <c r="F311" s="179" t="str">
        <f>buff!C46</f>
        <v>使下1招伤害增加80%</v>
      </c>
      <c r="G311" s="186">
        <f ca="1">OFFSET(卡牌辅助配置表!$C$1,MATCH(AC311,卡牌辅助配置表!A:A,0)-1,0)</f>
        <v>0</v>
      </c>
      <c r="H311" s="186" t="e">
        <f ca="1">skill!Q21</f>
        <v>#VALUE!</v>
      </c>
      <c r="I311" s="186"/>
      <c r="J311" s="186">
        <f ca="1">OFFSET(card_type!$F$1,MATCH(Q311,card_type!A:A,0)-1,0)</f>
        <v>2</v>
      </c>
      <c r="K311" s="243">
        <f ca="1">OFFSET(card_type!$G$1,MATCH(Q311,card_type!A:A,0)-1,0)</f>
        <v>1</v>
      </c>
      <c r="L311" s="157">
        <v>1</v>
      </c>
      <c r="M311" s="157">
        <v>1</v>
      </c>
      <c r="N311" s="153">
        <f t="shared" si="45"/>
        <v>6</v>
      </c>
      <c r="O311" s="157"/>
      <c r="P311" s="157"/>
      <c r="Q311" s="153">
        <f ca="1">OFFSET(card_type!$A$1,MATCH(card!B311,card_type!B:B,0)-1,0)</f>
        <v>1011</v>
      </c>
      <c r="R311" s="153">
        <v>0</v>
      </c>
      <c r="S311" s="157">
        <f ca="1">ROUND(IF(R311=0,0,IF(R311=1,X311*$S$1,IF(R311=2,X311*$S$1*buff的资质计算!$E$2,IF(R311=3,X311*$S$1*buff的资质计算!$E$3,0)))),0)*0</f>
        <v>0</v>
      </c>
      <c r="U311" s="153">
        <f ca="1" t="shared" si="46"/>
        <v>21</v>
      </c>
      <c r="V311" s="153">
        <f ca="1">ROUND((OFFSET(卡牌辅助配置表!$O$1,MATCH(U311,卡牌辅助配置表!M:M,0)-1,0)+(N311-1)*OFFSET(卡牌辅助配置表!$P$1,MATCH(U311,卡牌辅助配置表!M:M,0)-1,0))*M311,2)</f>
        <v>9.74</v>
      </c>
      <c r="W311" s="157">
        <f ca="1">ROUND(IF(R311=0,0,IF(R311=1,X311*$W$1,IF(R311=2,X311*$W$1*buff的资质计算!$E$2,IF(R311=3,X311*$W$1*buff的资质计算!$E$3,0)))),2)</f>
        <v>0</v>
      </c>
      <c r="X311" s="157">
        <f ca="1" t="shared" si="47"/>
        <v>12.5</v>
      </c>
      <c r="Y311" s="157" t="e">
        <f ca="1" t="shared" si="54"/>
        <v>#VALUE!</v>
      </c>
      <c r="Z311" s="304" t="e">
        <f ca="1" t="shared" si="49"/>
        <v>#VALUE!</v>
      </c>
      <c r="AA311" s="304">
        <f ca="1">OFFSET(卡牌辅助配置表!$AD$1,MATCH(AB311,卡牌辅助配置表!AB:AB,0)-1,0)</f>
        <v>252</v>
      </c>
      <c r="AB311" s="304">
        <f ca="1" t="shared" si="50"/>
        <v>2106</v>
      </c>
      <c r="AC311" s="153">
        <v>12</v>
      </c>
      <c r="AF311" s="153" t="str">
        <f ca="1" t="shared" si="55"/>
        <v>10110016|</v>
      </c>
      <c r="AG311" s="153">
        <f ca="1">skill!A21</f>
        <v>10110016</v>
      </c>
      <c r="AJ311" s="205" t="str">
        <f ca="1" t="shared" si="52"/>
        <v>400023|1700|;</v>
      </c>
      <c r="AK311" s="205">
        <f ca="1">OFFSET([1]item_type!$A$1,MATCH(Q311,[1]item_type!$G:$G,0)-1,0)</f>
        <v>301011</v>
      </c>
      <c r="AL311" s="205"/>
      <c r="AM311" s="205">
        <f ca="1">IF(B311=B312,OFFSET(卡牌辅助配置表!$AE$1,MATCH(AB311,卡牌辅助配置表!AB:AB,0),0),0)</f>
        <v>1700</v>
      </c>
      <c r="AN311" s="153">
        <f ca="1" t="shared" si="53"/>
        <v>1011007</v>
      </c>
      <c r="AP311" s="153">
        <f ca="1">IF(AC311=0,0,IF(AC311=12,0,OFFSET(effect!$N$1,MATCH(K311,effect!M:M,0)-1,0)))</f>
        <v>0</v>
      </c>
    </row>
    <row r="312" spans="1:42">
      <c r="A312" s="153">
        <f ca="1" t="shared" si="44"/>
        <v>1011007</v>
      </c>
      <c r="B312" s="91" t="s">
        <v>363</v>
      </c>
      <c r="C312" s="186">
        <v>1</v>
      </c>
      <c r="D312" s="186">
        <v>6</v>
      </c>
      <c r="E312" s="165"/>
      <c r="F312" s="179" t="str">
        <f>buff!C47</f>
        <v>使下1招伤害增加82%</v>
      </c>
      <c r="G312" s="186">
        <f ca="1">OFFSET(卡牌辅助配置表!$C$1,MATCH(AC312,卡牌辅助配置表!A:A,0)-1,0)</f>
        <v>0</v>
      </c>
      <c r="H312" s="186" t="e">
        <f ca="1">skill!Q22</f>
        <v>#VALUE!</v>
      </c>
      <c r="I312" s="186"/>
      <c r="J312" s="186">
        <f ca="1">OFFSET(card_type!$F$1,MATCH(Q312,card_type!A:A,0)-1,0)</f>
        <v>2</v>
      </c>
      <c r="K312" s="243">
        <f ca="1">OFFSET(card_type!$G$1,MATCH(Q312,card_type!A:A,0)-1,0)</f>
        <v>1</v>
      </c>
      <c r="L312" s="157">
        <v>1</v>
      </c>
      <c r="M312" s="157">
        <v>1</v>
      </c>
      <c r="N312" s="153">
        <f t="shared" si="45"/>
        <v>7</v>
      </c>
      <c r="O312" s="157"/>
      <c r="P312" s="157"/>
      <c r="Q312" s="153">
        <f ca="1">OFFSET(card_type!$A$1,MATCH(card!B312,card_type!B:B,0)-1,0)</f>
        <v>1011</v>
      </c>
      <c r="R312" s="153">
        <v>0</v>
      </c>
      <c r="S312" s="157">
        <f ca="1">ROUND(IF(R312=0,0,IF(R312=1,X312*$S$1,IF(R312=2,X312*$S$1*buff的资质计算!$E$2,IF(R312=3,X312*$S$1*buff的资质计算!$E$3,0)))),0)*0</f>
        <v>0</v>
      </c>
      <c r="U312" s="153">
        <f ca="1" t="shared" si="46"/>
        <v>21</v>
      </c>
      <c r="V312" s="153">
        <f ca="1">ROUND((OFFSET(卡牌辅助配置表!$O$1,MATCH(U312,卡牌辅助配置表!M:M,0)-1,0)+(N312-1)*OFFSET(卡牌辅助配置表!$P$1,MATCH(U312,卡牌辅助配置表!M:M,0)-1,0))*M312,2)</f>
        <v>10.3</v>
      </c>
      <c r="W312" s="157">
        <f ca="1">ROUND(IF(R312=0,0,IF(R312=1,X312*$W$1,IF(R312=2,X312*$W$1*buff的资质计算!$E$2,IF(R312=3,X312*$W$1*buff的资质计算!$E$3,0)))),2)</f>
        <v>0</v>
      </c>
      <c r="X312" s="157">
        <f ca="1" t="shared" si="47"/>
        <v>13</v>
      </c>
      <c r="Y312" s="157" t="e">
        <f ca="1" t="shared" si="54"/>
        <v>#VALUE!</v>
      </c>
      <c r="Z312" s="304" t="e">
        <f ca="1" t="shared" si="49"/>
        <v>#VALUE!</v>
      </c>
      <c r="AA312" s="304">
        <f ca="1">OFFSET(卡牌辅助配置表!$AD$1,MATCH(AB312,卡牌辅助配置表!AB:AB,0)-1,0)</f>
        <v>294</v>
      </c>
      <c r="AB312" s="304">
        <f ca="1" t="shared" si="50"/>
        <v>2107</v>
      </c>
      <c r="AC312" s="153">
        <v>12</v>
      </c>
      <c r="AF312" s="153" t="str">
        <f ca="1" t="shared" si="55"/>
        <v>10110017|</v>
      </c>
      <c r="AG312" s="153">
        <f ca="1">skill!A22</f>
        <v>10110017</v>
      </c>
      <c r="AJ312" s="205" t="str">
        <f ca="1" t="shared" si="52"/>
        <v>400023|1900|;</v>
      </c>
      <c r="AK312" s="205">
        <f ca="1">OFFSET([1]item_type!$A$1,MATCH(Q312,[1]item_type!$G:$G,0)-1,0)</f>
        <v>301011</v>
      </c>
      <c r="AL312" s="205"/>
      <c r="AM312" s="205">
        <f ca="1">IF(B312=B313,OFFSET(卡牌辅助配置表!$AE$1,MATCH(AB312,卡牌辅助配置表!AB:AB,0),0),0)</f>
        <v>1900</v>
      </c>
      <c r="AN312" s="153">
        <f ca="1" t="shared" si="53"/>
        <v>1011008</v>
      </c>
      <c r="AP312" s="153">
        <f ca="1">IF(AC312=0,0,IF(AC312=12,0,OFFSET(effect!$N$1,MATCH(K312,effect!M:M,0)-1,0)))</f>
        <v>0</v>
      </c>
    </row>
    <row r="313" spans="1:42">
      <c r="A313" s="153">
        <f ca="1" t="shared" si="44"/>
        <v>1011008</v>
      </c>
      <c r="B313" s="91" t="s">
        <v>363</v>
      </c>
      <c r="C313" s="186">
        <v>1</v>
      </c>
      <c r="D313" s="186">
        <v>6</v>
      </c>
      <c r="E313" s="165"/>
      <c r="F313" s="179" t="str">
        <f>buff!C48</f>
        <v>使下1招伤害增加84%</v>
      </c>
      <c r="G313" s="186">
        <f ca="1">OFFSET(卡牌辅助配置表!$C$1,MATCH(AC313,卡牌辅助配置表!A:A,0)-1,0)</f>
        <v>0</v>
      </c>
      <c r="H313" s="186" t="e">
        <f ca="1">skill!Q23</f>
        <v>#VALUE!</v>
      </c>
      <c r="I313" s="186"/>
      <c r="J313" s="186">
        <f ca="1">OFFSET(card_type!$F$1,MATCH(Q313,card_type!A:A,0)-1,0)</f>
        <v>2</v>
      </c>
      <c r="K313" s="243">
        <f ca="1">OFFSET(card_type!$G$1,MATCH(Q313,card_type!A:A,0)-1,0)</f>
        <v>1</v>
      </c>
      <c r="L313" s="157">
        <v>1</v>
      </c>
      <c r="M313" s="157">
        <v>1</v>
      </c>
      <c r="N313" s="153">
        <f t="shared" si="45"/>
        <v>8</v>
      </c>
      <c r="O313" s="157"/>
      <c r="P313" s="157"/>
      <c r="Q313" s="153">
        <f ca="1">OFFSET(card_type!$A$1,MATCH(card!B313,card_type!B:B,0)-1,0)</f>
        <v>1011</v>
      </c>
      <c r="R313" s="153">
        <v>0</v>
      </c>
      <c r="S313" s="157">
        <f ca="1">ROUND(IF(R313=0,0,IF(R313=1,X313*$S$1,IF(R313=2,X313*$S$1*buff的资质计算!$E$2,IF(R313=3,X313*$S$1*buff的资质计算!$E$3,0)))),0)*0</f>
        <v>0</v>
      </c>
      <c r="U313" s="153">
        <f ca="1" t="shared" si="46"/>
        <v>21</v>
      </c>
      <c r="V313" s="153">
        <f ca="1">ROUND((OFFSET(卡牌辅助配置表!$O$1,MATCH(U313,卡牌辅助配置表!M:M,0)-1,0)+(N313-1)*OFFSET(卡牌辅助配置表!$P$1,MATCH(U313,卡牌辅助配置表!M:M,0)-1,0))*M313,2)</f>
        <v>10.86</v>
      </c>
      <c r="W313" s="157">
        <f ca="1">ROUND(IF(R313=0,0,IF(R313=1,X313*$W$1,IF(R313=2,X313*$W$1*buff的资质计算!$E$2,IF(R313=3,X313*$W$1*buff的资质计算!$E$3,0)))),2)</f>
        <v>0</v>
      </c>
      <c r="X313" s="157">
        <f ca="1" t="shared" si="47"/>
        <v>13.5</v>
      </c>
      <c r="Y313" s="157" t="e">
        <f ca="1" t="shared" si="54"/>
        <v>#VALUE!</v>
      </c>
      <c r="Z313" s="304" t="e">
        <f ca="1" t="shared" si="49"/>
        <v>#VALUE!</v>
      </c>
      <c r="AA313" s="304">
        <f ca="1">OFFSET(卡牌辅助配置表!$AD$1,MATCH(AB313,卡牌辅助配置表!AB:AB,0)-1,0)</f>
        <v>336</v>
      </c>
      <c r="AB313" s="304">
        <f ca="1" t="shared" si="50"/>
        <v>2108</v>
      </c>
      <c r="AC313" s="153">
        <v>12</v>
      </c>
      <c r="AF313" s="153" t="str">
        <f ca="1" t="shared" si="55"/>
        <v>10110018|</v>
      </c>
      <c r="AG313" s="153">
        <f ca="1">skill!A23</f>
        <v>10110018</v>
      </c>
      <c r="AJ313" s="205" t="str">
        <f ca="1" t="shared" si="52"/>
        <v>400023|2100|;</v>
      </c>
      <c r="AK313" s="205">
        <f ca="1">OFFSET([1]item_type!$A$1,MATCH(Q313,[1]item_type!$G:$G,0)-1,0)</f>
        <v>301011</v>
      </c>
      <c r="AL313" s="205"/>
      <c r="AM313" s="205">
        <f ca="1">IF(B313=B314,OFFSET(卡牌辅助配置表!$AE$1,MATCH(AB313,卡牌辅助配置表!AB:AB,0),0),0)</f>
        <v>2100</v>
      </c>
      <c r="AN313" s="153">
        <f ca="1" t="shared" si="53"/>
        <v>1011009</v>
      </c>
      <c r="AP313" s="153">
        <f ca="1">IF(AC313=0,0,IF(AC313=12,0,OFFSET(effect!$N$1,MATCH(K313,effect!M:M,0)-1,0)))</f>
        <v>0</v>
      </c>
    </row>
    <row r="314" spans="1:42">
      <c r="A314" s="153">
        <f ca="1" t="shared" si="44"/>
        <v>1011009</v>
      </c>
      <c r="B314" s="91" t="s">
        <v>363</v>
      </c>
      <c r="C314" s="186">
        <v>1</v>
      </c>
      <c r="D314" s="186">
        <v>6</v>
      </c>
      <c r="E314" s="165"/>
      <c r="F314" s="179" t="str">
        <f>buff!C49</f>
        <v>使下1招伤害增加86%</v>
      </c>
      <c r="G314" s="186">
        <f ca="1">OFFSET(卡牌辅助配置表!$C$1,MATCH(AC314,卡牌辅助配置表!A:A,0)-1,0)</f>
        <v>0</v>
      </c>
      <c r="H314" s="186" t="e">
        <f ca="1">skill!Q24</f>
        <v>#VALUE!</v>
      </c>
      <c r="I314" s="186"/>
      <c r="J314" s="186">
        <f ca="1">OFFSET(card_type!$F$1,MATCH(Q314,card_type!A:A,0)-1,0)</f>
        <v>2</v>
      </c>
      <c r="K314" s="243">
        <f ca="1">OFFSET(card_type!$G$1,MATCH(Q314,card_type!A:A,0)-1,0)</f>
        <v>1</v>
      </c>
      <c r="L314" s="157">
        <v>1</v>
      </c>
      <c r="M314" s="157">
        <v>1</v>
      </c>
      <c r="N314" s="153">
        <f t="shared" si="45"/>
        <v>9</v>
      </c>
      <c r="O314" s="157"/>
      <c r="P314" s="157"/>
      <c r="Q314" s="153">
        <f ca="1">OFFSET(card_type!$A$1,MATCH(card!B314,card_type!B:B,0)-1,0)</f>
        <v>1011</v>
      </c>
      <c r="R314" s="153">
        <v>0</v>
      </c>
      <c r="S314" s="157">
        <f ca="1">ROUND(IF(R314=0,0,IF(R314=1,X314*$S$1,IF(R314=2,X314*$S$1*buff的资质计算!$E$2,IF(R314=3,X314*$S$1*buff的资质计算!$E$3,0)))),0)*0</f>
        <v>0</v>
      </c>
      <c r="U314" s="153">
        <f ca="1" t="shared" si="46"/>
        <v>21</v>
      </c>
      <c r="V314" s="153">
        <f ca="1">ROUND((OFFSET(卡牌辅助配置表!$O$1,MATCH(U314,卡牌辅助配置表!M:M,0)-1,0)+(N314-1)*OFFSET(卡牌辅助配置表!$P$1,MATCH(U314,卡牌辅助配置表!M:M,0)-1,0))*M314,2)</f>
        <v>11.42</v>
      </c>
      <c r="W314" s="157">
        <f ca="1">ROUND(IF(R314=0,0,IF(R314=1,X314*$W$1,IF(R314=2,X314*$W$1*buff的资质计算!$E$2,IF(R314=3,X314*$W$1*buff的资质计算!$E$3,0)))),2)</f>
        <v>0</v>
      </c>
      <c r="X314" s="157">
        <f ca="1" t="shared" si="47"/>
        <v>14</v>
      </c>
      <c r="Y314" s="157" t="e">
        <f ca="1" t="shared" si="54"/>
        <v>#VALUE!</v>
      </c>
      <c r="Z314" s="304" t="e">
        <f ca="1" t="shared" si="49"/>
        <v>#VALUE!</v>
      </c>
      <c r="AA314" s="304">
        <f ca="1">OFFSET(卡牌辅助配置表!$AD$1,MATCH(AB314,卡牌辅助配置表!AB:AB,0)-1,0)</f>
        <v>378</v>
      </c>
      <c r="AB314" s="304">
        <f ca="1" t="shared" si="50"/>
        <v>2109</v>
      </c>
      <c r="AC314" s="153">
        <v>12</v>
      </c>
      <c r="AF314" s="153" t="str">
        <f ca="1" t="shared" si="55"/>
        <v>10110019|</v>
      </c>
      <c r="AG314" s="153">
        <f ca="1">skill!A24</f>
        <v>10110019</v>
      </c>
      <c r="AJ314" s="205" t="str">
        <f ca="1" t="shared" si="52"/>
        <v>301011|15|;400023|2300|;</v>
      </c>
      <c r="AK314" s="205">
        <f ca="1">OFFSET([1]item_type!$A$1,MATCH(Q314,[1]item_type!$G:$G,0)-1,0)</f>
        <v>301011</v>
      </c>
      <c r="AL314" s="205">
        <v>15</v>
      </c>
      <c r="AM314" s="205">
        <f ca="1">IF(B314=B315,OFFSET(卡牌辅助配置表!$AE$1,MATCH(AB314,卡牌辅助配置表!AB:AB,0),0),0)</f>
        <v>2300</v>
      </c>
      <c r="AN314" s="153">
        <f ca="1" t="shared" si="53"/>
        <v>1011010</v>
      </c>
      <c r="AP314" s="153">
        <f ca="1">IF(AC314=0,0,IF(AC314=12,0,OFFSET(effect!$N$1,MATCH(K314,effect!M:M,0)-1,0)))</f>
        <v>0</v>
      </c>
    </row>
    <row r="315" spans="1:42">
      <c r="A315" s="153">
        <f ca="1" t="shared" si="44"/>
        <v>1011010</v>
      </c>
      <c r="B315" s="91" t="s">
        <v>363</v>
      </c>
      <c r="C315" s="186">
        <v>1</v>
      </c>
      <c r="D315" s="186">
        <v>6</v>
      </c>
      <c r="E315" s="165"/>
      <c r="F315" s="179" t="str">
        <f>buff!C50</f>
        <v>使下1招伤害增加88%</v>
      </c>
      <c r="G315" s="186">
        <f ca="1">OFFSET(卡牌辅助配置表!$C$1,MATCH(AC315,卡牌辅助配置表!A:A,0)-1,0)</f>
        <v>0</v>
      </c>
      <c r="H315" s="186" t="e">
        <f ca="1">skill!Q25</f>
        <v>#VALUE!</v>
      </c>
      <c r="I315" s="186"/>
      <c r="J315" s="186">
        <f ca="1">OFFSET(card_type!$F$1,MATCH(Q315,card_type!A:A,0)-1,0)</f>
        <v>2</v>
      </c>
      <c r="K315" s="243">
        <f ca="1">OFFSET(card_type!$G$1,MATCH(Q315,card_type!A:A,0)-1,0)</f>
        <v>1</v>
      </c>
      <c r="L315" s="157">
        <v>1</v>
      </c>
      <c r="M315" s="157">
        <v>1</v>
      </c>
      <c r="N315" s="153">
        <f t="shared" si="45"/>
        <v>10</v>
      </c>
      <c r="O315" s="157"/>
      <c r="P315" s="157"/>
      <c r="Q315" s="153">
        <f ca="1">OFFSET(card_type!$A$1,MATCH(card!B315,card_type!B:B,0)-1,0)</f>
        <v>1011</v>
      </c>
      <c r="R315" s="153">
        <v>0</v>
      </c>
      <c r="S315" s="157">
        <f ca="1">ROUND(IF(R315=0,0,IF(R315=1,X315*$S$1,IF(R315=2,X315*$S$1*buff的资质计算!$E$2,IF(R315=3,X315*$S$1*buff的资质计算!$E$3,0)))),0)*0</f>
        <v>0</v>
      </c>
      <c r="U315" s="153">
        <f ca="1" t="shared" si="46"/>
        <v>21</v>
      </c>
      <c r="V315" s="153">
        <f ca="1">ROUND((OFFSET(卡牌辅助配置表!$O$1,MATCH(U315,卡牌辅助配置表!M:M,0)-1,0)+(N315-1)*OFFSET(卡牌辅助配置表!$P$1,MATCH(U315,卡牌辅助配置表!M:M,0)-1,0))*M315,2)</f>
        <v>11.98</v>
      </c>
      <c r="W315" s="157">
        <f ca="1">ROUND(IF(R315=0,0,IF(R315=1,X315*$W$1,IF(R315=2,X315*$W$1*buff的资质计算!$E$2,IF(R315=3,X315*$W$1*buff的资质计算!$E$3,0)))),2)</f>
        <v>0</v>
      </c>
      <c r="X315" s="157">
        <f ca="1" t="shared" si="47"/>
        <v>14.5</v>
      </c>
      <c r="Y315" s="157" t="e">
        <f ca="1" t="shared" si="54"/>
        <v>#VALUE!</v>
      </c>
      <c r="Z315" s="304" t="e">
        <f ca="1" t="shared" si="49"/>
        <v>#VALUE!</v>
      </c>
      <c r="AA315" s="304">
        <f ca="1">OFFSET(卡牌辅助配置表!$AD$1,MATCH(AB315,卡牌辅助配置表!AB:AB,0)-1,0)</f>
        <v>420</v>
      </c>
      <c r="AB315" s="304">
        <f ca="1" t="shared" si="50"/>
        <v>2110</v>
      </c>
      <c r="AC315" s="153">
        <v>12</v>
      </c>
      <c r="AF315" s="153" t="str">
        <f ca="1" t="shared" si="55"/>
        <v>10110020|</v>
      </c>
      <c r="AG315" s="153">
        <f ca="1">skill!A25</f>
        <v>10110020</v>
      </c>
      <c r="AJ315" s="205" t="str">
        <f ca="1" t="shared" si="52"/>
        <v>400023|2700|;</v>
      </c>
      <c r="AK315" s="205">
        <f ca="1">OFFSET([1]item_type!$A$1,MATCH(Q315,[1]item_type!$G:$G,0)-1,0)</f>
        <v>301011</v>
      </c>
      <c r="AL315" s="205"/>
      <c r="AM315" s="205">
        <f ca="1">IF(B315=B316,OFFSET(卡牌辅助配置表!$AE$1,MATCH(AB315,卡牌辅助配置表!AB:AB,0),0),0)</f>
        <v>2700</v>
      </c>
      <c r="AN315" s="153">
        <f ca="1" t="shared" si="53"/>
        <v>1011011</v>
      </c>
      <c r="AP315" s="153">
        <f ca="1">IF(AC315=0,0,IF(AC315=12,0,OFFSET(effect!$N$1,MATCH(K315,effect!M:M,0)-1,0)))</f>
        <v>0</v>
      </c>
    </row>
    <row r="316" spans="1:42">
      <c r="A316" s="153">
        <f ca="1" t="shared" si="44"/>
        <v>1011011</v>
      </c>
      <c r="B316" s="91" t="s">
        <v>363</v>
      </c>
      <c r="C316" s="186">
        <v>1</v>
      </c>
      <c r="D316" s="186">
        <v>6</v>
      </c>
      <c r="E316" s="165"/>
      <c r="F316" s="179" t="str">
        <f>buff!C51</f>
        <v>使下1招伤害增加90%</v>
      </c>
      <c r="G316" s="186">
        <f ca="1">OFFSET(卡牌辅助配置表!$C$1,MATCH(AC316,卡牌辅助配置表!A:A,0)-1,0)</f>
        <v>0</v>
      </c>
      <c r="H316" s="186" t="e">
        <f ca="1">skill!Q26</f>
        <v>#VALUE!</v>
      </c>
      <c r="I316" s="186"/>
      <c r="J316" s="186">
        <f ca="1">OFFSET(card_type!$F$1,MATCH(Q316,card_type!A:A,0)-1,0)</f>
        <v>2</v>
      </c>
      <c r="K316" s="243">
        <f ca="1">OFFSET(card_type!$G$1,MATCH(Q316,card_type!A:A,0)-1,0)</f>
        <v>1</v>
      </c>
      <c r="L316" s="157">
        <v>1</v>
      </c>
      <c r="M316" s="157">
        <v>1</v>
      </c>
      <c r="N316" s="153">
        <f t="shared" si="45"/>
        <v>11</v>
      </c>
      <c r="O316" s="157"/>
      <c r="P316" s="157"/>
      <c r="Q316" s="153">
        <f ca="1">OFFSET(card_type!$A$1,MATCH(card!B316,card_type!B:B,0)-1,0)</f>
        <v>1011</v>
      </c>
      <c r="R316" s="153">
        <v>0</v>
      </c>
      <c r="S316" s="157">
        <f ca="1">ROUND(IF(R316=0,0,IF(R316=1,X316*$S$1,IF(R316=2,X316*$S$1*buff的资质计算!$E$2,IF(R316=3,X316*$S$1*buff的资质计算!$E$3,0)))),0)*0</f>
        <v>0</v>
      </c>
      <c r="U316" s="153">
        <f ca="1" t="shared" si="46"/>
        <v>21</v>
      </c>
      <c r="V316" s="153">
        <f ca="1">ROUND((OFFSET(卡牌辅助配置表!$O$1,MATCH(U316,卡牌辅助配置表!M:M,0)-1,0)+(N316-1)*OFFSET(卡牌辅助配置表!$P$1,MATCH(U316,卡牌辅助配置表!M:M,0)-1,0))*M316,2)</f>
        <v>12.54</v>
      </c>
      <c r="W316" s="157">
        <f ca="1">ROUND(IF(R316=0,0,IF(R316=1,X316*$W$1,IF(R316=2,X316*$W$1*buff的资质计算!$E$2,IF(R316=3,X316*$W$1*buff的资质计算!$E$3,0)))),2)</f>
        <v>0</v>
      </c>
      <c r="X316" s="157">
        <f ca="1" t="shared" si="47"/>
        <v>15</v>
      </c>
      <c r="Y316" s="157" t="e">
        <f ca="1" t="shared" si="54"/>
        <v>#VALUE!</v>
      </c>
      <c r="Z316" s="304" t="e">
        <f ca="1" t="shared" si="49"/>
        <v>#VALUE!</v>
      </c>
      <c r="AA316" s="304">
        <f ca="1">OFFSET(卡牌辅助配置表!$AD$1,MATCH(AB316,卡牌辅助配置表!AB:AB,0)-1,0)</f>
        <v>483</v>
      </c>
      <c r="AB316" s="304">
        <f ca="1" t="shared" si="50"/>
        <v>2111</v>
      </c>
      <c r="AC316" s="153">
        <v>12</v>
      </c>
      <c r="AF316" s="153" t="str">
        <f ca="1" t="shared" si="55"/>
        <v>10110021|</v>
      </c>
      <c r="AG316" s="153">
        <f ca="1">skill!A26</f>
        <v>10110021</v>
      </c>
      <c r="AJ316" s="205" t="str">
        <f ca="1" t="shared" si="52"/>
        <v>400023|3100|;</v>
      </c>
      <c r="AK316" s="205">
        <f ca="1">OFFSET([1]item_type!$A$1,MATCH(Q316,[1]item_type!$G:$G,0)-1,0)</f>
        <v>301011</v>
      </c>
      <c r="AL316" s="205"/>
      <c r="AM316" s="205">
        <f ca="1">IF(B316=B317,OFFSET(卡牌辅助配置表!$AE$1,MATCH(AB316,卡牌辅助配置表!AB:AB,0),0),0)</f>
        <v>3100</v>
      </c>
      <c r="AN316" s="153">
        <f ca="1" t="shared" si="53"/>
        <v>1011012</v>
      </c>
      <c r="AP316" s="153">
        <f ca="1">IF(AC316=0,0,IF(AC316=12,0,OFFSET(effect!$N$1,MATCH(K316,effect!M:M,0)-1,0)))</f>
        <v>0</v>
      </c>
    </row>
    <row r="317" spans="1:42">
      <c r="A317" s="153">
        <f ca="1" t="shared" si="44"/>
        <v>1011012</v>
      </c>
      <c r="B317" s="91" t="s">
        <v>363</v>
      </c>
      <c r="C317" s="186">
        <v>1</v>
      </c>
      <c r="D317" s="186">
        <v>6</v>
      </c>
      <c r="E317" s="165"/>
      <c r="F317" s="179" t="str">
        <f>buff!C52</f>
        <v>使下1招伤害增加92%</v>
      </c>
      <c r="G317" s="186">
        <f ca="1">OFFSET(卡牌辅助配置表!$C$1,MATCH(AC317,卡牌辅助配置表!A:A,0)-1,0)</f>
        <v>0</v>
      </c>
      <c r="H317" s="186" t="e">
        <f ca="1">skill!Q27</f>
        <v>#VALUE!</v>
      </c>
      <c r="I317" s="186"/>
      <c r="J317" s="186">
        <f ca="1">OFFSET(card_type!$F$1,MATCH(Q317,card_type!A:A,0)-1,0)</f>
        <v>2</v>
      </c>
      <c r="K317" s="243">
        <f ca="1">OFFSET(card_type!$G$1,MATCH(Q317,card_type!A:A,0)-1,0)</f>
        <v>1</v>
      </c>
      <c r="L317" s="157">
        <v>1</v>
      </c>
      <c r="M317" s="157">
        <v>1</v>
      </c>
      <c r="N317" s="153">
        <f t="shared" si="45"/>
        <v>12</v>
      </c>
      <c r="O317" s="157"/>
      <c r="P317" s="157"/>
      <c r="Q317" s="153">
        <f ca="1">OFFSET(card_type!$A$1,MATCH(card!B317,card_type!B:B,0)-1,0)</f>
        <v>1011</v>
      </c>
      <c r="R317" s="153">
        <v>0</v>
      </c>
      <c r="S317" s="157">
        <f ca="1">ROUND(IF(R317=0,0,IF(R317=1,X317*$S$1,IF(R317=2,X317*$S$1*buff的资质计算!$E$2,IF(R317=3,X317*$S$1*buff的资质计算!$E$3,0)))),0)*0</f>
        <v>0</v>
      </c>
      <c r="U317" s="153">
        <f ca="1" t="shared" si="46"/>
        <v>21</v>
      </c>
      <c r="V317" s="153">
        <f ca="1">ROUND((OFFSET(卡牌辅助配置表!$O$1,MATCH(U317,卡牌辅助配置表!M:M,0)-1,0)+(N317-1)*OFFSET(卡牌辅助配置表!$P$1,MATCH(U317,卡牌辅助配置表!M:M,0)-1,0))*M317,2)</f>
        <v>13.1</v>
      </c>
      <c r="W317" s="157">
        <f ca="1">ROUND(IF(R317=0,0,IF(R317=1,X317*$W$1,IF(R317=2,X317*$W$1*buff的资质计算!$E$2,IF(R317=3,X317*$W$1*buff的资质计算!$E$3,0)))),2)</f>
        <v>0</v>
      </c>
      <c r="X317" s="157">
        <f ca="1" t="shared" si="47"/>
        <v>15.5</v>
      </c>
      <c r="Y317" s="157" t="e">
        <f ca="1" t="shared" si="54"/>
        <v>#VALUE!</v>
      </c>
      <c r="Z317" s="304" t="e">
        <f ca="1" t="shared" si="49"/>
        <v>#VALUE!</v>
      </c>
      <c r="AA317" s="304">
        <f ca="1">OFFSET(卡牌辅助配置表!$AD$1,MATCH(AB317,卡牌辅助配置表!AB:AB,0)-1,0)</f>
        <v>546</v>
      </c>
      <c r="AB317" s="304">
        <f ca="1" t="shared" si="50"/>
        <v>2112</v>
      </c>
      <c r="AC317" s="153">
        <v>12</v>
      </c>
      <c r="AF317" s="153" t="str">
        <f ca="1" t="shared" si="55"/>
        <v>10110022|</v>
      </c>
      <c r="AG317" s="153">
        <f ca="1">skill!A27</f>
        <v>10110022</v>
      </c>
      <c r="AJ317" s="205" t="str">
        <f ca="1" t="shared" si="52"/>
        <v>400023|3500|;</v>
      </c>
      <c r="AK317" s="205">
        <f ca="1">OFFSET([1]item_type!$A$1,MATCH(Q317,[1]item_type!$G:$G,0)-1,0)</f>
        <v>301011</v>
      </c>
      <c r="AL317" s="205"/>
      <c r="AM317" s="205">
        <f ca="1">IF(B317=B318,OFFSET(卡牌辅助配置表!$AE$1,MATCH(AB317,卡牌辅助配置表!AB:AB,0),0),0)</f>
        <v>3500</v>
      </c>
      <c r="AN317" s="153">
        <f ca="1" t="shared" si="53"/>
        <v>1011013</v>
      </c>
      <c r="AP317" s="153">
        <f ca="1">IF(AC317=0,0,IF(AC317=12,0,OFFSET(effect!$N$1,MATCH(K317,effect!M:M,0)-1,0)))</f>
        <v>0</v>
      </c>
    </row>
    <row r="318" spans="1:42">
      <c r="A318" s="153">
        <f ca="1" t="shared" si="44"/>
        <v>1011013</v>
      </c>
      <c r="B318" s="91" t="s">
        <v>363</v>
      </c>
      <c r="C318" s="186">
        <v>1</v>
      </c>
      <c r="D318" s="186">
        <v>6</v>
      </c>
      <c r="E318" s="165"/>
      <c r="F318" s="179" t="str">
        <f>buff!C53</f>
        <v>使下1招伤害增加94%</v>
      </c>
      <c r="G318" s="186">
        <f ca="1">OFFSET(卡牌辅助配置表!$C$1,MATCH(AC318,卡牌辅助配置表!A:A,0)-1,0)</f>
        <v>0</v>
      </c>
      <c r="H318" s="186" t="e">
        <f ca="1">skill!Q28</f>
        <v>#VALUE!</v>
      </c>
      <c r="I318" s="186"/>
      <c r="J318" s="186">
        <f ca="1">OFFSET(card_type!$F$1,MATCH(Q318,card_type!A:A,0)-1,0)</f>
        <v>2</v>
      </c>
      <c r="K318" s="243">
        <f ca="1">OFFSET(card_type!$G$1,MATCH(Q318,card_type!A:A,0)-1,0)</f>
        <v>1</v>
      </c>
      <c r="L318" s="157">
        <v>1</v>
      </c>
      <c r="M318" s="157">
        <v>1</v>
      </c>
      <c r="N318" s="153">
        <f t="shared" si="45"/>
        <v>13</v>
      </c>
      <c r="O318" s="157"/>
      <c r="P318" s="157"/>
      <c r="Q318" s="153">
        <f ca="1">OFFSET(card_type!$A$1,MATCH(card!B318,card_type!B:B,0)-1,0)</f>
        <v>1011</v>
      </c>
      <c r="R318" s="153">
        <v>0</v>
      </c>
      <c r="S318" s="157">
        <f ca="1">ROUND(IF(R318=0,0,IF(R318=1,X318*$S$1,IF(R318=2,X318*$S$1*buff的资质计算!$E$2,IF(R318=3,X318*$S$1*buff的资质计算!$E$3,0)))),0)*0</f>
        <v>0</v>
      </c>
      <c r="U318" s="153">
        <f ca="1" t="shared" si="46"/>
        <v>21</v>
      </c>
      <c r="V318" s="153">
        <f ca="1">ROUND((OFFSET(卡牌辅助配置表!$O$1,MATCH(U318,卡牌辅助配置表!M:M,0)-1,0)+(N318-1)*OFFSET(卡牌辅助配置表!$P$1,MATCH(U318,卡牌辅助配置表!M:M,0)-1,0))*M318,2)</f>
        <v>13.66</v>
      </c>
      <c r="W318" s="157">
        <f ca="1">ROUND(IF(R318=0,0,IF(R318=1,X318*$W$1,IF(R318=2,X318*$W$1*buff的资质计算!$E$2,IF(R318=3,X318*$W$1*buff的资质计算!$E$3,0)))),2)</f>
        <v>0</v>
      </c>
      <c r="X318" s="157">
        <f ca="1" t="shared" si="47"/>
        <v>16</v>
      </c>
      <c r="Y318" s="157" t="e">
        <f ca="1" t="shared" si="54"/>
        <v>#VALUE!</v>
      </c>
      <c r="Z318" s="304" t="e">
        <f ca="1" t="shared" si="49"/>
        <v>#VALUE!</v>
      </c>
      <c r="AA318" s="304">
        <f ca="1">OFFSET(卡牌辅助配置表!$AD$1,MATCH(AB318,卡牌辅助配置表!AB:AB,0)-1,0)</f>
        <v>609</v>
      </c>
      <c r="AB318" s="304">
        <f ca="1" t="shared" si="50"/>
        <v>2113</v>
      </c>
      <c r="AC318" s="153">
        <v>12</v>
      </c>
      <c r="AF318" s="153" t="str">
        <f ca="1" t="shared" si="55"/>
        <v>10110023|</v>
      </c>
      <c r="AG318" s="153">
        <f ca="1">skill!A28</f>
        <v>10110023</v>
      </c>
      <c r="AJ318" s="205" t="str">
        <f ca="1" t="shared" si="52"/>
        <v>400023|3900|;</v>
      </c>
      <c r="AK318" s="205">
        <f ca="1">OFFSET([1]item_type!$A$1,MATCH(Q318,[1]item_type!$G:$G,0)-1,0)</f>
        <v>301011</v>
      </c>
      <c r="AL318" s="205"/>
      <c r="AM318" s="205">
        <f ca="1">IF(B318=B319,OFFSET(卡牌辅助配置表!$AE$1,MATCH(AB318,卡牌辅助配置表!AB:AB,0),0),0)</f>
        <v>3900</v>
      </c>
      <c r="AN318" s="153">
        <f ca="1" t="shared" si="53"/>
        <v>1011014</v>
      </c>
      <c r="AP318" s="153">
        <f ca="1">IF(AC318=0,0,IF(AC318=12,0,OFFSET(effect!$N$1,MATCH(K318,effect!M:M,0)-1,0)))</f>
        <v>0</v>
      </c>
    </row>
    <row r="319" spans="1:42">
      <c r="A319" s="153">
        <f ca="1" t="shared" si="44"/>
        <v>1011014</v>
      </c>
      <c r="B319" s="91" t="s">
        <v>363</v>
      </c>
      <c r="C319" s="186">
        <v>1</v>
      </c>
      <c r="D319" s="186">
        <v>6</v>
      </c>
      <c r="E319" s="165"/>
      <c r="F319" s="179" t="str">
        <f>buff!C54</f>
        <v>使下1招伤害增加96%</v>
      </c>
      <c r="G319" s="186">
        <f ca="1">OFFSET(卡牌辅助配置表!$C$1,MATCH(AC319,卡牌辅助配置表!A:A,0)-1,0)</f>
        <v>0</v>
      </c>
      <c r="H319" s="186" t="e">
        <f ca="1">skill!Q29</f>
        <v>#VALUE!</v>
      </c>
      <c r="I319" s="186"/>
      <c r="J319" s="186">
        <f ca="1">OFFSET(card_type!$F$1,MATCH(Q319,card_type!A:A,0)-1,0)</f>
        <v>2</v>
      </c>
      <c r="K319" s="243">
        <f ca="1">OFFSET(card_type!$G$1,MATCH(Q319,card_type!A:A,0)-1,0)</f>
        <v>1</v>
      </c>
      <c r="L319" s="157">
        <v>1</v>
      </c>
      <c r="M319" s="157">
        <v>1</v>
      </c>
      <c r="N319" s="153">
        <f t="shared" si="45"/>
        <v>14</v>
      </c>
      <c r="O319" s="157"/>
      <c r="P319" s="157"/>
      <c r="Q319" s="153">
        <f ca="1">OFFSET(card_type!$A$1,MATCH(card!B319,card_type!B:B,0)-1,0)</f>
        <v>1011</v>
      </c>
      <c r="R319" s="153">
        <v>0</v>
      </c>
      <c r="S319" s="157">
        <f ca="1">ROUND(IF(R319=0,0,IF(R319=1,X319*$S$1,IF(R319=2,X319*$S$1*buff的资质计算!$E$2,IF(R319=3,X319*$S$1*buff的资质计算!$E$3,0)))),0)*0</f>
        <v>0</v>
      </c>
      <c r="U319" s="153">
        <f ca="1" t="shared" si="46"/>
        <v>21</v>
      </c>
      <c r="V319" s="153">
        <f ca="1">ROUND((OFFSET(卡牌辅助配置表!$O$1,MATCH(U319,卡牌辅助配置表!M:M,0)-1,0)+(N319-1)*OFFSET(卡牌辅助配置表!$P$1,MATCH(U319,卡牌辅助配置表!M:M,0)-1,0))*M319,2)</f>
        <v>14.22</v>
      </c>
      <c r="W319" s="157">
        <f ca="1">ROUND(IF(R319=0,0,IF(R319=1,X319*$W$1,IF(R319=2,X319*$W$1*buff的资质计算!$E$2,IF(R319=3,X319*$W$1*buff的资质计算!$E$3,0)))),2)</f>
        <v>0</v>
      </c>
      <c r="X319" s="157">
        <f ca="1" t="shared" si="47"/>
        <v>16.5</v>
      </c>
      <c r="Y319" s="157" t="e">
        <f ca="1" t="shared" si="54"/>
        <v>#VALUE!</v>
      </c>
      <c r="Z319" s="304" t="e">
        <f ca="1" t="shared" si="49"/>
        <v>#VALUE!</v>
      </c>
      <c r="AA319" s="304">
        <f ca="1">OFFSET(卡牌辅助配置表!$AD$1,MATCH(AB319,卡牌辅助配置表!AB:AB,0)-1,0)</f>
        <v>672</v>
      </c>
      <c r="AB319" s="304">
        <f ca="1" t="shared" si="50"/>
        <v>2114</v>
      </c>
      <c r="AC319" s="153">
        <v>12</v>
      </c>
      <c r="AF319" s="153" t="str">
        <f ca="1" t="shared" si="55"/>
        <v>10110024|</v>
      </c>
      <c r="AG319" s="153">
        <f ca="1">skill!A29</f>
        <v>10110024</v>
      </c>
      <c r="AJ319" s="205" t="str">
        <f ca="1" t="shared" si="52"/>
        <v>400023|4300|;</v>
      </c>
      <c r="AK319" s="205">
        <f ca="1">OFFSET([1]item_type!$A$1,MATCH(Q319,[1]item_type!$G:$G,0)-1,0)</f>
        <v>301011</v>
      </c>
      <c r="AL319" s="205"/>
      <c r="AM319" s="205">
        <f ca="1">IF(B319=B320,OFFSET(卡牌辅助配置表!$AE$1,MATCH(AB319,卡牌辅助配置表!AB:AB,0),0),0)</f>
        <v>4300</v>
      </c>
      <c r="AN319" s="153">
        <f ca="1" t="shared" si="53"/>
        <v>1011015</v>
      </c>
      <c r="AP319" s="153">
        <f ca="1">IF(AC319=0,0,IF(AC319=12,0,OFFSET(effect!$N$1,MATCH(K319,effect!M:M,0)-1,0)))</f>
        <v>0</v>
      </c>
    </row>
    <row r="320" spans="1:42">
      <c r="A320" s="153">
        <f ca="1" t="shared" si="44"/>
        <v>1011015</v>
      </c>
      <c r="B320" s="91" t="s">
        <v>363</v>
      </c>
      <c r="C320" s="186">
        <v>1</v>
      </c>
      <c r="D320" s="186">
        <v>6</v>
      </c>
      <c r="E320" s="165"/>
      <c r="F320" s="179" t="str">
        <f>buff!C55</f>
        <v>使下1招伤害增加98%</v>
      </c>
      <c r="G320" s="186">
        <f ca="1">OFFSET(卡牌辅助配置表!$C$1,MATCH(AC320,卡牌辅助配置表!A:A,0)-1,0)</f>
        <v>0</v>
      </c>
      <c r="H320" s="186" t="e">
        <f ca="1">skill!Q30</f>
        <v>#VALUE!</v>
      </c>
      <c r="I320" s="186"/>
      <c r="J320" s="186">
        <f ca="1">OFFSET(card_type!$F$1,MATCH(Q320,card_type!A:A,0)-1,0)</f>
        <v>2</v>
      </c>
      <c r="K320" s="243">
        <f ca="1">OFFSET(card_type!$G$1,MATCH(Q320,card_type!A:A,0)-1,0)</f>
        <v>1</v>
      </c>
      <c r="L320" s="157">
        <v>1</v>
      </c>
      <c r="M320" s="157">
        <v>1</v>
      </c>
      <c r="N320" s="153">
        <f t="shared" si="45"/>
        <v>15</v>
      </c>
      <c r="O320" s="157"/>
      <c r="P320" s="157"/>
      <c r="Q320" s="153">
        <f ca="1">OFFSET(card_type!$A$1,MATCH(card!B320,card_type!B:B,0)-1,0)</f>
        <v>1011</v>
      </c>
      <c r="R320" s="153">
        <v>0</v>
      </c>
      <c r="S320" s="157">
        <f ca="1">ROUND(IF(R320=0,0,IF(R320=1,X320*$S$1,IF(R320=2,X320*$S$1*buff的资质计算!$E$2,IF(R320=3,X320*$S$1*buff的资质计算!$E$3,0)))),0)*0</f>
        <v>0</v>
      </c>
      <c r="U320" s="153">
        <f ca="1" t="shared" si="46"/>
        <v>21</v>
      </c>
      <c r="V320" s="153">
        <f ca="1">ROUND((OFFSET(卡牌辅助配置表!$O$1,MATCH(U320,卡牌辅助配置表!M:M,0)-1,0)+(N320-1)*OFFSET(卡牌辅助配置表!$P$1,MATCH(U320,卡牌辅助配置表!M:M,0)-1,0))*M320,2)</f>
        <v>14.78</v>
      </c>
      <c r="W320" s="157">
        <f ca="1">ROUND(IF(R320=0,0,IF(R320=1,X320*$W$1,IF(R320=2,X320*$W$1*buff的资质计算!$E$2,IF(R320=3,X320*$W$1*buff的资质计算!$E$3,0)))),2)</f>
        <v>0</v>
      </c>
      <c r="X320" s="157">
        <f ca="1" t="shared" si="47"/>
        <v>17</v>
      </c>
      <c r="Y320" s="157" t="e">
        <f ca="1" t="shared" si="54"/>
        <v>#VALUE!</v>
      </c>
      <c r="Z320" s="304" t="e">
        <f ca="1" t="shared" si="49"/>
        <v>#VALUE!</v>
      </c>
      <c r="AA320" s="304">
        <f ca="1">OFFSET(卡牌辅助配置表!$AD$1,MATCH(AB320,卡牌辅助配置表!AB:AB,0)-1,0)</f>
        <v>735</v>
      </c>
      <c r="AB320" s="304">
        <f ca="1" t="shared" si="50"/>
        <v>2115</v>
      </c>
      <c r="AC320" s="153">
        <v>12</v>
      </c>
      <c r="AF320" s="153" t="str">
        <f ca="1" t="shared" si="55"/>
        <v>10110025|</v>
      </c>
      <c r="AG320" s="153">
        <f ca="1">skill!A30</f>
        <v>10110025</v>
      </c>
      <c r="AJ320" s="205" t="str">
        <f ca="1" t="shared" si="52"/>
        <v>400023|4700|;</v>
      </c>
      <c r="AK320" s="205">
        <f ca="1">OFFSET([1]item_type!$A$1,MATCH(Q320,[1]item_type!$G:$G,0)-1,0)</f>
        <v>301011</v>
      </c>
      <c r="AL320" s="205"/>
      <c r="AM320" s="205">
        <f ca="1">IF(B320=B321,OFFSET(卡牌辅助配置表!$AE$1,MATCH(AB320,卡牌辅助配置表!AB:AB,0),0),0)</f>
        <v>4700</v>
      </c>
      <c r="AN320" s="153">
        <f ca="1" t="shared" si="53"/>
        <v>1011016</v>
      </c>
      <c r="AP320" s="153">
        <f ca="1">IF(AC320=0,0,IF(AC320=12,0,OFFSET(effect!$N$1,MATCH(K320,effect!M:M,0)-1,0)))</f>
        <v>0</v>
      </c>
    </row>
    <row r="321" spans="1:42">
      <c r="A321" s="153">
        <f ca="1" t="shared" si="44"/>
        <v>1011016</v>
      </c>
      <c r="B321" s="91" t="s">
        <v>363</v>
      </c>
      <c r="C321" s="186">
        <v>1</v>
      </c>
      <c r="D321" s="186">
        <v>6</v>
      </c>
      <c r="E321" s="165"/>
      <c r="F321" s="179" t="str">
        <f>buff!C56</f>
        <v>使下1招伤害增加100%</v>
      </c>
      <c r="G321" s="186">
        <f ca="1">OFFSET(卡牌辅助配置表!$C$1,MATCH(AC321,卡牌辅助配置表!A:A,0)-1,0)</f>
        <v>0</v>
      </c>
      <c r="H321" s="186" t="e">
        <f ca="1">skill!Q31</f>
        <v>#VALUE!</v>
      </c>
      <c r="I321" s="186"/>
      <c r="J321" s="186">
        <f ca="1">OFFSET(card_type!$F$1,MATCH(Q321,card_type!A:A,0)-1,0)</f>
        <v>2</v>
      </c>
      <c r="K321" s="243">
        <f ca="1">OFFSET(card_type!$G$1,MATCH(Q321,card_type!A:A,0)-1,0)</f>
        <v>1</v>
      </c>
      <c r="L321" s="157">
        <v>1</v>
      </c>
      <c r="M321" s="157">
        <v>1</v>
      </c>
      <c r="N321" s="153">
        <f t="shared" si="45"/>
        <v>16</v>
      </c>
      <c r="O321" s="157"/>
      <c r="P321" s="157"/>
      <c r="Q321" s="153">
        <f ca="1">OFFSET(card_type!$A$1,MATCH(card!B321,card_type!B:B,0)-1,0)</f>
        <v>1011</v>
      </c>
      <c r="R321" s="153">
        <v>0</v>
      </c>
      <c r="S321" s="157">
        <f ca="1">ROUND(IF(R321=0,0,IF(R321=1,X321*$S$1,IF(R321=2,X321*$S$1*buff的资质计算!$E$2,IF(R321=3,X321*$S$1*buff的资质计算!$E$3,0)))),0)*0</f>
        <v>0</v>
      </c>
      <c r="U321" s="153">
        <f ca="1" t="shared" si="46"/>
        <v>21</v>
      </c>
      <c r="V321" s="153">
        <f ca="1">ROUND((OFFSET(卡牌辅助配置表!$O$1,MATCH(U321,卡牌辅助配置表!M:M,0)-1,0)+(N321-1)*OFFSET(卡牌辅助配置表!$P$1,MATCH(U321,卡牌辅助配置表!M:M,0)-1,0))*M321,2)</f>
        <v>15.35</v>
      </c>
      <c r="W321" s="157">
        <f ca="1">ROUND(IF(R321=0,0,IF(R321=1,X321*$W$1,IF(R321=2,X321*$W$1*buff的资质计算!$E$2,IF(R321=3,X321*$W$1*buff的资质计算!$E$3,0)))),2)</f>
        <v>0</v>
      </c>
      <c r="X321" s="157">
        <f ca="1" t="shared" si="47"/>
        <v>17.5</v>
      </c>
      <c r="Y321" s="157" t="e">
        <f ca="1" t="shared" si="54"/>
        <v>#VALUE!</v>
      </c>
      <c r="Z321" s="304" t="e">
        <f ca="1" t="shared" si="49"/>
        <v>#VALUE!</v>
      </c>
      <c r="AA321" s="304">
        <f ca="1">OFFSET(卡牌辅助配置表!$AD$1,MATCH(AB321,卡牌辅助配置表!AB:AB,0)-1,0)</f>
        <v>798</v>
      </c>
      <c r="AB321" s="304">
        <f ca="1" t="shared" si="50"/>
        <v>2116</v>
      </c>
      <c r="AC321" s="153">
        <v>12</v>
      </c>
      <c r="AF321" s="153" t="str">
        <f ca="1" t="shared" si="55"/>
        <v>10110026|</v>
      </c>
      <c r="AG321" s="153">
        <f ca="1">skill!A31</f>
        <v>10110026</v>
      </c>
      <c r="AJ321" s="205" t="str">
        <f ca="1" t="shared" si="52"/>
        <v>400023|5100|;</v>
      </c>
      <c r="AK321" s="205">
        <f ca="1">OFFSET([1]item_type!$A$1,MATCH(Q321,[1]item_type!$G:$G,0)-1,0)</f>
        <v>301011</v>
      </c>
      <c r="AL321" s="205"/>
      <c r="AM321" s="205">
        <f ca="1">IF(B321=B322,OFFSET(卡牌辅助配置表!$AE$1,MATCH(AB321,卡牌辅助配置表!AB:AB,0),0),0)</f>
        <v>5100</v>
      </c>
      <c r="AN321" s="153">
        <f ca="1" t="shared" si="53"/>
        <v>1011017</v>
      </c>
      <c r="AP321" s="153">
        <f ca="1">IF(AC321=0,0,IF(AC321=12,0,OFFSET(effect!$N$1,MATCH(K321,effect!M:M,0)-1,0)))</f>
        <v>0</v>
      </c>
    </row>
    <row r="322" spans="1:42">
      <c r="A322" s="153">
        <f ca="1" t="shared" si="44"/>
        <v>1011017</v>
      </c>
      <c r="B322" s="91" t="s">
        <v>363</v>
      </c>
      <c r="C322" s="186">
        <v>1</v>
      </c>
      <c r="D322" s="186">
        <v>6</v>
      </c>
      <c r="E322" s="165"/>
      <c r="F322" s="179" t="str">
        <f>buff!C57</f>
        <v>使下1招伤害增加102%</v>
      </c>
      <c r="G322" s="186">
        <f ca="1">OFFSET(卡牌辅助配置表!$C$1,MATCH(AC322,卡牌辅助配置表!A:A,0)-1,0)</f>
        <v>0</v>
      </c>
      <c r="H322" s="186" t="e">
        <f ca="1">skill!Q32</f>
        <v>#VALUE!</v>
      </c>
      <c r="I322" s="186"/>
      <c r="J322" s="186">
        <f ca="1">OFFSET(card_type!$F$1,MATCH(Q322,card_type!A:A,0)-1,0)</f>
        <v>2</v>
      </c>
      <c r="K322" s="243">
        <f ca="1">OFFSET(card_type!$G$1,MATCH(Q322,card_type!A:A,0)-1,0)</f>
        <v>1</v>
      </c>
      <c r="L322" s="157">
        <v>1</v>
      </c>
      <c r="M322" s="157">
        <v>1</v>
      </c>
      <c r="N322" s="153">
        <f t="shared" si="45"/>
        <v>17</v>
      </c>
      <c r="O322" s="157"/>
      <c r="P322" s="157"/>
      <c r="Q322" s="153">
        <f ca="1">OFFSET(card_type!$A$1,MATCH(card!B322,card_type!B:B,0)-1,0)</f>
        <v>1011</v>
      </c>
      <c r="R322" s="153">
        <v>0</v>
      </c>
      <c r="S322" s="157">
        <f ca="1">ROUND(IF(R322=0,0,IF(R322=1,X322*$S$1,IF(R322=2,X322*$S$1*buff的资质计算!$E$2,IF(R322=3,X322*$S$1*buff的资质计算!$E$3,0)))),0)*0</f>
        <v>0</v>
      </c>
      <c r="U322" s="153">
        <f ca="1" t="shared" si="46"/>
        <v>21</v>
      </c>
      <c r="V322" s="153">
        <f ca="1">ROUND((OFFSET(卡牌辅助配置表!$O$1,MATCH(U322,卡牌辅助配置表!M:M,0)-1,0)+(N322-1)*OFFSET(卡牌辅助配置表!$P$1,MATCH(U322,卡牌辅助配置表!M:M,0)-1,0))*M322,2)</f>
        <v>15.91</v>
      </c>
      <c r="W322" s="157">
        <f ca="1">ROUND(IF(R322=0,0,IF(R322=1,X322*$W$1,IF(R322=2,X322*$W$1*buff的资质计算!$E$2,IF(R322=3,X322*$W$1*buff的资质计算!$E$3,0)))),2)</f>
        <v>0</v>
      </c>
      <c r="X322" s="157">
        <f ca="1" t="shared" si="47"/>
        <v>18</v>
      </c>
      <c r="Y322" s="157" t="e">
        <f ca="1" t="shared" si="54"/>
        <v>#VALUE!</v>
      </c>
      <c r="Z322" s="304" t="e">
        <f ca="1" t="shared" si="49"/>
        <v>#VALUE!</v>
      </c>
      <c r="AA322" s="304">
        <f ca="1">OFFSET(卡牌辅助配置表!$AD$1,MATCH(AB322,卡牌辅助配置表!AB:AB,0)-1,0)</f>
        <v>861</v>
      </c>
      <c r="AB322" s="304">
        <f ca="1" t="shared" si="50"/>
        <v>2117</v>
      </c>
      <c r="AC322" s="153">
        <v>12</v>
      </c>
      <c r="AF322" s="153" t="str">
        <f ca="1" t="shared" si="55"/>
        <v>10110027|</v>
      </c>
      <c r="AG322" s="153">
        <f ca="1">skill!A32</f>
        <v>10110027</v>
      </c>
      <c r="AJ322" s="205" t="str">
        <f ca="1" t="shared" si="52"/>
        <v>400023|5500|;</v>
      </c>
      <c r="AK322" s="205">
        <f ca="1">OFFSET([1]item_type!$A$1,MATCH(Q322,[1]item_type!$G:$G,0)-1,0)</f>
        <v>301011</v>
      </c>
      <c r="AL322" s="205"/>
      <c r="AM322" s="205">
        <f ca="1">IF(B322=B323,OFFSET(卡牌辅助配置表!$AE$1,MATCH(AB322,卡牌辅助配置表!AB:AB,0),0),0)</f>
        <v>5500</v>
      </c>
      <c r="AN322" s="153">
        <f ca="1" t="shared" si="53"/>
        <v>1011018</v>
      </c>
      <c r="AP322" s="153">
        <f ca="1">IF(AC322=0,0,IF(AC322=12,0,OFFSET(effect!$N$1,MATCH(K322,effect!M:M,0)-1,0)))</f>
        <v>0</v>
      </c>
    </row>
    <row r="323" spans="1:42">
      <c r="A323" s="153">
        <f ca="1" t="shared" si="44"/>
        <v>1011018</v>
      </c>
      <c r="B323" s="91" t="s">
        <v>363</v>
      </c>
      <c r="C323" s="186">
        <v>1</v>
      </c>
      <c r="D323" s="186">
        <v>6</v>
      </c>
      <c r="E323" s="165"/>
      <c r="F323" s="179" t="str">
        <f>buff!C58</f>
        <v>使下1招伤害增加104%</v>
      </c>
      <c r="G323" s="186">
        <f ca="1">OFFSET(卡牌辅助配置表!$C$1,MATCH(AC323,卡牌辅助配置表!A:A,0)-1,0)</f>
        <v>0</v>
      </c>
      <c r="H323" s="186" t="e">
        <f ca="1">skill!Q33</f>
        <v>#VALUE!</v>
      </c>
      <c r="I323" s="186"/>
      <c r="J323" s="186">
        <f ca="1">OFFSET(card_type!$F$1,MATCH(Q323,card_type!A:A,0)-1,0)</f>
        <v>2</v>
      </c>
      <c r="K323" s="243">
        <f ca="1">OFFSET(card_type!$G$1,MATCH(Q323,card_type!A:A,0)-1,0)</f>
        <v>1</v>
      </c>
      <c r="L323" s="157">
        <v>1</v>
      </c>
      <c r="M323" s="157">
        <v>1</v>
      </c>
      <c r="N323" s="153">
        <f t="shared" si="45"/>
        <v>18</v>
      </c>
      <c r="O323" s="157"/>
      <c r="P323" s="157"/>
      <c r="Q323" s="153">
        <f ca="1">OFFSET(card_type!$A$1,MATCH(card!B323,card_type!B:B,0)-1,0)</f>
        <v>1011</v>
      </c>
      <c r="R323" s="153">
        <v>0</v>
      </c>
      <c r="S323" s="157">
        <f ca="1">ROUND(IF(R323=0,0,IF(R323=1,X323*$S$1,IF(R323=2,X323*$S$1*buff的资质计算!$E$2,IF(R323=3,X323*$S$1*buff的资质计算!$E$3,0)))),0)*0</f>
        <v>0</v>
      </c>
      <c r="U323" s="153">
        <f ca="1" t="shared" si="46"/>
        <v>21</v>
      </c>
      <c r="V323" s="153">
        <f ca="1">ROUND((OFFSET(卡牌辅助配置表!$O$1,MATCH(U323,卡牌辅助配置表!M:M,0)-1,0)+(N323-1)*OFFSET(卡牌辅助配置表!$P$1,MATCH(U323,卡牌辅助配置表!M:M,0)-1,0))*M323,2)</f>
        <v>16.47</v>
      </c>
      <c r="W323" s="157">
        <f ca="1">ROUND(IF(R323=0,0,IF(R323=1,X323*$W$1,IF(R323=2,X323*$W$1*buff的资质计算!$E$2,IF(R323=3,X323*$W$1*buff的资质计算!$E$3,0)))),2)</f>
        <v>0</v>
      </c>
      <c r="X323" s="157">
        <f ca="1" t="shared" si="47"/>
        <v>18.5</v>
      </c>
      <c r="Y323" s="157" t="e">
        <f ca="1" t="shared" si="54"/>
        <v>#VALUE!</v>
      </c>
      <c r="Z323" s="304" t="e">
        <f ca="1" t="shared" si="49"/>
        <v>#VALUE!</v>
      </c>
      <c r="AA323" s="304">
        <f ca="1">OFFSET(卡牌辅助配置表!$AD$1,MATCH(AB323,卡牌辅助配置表!AB:AB,0)-1,0)</f>
        <v>924</v>
      </c>
      <c r="AB323" s="304">
        <f ca="1" t="shared" si="50"/>
        <v>2118</v>
      </c>
      <c r="AC323" s="153">
        <v>12</v>
      </c>
      <c r="AF323" s="153" t="str">
        <f ca="1" t="shared" si="55"/>
        <v>10110028|</v>
      </c>
      <c r="AG323" s="153">
        <f ca="1">skill!A33</f>
        <v>10110028</v>
      </c>
      <c r="AJ323" s="205" t="str">
        <f ca="1" t="shared" si="52"/>
        <v>400023|5900|;</v>
      </c>
      <c r="AK323" s="205">
        <f ca="1">OFFSET([1]item_type!$A$1,MATCH(Q323,[1]item_type!$G:$G,0)-1,0)</f>
        <v>301011</v>
      </c>
      <c r="AL323" s="205"/>
      <c r="AM323" s="205">
        <f ca="1">IF(B323=B324,OFFSET(卡牌辅助配置表!$AE$1,MATCH(AB323,卡牌辅助配置表!AB:AB,0),0),0)</f>
        <v>5900</v>
      </c>
      <c r="AN323" s="153">
        <f ca="1" t="shared" si="53"/>
        <v>1011019</v>
      </c>
      <c r="AP323" s="153">
        <f ca="1">IF(AC323=0,0,IF(AC323=12,0,OFFSET(effect!$N$1,MATCH(K323,effect!M:M,0)-1,0)))</f>
        <v>0</v>
      </c>
    </row>
    <row r="324" spans="1:42">
      <c r="A324" s="153">
        <f ca="1" t="shared" si="44"/>
        <v>1011019</v>
      </c>
      <c r="B324" s="91" t="s">
        <v>363</v>
      </c>
      <c r="C324" s="186">
        <v>1</v>
      </c>
      <c r="D324" s="186">
        <v>6</v>
      </c>
      <c r="E324" s="165"/>
      <c r="F324" s="179" t="str">
        <f>buff!C59</f>
        <v>使下1招伤害增加106%</v>
      </c>
      <c r="G324" s="186">
        <f ca="1">OFFSET(卡牌辅助配置表!$C$1,MATCH(AC324,卡牌辅助配置表!A:A,0)-1,0)</f>
        <v>0</v>
      </c>
      <c r="H324" s="186" t="e">
        <f ca="1">skill!Q34</f>
        <v>#VALUE!</v>
      </c>
      <c r="I324" s="186"/>
      <c r="J324" s="186">
        <f ca="1">OFFSET(card_type!$F$1,MATCH(Q324,card_type!A:A,0)-1,0)</f>
        <v>2</v>
      </c>
      <c r="K324" s="243">
        <f ca="1">OFFSET(card_type!$G$1,MATCH(Q324,card_type!A:A,0)-1,0)</f>
        <v>1</v>
      </c>
      <c r="L324" s="157">
        <v>1</v>
      </c>
      <c r="M324" s="157">
        <v>1</v>
      </c>
      <c r="N324" s="153">
        <f t="shared" si="45"/>
        <v>19</v>
      </c>
      <c r="O324" s="157"/>
      <c r="P324" s="157"/>
      <c r="Q324" s="153">
        <f ca="1">OFFSET(card_type!$A$1,MATCH(card!B324,card_type!B:B,0)-1,0)</f>
        <v>1011</v>
      </c>
      <c r="R324" s="153">
        <v>0</v>
      </c>
      <c r="S324" s="157">
        <f ca="1">ROUND(IF(R324=0,0,IF(R324=1,X324*$S$1,IF(R324=2,X324*$S$1*buff的资质计算!$E$2,IF(R324=3,X324*$S$1*buff的资质计算!$E$3,0)))),0)*0</f>
        <v>0</v>
      </c>
      <c r="U324" s="153">
        <f ca="1" t="shared" si="46"/>
        <v>21</v>
      </c>
      <c r="V324" s="153">
        <f ca="1">ROUND((OFFSET(卡牌辅助配置表!$O$1,MATCH(U324,卡牌辅助配置表!M:M,0)-1,0)+(N324-1)*OFFSET(卡牌辅助配置表!$P$1,MATCH(U324,卡牌辅助配置表!M:M,0)-1,0))*M324,2)</f>
        <v>17.03</v>
      </c>
      <c r="W324" s="157">
        <f ca="1">ROUND(IF(R324=0,0,IF(R324=1,X324*$W$1,IF(R324=2,X324*$W$1*buff的资质计算!$E$2,IF(R324=3,X324*$W$1*buff的资质计算!$E$3,0)))),2)</f>
        <v>0</v>
      </c>
      <c r="X324" s="157">
        <f ca="1" t="shared" si="47"/>
        <v>19</v>
      </c>
      <c r="Y324" s="157" t="e">
        <f ca="1" t="shared" si="54"/>
        <v>#VALUE!</v>
      </c>
      <c r="Z324" s="304" t="e">
        <f ca="1" t="shared" si="49"/>
        <v>#VALUE!</v>
      </c>
      <c r="AA324" s="304">
        <f ca="1">OFFSET(卡牌辅助配置表!$AD$1,MATCH(AB324,卡牌辅助配置表!AB:AB,0)-1,0)</f>
        <v>987</v>
      </c>
      <c r="AB324" s="304">
        <f ca="1" t="shared" si="50"/>
        <v>2119</v>
      </c>
      <c r="AC324" s="153">
        <v>12</v>
      </c>
      <c r="AF324" s="153" t="str">
        <f ca="1" t="shared" si="55"/>
        <v>10110029|</v>
      </c>
      <c r="AG324" s="153">
        <f ca="1">skill!A34</f>
        <v>10110029</v>
      </c>
      <c r="AJ324" s="205" t="str">
        <f ca="1" t="shared" si="52"/>
        <v>301011|20|;400023|6300|;</v>
      </c>
      <c r="AK324" s="205">
        <f ca="1">OFFSET([1]item_type!$A$1,MATCH(Q324,[1]item_type!$G:$G,0)-1,0)</f>
        <v>301011</v>
      </c>
      <c r="AL324" s="205">
        <v>20</v>
      </c>
      <c r="AM324" s="205">
        <f ca="1">IF(B324=B325,OFFSET(卡牌辅助配置表!$AE$1,MATCH(AB324,卡牌辅助配置表!AB:AB,0),0),0)</f>
        <v>6300</v>
      </c>
      <c r="AN324" s="153">
        <f ca="1" t="shared" si="53"/>
        <v>1011020</v>
      </c>
      <c r="AP324" s="153">
        <f ca="1">IF(AC324=0,0,IF(AC324=12,0,OFFSET(effect!$N$1,MATCH(K324,effect!M:M,0)-1,0)))</f>
        <v>0</v>
      </c>
    </row>
    <row r="325" spans="1:42">
      <c r="A325" s="153">
        <f ca="1" t="shared" si="44"/>
        <v>1011020</v>
      </c>
      <c r="B325" s="91" t="s">
        <v>363</v>
      </c>
      <c r="C325" s="186">
        <v>1</v>
      </c>
      <c r="D325" s="186">
        <v>6</v>
      </c>
      <c r="E325" s="165"/>
      <c r="F325" s="179" t="str">
        <f>buff!C60</f>
        <v>使下1招伤害增加108%</v>
      </c>
      <c r="G325" s="186">
        <f ca="1">OFFSET(卡牌辅助配置表!$C$1,MATCH(AC325,卡牌辅助配置表!A:A,0)-1,0)</f>
        <v>0</v>
      </c>
      <c r="H325" s="186" t="e">
        <f ca="1">skill!Q35</f>
        <v>#VALUE!</v>
      </c>
      <c r="I325" s="186"/>
      <c r="J325" s="186">
        <f ca="1">OFFSET(card_type!$F$1,MATCH(Q325,card_type!A:A,0)-1,0)</f>
        <v>2</v>
      </c>
      <c r="K325" s="243">
        <f ca="1">OFFSET(card_type!$G$1,MATCH(Q325,card_type!A:A,0)-1,0)</f>
        <v>1</v>
      </c>
      <c r="L325" s="157">
        <v>1</v>
      </c>
      <c r="M325" s="157">
        <v>1</v>
      </c>
      <c r="N325" s="153">
        <f t="shared" si="45"/>
        <v>20</v>
      </c>
      <c r="O325" s="157"/>
      <c r="P325" s="157"/>
      <c r="Q325" s="153">
        <f ca="1">OFFSET(card_type!$A$1,MATCH(card!B325,card_type!B:B,0)-1,0)</f>
        <v>1011</v>
      </c>
      <c r="R325" s="153">
        <v>0</v>
      </c>
      <c r="S325" s="157">
        <f ca="1">ROUND(IF(R325=0,0,IF(R325=1,X325*$S$1,IF(R325=2,X325*$S$1*buff的资质计算!$E$2,IF(R325=3,X325*$S$1*buff的资质计算!$E$3,0)))),0)*0</f>
        <v>0</v>
      </c>
      <c r="U325" s="153">
        <f ca="1" t="shared" si="46"/>
        <v>21</v>
      </c>
      <c r="V325" s="153">
        <f ca="1">ROUND((OFFSET(卡牌辅助配置表!$O$1,MATCH(U325,卡牌辅助配置表!M:M,0)-1,0)+(N325-1)*OFFSET(卡牌辅助配置表!$P$1,MATCH(U325,卡牌辅助配置表!M:M,0)-1,0))*M325,2)</f>
        <v>17.59</v>
      </c>
      <c r="W325" s="157">
        <f ca="1">ROUND(IF(R325=0,0,IF(R325=1,X325*$W$1,IF(R325=2,X325*$W$1*buff的资质计算!$E$2,IF(R325=3,X325*$W$1*buff的资质计算!$E$3,0)))),2)</f>
        <v>0</v>
      </c>
      <c r="X325" s="157">
        <f ca="1" t="shared" si="47"/>
        <v>19.5</v>
      </c>
      <c r="Y325" s="157" t="e">
        <f ca="1" t="shared" si="54"/>
        <v>#VALUE!</v>
      </c>
      <c r="Z325" s="304" t="e">
        <f ca="1" t="shared" si="49"/>
        <v>#VALUE!</v>
      </c>
      <c r="AA325" s="304">
        <f ca="1">OFFSET(卡牌辅助配置表!$AD$1,MATCH(AB325,卡牌辅助配置表!AB:AB,0)-1,0)</f>
        <v>1050</v>
      </c>
      <c r="AB325" s="304">
        <f ca="1" t="shared" si="50"/>
        <v>2120</v>
      </c>
      <c r="AC325" s="153">
        <v>12</v>
      </c>
      <c r="AF325" s="153" t="str">
        <f ca="1" t="shared" si="55"/>
        <v>10110030|</v>
      </c>
      <c r="AG325" s="153">
        <f ca="1">skill!A35</f>
        <v>10110030</v>
      </c>
      <c r="AJ325" s="205" t="str">
        <f ca="1" t="shared" si="52"/>
        <v>400023|7100|;</v>
      </c>
      <c r="AK325" s="205">
        <f ca="1">OFFSET([1]item_type!$A$1,MATCH(Q325,[1]item_type!$G:$G,0)-1,0)</f>
        <v>301011</v>
      </c>
      <c r="AL325" s="205"/>
      <c r="AM325" s="205">
        <f ca="1">IF(B325=B326,OFFSET(卡牌辅助配置表!$AE$1,MATCH(AB325,卡牌辅助配置表!AB:AB,0),0),0)</f>
        <v>7100</v>
      </c>
      <c r="AN325" s="153">
        <f ca="1" t="shared" si="53"/>
        <v>1011021</v>
      </c>
      <c r="AP325" s="153">
        <f ca="1">IF(AC325=0,0,IF(AC325=12,0,OFFSET(effect!$N$1,MATCH(K325,effect!M:M,0)-1,0)))</f>
        <v>0</v>
      </c>
    </row>
    <row r="326" spans="1:42">
      <c r="A326" s="153">
        <f ca="1" t="shared" ref="A326:A389" si="56">Q326*1000+N326</f>
        <v>1011021</v>
      </c>
      <c r="B326" s="91" t="s">
        <v>363</v>
      </c>
      <c r="C326" s="186">
        <v>1</v>
      </c>
      <c r="D326" s="186">
        <v>6</v>
      </c>
      <c r="E326" s="165"/>
      <c r="F326" s="179" t="str">
        <f>buff!C61</f>
        <v>使下1招伤害增加110%</v>
      </c>
      <c r="G326" s="186">
        <f ca="1">OFFSET(卡牌辅助配置表!$C$1,MATCH(AC326,卡牌辅助配置表!A:A,0)-1,0)</f>
        <v>0</v>
      </c>
      <c r="H326" s="186" t="e">
        <f ca="1">skill!Q36</f>
        <v>#VALUE!</v>
      </c>
      <c r="I326" s="186"/>
      <c r="J326" s="186">
        <f ca="1">OFFSET(card_type!$F$1,MATCH(Q326,card_type!A:A,0)-1,0)</f>
        <v>2</v>
      </c>
      <c r="K326" s="243">
        <f ca="1">OFFSET(card_type!$G$1,MATCH(Q326,card_type!A:A,0)-1,0)</f>
        <v>1</v>
      </c>
      <c r="L326" s="157">
        <v>1</v>
      </c>
      <c r="M326" s="157">
        <v>1</v>
      </c>
      <c r="N326" s="153">
        <f t="shared" ref="N326:N389" si="57">IF(B325=B326,N325+1,1)</f>
        <v>21</v>
      </c>
      <c r="O326" s="157"/>
      <c r="P326" s="157"/>
      <c r="Q326" s="153">
        <f ca="1">OFFSET(card_type!$A$1,MATCH(card!B326,card_type!B:B,0)-1,0)</f>
        <v>1011</v>
      </c>
      <c r="R326" s="153">
        <v>0</v>
      </c>
      <c r="S326" s="157">
        <f ca="1">ROUND(IF(R326=0,0,IF(R326=1,X326*$S$1,IF(R326=2,X326*$S$1*buff的资质计算!$E$2,IF(R326=3,X326*$S$1*buff的资质计算!$E$3,0)))),0)*0</f>
        <v>0</v>
      </c>
      <c r="U326" s="153">
        <f ca="1" t="shared" ref="U326:U389" si="58">J326*10+K326</f>
        <v>21</v>
      </c>
      <c r="V326" s="153">
        <f ca="1">ROUND((OFFSET(卡牌辅助配置表!$O$1,MATCH(U326,卡牌辅助配置表!M:M,0)-1,0)+(N326-1)*OFFSET(卡牌辅助配置表!$P$1,MATCH(U326,卡牌辅助配置表!M:M,0)-1,0))*M326,2)</f>
        <v>18.15</v>
      </c>
      <c r="W326" s="157">
        <f ca="1">ROUND(IF(R326=0,0,IF(R326=1,X326*$W$1,IF(R326=2,X326*$W$1*buff的资质计算!$E$2,IF(R326=3,X326*$W$1*buff的资质计算!$E$3,0)))),2)</f>
        <v>0</v>
      </c>
      <c r="X326" s="157">
        <f ca="1" t="shared" ref="X326:X389" si="59">M326*($M$1+(J326-1)*$J$1+(K326-1)*$K$1)+G326+$J$1*(N326-1)/$N$1</f>
        <v>20</v>
      </c>
      <c r="Y326" s="157" t="e">
        <f ca="1" t="shared" si="54"/>
        <v>#VALUE!</v>
      </c>
      <c r="Z326" s="304" t="e">
        <f ca="1" t="shared" ref="Z326:Z389" si="60">Y326/M326</f>
        <v>#VALUE!</v>
      </c>
      <c r="AA326" s="304">
        <f ca="1">OFFSET(卡牌辅助配置表!$AD$1,MATCH(AB326,卡牌辅助配置表!AB:AB,0)-1,0)</f>
        <v>1135</v>
      </c>
      <c r="AB326" s="304">
        <f ca="1" t="shared" ref="AB326:AB389" si="61">J326*1000+K326*100+N326</f>
        <v>2121</v>
      </c>
      <c r="AC326" s="153">
        <v>12</v>
      </c>
      <c r="AF326" s="153" t="str">
        <f ca="1" t="shared" si="55"/>
        <v>10110031|</v>
      </c>
      <c r="AG326" s="153">
        <f ca="1">skill!A36</f>
        <v>10110031</v>
      </c>
      <c r="AJ326" s="205" t="str">
        <f ca="1" t="shared" ref="AJ326:AJ389" si="62">IF(AN326=0,0,IF(AL326=0,$AM$1&amp;$AF$1&amp;AM326&amp;$AF$1&amp;$AJ$1,AK326&amp;$AF$1&amp;AL326&amp;$AF$1&amp;$AJ$1&amp;$AM$1&amp;$AF$1&amp;AM326&amp;$AF$1&amp;$AJ$1))</f>
        <v>400023|7900|;</v>
      </c>
      <c r="AK326" s="205">
        <f ca="1">OFFSET([1]item_type!$A$1,MATCH(Q326,[1]item_type!$G:$G,0)-1,0)</f>
        <v>301011</v>
      </c>
      <c r="AL326" s="205"/>
      <c r="AM326" s="205">
        <f ca="1">IF(B326=B327,OFFSET(卡牌辅助配置表!$AE$1,MATCH(AB326,卡牌辅助配置表!AB:AB,0),0),0)</f>
        <v>7900</v>
      </c>
      <c r="AN326" s="153">
        <f ca="1" t="shared" ref="AN326:AN389" si="63">IF(B326=B327,A326+1,0)</f>
        <v>1011022</v>
      </c>
      <c r="AP326" s="153">
        <f ca="1">IF(AC326=0,0,IF(AC326=12,0,OFFSET(effect!$N$1,MATCH(K326,effect!M:M,0)-1,0)))</f>
        <v>0</v>
      </c>
    </row>
    <row r="327" spans="1:42">
      <c r="A327" s="153">
        <f ca="1" t="shared" si="56"/>
        <v>1011022</v>
      </c>
      <c r="B327" s="91" t="s">
        <v>363</v>
      </c>
      <c r="C327" s="186">
        <v>1</v>
      </c>
      <c r="D327" s="186">
        <v>6</v>
      </c>
      <c r="E327" s="165"/>
      <c r="F327" s="179" t="str">
        <f>buff!C62</f>
        <v>使下1招伤害增加112%</v>
      </c>
      <c r="G327" s="186">
        <f ca="1">OFFSET(卡牌辅助配置表!$C$1,MATCH(AC327,卡牌辅助配置表!A:A,0)-1,0)</f>
        <v>0</v>
      </c>
      <c r="H327" s="186" t="e">
        <f ca="1">skill!Q37</f>
        <v>#VALUE!</v>
      </c>
      <c r="I327" s="186"/>
      <c r="J327" s="186">
        <f ca="1">OFFSET(card_type!$F$1,MATCH(Q327,card_type!A:A,0)-1,0)</f>
        <v>2</v>
      </c>
      <c r="K327" s="243">
        <f ca="1">OFFSET(card_type!$G$1,MATCH(Q327,card_type!A:A,0)-1,0)</f>
        <v>1</v>
      </c>
      <c r="L327" s="157">
        <v>1</v>
      </c>
      <c r="M327" s="157">
        <v>1</v>
      </c>
      <c r="N327" s="153">
        <f t="shared" si="57"/>
        <v>22</v>
      </c>
      <c r="O327" s="157"/>
      <c r="P327" s="157"/>
      <c r="Q327" s="153">
        <f ca="1">OFFSET(card_type!$A$1,MATCH(card!B327,card_type!B:B,0)-1,0)</f>
        <v>1011</v>
      </c>
      <c r="R327" s="153">
        <v>0</v>
      </c>
      <c r="S327" s="157">
        <f ca="1">ROUND(IF(R327=0,0,IF(R327=1,X327*$S$1,IF(R327=2,X327*$S$1*buff的资质计算!$E$2,IF(R327=3,X327*$S$1*buff的资质计算!$E$3,0)))),0)*0</f>
        <v>0</v>
      </c>
      <c r="U327" s="153">
        <f ca="1" t="shared" si="58"/>
        <v>21</v>
      </c>
      <c r="V327" s="153">
        <f ca="1">ROUND((OFFSET(卡牌辅助配置表!$O$1,MATCH(U327,卡牌辅助配置表!M:M,0)-1,0)+(N327-1)*OFFSET(卡牌辅助配置表!$P$1,MATCH(U327,卡牌辅助配置表!M:M,0)-1,0))*M327,2)</f>
        <v>18.71</v>
      </c>
      <c r="W327" s="157">
        <f ca="1">ROUND(IF(R327=0,0,IF(R327=1,X327*$W$1,IF(R327=2,X327*$W$1*buff的资质计算!$E$2,IF(R327=3,X327*$W$1*buff的资质计算!$E$3,0)))),2)</f>
        <v>0</v>
      </c>
      <c r="X327" s="157">
        <f ca="1" t="shared" si="59"/>
        <v>20.5</v>
      </c>
      <c r="Y327" s="157" t="e">
        <f ca="1" t="shared" si="54"/>
        <v>#VALUE!</v>
      </c>
      <c r="Z327" s="304" t="e">
        <f ca="1" t="shared" si="60"/>
        <v>#VALUE!</v>
      </c>
      <c r="AA327" s="304">
        <f ca="1">OFFSET(卡牌辅助配置表!$AD$1,MATCH(AB327,卡牌辅助配置表!AB:AB,0)-1,0)</f>
        <v>1220</v>
      </c>
      <c r="AB327" s="304">
        <f ca="1" t="shared" si="61"/>
        <v>2122</v>
      </c>
      <c r="AC327" s="153">
        <v>12</v>
      </c>
      <c r="AF327" s="153" t="str">
        <f ca="1" t="shared" si="55"/>
        <v>10110032|</v>
      </c>
      <c r="AG327" s="153">
        <f ca="1">skill!A37</f>
        <v>10110032</v>
      </c>
      <c r="AJ327" s="205" t="str">
        <f ca="1" t="shared" si="62"/>
        <v>400023|8700|;</v>
      </c>
      <c r="AK327" s="205">
        <f ca="1">OFFSET([1]item_type!$A$1,MATCH(Q327,[1]item_type!$G:$G,0)-1,0)</f>
        <v>301011</v>
      </c>
      <c r="AL327" s="205"/>
      <c r="AM327" s="205">
        <f ca="1">IF(B327=B328,OFFSET(卡牌辅助配置表!$AE$1,MATCH(AB327,卡牌辅助配置表!AB:AB,0),0),0)</f>
        <v>8700</v>
      </c>
      <c r="AN327" s="153">
        <f ca="1" t="shared" si="63"/>
        <v>1011023</v>
      </c>
      <c r="AP327" s="153">
        <f ca="1">IF(AC327=0,0,IF(AC327=12,0,OFFSET(effect!$N$1,MATCH(K327,effect!M:M,0)-1,0)))</f>
        <v>0</v>
      </c>
    </row>
    <row r="328" spans="1:42">
      <c r="A328" s="153">
        <f ca="1" t="shared" si="56"/>
        <v>1011023</v>
      </c>
      <c r="B328" s="91" t="s">
        <v>363</v>
      </c>
      <c r="C328" s="186">
        <v>1</v>
      </c>
      <c r="D328" s="186">
        <v>6</v>
      </c>
      <c r="E328" s="165"/>
      <c r="F328" s="179" t="str">
        <f>buff!C63</f>
        <v>使下1招伤害增加114%</v>
      </c>
      <c r="G328" s="186">
        <f ca="1">OFFSET(卡牌辅助配置表!$C$1,MATCH(AC328,卡牌辅助配置表!A:A,0)-1,0)</f>
        <v>0</v>
      </c>
      <c r="H328" s="186" t="e">
        <f ca="1">skill!Q38</f>
        <v>#VALUE!</v>
      </c>
      <c r="I328" s="186"/>
      <c r="J328" s="186">
        <f ca="1">OFFSET(card_type!$F$1,MATCH(Q328,card_type!A:A,0)-1,0)</f>
        <v>2</v>
      </c>
      <c r="K328" s="243">
        <f ca="1">OFFSET(card_type!$G$1,MATCH(Q328,card_type!A:A,0)-1,0)</f>
        <v>1</v>
      </c>
      <c r="L328" s="157">
        <v>1</v>
      </c>
      <c r="M328" s="157">
        <v>1</v>
      </c>
      <c r="N328" s="153">
        <f t="shared" si="57"/>
        <v>23</v>
      </c>
      <c r="O328" s="157"/>
      <c r="P328" s="157"/>
      <c r="Q328" s="153">
        <f ca="1">OFFSET(card_type!$A$1,MATCH(card!B328,card_type!B:B,0)-1,0)</f>
        <v>1011</v>
      </c>
      <c r="R328" s="153">
        <v>0</v>
      </c>
      <c r="S328" s="157">
        <f ca="1">ROUND(IF(R328=0,0,IF(R328=1,X328*$S$1,IF(R328=2,X328*$S$1*buff的资质计算!$E$2,IF(R328=3,X328*$S$1*buff的资质计算!$E$3,0)))),0)*0</f>
        <v>0</v>
      </c>
      <c r="U328" s="153">
        <f ca="1" t="shared" si="58"/>
        <v>21</v>
      </c>
      <c r="V328" s="153">
        <f ca="1">ROUND((OFFSET(卡牌辅助配置表!$O$1,MATCH(U328,卡牌辅助配置表!M:M,0)-1,0)+(N328-1)*OFFSET(卡牌辅助配置表!$P$1,MATCH(U328,卡牌辅助配置表!M:M,0)-1,0))*M328,2)</f>
        <v>19.27</v>
      </c>
      <c r="W328" s="157">
        <f ca="1">ROUND(IF(R328=0,0,IF(R328=1,X328*$W$1,IF(R328=2,X328*$W$1*buff的资质计算!$E$2,IF(R328=3,X328*$W$1*buff的资质计算!$E$3,0)))),2)</f>
        <v>0</v>
      </c>
      <c r="X328" s="157">
        <f ca="1" t="shared" si="59"/>
        <v>21</v>
      </c>
      <c r="Y328" s="157" t="e">
        <f ca="1" t="shared" si="54"/>
        <v>#VALUE!</v>
      </c>
      <c r="Z328" s="304" t="e">
        <f ca="1" t="shared" si="60"/>
        <v>#VALUE!</v>
      </c>
      <c r="AA328" s="304">
        <f ca="1">OFFSET(卡牌辅助配置表!$AD$1,MATCH(AB328,卡牌辅助配置表!AB:AB,0)-1,0)</f>
        <v>1305</v>
      </c>
      <c r="AB328" s="304">
        <f ca="1" t="shared" si="61"/>
        <v>2123</v>
      </c>
      <c r="AC328" s="153">
        <v>12</v>
      </c>
      <c r="AF328" s="153" t="str">
        <f ca="1" t="shared" si="55"/>
        <v>10110033|</v>
      </c>
      <c r="AG328" s="153">
        <f ca="1">skill!A38</f>
        <v>10110033</v>
      </c>
      <c r="AJ328" s="205" t="str">
        <f ca="1" t="shared" si="62"/>
        <v>400023|9500|;</v>
      </c>
      <c r="AK328" s="205">
        <f ca="1">OFFSET([1]item_type!$A$1,MATCH(Q328,[1]item_type!$G:$G,0)-1,0)</f>
        <v>301011</v>
      </c>
      <c r="AL328" s="205"/>
      <c r="AM328" s="205">
        <f ca="1">IF(B328=B329,OFFSET(卡牌辅助配置表!$AE$1,MATCH(AB328,卡牌辅助配置表!AB:AB,0),0),0)</f>
        <v>9500</v>
      </c>
      <c r="AN328" s="153">
        <f ca="1" t="shared" si="63"/>
        <v>1011024</v>
      </c>
      <c r="AP328" s="153">
        <f ca="1">IF(AC328=0,0,IF(AC328=12,0,OFFSET(effect!$N$1,MATCH(K328,effect!M:M,0)-1,0)))</f>
        <v>0</v>
      </c>
    </row>
    <row r="329" spans="1:42">
      <c r="A329" s="153">
        <f ca="1" t="shared" si="56"/>
        <v>1011024</v>
      </c>
      <c r="B329" s="91" t="s">
        <v>363</v>
      </c>
      <c r="C329" s="186">
        <v>1</v>
      </c>
      <c r="D329" s="186">
        <v>6</v>
      </c>
      <c r="E329" s="165"/>
      <c r="F329" s="179" t="str">
        <f>buff!C64</f>
        <v>使下1招伤害增加116%</v>
      </c>
      <c r="G329" s="186">
        <f ca="1">OFFSET(卡牌辅助配置表!$C$1,MATCH(AC329,卡牌辅助配置表!A:A,0)-1,0)</f>
        <v>0</v>
      </c>
      <c r="H329" s="186" t="e">
        <f ca="1">skill!Q39</f>
        <v>#VALUE!</v>
      </c>
      <c r="I329" s="186"/>
      <c r="J329" s="186">
        <f ca="1">OFFSET(card_type!$F$1,MATCH(Q329,card_type!A:A,0)-1,0)</f>
        <v>2</v>
      </c>
      <c r="K329" s="243">
        <f ca="1">OFFSET(card_type!$G$1,MATCH(Q329,card_type!A:A,0)-1,0)</f>
        <v>1</v>
      </c>
      <c r="L329" s="157">
        <v>1</v>
      </c>
      <c r="M329" s="157">
        <v>1</v>
      </c>
      <c r="N329" s="153">
        <f t="shared" si="57"/>
        <v>24</v>
      </c>
      <c r="O329" s="157"/>
      <c r="P329" s="157"/>
      <c r="Q329" s="153">
        <f ca="1">OFFSET(card_type!$A$1,MATCH(card!B329,card_type!B:B,0)-1,0)</f>
        <v>1011</v>
      </c>
      <c r="R329" s="153">
        <v>0</v>
      </c>
      <c r="S329" s="157">
        <f ca="1">ROUND(IF(R329=0,0,IF(R329=1,X329*$S$1,IF(R329=2,X329*$S$1*buff的资质计算!$E$2,IF(R329=3,X329*$S$1*buff的资质计算!$E$3,0)))),0)*0</f>
        <v>0</v>
      </c>
      <c r="U329" s="153">
        <f ca="1" t="shared" si="58"/>
        <v>21</v>
      </c>
      <c r="V329" s="153">
        <f ca="1">ROUND((OFFSET(卡牌辅助配置表!$O$1,MATCH(U329,卡牌辅助配置表!M:M,0)-1,0)+(N329-1)*OFFSET(卡牌辅助配置表!$P$1,MATCH(U329,卡牌辅助配置表!M:M,0)-1,0))*M329,2)</f>
        <v>19.83</v>
      </c>
      <c r="W329" s="157">
        <f ca="1">ROUND(IF(R329=0,0,IF(R329=1,X329*$W$1,IF(R329=2,X329*$W$1*buff的资质计算!$E$2,IF(R329=3,X329*$W$1*buff的资质计算!$E$3,0)))),2)</f>
        <v>0</v>
      </c>
      <c r="X329" s="157">
        <f ca="1" t="shared" si="59"/>
        <v>21.5</v>
      </c>
      <c r="Y329" s="157" t="e">
        <f ca="1" t="shared" si="54"/>
        <v>#VALUE!</v>
      </c>
      <c r="Z329" s="304" t="e">
        <f ca="1" t="shared" si="60"/>
        <v>#VALUE!</v>
      </c>
      <c r="AA329" s="304">
        <f ca="1">OFFSET(卡牌辅助配置表!$AD$1,MATCH(AB329,卡牌辅助配置表!AB:AB,0)-1,0)</f>
        <v>1390</v>
      </c>
      <c r="AB329" s="304">
        <f ca="1" t="shared" si="61"/>
        <v>2124</v>
      </c>
      <c r="AC329" s="153">
        <v>12</v>
      </c>
      <c r="AF329" s="153" t="str">
        <f ca="1" t="shared" si="55"/>
        <v>10110034|</v>
      </c>
      <c r="AG329" s="153">
        <f ca="1">skill!A39</f>
        <v>10110034</v>
      </c>
      <c r="AJ329" s="205" t="str">
        <f ca="1" t="shared" si="62"/>
        <v>400023|10300|;</v>
      </c>
      <c r="AK329" s="205">
        <f ca="1">OFFSET([1]item_type!$A$1,MATCH(Q329,[1]item_type!$G:$G,0)-1,0)</f>
        <v>301011</v>
      </c>
      <c r="AL329" s="205"/>
      <c r="AM329" s="205">
        <f ca="1">IF(B329=B330,OFFSET(卡牌辅助配置表!$AE$1,MATCH(AB329,卡牌辅助配置表!AB:AB,0),0),0)</f>
        <v>10300</v>
      </c>
      <c r="AN329" s="153">
        <f ca="1" t="shared" si="63"/>
        <v>1011025</v>
      </c>
      <c r="AP329" s="153">
        <f ca="1">IF(AC329=0,0,IF(AC329=12,0,OFFSET(effect!$N$1,MATCH(K329,effect!M:M,0)-1,0)))</f>
        <v>0</v>
      </c>
    </row>
    <row r="330" spans="1:42">
      <c r="A330" s="153">
        <f ca="1" t="shared" si="56"/>
        <v>1011025</v>
      </c>
      <c r="B330" s="91" t="s">
        <v>363</v>
      </c>
      <c r="C330" s="186">
        <v>1</v>
      </c>
      <c r="D330" s="186">
        <v>6</v>
      </c>
      <c r="E330" s="165"/>
      <c r="F330" s="179" t="str">
        <f>buff!C65</f>
        <v>使下1招伤害增加118%</v>
      </c>
      <c r="G330" s="186">
        <f ca="1">OFFSET(卡牌辅助配置表!$C$1,MATCH(AC330,卡牌辅助配置表!A:A,0)-1,0)</f>
        <v>0</v>
      </c>
      <c r="H330" s="186" t="e">
        <f ca="1">skill!Q40</f>
        <v>#VALUE!</v>
      </c>
      <c r="I330" s="186"/>
      <c r="J330" s="186">
        <f ca="1">OFFSET(card_type!$F$1,MATCH(Q330,card_type!A:A,0)-1,0)</f>
        <v>2</v>
      </c>
      <c r="K330" s="243">
        <f ca="1">OFFSET(card_type!$G$1,MATCH(Q330,card_type!A:A,0)-1,0)</f>
        <v>1</v>
      </c>
      <c r="L330" s="157">
        <v>1</v>
      </c>
      <c r="M330" s="157">
        <v>1</v>
      </c>
      <c r="N330" s="153">
        <f t="shared" si="57"/>
        <v>25</v>
      </c>
      <c r="O330" s="157"/>
      <c r="P330" s="157"/>
      <c r="Q330" s="153">
        <f ca="1">OFFSET(card_type!$A$1,MATCH(card!B330,card_type!B:B,0)-1,0)</f>
        <v>1011</v>
      </c>
      <c r="R330" s="153">
        <v>0</v>
      </c>
      <c r="S330" s="157">
        <f ca="1">ROUND(IF(R330=0,0,IF(R330=1,X330*$S$1,IF(R330=2,X330*$S$1*buff的资质计算!$E$2,IF(R330=3,X330*$S$1*buff的资质计算!$E$3,0)))),0)*0</f>
        <v>0</v>
      </c>
      <c r="U330" s="153">
        <f ca="1" t="shared" si="58"/>
        <v>21</v>
      </c>
      <c r="V330" s="153">
        <f ca="1">ROUND((OFFSET(卡牌辅助配置表!$O$1,MATCH(U330,卡牌辅助配置表!M:M,0)-1,0)+(N330-1)*OFFSET(卡牌辅助配置表!$P$1,MATCH(U330,卡牌辅助配置表!M:M,0)-1,0))*M330,2)</f>
        <v>20.39</v>
      </c>
      <c r="W330" s="157">
        <f ca="1">ROUND(IF(R330=0,0,IF(R330=1,X330*$W$1,IF(R330=2,X330*$W$1*buff的资质计算!$E$2,IF(R330=3,X330*$W$1*buff的资质计算!$E$3,0)))),2)</f>
        <v>0</v>
      </c>
      <c r="X330" s="157">
        <f ca="1" t="shared" si="59"/>
        <v>22</v>
      </c>
      <c r="Y330" s="157" t="e">
        <f ca="1" t="shared" si="54"/>
        <v>#VALUE!</v>
      </c>
      <c r="Z330" s="304" t="e">
        <f ca="1" t="shared" si="60"/>
        <v>#VALUE!</v>
      </c>
      <c r="AA330" s="304">
        <f ca="1">OFFSET(卡牌辅助配置表!$AD$1,MATCH(AB330,卡牌辅助配置表!AB:AB,0)-1,0)</f>
        <v>1475</v>
      </c>
      <c r="AB330" s="304">
        <f ca="1" t="shared" si="61"/>
        <v>2125</v>
      </c>
      <c r="AC330" s="153">
        <v>12</v>
      </c>
      <c r="AF330" s="153" t="str">
        <f ca="1" t="shared" si="55"/>
        <v>10110035|</v>
      </c>
      <c r="AG330" s="153">
        <f ca="1">skill!A40</f>
        <v>10110035</v>
      </c>
      <c r="AJ330" s="205" t="str">
        <f ca="1" t="shared" si="62"/>
        <v>400023|11100|;</v>
      </c>
      <c r="AK330" s="205">
        <f ca="1">OFFSET([1]item_type!$A$1,MATCH(Q330,[1]item_type!$G:$G,0)-1,0)</f>
        <v>301011</v>
      </c>
      <c r="AL330" s="205"/>
      <c r="AM330" s="205">
        <f ca="1">IF(B330=B331,OFFSET(卡牌辅助配置表!$AE$1,MATCH(AB330,卡牌辅助配置表!AB:AB,0),0),0)</f>
        <v>11100</v>
      </c>
      <c r="AN330" s="153">
        <f ca="1" t="shared" si="63"/>
        <v>1011026</v>
      </c>
      <c r="AP330" s="153">
        <f ca="1">IF(AC330=0,0,IF(AC330=12,0,OFFSET(effect!$N$1,MATCH(K330,effect!M:M,0)-1,0)))</f>
        <v>0</v>
      </c>
    </row>
    <row r="331" spans="1:42">
      <c r="A331" s="153">
        <f ca="1" t="shared" si="56"/>
        <v>1011026</v>
      </c>
      <c r="B331" s="91" t="s">
        <v>363</v>
      </c>
      <c r="C331" s="186">
        <v>1</v>
      </c>
      <c r="D331" s="186">
        <v>6</v>
      </c>
      <c r="E331" s="165"/>
      <c r="F331" s="179" t="str">
        <f>buff!C66</f>
        <v>使下1招伤害增加120%</v>
      </c>
      <c r="G331" s="186">
        <f ca="1">OFFSET(卡牌辅助配置表!$C$1,MATCH(AC331,卡牌辅助配置表!A:A,0)-1,0)</f>
        <v>0</v>
      </c>
      <c r="H331" s="186" t="e">
        <f ca="1">skill!Q41</f>
        <v>#VALUE!</v>
      </c>
      <c r="I331" s="186"/>
      <c r="J331" s="186">
        <f ca="1">OFFSET(card_type!$F$1,MATCH(Q331,card_type!A:A,0)-1,0)</f>
        <v>2</v>
      </c>
      <c r="K331" s="243">
        <f ca="1">OFFSET(card_type!$G$1,MATCH(Q331,card_type!A:A,0)-1,0)</f>
        <v>1</v>
      </c>
      <c r="L331" s="157">
        <v>1</v>
      </c>
      <c r="M331" s="157">
        <v>1</v>
      </c>
      <c r="N331" s="153">
        <f t="shared" si="57"/>
        <v>26</v>
      </c>
      <c r="O331" s="157"/>
      <c r="P331" s="157"/>
      <c r="Q331" s="153">
        <f ca="1">OFFSET(card_type!$A$1,MATCH(card!B331,card_type!B:B,0)-1,0)</f>
        <v>1011</v>
      </c>
      <c r="R331" s="153">
        <v>0</v>
      </c>
      <c r="S331" s="157">
        <f ca="1">ROUND(IF(R331=0,0,IF(R331=1,X331*$S$1,IF(R331=2,X331*$S$1*buff的资质计算!$E$2,IF(R331=3,X331*$S$1*buff的资质计算!$E$3,0)))),0)*0</f>
        <v>0</v>
      </c>
      <c r="U331" s="153">
        <f ca="1" t="shared" si="58"/>
        <v>21</v>
      </c>
      <c r="V331" s="153">
        <f ca="1">ROUND((OFFSET(卡牌辅助配置表!$O$1,MATCH(U331,卡牌辅助配置表!M:M,0)-1,0)+(N331-1)*OFFSET(卡牌辅助配置表!$P$1,MATCH(U331,卡牌辅助配置表!M:M,0)-1,0))*M331,2)</f>
        <v>20.96</v>
      </c>
      <c r="W331" s="157">
        <f ca="1">ROUND(IF(R331=0,0,IF(R331=1,X331*$W$1,IF(R331=2,X331*$W$1*buff的资质计算!$E$2,IF(R331=3,X331*$W$1*buff的资质计算!$E$3,0)))),2)</f>
        <v>0</v>
      </c>
      <c r="X331" s="157">
        <f ca="1" t="shared" si="59"/>
        <v>22.5</v>
      </c>
      <c r="Y331" s="157" t="e">
        <f ca="1" t="shared" si="54"/>
        <v>#VALUE!</v>
      </c>
      <c r="Z331" s="304" t="e">
        <f ca="1" t="shared" si="60"/>
        <v>#VALUE!</v>
      </c>
      <c r="AA331" s="304">
        <f ca="1">OFFSET(卡牌辅助配置表!$AD$1,MATCH(AB331,卡牌辅助配置表!AB:AB,0)-1,0)</f>
        <v>1560</v>
      </c>
      <c r="AB331" s="304">
        <f ca="1" t="shared" si="61"/>
        <v>2126</v>
      </c>
      <c r="AC331" s="153">
        <v>12</v>
      </c>
      <c r="AF331" s="153" t="str">
        <f ca="1" t="shared" si="55"/>
        <v>10110036|</v>
      </c>
      <c r="AG331" s="153">
        <f ca="1">skill!A41</f>
        <v>10110036</v>
      </c>
      <c r="AJ331" s="205" t="str">
        <f ca="1" t="shared" si="62"/>
        <v>400023|11900|;</v>
      </c>
      <c r="AK331" s="205">
        <f ca="1">OFFSET([1]item_type!$A$1,MATCH(Q331,[1]item_type!$G:$G,0)-1,0)</f>
        <v>301011</v>
      </c>
      <c r="AL331" s="205"/>
      <c r="AM331" s="205">
        <f ca="1">IF(B331=B332,OFFSET(卡牌辅助配置表!$AE$1,MATCH(AB331,卡牌辅助配置表!AB:AB,0),0),0)</f>
        <v>11900</v>
      </c>
      <c r="AN331" s="153">
        <f ca="1" t="shared" si="63"/>
        <v>1011027</v>
      </c>
      <c r="AP331" s="153">
        <f ca="1">IF(AC331=0,0,IF(AC331=12,0,OFFSET(effect!$N$1,MATCH(K331,effect!M:M,0)-1,0)))</f>
        <v>0</v>
      </c>
    </row>
    <row r="332" spans="1:42">
      <c r="A332" s="153">
        <f ca="1" t="shared" si="56"/>
        <v>1011027</v>
      </c>
      <c r="B332" s="91" t="s">
        <v>363</v>
      </c>
      <c r="C332" s="186">
        <v>1</v>
      </c>
      <c r="D332" s="186">
        <v>6</v>
      </c>
      <c r="E332" s="165"/>
      <c r="F332" s="179" t="str">
        <f>buff!C67</f>
        <v>使下1招伤害增加122%</v>
      </c>
      <c r="G332" s="186">
        <f ca="1">OFFSET(卡牌辅助配置表!$C$1,MATCH(AC332,卡牌辅助配置表!A:A,0)-1,0)</f>
        <v>0</v>
      </c>
      <c r="H332" s="186" t="e">
        <f ca="1">skill!Q42</f>
        <v>#VALUE!</v>
      </c>
      <c r="I332" s="186"/>
      <c r="J332" s="186">
        <f ca="1">OFFSET(card_type!$F$1,MATCH(Q332,card_type!A:A,0)-1,0)</f>
        <v>2</v>
      </c>
      <c r="K332" s="243">
        <f ca="1">OFFSET(card_type!$G$1,MATCH(Q332,card_type!A:A,0)-1,0)</f>
        <v>1</v>
      </c>
      <c r="L332" s="157">
        <v>1</v>
      </c>
      <c r="M332" s="157">
        <v>1</v>
      </c>
      <c r="N332" s="153">
        <f t="shared" si="57"/>
        <v>27</v>
      </c>
      <c r="O332" s="157"/>
      <c r="P332" s="157"/>
      <c r="Q332" s="153">
        <f ca="1">OFFSET(card_type!$A$1,MATCH(card!B332,card_type!B:B,0)-1,0)</f>
        <v>1011</v>
      </c>
      <c r="R332" s="153">
        <v>0</v>
      </c>
      <c r="S332" s="157">
        <f ca="1">ROUND(IF(R332=0,0,IF(R332=1,X332*$S$1,IF(R332=2,X332*$S$1*buff的资质计算!$E$2,IF(R332=3,X332*$S$1*buff的资质计算!$E$3,0)))),0)*0</f>
        <v>0</v>
      </c>
      <c r="U332" s="153">
        <f ca="1" t="shared" si="58"/>
        <v>21</v>
      </c>
      <c r="V332" s="153">
        <f ca="1">ROUND((OFFSET(卡牌辅助配置表!$O$1,MATCH(U332,卡牌辅助配置表!M:M,0)-1,0)+(N332-1)*OFFSET(卡牌辅助配置表!$P$1,MATCH(U332,卡牌辅助配置表!M:M,0)-1,0))*M332,2)</f>
        <v>21.52</v>
      </c>
      <c r="W332" s="157">
        <f ca="1">ROUND(IF(R332=0,0,IF(R332=1,X332*$W$1,IF(R332=2,X332*$W$1*buff的资质计算!$E$2,IF(R332=3,X332*$W$1*buff的资质计算!$E$3,0)))),2)</f>
        <v>0</v>
      </c>
      <c r="X332" s="157">
        <f ca="1" t="shared" si="59"/>
        <v>23</v>
      </c>
      <c r="Y332" s="157" t="e">
        <f ca="1" t="shared" si="54"/>
        <v>#VALUE!</v>
      </c>
      <c r="Z332" s="304" t="e">
        <f ca="1" t="shared" si="60"/>
        <v>#VALUE!</v>
      </c>
      <c r="AA332" s="304">
        <f ca="1">OFFSET(卡牌辅助配置表!$AD$1,MATCH(AB332,卡牌辅助配置表!AB:AB,0)-1,0)</f>
        <v>1645</v>
      </c>
      <c r="AB332" s="304">
        <f ca="1" t="shared" si="61"/>
        <v>2127</v>
      </c>
      <c r="AC332" s="153">
        <v>12</v>
      </c>
      <c r="AF332" s="153" t="str">
        <f ca="1" t="shared" si="55"/>
        <v>10110037|</v>
      </c>
      <c r="AG332" s="153">
        <f ca="1">skill!A42</f>
        <v>10110037</v>
      </c>
      <c r="AJ332" s="205" t="str">
        <f ca="1" t="shared" si="62"/>
        <v>400023|12700|;</v>
      </c>
      <c r="AK332" s="205">
        <f ca="1">OFFSET([1]item_type!$A$1,MATCH(Q332,[1]item_type!$G:$G,0)-1,0)</f>
        <v>301011</v>
      </c>
      <c r="AL332" s="205"/>
      <c r="AM332" s="205">
        <f ca="1">IF(B332=B333,OFFSET(卡牌辅助配置表!$AE$1,MATCH(AB332,卡牌辅助配置表!AB:AB,0),0),0)</f>
        <v>12700</v>
      </c>
      <c r="AN332" s="153">
        <f ca="1" t="shared" si="63"/>
        <v>1011028</v>
      </c>
      <c r="AP332" s="153">
        <f ca="1">IF(AC332=0,0,IF(AC332=12,0,OFFSET(effect!$N$1,MATCH(K332,effect!M:M,0)-1,0)))</f>
        <v>0</v>
      </c>
    </row>
    <row r="333" spans="1:42">
      <c r="A333" s="153">
        <f ca="1" t="shared" si="56"/>
        <v>1011028</v>
      </c>
      <c r="B333" s="91" t="s">
        <v>363</v>
      </c>
      <c r="C333" s="186">
        <v>1</v>
      </c>
      <c r="D333" s="186">
        <v>6</v>
      </c>
      <c r="E333" s="165"/>
      <c r="F333" s="179" t="str">
        <f>buff!C68</f>
        <v>使下1招伤害增加124%</v>
      </c>
      <c r="G333" s="186">
        <f ca="1">OFFSET(卡牌辅助配置表!$C$1,MATCH(AC333,卡牌辅助配置表!A:A,0)-1,0)</f>
        <v>0</v>
      </c>
      <c r="H333" s="186" t="e">
        <f ca="1">skill!Q43</f>
        <v>#VALUE!</v>
      </c>
      <c r="I333" s="186"/>
      <c r="J333" s="186">
        <f ca="1">OFFSET(card_type!$F$1,MATCH(Q333,card_type!A:A,0)-1,0)</f>
        <v>2</v>
      </c>
      <c r="K333" s="243">
        <f ca="1">OFFSET(card_type!$G$1,MATCH(Q333,card_type!A:A,0)-1,0)</f>
        <v>1</v>
      </c>
      <c r="L333" s="157">
        <v>1</v>
      </c>
      <c r="M333" s="157">
        <v>1</v>
      </c>
      <c r="N333" s="153">
        <f t="shared" si="57"/>
        <v>28</v>
      </c>
      <c r="O333" s="157"/>
      <c r="P333" s="157"/>
      <c r="Q333" s="153">
        <f ca="1">OFFSET(card_type!$A$1,MATCH(card!B333,card_type!B:B,0)-1,0)</f>
        <v>1011</v>
      </c>
      <c r="R333" s="153">
        <v>0</v>
      </c>
      <c r="S333" s="157">
        <f ca="1">ROUND(IF(R333=0,0,IF(R333=1,X333*$S$1,IF(R333=2,X333*$S$1*buff的资质计算!$E$2,IF(R333=3,X333*$S$1*buff的资质计算!$E$3,0)))),0)*0</f>
        <v>0</v>
      </c>
      <c r="U333" s="153">
        <f ca="1" t="shared" si="58"/>
        <v>21</v>
      </c>
      <c r="V333" s="153">
        <f ca="1">ROUND((OFFSET(卡牌辅助配置表!$O$1,MATCH(U333,卡牌辅助配置表!M:M,0)-1,0)+(N333-1)*OFFSET(卡牌辅助配置表!$P$1,MATCH(U333,卡牌辅助配置表!M:M,0)-1,0))*M333,2)</f>
        <v>22.08</v>
      </c>
      <c r="W333" s="157">
        <f ca="1">ROUND(IF(R333=0,0,IF(R333=1,X333*$W$1,IF(R333=2,X333*$W$1*buff的资质计算!$E$2,IF(R333=3,X333*$W$1*buff的资质计算!$E$3,0)))),2)</f>
        <v>0</v>
      </c>
      <c r="X333" s="157">
        <f ca="1" t="shared" si="59"/>
        <v>23.5</v>
      </c>
      <c r="Y333" s="157" t="e">
        <f ca="1" t="shared" si="54"/>
        <v>#VALUE!</v>
      </c>
      <c r="Z333" s="304" t="e">
        <f ca="1" t="shared" si="60"/>
        <v>#VALUE!</v>
      </c>
      <c r="AA333" s="304">
        <f ca="1">OFFSET(卡牌辅助配置表!$AD$1,MATCH(AB333,卡牌辅助配置表!AB:AB,0)-1,0)</f>
        <v>1730</v>
      </c>
      <c r="AB333" s="304">
        <f ca="1" t="shared" si="61"/>
        <v>2128</v>
      </c>
      <c r="AC333" s="153">
        <v>12</v>
      </c>
      <c r="AF333" s="153" t="str">
        <f ca="1" t="shared" si="55"/>
        <v>10110038|</v>
      </c>
      <c r="AG333" s="153">
        <f ca="1">skill!A43</f>
        <v>10110038</v>
      </c>
      <c r="AJ333" s="205" t="str">
        <f ca="1" t="shared" si="62"/>
        <v>400023|13500|;</v>
      </c>
      <c r="AK333" s="205">
        <f ca="1">OFFSET([1]item_type!$A$1,MATCH(Q333,[1]item_type!$G:$G,0)-1,0)</f>
        <v>301011</v>
      </c>
      <c r="AL333" s="205"/>
      <c r="AM333" s="205">
        <f ca="1">IF(B333=B334,OFFSET(卡牌辅助配置表!$AE$1,MATCH(AB333,卡牌辅助配置表!AB:AB,0),0),0)</f>
        <v>13500</v>
      </c>
      <c r="AN333" s="153">
        <f ca="1" t="shared" si="63"/>
        <v>1011029</v>
      </c>
      <c r="AP333" s="153">
        <f ca="1">IF(AC333=0,0,IF(AC333=12,0,OFFSET(effect!$N$1,MATCH(K333,effect!M:M,0)-1,0)))</f>
        <v>0</v>
      </c>
    </row>
    <row r="334" spans="1:42">
      <c r="A334" s="153">
        <f ca="1" t="shared" si="56"/>
        <v>1011029</v>
      </c>
      <c r="B334" s="91" t="s">
        <v>363</v>
      </c>
      <c r="C334" s="186">
        <v>1</v>
      </c>
      <c r="D334" s="186">
        <v>6</v>
      </c>
      <c r="E334" s="165"/>
      <c r="F334" s="179" t="str">
        <f>buff!C69</f>
        <v>使下1招伤害增加126%</v>
      </c>
      <c r="G334" s="186">
        <f ca="1">OFFSET(卡牌辅助配置表!$C$1,MATCH(AC334,卡牌辅助配置表!A:A,0)-1,0)</f>
        <v>0</v>
      </c>
      <c r="H334" s="186" t="e">
        <f ca="1">skill!Q44</f>
        <v>#VALUE!</v>
      </c>
      <c r="I334" s="186"/>
      <c r="J334" s="186">
        <f ca="1">OFFSET(card_type!$F$1,MATCH(Q334,card_type!A:A,0)-1,0)</f>
        <v>2</v>
      </c>
      <c r="K334" s="243">
        <f ca="1">OFFSET(card_type!$G$1,MATCH(Q334,card_type!A:A,0)-1,0)</f>
        <v>1</v>
      </c>
      <c r="L334" s="157">
        <v>1</v>
      </c>
      <c r="M334" s="157">
        <v>1</v>
      </c>
      <c r="N334" s="153">
        <f t="shared" si="57"/>
        <v>29</v>
      </c>
      <c r="O334" s="157"/>
      <c r="P334" s="157"/>
      <c r="Q334" s="153">
        <f ca="1">OFFSET(card_type!$A$1,MATCH(card!B334,card_type!B:B,0)-1,0)</f>
        <v>1011</v>
      </c>
      <c r="R334" s="153">
        <v>0</v>
      </c>
      <c r="S334" s="157">
        <f ca="1">ROUND(IF(R334=0,0,IF(R334=1,X334*$S$1,IF(R334=2,X334*$S$1*buff的资质计算!$E$2,IF(R334=3,X334*$S$1*buff的资质计算!$E$3,0)))),0)*0</f>
        <v>0</v>
      </c>
      <c r="U334" s="153">
        <f ca="1" t="shared" si="58"/>
        <v>21</v>
      </c>
      <c r="V334" s="153">
        <f ca="1">ROUND((OFFSET(卡牌辅助配置表!$O$1,MATCH(U334,卡牌辅助配置表!M:M,0)-1,0)+(N334-1)*OFFSET(卡牌辅助配置表!$P$1,MATCH(U334,卡牌辅助配置表!M:M,0)-1,0))*M334,2)</f>
        <v>22.64</v>
      </c>
      <c r="W334" s="157">
        <f ca="1">ROUND(IF(R334=0,0,IF(R334=1,X334*$W$1,IF(R334=2,X334*$W$1*buff的资质计算!$E$2,IF(R334=3,X334*$W$1*buff的资质计算!$E$3,0)))),2)</f>
        <v>0</v>
      </c>
      <c r="X334" s="157">
        <f ca="1" t="shared" si="59"/>
        <v>24</v>
      </c>
      <c r="Y334" s="157" t="e">
        <f ca="1" t="shared" si="54"/>
        <v>#VALUE!</v>
      </c>
      <c r="Z334" s="304" t="e">
        <f ca="1" t="shared" si="60"/>
        <v>#VALUE!</v>
      </c>
      <c r="AA334" s="304">
        <f ca="1">OFFSET(卡牌辅助配置表!$AD$1,MATCH(AB334,卡牌辅助配置表!AB:AB,0)-1,0)</f>
        <v>1815</v>
      </c>
      <c r="AB334" s="304">
        <f ca="1" t="shared" si="61"/>
        <v>2129</v>
      </c>
      <c r="AC334" s="153">
        <v>12</v>
      </c>
      <c r="AF334" s="153" t="str">
        <f ca="1" t="shared" si="55"/>
        <v>10110039|</v>
      </c>
      <c r="AG334" s="153">
        <f ca="1">skill!A44</f>
        <v>10110039</v>
      </c>
      <c r="AJ334" s="205" t="str">
        <f ca="1" t="shared" si="62"/>
        <v>301011|30|;400023|14300|;</v>
      </c>
      <c r="AK334" s="205">
        <f ca="1">OFFSET([1]item_type!$A$1,MATCH(Q334,[1]item_type!$G:$G,0)-1,0)</f>
        <v>301011</v>
      </c>
      <c r="AL334" s="205">
        <v>30</v>
      </c>
      <c r="AM334" s="205">
        <f ca="1">IF(B334=B335,OFFSET(卡牌辅助配置表!$AE$1,MATCH(AB334,卡牌辅助配置表!AB:AB,0),0),0)</f>
        <v>14300</v>
      </c>
      <c r="AN334" s="153">
        <f ca="1" t="shared" si="63"/>
        <v>1011030</v>
      </c>
      <c r="AP334" s="153">
        <f ca="1">IF(AC334=0,0,IF(AC334=12,0,OFFSET(effect!$N$1,MATCH(K334,effect!M:M,0)-1,0)))</f>
        <v>0</v>
      </c>
    </row>
    <row r="335" spans="1:42">
      <c r="A335" s="153">
        <f ca="1" t="shared" si="56"/>
        <v>1011030</v>
      </c>
      <c r="B335" s="91" t="s">
        <v>363</v>
      </c>
      <c r="C335" s="186">
        <v>1</v>
      </c>
      <c r="D335" s="186">
        <v>6</v>
      </c>
      <c r="E335" s="165"/>
      <c r="F335" s="179" t="str">
        <f>buff!C70</f>
        <v>使下1招伤害增加130%</v>
      </c>
      <c r="G335" s="186">
        <f ca="1">OFFSET(卡牌辅助配置表!$C$1,MATCH(AC335,卡牌辅助配置表!A:A,0)-1,0)</f>
        <v>0</v>
      </c>
      <c r="H335" s="186" t="e">
        <f ca="1">skill!Q45</f>
        <v>#VALUE!</v>
      </c>
      <c r="I335" s="186"/>
      <c r="J335" s="186">
        <f ca="1">OFFSET(card_type!$F$1,MATCH(Q335,card_type!A:A,0)-1,0)</f>
        <v>2</v>
      </c>
      <c r="K335" s="243">
        <f ca="1">OFFSET(card_type!$G$1,MATCH(Q335,card_type!A:A,0)-1,0)</f>
        <v>1</v>
      </c>
      <c r="L335" s="157">
        <v>1</v>
      </c>
      <c r="M335" s="157">
        <v>1</v>
      </c>
      <c r="N335" s="153">
        <f t="shared" si="57"/>
        <v>30</v>
      </c>
      <c r="O335" s="157"/>
      <c r="P335" s="157"/>
      <c r="Q335" s="153">
        <f ca="1">OFFSET(card_type!$A$1,MATCH(card!B335,card_type!B:B,0)-1,0)</f>
        <v>1011</v>
      </c>
      <c r="R335" s="153">
        <v>0</v>
      </c>
      <c r="S335" s="157">
        <f ca="1">ROUND(IF(R335=0,0,IF(R335=1,X335*$S$1,IF(R335=2,X335*$S$1*buff的资质计算!$E$2,IF(R335=3,X335*$S$1*buff的资质计算!$E$3,0)))),0)*0</f>
        <v>0</v>
      </c>
      <c r="U335" s="153">
        <f ca="1" t="shared" si="58"/>
        <v>21</v>
      </c>
      <c r="V335" s="153">
        <f ca="1">ROUND((OFFSET(卡牌辅助配置表!$O$1,MATCH(U335,卡牌辅助配置表!M:M,0)-1,0)+(N335-1)*OFFSET(卡牌辅助配置表!$P$1,MATCH(U335,卡牌辅助配置表!M:M,0)-1,0))*M335,2)</f>
        <v>23.2</v>
      </c>
      <c r="W335" s="157">
        <f ca="1">ROUND(IF(R335=0,0,IF(R335=1,X335*$W$1,IF(R335=2,X335*$W$1*buff的资质计算!$E$2,IF(R335=3,X335*$W$1*buff的资质计算!$E$3,0)))),2)</f>
        <v>0</v>
      </c>
      <c r="X335" s="157">
        <f ca="1" t="shared" si="59"/>
        <v>24.5</v>
      </c>
      <c r="Y335" s="157" t="e">
        <f ca="1" t="shared" si="54"/>
        <v>#VALUE!</v>
      </c>
      <c r="Z335" s="304" t="e">
        <f ca="1" t="shared" si="60"/>
        <v>#VALUE!</v>
      </c>
      <c r="AA335" s="304">
        <f ca="1">OFFSET(卡牌辅助配置表!$AD$1,MATCH(AB335,卡牌辅助配置表!AB:AB,0)-1,0)</f>
        <v>1900</v>
      </c>
      <c r="AB335" s="304">
        <f ca="1" t="shared" si="61"/>
        <v>2130</v>
      </c>
      <c r="AC335" s="153">
        <v>12</v>
      </c>
      <c r="AF335" s="153" t="str">
        <f ca="1" t="shared" si="55"/>
        <v>10110040|</v>
      </c>
      <c r="AG335" s="153">
        <f ca="1">skill!A45</f>
        <v>10110040</v>
      </c>
      <c r="AJ335" s="205">
        <f ca="1" t="shared" si="62"/>
        <v>0</v>
      </c>
      <c r="AK335" s="205">
        <f ca="1">OFFSET([1]item_type!$A$1,MATCH(Q335,[1]item_type!$G:$G,0)-1,0)</f>
        <v>301011</v>
      </c>
      <c r="AL335" s="205"/>
      <c r="AM335" s="205">
        <f ca="1">IF(B335=B336,OFFSET(卡牌辅助配置表!$AE$1,MATCH(AB335,卡牌辅助配置表!AB:AB,0),0),0)</f>
        <v>0</v>
      </c>
      <c r="AN335" s="153">
        <f ca="1" t="shared" si="63"/>
        <v>0</v>
      </c>
      <c r="AP335" s="153">
        <f ca="1">IF(AC335=0,0,IF(AC335=12,0,OFFSET(effect!$N$1,MATCH(K335,effect!M:M,0)-1,0)))</f>
        <v>0</v>
      </c>
    </row>
    <row r="336" spans="1:42">
      <c r="A336" s="153">
        <f ca="1" t="shared" si="56"/>
        <v>1012001</v>
      </c>
      <c r="B336" s="91" t="s">
        <v>633</v>
      </c>
      <c r="C336" s="186">
        <v>1</v>
      </c>
      <c r="D336" s="186">
        <v>6</v>
      </c>
      <c r="E336" s="165"/>
      <c r="F336" s="179" t="s">
        <v>1051</v>
      </c>
      <c r="G336" s="186">
        <f ca="1">OFFSET(卡牌辅助配置表!$C$1,MATCH(AC336,卡牌辅助配置表!A:A,0)-1,0)</f>
        <v>0</v>
      </c>
      <c r="H336" s="186">
        <f ca="1">OFFSET(skill!$Q$1,MATCH(B336,skill!B:B,0)-1,0)</f>
        <v>1.28571428571429</v>
      </c>
      <c r="I336" s="186"/>
      <c r="J336" s="186">
        <f ca="1">OFFSET(card_type!$F$1,MATCH(Q336,card_type!A:A,0)-1,0)</f>
        <v>2</v>
      </c>
      <c r="K336" s="243">
        <f ca="1">OFFSET(card_type!$G$1,MATCH(Q336,card_type!A:A,0)-1,0)</f>
        <v>3</v>
      </c>
      <c r="L336" s="157">
        <v>3</v>
      </c>
      <c r="M336" s="157">
        <v>3</v>
      </c>
      <c r="N336" s="153">
        <f t="shared" si="57"/>
        <v>1</v>
      </c>
      <c r="O336" s="157"/>
      <c r="P336" s="157"/>
      <c r="Q336" s="153">
        <f ca="1">OFFSET(card_type!$A$1,MATCH(card!B336,card_type!B:B,0)-1,0)</f>
        <v>1012</v>
      </c>
      <c r="R336" s="153">
        <v>1</v>
      </c>
      <c r="S336" s="157">
        <f ca="1">ROUND(IF(R336=0,0,IF(R336=1,X336*$S$1,IF(R336=2,X336*$S$1*buff的资质计算!$E$2,IF(R336=3,X336*$S$1*buff的资质计算!$E$3,0)))),0)*0</f>
        <v>0</v>
      </c>
      <c r="T336" s="153">
        <v>5</v>
      </c>
      <c r="U336" s="153">
        <f ca="1" t="shared" si="58"/>
        <v>23</v>
      </c>
      <c r="V336" s="153">
        <f ca="1">ROUND((OFFSET(卡牌辅助配置表!$O$1,MATCH(U336,卡牌辅助配置表!M:M,0)-1,0)+(N336-1)*OFFSET(卡牌辅助配置表!$P$1,MATCH(U336,卡牌辅助配置表!M:M,0)-1,0))*M336,2)</f>
        <v>50.4</v>
      </c>
      <c r="W336" s="157">
        <f ca="1">ROUND(IF(R336=0,0,IF(R336=1,X336*$W$1,IF(R336=2,X336*$W$1*buff的资质计算!$E$2,IF(R336=3,X336*$W$1*buff的资质计算!$E$3,0)))),2)</f>
        <v>16.2</v>
      </c>
      <c r="X336" s="157">
        <f ca="1" t="shared" si="59"/>
        <v>54</v>
      </c>
      <c r="Y336" s="157">
        <f ca="1" t="shared" ref="Y336:Y399" si="64">X336+H336</f>
        <v>55.2857142857143</v>
      </c>
      <c r="Z336" s="304">
        <f ca="1" t="shared" si="60"/>
        <v>18.4285714285714</v>
      </c>
      <c r="AA336" s="304">
        <f ca="1">OFFSET(卡牌辅助配置表!$AD$1,MATCH(AB336,卡牌辅助配置表!AB:AB,0)-1,0)</f>
        <v>211</v>
      </c>
      <c r="AB336" s="304">
        <f ca="1" t="shared" si="61"/>
        <v>2301</v>
      </c>
      <c r="AC336" s="153">
        <v>12</v>
      </c>
      <c r="AF336" s="153" t="str">
        <f ca="1" t="shared" ref="AF336:AF399" si="65">((Q336*1000+1)*10+1)&amp;$AF$1</f>
        <v>10120011|</v>
      </c>
      <c r="AJ336" s="205" t="str">
        <f ca="1" t="shared" si="62"/>
        <v>400023|1400|;</v>
      </c>
      <c r="AK336" s="205">
        <f ca="1">OFFSET([1]item_type!$A$1,MATCH(Q336,[1]item_type!$G:$G,0)-1,0)</f>
        <v>301012</v>
      </c>
      <c r="AL336" s="205"/>
      <c r="AM336" s="205">
        <f ca="1">IF(B336=B337,OFFSET(卡牌辅助配置表!$AE$1,MATCH(AB336,卡牌辅助配置表!AB:AB,0),0),0)</f>
        <v>1400</v>
      </c>
      <c r="AN336" s="153">
        <f ca="1" t="shared" si="63"/>
        <v>1012002</v>
      </c>
      <c r="AP336" s="153">
        <f ca="1">IF(AC336=0,0,IF(AC336=12,0,OFFSET(effect!$N$1,MATCH(K336,effect!M:M,0)-1,0)))</f>
        <v>0</v>
      </c>
    </row>
    <row r="337" spans="1:42">
      <c r="A337" s="153">
        <f ca="1" t="shared" si="56"/>
        <v>1012002</v>
      </c>
      <c r="B337" s="91" t="s">
        <v>633</v>
      </c>
      <c r="C337" s="186">
        <v>1</v>
      </c>
      <c r="D337" s="186">
        <v>6</v>
      </c>
      <c r="E337" s="165"/>
      <c r="F337" s="179" t="s">
        <v>1051</v>
      </c>
      <c r="G337" s="186">
        <f ca="1">OFFSET(卡牌辅助配置表!$C$1,MATCH(AC337,卡牌辅助配置表!A:A,0)-1,0)</f>
        <v>0</v>
      </c>
      <c r="H337" s="186">
        <f ca="1">OFFSET(skill!$Q$1,MATCH(B337,skill!B:B,0)-1,0)</f>
        <v>1.28571428571429</v>
      </c>
      <c r="I337" s="186"/>
      <c r="J337" s="186">
        <f ca="1">OFFSET(card_type!$F$1,MATCH(Q337,card_type!A:A,0)-1,0)</f>
        <v>2</v>
      </c>
      <c r="K337" s="243">
        <f ca="1">OFFSET(card_type!$G$1,MATCH(Q337,card_type!A:A,0)-1,0)</f>
        <v>3</v>
      </c>
      <c r="L337" s="157">
        <v>3</v>
      </c>
      <c r="M337" s="157">
        <v>3</v>
      </c>
      <c r="N337" s="153">
        <f t="shared" si="57"/>
        <v>2</v>
      </c>
      <c r="O337" s="157"/>
      <c r="P337" s="157"/>
      <c r="Q337" s="153">
        <f ca="1">OFFSET(card_type!$A$1,MATCH(card!B337,card_type!B:B,0)-1,0)</f>
        <v>1012</v>
      </c>
      <c r="R337" s="153">
        <v>1</v>
      </c>
      <c r="S337" s="157">
        <f ca="1">ROUND(IF(R337=0,0,IF(R337=1,X337*$S$1,IF(R337=2,X337*$S$1*buff的资质计算!$E$2,IF(R337=3,X337*$S$1*buff的资质计算!$E$3,0)))),0)*0</f>
        <v>0</v>
      </c>
      <c r="T337" s="153">
        <v>5</v>
      </c>
      <c r="U337" s="153">
        <f ca="1" t="shared" si="58"/>
        <v>23</v>
      </c>
      <c r="V337" s="153">
        <f ca="1">ROUND((OFFSET(卡牌辅助配置表!$O$1,MATCH(U337,卡牌辅助配置表!M:M,0)-1,0)+(N337-1)*OFFSET(卡牌辅助配置表!$P$1,MATCH(U337,卡牌辅助配置表!M:M,0)-1,0))*M337,2)</f>
        <v>53.76</v>
      </c>
      <c r="W337" s="157">
        <f ca="1">ROUND(IF(R337=0,0,IF(R337=1,X337*$W$1,IF(R337=2,X337*$W$1*buff的资质计算!$E$2,IF(R337=3,X337*$W$1*buff的资质计算!$E$3,0)))),2)</f>
        <v>16.35</v>
      </c>
      <c r="X337" s="157">
        <f ca="1" t="shared" si="59"/>
        <v>54.5</v>
      </c>
      <c r="Y337" s="157">
        <f ca="1" t="shared" si="64"/>
        <v>55.7857142857143</v>
      </c>
      <c r="Z337" s="304">
        <f ca="1" t="shared" si="60"/>
        <v>18.5952380952381</v>
      </c>
      <c r="AA337" s="304">
        <f ca="1">OFFSET(卡牌辅助配置表!$AD$1,MATCH(AB337,卡牌辅助配置表!AB:AB,0)-1,0)</f>
        <v>422</v>
      </c>
      <c r="AB337" s="304">
        <f ca="1" t="shared" si="61"/>
        <v>2302</v>
      </c>
      <c r="AC337" s="153">
        <v>12</v>
      </c>
      <c r="AF337" s="153" t="str">
        <f ca="1" t="shared" si="65"/>
        <v>10120011|</v>
      </c>
      <c r="AJ337" s="205" t="str">
        <f ca="1" t="shared" si="62"/>
        <v>400023|1800|;</v>
      </c>
      <c r="AK337" s="205">
        <f ca="1">OFFSET([1]item_type!$A$1,MATCH(Q337,[1]item_type!$G:$G,0)-1,0)</f>
        <v>301012</v>
      </c>
      <c r="AL337" s="205"/>
      <c r="AM337" s="205">
        <f ca="1">IF(B337=B338,OFFSET(卡牌辅助配置表!$AE$1,MATCH(AB337,卡牌辅助配置表!AB:AB,0),0),0)</f>
        <v>1800</v>
      </c>
      <c r="AN337" s="153">
        <f ca="1" t="shared" si="63"/>
        <v>1012003</v>
      </c>
      <c r="AP337" s="153">
        <f ca="1">IF(AC337=0,0,IF(AC337=12,0,OFFSET(effect!$N$1,MATCH(K337,effect!M:M,0)-1,0)))</f>
        <v>0</v>
      </c>
    </row>
    <row r="338" spans="1:42">
      <c r="A338" s="153">
        <f ca="1" t="shared" si="56"/>
        <v>1012003</v>
      </c>
      <c r="B338" s="91" t="s">
        <v>633</v>
      </c>
      <c r="C338" s="186">
        <v>1</v>
      </c>
      <c r="D338" s="186">
        <v>6</v>
      </c>
      <c r="E338" s="165"/>
      <c r="F338" s="179" t="s">
        <v>1051</v>
      </c>
      <c r="G338" s="186">
        <f ca="1">OFFSET(卡牌辅助配置表!$C$1,MATCH(AC338,卡牌辅助配置表!A:A,0)-1,0)</f>
        <v>0</v>
      </c>
      <c r="H338" s="186">
        <f ca="1">OFFSET(skill!$Q$1,MATCH(B338,skill!B:B,0)-1,0)</f>
        <v>1.28571428571429</v>
      </c>
      <c r="I338" s="186"/>
      <c r="J338" s="186">
        <f ca="1">OFFSET(card_type!$F$1,MATCH(Q338,card_type!A:A,0)-1,0)</f>
        <v>2</v>
      </c>
      <c r="K338" s="243">
        <f ca="1">OFFSET(card_type!$G$1,MATCH(Q338,card_type!A:A,0)-1,0)</f>
        <v>3</v>
      </c>
      <c r="L338" s="157">
        <v>3</v>
      </c>
      <c r="M338" s="157">
        <v>3</v>
      </c>
      <c r="N338" s="153">
        <f t="shared" si="57"/>
        <v>3</v>
      </c>
      <c r="O338" s="157"/>
      <c r="P338" s="157"/>
      <c r="Q338" s="153">
        <f ca="1">OFFSET(card_type!$A$1,MATCH(card!B338,card_type!B:B,0)-1,0)</f>
        <v>1012</v>
      </c>
      <c r="R338" s="153">
        <v>1</v>
      </c>
      <c r="S338" s="157">
        <f ca="1">ROUND(IF(R338=0,0,IF(R338=1,X338*$S$1,IF(R338=2,X338*$S$1*buff的资质计算!$E$2,IF(R338=3,X338*$S$1*buff的资质计算!$E$3,0)))),0)*0</f>
        <v>0</v>
      </c>
      <c r="T338" s="153">
        <v>5</v>
      </c>
      <c r="U338" s="153">
        <f ca="1" t="shared" si="58"/>
        <v>23</v>
      </c>
      <c r="V338" s="153">
        <f ca="1">ROUND((OFFSET(卡牌辅助配置表!$O$1,MATCH(U338,卡牌辅助配置表!M:M,0)-1,0)+(N338-1)*OFFSET(卡牌辅助配置表!$P$1,MATCH(U338,卡牌辅助配置表!M:M,0)-1,0))*M338,2)</f>
        <v>57.12</v>
      </c>
      <c r="W338" s="157">
        <f ca="1">ROUND(IF(R338=0,0,IF(R338=1,X338*$W$1,IF(R338=2,X338*$W$1*buff的资质计算!$E$2,IF(R338=3,X338*$W$1*buff的资质计算!$E$3,0)))),2)</f>
        <v>16.5</v>
      </c>
      <c r="X338" s="157">
        <f ca="1" t="shared" si="59"/>
        <v>55</v>
      </c>
      <c r="Y338" s="157">
        <f ca="1" t="shared" si="64"/>
        <v>56.2857142857143</v>
      </c>
      <c r="Z338" s="304">
        <f ca="1" t="shared" si="60"/>
        <v>18.7619047619048</v>
      </c>
      <c r="AA338" s="304">
        <f ca="1">OFFSET(卡牌辅助配置表!$AD$1,MATCH(AB338,卡牌辅助配置表!AB:AB,0)-1,0)</f>
        <v>633</v>
      </c>
      <c r="AB338" s="304">
        <f ca="1" t="shared" si="61"/>
        <v>2303</v>
      </c>
      <c r="AC338" s="153">
        <v>12</v>
      </c>
      <c r="AF338" s="153" t="str">
        <f ca="1" t="shared" si="65"/>
        <v>10120011|</v>
      </c>
      <c r="AJ338" s="205" t="str">
        <f ca="1" t="shared" si="62"/>
        <v>400023|2200|;</v>
      </c>
      <c r="AK338" s="205">
        <f ca="1">OFFSET([1]item_type!$A$1,MATCH(Q338,[1]item_type!$G:$G,0)-1,0)</f>
        <v>301012</v>
      </c>
      <c r="AL338" s="205"/>
      <c r="AM338" s="205">
        <f ca="1">IF(B338=B339,OFFSET(卡牌辅助配置表!$AE$1,MATCH(AB338,卡牌辅助配置表!AB:AB,0),0),0)</f>
        <v>2200</v>
      </c>
      <c r="AN338" s="153">
        <f ca="1" t="shared" si="63"/>
        <v>1012004</v>
      </c>
      <c r="AP338" s="153">
        <f ca="1">IF(AC338=0,0,IF(AC338=12,0,OFFSET(effect!$N$1,MATCH(K338,effect!M:M,0)-1,0)))</f>
        <v>0</v>
      </c>
    </row>
    <row r="339" spans="1:42">
      <c r="A339" s="153">
        <f ca="1" t="shared" si="56"/>
        <v>1012004</v>
      </c>
      <c r="B339" s="91" t="s">
        <v>633</v>
      </c>
      <c r="C339" s="186">
        <v>1</v>
      </c>
      <c r="D339" s="186">
        <v>6</v>
      </c>
      <c r="E339" s="165"/>
      <c r="F339" s="179" t="s">
        <v>1051</v>
      </c>
      <c r="G339" s="186">
        <f ca="1">OFFSET(卡牌辅助配置表!$C$1,MATCH(AC339,卡牌辅助配置表!A:A,0)-1,0)</f>
        <v>0</v>
      </c>
      <c r="H339" s="186">
        <f ca="1">OFFSET(skill!$Q$1,MATCH(B339,skill!B:B,0)-1,0)</f>
        <v>1.28571428571429</v>
      </c>
      <c r="I339" s="186"/>
      <c r="J339" s="186">
        <f ca="1">OFFSET(card_type!$F$1,MATCH(Q339,card_type!A:A,0)-1,0)</f>
        <v>2</v>
      </c>
      <c r="K339" s="243">
        <f ca="1">OFFSET(card_type!$G$1,MATCH(Q339,card_type!A:A,0)-1,0)</f>
        <v>3</v>
      </c>
      <c r="L339" s="157">
        <v>3</v>
      </c>
      <c r="M339" s="157">
        <v>3</v>
      </c>
      <c r="N339" s="153">
        <f t="shared" si="57"/>
        <v>4</v>
      </c>
      <c r="O339" s="157"/>
      <c r="P339" s="157"/>
      <c r="Q339" s="153">
        <f ca="1">OFFSET(card_type!$A$1,MATCH(card!B339,card_type!B:B,0)-1,0)</f>
        <v>1012</v>
      </c>
      <c r="R339" s="153">
        <v>1</v>
      </c>
      <c r="S339" s="157">
        <f ca="1">ROUND(IF(R339=0,0,IF(R339=1,X339*$S$1,IF(R339=2,X339*$S$1*buff的资质计算!$E$2,IF(R339=3,X339*$S$1*buff的资质计算!$E$3,0)))),0)*0</f>
        <v>0</v>
      </c>
      <c r="T339" s="153">
        <v>5</v>
      </c>
      <c r="U339" s="153">
        <f ca="1" t="shared" si="58"/>
        <v>23</v>
      </c>
      <c r="V339" s="153">
        <f ca="1">ROUND((OFFSET(卡牌辅助配置表!$O$1,MATCH(U339,卡牌辅助配置表!M:M,0)-1,0)+(N339-1)*OFFSET(卡牌辅助配置表!$P$1,MATCH(U339,卡牌辅助配置表!M:M,0)-1,0))*M339,2)</f>
        <v>60.48</v>
      </c>
      <c r="W339" s="157">
        <f ca="1">ROUND(IF(R339=0,0,IF(R339=1,X339*$W$1,IF(R339=2,X339*$W$1*buff的资质计算!$E$2,IF(R339=3,X339*$W$1*buff的资质计算!$E$3,0)))),2)</f>
        <v>16.65</v>
      </c>
      <c r="X339" s="157">
        <f ca="1" t="shared" si="59"/>
        <v>55.5</v>
      </c>
      <c r="Y339" s="157">
        <f ca="1" t="shared" si="64"/>
        <v>56.7857142857143</v>
      </c>
      <c r="Z339" s="304">
        <f ca="1" t="shared" si="60"/>
        <v>18.9285714285714</v>
      </c>
      <c r="AA339" s="304">
        <f ca="1">OFFSET(卡牌辅助配置表!$AD$1,MATCH(AB339,卡牌辅助配置表!AB:AB,0)-1,0)</f>
        <v>844</v>
      </c>
      <c r="AB339" s="304">
        <f ca="1" t="shared" si="61"/>
        <v>2304</v>
      </c>
      <c r="AC339" s="153">
        <v>12</v>
      </c>
      <c r="AF339" s="153" t="str">
        <f ca="1" t="shared" si="65"/>
        <v>10120011|</v>
      </c>
      <c r="AJ339" s="205" t="str">
        <f ca="1" t="shared" si="62"/>
        <v>400023|2600|;</v>
      </c>
      <c r="AK339" s="205">
        <f ca="1">OFFSET([1]item_type!$A$1,MATCH(Q339,[1]item_type!$G:$G,0)-1,0)</f>
        <v>301012</v>
      </c>
      <c r="AL339" s="205"/>
      <c r="AM339" s="205">
        <f ca="1">IF(B339=B340,OFFSET(卡牌辅助配置表!$AE$1,MATCH(AB339,卡牌辅助配置表!AB:AB,0),0),0)</f>
        <v>2600</v>
      </c>
      <c r="AN339" s="153">
        <f ca="1" t="shared" si="63"/>
        <v>1012005</v>
      </c>
      <c r="AP339" s="153">
        <f ca="1">IF(AC339=0,0,IF(AC339=12,0,OFFSET(effect!$N$1,MATCH(K339,effect!M:M,0)-1,0)))</f>
        <v>0</v>
      </c>
    </row>
    <row r="340" spans="1:42">
      <c r="A340" s="153">
        <f ca="1" t="shared" si="56"/>
        <v>1012005</v>
      </c>
      <c r="B340" s="91" t="s">
        <v>633</v>
      </c>
      <c r="C340" s="186">
        <v>1</v>
      </c>
      <c r="D340" s="186">
        <v>6</v>
      </c>
      <c r="E340" s="165"/>
      <c r="F340" s="179" t="s">
        <v>1051</v>
      </c>
      <c r="G340" s="186">
        <f ca="1">OFFSET(卡牌辅助配置表!$C$1,MATCH(AC340,卡牌辅助配置表!A:A,0)-1,0)</f>
        <v>0</v>
      </c>
      <c r="H340" s="186">
        <f ca="1">OFFSET(skill!$Q$1,MATCH(B340,skill!B:B,0)-1,0)</f>
        <v>1.28571428571429</v>
      </c>
      <c r="I340" s="186"/>
      <c r="J340" s="186">
        <f ca="1">OFFSET(card_type!$F$1,MATCH(Q340,card_type!A:A,0)-1,0)</f>
        <v>2</v>
      </c>
      <c r="K340" s="243">
        <f ca="1">OFFSET(card_type!$G$1,MATCH(Q340,card_type!A:A,0)-1,0)</f>
        <v>3</v>
      </c>
      <c r="L340" s="157">
        <v>3</v>
      </c>
      <c r="M340" s="157">
        <v>3</v>
      </c>
      <c r="N340" s="153">
        <f t="shared" si="57"/>
        <v>5</v>
      </c>
      <c r="O340" s="157"/>
      <c r="P340" s="157"/>
      <c r="Q340" s="153">
        <f ca="1">OFFSET(card_type!$A$1,MATCH(card!B340,card_type!B:B,0)-1,0)</f>
        <v>1012</v>
      </c>
      <c r="R340" s="153">
        <v>1</v>
      </c>
      <c r="S340" s="157">
        <f ca="1">ROUND(IF(R340=0,0,IF(R340=1,X340*$S$1,IF(R340=2,X340*$S$1*buff的资质计算!$E$2,IF(R340=3,X340*$S$1*buff的资质计算!$E$3,0)))),0)*0</f>
        <v>0</v>
      </c>
      <c r="T340" s="153">
        <v>5</v>
      </c>
      <c r="U340" s="153">
        <f ca="1" t="shared" si="58"/>
        <v>23</v>
      </c>
      <c r="V340" s="153">
        <f ca="1">ROUND((OFFSET(卡牌辅助配置表!$O$1,MATCH(U340,卡牌辅助配置表!M:M,0)-1,0)+(N340-1)*OFFSET(卡牌辅助配置表!$P$1,MATCH(U340,卡牌辅助配置表!M:M,0)-1,0))*M340,2)</f>
        <v>63.84</v>
      </c>
      <c r="W340" s="157">
        <f ca="1">ROUND(IF(R340=0,0,IF(R340=1,X340*$W$1,IF(R340=2,X340*$W$1*buff的资质计算!$E$2,IF(R340=3,X340*$W$1*buff的资质计算!$E$3,0)))),2)</f>
        <v>16.8</v>
      </c>
      <c r="X340" s="157">
        <f ca="1" t="shared" si="59"/>
        <v>56</v>
      </c>
      <c r="Y340" s="157">
        <f ca="1" t="shared" si="64"/>
        <v>57.2857142857143</v>
      </c>
      <c r="Z340" s="304">
        <f ca="1" t="shared" si="60"/>
        <v>19.0952380952381</v>
      </c>
      <c r="AA340" s="304">
        <f ca="1">OFFSET(卡牌辅助配置表!$AD$1,MATCH(AB340,卡牌辅助配置表!AB:AB,0)-1,0)</f>
        <v>1055</v>
      </c>
      <c r="AB340" s="304">
        <f ca="1" t="shared" si="61"/>
        <v>2305</v>
      </c>
      <c r="AC340" s="153">
        <v>12</v>
      </c>
      <c r="AF340" s="153" t="str">
        <f ca="1" t="shared" si="65"/>
        <v>10120011|</v>
      </c>
      <c r="AJ340" s="205" t="str">
        <f ca="1" t="shared" si="62"/>
        <v>400023|3000|;</v>
      </c>
      <c r="AK340" s="205">
        <f ca="1">OFFSET([1]item_type!$A$1,MATCH(Q340,[1]item_type!$G:$G,0)-1,0)</f>
        <v>301012</v>
      </c>
      <c r="AL340" s="205"/>
      <c r="AM340" s="205">
        <f ca="1">IF(B340=B341,OFFSET(卡牌辅助配置表!$AE$1,MATCH(AB340,卡牌辅助配置表!AB:AB,0),0),0)</f>
        <v>3000</v>
      </c>
      <c r="AN340" s="153">
        <f ca="1" t="shared" si="63"/>
        <v>1012006</v>
      </c>
      <c r="AP340" s="153">
        <f ca="1">IF(AC340=0,0,IF(AC340=12,0,OFFSET(effect!$N$1,MATCH(K340,effect!M:M,0)-1,0)))</f>
        <v>0</v>
      </c>
    </row>
    <row r="341" spans="1:42">
      <c r="A341" s="153">
        <f ca="1" t="shared" si="56"/>
        <v>1012006</v>
      </c>
      <c r="B341" s="91" t="s">
        <v>633</v>
      </c>
      <c r="C341" s="186">
        <v>1</v>
      </c>
      <c r="D341" s="186">
        <v>6</v>
      </c>
      <c r="E341" s="165"/>
      <c r="F341" s="179" t="s">
        <v>1051</v>
      </c>
      <c r="G341" s="186">
        <f ca="1">OFFSET(卡牌辅助配置表!$C$1,MATCH(AC341,卡牌辅助配置表!A:A,0)-1,0)</f>
        <v>0</v>
      </c>
      <c r="H341" s="186">
        <f ca="1">OFFSET(skill!$Q$1,MATCH(B341,skill!B:B,0)-1,0)</f>
        <v>1.28571428571429</v>
      </c>
      <c r="I341" s="186"/>
      <c r="J341" s="186">
        <f ca="1">OFFSET(card_type!$F$1,MATCH(Q341,card_type!A:A,0)-1,0)</f>
        <v>2</v>
      </c>
      <c r="K341" s="243">
        <f ca="1">OFFSET(card_type!$G$1,MATCH(Q341,card_type!A:A,0)-1,0)</f>
        <v>3</v>
      </c>
      <c r="L341" s="157">
        <v>3</v>
      </c>
      <c r="M341" s="157">
        <v>3</v>
      </c>
      <c r="N341" s="153">
        <f t="shared" si="57"/>
        <v>6</v>
      </c>
      <c r="O341" s="157"/>
      <c r="P341" s="157"/>
      <c r="Q341" s="153">
        <f ca="1">OFFSET(card_type!$A$1,MATCH(card!B341,card_type!B:B,0)-1,0)</f>
        <v>1012</v>
      </c>
      <c r="R341" s="153">
        <v>1</v>
      </c>
      <c r="S341" s="157">
        <f ca="1">ROUND(IF(R341=0,0,IF(R341=1,X341*$S$1,IF(R341=2,X341*$S$1*buff的资质计算!$E$2,IF(R341=3,X341*$S$1*buff的资质计算!$E$3,0)))),0)*0</f>
        <v>0</v>
      </c>
      <c r="T341" s="153">
        <v>5</v>
      </c>
      <c r="U341" s="153">
        <f ca="1" t="shared" si="58"/>
        <v>23</v>
      </c>
      <c r="V341" s="153">
        <f ca="1">ROUND((OFFSET(卡牌辅助配置表!$O$1,MATCH(U341,卡牌辅助配置表!M:M,0)-1,0)+(N341-1)*OFFSET(卡牌辅助配置表!$P$1,MATCH(U341,卡牌辅助配置表!M:M,0)-1,0))*M341,2)</f>
        <v>67.2</v>
      </c>
      <c r="W341" s="157">
        <f ca="1">ROUND(IF(R341=0,0,IF(R341=1,X341*$W$1,IF(R341=2,X341*$W$1*buff的资质计算!$E$2,IF(R341=3,X341*$W$1*buff的资质计算!$E$3,0)))),2)</f>
        <v>16.95</v>
      </c>
      <c r="X341" s="157">
        <f ca="1" t="shared" si="59"/>
        <v>56.5</v>
      </c>
      <c r="Y341" s="157">
        <f ca="1" t="shared" si="64"/>
        <v>57.7857142857143</v>
      </c>
      <c r="Z341" s="304">
        <f ca="1" t="shared" si="60"/>
        <v>19.2619047619048</v>
      </c>
      <c r="AA341" s="304">
        <f ca="1">OFFSET(卡牌辅助配置表!$AD$1,MATCH(AB341,卡牌辅助配置表!AB:AB,0)-1,0)</f>
        <v>1266</v>
      </c>
      <c r="AB341" s="304">
        <f ca="1" t="shared" si="61"/>
        <v>2306</v>
      </c>
      <c r="AC341" s="153">
        <v>12</v>
      </c>
      <c r="AF341" s="153" t="str">
        <f ca="1" t="shared" si="65"/>
        <v>10120011|</v>
      </c>
      <c r="AJ341" s="205" t="str">
        <f ca="1" t="shared" si="62"/>
        <v>400023|3400|;</v>
      </c>
      <c r="AK341" s="205">
        <f ca="1">OFFSET([1]item_type!$A$1,MATCH(Q341,[1]item_type!$G:$G,0)-1,0)</f>
        <v>301012</v>
      </c>
      <c r="AL341" s="205"/>
      <c r="AM341" s="205">
        <f ca="1">IF(B341=B342,OFFSET(卡牌辅助配置表!$AE$1,MATCH(AB341,卡牌辅助配置表!AB:AB,0),0),0)</f>
        <v>3400</v>
      </c>
      <c r="AN341" s="153">
        <f ca="1" t="shared" si="63"/>
        <v>1012007</v>
      </c>
      <c r="AP341" s="153">
        <f ca="1">IF(AC341=0,0,IF(AC341=12,0,OFFSET(effect!$N$1,MATCH(K341,effect!M:M,0)-1,0)))</f>
        <v>0</v>
      </c>
    </row>
    <row r="342" spans="1:42">
      <c r="A342" s="153">
        <f ca="1" t="shared" si="56"/>
        <v>1012007</v>
      </c>
      <c r="B342" s="91" t="s">
        <v>633</v>
      </c>
      <c r="C342" s="186">
        <v>1</v>
      </c>
      <c r="D342" s="186">
        <v>6</v>
      </c>
      <c r="E342" s="165"/>
      <c r="F342" s="179" t="s">
        <v>1051</v>
      </c>
      <c r="G342" s="186">
        <f ca="1">OFFSET(卡牌辅助配置表!$C$1,MATCH(AC342,卡牌辅助配置表!A:A,0)-1,0)</f>
        <v>0</v>
      </c>
      <c r="H342" s="186">
        <f ca="1">OFFSET(skill!$Q$1,MATCH(B342,skill!B:B,0)-1,0)</f>
        <v>1.28571428571429</v>
      </c>
      <c r="I342" s="186"/>
      <c r="J342" s="186">
        <f ca="1">OFFSET(card_type!$F$1,MATCH(Q342,card_type!A:A,0)-1,0)</f>
        <v>2</v>
      </c>
      <c r="K342" s="243">
        <f ca="1">OFFSET(card_type!$G$1,MATCH(Q342,card_type!A:A,0)-1,0)</f>
        <v>3</v>
      </c>
      <c r="L342" s="157">
        <v>3</v>
      </c>
      <c r="M342" s="157">
        <v>3</v>
      </c>
      <c r="N342" s="153">
        <f t="shared" si="57"/>
        <v>7</v>
      </c>
      <c r="O342" s="157"/>
      <c r="P342" s="157"/>
      <c r="Q342" s="153">
        <f ca="1">OFFSET(card_type!$A$1,MATCH(card!B342,card_type!B:B,0)-1,0)</f>
        <v>1012</v>
      </c>
      <c r="R342" s="153">
        <v>1</v>
      </c>
      <c r="S342" s="157">
        <f ca="1">ROUND(IF(R342=0,0,IF(R342=1,X342*$S$1,IF(R342=2,X342*$S$1*buff的资质计算!$E$2,IF(R342=3,X342*$S$1*buff的资质计算!$E$3,0)))),0)*0</f>
        <v>0</v>
      </c>
      <c r="T342" s="153">
        <v>5</v>
      </c>
      <c r="U342" s="153">
        <f ca="1" t="shared" si="58"/>
        <v>23</v>
      </c>
      <c r="V342" s="153">
        <f ca="1">ROUND((OFFSET(卡牌辅助配置表!$O$1,MATCH(U342,卡牌辅助配置表!M:M,0)-1,0)+(N342-1)*OFFSET(卡牌辅助配置表!$P$1,MATCH(U342,卡牌辅助配置表!M:M,0)-1,0))*M342,2)</f>
        <v>70.56</v>
      </c>
      <c r="W342" s="157">
        <f ca="1">ROUND(IF(R342=0,0,IF(R342=1,X342*$W$1,IF(R342=2,X342*$W$1*buff的资质计算!$E$2,IF(R342=3,X342*$W$1*buff的资质计算!$E$3,0)))),2)</f>
        <v>17.1</v>
      </c>
      <c r="X342" s="157">
        <f ca="1" t="shared" si="59"/>
        <v>57</v>
      </c>
      <c r="Y342" s="157">
        <f ca="1" t="shared" si="64"/>
        <v>58.2857142857143</v>
      </c>
      <c r="Z342" s="304">
        <f ca="1" t="shared" si="60"/>
        <v>19.4285714285714</v>
      </c>
      <c r="AA342" s="304">
        <f ca="1">OFFSET(卡牌辅助配置表!$AD$1,MATCH(AB342,卡牌辅助配置表!AB:AB,0)-1,0)</f>
        <v>1477</v>
      </c>
      <c r="AB342" s="304">
        <f ca="1" t="shared" si="61"/>
        <v>2307</v>
      </c>
      <c r="AC342" s="153">
        <v>12</v>
      </c>
      <c r="AF342" s="153" t="str">
        <f ca="1" t="shared" si="65"/>
        <v>10120011|</v>
      </c>
      <c r="AJ342" s="205" t="str">
        <f ca="1" t="shared" si="62"/>
        <v>400023|3800|;</v>
      </c>
      <c r="AK342" s="205">
        <f ca="1">OFFSET([1]item_type!$A$1,MATCH(Q342,[1]item_type!$G:$G,0)-1,0)</f>
        <v>301012</v>
      </c>
      <c r="AL342" s="205"/>
      <c r="AM342" s="205">
        <f ca="1">IF(B342=B343,OFFSET(卡牌辅助配置表!$AE$1,MATCH(AB342,卡牌辅助配置表!AB:AB,0),0),0)</f>
        <v>3800</v>
      </c>
      <c r="AN342" s="153">
        <f ca="1" t="shared" si="63"/>
        <v>1012008</v>
      </c>
      <c r="AP342" s="153">
        <f ca="1">IF(AC342=0,0,IF(AC342=12,0,OFFSET(effect!$N$1,MATCH(K342,effect!M:M,0)-1,0)))</f>
        <v>0</v>
      </c>
    </row>
    <row r="343" spans="1:42">
      <c r="A343" s="153">
        <f ca="1" t="shared" si="56"/>
        <v>1012008</v>
      </c>
      <c r="B343" s="91" t="s">
        <v>633</v>
      </c>
      <c r="C343" s="186">
        <v>1</v>
      </c>
      <c r="D343" s="186">
        <v>6</v>
      </c>
      <c r="E343" s="165"/>
      <c r="F343" s="179" t="s">
        <v>1051</v>
      </c>
      <c r="G343" s="186">
        <f ca="1">OFFSET(卡牌辅助配置表!$C$1,MATCH(AC343,卡牌辅助配置表!A:A,0)-1,0)</f>
        <v>0</v>
      </c>
      <c r="H343" s="186">
        <f ca="1">OFFSET(skill!$Q$1,MATCH(B343,skill!B:B,0)-1,0)</f>
        <v>1.28571428571429</v>
      </c>
      <c r="I343" s="186"/>
      <c r="J343" s="186">
        <f ca="1">OFFSET(card_type!$F$1,MATCH(Q343,card_type!A:A,0)-1,0)</f>
        <v>2</v>
      </c>
      <c r="K343" s="243">
        <f ca="1">OFFSET(card_type!$G$1,MATCH(Q343,card_type!A:A,0)-1,0)</f>
        <v>3</v>
      </c>
      <c r="L343" s="157">
        <v>3</v>
      </c>
      <c r="M343" s="157">
        <v>3</v>
      </c>
      <c r="N343" s="153">
        <f t="shared" si="57"/>
        <v>8</v>
      </c>
      <c r="O343" s="157"/>
      <c r="P343" s="157"/>
      <c r="Q343" s="153">
        <f ca="1">OFFSET(card_type!$A$1,MATCH(card!B343,card_type!B:B,0)-1,0)</f>
        <v>1012</v>
      </c>
      <c r="R343" s="153">
        <v>1</v>
      </c>
      <c r="S343" s="157">
        <f ca="1">ROUND(IF(R343=0,0,IF(R343=1,X343*$S$1,IF(R343=2,X343*$S$1*buff的资质计算!$E$2,IF(R343=3,X343*$S$1*buff的资质计算!$E$3,0)))),0)*0</f>
        <v>0</v>
      </c>
      <c r="T343" s="153">
        <v>5</v>
      </c>
      <c r="U343" s="153">
        <f ca="1" t="shared" si="58"/>
        <v>23</v>
      </c>
      <c r="V343" s="153">
        <f ca="1">ROUND((OFFSET(卡牌辅助配置表!$O$1,MATCH(U343,卡牌辅助配置表!M:M,0)-1,0)+(N343-1)*OFFSET(卡牌辅助配置表!$P$1,MATCH(U343,卡牌辅助配置表!M:M,0)-1,0))*M343,2)</f>
        <v>73.92</v>
      </c>
      <c r="W343" s="157">
        <f ca="1">ROUND(IF(R343=0,0,IF(R343=1,X343*$W$1,IF(R343=2,X343*$W$1*buff的资质计算!$E$2,IF(R343=3,X343*$W$1*buff的资质计算!$E$3,0)))),2)</f>
        <v>17.25</v>
      </c>
      <c r="X343" s="157">
        <f ca="1" t="shared" si="59"/>
        <v>57.5</v>
      </c>
      <c r="Y343" s="157">
        <f ca="1" t="shared" si="64"/>
        <v>58.7857142857143</v>
      </c>
      <c r="Z343" s="304">
        <f ca="1" t="shared" si="60"/>
        <v>19.5952380952381</v>
      </c>
      <c r="AA343" s="304">
        <f ca="1">OFFSET(卡牌辅助配置表!$AD$1,MATCH(AB343,卡牌辅助配置表!AB:AB,0)-1,0)</f>
        <v>1688</v>
      </c>
      <c r="AB343" s="304">
        <f ca="1" t="shared" si="61"/>
        <v>2308</v>
      </c>
      <c r="AC343" s="153">
        <v>12</v>
      </c>
      <c r="AF343" s="153" t="str">
        <f ca="1" t="shared" si="65"/>
        <v>10120011|</v>
      </c>
      <c r="AJ343" s="205" t="str">
        <f ca="1" t="shared" si="62"/>
        <v>400023|4200|;</v>
      </c>
      <c r="AK343" s="205">
        <f ca="1">OFFSET([1]item_type!$A$1,MATCH(Q343,[1]item_type!$G:$G,0)-1,0)</f>
        <v>301012</v>
      </c>
      <c r="AL343" s="205"/>
      <c r="AM343" s="205">
        <f ca="1">IF(B343=B344,OFFSET(卡牌辅助配置表!$AE$1,MATCH(AB343,卡牌辅助配置表!AB:AB,0),0),0)</f>
        <v>4200</v>
      </c>
      <c r="AN343" s="153">
        <f ca="1" t="shared" si="63"/>
        <v>1012009</v>
      </c>
      <c r="AP343" s="153">
        <f ca="1">IF(AC343=0,0,IF(AC343=12,0,OFFSET(effect!$N$1,MATCH(K343,effect!M:M,0)-1,0)))</f>
        <v>0</v>
      </c>
    </row>
    <row r="344" spans="1:42">
      <c r="A344" s="153">
        <f ca="1" t="shared" si="56"/>
        <v>1012009</v>
      </c>
      <c r="B344" s="91" t="s">
        <v>633</v>
      </c>
      <c r="C344" s="186">
        <v>1</v>
      </c>
      <c r="D344" s="186">
        <v>6</v>
      </c>
      <c r="E344" s="165"/>
      <c r="F344" s="179" t="s">
        <v>1051</v>
      </c>
      <c r="G344" s="186">
        <f ca="1">OFFSET(卡牌辅助配置表!$C$1,MATCH(AC344,卡牌辅助配置表!A:A,0)-1,0)</f>
        <v>0</v>
      </c>
      <c r="H344" s="186">
        <f ca="1">OFFSET(skill!$Q$1,MATCH(B344,skill!B:B,0)-1,0)</f>
        <v>1.28571428571429</v>
      </c>
      <c r="I344" s="186"/>
      <c r="J344" s="186">
        <f ca="1">OFFSET(card_type!$F$1,MATCH(Q344,card_type!A:A,0)-1,0)</f>
        <v>2</v>
      </c>
      <c r="K344" s="243">
        <f ca="1">OFFSET(card_type!$G$1,MATCH(Q344,card_type!A:A,0)-1,0)</f>
        <v>3</v>
      </c>
      <c r="L344" s="157">
        <v>3</v>
      </c>
      <c r="M344" s="157">
        <v>3</v>
      </c>
      <c r="N344" s="153">
        <f t="shared" si="57"/>
        <v>9</v>
      </c>
      <c r="O344" s="157"/>
      <c r="P344" s="157"/>
      <c r="Q344" s="153">
        <f ca="1">OFFSET(card_type!$A$1,MATCH(card!B344,card_type!B:B,0)-1,0)</f>
        <v>1012</v>
      </c>
      <c r="R344" s="153">
        <v>1</v>
      </c>
      <c r="S344" s="157">
        <f ca="1">ROUND(IF(R344=0,0,IF(R344=1,X344*$S$1,IF(R344=2,X344*$S$1*buff的资质计算!$E$2,IF(R344=3,X344*$S$1*buff的资质计算!$E$3,0)))),0)*0</f>
        <v>0</v>
      </c>
      <c r="T344" s="153">
        <v>5</v>
      </c>
      <c r="U344" s="153">
        <f ca="1" t="shared" si="58"/>
        <v>23</v>
      </c>
      <c r="V344" s="153">
        <f ca="1">ROUND((OFFSET(卡牌辅助配置表!$O$1,MATCH(U344,卡牌辅助配置表!M:M,0)-1,0)+(N344-1)*OFFSET(卡牌辅助配置表!$P$1,MATCH(U344,卡牌辅助配置表!M:M,0)-1,0))*M344,2)</f>
        <v>77.28</v>
      </c>
      <c r="W344" s="157">
        <f ca="1">ROUND(IF(R344=0,0,IF(R344=1,X344*$W$1,IF(R344=2,X344*$W$1*buff的资质计算!$E$2,IF(R344=3,X344*$W$1*buff的资质计算!$E$3,0)))),2)</f>
        <v>17.4</v>
      </c>
      <c r="X344" s="157">
        <f ca="1" t="shared" si="59"/>
        <v>58</v>
      </c>
      <c r="Y344" s="157">
        <f ca="1" t="shared" si="64"/>
        <v>59.2857142857143</v>
      </c>
      <c r="Z344" s="304">
        <f ca="1" t="shared" si="60"/>
        <v>19.7619047619048</v>
      </c>
      <c r="AA344" s="304">
        <f ca="1">OFFSET(卡牌辅助配置表!$AD$1,MATCH(AB344,卡牌辅助配置表!AB:AB,0)-1,0)</f>
        <v>1899</v>
      </c>
      <c r="AB344" s="304">
        <f ca="1" t="shared" si="61"/>
        <v>2309</v>
      </c>
      <c r="AC344" s="153">
        <v>12</v>
      </c>
      <c r="AF344" s="153" t="str">
        <f ca="1" t="shared" si="65"/>
        <v>10120011|</v>
      </c>
      <c r="AJ344" s="205" t="str">
        <f ca="1" t="shared" si="62"/>
        <v>301012|15|;400023|4600|;</v>
      </c>
      <c r="AK344" s="205">
        <f ca="1">OFFSET([1]item_type!$A$1,MATCH(Q344,[1]item_type!$G:$G,0)-1,0)</f>
        <v>301012</v>
      </c>
      <c r="AL344" s="205">
        <v>15</v>
      </c>
      <c r="AM344" s="205">
        <f ca="1">IF(B344=B345,OFFSET(卡牌辅助配置表!$AE$1,MATCH(AB344,卡牌辅助配置表!AB:AB,0),0),0)</f>
        <v>4600</v>
      </c>
      <c r="AN344" s="153">
        <f ca="1" t="shared" si="63"/>
        <v>1012010</v>
      </c>
      <c r="AP344" s="153">
        <f ca="1">IF(AC344=0,0,IF(AC344=12,0,OFFSET(effect!$N$1,MATCH(K344,effect!M:M,0)-1,0)))</f>
        <v>0</v>
      </c>
    </row>
    <row r="345" spans="1:42">
      <c r="A345" s="153">
        <f ca="1" t="shared" si="56"/>
        <v>1012010</v>
      </c>
      <c r="B345" s="91" t="s">
        <v>633</v>
      </c>
      <c r="C345" s="186">
        <v>1</v>
      </c>
      <c r="D345" s="186">
        <v>6</v>
      </c>
      <c r="E345" s="165"/>
      <c r="F345" s="179" t="s">
        <v>1051</v>
      </c>
      <c r="G345" s="186">
        <f ca="1">OFFSET(卡牌辅助配置表!$C$1,MATCH(AC345,卡牌辅助配置表!A:A,0)-1,0)</f>
        <v>0</v>
      </c>
      <c r="H345" s="186">
        <f ca="1">OFFSET(skill!$Q$1,MATCH(B345,skill!B:B,0)-1,0)</f>
        <v>1.28571428571429</v>
      </c>
      <c r="I345" s="186"/>
      <c r="J345" s="186">
        <f ca="1">OFFSET(card_type!$F$1,MATCH(Q345,card_type!A:A,0)-1,0)</f>
        <v>2</v>
      </c>
      <c r="K345" s="243">
        <f ca="1">OFFSET(card_type!$G$1,MATCH(Q345,card_type!A:A,0)-1,0)</f>
        <v>3</v>
      </c>
      <c r="L345" s="157">
        <v>3</v>
      </c>
      <c r="M345" s="157">
        <v>3</v>
      </c>
      <c r="N345" s="153">
        <f t="shared" si="57"/>
        <v>10</v>
      </c>
      <c r="O345" s="157"/>
      <c r="P345" s="157"/>
      <c r="Q345" s="153">
        <f ca="1">OFFSET(card_type!$A$1,MATCH(card!B345,card_type!B:B,0)-1,0)</f>
        <v>1012</v>
      </c>
      <c r="R345" s="153">
        <v>1</v>
      </c>
      <c r="S345" s="157">
        <f ca="1">ROUND(IF(R345=0,0,IF(R345=1,X345*$S$1,IF(R345=2,X345*$S$1*buff的资质计算!$E$2,IF(R345=3,X345*$S$1*buff的资质计算!$E$3,0)))),0)*0</f>
        <v>0</v>
      </c>
      <c r="T345" s="153">
        <v>5</v>
      </c>
      <c r="U345" s="153">
        <f ca="1" t="shared" si="58"/>
        <v>23</v>
      </c>
      <c r="V345" s="153">
        <f ca="1">ROUND((OFFSET(卡牌辅助配置表!$O$1,MATCH(U345,卡牌辅助配置表!M:M,0)-1,0)+(N345-1)*OFFSET(卡牌辅助配置表!$P$1,MATCH(U345,卡牌辅助配置表!M:M,0)-1,0))*M345,2)</f>
        <v>80.64</v>
      </c>
      <c r="W345" s="157">
        <f ca="1">ROUND(IF(R345=0,0,IF(R345=1,X345*$W$1,IF(R345=2,X345*$W$1*buff的资质计算!$E$2,IF(R345=3,X345*$W$1*buff的资质计算!$E$3,0)))),2)</f>
        <v>17.55</v>
      </c>
      <c r="X345" s="157">
        <f ca="1" t="shared" si="59"/>
        <v>58.5</v>
      </c>
      <c r="Y345" s="157">
        <f ca="1" t="shared" si="64"/>
        <v>59.7857142857143</v>
      </c>
      <c r="Z345" s="304">
        <f ca="1" t="shared" si="60"/>
        <v>19.9285714285714</v>
      </c>
      <c r="AA345" s="304">
        <f ca="1">OFFSET(卡牌辅助配置表!$AD$1,MATCH(AB345,卡牌辅助配置表!AB:AB,0)-1,0)</f>
        <v>2110</v>
      </c>
      <c r="AB345" s="304">
        <f ca="1" t="shared" si="61"/>
        <v>2310</v>
      </c>
      <c r="AC345" s="153">
        <v>12</v>
      </c>
      <c r="AF345" s="153" t="str">
        <f ca="1" t="shared" si="65"/>
        <v>10120011|</v>
      </c>
      <c r="AJ345" s="205" t="str">
        <f ca="1" t="shared" si="62"/>
        <v>400023|5400|;</v>
      </c>
      <c r="AK345" s="205">
        <f ca="1">OFFSET([1]item_type!$A$1,MATCH(Q345,[1]item_type!$G:$G,0)-1,0)</f>
        <v>301012</v>
      </c>
      <c r="AL345" s="205"/>
      <c r="AM345" s="205">
        <f ca="1">IF(B345=B346,OFFSET(卡牌辅助配置表!$AE$1,MATCH(AB345,卡牌辅助配置表!AB:AB,0),0),0)</f>
        <v>5400</v>
      </c>
      <c r="AN345" s="153">
        <f ca="1" t="shared" si="63"/>
        <v>1012011</v>
      </c>
      <c r="AP345" s="153">
        <f ca="1">IF(AC345=0,0,IF(AC345=12,0,OFFSET(effect!$N$1,MATCH(K345,effect!M:M,0)-1,0)))</f>
        <v>0</v>
      </c>
    </row>
    <row r="346" spans="1:42">
      <c r="A346" s="153">
        <f ca="1" t="shared" si="56"/>
        <v>1012011</v>
      </c>
      <c r="B346" s="91" t="s">
        <v>633</v>
      </c>
      <c r="C346" s="186">
        <v>1</v>
      </c>
      <c r="D346" s="186">
        <v>6</v>
      </c>
      <c r="E346" s="165"/>
      <c r="F346" s="179" t="s">
        <v>1051</v>
      </c>
      <c r="G346" s="186">
        <f ca="1">OFFSET(卡牌辅助配置表!$C$1,MATCH(AC346,卡牌辅助配置表!A:A,0)-1,0)</f>
        <v>0</v>
      </c>
      <c r="H346" s="186">
        <f ca="1">OFFSET(skill!$Q$1,MATCH(B346,skill!B:B,0)-1,0)</f>
        <v>1.28571428571429</v>
      </c>
      <c r="I346" s="186"/>
      <c r="J346" s="186">
        <f ca="1">OFFSET(card_type!$F$1,MATCH(Q346,card_type!A:A,0)-1,0)</f>
        <v>2</v>
      </c>
      <c r="K346" s="243">
        <f ca="1">OFFSET(card_type!$G$1,MATCH(Q346,card_type!A:A,0)-1,0)</f>
        <v>3</v>
      </c>
      <c r="L346" s="157">
        <v>3</v>
      </c>
      <c r="M346" s="157">
        <v>3</v>
      </c>
      <c r="N346" s="153">
        <f t="shared" si="57"/>
        <v>11</v>
      </c>
      <c r="O346" s="157"/>
      <c r="P346" s="157"/>
      <c r="Q346" s="153">
        <f ca="1">OFFSET(card_type!$A$1,MATCH(card!B346,card_type!B:B,0)-1,0)</f>
        <v>1012</v>
      </c>
      <c r="R346" s="153">
        <v>1</v>
      </c>
      <c r="S346" s="157">
        <f ca="1">ROUND(IF(R346=0,0,IF(R346=1,X346*$S$1,IF(R346=2,X346*$S$1*buff的资质计算!$E$2,IF(R346=3,X346*$S$1*buff的资质计算!$E$3,0)))),0)*0</f>
        <v>0</v>
      </c>
      <c r="T346" s="153">
        <v>5</v>
      </c>
      <c r="U346" s="153">
        <f ca="1" t="shared" si="58"/>
        <v>23</v>
      </c>
      <c r="V346" s="153">
        <f ca="1">ROUND((OFFSET(卡牌辅助配置表!$O$1,MATCH(U346,卡牌辅助配置表!M:M,0)-1,0)+(N346-1)*OFFSET(卡牌辅助配置表!$P$1,MATCH(U346,卡牌辅助配置表!M:M,0)-1,0))*M346,2)</f>
        <v>84</v>
      </c>
      <c r="W346" s="157">
        <f ca="1">ROUND(IF(R346=0,0,IF(R346=1,X346*$W$1,IF(R346=2,X346*$W$1*buff的资质计算!$E$2,IF(R346=3,X346*$W$1*buff的资质计算!$E$3,0)))),2)</f>
        <v>17.7</v>
      </c>
      <c r="X346" s="157">
        <f ca="1" t="shared" si="59"/>
        <v>59</v>
      </c>
      <c r="Y346" s="157">
        <f ca="1" t="shared" si="64"/>
        <v>60.2857142857143</v>
      </c>
      <c r="Z346" s="304">
        <f ca="1" t="shared" si="60"/>
        <v>20.0952380952381</v>
      </c>
      <c r="AA346" s="304">
        <f ca="1">OFFSET(卡牌辅助配置表!$AD$1,MATCH(AB346,卡牌辅助配置表!AB:AB,0)-1,0)</f>
        <v>2427</v>
      </c>
      <c r="AB346" s="304">
        <f ca="1" t="shared" si="61"/>
        <v>2311</v>
      </c>
      <c r="AC346" s="153">
        <v>12</v>
      </c>
      <c r="AF346" s="153" t="str">
        <f ca="1" t="shared" si="65"/>
        <v>10120011|</v>
      </c>
      <c r="AJ346" s="205" t="str">
        <f ca="1" t="shared" si="62"/>
        <v>400023|6200|;</v>
      </c>
      <c r="AK346" s="205">
        <f ca="1">OFFSET([1]item_type!$A$1,MATCH(Q346,[1]item_type!$G:$G,0)-1,0)</f>
        <v>301012</v>
      </c>
      <c r="AL346" s="205"/>
      <c r="AM346" s="205">
        <f ca="1">IF(B346=B347,OFFSET(卡牌辅助配置表!$AE$1,MATCH(AB346,卡牌辅助配置表!AB:AB,0),0),0)</f>
        <v>6200</v>
      </c>
      <c r="AN346" s="153">
        <f ca="1" t="shared" si="63"/>
        <v>1012012</v>
      </c>
      <c r="AP346" s="153">
        <f ca="1">IF(AC346=0,0,IF(AC346=12,0,OFFSET(effect!$N$1,MATCH(K346,effect!M:M,0)-1,0)))</f>
        <v>0</v>
      </c>
    </row>
    <row r="347" spans="1:42">
      <c r="A347" s="153">
        <f ca="1" t="shared" si="56"/>
        <v>1012012</v>
      </c>
      <c r="B347" s="91" t="s">
        <v>633</v>
      </c>
      <c r="C347" s="186">
        <v>1</v>
      </c>
      <c r="D347" s="186">
        <v>6</v>
      </c>
      <c r="E347" s="165"/>
      <c r="F347" s="179" t="s">
        <v>1051</v>
      </c>
      <c r="G347" s="186">
        <f ca="1">OFFSET(卡牌辅助配置表!$C$1,MATCH(AC347,卡牌辅助配置表!A:A,0)-1,0)</f>
        <v>0</v>
      </c>
      <c r="H347" s="186">
        <f ca="1">OFFSET(skill!$Q$1,MATCH(B347,skill!B:B,0)-1,0)</f>
        <v>1.28571428571429</v>
      </c>
      <c r="I347" s="186"/>
      <c r="J347" s="186">
        <f ca="1">OFFSET(card_type!$F$1,MATCH(Q347,card_type!A:A,0)-1,0)</f>
        <v>2</v>
      </c>
      <c r="K347" s="243">
        <f ca="1">OFFSET(card_type!$G$1,MATCH(Q347,card_type!A:A,0)-1,0)</f>
        <v>3</v>
      </c>
      <c r="L347" s="157">
        <v>3</v>
      </c>
      <c r="M347" s="157">
        <v>3</v>
      </c>
      <c r="N347" s="153">
        <f t="shared" si="57"/>
        <v>12</v>
      </c>
      <c r="O347" s="157"/>
      <c r="P347" s="157"/>
      <c r="Q347" s="153">
        <f ca="1">OFFSET(card_type!$A$1,MATCH(card!B347,card_type!B:B,0)-1,0)</f>
        <v>1012</v>
      </c>
      <c r="R347" s="153">
        <v>1</v>
      </c>
      <c r="S347" s="157">
        <f ca="1">ROUND(IF(R347=0,0,IF(R347=1,X347*$S$1,IF(R347=2,X347*$S$1*buff的资质计算!$E$2,IF(R347=3,X347*$S$1*buff的资质计算!$E$3,0)))),0)*0</f>
        <v>0</v>
      </c>
      <c r="T347" s="153">
        <v>5</v>
      </c>
      <c r="U347" s="153">
        <f ca="1" t="shared" si="58"/>
        <v>23</v>
      </c>
      <c r="V347" s="153">
        <f ca="1">ROUND((OFFSET(卡牌辅助配置表!$O$1,MATCH(U347,卡牌辅助配置表!M:M,0)-1,0)+(N347-1)*OFFSET(卡牌辅助配置表!$P$1,MATCH(U347,卡牌辅助配置表!M:M,0)-1,0))*M347,2)</f>
        <v>87.36</v>
      </c>
      <c r="W347" s="157">
        <f ca="1">ROUND(IF(R347=0,0,IF(R347=1,X347*$W$1,IF(R347=2,X347*$W$1*buff的资质计算!$E$2,IF(R347=3,X347*$W$1*buff的资质计算!$E$3,0)))),2)</f>
        <v>17.85</v>
      </c>
      <c r="X347" s="157">
        <f ca="1" t="shared" si="59"/>
        <v>59.5</v>
      </c>
      <c r="Y347" s="157">
        <f ca="1" t="shared" si="64"/>
        <v>60.7857142857143</v>
      </c>
      <c r="Z347" s="304">
        <f ca="1" t="shared" si="60"/>
        <v>20.2619047619048</v>
      </c>
      <c r="AA347" s="304">
        <f ca="1">OFFSET(卡牌辅助配置表!$AD$1,MATCH(AB347,卡牌辅助配置表!AB:AB,0)-1,0)</f>
        <v>2744</v>
      </c>
      <c r="AB347" s="304">
        <f ca="1" t="shared" si="61"/>
        <v>2312</v>
      </c>
      <c r="AC347" s="153">
        <v>12</v>
      </c>
      <c r="AF347" s="153" t="str">
        <f ca="1" t="shared" si="65"/>
        <v>10120011|</v>
      </c>
      <c r="AJ347" s="205" t="str">
        <f ca="1" t="shared" si="62"/>
        <v>400023|7000|;</v>
      </c>
      <c r="AK347" s="205">
        <f ca="1">OFFSET([1]item_type!$A$1,MATCH(Q347,[1]item_type!$G:$G,0)-1,0)</f>
        <v>301012</v>
      </c>
      <c r="AL347" s="205"/>
      <c r="AM347" s="205">
        <f ca="1">IF(B347=B348,OFFSET(卡牌辅助配置表!$AE$1,MATCH(AB347,卡牌辅助配置表!AB:AB,0),0),0)</f>
        <v>7000</v>
      </c>
      <c r="AN347" s="153">
        <f ca="1" t="shared" si="63"/>
        <v>1012013</v>
      </c>
      <c r="AP347" s="153">
        <f ca="1">IF(AC347=0,0,IF(AC347=12,0,OFFSET(effect!$N$1,MATCH(K347,effect!M:M,0)-1,0)))</f>
        <v>0</v>
      </c>
    </row>
    <row r="348" spans="1:42">
      <c r="A348" s="153">
        <f ca="1" t="shared" si="56"/>
        <v>1012013</v>
      </c>
      <c r="B348" s="91" t="s">
        <v>633</v>
      </c>
      <c r="C348" s="186">
        <v>1</v>
      </c>
      <c r="D348" s="186">
        <v>6</v>
      </c>
      <c r="E348" s="165"/>
      <c r="F348" s="179" t="s">
        <v>1051</v>
      </c>
      <c r="G348" s="186">
        <f ca="1">OFFSET(卡牌辅助配置表!$C$1,MATCH(AC348,卡牌辅助配置表!A:A,0)-1,0)</f>
        <v>0</v>
      </c>
      <c r="H348" s="186">
        <f ca="1">OFFSET(skill!$Q$1,MATCH(B348,skill!B:B,0)-1,0)</f>
        <v>1.28571428571429</v>
      </c>
      <c r="I348" s="186"/>
      <c r="J348" s="186">
        <f ca="1">OFFSET(card_type!$F$1,MATCH(Q348,card_type!A:A,0)-1,0)</f>
        <v>2</v>
      </c>
      <c r="K348" s="243">
        <f ca="1">OFFSET(card_type!$G$1,MATCH(Q348,card_type!A:A,0)-1,0)</f>
        <v>3</v>
      </c>
      <c r="L348" s="157">
        <v>3</v>
      </c>
      <c r="M348" s="157">
        <v>3</v>
      </c>
      <c r="N348" s="153">
        <f t="shared" si="57"/>
        <v>13</v>
      </c>
      <c r="O348" s="157"/>
      <c r="P348" s="157"/>
      <c r="Q348" s="153">
        <f ca="1">OFFSET(card_type!$A$1,MATCH(card!B348,card_type!B:B,0)-1,0)</f>
        <v>1012</v>
      </c>
      <c r="R348" s="153">
        <v>1</v>
      </c>
      <c r="S348" s="157">
        <f ca="1">ROUND(IF(R348=0,0,IF(R348=1,X348*$S$1,IF(R348=2,X348*$S$1*buff的资质计算!$E$2,IF(R348=3,X348*$S$1*buff的资质计算!$E$3,0)))),0)*0</f>
        <v>0</v>
      </c>
      <c r="T348" s="153">
        <v>5</v>
      </c>
      <c r="U348" s="153">
        <f ca="1" t="shared" si="58"/>
        <v>23</v>
      </c>
      <c r="V348" s="153">
        <f ca="1">ROUND((OFFSET(卡牌辅助配置表!$O$1,MATCH(U348,卡牌辅助配置表!M:M,0)-1,0)+(N348-1)*OFFSET(卡牌辅助配置表!$P$1,MATCH(U348,卡牌辅助配置表!M:M,0)-1,0))*M348,2)</f>
        <v>90.72</v>
      </c>
      <c r="W348" s="157">
        <f ca="1">ROUND(IF(R348=0,0,IF(R348=1,X348*$W$1,IF(R348=2,X348*$W$1*buff的资质计算!$E$2,IF(R348=3,X348*$W$1*buff的资质计算!$E$3,0)))),2)</f>
        <v>18</v>
      </c>
      <c r="X348" s="157">
        <f ca="1" t="shared" si="59"/>
        <v>60</v>
      </c>
      <c r="Y348" s="157">
        <f ca="1" t="shared" si="64"/>
        <v>61.2857142857143</v>
      </c>
      <c r="Z348" s="304">
        <f ca="1" t="shared" si="60"/>
        <v>20.4285714285714</v>
      </c>
      <c r="AA348" s="304">
        <f ca="1">OFFSET(卡牌辅助配置表!$AD$1,MATCH(AB348,卡牌辅助配置表!AB:AB,0)-1,0)</f>
        <v>3061</v>
      </c>
      <c r="AB348" s="304">
        <f ca="1" t="shared" si="61"/>
        <v>2313</v>
      </c>
      <c r="AC348" s="153">
        <v>12</v>
      </c>
      <c r="AF348" s="153" t="str">
        <f ca="1" t="shared" si="65"/>
        <v>10120011|</v>
      </c>
      <c r="AJ348" s="205" t="str">
        <f ca="1" t="shared" si="62"/>
        <v>400023|7800|;</v>
      </c>
      <c r="AK348" s="205">
        <f ca="1">OFFSET([1]item_type!$A$1,MATCH(Q348,[1]item_type!$G:$G,0)-1,0)</f>
        <v>301012</v>
      </c>
      <c r="AL348" s="205"/>
      <c r="AM348" s="205">
        <f ca="1">IF(B348=B349,OFFSET(卡牌辅助配置表!$AE$1,MATCH(AB348,卡牌辅助配置表!AB:AB,0),0),0)</f>
        <v>7800</v>
      </c>
      <c r="AN348" s="153">
        <f ca="1" t="shared" si="63"/>
        <v>1012014</v>
      </c>
      <c r="AP348" s="153">
        <f ca="1">IF(AC348=0,0,IF(AC348=12,0,OFFSET(effect!$N$1,MATCH(K348,effect!M:M,0)-1,0)))</f>
        <v>0</v>
      </c>
    </row>
    <row r="349" spans="1:42">
      <c r="A349" s="153">
        <f ca="1" t="shared" si="56"/>
        <v>1012014</v>
      </c>
      <c r="B349" s="91" t="s">
        <v>633</v>
      </c>
      <c r="C349" s="186">
        <v>1</v>
      </c>
      <c r="D349" s="186">
        <v>6</v>
      </c>
      <c r="E349" s="165"/>
      <c r="F349" s="179" t="s">
        <v>1051</v>
      </c>
      <c r="G349" s="186">
        <f ca="1">OFFSET(卡牌辅助配置表!$C$1,MATCH(AC349,卡牌辅助配置表!A:A,0)-1,0)</f>
        <v>0</v>
      </c>
      <c r="H349" s="186">
        <f ca="1">OFFSET(skill!$Q$1,MATCH(B349,skill!B:B,0)-1,0)</f>
        <v>1.28571428571429</v>
      </c>
      <c r="I349" s="186"/>
      <c r="J349" s="186">
        <f ca="1">OFFSET(card_type!$F$1,MATCH(Q349,card_type!A:A,0)-1,0)</f>
        <v>2</v>
      </c>
      <c r="K349" s="243">
        <f ca="1">OFFSET(card_type!$G$1,MATCH(Q349,card_type!A:A,0)-1,0)</f>
        <v>3</v>
      </c>
      <c r="L349" s="157">
        <v>3</v>
      </c>
      <c r="M349" s="157">
        <v>3</v>
      </c>
      <c r="N349" s="153">
        <f t="shared" si="57"/>
        <v>14</v>
      </c>
      <c r="O349" s="157"/>
      <c r="P349" s="157"/>
      <c r="Q349" s="153">
        <f ca="1">OFFSET(card_type!$A$1,MATCH(card!B349,card_type!B:B,0)-1,0)</f>
        <v>1012</v>
      </c>
      <c r="R349" s="153">
        <v>1</v>
      </c>
      <c r="S349" s="157">
        <f ca="1">ROUND(IF(R349=0,0,IF(R349=1,X349*$S$1,IF(R349=2,X349*$S$1*buff的资质计算!$E$2,IF(R349=3,X349*$S$1*buff的资质计算!$E$3,0)))),0)*0</f>
        <v>0</v>
      </c>
      <c r="T349" s="153">
        <v>5</v>
      </c>
      <c r="U349" s="153">
        <f ca="1" t="shared" si="58"/>
        <v>23</v>
      </c>
      <c r="V349" s="153">
        <f ca="1">ROUND((OFFSET(卡牌辅助配置表!$O$1,MATCH(U349,卡牌辅助配置表!M:M,0)-1,0)+(N349-1)*OFFSET(卡牌辅助配置表!$P$1,MATCH(U349,卡牌辅助配置表!M:M,0)-1,0))*M349,2)</f>
        <v>94.08</v>
      </c>
      <c r="W349" s="157">
        <f ca="1">ROUND(IF(R349=0,0,IF(R349=1,X349*$W$1,IF(R349=2,X349*$W$1*buff的资质计算!$E$2,IF(R349=3,X349*$W$1*buff的资质计算!$E$3,0)))),2)</f>
        <v>18.15</v>
      </c>
      <c r="X349" s="157">
        <f ca="1" t="shared" si="59"/>
        <v>60.5</v>
      </c>
      <c r="Y349" s="157">
        <f ca="1" t="shared" si="64"/>
        <v>61.7857142857143</v>
      </c>
      <c r="Z349" s="304">
        <f ca="1" t="shared" si="60"/>
        <v>20.5952380952381</v>
      </c>
      <c r="AA349" s="304">
        <f ca="1">OFFSET(卡牌辅助配置表!$AD$1,MATCH(AB349,卡牌辅助配置表!AB:AB,0)-1,0)</f>
        <v>3378</v>
      </c>
      <c r="AB349" s="304">
        <f ca="1" t="shared" si="61"/>
        <v>2314</v>
      </c>
      <c r="AC349" s="153">
        <v>12</v>
      </c>
      <c r="AF349" s="153" t="str">
        <f ca="1" t="shared" si="65"/>
        <v>10120011|</v>
      </c>
      <c r="AJ349" s="205" t="str">
        <f ca="1" t="shared" si="62"/>
        <v>400023|8600|;</v>
      </c>
      <c r="AK349" s="205">
        <f ca="1">OFFSET([1]item_type!$A$1,MATCH(Q349,[1]item_type!$G:$G,0)-1,0)</f>
        <v>301012</v>
      </c>
      <c r="AL349" s="205"/>
      <c r="AM349" s="205">
        <f ca="1">IF(B349=B350,OFFSET(卡牌辅助配置表!$AE$1,MATCH(AB349,卡牌辅助配置表!AB:AB,0),0),0)</f>
        <v>8600</v>
      </c>
      <c r="AN349" s="153">
        <f ca="1" t="shared" si="63"/>
        <v>1012015</v>
      </c>
      <c r="AP349" s="153">
        <f ca="1">IF(AC349=0,0,IF(AC349=12,0,OFFSET(effect!$N$1,MATCH(K349,effect!M:M,0)-1,0)))</f>
        <v>0</v>
      </c>
    </row>
    <row r="350" spans="1:42">
      <c r="A350" s="153">
        <f ca="1" t="shared" si="56"/>
        <v>1012015</v>
      </c>
      <c r="B350" s="91" t="s">
        <v>633</v>
      </c>
      <c r="C350" s="186">
        <v>1</v>
      </c>
      <c r="D350" s="186">
        <v>6</v>
      </c>
      <c r="E350" s="165"/>
      <c r="F350" s="179" t="s">
        <v>1051</v>
      </c>
      <c r="G350" s="186">
        <f ca="1">OFFSET(卡牌辅助配置表!$C$1,MATCH(AC350,卡牌辅助配置表!A:A,0)-1,0)</f>
        <v>0</v>
      </c>
      <c r="H350" s="186">
        <f ca="1">OFFSET(skill!$Q$1,MATCH(B350,skill!B:B,0)-1,0)</f>
        <v>1.28571428571429</v>
      </c>
      <c r="I350" s="186"/>
      <c r="J350" s="186">
        <f ca="1">OFFSET(card_type!$F$1,MATCH(Q350,card_type!A:A,0)-1,0)</f>
        <v>2</v>
      </c>
      <c r="K350" s="243">
        <f ca="1">OFFSET(card_type!$G$1,MATCH(Q350,card_type!A:A,0)-1,0)</f>
        <v>3</v>
      </c>
      <c r="L350" s="157">
        <v>3</v>
      </c>
      <c r="M350" s="157">
        <v>3</v>
      </c>
      <c r="N350" s="153">
        <f t="shared" si="57"/>
        <v>15</v>
      </c>
      <c r="O350" s="157"/>
      <c r="P350" s="157"/>
      <c r="Q350" s="153">
        <f ca="1">OFFSET(card_type!$A$1,MATCH(card!B350,card_type!B:B,0)-1,0)</f>
        <v>1012</v>
      </c>
      <c r="R350" s="153">
        <v>1</v>
      </c>
      <c r="S350" s="157">
        <f ca="1">ROUND(IF(R350=0,0,IF(R350=1,X350*$S$1,IF(R350=2,X350*$S$1*buff的资质计算!$E$2,IF(R350=3,X350*$S$1*buff的资质计算!$E$3,0)))),0)*0</f>
        <v>0</v>
      </c>
      <c r="T350" s="153">
        <v>5</v>
      </c>
      <c r="U350" s="153">
        <f ca="1" t="shared" si="58"/>
        <v>23</v>
      </c>
      <c r="V350" s="153">
        <f ca="1">ROUND((OFFSET(卡牌辅助配置表!$O$1,MATCH(U350,卡牌辅助配置表!M:M,0)-1,0)+(N350-1)*OFFSET(卡牌辅助配置表!$P$1,MATCH(U350,卡牌辅助配置表!M:M,0)-1,0))*M350,2)</f>
        <v>97.44</v>
      </c>
      <c r="W350" s="157">
        <f ca="1">ROUND(IF(R350=0,0,IF(R350=1,X350*$W$1,IF(R350=2,X350*$W$1*buff的资质计算!$E$2,IF(R350=3,X350*$W$1*buff的资质计算!$E$3,0)))),2)</f>
        <v>18.3</v>
      </c>
      <c r="X350" s="157">
        <f ca="1" t="shared" si="59"/>
        <v>61</v>
      </c>
      <c r="Y350" s="157">
        <f ca="1" t="shared" si="64"/>
        <v>62.2857142857143</v>
      </c>
      <c r="Z350" s="304">
        <f ca="1" t="shared" si="60"/>
        <v>20.7619047619048</v>
      </c>
      <c r="AA350" s="304">
        <f ca="1">OFFSET(卡牌辅助配置表!$AD$1,MATCH(AB350,卡牌辅助配置表!AB:AB,0)-1,0)</f>
        <v>3695</v>
      </c>
      <c r="AB350" s="304">
        <f ca="1" t="shared" si="61"/>
        <v>2315</v>
      </c>
      <c r="AC350" s="153">
        <v>12</v>
      </c>
      <c r="AF350" s="153" t="str">
        <f ca="1" t="shared" si="65"/>
        <v>10120011|</v>
      </c>
      <c r="AJ350" s="205" t="str">
        <f ca="1" t="shared" si="62"/>
        <v>400023|9400|;</v>
      </c>
      <c r="AK350" s="205">
        <f ca="1">OFFSET([1]item_type!$A$1,MATCH(Q350,[1]item_type!$G:$G,0)-1,0)</f>
        <v>301012</v>
      </c>
      <c r="AL350" s="205"/>
      <c r="AM350" s="205">
        <f ca="1">IF(B350=B351,OFFSET(卡牌辅助配置表!$AE$1,MATCH(AB350,卡牌辅助配置表!AB:AB,0),0),0)</f>
        <v>9400</v>
      </c>
      <c r="AN350" s="153">
        <f ca="1" t="shared" si="63"/>
        <v>1012016</v>
      </c>
      <c r="AP350" s="153">
        <f ca="1">IF(AC350=0,0,IF(AC350=12,0,OFFSET(effect!$N$1,MATCH(K350,effect!M:M,0)-1,0)))</f>
        <v>0</v>
      </c>
    </row>
    <row r="351" spans="1:42">
      <c r="A351" s="153">
        <f ca="1" t="shared" si="56"/>
        <v>1012016</v>
      </c>
      <c r="B351" s="91" t="s">
        <v>633</v>
      </c>
      <c r="C351" s="186">
        <v>1</v>
      </c>
      <c r="D351" s="186">
        <v>6</v>
      </c>
      <c r="E351" s="165"/>
      <c r="F351" s="179" t="s">
        <v>1051</v>
      </c>
      <c r="G351" s="186">
        <f ca="1">OFFSET(卡牌辅助配置表!$C$1,MATCH(AC351,卡牌辅助配置表!A:A,0)-1,0)</f>
        <v>0</v>
      </c>
      <c r="H351" s="186">
        <f ca="1">OFFSET(skill!$Q$1,MATCH(B351,skill!B:B,0)-1,0)</f>
        <v>1.28571428571429</v>
      </c>
      <c r="I351" s="186"/>
      <c r="J351" s="186">
        <f ca="1">OFFSET(card_type!$F$1,MATCH(Q351,card_type!A:A,0)-1,0)</f>
        <v>2</v>
      </c>
      <c r="K351" s="243">
        <f ca="1">OFFSET(card_type!$G$1,MATCH(Q351,card_type!A:A,0)-1,0)</f>
        <v>3</v>
      </c>
      <c r="L351" s="157">
        <v>3</v>
      </c>
      <c r="M351" s="157">
        <v>3</v>
      </c>
      <c r="N351" s="153">
        <f t="shared" si="57"/>
        <v>16</v>
      </c>
      <c r="O351" s="157"/>
      <c r="P351" s="157"/>
      <c r="Q351" s="153">
        <f ca="1">OFFSET(card_type!$A$1,MATCH(card!B351,card_type!B:B,0)-1,0)</f>
        <v>1012</v>
      </c>
      <c r="R351" s="153">
        <v>1</v>
      </c>
      <c r="S351" s="157">
        <f ca="1">ROUND(IF(R351=0,0,IF(R351=1,X351*$S$1,IF(R351=2,X351*$S$1*buff的资质计算!$E$2,IF(R351=3,X351*$S$1*buff的资质计算!$E$3,0)))),0)*0</f>
        <v>0</v>
      </c>
      <c r="T351" s="153">
        <v>5</v>
      </c>
      <c r="U351" s="153">
        <f ca="1" t="shared" si="58"/>
        <v>23</v>
      </c>
      <c r="V351" s="153">
        <f ca="1">ROUND((OFFSET(卡牌辅助配置表!$O$1,MATCH(U351,卡牌辅助配置表!M:M,0)-1,0)+(N351-1)*OFFSET(卡牌辅助配置表!$P$1,MATCH(U351,卡牌辅助配置表!M:M,0)-1,0))*M351,2)</f>
        <v>100.8</v>
      </c>
      <c r="W351" s="157">
        <f ca="1">ROUND(IF(R351=0,0,IF(R351=1,X351*$W$1,IF(R351=2,X351*$W$1*buff的资质计算!$E$2,IF(R351=3,X351*$W$1*buff的资质计算!$E$3,0)))),2)</f>
        <v>18.45</v>
      </c>
      <c r="X351" s="157">
        <f ca="1" t="shared" si="59"/>
        <v>61.5</v>
      </c>
      <c r="Y351" s="157">
        <f ca="1" t="shared" si="64"/>
        <v>62.7857142857143</v>
      </c>
      <c r="Z351" s="304">
        <f ca="1" t="shared" si="60"/>
        <v>20.9285714285714</v>
      </c>
      <c r="AA351" s="304">
        <f ca="1">OFFSET(卡牌辅助配置表!$AD$1,MATCH(AB351,卡牌辅助配置表!AB:AB,0)-1,0)</f>
        <v>4012</v>
      </c>
      <c r="AB351" s="304">
        <f ca="1" t="shared" si="61"/>
        <v>2316</v>
      </c>
      <c r="AC351" s="153">
        <v>12</v>
      </c>
      <c r="AF351" s="153" t="str">
        <f ca="1" t="shared" si="65"/>
        <v>10120011|</v>
      </c>
      <c r="AJ351" s="205" t="str">
        <f ca="1" t="shared" si="62"/>
        <v>400023|10200|;</v>
      </c>
      <c r="AK351" s="205">
        <f ca="1">OFFSET([1]item_type!$A$1,MATCH(Q351,[1]item_type!$G:$G,0)-1,0)</f>
        <v>301012</v>
      </c>
      <c r="AL351" s="205"/>
      <c r="AM351" s="205">
        <f ca="1">IF(B351=B352,OFFSET(卡牌辅助配置表!$AE$1,MATCH(AB351,卡牌辅助配置表!AB:AB,0),0),0)</f>
        <v>10200</v>
      </c>
      <c r="AN351" s="153">
        <f ca="1" t="shared" si="63"/>
        <v>1012017</v>
      </c>
      <c r="AP351" s="153">
        <f ca="1">IF(AC351=0,0,IF(AC351=12,0,OFFSET(effect!$N$1,MATCH(K351,effect!M:M,0)-1,0)))</f>
        <v>0</v>
      </c>
    </row>
    <row r="352" spans="1:42">
      <c r="A352" s="153">
        <f ca="1" t="shared" si="56"/>
        <v>1012017</v>
      </c>
      <c r="B352" s="91" t="s">
        <v>633</v>
      </c>
      <c r="C352" s="186">
        <v>1</v>
      </c>
      <c r="D352" s="186">
        <v>6</v>
      </c>
      <c r="E352" s="165"/>
      <c r="F352" s="179" t="s">
        <v>1051</v>
      </c>
      <c r="G352" s="186">
        <f ca="1">OFFSET(卡牌辅助配置表!$C$1,MATCH(AC352,卡牌辅助配置表!A:A,0)-1,0)</f>
        <v>0</v>
      </c>
      <c r="H352" s="186">
        <f ca="1">OFFSET(skill!$Q$1,MATCH(B352,skill!B:B,0)-1,0)</f>
        <v>1.28571428571429</v>
      </c>
      <c r="I352" s="186"/>
      <c r="J352" s="186">
        <f ca="1">OFFSET(card_type!$F$1,MATCH(Q352,card_type!A:A,0)-1,0)</f>
        <v>2</v>
      </c>
      <c r="K352" s="243">
        <f ca="1">OFFSET(card_type!$G$1,MATCH(Q352,card_type!A:A,0)-1,0)</f>
        <v>3</v>
      </c>
      <c r="L352" s="157">
        <v>3</v>
      </c>
      <c r="M352" s="157">
        <v>3</v>
      </c>
      <c r="N352" s="153">
        <f t="shared" si="57"/>
        <v>17</v>
      </c>
      <c r="O352" s="157"/>
      <c r="P352" s="157"/>
      <c r="Q352" s="153">
        <f ca="1">OFFSET(card_type!$A$1,MATCH(card!B352,card_type!B:B,0)-1,0)</f>
        <v>1012</v>
      </c>
      <c r="R352" s="153">
        <v>1</v>
      </c>
      <c r="S352" s="157">
        <f ca="1">ROUND(IF(R352=0,0,IF(R352=1,X352*$S$1,IF(R352=2,X352*$S$1*buff的资质计算!$E$2,IF(R352=3,X352*$S$1*buff的资质计算!$E$3,0)))),0)*0</f>
        <v>0</v>
      </c>
      <c r="T352" s="153">
        <v>5</v>
      </c>
      <c r="U352" s="153">
        <f ca="1" t="shared" si="58"/>
        <v>23</v>
      </c>
      <c r="V352" s="153">
        <f ca="1">ROUND((OFFSET(卡牌辅助配置表!$O$1,MATCH(U352,卡牌辅助配置表!M:M,0)-1,0)+(N352-1)*OFFSET(卡牌辅助配置表!$P$1,MATCH(U352,卡牌辅助配置表!M:M,0)-1,0))*M352,2)</f>
        <v>104.16</v>
      </c>
      <c r="W352" s="157">
        <f ca="1">ROUND(IF(R352=0,0,IF(R352=1,X352*$W$1,IF(R352=2,X352*$W$1*buff的资质计算!$E$2,IF(R352=3,X352*$W$1*buff的资质计算!$E$3,0)))),2)</f>
        <v>18.6</v>
      </c>
      <c r="X352" s="157">
        <f ca="1" t="shared" si="59"/>
        <v>62</v>
      </c>
      <c r="Y352" s="157">
        <f ca="1" t="shared" si="64"/>
        <v>63.2857142857143</v>
      </c>
      <c r="Z352" s="304">
        <f ca="1" t="shared" si="60"/>
        <v>21.0952380952381</v>
      </c>
      <c r="AA352" s="304">
        <f ca="1">OFFSET(卡牌辅助配置表!$AD$1,MATCH(AB352,卡牌辅助配置表!AB:AB,0)-1,0)</f>
        <v>4329</v>
      </c>
      <c r="AB352" s="304">
        <f ca="1" t="shared" si="61"/>
        <v>2317</v>
      </c>
      <c r="AC352" s="153">
        <v>12</v>
      </c>
      <c r="AF352" s="153" t="str">
        <f ca="1" t="shared" si="65"/>
        <v>10120011|</v>
      </c>
      <c r="AJ352" s="205" t="str">
        <f ca="1" t="shared" si="62"/>
        <v>400023|11000|;</v>
      </c>
      <c r="AK352" s="205">
        <f ca="1">OFFSET([1]item_type!$A$1,MATCH(Q352,[1]item_type!$G:$G,0)-1,0)</f>
        <v>301012</v>
      </c>
      <c r="AL352" s="205"/>
      <c r="AM352" s="205">
        <f ca="1">IF(B352=B353,OFFSET(卡牌辅助配置表!$AE$1,MATCH(AB352,卡牌辅助配置表!AB:AB,0),0),0)</f>
        <v>11000</v>
      </c>
      <c r="AN352" s="153">
        <f ca="1" t="shared" si="63"/>
        <v>1012018</v>
      </c>
      <c r="AP352" s="153">
        <f ca="1">IF(AC352=0,0,IF(AC352=12,0,OFFSET(effect!$N$1,MATCH(K352,effect!M:M,0)-1,0)))</f>
        <v>0</v>
      </c>
    </row>
    <row r="353" spans="1:42">
      <c r="A353" s="153">
        <f ca="1" t="shared" si="56"/>
        <v>1012018</v>
      </c>
      <c r="B353" s="91" t="s">
        <v>633</v>
      </c>
      <c r="C353" s="186">
        <v>1</v>
      </c>
      <c r="D353" s="186">
        <v>6</v>
      </c>
      <c r="E353" s="165"/>
      <c r="F353" s="179" t="s">
        <v>1051</v>
      </c>
      <c r="G353" s="186">
        <f ca="1">OFFSET(卡牌辅助配置表!$C$1,MATCH(AC353,卡牌辅助配置表!A:A,0)-1,0)</f>
        <v>0</v>
      </c>
      <c r="H353" s="186">
        <f ca="1">OFFSET(skill!$Q$1,MATCH(B353,skill!B:B,0)-1,0)</f>
        <v>1.28571428571429</v>
      </c>
      <c r="I353" s="186"/>
      <c r="J353" s="186">
        <f ca="1">OFFSET(card_type!$F$1,MATCH(Q353,card_type!A:A,0)-1,0)</f>
        <v>2</v>
      </c>
      <c r="K353" s="243">
        <f ca="1">OFFSET(card_type!$G$1,MATCH(Q353,card_type!A:A,0)-1,0)</f>
        <v>3</v>
      </c>
      <c r="L353" s="157">
        <v>3</v>
      </c>
      <c r="M353" s="157">
        <v>3</v>
      </c>
      <c r="N353" s="153">
        <f t="shared" si="57"/>
        <v>18</v>
      </c>
      <c r="O353" s="157"/>
      <c r="P353" s="157"/>
      <c r="Q353" s="153">
        <f ca="1">OFFSET(card_type!$A$1,MATCH(card!B353,card_type!B:B,0)-1,0)</f>
        <v>1012</v>
      </c>
      <c r="R353" s="153">
        <v>1</v>
      </c>
      <c r="S353" s="157">
        <f ca="1">ROUND(IF(R353=0,0,IF(R353=1,X353*$S$1,IF(R353=2,X353*$S$1*buff的资质计算!$E$2,IF(R353=3,X353*$S$1*buff的资质计算!$E$3,0)))),0)*0</f>
        <v>0</v>
      </c>
      <c r="T353" s="153">
        <v>5</v>
      </c>
      <c r="U353" s="153">
        <f ca="1" t="shared" si="58"/>
        <v>23</v>
      </c>
      <c r="V353" s="153">
        <f ca="1">ROUND((OFFSET(卡牌辅助配置表!$O$1,MATCH(U353,卡牌辅助配置表!M:M,0)-1,0)+(N353-1)*OFFSET(卡牌辅助配置表!$P$1,MATCH(U353,卡牌辅助配置表!M:M,0)-1,0))*M353,2)</f>
        <v>107.52</v>
      </c>
      <c r="W353" s="157">
        <f ca="1">ROUND(IF(R353=0,0,IF(R353=1,X353*$W$1,IF(R353=2,X353*$W$1*buff的资质计算!$E$2,IF(R353=3,X353*$W$1*buff的资质计算!$E$3,0)))),2)</f>
        <v>18.75</v>
      </c>
      <c r="X353" s="157">
        <f ca="1" t="shared" si="59"/>
        <v>62.5</v>
      </c>
      <c r="Y353" s="157">
        <f ca="1" t="shared" si="64"/>
        <v>63.7857142857143</v>
      </c>
      <c r="Z353" s="304">
        <f ca="1" t="shared" si="60"/>
        <v>21.2619047619048</v>
      </c>
      <c r="AA353" s="304">
        <f ca="1">OFFSET(卡牌辅助配置表!$AD$1,MATCH(AB353,卡牌辅助配置表!AB:AB,0)-1,0)</f>
        <v>4646</v>
      </c>
      <c r="AB353" s="304">
        <f ca="1" t="shared" si="61"/>
        <v>2318</v>
      </c>
      <c r="AC353" s="153">
        <v>12</v>
      </c>
      <c r="AF353" s="153" t="str">
        <f ca="1" t="shared" si="65"/>
        <v>10120011|</v>
      </c>
      <c r="AJ353" s="205" t="str">
        <f ca="1" t="shared" si="62"/>
        <v>400023|11800|;</v>
      </c>
      <c r="AK353" s="205">
        <f ca="1">OFFSET([1]item_type!$A$1,MATCH(Q353,[1]item_type!$G:$G,0)-1,0)</f>
        <v>301012</v>
      </c>
      <c r="AL353" s="205"/>
      <c r="AM353" s="205">
        <f ca="1">IF(B353=B354,OFFSET(卡牌辅助配置表!$AE$1,MATCH(AB353,卡牌辅助配置表!AB:AB,0),0),0)</f>
        <v>11800</v>
      </c>
      <c r="AN353" s="153">
        <f ca="1" t="shared" si="63"/>
        <v>1012019</v>
      </c>
      <c r="AP353" s="153">
        <f ca="1">IF(AC353=0,0,IF(AC353=12,0,OFFSET(effect!$N$1,MATCH(K353,effect!M:M,0)-1,0)))</f>
        <v>0</v>
      </c>
    </row>
    <row r="354" spans="1:42">
      <c r="A354" s="153">
        <f ca="1" t="shared" si="56"/>
        <v>1012019</v>
      </c>
      <c r="B354" s="91" t="s">
        <v>633</v>
      </c>
      <c r="C354" s="186">
        <v>1</v>
      </c>
      <c r="D354" s="186">
        <v>6</v>
      </c>
      <c r="E354" s="165"/>
      <c r="F354" s="179" t="s">
        <v>1051</v>
      </c>
      <c r="G354" s="186">
        <f ca="1">OFFSET(卡牌辅助配置表!$C$1,MATCH(AC354,卡牌辅助配置表!A:A,0)-1,0)</f>
        <v>0</v>
      </c>
      <c r="H354" s="186">
        <f ca="1">OFFSET(skill!$Q$1,MATCH(B354,skill!B:B,0)-1,0)</f>
        <v>1.28571428571429</v>
      </c>
      <c r="I354" s="186"/>
      <c r="J354" s="186">
        <f ca="1">OFFSET(card_type!$F$1,MATCH(Q354,card_type!A:A,0)-1,0)</f>
        <v>2</v>
      </c>
      <c r="K354" s="243">
        <f ca="1">OFFSET(card_type!$G$1,MATCH(Q354,card_type!A:A,0)-1,0)</f>
        <v>3</v>
      </c>
      <c r="L354" s="157">
        <v>3</v>
      </c>
      <c r="M354" s="157">
        <v>3</v>
      </c>
      <c r="N354" s="153">
        <f t="shared" si="57"/>
        <v>19</v>
      </c>
      <c r="O354" s="157"/>
      <c r="P354" s="157"/>
      <c r="Q354" s="153">
        <f ca="1">OFFSET(card_type!$A$1,MATCH(card!B354,card_type!B:B,0)-1,0)</f>
        <v>1012</v>
      </c>
      <c r="R354" s="153">
        <v>1</v>
      </c>
      <c r="S354" s="157">
        <f ca="1">ROUND(IF(R354=0,0,IF(R354=1,X354*$S$1,IF(R354=2,X354*$S$1*buff的资质计算!$E$2,IF(R354=3,X354*$S$1*buff的资质计算!$E$3,0)))),0)*0</f>
        <v>0</v>
      </c>
      <c r="T354" s="153">
        <v>5</v>
      </c>
      <c r="U354" s="153">
        <f ca="1" t="shared" si="58"/>
        <v>23</v>
      </c>
      <c r="V354" s="153">
        <f ca="1">ROUND((OFFSET(卡牌辅助配置表!$O$1,MATCH(U354,卡牌辅助配置表!M:M,0)-1,0)+(N354-1)*OFFSET(卡牌辅助配置表!$P$1,MATCH(U354,卡牌辅助配置表!M:M,0)-1,0))*M354,2)</f>
        <v>110.88</v>
      </c>
      <c r="W354" s="157">
        <f ca="1">ROUND(IF(R354=0,0,IF(R354=1,X354*$W$1,IF(R354=2,X354*$W$1*buff的资质计算!$E$2,IF(R354=3,X354*$W$1*buff的资质计算!$E$3,0)))),2)</f>
        <v>18.9</v>
      </c>
      <c r="X354" s="157">
        <f ca="1" t="shared" si="59"/>
        <v>63</v>
      </c>
      <c r="Y354" s="157">
        <f ca="1" t="shared" si="64"/>
        <v>64.2857142857143</v>
      </c>
      <c r="Z354" s="304">
        <f ca="1" t="shared" si="60"/>
        <v>21.4285714285714</v>
      </c>
      <c r="AA354" s="304">
        <f ca="1">OFFSET(卡牌辅助配置表!$AD$1,MATCH(AB354,卡牌辅助配置表!AB:AB,0)-1,0)</f>
        <v>4963</v>
      </c>
      <c r="AB354" s="304">
        <f ca="1" t="shared" si="61"/>
        <v>2319</v>
      </c>
      <c r="AC354" s="153">
        <v>12</v>
      </c>
      <c r="AF354" s="153" t="str">
        <f ca="1" t="shared" si="65"/>
        <v>10120011|</v>
      </c>
      <c r="AJ354" s="205" t="str">
        <f ca="1" t="shared" si="62"/>
        <v>301012|20|;400023|12600|;</v>
      </c>
      <c r="AK354" s="205">
        <f ca="1">OFFSET([1]item_type!$A$1,MATCH(Q354,[1]item_type!$G:$G,0)-1,0)</f>
        <v>301012</v>
      </c>
      <c r="AL354" s="205">
        <v>20</v>
      </c>
      <c r="AM354" s="205">
        <f ca="1">IF(B354=B355,OFFSET(卡牌辅助配置表!$AE$1,MATCH(AB354,卡牌辅助配置表!AB:AB,0),0),0)</f>
        <v>12600</v>
      </c>
      <c r="AN354" s="153">
        <f ca="1" t="shared" si="63"/>
        <v>1012020</v>
      </c>
      <c r="AP354" s="153">
        <f ca="1">IF(AC354=0,0,IF(AC354=12,0,OFFSET(effect!$N$1,MATCH(K354,effect!M:M,0)-1,0)))</f>
        <v>0</v>
      </c>
    </row>
    <row r="355" spans="1:42">
      <c r="A355" s="153">
        <f ca="1" t="shared" si="56"/>
        <v>1012020</v>
      </c>
      <c r="B355" s="91" t="s">
        <v>633</v>
      </c>
      <c r="C355" s="186">
        <v>1</v>
      </c>
      <c r="D355" s="186">
        <v>6</v>
      </c>
      <c r="E355" s="165"/>
      <c r="F355" s="179" t="s">
        <v>1051</v>
      </c>
      <c r="G355" s="186">
        <f ca="1">OFFSET(卡牌辅助配置表!$C$1,MATCH(AC355,卡牌辅助配置表!A:A,0)-1,0)</f>
        <v>0</v>
      </c>
      <c r="H355" s="186">
        <f ca="1">OFFSET(skill!$Q$1,MATCH(B355,skill!B:B,0)-1,0)</f>
        <v>1.28571428571429</v>
      </c>
      <c r="I355" s="186"/>
      <c r="J355" s="186">
        <f ca="1">OFFSET(card_type!$F$1,MATCH(Q355,card_type!A:A,0)-1,0)</f>
        <v>2</v>
      </c>
      <c r="K355" s="243">
        <f ca="1">OFFSET(card_type!$G$1,MATCH(Q355,card_type!A:A,0)-1,0)</f>
        <v>3</v>
      </c>
      <c r="L355" s="157">
        <v>3</v>
      </c>
      <c r="M355" s="157">
        <v>3</v>
      </c>
      <c r="N355" s="153">
        <f t="shared" si="57"/>
        <v>20</v>
      </c>
      <c r="O355" s="157"/>
      <c r="P355" s="157"/>
      <c r="Q355" s="153">
        <f ca="1">OFFSET(card_type!$A$1,MATCH(card!B355,card_type!B:B,0)-1,0)</f>
        <v>1012</v>
      </c>
      <c r="R355" s="153">
        <v>1</v>
      </c>
      <c r="S355" s="157">
        <f ca="1">ROUND(IF(R355=0,0,IF(R355=1,X355*$S$1,IF(R355=2,X355*$S$1*buff的资质计算!$E$2,IF(R355=3,X355*$S$1*buff的资质计算!$E$3,0)))),0)*0</f>
        <v>0</v>
      </c>
      <c r="T355" s="153">
        <v>5</v>
      </c>
      <c r="U355" s="153">
        <f ca="1" t="shared" si="58"/>
        <v>23</v>
      </c>
      <c r="V355" s="153">
        <f ca="1">ROUND((OFFSET(卡牌辅助配置表!$O$1,MATCH(U355,卡牌辅助配置表!M:M,0)-1,0)+(N355-1)*OFFSET(卡牌辅助配置表!$P$1,MATCH(U355,卡牌辅助配置表!M:M,0)-1,0))*M355,2)</f>
        <v>114.24</v>
      </c>
      <c r="W355" s="157">
        <f ca="1">ROUND(IF(R355=0,0,IF(R355=1,X355*$W$1,IF(R355=2,X355*$W$1*buff的资质计算!$E$2,IF(R355=3,X355*$W$1*buff的资质计算!$E$3,0)))),2)</f>
        <v>19.05</v>
      </c>
      <c r="X355" s="157">
        <f ca="1" t="shared" si="59"/>
        <v>63.5</v>
      </c>
      <c r="Y355" s="157">
        <f ca="1" t="shared" si="64"/>
        <v>64.7857142857143</v>
      </c>
      <c r="Z355" s="304">
        <f ca="1" t="shared" si="60"/>
        <v>21.5952380952381</v>
      </c>
      <c r="AA355" s="304">
        <f ca="1">OFFSET(卡牌辅助配置表!$AD$1,MATCH(AB355,卡牌辅助配置表!AB:AB,0)-1,0)</f>
        <v>5280</v>
      </c>
      <c r="AB355" s="304">
        <f ca="1" t="shared" si="61"/>
        <v>2320</v>
      </c>
      <c r="AC355" s="153">
        <v>12</v>
      </c>
      <c r="AF355" s="153" t="str">
        <f ca="1" t="shared" si="65"/>
        <v>10120011|</v>
      </c>
      <c r="AJ355" s="205" t="str">
        <f ca="1" t="shared" si="62"/>
        <v>400023|14200|;</v>
      </c>
      <c r="AK355" s="205">
        <f ca="1">OFFSET([1]item_type!$A$1,MATCH(Q355,[1]item_type!$G:$G,0)-1,0)</f>
        <v>301012</v>
      </c>
      <c r="AL355" s="205"/>
      <c r="AM355" s="205">
        <f ca="1">IF(B355=B356,OFFSET(卡牌辅助配置表!$AE$1,MATCH(AB355,卡牌辅助配置表!AB:AB,0),0),0)</f>
        <v>14200</v>
      </c>
      <c r="AN355" s="153">
        <f ca="1" t="shared" si="63"/>
        <v>1012021</v>
      </c>
      <c r="AP355" s="153">
        <f ca="1">IF(AC355=0,0,IF(AC355=12,0,OFFSET(effect!$N$1,MATCH(K355,effect!M:M,0)-1,0)))</f>
        <v>0</v>
      </c>
    </row>
    <row r="356" spans="1:42">
      <c r="A356" s="153">
        <f ca="1" t="shared" si="56"/>
        <v>1012021</v>
      </c>
      <c r="B356" s="91" t="s">
        <v>633</v>
      </c>
      <c r="C356" s="186">
        <v>1</v>
      </c>
      <c r="D356" s="186">
        <v>6</v>
      </c>
      <c r="E356" s="165"/>
      <c r="F356" s="179" t="s">
        <v>1051</v>
      </c>
      <c r="G356" s="186">
        <f ca="1">OFFSET(卡牌辅助配置表!$C$1,MATCH(AC356,卡牌辅助配置表!A:A,0)-1,0)</f>
        <v>0</v>
      </c>
      <c r="H356" s="186">
        <f ca="1">OFFSET(skill!$Q$1,MATCH(B356,skill!B:B,0)-1,0)</f>
        <v>1.28571428571429</v>
      </c>
      <c r="I356" s="186"/>
      <c r="J356" s="186">
        <f ca="1">OFFSET(card_type!$F$1,MATCH(Q356,card_type!A:A,0)-1,0)</f>
        <v>2</v>
      </c>
      <c r="K356" s="243">
        <f ca="1">OFFSET(card_type!$G$1,MATCH(Q356,card_type!A:A,0)-1,0)</f>
        <v>3</v>
      </c>
      <c r="L356" s="157">
        <v>3</v>
      </c>
      <c r="M356" s="157">
        <v>3</v>
      </c>
      <c r="N356" s="153">
        <f t="shared" si="57"/>
        <v>21</v>
      </c>
      <c r="O356" s="157"/>
      <c r="P356" s="157"/>
      <c r="Q356" s="153">
        <f ca="1">OFFSET(card_type!$A$1,MATCH(card!B356,card_type!B:B,0)-1,0)</f>
        <v>1012</v>
      </c>
      <c r="R356" s="153">
        <v>1</v>
      </c>
      <c r="S356" s="157">
        <f ca="1">ROUND(IF(R356=0,0,IF(R356=1,X356*$S$1,IF(R356=2,X356*$S$1*buff的资质计算!$E$2,IF(R356=3,X356*$S$1*buff的资质计算!$E$3,0)))),0)*0</f>
        <v>0</v>
      </c>
      <c r="T356" s="153">
        <v>5</v>
      </c>
      <c r="U356" s="153">
        <f ca="1" t="shared" si="58"/>
        <v>23</v>
      </c>
      <c r="V356" s="153">
        <f ca="1">ROUND((OFFSET(卡牌辅助配置表!$O$1,MATCH(U356,卡牌辅助配置表!M:M,0)-1,0)+(N356-1)*OFFSET(卡牌辅助配置表!$P$1,MATCH(U356,卡牌辅助配置表!M:M,0)-1,0))*M356,2)</f>
        <v>117.6</v>
      </c>
      <c r="W356" s="157">
        <f ca="1">ROUND(IF(R356=0,0,IF(R356=1,X356*$W$1,IF(R356=2,X356*$W$1*buff的资质计算!$E$2,IF(R356=3,X356*$W$1*buff的资质计算!$E$3,0)))),2)</f>
        <v>19.2</v>
      </c>
      <c r="X356" s="157">
        <f ca="1" t="shared" si="59"/>
        <v>64</v>
      </c>
      <c r="Y356" s="157">
        <f ca="1" t="shared" si="64"/>
        <v>65.2857142857143</v>
      </c>
      <c r="Z356" s="304">
        <f ca="1" t="shared" si="60"/>
        <v>21.7619047619048</v>
      </c>
      <c r="AA356" s="304">
        <f ca="1">OFFSET(卡牌辅助配置表!$AD$1,MATCH(AB356,卡牌辅助配置表!AB:AB,0)-1,0)</f>
        <v>5703</v>
      </c>
      <c r="AB356" s="304">
        <f ca="1" t="shared" si="61"/>
        <v>2321</v>
      </c>
      <c r="AC356" s="153">
        <v>12</v>
      </c>
      <c r="AF356" s="153" t="str">
        <f ca="1" t="shared" si="65"/>
        <v>10120011|</v>
      </c>
      <c r="AJ356" s="205" t="str">
        <f ca="1" t="shared" si="62"/>
        <v>400023|15800|;</v>
      </c>
      <c r="AK356" s="205">
        <f ca="1">OFFSET([1]item_type!$A$1,MATCH(Q356,[1]item_type!$G:$G,0)-1,0)</f>
        <v>301012</v>
      </c>
      <c r="AL356" s="205"/>
      <c r="AM356" s="205">
        <f ca="1">IF(B356=B357,OFFSET(卡牌辅助配置表!$AE$1,MATCH(AB356,卡牌辅助配置表!AB:AB,0),0),0)</f>
        <v>15800</v>
      </c>
      <c r="AN356" s="153">
        <f ca="1" t="shared" si="63"/>
        <v>1012022</v>
      </c>
      <c r="AP356" s="153">
        <f ca="1">IF(AC356=0,0,IF(AC356=12,0,OFFSET(effect!$N$1,MATCH(K356,effect!M:M,0)-1,0)))</f>
        <v>0</v>
      </c>
    </row>
    <row r="357" spans="1:42">
      <c r="A357" s="153">
        <f ca="1" t="shared" si="56"/>
        <v>1012022</v>
      </c>
      <c r="B357" s="91" t="s">
        <v>633</v>
      </c>
      <c r="C357" s="186">
        <v>1</v>
      </c>
      <c r="D357" s="186">
        <v>6</v>
      </c>
      <c r="E357" s="165"/>
      <c r="F357" s="179" t="s">
        <v>1051</v>
      </c>
      <c r="G357" s="186">
        <f ca="1">OFFSET(卡牌辅助配置表!$C$1,MATCH(AC357,卡牌辅助配置表!A:A,0)-1,0)</f>
        <v>0</v>
      </c>
      <c r="H357" s="186">
        <f ca="1">OFFSET(skill!$Q$1,MATCH(B357,skill!B:B,0)-1,0)</f>
        <v>1.28571428571429</v>
      </c>
      <c r="I357" s="186"/>
      <c r="J357" s="186">
        <f ca="1">OFFSET(card_type!$F$1,MATCH(Q357,card_type!A:A,0)-1,0)</f>
        <v>2</v>
      </c>
      <c r="K357" s="243">
        <f ca="1">OFFSET(card_type!$G$1,MATCH(Q357,card_type!A:A,0)-1,0)</f>
        <v>3</v>
      </c>
      <c r="L357" s="157">
        <v>3</v>
      </c>
      <c r="M357" s="157">
        <v>3</v>
      </c>
      <c r="N357" s="153">
        <f t="shared" si="57"/>
        <v>22</v>
      </c>
      <c r="O357" s="157"/>
      <c r="P357" s="157"/>
      <c r="Q357" s="153">
        <f ca="1">OFFSET(card_type!$A$1,MATCH(card!B357,card_type!B:B,0)-1,0)</f>
        <v>1012</v>
      </c>
      <c r="R357" s="153">
        <v>1</v>
      </c>
      <c r="S357" s="157">
        <f ca="1">ROUND(IF(R357=0,0,IF(R357=1,X357*$S$1,IF(R357=2,X357*$S$1*buff的资质计算!$E$2,IF(R357=3,X357*$S$1*buff的资质计算!$E$3,0)))),0)*0</f>
        <v>0</v>
      </c>
      <c r="T357" s="153">
        <v>5</v>
      </c>
      <c r="U357" s="153">
        <f ca="1" t="shared" si="58"/>
        <v>23</v>
      </c>
      <c r="V357" s="153">
        <f ca="1">ROUND((OFFSET(卡牌辅助配置表!$O$1,MATCH(U357,卡牌辅助配置表!M:M,0)-1,0)+(N357-1)*OFFSET(卡牌辅助配置表!$P$1,MATCH(U357,卡牌辅助配置表!M:M,0)-1,0))*M357,2)</f>
        <v>120.96</v>
      </c>
      <c r="W357" s="157">
        <f ca="1">ROUND(IF(R357=0,0,IF(R357=1,X357*$W$1,IF(R357=2,X357*$W$1*buff的资质计算!$E$2,IF(R357=3,X357*$W$1*buff的资质计算!$E$3,0)))),2)</f>
        <v>19.35</v>
      </c>
      <c r="X357" s="157">
        <f ca="1" t="shared" si="59"/>
        <v>64.5</v>
      </c>
      <c r="Y357" s="157">
        <f ca="1" t="shared" si="64"/>
        <v>65.7857142857143</v>
      </c>
      <c r="Z357" s="304">
        <f ca="1" t="shared" si="60"/>
        <v>21.9285714285714</v>
      </c>
      <c r="AA357" s="304">
        <f ca="1">OFFSET(卡牌辅助配置表!$AD$1,MATCH(AB357,卡牌辅助配置表!AB:AB,0)-1,0)</f>
        <v>6126</v>
      </c>
      <c r="AB357" s="304">
        <f ca="1" t="shared" si="61"/>
        <v>2322</v>
      </c>
      <c r="AC357" s="153">
        <v>12</v>
      </c>
      <c r="AF357" s="153" t="str">
        <f ca="1" t="shared" si="65"/>
        <v>10120011|</v>
      </c>
      <c r="AJ357" s="205" t="str">
        <f ca="1" t="shared" si="62"/>
        <v>400023|17400|;</v>
      </c>
      <c r="AK357" s="205">
        <f ca="1">OFFSET([1]item_type!$A$1,MATCH(Q357,[1]item_type!$G:$G,0)-1,0)</f>
        <v>301012</v>
      </c>
      <c r="AL357" s="205"/>
      <c r="AM357" s="205">
        <f ca="1">IF(B357=B358,OFFSET(卡牌辅助配置表!$AE$1,MATCH(AB357,卡牌辅助配置表!AB:AB,0),0),0)</f>
        <v>17400</v>
      </c>
      <c r="AN357" s="153">
        <f ca="1" t="shared" si="63"/>
        <v>1012023</v>
      </c>
      <c r="AP357" s="153">
        <f ca="1">IF(AC357=0,0,IF(AC357=12,0,OFFSET(effect!$N$1,MATCH(K357,effect!M:M,0)-1,0)))</f>
        <v>0</v>
      </c>
    </row>
    <row r="358" spans="1:42">
      <c r="A358" s="153">
        <f ca="1" t="shared" si="56"/>
        <v>1012023</v>
      </c>
      <c r="B358" s="91" t="s">
        <v>633</v>
      </c>
      <c r="C358" s="186">
        <v>1</v>
      </c>
      <c r="D358" s="186">
        <v>6</v>
      </c>
      <c r="E358" s="165"/>
      <c r="F358" s="179" t="s">
        <v>1051</v>
      </c>
      <c r="G358" s="186">
        <f ca="1">OFFSET(卡牌辅助配置表!$C$1,MATCH(AC358,卡牌辅助配置表!A:A,0)-1,0)</f>
        <v>0</v>
      </c>
      <c r="H358" s="186">
        <f ca="1">OFFSET(skill!$Q$1,MATCH(B358,skill!B:B,0)-1,0)</f>
        <v>1.28571428571429</v>
      </c>
      <c r="I358" s="186"/>
      <c r="J358" s="186">
        <f ca="1">OFFSET(card_type!$F$1,MATCH(Q358,card_type!A:A,0)-1,0)</f>
        <v>2</v>
      </c>
      <c r="K358" s="243">
        <f ca="1">OFFSET(card_type!$G$1,MATCH(Q358,card_type!A:A,0)-1,0)</f>
        <v>3</v>
      </c>
      <c r="L358" s="157">
        <v>3</v>
      </c>
      <c r="M358" s="157">
        <v>3</v>
      </c>
      <c r="N358" s="153">
        <f t="shared" si="57"/>
        <v>23</v>
      </c>
      <c r="O358" s="157"/>
      <c r="P358" s="157"/>
      <c r="Q358" s="153">
        <f ca="1">OFFSET(card_type!$A$1,MATCH(card!B358,card_type!B:B,0)-1,0)</f>
        <v>1012</v>
      </c>
      <c r="R358" s="153">
        <v>1</v>
      </c>
      <c r="S358" s="157">
        <f ca="1">ROUND(IF(R358=0,0,IF(R358=1,X358*$S$1,IF(R358=2,X358*$S$1*buff的资质计算!$E$2,IF(R358=3,X358*$S$1*buff的资质计算!$E$3,0)))),0)*0</f>
        <v>0</v>
      </c>
      <c r="T358" s="153">
        <v>5</v>
      </c>
      <c r="U358" s="153">
        <f ca="1" t="shared" si="58"/>
        <v>23</v>
      </c>
      <c r="V358" s="153">
        <f ca="1">ROUND((OFFSET(卡牌辅助配置表!$O$1,MATCH(U358,卡牌辅助配置表!M:M,0)-1,0)+(N358-1)*OFFSET(卡牌辅助配置表!$P$1,MATCH(U358,卡牌辅助配置表!M:M,0)-1,0))*M358,2)</f>
        <v>124.32</v>
      </c>
      <c r="W358" s="157">
        <f ca="1">ROUND(IF(R358=0,0,IF(R358=1,X358*$W$1,IF(R358=2,X358*$W$1*buff的资质计算!$E$2,IF(R358=3,X358*$W$1*buff的资质计算!$E$3,0)))),2)</f>
        <v>19.5</v>
      </c>
      <c r="X358" s="157">
        <f ca="1" t="shared" si="59"/>
        <v>65</v>
      </c>
      <c r="Y358" s="157">
        <f ca="1" t="shared" si="64"/>
        <v>66.2857142857143</v>
      </c>
      <c r="Z358" s="304">
        <f ca="1" t="shared" si="60"/>
        <v>22.0952380952381</v>
      </c>
      <c r="AA358" s="304">
        <f ca="1">OFFSET(卡牌辅助配置表!$AD$1,MATCH(AB358,卡牌辅助配置表!AB:AB,0)-1,0)</f>
        <v>6549</v>
      </c>
      <c r="AB358" s="304">
        <f ca="1" t="shared" si="61"/>
        <v>2323</v>
      </c>
      <c r="AC358" s="153">
        <v>12</v>
      </c>
      <c r="AF358" s="153" t="str">
        <f ca="1" t="shared" si="65"/>
        <v>10120011|</v>
      </c>
      <c r="AJ358" s="205" t="str">
        <f ca="1" t="shared" si="62"/>
        <v>400023|19000|;</v>
      </c>
      <c r="AK358" s="205">
        <f ca="1">OFFSET([1]item_type!$A$1,MATCH(Q358,[1]item_type!$G:$G,0)-1,0)</f>
        <v>301012</v>
      </c>
      <c r="AL358" s="205"/>
      <c r="AM358" s="205">
        <f ca="1">IF(B358=B359,OFFSET(卡牌辅助配置表!$AE$1,MATCH(AB358,卡牌辅助配置表!AB:AB,0),0),0)</f>
        <v>19000</v>
      </c>
      <c r="AN358" s="153">
        <f ca="1" t="shared" si="63"/>
        <v>1012024</v>
      </c>
      <c r="AP358" s="153">
        <f ca="1">IF(AC358=0,0,IF(AC358=12,0,OFFSET(effect!$N$1,MATCH(K358,effect!M:M,0)-1,0)))</f>
        <v>0</v>
      </c>
    </row>
    <row r="359" spans="1:42">
      <c r="A359" s="153">
        <f ca="1" t="shared" si="56"/>
        <v>1012024</v>
      </c>
      <c r="B359" s="91" t="s">
        <v>633</v>
      </c>
      <c r="C359" s="186">
        <v>1</v>
      </c>
      <c r="D359" s="186">
        <v>6</v>
      </c>
      <c r="E359" s="165"/>
      <c r="F359" s="179" t="s">
        <v>1051</v>
      </c>
      <c r="G359" s="186">
        <f ca="1">OFFSET(卡牌辅助配置表!$C$1,MATCH(AC359,卡牌辅助配置表!A:A,0)-1,0)</f>
        <v>0</v>
      </c>
      <c r="H359" s="186">
        <f ca="1">OFFSET(skill!$Q$1,MATCH(B359,skill!B:B,0)-1,0)</f>
        <v>1.28571428571429</v>
      </c>
      <c r="I359" s="186"/>
      <c r="J359" s="186">
        <f ca="1">OFFSET(card_type!$F$1,MATCH(Q359,card_type!A:A,0)-1,0)</f>
        <v>2</v>
      </c>
      <c r="K359" s="243">
        <f ca="1">OFFSET(card_type!$G$1,MATCH(Q359,card_type!A:A,0)-1,0)</f>
        <v>3</v>
      </c>
      <c r="L359" s="157">
        <v>3</v>
      </c>
      <c r="M359" s="157">
        <v>3</v>
      </c>
      <c r="N359" s="153">
        <f t="shared" si="57"/>
        <v>24</v>
      </c>
      <c r="O359" s="157"/>
      <c r="P359" s="157"/>
      <c r="Q359" s="153">
        <f ca="1">OFFSET(card_type!$A$1,MATCH(card!B359,card_type!B:B,0)-1,0)</f>
        <v>1012</v>
      </c>
      <c r="R359" s="153">
        <v>1</v>
      </c>
      <c r="S359" s="157">
        <f ca="1">ROUND(IF(R359=0,0,IF(R359=1,X359*$S$1,IF(R359=2,X359*$S$1*buff的资质计算!$E$2,IF(R359=3,X359*$S$1*buff的资质计算!$E$3,0)))),0)*0</f>
        <v>0</v>
      </c>
      <c r="T359" s="153">
        <v>5</v>
      </c>
      <c r="U359" s="153">
        <f ca="1" t="shared" si="58"/>
        <v>23</v>
      </c>
      <c r="V359" s="153">
        <f ca="1">ROUND((OFFSET(卡牌辅助配置表!$O$1,MATCH(U359,卡牌辅助配置表!M:M,0)-1,0)+(N359-1)*OFFSET(卡牌辅助配置表!$P$1,MATCH(U359,卡牌辅助配置表!M:M,0)-1,0))*M359,2)</f>
        <v>127.68</v>
      </c>
      <c r="W359" s="157">
        <f ca="1">ROUND(IF(R359=0,0,IF(R359=1,X359*$W$1,IF(R359=2,X359*$W$1*buff的资质计算!$E$2,IF(R359=3,X359*$W$1*buff的资质计算!$E$3,0)))),2)</f>
        <v>19.65</v>
      </c>
      <c r="X359" s="157">
        <f ca="1" t="shared" si="59"/>
        <v>65.5</v>
      </c>
      <c r="Y359" s="157">
        <f ca="1" t="shared" si="64"/>
        <v>66.7857142857143</v>
      </c>
      <c r="Z359" s="304">
        <f ca="1" t="shared" si="60"/>
        <v>22.2619047619048</v>
      </c>
      <c r="AA359" s="304">
        <f ca="1">OFFSET(卡牌辅助配置表!$AD$1,MATCH(AB359,卡牌辅助配置表!AB:AB,0)-1,0)</f>
        <v>6972</v>
      </c>
      <c r="AB359" s="304">
        <f ca="1" t="shared" si="61"/>
        <v>2324</v>
      </c>
      <c r="AC359" s="153">
        <v>12</v>
      </c>
      <c r="AF359" s="153" t="str">
        <f ca="1" t="shared" si="65"/>
        <v>10120011|</v>
      </c>
      <c r="AJ359" s="205" t="str">
        <f ca="1" t="shared" si="62"/>
        <v>400023|20600|;</v>
      </c>
      <c r="AK359" s="205">
        <f ca="1">OFFSET([1]item_type!$A$1,MATCH(Q359,[1]item_type!$G:$G,0)-1,0)</f>
        <v>301012</v>
      </c>
      <c r="AL359" s="205"/>
      <c r="AM359" s="205">
        <f ca="1">IF(B359=B360,OFFSET(卡牌辅助配置表!$AE$1,MATCH(AB359,卡牌辅助配置表!AB:AB,0),0),0)</f>
        <v>20600</v>
      </c>
      <c r="AN359" s="153">
        <f ca="1" t="shared" si="63"/>
        <v>1012025</v>
      </c>
      <c r="AP359" s="153">
        <f ca="1">IF(AC359=0,0,IF(AC359=12,0,OFFSET(effect!$N$1,MATCH(K359,effect!M:M,0)-1,0)))</f>
        <v>0</v>
      </c>
    </row>
    <row r="360" spans="1:42">
      <c r="A360" s="153">
        <f ca="1" t="shared" si="56"/>
        <v>1012025</v>
      </c>
      <c r="B360" s="91" t="s">
        <v>633</v>
      </c>
      <c r="C360" s="186">
        <v>1</v>
      </c>
      <c r="D360" s="186">
        <v>6</v>
      </c>
      <c r="E360" s="165"/>
      <c r="F360" s="179" t="s">
        <v>1051</v>
      </c>
      <c r="G360" s="186">
        <f ca="1">OFFSET(卡牌辅助配置表!$C$1,MATCH(AC360,卡牌辅助配置表!A:A,0)-1,0)</f>
        <v>0</v>
      </c>
      <c r="H360" s="186">
        <f ca="1">OFFSET(skill!$Q$1,MATCH(B360,skill!B:B,0)-1,0)</f>
        <v>1.28571428571429</v>
      </c>
      <c r="I360" s="186"/>
      <c r="J360" s="186">
        <f ca="1">OFFSET(card_type!$F$1,MATCH(Q360,card_type!A:A,0)-1,0)</f>
        <v>2</v>
      </c>
      <c r="K360" s="243">
        <f ca="1">OFFSET(card_type!$G$1,MATCH(Q360,card_type!A:A,0)-1,0)</f>
        <v>3</v>
      </c>
      <c r="L360" s="157">
        <v>3</v>
      </c>
      <c r="M360" s="157">
        <v>3</v>
      </c>
      <c r="N360" s="153">
        <f t="shared" si="57"/>
        <v>25</v>
      </c>
      <c r="O360" s="157"/>
      <c r="P360" s="157"/>
      <c r="Q360" s="153">
        <f ca="1">OFFSET(card_type!$A$1,MATCH(card!B360,card_type!B:B,0)-1,0)</f>
        <v>1012</v>
      </c>
      <c r="R360" s="153">
        <v>1</v>
      </c>
      <c r="S360" s="157">
        <f ca="1">ROUND(IF(R360=0,0,IF(R360=1,X360*$S$1,IF(R360=2,X360*$S$1*buff的资质计算!$E$2,IF(R360=3,X360*$S$1*buff的资质计算!$E$3,0)))),0)*0</f>
        <v>0</v>
      </c>
      <c r="T360" s="153">
        <v>5</v>
      </c>
      <c r="U360" s="153">
        <f ca="1" t="shared" si="58"/>
        <v>23</v>
      </c>
      <c r="V360" s="153">
        <f ca="1">ROUND((OFFSET(卡牌辅助配置表!$O$1,MATCH(U360,卡牌辅助配置表!M:M,0)-1,0)+(N360-1)*OFFSET(卡牌辅助配置表!$P$1,MATCH(U360,卡牌辅助配置表!M:M,0)-1,0))*M360,2)</f>
        <v>131.04</v>
      </c>
      <c r="W360" s="157">
        <f ca="1">ROUND(IF(R360=0,0,IF(R360=1,X360*$W$1,IF(R360=2,X360*$W$1*buff的资质计算!$E$2,IF(R360=3,X360*$W$1*buff的资质计算!$E$3,0)))),2)</f>
        <v>19.8</v>
      </c>
      <c r="X360" s="157">
        <f ca="1" t="shared" si="59"/>
        <v>66</v>
      </c>
      <c r="Y360" s="157">
        <f ca="1" t="shared" si="64"/>
        <v>67.2857142857143</v>
      </c>
      <c r="Z360" s="304">
        <f ca="1" t="shared" si="60"/>
        <v>22.4285714285714</v>
      </c>
      <c r="AA360" s="304">
        <f ca="1">OFFSET(卡牌辅助配置表!$AD$1,MATCH(AB360,卡牌辅助配置表!AB:AB,0)-1,0)</f>
        <v>7395</v>
      </c>
      <c r="AB360" s="304">
        <f ca="1" t="shared" si="61"/>
        <v>2325</v>
      </c>
      <c r="AC360" s="153">
        <v>12</v>
      </c>
      <c r="AF360" s="153" t="str">
        <f ca="1" t="shared" si="65"/>
        <v>10120011|</v>
      </c>
      <c r="AJ360" s="205" t="str">
        <f ca="1" t="shared" si="62"/>
        <v>400023|22200|;</v>
      </c>
      <c r="AK360" s="205">
        <f ca="1">OFFSET([1]item_type!$A$1,MATCH(Q360,[1]item_type!$G:$G,0)-1,0)</f>
        <v>301012</v>
      </c>
      <c r="AL360" s="205"/>
      <c r="AM360" s="205">
        <f ca="1">IF(B360=B361,OFFSET(卡牌辅助配置表!$AE$1,MATCH(AB360,卡牌辅助配置表!AB:AB,0),0),0)</f>
        <v>22200</v>
      </c>
      <c r="AN360" s="153">
        <f ca="1" t="shared" si="63"/>
        <v>1012026</v>
      </c>
      <c r="AP360" s="153">
        <f ca="1">IF(AC360=0,0,IF(AC360=12,0,OFFSET(effect!$N$1,MATCH(K360,effect!M:M,0)-1,0)))</f>
        <v>0</v>
      </c>
    </row>
    <row r="361" spans="1:42">
      <c r="A361" s="153">
        <f ca="1" t="shared" si="56"/>
        <v>1012026</v>
      </c>
      <c r="B361" s="91" t="s">
        <v>633</v>
      </c>
      <c r="C361" s="186">
        <v>1</v>
      </c>
      <c r="D361" s="186">
        <v>6</v>
      </c>
      <c r="E361" s="165"/>
      <c r="F361" s="179" t="s">
        <v>1051</v>
      </c>
      <c r="G361" s="186">
        <f ca="1">OFFSET(卡牌辅助配置表!$C$1,MATCH(AC361,卡牌辅助配置表!A:A,0)-1,0)</f>
        <v>0</v>
      </c>
      <c r="H361" s="186">
        <f ca="1">OFFSET(skill!$Q$1,MATCH(B361,skill!B:B,0)-1,0)</f>
        <v>1.28571428571429</v>
      </c>
      <c r="I361" s="186"/>
      <c r="J361" s="186">
        <f ca="1">OFFSET(card_type!$F$1,MATCH(Q361,card_type!A:A,0)-1,0)</f>
        <v>2</v>
      </c>
      <c r="K361" s="243">
        <f ca="1">OFFSET(card_type!$G$1,MATCH(Q361,card_type!A:A,0)-1,0)</f>
        <v>3</v>
      </c>
      <c r="L361" s="157">
        <v>3</v>
      </c>
      <c r="M361" s="157">
        <v>3</v>
      </c>
      <c r="N361" s="153">
        <f t="shared" si="57"/>
        <v>26</v>
      </c>
      <c r="O361" s="157"/>
      <c r="P361" s="157"/>
      <c r="Q361" s="153">
        <f ca="1">OFFSET(card_type!$A$1,MATCH(card!B361,card_type!B:B,0)-1,0)</f>
        <v>1012</v>
      </c>
      <c r="R361" s="153">
        <v>1</v>
      </c>
      <c r="S361" s="157">
        <f ca="1">ROUND(IF(R361=0,0,IF(R361=1,X361*$S$1,IF(R361=2,X361*$S$1*buff的资质计算!$E$2,IF(R361=3,X361*$S$1*buff的资质计算!$E$3,0)))),0)*0</f>
        <v>0</v>
      </c>
      <c r="T361" s="153">
        <v>5</v>
      </c>
      <c r="U361" s="153">
        <f ca="1" t="shared" si="58"/>
        <v>23</v>
      </c>
      <c r="V361" s="153">
        <f ca="1">ROUND((OFFSET(卡牌辅助配置表!$O$1,MATCH(U361,卡牌辅助配置表!M:M,0)-1,0)+(N361-1)*OFFSET(卡牌辅助配置表!$P$1,MATCH(U361,卡牌辅助配置表!M:M,0)-1,0))*M361,2)</f>
        <v>134.4</v>
      </c>
      <c r="W361" s="157">
        <f ca="1">ROUND(IF(R361=0,0,IF(R361=1,X361*$W$1,IF(R361=2,X361*$W$1*buff的资质计算!$E$2,IF(R361=3,X361*$W$1*buff的资质计算!$E$3,0)))),2)</f>
        <v>19.95</v>
      </c>
      <c r="X361" s="157">
        <f ca="1" t="shared" si="59"/>
        <v>66.5</v>
      </c>
      <c r="Y361" s="157">
        <f ca="1" t="shared" si="64"/>
        <v>67.7857142857143</v>
      </c>
      <c r="Z361" s="304">
        <f ca="1" t="shared" si="60"/>
        <v>22.5952380952381</v>
      </c>
      <c r="AA361" s="304">
        <f ca="1">OFFSET(卡牌辅助配置表!$AD$1,MATCH(AB361,卡牌辅助配置表!AB:AB,0)-1,0)</f>
        <v>7818</v>
      </c>
      <c r="AB361" s="304">
        <f ca="1" t="shared" si="61"/>
        <v>2326</v>
      </c>
      <c r="AC361" s="153">
        <v>12</v>
      </c>
      <c r="AF361" s="153" t="str">
        <f ca="1" t="shared" si="65"/>
        <v>10120011|</v>
      </c>
      <c r="AJ361" s="205" t="str">
        <f ca="1" t="shared" si="62"/>
        <v>400023|23800|;</v>
      </c>
      <c r="AK361" s="205">
        <f ca="1">OFFSET([1]item_type!$A$1,MATCH(Q361,[1]item_type!$G:$G,0)-1,0)</f>
        <v>301012</v>
      </c>
      <c r="AL361" s="205"/>
      <c r="AM361" s="205">
        <f ca="1">IF(B361=B362,OFFSET(卡牌辅助配置表!$AE$1,MATCH(AB361,卡牌辅助配置表!AB:AB,0),0),0)</f>
        <v>23800</v>
      </c>
      <c r="AN361" s="153">
        <f ca="1" t="shared" si="63"/>
        <v>1012027</v>
      </c>
      <c r="AP361" s="153">
        <f ca="1">IF(AC361=0,0,IF(AC361=12,0,OFFSET(effect!$N$1,MATCH(K361,effect!M:M,0)-1,0)))</f>
        <v>0</v>
      </c>
    </row>
    <row r="362" spans="1:42">
      <c r="A362" s="153">
        <f ca="1" t="shared" si="56"/>
        <v>1012027</v>
      </c>
      <c r="B362" s="91" t="s">
        <v>633</v>
      </c>
      <c r="C362" s="186">
        <v>1</v>
      </c>
      <c r="D362" s="186">
        <v>6</v>
      </c>
      <c r="E362" s="165"/>
      <c r="F362" s="179" t="s">
        <v>1051</v>
      </c>
      <c r="G362" s="186">
        <f ca="1">OFFSET(卡牌辅助配置表!$C$1,MATCH(AC362,卡牌辅助配置表!A:A,0)-1,0)</f>
        <v>0</v>
      </c>
      <c r="H362" s="186">
        <f ca="1">OFFSET(skill!$Q$1,MATCH(B362,skill!B:B,0)-1,0)</f>
        <v>1.28571428571429</v>
      </c>
      <c r="I362" s="186"/>
      <c r="J362" s="186">
        <f ca="1">OFFSET(card_type!$F$1,MATCH(Q362,card_type!A:A,0)-1,0)</f>
        <v>2</v>
      </c>
      <c r="K362" s="243">
        <f ca="1">OFFSET(card_type!$G$1,MATCH(Q362,card_type!A:A,0)-1,0)</f>
        <v>3</v>
      </c>
      <c r="L362" s="157">
        <v>3</v>
      </c>
      <c r="M362" s="157">
        <v>3</v>
      </c>
      <c r="N362" s="153">
        <f t="shared" si="57"/>
        <v>27</v>
      </c>
      <c r="O362" s="157"/>
      <c r="P362" s="157"/>
      <c r="Q362" s="153">
        <f ca="1">OFFSET(card_type!$A$1,MATCH(card!B362,card_type!B:B,0)-1,0)</f>
        <v>1012</v>
      </c>
      <c r="R362" s="153">
        <v>1</v>
      </c>
      <c r="S362" s="157">
        <f ca="1">ROUND(IF(R362=0,0,IF(R362=1,X362*$S$1,IF(R362=2,X362*$S$1*buff的资质计算!$E$2,IF(R362=3,X362*$S$1*buff的资质计算!$E$3,0)))),0)*0</f>
        <v>0</v>
      </c>
      <c r="T362" s="153">
        <v>5</v>
      </c>
      <c r="U362" s="153">
        <f ca="1" t="shared" si="58"/>
        <v>23</v>
      </c>
      <c r="V362" s="153">
        <f ca="1">ROUND((OFFSET(卡牌辅助配置表!$O$1,MATCH(U362,卡牌辅助配置表!M:M,0)-1,0)+(N362-1)*OFFSET(卡牌辅助配置表!$P$1,MATCH(U362,卡牌辅助配置表!M:M,0)-1,0))*M362,2)</f>
        <v>137.76</v>
      </c>
      <c r="W362" s="157">
        <f ca="1">ROUND(IF(R362=0,0,IF(R362=1,X362*$W$1,IF(R362=2,X362*$W$1*buff的资质计算!$E$2,IF(R362=3,X362*$W$1*buff的资质计算!$E$3,0)))),2)</f>
        <v>20.1</v>
      </c>
      <c r="X362" s="157">
        <f ca="1" t="shared" si="59"/>
        <v>67</v>
      </c>
      <c r="Y362" s="157">
        <f ca="1" t="shared" si="64"/>
        <v>68.2857142857143</v>
      </c>
      <c r="Z362" s="304">
        <f ca="1" t="shared" si="60"/>
        <v>22.7619047619048</v>
      </c>
      <c r="AA362" s="304">
        <f ca="1">OFFSET(卡牌辅助配置表!$AD$1,MATCH(AB362,卡牌辅助配置表!AB:AB,0)-1,0)</f>
        <v>8241</v>
      </c>
      <c r="AB362" s="304">
        <f ca="1" t="shared" si="61"/>
        <v>2327</v>
      </c>
      <c r="AC362" s="153">
        <v>12</v>
      </c>
      <c r="AF362" s="153" t="str">
        <f ca="1" t="shared" si="65"/>
        <v>10120011|</v>
      </c>
      <c r="AJ362" s="205" t="str">
        <f ca="1" t="shared" si="62"/>
        <v>400023|25400|;</v>
      </c>
      <c r="AK362" s="205">
        <f ca="1">OFFSET([1]item_type!$A$1,MATCH(Q362,[1]item_type!$G:$G,0)-1,0)</f>
        <v>301012</v>
      </c>
      <c r="AL362" s="205"/>
      <c r="AM362" s="205">
        <f ca="1">IF(B362=B363,OFFSET(卡牌辅助配置表!$AE$1,MATCH(AB362,卡牌辅助配置表!AB:AB,0),0),0)</f>
        <v>25400</v>
      </c>
      <c r="AN362" s="153">
        <f ca="1" t="shared" si="63"/>
        <v>1012028</v>
      </c>
      <c r="AP362" s="153">
        <f ca="1">IF(AC362=0,0,IF(AC362=12,0,OFFSET(effect!$N$1,MATCH(K362,effect!M:M,0)-1,0)))</f>
        <v>0</v>
      </c>
    </row>
    <row r="363" spans="1:42">
      <c r="A363" s="153">
        <f ca="1" t="shared" si="56"/>
        <v>1012028</v>
      </c>
      <c r="B363" s="91" t="s">
        <v>633</v>
      </c>
      <c r="C363" s="186">
        <v>1</v>
      </c>
      <c r="D363" s="186">
        <v>6</v>
      </c>
      <c r="E363" s="165"/>
      <c r="F363" s="179" t="s">
        <v>1051</v>
      </c>
      <c r="G363" s="186">
        <f ca="1">OFFSET(卡牌辅助配置表!$C$1,MATCH(AC363,卡牌辅助配置表!A:A,0)-1,0)</f>
        <v>0</v>
      </c>
      <c r="H363" s="186">
        <f ca="1">OFFSET(skill!$Q$1,MATCH(B363,skill!B:B,0)-1,0)</f>
        <v>1.28571428571429</v>
      </c>
      <c r="I363" s="186"/>
      <c r="J363" s="186">
        <f ca="1">OFFSET(card_type!$F$1,MATCH(Q363,card_type!A:A,0)-1,0)</f>
        <v>2</v>
      </c>
      <c r="K363" s="243">
        <f ca="1">OFFSET(card_type!$G$1,MATCH(Q363,card_type!A:A,0)-1,0)</f>
        <v>3</v>
      </c>
      <c r="L363" s="157">
        <v>3</v>
      </c>
      <c r="M363" s="157">
        <v>3</v>
      </c>
      <c r="N363" s="153">
        <f t="shared" si="57"/>
        <v>28</v>
      </c>
      <c r="O363" s="157"/>
      <c r="P363" s="157"/>
      <c r="Q363" s="153">
        <f ca="1">OFFSET(card_type!$A$1,MATCH(card!B363,card_type!B:B,0)-1,0)</f>
        <v>1012</v>
      </c>
      <c r="R363" s="153">
        <v>1</v>
      </c>
      <c r="S363" s="157">
        <f ca="1">ROUND(IF(R363=0,0,IF(R363=1,X363*$S$1,IF(R363=2,X363*$S$1*buff的资质计算!$E$2,IF(R363=3,X363*$S$1*buff的资质计算!$E$3,0)))),0)*0</f>
        <v>0</v>
      </c>
      <c r="T363" s="153">
        <v>5</v>
      </c>
      <c r="U363" s="153">
        <f ca="1" t="shared" si="58"/>
        <v>23</v>
      </c>
      <c r="V363" s="153">
        <f ca="1">ROUND((OFFSET(卡牌辅助配置表!$O$1,MATCH(U363,卡牌辅助配置表!M:M,0)-1,0)+(N363-1)*OFFSET(卡牌辅助配置表!$P$1,MATCH(U363,卡牌辅助配置表!M:M,0)-1,0))*M363,2)</f>
        <v>141.12</v>
      </c>
      <c r="W363" s="157">
        <f ca="1">ROUND(IF(R363=0,0,IF(R363=1,X363*$W$1,IF(R363=2,X363*$W$1*buff的资质计算!$E$2,IF(R363=3,X363*$W$1*buff的资质计算!$E$3,0)))),2)</f>
        <v>20.25</v>
      </c>
      <c r="X363" s="157">
        <f ca="1" t="shared" si="59"/>
        <v>67.5</v>
      </c>
      <c r="Y363" s="157">
        <f ca="1" t="shared" si="64"/>
        <v>68.7857142857143</v>
      </c>
      <c r="Z363" s="304">
        <f ca="1" t="shared" si="60"/>
        <v>22.9285714285714</v>
      </c>
      <c r="AA363" s="304">
        <f ca="1">OFFSET(卡牌辅助配置表!$AD$1,MATCH(AB363,卡牌辅助配置表!AB:AB,0)-1,0)</f>
        <v>8664</v>
      </c>
      <c r="AB363" s="304">
        <f ca="1" t="shared" si="61"/>
        <v>2328</v>
      </c>
      <c r="AC363" s="153">
        <v>12</v>
      </c>
      <c r="AF363" s="153" t="str">
        <f ca="1" t="shared" si="65"/>
        <v>10120011|</v>
      </c>
      <c r="AJ363" s="205" t="str">
        <f ca="1" t="shared" si="62"/>
        <v>400023|27000|;</v>
      </c>
      <c r="AK363" s="205">
        <f ca="1">OFFSET([1]item_type!$A$1,MATCH(Q363,[1]item_type!$G:$G,0)-1,0)</f>
        <v>301012</v>
      </c>
      <c r="AL363" s="205"/>
      <c r="AM363" s="205">
        <f ca="1">IF(B363=B364,OFFSET(卡牌辅助配置表!$AE$1,MATCH(AB363,卡牌辅助配置表!AB:AB,0),0),0)</f>
        <v>27000</v>
      </c>
      <c r="AN363" s="153">
        <f ca="1" t="shared" si="63"/>
        <v>1012029</v>
      </c>
      <c r="AP363" s="153">
        <f ca="1">IF(AC363=0,0,IF(AC363=12,0,OFFSET(effect!$N$1,MATCH(K363,effect!M:M,0)-1,0)))</f>
        <v>0</v>
      </c>
    </row>
    <row r="364" spans="1:42">
      <c r="A364" s="153">
        <f ca="1" t="shared" si="56"/>
        <v>1012029</v>
      </c>
      <c r="B364" s="91" t="s">
        <v>633</v>
      </c>
      <c r="C364" s="186">
        <v>1</v>
      </c>
      <c r="D364" s="186">
        <v>6</v>
      </c>
      <c r="E364" s="165"/>
      <c r="F364" s="179" t="s">
        <v>1051</v>
      </c>
      <c r="G364" s="186">
        <f ca="1">OFFSET(卡牌辅助配置表!$C$1,MATCH(AC364,卡牌辅助配置表!A:A,0)-1,0)</f>
        <v>0</v>
      </c>
      <c r="H364" s="186">
        <f ca="1">OFFSET(skill!$Q$1,MATCH(B364,skill!B:B,0)-1,0)</f>
        <v>1.28571428571429</v>
      </c>
      <c r="I364" s="186"/>
      <c r="J364" s="186">
        <f ca="1">OFFSET(card_type!$F$1,MATCH(Q364,card_type!A:A,0)-1,0)</f>
        <v>2</v>
      </c>
      <c r="K364" s="243">
        <f ca="1">OFFSET(card_type!$G$1,MATCH(Q364,card_type!A:A,0)-1,0)</f>
        <v>3</v>
      </c>
      <c r="L364" s="157">
        <v>3</v>
      </c>
      <c r="M364" s="157">
        <v>3</v>
      </c>
      <c r="N364" s="153">
        <f t="shared" si="57"/>
        <v>29</v>
      </c>
      <c r="O364" s="157"/>
      <c r="P364" s="157"/>
      <c r="Q364" s="153">
        <f ca="1">OFFSET(card_type!$A$1,MATCH(card!B364,card_type!B:B,0)-1,0)</f>
        <v>1012</v>
      </c>
      <c r="R364" s="153">
        <v>1</v>
      </c>
      <c r="S364" s="157">
        <f ca="1">ROUND(IF(R364=0,0,IF(R364=1,X364*$S$1,IF(R364=2,X364*$S$1*buff的资质计算!$E$2,IF(R364=3,X364*$S$1*buff的资质计算!$E$3,0)))),0)*0</f>
        <v>0</v>
      </c>
      <c r="T364" s="153">
        <v>5</v>
      </c>
      <c r="U364" s="153">
        <f ca="1" t="shared" si="58"/>
        <v>23</v>
      </c>
      <c r="V364" s="153">
        <f ca="1">ROUND((OFFSET(卡牌辅助配置表!$O$1,MATCH(U364,卡牌辅助配置表!M:M,0)-1,0)+(N364-1)*OFFSET(卡牌辅助配置表!$P$1,MATCH(U364,卡牌辅助配置表!M:M,0)-1,0))*M364,2)</f>
        <v>144.48</v>
      </c>
      <c r="W364" s="157">
        <f ca="1">ROUND(IF(R364=0,0,IF(R364=1,X364*$W$1,IF(R364=2,X364*$W$1*buff的资质计算!$E$2,IF(R364=3,X364*$W$1*buff的资质计算!$E$3,0)))),2)</f>
        <v>20.4</v>
      </c>
      <c r="X364" s="157">
        <f ca="1" t="shared" si="59"/>
        <v>68</v>
      </c>
      <c r="Y364" s="157">
        <f ca="1" t="shared" si="64"/>
        <v>69.2857142857143</v>
      </c>
      <c r="Z364" s="304">
        <f ca="1" t="shared" si="60"/>
        <v>23.0952380952381</v>
      </c>
      <c r="AA364" s="304">
        <f ca="1">OFFSET(卡牌辅助配置表!$AD$1,MATCH(AB364,卡牌辅助配置表!AB:AB,0)-1,0)</f>
        <v>9087</v>
      </c>
      <c r="AB364" s="304">
        <f ca="1" t="shared" si="61"/>
        <v>2329</v>
      </c>
      <c r="AC364" s="153">
        <v>12</v>
      </c>
      <c r="AF364" s="153" t="str">
        <f ca="1" t="shared" si="65"/>
        <v>10120011|</v>
      </c>
      <c r="AJ364" s="205" t="str">
        <f ca="1" t="shared" si="62"/>
        <v>301012|30|;400023|28600|;</v>
      </c>
      <c r="AK364" s="205">
        <f ca="1">OFFSET([1]item_type!$A$1,MATCH(Q364,[1]item_type!$G:$G,0)-1,0)</f>
        <v>301012</v>
      </c>
      <c r="AL364" s="205">
        <v>30</v>
      </c>
      <c r="AM364" s="205">
        <f ca="1">IF(B364=B365,OFFSET(卡牌辅助配置表!$AE$1,MATCH(AB364,卡牌辅助配置表!AB:AB,0),0),0)</f>
        <v>28600</v>
      </c>
      <c r="AN364" s="153">
        <f ca="1" t="shared" si="63"/>
        <v>1012030</v>
      </c>
      <c r="AP364" s="153">
        <f ca="1">IF(AC364=0,0,IF(AC364=12,0,OFFSET(effect!$N$1,MATCH(K364,effect!M:M,0)-1,0)))</f>
        <v>0</v>
      </c>
    </row>
    <row r="365" spans="1:42">
      <c r="A365" s="153">
        <f ca="1" t="shared" si="56"/>
        <v>1012030</v>
      </c>
      <c r="B365" s="91" t="s">
        <v>633</v>
      </c>
      <c r="C365" s="186">
        <v>1</v>
      </c>
      <c r="D365" s="186">
        <v>6</v>
      </c>
      <c r="E365" s="165"/>
      <c r="F365" s="179" t="s">
        <v>1051</v>
      </c>
      <c r="G365" s="186">
        <f ca="1">OFFSET(卡牌辅助配置表!$C$1,MATCH(AC365,卡牌辅助配置表!A:A,0)-1,0)</f>
        <v>0</v>
      </c>
      <c r="H365" s="186">
        <f ca="1">OFFSET(skill!$Q$1,MATCH(B365,skill!B:B,0)-1,0)</f>
        <v>1.28571428571429</v>
      </c>
      <c r="I365" s="186"/>
      <c r="J365" s="186">
        <f ca="1">OFFSET(card_type!$F$1,MATCH(Q365,card_type!A:A,0)-1,0)</f>
        <v>2</v>
      </c>
      <c r="K365" s="243">
        <f ca="1">OFFSET(card_type!$G$1,MATCH(Q365,card_type!A:A,0)-1,0)</f>
        <v>3</v>
      </c>
      <c r="L365" s="157">
        <v>3</v>
      </c>
      <c r="M365" s="157">
        <v>3</v>
      </c>
      <c r="N365" s="153">
        <f t="shared" si="57"/>
        <v>30</v>
      </c>
      <c r="O365" s="157"/>
      <c r="P365" s="157"/>
      <c r="Q365" s="153">
        <f ca="1">OFFSET(card_type!$A$1,MATCH(card!B365,card_type!B:B,0)-1,0)</f>
        <v>1012</v>
      </c>
      <c r="R365" s="153">
        <v>1</v>
      </c>
      <c r="S365" s="157">
        <f ca="1">ROUND(IF(R365=0,0,IF(R365=1,X365*$S$1,IF(R365=2,X365*$S$1*buff的资质计算!$E$2,IF(R365=3,X365*$S$1*buff的资质计算!$E$3,0)))),0)*0</f>
        <v>0</v>
      </c>
      <c r="T365" s="153">
        <v>5</v>
      </c>
      <c r="U365" s="153">
        <f ca="1" t="shared" si="58"/>
        <v>23</v>
      </c>
      <c r="V365" s="153">
        <f ca="1">ROUND((OFFSET(卡牌辅助配置表!$O$1,MATCH(U365,卡牌辅助配置表!M:M,0)-1,0)+(N365-1)*OFFSET(卡牌辅助配置表!$P$1,MATCH(U365,卡牌辅助配置表!M:M,0)-1,0))*M365,2)</f>
        <v>147.84</v>
      </c>
      <c r="W365" s="157">
        <f ca="1">ROUND(IF(R365=0,0,IF(R365=1,X365*$W$1,IF(R365=2,X365*$W$1*buff的资质计算!$E$2,IF(R365=3,X365*$W$1*buff的资质计算!$E$3,0)))),2)</f>
        <v>20.55</v>
      </c>
      <c r="X365" s="157">
        <f ca="1" t="shared" si="59"/>
        <v>68.5</v>
      </c>
      <c r="Y365" s="157">
        <f ca="1" t="shared" si="64"/>
        <v>69.7857142857143</v>
      </c>
      <c r="Z365" s="304">
        <f ca="1" t="shared" si="60"/>
        <v>23.2619047619048</v>
      </c>
      <c r="AA365" s="304">
        <f ca="1">OFFSET(卡牌辅助配置表!$AD$1,MATCH(AB365,卡牌辅助配置表!AB:AB,0)-1,0)</f>
        <v>9510</v>
      </c>
      <c r="AB365" s="304">
        <f ca="1" t="shared" si="61"/>
        <v>2330</v>
      </c>
      <c r="AC365" s="153">
        <v>12</v>
      </c>
      <c r="AF365" s="153" t="str">
        <f ca="1" t="shared" si="65"/>
        <v>10120011|</v>
      </c>
      <c r="AJ365" s="205">
        <f ca="1" t="shared" si="62"/>
        <v>0</v>
      </c>
      <c r="AK365" s="205">
        <f ca="1">OFFSET([1]item_type!$A$1,MATCH(Q365,[1]item_type!$G:$G,0)-1,0)</f>
        <v>301012</v>
      </c>
      <c r="AL365" s="205"/>
      <c r="AM365" s="205">
        <f ca="1">IF(B365=B366,OFFSET(卡牌辅助配置表!$AE$1,MATCH(AB365,卡牌辅助配置表!AB:AB,0),0),0)</f>
        <v>0</v>
      </c>
      <c r="AN365" s="153">
        <f ca="1" t="shared" si="63"/>
        <v>0</v>
      </c>
      <c r="AP365" s="153">
        <f ca="1">IF(AC365=0,0,IF(AC365=12,0,OFFSET(effect!$N$1,MATCH(K365,effect!M:M,0)-1,0)))</f>
        <v>0</v>
      </c>
    </row>
    <row r="366" spans="1:42">
      <c r="A366" s="153">
        <f ca="1" t="shared" si="56"/>
        <v>1013001</v>
      </c>
      <c r="B366" s="91" t="s">
        <v>377</v>
      </c>
      <c r="C366" s="186">
        <v>1</v>
      </c>
      <c r="D366" s="186">
        <v>5</v>
      </c>
      <c r="E366" s="165" t="s">
        <v>1050</v>
      </c>
      <c r="F366" s="179" t="s">
        <v>1052</v>
      </c>
      <c r="G366" s="186">
        <f ca="1">OFFSET(卡牌辅助配置表!$C$1,MATCH(AC366,卡牌辅助配置表!A:A,0)-1,0)</f>
        <v>0</v>
      </c>
      <c r="H366" s="186" t="e">
        <f ca="1">OFFSET(skill!$Q$1,MATCH(B366,skill!B:B,0)-1,0)</f>
        <v>#VALUE!</v>
      </c>
      <c r="I366" s="186"/>
      <c r="J366" s="186">
        <f ca="1">OFFSET(card_type!$F$1,MATCH(Q366,card_type!A:A,0)-1,0)</f>
        <v>2</v>
      </c>
      <c r="K366" s="243">
        <f ca="1">OFFSET(card_type!$G$1,MATCH(Q366,card_type!A:A,0)-1,0)</f>
        <v>2</v>
      </c>
      <c r="L366" s="157">
        <v>3</v>
      </c>
      <c r="M366" s="157">
        <v>3</v>
      </c>
      <c r="N366" s="153">
        <f t="shared" si="57"/>
        <v>1</v>
      </c>
      <c r="O366" s="157"/>
      <c r="P366" s="157"/>
      <c r="Q366" s="153">
        <f ca="1">OFFSET(card_type!$A$1,MATCH(card!B366,card_type!B:B,0)-1,0)</f>
        <v>1013</v>
      </c>
      <c r="R366" s="153">
        <v>1</v>
      </c>
      <c r="S366" s="157">
        <f ca="1">ROUND(IF(R366=0,0,IF(R366=1,X366*$S$1,IF(R366=2,X366*$S$1*buff的资质计算!$E$2,IF(R366=3,X366*$S$1*buff的资质计算!$E$3,0)))),0)*0</f>
        <v>0</v>
      </c>
      <c r="T366" s="153">
        <v>1</v>
      </c>
      <c r="U366" s="153">
        <f ca="1" t="shared" si="58"/>
        <v>22</v>
      </c>
      <c r="V366" s="153">
        <f ca="1">ROUND((OFFSET(卡牌辅助配置表!$O$1,MATCH(U366,卡牌辅助配置表!M:M,0)-1,0)+(N366-1)*OFFSET(卡牌辅助配置表!$P$1,MATCH(U366,卡牌辅助配置表!M:M,0)-1,0))*M366,2)</f>
        <v>31.5</v>
      </c>
      <c r="W366" s="157">
        <f ca="1">ROUND(IF(R366=0,0,IF(R366=1,X366*$W$1,IF(R366=2,X366*$W$1*buff的资质计算!$E$2,IF(R366=3,X366*$W$1*buff的资质计算!$E$3,0)))),2)</f>
        <v>12.6</v>
      </c>
      <c r="X366" s="157">
        <f ca="1" t="shared" si="59"/>
        <v>42</v>
      </c>
      <c r="Y366" s="157" t="e">
        <f ca="1" t="shared" si="64"/>
        <v>#VALUE!</v>
      </c>
      <c r="Z366" s="304" t="e">
        <f ca="1" t="shared" si="60"/>
        <v>#VALUE!</v>
      </c>
      <c r="AA366" s="304">
        <f ca="1">OFFSET(卡牌辅助配置表!$AD$1,MATCH(AB366,卡牌辅助配置表!AB:AB,0)-1,0)</f>
        <v>127</v>
      </c>
      <c r="AB366" s="304">
        <f ca="1" t="shared" si="61"/>
        <v>2201</v>
      </c>
      <c r="AC366" s="153">
        <v>12</v>
      </c>
      <c r="AF366" s="153" t="str">
        <f ca="1" t="shared" si="65"/>
        <v>10130011|</v>
      </c>
      <c r="AJ366" s="205" t="str">
        <f ca="1" t="shared" si="62"/>
        <v>400023|1050|;</v>
      </c>
      <c r="AK366" s="205">
        <f ca="1">OFFSET([1]item_type!$A$1,MATCH(Q366,[1]item_type!$G:$G,0)-1,0)</f>
        <v>301013</v>
      </c>
      <c r="AL366" s="205"/>
      <c r="AM366" s="205">
        <f ca="1">IF(B366=B367,OFFSET(卡牌辅助配置表!$AE$1,MATCH(AB366,卡牌辅助配置表!AB:AB,0),0),0)</f>
        <v>1050</v>
      </c>
      <c r="AN366" s="153">
        <f ca="1" t="shared" si="63"/>
        <v>1013002</v>
      </c>
      <c r="AP366" s="153">
        <f ca="1">IF(AC366=0,0,IF(AC366=12,0,OFFSET(effect!$N$1,MATCH(K366,effect!M:M,0)-1,0)))</f>
        <v>0</v>
      </c>
    </row>
    <row r="367" spans="1:42">
      <c r="A367" s="153">
        <f ca="1" t="shared" si="56"/>
        <v>1013002</v>
      </c>
      <c r="B367" s="91" t="s">
        <v>377</v>
      </c>
      <c r="C367" s="186">
        <v>1</v>
      </c>
      <c r="D367" s="186">
        <v>5</v>
      </c>
      <c r="E367" s="165" t="s">
        <v>1050</v>
      </c>
      <c r="F367" s="179" t="s">
        <v>1052</v>
      </c>
      <c r="G367" s="186">
        <f ca="1">OFFSET(卡牌辅助配置表!$C$1,MATCH(AC367,卡牌辅助配置表!A:A,0)-1,0)</f>
        <v>0</v>
      </c>
      <c r="H367" s="186" t="e">
        <f ca="1">OFFSET(skill!$Q$1,MATCH(B367,skill!B:B,0)-1,0)</f>
        <v>#VALUE!</v>
      </c>
      <c r="I367" s="186"/>
      <c r="J367" s="186">
        <f ca="1">OFFSET(card_type!$F$1,MATCH(Q367,card_type!A:A,0)-1,0)</f>
        <v>2</v>
      </c>
      <c r="K367" s="243">
        <f ca="1">OFFSET(card_type!$G$1,MATCH(Q367,card_type!A:A,0)-1,0)</f>
        <v>2</v>
      </c>
      <c r="L367" s="157">
        <v>3</v>
      </c>
      <c r="M367" s="157">
        <v>3</v>
      </c>
      <c r="N367" s="153">
        <f t="shared" si="57"/>
        <v>2</v>
      </c>
      <c r="O367" s="157"/>
      <c r="P367" s="157"/>
      <c r="Q367" s="153">
        <f ca="1">OFFSET(card_type!$A$1,MATCH(card!B367,card_type!B:B,0)-1,0)</f>
        <v>1013</v>
      </c>
      <c r="R367" s="153">
        <v>1</v>
      </c>
      <c r="S367" s="157">
        <f ca="1">ROUND(IF(R367=0,0,IF(R367=1,X367*$S$1,IF(R367=2,X367*$S$1*buff的资质计算!$E$2,IF(R367=3,X367*$S$1*buff的资质计算!$E$3,0)))),0)*0</f>
        <v>0</v>
      </c>
      <c r="T367" s="153">
        <v>1</v>
      </c>
      <c r="U367" s="153">
        <f ca="1" t="shared" si="58"/>
        <v>22</v>
      </c>
      <c r="V367" s="153">
        <f ca="1">ROUND((OFFSET(卡牌辅助配置表!$O$1,MATCH(U367,卡牌辅助配置表!M:M,0)-1,0)+(N367-1)*OFFSET(卡牌辅助配置表!$P$1,MATCH(U367,卡牌辅助配置表!M:M,0)-1,0))*M367,2)</f>
        <v>34.05</v>
      </c>
      <c r="W367" s="157">
        <f ca="1">ROUND(IF(R367=0,0,IF(R367=1,X367*$W$1,IF(R367=2,X367*$W$1*buff的资质计算!$E$2,IF(R367=3,X367*$W$1*buff的资质计算!$E$3,0)))),2)</f>
        <v>12.75</v>
      </c>
      <c r="X367" s="157">
        <f ca="1" t="shared" si="59"/>
        <v>42.5</v>
      </c>
      <c r="Y367" s="157" t="e">
        <f ca="1" t="shared" si="64"/>
        <v>#VALUE!</v>
      </c>
      <c r="Z367" s="304" t="e">
        <f ca="1" t="shared" si="60"/>
        <v>#VALUE!</v>
      </c>
      <c r="AA367" s="304">
        <f ca="1">OFFSET(卡牌辅助配置表!$AD$1,MATCH(AB367,卡牌辅助配置表!AB:AB,0)-1,0)</f>
        <v>254</v>
      </c>
      <c r="AB367" s="304">
        <f ca="1" t="shared" si="61"/>
        <v>2202</v>
      </c>
      <c r="AC367" s="153">
        <v>12</v>
      </c>
      <c r="AF367" s="153" t="str">
        <f ca="1" t="shared" si="65"/>
        <v>10130011|</v>
      </c>
      <c r="AJ367" s="205" t="str">
        <f ca="1" t="shared" si="62"/>
        <v>400023|1350|;</v>
      </c>
      <c r="AK367" s="205">
        <f ca="1">OFFSET([1]item_type!$A$1,MATCH(Q367,[1]item_type!$G:$G,0)-1,0)</f>
        <v>301013</v>
      </c>
      <c r="AL367" s="205"/>
      <c r="AM367" s="205">
        <f ca="1">IF(B367=B368,OFFSET(卡牌辅助配置表!$AE$1,MATCH(AB367,卡牌辅助配置表!AB:AB,0),0),0)</f>
        <v>1350</v>
      </c>
      <c r="AN367" s="153">
        <f ca="1" t="shared" si="63"/>
        <v>1013003</v>
      </c>
      <c r="AP367" s="153">
        <f ca="1">IF(AC367=0,0,IF(AC367=12,0,OFFSET(effect!$N$1,MATCH(K367,effect!M:M,0)-1,0)))</f>
        <v>0</v>
      </c>
    </row>
    <row r="368" spans="1:42">
      <c r="A368" s="153">
        <f ca="1" t="shared" si="56"/>
        <v>1013003</v>
      </c>
      <c r="B368" s="91" t="s">
        <v>377</v>
      </c>
      <c r="C368" s="186">
        <v>1</v>
      </c>
      <c r="D368" s="186">
        <v>5</v>
      </c>
      <c r="E368" s="165" t="s">
        <v>1050</v>
      </c>
      <c r="F368" s="179" t="s">
        <v>1052</v>
      </c>
      <c r="G368" s="186">
        <f ca="1">OFFSET(卡牌辅助配置表!$C$1,MATCH(AC368,卡牌辅助配置表!A:A,0)-1,0)</f>
        <v>0</v>
      </c>
      <c r="H368" s="186" t="e">
        <f ca="1">OFFSET(skill!$Q$1,MATCH(B368,skill!B:B,0)-1,0)</f>
        <v>#VALUE!</v>
      </c>
      <c r="I368" s="186"/>
      <c r="J368" s="186">
        <f ca="1">OFFSET(card_type!$F$1,MATCH(Q368,card_type!A:A,0)-1,0)</f>
        <v>2</v>
      </c>
      <c r="K368" s="243">
        <f ca="1">OFFSET(card_type!$G$1,MATCH(Q368,card_type!A:A,0)-1,0)</f>
        <v>2</v>
      </c>
      <c r="L368" s="157">
        <v>3</v>
      </c>
      <c r="M368" s="157">
        <v>3</v>
      </c>
      <c r="N368" s="153">
        <f t="shared" si="57"/>
        <v>3</v>
      </c>
      <c r="O368" s="157"/>
      <c r="P368" s="157"/>
      <c r="Q368" s="153">
        <f ca="1">OFFSET(card_type!$A$1,MATCH(card!B368,card_type!B:B,0)-1,0)</f>
        <v>1013</v>
      </c>
      <c r="R368" s="153">
        <v>1</v>
      </c>
      <c r="S368" s="157">
        <f ca="1">ROUND(IF(R368=0,0,IF(R368=1,X368*$S$1,IF(R368=2,X368*$S$1*buff的资质计算!$E$2,IF(R368=3,X368*$S$1*buff的资质计算!$E$3,0)))),0)*0</f>
        <v>0</v>
      </c>
      <c r="T368" s="153">
        <v>1</v>
      </c>
      <c r="U368" s="153">
        <f ca="1" t="shared" si="58"/>
        <v>22</v>
      </c>
      <c r="V368" s="153">
        <f ca="1">ROUND((OFFSET(卡牌辅助配置表!$O$1,MATCH(U368,卡牌辅助配置表!M:M,0)-1,0)+(N368-1)*OFFSET(卡牌辅助配置表!$P$1,MATCH(U368,卡牌辅助配置表!M:M,0)-1,0))*M368,2)</f>
        <v>36.6</v>
      </c>
      <c r="W368" s="157">
        <f ca="1">ROUND(IF(R368=0,0,IF(R368=1,X368*$W$1,IF(R368=2,X368*$W$1*buff的资质计算!$E$2,IF(R368=3,X368*$W$1*buff的资质计算!$E$3,0)))),2)</f>
        <v>12.9</v>
      </c>
      <c r="X368" s="157">
        <f ca="1" t="shared" si="59"/>
        <v>43</v>
      </c>
      <c r="Y368" s="157" t="e">
        <f ca="1" t="shared" si="64"/>
        <v>#VALUE!</v>
      </c>
      <c r="Z368" s="304" t="e">
        <f ca="1" t="shared" si="60"/>
        <v>#VALUE!</v>
      </c>
      <c r="AA368" s="304">
        <f ca="1">OFFSET(卡牌辅助配置表!$AD$1,MATCH(AB368,卡牌辅助配置表!AB:AB,0)-1,0)</f>
        <v>381</v>
      </c>
      <c r="AB368" s="304">
        <f ca="1" t="shared" si="61"/>
        <v>2203</v>
      </c>
      <c r="AC368" s="153">
        <v>12</v>
      </c>
      <c r="AF368" s="153" t="str">
        <f ca="1" t="shared" si="65"/>
        <v>10130011|</v>
      </c>
      <c r="AJ368" s="205" t="str">
        <f ca="1" t="shared" si="62"/>
        <v>400023|1650|;</v>
      </c>
      <c r="AK368" s="205">
        <f ca="1">OFFSET([1]item_type!$A$1,MATCH(Q368,[1]item_type!$G:$G,0)-1,0)</f>
        <v>301013</v>
      </c>
      <c r="AL368" s="205"/>
      <c r="AM368" s="205">
        <f ca="1">IF(B368=B369,OFFSET(卡牌辅助配置表!$AE$1,MATCH(AB368,卡牌辅助配置表!AB:AB,0),0),0)</f>
        <v>1650</v>
      </c>
      <c r="AN368" s="153">
        <f ca="1" t="shared" si="63"/>
        <v>1013004</v>
      </c>
      <c r="AP368" s="153">
        <f ca="1">IF(AC368=0,0,IF(AC368=12,0,OFFSET(effect!$N$1,MATCH(K368,effect!M:M,0)-1,0)))</f>
        <v>0</v>
      </c>
    </row>
    <row r="369" spans="1:42">
      <c r="A369" s="153">
        <f ca="1" t="shared" si="56"/>
        <v>1013004</v>
      </c>
      <c r="B369" s="91" t="s">
        <v>377</v>
      </c>
      <c r="C369" s="186">
        <v>1</v>
      </c>
      <c r="D369" s="186">
        <v>5</v>
      </c>
      <c r="E369" s="165" t="s">
        <v>1050</v>
      </c>
      <c r="F369" s="179" t="s">
        <v>1052</v>
      </c>
      <c r="G369" s="186">
        <f ca="1">OFFSET(卡牌辅助配置表!$C$1,MATCH(AC369,卡牌辅助配置表!A:A,0)-1,0)</f>
        <v>0</v>
      </c>
      <c r="H369" s="186" t="e">
        <f ca="1">OFFSET(skill!$Q$1,MATCH(B369,skill!B:B,0)-1,0)</f>
        <v>#VALUE!</v>
      </c>
      <c r="I369" s="186"/>
      <c r="J369" s="186">
        <f ca="1">OFFSET(card_type!$F$1,MATCH(Q369,card_type!A:A,0)-1,0)</f>
        <v>2</v>
      </c>
      <c r="K369" s="243">
        <f ca="1">OFFSET(card_type!$G$1,MATCH(Q369,card_type!A:A,0)-1,0)</f>
        <v>2</v>
      </c>
      <c r="L369" s="157">
        <v>3</v>
      </c>
      <c r="M369" s="157">
        <v>3</v>
      </c>
      <c r="N369" s="153">
        <f t="shared" si="57"/>
        <v>4</v>
      </c>
      <c r="O369" s="157"/>
      <c r="P369" s="157"/>
      <c r="Q369" s="153">
        <f ca="1">OFFSET(card_type!$A$1,MATCH(card!B369,card_type!B:B,0)-1,0)</f>
        <v>1013</v>
      </c>
      <c r="R369" s="153">
        <v>1</v>
      </c>
      <c r="S369" s="157">
        <f ca="1">ROUND(IF(R369=0,0,IF(R369=1,X369*$S$1,IF(R369=2,X369*$S$1*buff的资质计算!$E$2,IF(R369=3,X369*$S$1*buff的资质计算!$E$3,0)))),0)*0</f>
        <v>0</v>
      </c>
      <c r="T369" s="153">
        <v>1</v>
      </c>
      <c r="U369" s="153">
        <f ca="1" t="shared" si="58"/>
        <v>22</v>
      </c>
      <c r="V369" s="153">
        <f ca="1">ROUND((OFFSET(卡牌辅助配置表!$O$1,MATCH(U369,卡牌辅助配置表!M:M,0)-1,0)+(N369-1)*OFFSET(卡牌辅助配置表!$P$1,MATCH(U369,卡牌辅助配置表!M:M,0)-1,0))*M369,2)</f>
        <v>39.15</v>
      </c>
      <c r="W369" s="157">
        <f ca="1">ROUND(IF(R369=0,0,IF(R369=1,X369*$W$1,IF(R369=2,X369*$W$1*buff的资质计算!$E$2,IF(R369=3,X369*$W$1*buff的资质计算!$E$3,0)))),2)</f>
        <v>13.05</v>
      </c>
      <c r="X369" s="157">
        <f ca="1" t="shared" si="59"/>
        <v>43.5</v>
      </c>
      <c r="Y369" s="157" t="e">
        <f ca="1" t="shared" si="64"/>
        <v>#VALUE!</v>
      </c>
      <c r="Z369" s="304" t="e">
        <f ca="1" t="shared" si="60"/>
        <v>#VALUE!</v>
      </c>
      <c r="AA369" s="304">
        <f ca="1">OFFSET(卡牌辅助配置表!$AD$1,MATCH(AB369,卡牌辅助配置表!AB:AB,0)-1,0)</f>
        <v>508</v>
      </c>
      <c r="AB369" s="304">
        <f ca="1" t="shared" si="61"/>
        <v>2204</v>
      </c>
      <c r="AC369" s="153">
        <v>12</v>
      </c>
      <c r="AF369" s="153" t="str">
        <f ca="1" t="shared" si="65"/>
        <v>10130011|</v>
      </c>
      <c r="AJ369" s="205" t="str">
        <f ca="1" t="shared" si="62"/>
        <v>400023|1950|;</v>
      </c>
      <c r="AK369" s="205">
        <f ca="1">OFFSET([1]item_type!$A$1,MATCH(Q369,[1]item_type!$G:$G,0)-1,0)</f>
        <v>301013</v>
      </c>
      <c r="AL369" s="205"/>
      <c r="AM369" s="205">
        <f ca="1">IF(B369=B370,OFFSET(卡牌辅助配置表!$AE$1,MATCH(AB369,卡牌辅助配置表!AB:AB,0),0),0)</f>
        <v>1950</v>
      </c>
      <c r="AN369" s="153">
        <f ca="1" t="shared" si="63"/>
        <v>1013005</v>
      </c>
      <c r="AP369" s="153">
        <f ca="1">IF(AC369=0,0,IF(AC369=12,0,OFFSET(effect!$N$1,MATCH(K369,effect!M:M,0)-1,0)))</f>
        <v>0</v>
      </c>
    </row>
    <row r="370" spans="1:42">
      <c r="A370" s="153">
        <f ca="1" t="shared" si="56"/>
        <v>1013005</v>
      </c>
      <c r="B370" s="91" t="s">
        <v>377</v>
      </c>
      <c r="C370" s="186">
        <v>1</v>
      </c>
      <c r="D370" s="186">
        <v>5</v>
      </c>
      <c r="E370" s="165" t="s">
        <v>1050</v>
      </c>
      <c r="F370" s="179" t="s">
        <v>1052</v>
      </c>
      <c r="G370" s="186">
        <f ca="1">OFFSET(卡牌辅助配置表!$C$1,MATCH(AC370,卡牌辅助配置表!A:A,0)-1,0)</f>
        <v>0</v>
      </c>
      <c r="H370" s="186" t="e">
        <f ca="1">OFFSET(skill!$Q$1,MATCH(B370,skill!B:B,0)-1,0)</f>
        <v>#VALUE!</v>
      </c>
      <c r="I370" s="186"/>
      <c r="J370" s="186">
        <f ca="1">OFFSET(card_type!$F$1,MATCH(Q370,card_type!A:A,0)-1,0)</f>
        <v>2</v>
      </c>
      <c r="K370" s="243">
        <f ca="1">OFFSET(card_type!$G$1,MATCH(Q370,card_type!A:A,0)-1,0)</f>
        <v>2</v>
      </c>
      <c r="L370" s="157">
        <v>3</v>
      </c>
      <c r="M370" s="157">
        <v>3</v>
      </c>
      <c r="N370" s="153">
        <f t="shared" si="57"/>
        <v>5</v>
      </c>
      <c r="O370" s="157"/>
      <c r="P370" s="157"/>
      <c r="Q370" s="153">
        <f ca="1">OFFSET(card_type!$A$1,MATCH(card!B370,card_type!B:B,0)-1,0)</f>
        <v>1013</v>
      </c>
      <c r="R370" s="153">
        <v>1</v>
      </c>
      <c r="S370" s="157">
        <f ca="1">ROUND(IF(R370=0,0,IF(R370=1,X370*$S$1,IF(R370=2,X370*$S$1*buff的资质计算!$E$2,IF(R370=3,X370*$S$1*buff的资质计算!$E$3,0)))),0)*0</f>
        <v>0</v>
      </c>
      <c r="T370" s="153">
        <v>1</v>
      </c>
      <c r="U370" s="153">
        <f ca="1" t="shared" si="58"/>
        <v>22</v>
      </c>
      <c r="V370" s="153">
        <f ca="1">ROUND((OFFSET(卡牌辅助配置表!$O$1,MATCH(U370,卡牌辅助配置表!M:M,0)-1,0)+(N370-1)*OFFSET(卡牌辅助配置表!$P$1,MATCH(U370,卡牌辅助配置表!M:M,0)-1,0))*M370,2)</f>
        <v>41.7</v>
      </c>
      <c r="W370" s="157">
        <f ca="1">ROUND(IF(R370=0,0,IF(R370=1,X370*$W$1,IF(R370=2,X370*$W$1*buff的资质计算!$E$2,IF(R370=3,X370*$W$1*buff的资质计算!$E$3,0)))),2)</f>
        <v>13.2</v>
      </c>
      <c r="X370" s="157">
        <f ca="1" t="shared" si="59"/>
        <v>44</v>
      </c>
      <c r="Y370" s="157" t="e">
        <f ca="1" t="shared" si="64"/>
        <v>#VALUE!</v>
      </c>
      <c r="Z370" s="304" t="e">
        <f ca="1" t="shared" si="60"/>
        <v>#VALUE!</v>
      </c>
      <c r="AA370" s="304">
        <f ca="1">OFFSET(卡牌辅助配置表!$AD$1,MATCH(AB370,卡牌辅助配置表!AB:AB,0)-1,0)</f>
        <v>635</v>
      </c>
      <c r="AB370" s="304">
        <f ca="1" t="shared" si="61"/>
        <v>2205</v>
      </c>
      <c r="AC370" s="153">
        <v>12</v>
      </c>
      <c r="AF370" s="153" t="str">
        <f ca="1" t="shared" si="65"/>
        <v>10130011|</v>
      </c>
      <c r="AJ370" s="205" t="str">
        <f ca="1" t="shared" si="62"/>
        <v>400023|2250|;</v>
      </c>
      <c r="AK370" s="205">
        <f ca="1">OFFSET([1]item_type!$A$1,MATCH(Q370,[1]item_type!$G:$G,0)-1,0)</f>
        <v>301013</v>
      </c>
      <c r="AL370" s="205"/>
      <c r="AM370" s="205">
        <f ca="1">IF(B370=B371,OFFSET(卡牌辅助配置表!$AE$1,MATCH(AB370,卡牌辅助配置表!AB:AB,0),0),0)</f>
        <v>2250</v>
      </c>
      <c r="AN370" s="153">
        <f ca="1" t="shared" si="63"/>
        <v>1013006</v>
      </c>
      <c r="AP370" s="153">
        <f ca="1">IF(AC370=0,0,IF(AC370=12,0,OFFSET(effect!$N$1,MATCH(K370,effect!M:M,0)-1,0)))</f>
        <v>0</v>
      </c>
    </row>
    <row r="371" spans="1:42">
      <c r="A371" s="153">
        <f ca="1" t="shared" si="56"/>
        <v>1013006</v>
      </c>
      <c r="B371" s="91" t="s">
        <v>377</v>
      </c>
      <c r="C371" s="186">
        <v>1</v>
      </c>
      <c r="D371" s="186">
        <v>5</v>
      </c>
      <c r="E371" s="165" t="s">
        <v>1050</v>
      </c>
      <c r="F371" s="179" t="s">
        <v>1052</v>
      </c>
      <c r="G371" s="186">
        <f ca="1">OFFSET(卡牌辅助配置表!$C$1,MATCH(AC371,卡牌辅助配置表!A:A,0)-1,0)</f>
        <v>0</v>
      </c>
      <c r="H371" s="186" t="e">
        <f ca="1">OFFSET(skill!$Q$1,MATCH(B371,skill!B:B,0)-1,0)</f>
        <v>#VALUE!</v>
      </c>
      <c r="I371" s="186"/>
      <c r="J371" s="186">
        <f ca="1">OFFSET(card_type!$F$1,MATCH(Q371,card_type!A:A,0)-1,0)</f>
        <v>2</v>
      </c>
      <c r="K371" s="243">
        <f ca="1">OFFSET(card_type!$G$1,MATCH(Q371,card_type!A:A,0)-1,0)</f>
        <v>2</v>
      </c>
      <c r="L371" s="157">
        <v>3</v>
      </c>
      <c r="M371" s="157">
        <v>3</v>
      </c>
      <c r="N371" s="153">
        <f t="shared" si="57"/>
        <v>6</v>
      </c>
      <c r="O371" s="157"/>
      <c r="P371" s="157"/>
      <c r="Q371" s="153">
        <f ca="1">OFFSET(card_type!$A$1,MATCH(card!B371,card_type!B:B,0)-1,0)</f>
        <v>1013</v>
      </c>
      <c r="R371" s="153">
        <v>1</v>
      </c>
      <c r="S371" s="157">
        <f ca="1">ROUND(IF(R371=0,0,IF(R371=1,X371*$S$1,IF(R371=2,X371*$S$1*buff的资质计算!$E$2,IF(R371=3,X371*$S$1*buff的资质计算!$E$3,0)))),0)*0</f>
        <v>0</v>
      </c>
      <c r="T371" s="153">
        <v>1</v>
      </c>
      <c r="U371" s="153">
        <f ca="1" t="shared" si="58"/>
        <v>22</v>
      </c>
      <c r="V371" s="153">
        <f ca="1">ROUND((OFFSET(卡牌辅助配置表!$O$1,MATCH(U371,卡牌辅助配置表!M:M,0)-1,0)+(N371-1)*OFFSET(卡牌辅助配置表!$P$1,MATCH(U371,卡牌辅助配置表!M:M,0)-1,0))*M371,2)</f>
        <v>44.25</v>
      </c>
      <c r="W371" s="157">
        <f ca="1">ROUND(IF(R371=0,0,IF(R371=1,X371*$W$1,IF(R371=2,X371*$W$1*buff的资质计算!$E$2,IF(R371=3,X371*$W$1*buff的资质计算!$E$3,0)))),2)</f>
        <v>13.35</v>
      </c>
      <c r="X371" s="157">
        <f ca="1" t="shared" si="59"/>
        <v>44.5</v>
      </c>
      <c r="Y371" s="157" t="e">
        <f ca="1" t="shared" si="64"/>
        <v>#VALUE!</v>
      </c>
      <c r="Z371" s="304" t="e">
        <f ca="1" t="shared" si="60"/>
        <v>#VALUE!</v>
      </c>
      <c r="AA371" s="304">
        <f ca="1">OFFSET(卡牌辅助配置表!$AD$1,MATCH(AB371,卡牌辅助配置表!AB:AB,0)-1,0)</f>
        <v>762</v>
      </c>
      <c r="AB371" s="304">
        <f ca="1" t="shared" si="61"/>
        <v>2206</v>
      </c>
      <c r="AC371" s="153">
        <v>12</v>
      </c>
      <c r="AF371" s="153" t="str">
        <f ca="1" t="shared" si="65"/>
        <v>10130011|</v>
      </c>
      <c r="AJ371" s="205" t="str">
        <f ca="1" t="shared" si="62"/>
        <v>400023|2550|;</v>
      </c>
      <c r="AK371" s="205">
        <f ca="1">OFFSET([1]item_type!$A$1,MATCH(Q371,[1]item_type!$G:$G,0)-1,0)</f>
        <v>301013</v>
      </c>
      <c r="AL371" s="205"/>
      <c r="AM371" s="205">
        <f ca="1">IF(B371=B372,OFFSET(卡牌辅助配置表!$AE$1,MATCH(AB371,卡牌辅助配置表!AB:AB,0),0),0)</f>
        <v>2550</v>
      </c>
      <c r="AN371" s="153">
        <f ca="1" t="shared" si="63"/>
        <v>1013007</v>
      </c>
      <c r="AP371" s="153">
        <f ca="1">IF(AC371=0,0,IF(AC371=12,0,OFFSET(effect!$N$1,MATCH(K371,effect!M:M,0)-1,0)))</f>
        <v>0</v>
      </c>
    </row>
    <row r="372" spans="1:42">
      <c r="A372" s="153">
        <f ca="1" t="shared" si="56"/>
        <v>1013007</v>
      </c>
      <c r="B372" s="91" t="s">
        <v>377</v>
      </c>
      <c r="C372" s="186">
        <v>1</v>
      </c>
      <c r="D372" s="186">
        <v>5</v>
      </c>
      <c r="E372" s="165" t="s">
        <v>1050</v>
      </c>
      <c r="F372" s="179" t="s">
        <v>1052</v>
      </c>
      <c r="G372" s="186">
        <f ca="1">OFFSET(卡牌辅助配置表!$C$1,MATCH(AC372,卡牌辅助配置表!A:A,0)-1,0)</f>
        <v>0</v>
      </c>
      <c r="H372" s="186" t="e">
        <f ca="1">OFFSET(skill!$Q$1,MATCH(B372,skill!B:B,0)-1,0)</f>
        <v>#VALUE!</v>
      </c>
      <c r="I372" s="186"/>
      <c r="J372" s="186">
        <f ca="1">OFFSET(card_type!$F$1,MATCH(Q372,card_type!A:A,0)-1,0)</f>
        <v>2</v>
      </c>
      <c r="K372" s="243">
        <f ca="1">OFFSET(card_type!$G$1,MATCH(Q372,card_type!A:A,0)-1,0)</f>
        <v>2</v>
      </c>
      <c r="L372" s="157">
        <v>3</v>
      </c>
      <c r="M372" s="157">
        <v>3</v>
      </c>
      <c r="N372" s="153">
        <f t="shared" si="57"/>
        <v>7</v>
      </c>
      <c r="O372" s="157"/>
      <c r="P372" s="157"/>
      <c r="Q372" s="153">
        <f ca="1">OFFSET(card_type!$A$1,MATCH(card!B372,card_type!B:B,0)-1,0)</f>
        <v>1013</v>
      </c>
      <c r="R372" s="153">
        <v>1</v>
      </c>
      <c r="S372" s="157">
        <f ca="1">ROUND(IF(R372=0,0,IF(R372=1,X372*$S$1,IF(R372=2,X372*$S$1*buff的资质计算!$E$2,IF(R372=3,X372*$S$1*buff的资质计算!$E$3,0)))),0)*0</f>
        <v>0</v>
      </c>
      <c r="T372" s="153">
        <v>1</v>
      </c>
      <c r="U372" s="153">
        <f ca="1" t="shared" si="58"/>
        <v>22</v>
      </c>
      <c r="V372" s="153">
        <f ca="1">ROUND((OFFSET(卡牌辅助配置表!$O$1,MATCH(U372,卡牌辅助配置表!M:M,0)-1,0)+(N372-1)*OFFSET(卡牌辅助配置表!$P$1,MATCH(U372,卡牌辅助配置表!M:M,0)-1,0))*M372,2)</f>
        <v>46.8</v>
      </c>
      <c r="W372" s="157">
        <f ca="1">ROUND(IF(R372=0,0,IF(R372=1,X372*$W$1,IF(R372=2,X372*$W$1*buff的资质计算!$E$2,IF(R372=3,X372*$W$1*buff的资质计算!$E$3,0)))),2)</f>
        <v>13.5</v>
      </c>
      <c r="X372" s="157">
        <f ca="1" t="shared" si="59"/>
        <v>45</v>
      </c>
      <c r="Y372" s="157" t="e">
        <f ca="1" t="shared" si="64"/>
        <v>#VALUE!</v>
      </c>
      <c r="Z372" s="304" t="e">
        <f ca="1" t="shared" si="60"/>
        <v>#VALUE!</v>
      </c>
      <c r="AA372" s="304">
        <f ca="1">OFFSET(卡牌辅助配置表!$AD$1,MATCH(AB372,卡牌辅助配置表!AB:AB,0)-1,0)</f>
        <v>889</v>
      </c>
      <c r="AB372" s="304">
        <f ca="1" t="shared" si="61"/>
        <v>2207</v>
      </c>
      <c r="AC372" s="153">
        <v>12</v>
      </c>
      <c r="AF372" s="153" t="str">
        <f ca="1" t="shared" si="65"/>
        <v>10130011|</v>
      </c>
      <c r="AJ372" s="205" t="str">
        <f ca="1" t="shared" si="62"/>
        <v>400023|2850|;</v>
      </c>
      <c r="AK372" s="205">
        <f ca="1">OFFSET([1]item_type!$A$1,MATCH(Q372,[1]item_type!$G:$G,0)-1,0)</f>
        <v>301013</v>
      </c>
      <c r="AL372" s="205"/>
      <c r="AM372" s="205">
        <f ca="1">IF(B372=B373,OFFSET(卡牌辅助配置表!$AE$1,MATCH(AB372,卡牌辅助配置表!AB:AB,0),0),0)</f>
        <v>2850</v>
      </c>
      <c r="AN372" s="153">
        <f ca="1" t="shared" si="63"/>
        <v>1013008</v>
      </c>
      <c r="AP372" s="153">
        <f ca="1">IF(AC372=0,0,IF(AC372=12,0,OFFSET(effect!$N$1,MATCH(K372,effect!M:M,0)-1,0)))</f>
        <v>0</v>
      </c>
    </row>
    <row r="373" spans="1:42">
      <c r="A373" s="153">
        <f ca="1" t="shared" si="56"/>
        <v>1013008</v>
      </c>
      <c r="B373" s="91" t="s">
        <v>377</v>
      </c>
      <c r="C373" s="186">
        <v>1</v>
      </c>
      <c r="D373" s="186">
        <v>5</v>
      </c>
      <c r="E373" s="165" t="s">
        <v>1050</v>
      </c>
      <c r="F373" s="179" t="s">
        <v>1052</v>
      </c>
      <c r="G373" s="186">
        <f ca="1">OFFSET(卡牌辅助配置表!$C$1,MATCH(AC373,卡牌辅助配置表!A:A,0)-1,0)</f>
        <v>0</v>
      </c>
      <c r="H373" s="186" t="e">
        <f ca="1">OFFSET(skill!$Q$1,MATCH(B373,skill!B:B,0)-1,0)</f>
        <v>#VALUE!</v>
      </c>
      <c r="I373" s="186"/>
      <c r="J373" s="186">
        <f ca="1">OFFSET(card_type!$F$1,MATCH(Q373,card_type!A:A,0)-1,0)</f>
        <v>2</v>
      </c>
      <c r="K373" s="243">
        <f ca="1">OFFSET(card_type!$G$1,MATCH(Q373,card_type!A:A,0)-1,0)</f>
        <v>2</v>
      </c>
      <c r="L373" s="157">
        <v>3</v>
      </c>
      <c r="M373" s="157">
        <v>3</v>
      </c>
      <c r="N373" s="153">
        <f t="shared" si="57"/>
        <v>8</v>
      </c>
      <c r="O373" s="157"/>
      <c r="P373" s="157"/>
      <c r="Q373" s="153">
        <f ca="1">OFFSET(card_type!$A$1,MATCH(card!B373,card_type!B:B,0)-1,0)</f>
        <v>1013</v>
      </c>
      <c r="R373" s="153">
        <v>1</v>
      </c>
      <c r="S373" s="157">
        <f ca="1">ROUND(IF(R373=0,0,IF(R373=1,X373*$S$1,IF(R373=2,X373*$S$1*buff的资质计算!$E$2,IF(R373=3,X373*$S$1*buff的资质计算!$E$3,0)))),0)*0</f>
        <v>0</v>
      </c>
      <c r="T373" s="153">
        <v>1</v>
      </c>
      <c r="U373" s="153">
        <f ca="1" t="shared" si="58"/>
        <v>22</v>
      </c>
      <c r="V373" s="153">
        <f ca="1">ROUND((OFFSET(卡牌辅助配置表!$O$1,MATCH(U373,卡牌辅助配置表!M:M,0)-1,0)+(N373-1)*OFFSET(卡牌辅助配置表!$P$1,MATCH(U373,卡牌辅助配置表!M:M,0)-1,0))*M373,2)</f>
        <v>49.35</v>
      </c>
      <c r="W373" s="157">
        <f ca="1">ROUND(IF(R373=0,0,IF(R373=1,X373*$W$1,IF(R373=2,X373*$W$1*buff的资质计算!$E$2,IF(R373=3,X373*$W$1*buff的资质计算!$E$3,0)))),2)</f>
        <v>13.65</v>
      </c>
      <c r="X373" s="157">
        <f ca="1" t="shared" si="59"/>
        <v>45.5</v>
      </c>
      <c r="Y373" s="157" t="e">
        <f ca="1" t="shared" si="64"/>
        <v>#VALUE!</v>
      </c>
      <c r="Z373" s="304" t="e">
        <f ca="1" t="shared" si="60"/>
        <v>#VALUE!</v>
      </c>
      <c r="AA373" s="304">
        <f ca="1">OFFSET(卡牌辅助配置表!$AD$1,MATCH(AB373,卡牌辅助配置表!AB:AB,0)-1,0)</f>
        <v>1016</v>
      </c>
      <c r="AB373" s="304">
        <f ca="1" t="shared" si="61"/>
        <v>2208</v>
      </c>
      <c r="AC373" s="153">
        <v>12</v>
      </c>
      <c r="AF373" s="153" t="str">
        <f ca="1" t="shared" si="65"/>
        <v>10130011|</v>
      </c>
      <c r="AJ373" s="205" t="str">
        <f ca="1" t="shared" si="62"/>
        <v>400023|3150|;</v>
      </c>
      <c r="AK373" s="205">
        <f ca="1">OFFSET([1]item_type!$A$1,MATCH(Q373,[1]item_type!$G:$G,0)-1,0)</f>
        <v>301013</v>
      </c>
      <c r="AL373" s="205"/>
      <c r="AM373" s="205">
        <f ca="1">IF(B373=B374,OFFSET(卡牌辅助配置表!$AE$1,MATCH(AB373,卡牌辅助配置表!AB:AB,0),0),0)</f>
        <v>3150</v>
      </c>
      <c r="AN373" s="153">
        <f ca="1" t="shared" si="63"/>
        <v>1013009</v>
      </c>
      <c r="AP373" s="153">
        <f ca="1">IF(AC373=0,0,IF(AC373=12,0,OFFSET(effect!$N$1,MATCH(K373,effect!M:M,0)-1,0)))</f>
        <v>0</v>
      </c>
    </row>
    <row r="374" spans="1:42">
      <c r="A374" s="153">
        <f ca="1" t="shared" si="56"/>
        <v>1013009</v>
      </c>
      <c r="B374" s="91" t="s">
        <v>377</v>
      </c>
      <c r="C374" s="186">
        <v>1</v>
      </c>
      <c r="D374" s="186">
        <v>5</v>
      </c>
      <c r="E374" s="165" t="s">
        <v>1050</v>
      </c>
      <c r="F374" s="179" t="s">
        <v>1052</v>
      </c>
      <c r="G374" s="186">
        <f ca="1">OFFSET(卡牌辅助配置表!$C$1,MATCH(AC374,卡牌辅助配置表!A:A,0)-1,0)</f>
        <v>0</v>
      </c>
      <c r="H374" s="186" t="e">
        <f ca="1">OFFSET(skill!$Q$1,MATCH(B374,skill!B:B,0)-1,0)</f>
        <v>#VALUE!</v>
      </c>
      <c r="I374" s="186"/>
      <c r="J374" s="186">
        <f ca="1">OFFSET(card_type!$F$1,MATCH(Q374,card_type!A:A,0)-1,0)</f>
        <v>2</v>
      </c>
      <c r="K374" s="243">
        <f ca="1">OFFSET(card_type!$G$1,MATCH(Q374,card_type!A:A,0)-1,0)</f>
        <v>2</v>
      </c>
      <c r="L374" s="157">
        <v>3</v>
      </c>
      <c r="M374" s="157">
        <v>3</v>
      </c>
      <c r="N374" s="153">
        <f t="shared" si="57"/>
        <v>9</v>
      </c>
      <c r="O374" s="157"/>
      <c r="P374" s="157"/>
      <c r="Q374" s="153">
        <f ca="1">OFFSET(card_type!$A$1,MATCH(card!B374,card_type!B:B,0)-1,0)</f>
        <v>1013</v>
      </c>
      <c r="R374" s="153">
        <v>1</v>
      </c>
      <c r="S374" s="157">
        <f ca="1">ROUND(IF(R374=0,0,IF(R374=1,X374*$S$1,IF(R374=2,X374*$S$1*buff的资质计算!$E$2,IF(R374=3,X374*$S$1*buff的资质计算!$E$3,0)))),0)*0</f>
        <v>0</v>
      </c>
      <c r="T374" s="153">
        <v>1</v>
      </c>
      <c r="U374" s="153">
        <f ca="1" t="shared" si="58"/>
        <v>22</v>
      </c>
      <c r="V374" s="153">
        <f ca="1">ROUND((OFFSET(卡牌辅助配置表!$O$1,MATCH(U374,卡牌辅助配置表!M:M,0)-1,0)+(N374-1)*OFFSET(卡牌辅助配置表!$P$1,MATCH(U374,卡牌辅助配置表!M:M,0)-1,0))*M374,2)</f>
        <v>51.9</v>
      </c>
      <c r="W374" s="157">
        <f ca="1">ROUND(IF(R374=0,0,IF(R374=1,X374*$W$1,IF(R374=2,X374*$W$1*buff的资质计算!$E$2,IF(R374=3,X374*$W$1*buff的资质计算!$E$3,0)))),2)</f>
        <v>13.8</v>
      </c>
      <c r="X374" s="157">
        <f ca="1" t="shared" si="59"/>
        <v>46</v>
      </c>
      <c r="Y374" s="157" t="e">
        <f ca="1" t="shared" si="64"/>
        <v>#VALUE!</v>
      </c>
      <c r="Z374" s="304" t="e">
        <f ca="1" t="shared" si="60"/>
        <v>#VALUE!</v>
      </c>
      <c r="AA374" s="304">
        <f ca="1">OFFSET(卡牌辅助配置表!$AD$1,MATCH(AB374,卡牌辅助配置表!AB:AB,0)-1,0)</f>
        <v>1143</v>
      </c>
      <c r="AB374" s="304">
        <f ca="1" t="shared" si="61"/>
        <v>2209</v>
      </c>
      <c r="AC374" s="153">
        <v>12</v>
      </c>
      <c r="AF374" s="153" t="str">
        <f ca="1" t="shared" si="65"/>
        <v>10130011|</v>
      </c>
      <c r="AJ374" s="205" t="str">
        <f ca="1" t="shared" si="62"/>
        <v>301013|15|;400023|3450|;</v>
      </c>
      <c r="AK374" s="205">
        <f ca="1">OFFSET([1]item_type!$A$1,MATCH(Q374,[1]item_type!$G:$G,0)-1,0)</f>
        <v>301013</v>
      </c>
      <c r="AL374" s="205">
        <v>15</v>
      </c>
      <c r="AM374" s="205">
        <f ca="1">IF(B374=B375,OFFSET(卡牌辅助配置表!$AE$1,MATCH(AB374,卡牌辅助配置表!AB:AB,0),0),0)</f>
        <v>3450</v>
      </c>
      <c r="AN374" s="153">
        <f ca="1" t="shared" si="63"/>
        <v>1013010</v>
      </c>
      <c r="AP374" s="153">
        <f ca="1">IF(AC374=0,0,IF(AC374=12,0,OFFSET(effect!$N$1,MATCH(K374,effect!M:M,0)-1,0)))</f>
        <v>0</v>
      </c>
    </row>
    <row r="375" spans="1:42">
      <c r="A375" s="153">
        <f ca="1" t="shared" si="56"/>
        <v>1013010</v>
      </c>
      <c r="B375" s="91" t="s">
        <v>377</v>
      </c>
      <c r="C375" s="186">
        <v>1</v>
      </c>
      <c r="D375" s="186">
        <v>5</v>
      </c>
      <c r="E375" s="165" t="s">
        <v>1050</v>
      </c>
      <c r="F375" s="179" t="s">
        <v>1052</v>
      </c>
      <c r="G375" s="186">
        <f ca="1">OFFSET(卡牌辅助配置表!$C$1,MATCH(AC375,卡牌辅助配置表!A:A,0)-1,0)</f>
        <v>0</v>
      </c>
      <c r="H375" s="186" t="e">
        <f ca="1">OFFSET(skill!$Q$1,MATCH(B375,skill!B:B,0)-1,0)</f>
        <v>#VALUE!</v>
      </c>
      <c r="I375" s="186"/>
      <c r="J375" s="186">
        <f ca="1">OFFSET(card_type!$F$1,MATCH(Q375,card_type!A:A,0)-1,0)</f>
        <v>2</v>
      </c>
      <c r="K375" s="243">
        <f ca="1">OFFSET(card_type!$G$1,MATCH(Q375,card_type!A:A,0)-1,0)</f>
        <v>2</v>
      </c>
      <c r="L375" s="157">
        <v>3</v>
      </c>
      <c r="M375" s="157">
        <v>3</v>
      </c>
      <c r="N375" s="153">
        <f t="shared" si="57"/>
        <v>10</v>
      </c>
      <c r="O375" s="157"/>
      <c r="P375" s="157"/>
      <c r="Q375" s="153">
        <f ca="1">OFFSET(card_type!$A$1,MATCH(card!B375,card_type!B:B,0)-1,0)</f>
        <v>1013</v>
      </c>
      <c r="R375" s="153">
        <v>1</v>
      </c>
      <c r="S375" s="157">
        <f ca="1">ROUND(IF(R375=0,0,IF(R375=1,X375*$S$1,IF(R375=2,X375*$S$1*buff的资质计算!$E$2,IF(R375=3,X375*$S$1*buff的资质计算!$E$3,0)))),0)*0</f>
        <v>0</v>
      </c>
      <c r="T375" s="153">
        <v>1</v>
      </c>
      <c r="U375" s="153">
        <f ca="1" t="shared" si="58"/>
        <v>22</v>
      </c>
      <c r="V375" s="153">
        <f ca="1">ROUND((OFFSET(卡牌辅助配置表!$O$1,MATCH(U375,卡牌辅助配置表!M:M,0)-1,0)+(N375-1)*OFFSET(卡牌辅助配置表!$P$1,MATCH(U375,卡牌辅助配置表!M:M,0)-1,0))*M375,2)</f>
        <v>54.45</v>
      </c>
      <c r="W375" s="157">
        <f ca="1">ROUND(IF(R375=0,0,IF(R375=1,X375*$W$1,IF(R375=2,X375*$W$1*buff的资质计算!$E$2,IF(R375=3,X375*$W$1*buff的资质计算!$E$3,0)))),2)</f>
        <v>13.95</v>
      </c>
      <c r="X375" s="157">
        <f ca="1" t="shared" si="59"/>
        <v>46.5</v>
      </c>
      <c r="Y375" s="157" t="e">
        <f ca="1" t="shared" si="64"/>
        <v>#VALUE!</v>
      </c>
      <c r="Z375" s="304" t="e">
        <f ca="1" t="shared" si="60"/>
        <v>#VALUE!</v>
      </c>
      <c r="AA375" s="304">
        <f ca="1">OFFSET(卡牌辅助配置表!$AD$1,MATCH(AB375,卡牌辅助配置表!AB:AB,0)-1,0)</f>
        <v>1270</v>
      </c>
      <c r="AB375" s="304">
        <f ca="1" t="shared" si="61"/>
        <v>2210</v>
      </c>
      <c r="AC375" s="153">
        <v>12</v>
      </c>
      <c r="AF375" s="153" t="str">
        <f ca="1" t="shared" si="65"/>
        <v>10130011|</v>
      </c>
      <c r="AJ375" s="205" t="str">
        <f ca="1" t="shared" si="62"/>
        <v>400023|4050|;</v>
      </c>
      <c r="AK375" s="205">
        <f ca="1">OFFSET([1]item_type!$A$1,MATCH(Q375,[1]item_type!$G:$G,0)-1,0)</f>
        <v>301013</v>
      </c>
      <c r="AL375" s="205"/>
      <c r="AM375" s="205">
        <f ca="1">IF(B375=B376,OFFSET(卡牌辅助配置表!$AE$1,MATCH(AB375,卡牌辅助配置表!AB:AB,0),0),0)</f>
        <v>4050</v>
      </c>
      <c r="AN375" s="153">
        <f ca="1" t="shared" si="63"/>
        <v>1013011</v>
      </c>
      <c r="AP375" s="153">
        <f ca="1">IF(AC375=0,0,IF(AC375=12,0,OFFSET(effect!$N$1,MATCH(K375,effect!M:M,0)-1,0)))</f>
        <v>0</v>
      </c>
    </row>
    <row r="376" spans="1:42">
      <c r="A376" s="153">
        <f ca="1" t="shared" si="56"/>
        <v>1013011</v>
      </c>
      <c r="B376" s="91" t="s">
        <v>377</v>
      </c>
      <c r="C376" s="186">
        <v>1</v>
      </c>
      <c r="D376" s="186">
        <v>5</v>
      </c>
      <c r="E376" s="165" t="s">
        <v>1050</v>
      </c>
      <c r="F376" s="179" t="s">
        <v>1052</v>
      </c>
      <c r="G376" s="186">
        <f ca="1">OFFSET(卡牌辅助配置表!$C$1,MATCH(AC376,卡牌辅助配置表!A:A,0)-1,0)</f>
        <v>0</v>
      </c>
      <c r="H376" s="186" t="e">
        <f ca="1">OFFSET(skill!$Q$1,MATCH(B376,skill!B:B,0)-1,0)</f>
        <v>#VALUE!</v>
      </c>
      <c r="I376" s="186"/>
      <c r="J376" s="186">
        <f ca="1">OFFSET(card_type!$F$1,MATCH(Q376,card_type!A:A,0)-1,0)</f>
        <v>2</v>
      </c>
      <c r="K376" s="243">
        <f ca="1">OFFSET(card_type!$G$1,MATCH(Q376,card_type!A:A,0)-1,0)</f>
        <v>2</v>
      </c>
      <c r="L376" s="157">
        <v>3</v>
      </c>
      <c r="M376" s="157">
        <v>3</v>
      </c>
      <c r="N376" s="153">
        <f t="shared" si="57"/>
        <v>11</v>
      </c>
      <c r="O376" s="157"/>
      <c r="P376" s="157"/>
      <c r="Q376" s="153">
        <f ca="1">OFFSET(card_type!$A$1,MATCH(card!B376,card_type!B:B,0)-1,0)</f>
        <v>1013</v>
      </c>
      <c r="R376" s="153">
        <v>1</v>
      </c>
      <c r="S376" s="157">
        <f ca="1">ROUND(IF(R376=0,0,IF(R376=1,X376*$S$1,IF(R376=2,X376*$S$1*buff的资质计算!$E$2,IF(R376=3,X376*$S$1*buff的资质计算!$E$3,0)))),0)*0</f>
        <v>0</v>
      </c>
      <c r="T376" s="153">
        <v>1</v>
      </c>
      <c r="U376" s="153">
        <f ca="1" t="shared" si="58"/>
        <v>22</v>
      </c>
      <c r="V376" s="153">
        <f ca="1">ROUND((OFFSET(卡牌辅助配置表!$O$1,MATCH(U376,卡牌辅助配置表!M:M,0)-1,0)+(N376-1)*OFFSET(卡牌辅助配置表!$P$1,MATCH(U376,卡牌辅助配置表!M:M,0)-1,0))*M376,2)</f>
        <v>57</v>
      </c>
      <c r="W376" s="157">
        <f ca="1">ROUND(IF(R376=0,0,IF(R376=1,X376*$W$1,IF(R376=2,X376*$W$1*buff的资质计算!$E$2,IF(R376=3,X376*$W$1*buff的资质计算!$E$3,0)))),2)</f>
        <v>14.1</v>
      </c>
      <c r="X376" s="157">
        <f ca="1" t="shared" si="59"/>
        <v>47</v>
      </c>
      <c r="Y376" s="157" t="e">
        <f ca="1" t="shared" si="64"/>
        <v>#VALUE!</v>
      </c>
      <c r="Z376" s="304" t="e">
        <f ca="1" t="shared" si="60"/>
        <v>#VALUE!</v>
      </c>
      <c r="AA376" s="304">
        <f ca="1">OFFSET(卡牌辅助配置表!$AD$1,MATCH(AB376,卡牌辅助配置表!AB:AB,0)-1,0)</f>
        <v>1439</v>
      </c>
      <c r="AB376" s="304">
        <f ca="1" t="shared" si="61"/>
        <v>2211</v>
      </c>
      <c r="AC376" s="153">
        <v>12</v>
      </c>
      <c r="AF376" s="153" t="str">
        <f ca="1" t="shared" si="65"/>
        <v>10130011|</v>
      </c>
      <c r="AJ376" s="205" t="str">
        <f ca="1" t="shared" si="62"/>
        <v>400023|4650|;</v>
      </c>
      <c r="AK376" s="205">
        <f ca="1">OFFSET([1]item_type!$A$1,MATCH(Q376,[1]item_type!$G:$G,0)-1,0)</f>
        <v>301013</v>
      </c>
      <c r="AL376" s="205"/>
      <c r="AM376" s="205">
        <f ca="1">IF(B376=B377,OFFSET(卡牌辅助配置表!$AE$1,MATCH(AB376,卡牌辅助配置表!AB:AB,0),0),0)</f>
        <v>4650</v>
      </c>
      <c r="AN376" s="153">
        <f ca="1" t="shared" si="63"/>
        <v>1013012</v>
      </c>
      <c r="AP376" s="153">
        <f ca="1">IF(AC376=0,0,IF(AC376=12,0,OFFSET(effect!$N$1,MATCH(K376,effect!M:M,0)-1,0)))</f>
        <v>0</v>
      </c>
    </row>
    <row r="377" spans="1:42">
      <c r="A377" s="153">
        <f ca="1" t="shared" si="56"/>
        <v>1013012</v>
      </c>
      <c r="B377" s="91" t="s">
        <v>377</v>
      </c>
      <c r="C377" s="186">
        <v>1</v>
      </c>
      <c r="D377" s="186">
        <v>5</v>
      </c>
      <c r="E377" s="165" t="s">
        <v>1050</v>
      </c>
      <c r="F377" s="179" t="s">
        <v>1052</v>
      </c>
      <c r="G377" s="186">
        <f ca="1">OFFSET(卡牌辅助配置表!$C$1,MATCH(AC377,卡牌辅助配置表!A:A,0)-1,0)</f>
        <v>0</v>
      </c>
      <c r="H377" s="186" t="e">
        <f ca="1">OFFSET(skill!$Q$1,MATCH(B377,skill!B:B,0)-1,0)</f>
        <v>#VALUE!</v>
      </c>
      <c r="I377" s="186"/>
      <c r="J377" s="186">
        <f ca="1">OFFSET(card_type!$F$1,MATCH(Q377,card_type!A:A,0)-1,0)</f>
        <v>2</v>
      </c>
      <c r="K377" s="243">
        <f ca="1">OFFSET(card_type!$G$1,MATCH(Q377,card_type!A:A,0)-1,0)</f>
        <v>2</v>
      </c>
      <c r="L377" s="157">
        <v>3</v>
      </c>
      <c r="M377" s="157">
        <v>3</v>
      </c>
      <c r="N377" s="153">
        <f t="shared" si="57"/>
        <v>12</v>
      </c>
      <c r="O377" s="157"/>
      <c r="P377" s="157"/>
      <c r="Q377" s="153">
        <f ca="1">OFFSET(card_type!$A$1,MATCH(card!B377,card_type!B:B,0)-1,0)</f>
        <v>1013</v>
      </c>
      <c r="R377" s="153">
        <v>1</v>
      </c>
      <c r="S377" s="157">
        <f ca="1">ROUND(IF(R377=0,0,IF(R377=1,X377*$S$1,IF(R377=2,X377*$S$1*buff的资质计算!$E$2,IF(R377=3,X377*$S$1*buff的资质计算!$E$3,0)))),0)*0</f>
        <v>0</v>
      </c>
      <c r="T377" s="153">
        <v>1</v>
      </c>
      <c r="U377" s="153">
        <f ca="1" t="shared" si="58"/>
        <v>22</v>
      </c>
      <c r="V377" s="153">
        <f ca="1">ROUND((OFFSET(卡牌辅助配置表!$O$1,MATCH(U377,卡牌辅助配置表!M:M,0)-1,0)+(N377-1)*OFFSET(卡牌辅助配置表!$P$1,MATCH(U377,卡牌辅助配置表!M:M,0)-1,0))*M377,2)</f>
        <v>59.55</v>
      </c>
      <c r="W377" s="157">
        <f ca="1">ROUND(IF(R377=0,0,IF(R377=1,X377*$W$1,IF(R377=2,X377*$W$1*buff的资质计算!$E$2,IF(R377=3,X377*$W$1*buff的资质计算!$E$3,0)))),2)</f>
        <v>14.25</v>
      </c>
      <c r="X377" s="157">
        <f ca="1" t="shared" si="59"/>
        <v>47.5</v>
      </c>
      <c r="Y377" s="157" t="e">
        <f ca="1" t="shared" si="64"/>
        <v>#VALUE!</v>
      </c>
      <c r="Z377" s="304" t="e">
        <f ca="1" t="shared" si="60"/>
        <v>#VALUE!</v>
      </c>
      <c r="AA377" s="304">
        <f ca="1">OFFSET(卡牌辅助配置表!$AD$1,MATCH(AB377,卡牌辅助配置表!AB:AB,0)-1,0)</f>
        <v>1608</v>
      </c>
      <c r="AB377" s="304">
        <f ca="1" t="shared" si="61"/>
        <v>2212</v>
      </c>
      <c r="AC377" s="153">
        <v>12</v>
      </c>
      <c r="AF377" s="153" t="str">
        <f ca="1" t="shared" si="65"/>
        <v>10130011|</v>
      </c>
      <c r="AJ377" s="205" t="str">
        <f ca="1" t="shared" si="62"/>
        <v>400023|5250|;</v>
      </c>
      <c r="AK377" s="205">
        <f ca="1">OFFSET([1]item_type!$A$1,MATCH(Q377,[1]item_type!$G:$G,0)-1,0)</f>
        <v>301013</v>
      </c>
      <c r="AL377" s="205"/>
      <c r="AM377" s="205">
        <f ca="1">IF(B377=B378,OFFSET(卡牌辅助配置表!$AE$1,MATCH(AB377,卡牌辅助配置表!AB:AB,0),0),0)</f>
        <v>5250</v>
      </c>
      <c r="AN377" s="153">
        <f ca="1" t="shared" si="63"/>
        <v>1013013</v>
      </c>
      <c r="AP377" s="153">
        <f ca="1">IF(AC377=0,0,IF(AC377=12,0,OFFSET(effect!$N$1,MATCH(K377,effect!M:M,0)-1,0)))</f>
        <v>0</v>
      </c>
    </row>
    <row r="378" spans="1:42">
      <c r="A378" s="153">
        <f ca="1" t="shared" si="56"/>
        <v>1013013</v>
      </c>
      <c r="B378" s="91" t="s">
        <v>377</v>
      </c>
      <c r="C378" s="186">
        <v>1</v>
      </c>
      <c r="D378" s="186">
        <v>5</v>
      </c>
      <c r="E378" s="165" t="s">
        <v>1050</v>
      </c>
      <c r="F378" s="179" t="s">
        <v>1052</v>
      </c>
      <c r="G378" s="186">
        <f ca="1">OFFSET(卡牌辅助配置表!$C$1,MATCH(AC378,卡牌辅助配置表!A:A,0)-1,0)</f>
        <v>0</v>
      </c>
      <c r="H378" s="186" t="e">
        <f ca="1">OFFSET(skill!$Q$1,MATCH(B378,skill!B:B,0)-1,0)</f>
        <v>#VALUE!</v>
      </c>
      <c r="I378" s="186"/>
      <c r="J378" s="186">
        <f ca="1">OFFSET(card_type!$F$1,MATCH(Q378,card_type!A:A,0)-1,0)</f>
        <v>2</v>
      </c>
      <c r="K378" s="243">
        <f ca="1">OFFSET(card_type!$G$1,MATCH(Q378,card_type!A:A,0)-1,0)</f>
        <v>2</v>
      </c>
      <c r="L378" s="157">
        <v>3</v>
      </c>
      <c r="M378" s="157">
        <v>3</v>
      </c>
      <c r="N378" s="153">
        <f t="shared" si="57"/>
        <v>13</v>
      </c>
      <c r="O378" s="157"/>
      <c r="P378" s="157"/>
      <c r="Q378" s="153">
        <f ca="1">OFFSET(card_type!$A$1,MATCH(card!B378,card_type!B:B,0)-1,0)</f>
        <v>1013</v>
      </c>
      <c r="R378" s="153">
        <v>1</v>
      </c>
      <c r="S378" s="157">
        <f ca="1">ROUND(IF(R378=0,0,IF(R378=1,X378*$S$1,IF(R378=2,X378*$S$1*buff的资质计算!$E$2,IF(R378=3,X378*$S$1*buff的资质计算!$E$3,0)))),0)*0</f>
        <v>0</v>
      </c>
      <c r="T378" s="153">
        <v>1</v>
      </c>
      <c r="U378" s="153">
        <f ca="1" t="shared" si="58"/>
        <v>22</v>
      </c>
      <c r="V378" s="153">
        <f ca="1">ROUND((OFFSET(卡牌辅助配置表!$O$1,MATCH(U378,卡牌辅助配置表!M:M,0)-1,0)+(N378-1)*OFFSET(卡牌辅助配置表!$P$1,MATCH(U378,卡牌辅助配置表!M:M,0)-1,0))*M378,2)</f>
        <v>62.1</v>
      </c>
      <c r="W378" s="157">
        <f ca="1">ROUND(IF(R378=0,0,IF(R378=1,X378*$W$1,IF(R378=2,X378*$W$1*buff的资质计算!$E$2,IF(R378=3,X378*$W$1*buff的资质计算!$E$3,0)))),2)</f>
        <v>14.4</v>
      </c>
      <c r="X378" s="157">
        <f ca="1" t="shared" si="59"/>
        <v>48</v>
      </c>
      <c r="Y378" s="157" t="e">
        <f ca="1" t="shared" si="64"/>
        <v>#VALUE!</v>
      </c>
      <c r="Z378" s="304" t="e">
        <f ca="1" t="shared" si="60"/>
        <v>#VALUE!</v>
      </c>
      <c r="AA378" s="304">
        <f ca="1">OFFSET(卡牌辅助配置表!$AD$1,MATCH(AB378,卡牌辅助配置表!AB:AB,0)-1,0)</f>
        <v>1777</v>
      </c>
      <c r="AB378" s="304">
        <f ca="1" t="shared" si="61"/>
        <v>2213</v>
      </c>
      <c r="AC378" s="153">
        <v>12</v>
      </c>
      <c r="AF378" s="153" t="str">
        <f ca="1" t="shared" si="65"/>
        <v>10130011|</v>
      </c>
      <c r="AJ378" s="205" t="str">
        <f ca="1" t="shared" si="62"/>
        <v>400023|5850|;</v>
      </c>
      <c r="AK378" s="205">
        <f ca="1">OFFSET([1]item_type!$A$1,MATCH(Q378,[1]item_type!$G:$G,0)-1,0)</f>
        <v>301013</v>
      </c>
      <c r="AL378" s="205"/>
      <c r="AM378" s="205">
        <f ca="1">IF(B378=B379,OFFSET(卡牌辅助配置表!$AE$1,MATCH(AB378,卡牌辅助配置表!AB:AB,0),0),0)</f>
        <v>5850</v>
      </c>
      <c r="AN378" s="153">
        <f ca="1" t="shared" si="63"/>
        <v>1013014</v>
      </c>
      <c r="AP378" s="153">
        <f ca="1">IF(AC378=0,0,IF(AC378=12,0,OFFSET(effect!$N$1,MATCH(K378,effect!M:M,0)-1,0)))</f>
        <v>0</v>
      </c>
    </row>
    <row r="379" spans="1:42">
      <c r="A379" s="153">
        <f ca="1" t="shared" si="56"/>
        <v>1013014</v>
      </c>
      <c r="B379" s="91" t="s">
        <v>377</v>
      </c>
      <c r="C379" s="186">
        <v>1</v>
      </c>
      <c r="D379" s="186">
        <v>5</v>
      </c>
      <c r="E379" s="165" t="s">
        <v>1050</v>
      </c>
      <c r="F379" s="179" t="s">
        <v>1052</v>
      </c>
      <c r="G379" s="186">
        <f ca="1">OFFSET(卡牌辅助配置表!$C$1,MATCH(AC379,卡牌辅助配置表!A:A,0)-1,0)</f>
        <v>0</v>
      </c>
      <c r="H379" s="186" t="e">
        <f ca="1">OFFSET(skill!$Q$1,MATCH(B379,skill!B:B,0)-1,0)</f>
        <v>#VALUE!</v>
      </c>
      <c r="I379" s="186"/>
      <c r="J379" s="186">
        <f ca="1">OFFSET(card_type!$F$1,MATCH(Q379,card_type!A:A,0)-1,0)</f>
        <v>2</v>
      </c>
      <c r="K379" s="243">
        <f ca="1">OFFSET(card_type!$G$1,MATCH(Q379,card_type!A:A,0)-1,0)</f>
        <v>2</v>
      </c>
      <c r="L379" s="157">
        <v>3</v>
      </c>
      <c r="M379" s="157">
        <v>3</v>
      </c>
      <c r="N379" s="153">
        <f t="shared" si="57"/>
        <v>14</v>
      </c>
      <c r="O379" s="157"/>
      <c r="P379" s="157"/>
      <c r="Q379" s="153">
        <f ca="1">OFFSET(card_type!$A$1,MATCH(card!B379,card_type!B:B,0)-1,0)</f>
        <v>1013</v>
      </c>
      <c r="R379" s="153">
        <v>1</v>
      </c>
      <c r="S379" s="157">
        <f ca="1">ROUND(IF(R379=0,0,IF(R379=1,X379*$S$1,IF(R379=2,X379*$S$1*buff的资质计算!$E$2,IF(R379=3,X379*$S$1*buff的资质计算!$E$3,0)))),0)*0</f>
        <v>0</v>
      </c>
      <c r="T379" s="153">
        <v>1</v>
      </c>
      <c r="U379" s="153">
        <f ca="1" t="shared" si="58"/>
        <v>22</v>
      </c>
      <c r="V379" s="153">
        <f ca="1">ROUND((OFFSET(卡牌辅助配置表!$O$1,MATCH(U379,卡牌辅助配置表!M:M,0)-1,0)+(N379-1)*OFFSET(卡牌辅助配置表!$P$1,MATCH(U379,卡牌辅助配置表!M:M,0)-1,0))*M379,2)</f>
        <v>64.65</v>
      </c>
      <c r="W379" s="157">
        <f ca="1">ROUND(IF(R379=0,0,IF(R379=1,X379*$W$1,IF(R379=2,X379*$W$1*buff的资质计算!$E$2,IF(R379=3,X379*$W$1*buff的资质计算!$E$3,0)))),2)</f>
        <v>14.55</v>
      </c>
      <c r="X379" s="157">
        <f ca="1" t="shared" si="59"/>
        <v>48.5</v>
      </c>
      <c r="Y379" s="157" t="e">
        <f ca="1" t="shared" si="64"/>
        <v>#VALUE!</v>
      </c>
      <c r="Z379" s="304" t="e">
        <f ca="1" t="shared" si="60"/>
        <v>#VALUE!</v>
      </c>
      <c r="AA379" s="304">
        <f ca="1">OFFSET(卡牌辅助配置表!$AD$1,MATCH(AB379,卡牌辅助配置表!AB:AB,0)-1,0)</f>
        <v>1946</v>
      </c>
      <c r="AB379" s="304">
        <f ca="1" t="shared" si="61"/>
        <v>2214</v>
      </c>
      <c r="AC379" s="153">
        <v>12</v>
      </c>
      <c r="AF379" s="153" t="str">
        <f ca="1" t="shared" si="65"/>
        <v>10130011|</v>
      </c>
      <c r="AJ379" s="205" t="str">
        <f ca="1" t="shared" si="62"/>
        <v>400023|6450|;</v>
      </c>
      <c r="AK379" s="205">
        <f ca="1">OFFSET([1]item_type!$A$1,MATCH(Q379,[1]item_type!$G:$G,0)-1,0)</f>
        <v>301013</v>
      </c>
      <c r="AL379" s="205"/>
      <c r="AM379" s="205">
        <f ca="1">IF(B379=B380,OFFSET(卡牌辅助配置表!$AE$1,MATCH(AB379,卡牌辅助配置表!AB:AB,0),0),0)</f>
        <v>6450</v>
      </c>
      <c r="AN379" s="153">
        <f ca="1" t="shared" si="63"/>
        <v>1013015</v>
      </c>
      <c r="AP379" s="153">
        <f ca="1">IF(AC379=0,0,IF(AC379=12,0,OFFSET(effect!$N$1,MATCH(K379,effect!M:M,0)-1,0)))</f>
        <v>0</v>
      </c>
    </row>
    <row r="380" spans="1:42">
      <c r="A380" s="153">
        <f ca="1" t="shared" si="56"/>
        <v>1013015</v>
      </c>
      <c r="B380" s="91" t="s">
        <v>377</v>
      </c>
      <c r="C380" s="186">
        <v>1</v>
      </c>
      <c r="D380" s="186">
        <v>5</v>
      </c>
      <c r="E380" s="165" t="s">
        <v>1050</v>
      </c>
      <c r="F380" s="179" t="s">
        <v>1052</v>
      </c>
      <c r="G380" s="186">
        <f ca="1">OFFSET(卡牌辅助配置表!$C$1,MATCH(AC380,卡牌辅助配置表!A:A,0)-1,0)</f>
        <v>0</v>
      </c>
      <c r="H380" s="186" t="e">
        <f ca="1">OFFSET(skill!$Q$1,MATCH(B380,skill!B:B,0)-1,0)</f>
        <v>#VALUE!</v>
      </c>
      <c r="I380" s="186"/>
      <c r="J380" s="186">
        <f ca="1">OFFSET(card_type!$F$1,MATCH(Q380,card_type!A:A,0)-1,0)</f>
        <v>2</v>
      </c>
      <c r="K380" s="243">
        <f ca="1">OFFSET(card_type!$G$1,MATCH(Q380,card_type!A:A,0)-1,0)</f>
        <v>2</v>
      </c>
      <c r="L380" s="157">
        <v>3</v>
      </c>
      <c r="M380" s="157">
        <v>3</v>
      </c>
      <c r="N380" s="153">
        <f t="shared" si="57"/>
        <v>15</v>
      </c>
      <c r="O380" s="157"/>
      <c r="P380" s="157"/>
      <c r="Q380" s="153">
        <f ca="1">OFFSET(card_type!$A$1,MATCH(card!B380,card_type!B:B,0)-1,0)</f>
        <v>1013</v>
      </c>
      <c r="R380" s="153">
        <v>1</v>
      </c>
      <c r="S380" s="157">
        <f ca="1">ROUND(IF(R380=0,0,IF(R380=1,X380*$S$1,IF(R380=2,X380*$S$1*buff的资质计算!$E$2,IF(R380=3,X380*$S$1*buff的资质计算!$E$3,0)))),0)*0</f>
        <v>0</v>
      </c>
      <c r="T380" s="153">
        <v>1</v>
      </c>
      <c r="U380" s="153">
        <f ca="1" t="shared" si="58"/>
        <v>22</v>
      </c>
      <c r="V380" s="153">
        <f ca="1">ROUND((OFFSET(卡牌辅助配置表!$O$1,MATCH(U380,卡牌辅助配置表!M:M,0)-1,0)+(N380-1)*OFFSET(卡牌辅助配置表!$P$1,MATCH(U380,卡牌辅助配置表!M:M,0)-1,0))*M380,2)</f>
        <v>67.2</v>
      </c>
      <c r="W380" s="157">
        <f ca="1">ROUND(IF(R380=0,0,IF(R380=1,X380*$W$1,IF(R380=2,X380*$W$1*buff的资质计算!$E$2,IF(R380=3,X380*$W$1*buff的资质计算!$E$3,0)))),2)</f>
        <v>14.7</v>
      </c>
      <c r="X380" s="157">
        <f ca="1" t="shared" si="59"/>
        <v>49</v>
      </c>
      <c r="Y380" s="157" t="e">
        <f ca="1" t="shared" si="64"/>
        <v>#VALUE!</v>
      </c>
      <c r="Z380" s="304" t="e">
        <f ca="1" t="shared" si="60"/>
        <v>#VALUE!</v>
      </c>
      <c r="AA380" s="304">
        <f ca="1">OFFSET(卡牌辅助配置表!$AD$1,MATCH(AB380,卡牌辅助配置表!AB:AB,0)-1,0)</f>
        <v>2115</v>
      </c>
      <c r="AB380" s="304">
        <f ca="1" t="shared" si="61"/>
        <v>2215</v>
      </c>
      <c r="AC380" s="153">
        <v>12</v>
      </c>
      <c r="AF380" s="153" t="str">
        <f ca="1" t="shared" si="65"/>
        <v>10130011|</v>
      </c>
      <c r="AJ380" s="205" t="str">
        <f ca="1" t="shared" si="62"/>
        <v>400023|7050|;</v>
      </c>
      <c r="AK380" s="205">
        <f ca="1">OFFSET([1]item_type!$A$1,MATCH(Q380,[1]item_type!$G:$G,0)-1,0)</f>
        <v>301013</v>
      </c>
      <c r="AL380" s="205"/>
      <c r="AM380" s="205">
        <f ca="1">IF(B380=B381,OFFSET(卡牌辅助配置表!$AE$1,MATCH(AB380,卡牌辅助配置表!AB:AB,0),0),0)</f>
        <v>7050</v>
      </c>
      <c r="AN380" s="153">
        <f ca="1" t="shared" si="63"/>
        <v>1013016</v>
      </c>
      <c r="AP380" s="153">
        <f ca="1">IF(AC380=0,0,IF(AC380=12,0,OFFSET(effect!$N$1,MATCH(K380,effect!M:M,0)-1,0)))</f>
        <v>0</v>
      </c>
    </row>
    <row r="381" spans="1:42">
      <c r="A381" s="153">
        <f ca="1" t="shared" si="56"/>
        <v>1013016</v>
      </c>
      <c r="B381" s="91" t="s">
        <v>377</v>
      </c>
      <c r="C381" s="186">
        <v>1</v>
      </c>
      <c r="D381" s="186">
        <v>5</v>
      </c>
      <c r="E381" s="165" t="s">
        <v>1050</v>
      </c>
      <c r="F381" s="179" t="s">
        <v>1052</v>
      </c>
      <c r="G381" s="186">
        <f ca="1">OFFSET(卡牌辅助配置表!$C$1,MATCH(AC381,卡牌辅助配置表!A:A,0)-1,0)</f>
        <v>0</v>
      </c>
      <c r="H381" s="186" t="e">
        <f ca="1">OFFSET(skill!$Q$1,MATCH(B381,skill!B:B,0)-1,0)</f>
        <v>#VALUE!</v>
      </c>
      <c r="I381" s="186"/>
      <c r="J381" s="186">
        <f ca="1">OFFSET(card_type!$F$1,MATCH(Q381,card_type!A:A,0)-1,0)</f>
        <v>2</v>
      </c>
      <c r="K381" s="243">
        <f ca="1">OFFSET(card_type!$G$1,MATCH(Q381,card_type!A:A,0)-1,0)</f>
        <v>2</v>
      </c>
      <c r="L381" s="157">
        <v>3</v>
      </c>
      <c r="M381" s="157">
        <v>3</v>
      </c>
      <c r="N381" s="153">
        <f t="shared" si="57"/>
        <v>16</v>
      </c>
      <c r="O381" s="157"/>
      <c r="P381" s="157"/>
      <c r="Q381" s="153">
        <f ca="1">OFFSET(card_type!$A$1,MATCH(card!B381,card_type!B:B,0)-1,0)</f>
        <v>1013</v>
      </c>
      <c r="R381" s="153">
        <v>1</v>
      </c>
      <c r="S381" s="157">
        <f ca="1">ROUND(IF(R381=0,0,IF(R381=1,X381*$S$1,IF(R381=2,X381*$S$1*buff的资质计算!$E$2,IF(R381=3,X381*$S$1*buff的资质计算!$E$3,0)))),0)*0</f>
        <v>0</v>
      </c>
      <c r="T381" s="153">
        <v>1</v>
      </c>
      <c r="U381" s="153">
        <f ca="1" t="shared" si="58"/>
        <v>22</v>
      </c>
      <c r="V381" s="153">
        <f ca="1">ROUND((OFFSET(卡牌辅助配置表!$O$1,MATCH(U381,卡牌辅助配置表!M:M,0)-1,0)+(N381-1)*OFFSET(卡牌辅助配置表!$P$1,MATCH(U381,卡牌辅助配置表!M:M,0)-1,0))*M381,2)</f>
        <v>69.75</v>
      </c>
      <c r="W381" s="157">
        <f ca="1">ROUND(IF(R381=0,0,IF(R381=1,X381*$W$1,IF(R381=2,X381*$W$1*buff的资质计算!$E$2,IF(R381=3,X381*$W$1*buff的资质计算!$E$3,0)))),2)</f>
        <v>14.85</v>
      </c>
      <c r="X381" s="157">
        <f ca="1" t="shared" si="59"/>
        <v>49.5</v>
      </c>
      <c r="Y381" s="157" t="e">
        <f ca="1" t="shared" si="64"/>
        <v>#VALUE!</v>
      </c>
      <c r="Z381" s="304" t="e">
        <f ca="1" t="shared" si="60"/>
        <v>#VALUE!</v>
      </c>
      <c r="AA381" s="304">
        <f ca="1">OFFSET(卡牌辅助配置表!$AD$1,MATCH(AB381,卡牌辅助配置表!AB:AB,0)-1,0)</f>
        <v>2284</v>
      </c>
      <c r="AB381" s="304">
        <f ca="1" t="shared" si="61"/>
        <v>2216</v>
      </c>
      <c r="AC381" s="153">
        <v>12</v>
      </c>
      <c r="AF381" s="153" t="str">
        <f ca="1" t="shared" si="65"/>
        <v>10130011|</v>
      </c>
      <c r="AJ381" s="205" t="str">
        <f ca="1" t="shared" si="62"/>
        <v>400023|7650|;</v>
      </c>
      <c r="AK381" s="205">
        <f ca="1">OFFSET([1]item_type!$A$1,MATCH(Q381,[1]item_type!$G:$G,0)-1,0)</f>
        <v>301013</v>
      </c>
      <c r="AL381" s="205"/>
      <c r="AM381" s="205">
        <f ca="1">IF(B381=B382,OFFSET(卡牌辅助配置表!$AE$1,MATCH(AB381,卡牌辅助配置表!AB:AB,0),0),0)</f>
        <v>7650</v>
      </c>
      <c r="AN381" s="153">
        <f ca="1" t="shared" si="63"/>
        <v>1013017</v>
      </c>
      <c r="AP381" s="153">
        <f ca="1">IF(AC381=0,0,IF(AC381=12,0,OFFSET(effect!$N$1,MATCH(K381,effect!M:M,0)-1,0)))</f>
        <v>0</v>
      </c>
    </row>
    <row r="382" spans="1:42">
      <c r="A382" s="153">
        <f ca="1" t="shared" si="56"/>
        <v>1013017</v>
      </c>
      <c r="B382" s="91" t="s">
        <v>377</v>
      </c>
      <c r="C382" s="186">
        <v>1</v>
      </c>
      <c r="D382" s="186">
        <v>5</v>
      </c>
      <c r="E382" s="165" t="s">
        <v>1050</v>
      </c>
      <c r="F382" s="179" t="s">
        <v>1052</v>
      </c>
      <c r="G382" s="186">
        <f ca="1">OFFSET(卡牌辅助配置表!$C$1,MATCH(AC382,卡牌辅助配置表!A:A,0)-1,0)</f>
        <v>0</v>
      </c>
      <c r="H382" s="186" t="e">
        <f ca="1">OFFSET(skill!$Q$1,MATCH(B382,skill!B:B,0)-1,0)</f>
        <v>#VALUE!</v>
      </c>
      <c r="I382" s="186"/>
      <c r="J382" s="186">
        <f ca="1">OFFSET(card_type!$F$1,MATCH(Q382,card_type!A:A,0)-1,0)</f>
        <v>2</v>
      </c>
      <c r="K382" s="243">
        <f ca="1">OFFSET(card_type!$G$1,MATCH(Q382,card_type!A:A,0)-1,0)</f>
        <v>2</v>
      </c>
      <c r="L382" s="157">
        <v>3</v>
      </c>
      <c r="M382" s="157">
        <v>3</v>
      </c>
      <c r="N382" s="153">
        <f t="shared" si="57"/>
        <v>17</v>
      </c>
      <c r="O382" s="157"/>
      <c r="P382" s="157"/>
      <c r="Q382" s="153">
        <f ca="1">OFFSET(card_type!$A$1,MATCH(card!B382,card_type!B:B,0)-1,0)</f>
        <v>1013</v>
      </c>
      <c r="R382" s="153">
        <v>1</v>
      </c>
      <c r="S382" s="157">
        <f ca="1">ROUND(IF(R382=0,0,IF(R382=1,X382*$S$1,IF(R382=2,X382*$S$1*buff的资质计算!$E$2,IF(R382=3,X382*$S$1*buff的资质计算!$E$3,0)))),0)*0</f>
        <v>0</v>
      </c>
      <c r="T382" s="153">
        <v>1</v>
      </c>
      <c r="U382" s="153">
        <f ca="1" t="shared" si="58"/>
        <v>22</v>
      </c>
      <c r="V382" s="153">
        <f ca="1">ROUND((OFFSET(卡牌辅助配置表!$O$1,MATCH(U382,卡牌辅助配置表!M:M,0)-1,0)+(N382-1)*OFFSET(卡牌辅助配置表!$P$1,MATCH(U382,卡牌辅助配置表!M:M,0)-1,0))*M382,2)</f>
        <v>72.3</v>
      </c>
      <c r="W382" s="157">
        <f ca="1">ROUND(IF(R382=0,0,IF(R382=1,X382*$W$1,IF(R382=2,X382*$W$1*buff的资质计算!$E$2,IF(R382=3,X382*$W$1*buff的资质计算!$E$3,0)))),2)</f>
        <v>15</v>
      </c>
      <c r="X382" s="157">
        <f ca="1" t="shared" si="59"/>
        <v>50</v>
      </c>
      <c r="Y382" s="157" t="e">
        <f ca="1" t="shared" si="64"/>
        <v>#VALUE!</v>
      </c>
      <c r="Z382" s="304" t="e">
        <f ca="1" t="shared" si="60"/>
        <v>#VALUE!</v>
      </c>
      <c r="AA382" s="304">
        <f ca="1">OFFSET(卡牌辅助配置表!$AD$1,MATCH(AB382,卡牌辅助配置表!AB:AB,0)-1,0)</f>
        <v>2453</v>
      </c>
      <c r="AB382" s="304">
        <f ca="1" t="shared" si="61"/>
        <v>2217</v>
      </c>
      <c r="AC382" s="153">
        <v>12</v>
      </c>
      <c r="AF382" s="153" t="str">
        <f ca="1" t="shared" si="65"/>
        <v>10130011|</v>
      </c>
      <c r="AJ382" s="205" t="str">
        <f ca="1" t="shared" si="62"/>
        <v>400023|8250|;</v>
      </c>
      <c r="AK382" s="205">
        <f ca="1">OFFSET([1]item_type!$A$1,MATCH(Q382,[1]item_type!$G:$G,0)-1,0)</f>
        <v>301013</v>
      </c>
      <c r="AL382" s="205"/>
      <c r="AM382" s="205">
        <f ca="1">IF(B382=B383,OFFSET(卡牌辅助配置表!$AE$1,MATCH(AB382,卡牌辅助配置表!AB:AB,0),0),0)</f>
        <v>8250</v>
      </c>
      <c r="AN382" s="153">
        <f ca="1" t="shared" si="63"/>
        <v>1013018</v>
      </c>
      <c r="AP382" s="153">
        <f ca="1">IF(AC382=0,0,IF(AC382=12,0,OFFSET(effect!$N$1,MATCH(K382,effect!M:M,0)-1,0)))</f>
        <v>0</v>
      </c>
    </row>
    <row r="383" spans="1:42">
      <c r="A383" s="153">
        <f ca="1" t="shared" si="56"/>
        <v>1013018</v>
      </c>
      <c r="B383" s="91" t="s">
        <v>377</v>
      </c>
      <c r="C383" s="186">
        <v>1</v>
      </c>
      <c r="D383" s="186">
        <v>5</v>
      </c>
      <c r="E383" s="165" t="s">
        <v>1050</v>
      </c>
      <c r="F383" s="179" t="s">
        <v>1052</v>
      </c>
      <c r="G383" s="186">
        <f ca="1">OFFSET(卡牌辅助配置表!$C$1,MATCH(AC383,卡牌辅助配置表!A:A,0)-1,0)</f>
        <v>0</v>
      </c>
      <c r="H383" s="186" t="e">
        <f ca="1">OFFSET(skill!$Q$1,MATCH(B383,skill!B:B,0)-1,0)</f>
        <v>#VALUE!</v>
      </c>
      <c r="I383" s="186"/>
      <c r="J383" s="186">
        <f ca="1">OFFSET(card_type!$F$1,MATCH(Q383,card_type!A:A,0)-1,0)</f>
        <v>2</v>
      </c>
      <c r="K383" s="243">
        <f ca="1">OFFSET(card_type!$G$1,MATCH(Q383,card_type!A:A,0)-1,0)</f>
        <v>2</v>
      </c>
      <c r="L383" s="157">
        <v>3</v>
      </c>
      <c r="M383" s="157">
        <v>3</v>
      </c>
      <c r="N383" s="153">
        <f t="shared" si="57"/>
        <v>18</v>
      </c>
      <c r="O383" s="157"/>
      <c r="P383" s="157"/>
      <c r="Q383" s="153">
        <f ca="1">OFFSET(card_type!$A$1,MATCH(card!B383,card_type!B:B,0)-1,0)</f>
        <v>1013</v>
      </c>
      <c r="R383" s="153">
        <v>1</v>
      </c>
      <c r="S383" s="157">
        <f ca="1">ROUND(IF(R383=0,0,IF(R383=1,X383*$S$1,IF(R383=2,X383*$S$1*buff的资质计算!$E$2,IF(R383=3,X383*$S$1*buff的资质计算!$E$3,0)))),0)*0</f>
        <v>0</v>
      </c>
      <c r="T383" s="153">
        <v>1</v>
      </c>
      <c r="U383" s="153">
        <f ca="1" t="shared" si="58"/>
        <v>22</v>
      </c>
      <c r="V383" s="153">
        <f ca="1">ROUND((OFFSET(卡牌辅助配置表!$O$1,MATCH(U383,卡牌辅助配置表!M:M,0)-1,0)+(N383-1)*OFFSET(卡牌辅助配置表!$P$1,MATCH(U383,卡牌辅助配置表!M:M,0)-1,0))*M383,2)</f>
        <v>74.85</v>
      </c>
      <c r="W383" s="157">
        <f ca="1">ROUND(IF(R383=0,0,IF(R383=1,X383*$W$1,IF(R383=2,X383*$W$1*buff的资质计算!$E$2,IF(R383=3,X383*$W$1*buff的资质计算!$E$3,0)))),2)</f>
        <v>15.15</v>
      </c>
      <c r="X383" s="157">
        <f ca="1" t="shared" si="59"/>
        <v>50.5</v>
      </c>
      <c r="Y383" s="157" t="e">
        <f ca="1" t="shared" si="64"/>
        <v>#VALUE!</v>
      </c>
      <c r="Z383" s="304" t="e">
        <f ca="1" t="shared" si="60"/>
        <v>#VALUE!</v>
      </c>
      <c r="AA383" s="304">
        <f ca="1">OFFSET(卡牌辅助配置表!$AD$1,MATCH(AB383,卡牌辅助配置表!AB:AB,0)-1,0)</f>
        <v>2622</v>
      </c>
      <c r="AB383" s="304">
        <f ca="1" t="shared" si="61"/>
        <v>2218</v>
      </c>
      <c r="AC383" s="153">
        <v>12</v>
      </c>
      <c r="AF383" s="153" t="str">
        <f ca="1" t="shared" si="65"/>
        <v>10130011|</v>
      </c>
      <c r="AJ383" s="205" t="str">
        <f ca="1" t="shared" si="62"/>
        <v>400023|8850|;</v>
      </c>
      <c r="AK383" s="205">
        <f ca="1">OFFSET([1]item_type!$A$1,MATCH(Q383,[1]item_type!$G:$G,0)-1,0)</f>
        <v>301013</v>
      </c>
      <c r="AL383" s="205"/>
      <c r="AM383" s="205">
        <f ca="1">IF(B383=B384,OFFSET(卡牌辅助配置表!$AE$1,MATCH(AB383,卡牌辅助配置表!AB:AB,0),0),0)</f>
        <v>8850</v>
      </c>
      <c r="AN383" s="153">
        <f ca="1" t="shared" si="63"/>
        <v>1013019</v>
      </c>
      <c r="AP383" s="153">
        <f ca="1">IF(AC383=0,0,IF(AC383=12,0,OFFSET(effect!$N$1,MATCH(K383,effect!M:M,0)-1,0)))</f>
        <v>0</v>
      </c>
    </row>
    <row r="384" spans="1:42">
      <c r="A384" s="153">
        <f ca="1" t="shared" si="56"/>
        <v>1013019</v>
      </c>
      <c r="B384" s="91" t="s">
        <v>377</v>
      </c>
      <c r="C384" s="186">
        <v>1</v>
      </c>
      <c r="D384" s="186">
        <v>5</v>
      </c>
      <c r="E384" s="165" t="s">
        <v>1050</v>
      </c>
      <c r="F384" s="179" t="s">
        <v>1052</v>
      </c>
      <c r="G384" s="186">
        <f ca="1">OFFSET(卡牌辅助配置表!$C$1,MATCH(AC384,卡牌辅助配置表!A:A,0)-1,0)</f>
        <v>0</v>
      </c>
      <c r="H384" s="186" t="e">
        <f ca="1">OFFSET(skill!$Q$1,MATCH(B384,skill!B:B,0)-1,0)</f>
        <v>#VALUE!</v>
      </c>
      <c r="I384" s="186"/>
      <c r="J384" s="186">
        <f ca="1">OFFSET(card_type!$F$1,MATCH(Q384,card_type!A:A,0)-1,0)</f>
        <v>2</v>
      </c>
      <c r="K384" s="243">
        <f ca="1">OFFSET(card_type!$G$1,MATCH(Q384,card_type!A:A,0)-1,0)</f>
        <v>2</v>
      </c>
      <c r="L384" s="157">
        <v>3</v>
      </c>
      <c r="M384" s="157">
        <v>3</v>
      </c>
      <c r="N384" s="153">
        <f t="shared" si="57"/>
        <v>19</v>
      </c>
      <c r="O384" s="157"/>
      <c r="P384" s="157"/>
      <c r="Q384" s="153">
        <f ca="1">OFFSET(card_type!$A$1,MATCH(card!B384,card_type!B:B,0)-1,0)</f>
        <v>1013</v>
      </c>
      <c r="R384" s="153">
        <v>1</v>
      </c>
      <c r="S384" s="157">
        <f ca="1">ROUND(IF(R384=0,0,IF(R384=1,X384*$S$1,IF(R384=2,X384*$S$1*buff的资质计算!$E$2,IF(R384=3,X384*$S$1*buff的资质计算!$E$3,0)))),0)*0</f>
        <v>0</v>
      </c>
      <c r="T384" s="153">
        <v>1</v>
      </c>
      <c r="U384" s="153">
        <f ca="1" t="shared" si="58"/>
        <v>22</v>
      </c>
      <c r="V384" s="153">
        <f ca="1">ROUND((OFFSET(卡牌辅助配置表!$O$1,MATCH(U384,卡牌辅助配置表!M:M,0)-1,0)+(N384-1)*OFFSET(卡牌辅助配置表!$P$1,MATCH(U384,卡牌辅助配置表!M:M,0)-1,0))*M384,2)</f>
        <v>77.4</v>
      </c>
      <c r="W384" s="157">
        <f ca="1">ROUND(IF(R384=0,0,IF(R384=1,X384*$W$1,IF(R384=2,X384*$W$1*buff的资质计算!$E$2,IF(R384=3,X384*$W$1*buff的资质计算!$E$3,0)))),2)</f>
        <v>15.3</v>
      </c>
      <c r="X384" s="157">
        <f ca="1" t="shared" si="59"/>
        <v>51</v>
      </c>
      <c r="Y384" s="157" t="e">
        <f ca="1" t="shared" si="64"/>
        <v>#VALUE!</v>
      </c>
      <c r="Z384" s="304" t="e">
        <f ca="1" t="shared" si="60"/>
        <v>#VALUE!</v>
      </c>
      <c r="AA384" s="304">
        <f ca="1">OFFSET(卡牌辅助配置表!$AD$1,MATCH(AB384,卡牌辅助配置表!AB:AB,0)-1,0)</f>
        <v>2791</v>
      </c>
      <c r="AB384" s="304">
        <f ca="1" t="shared" si="61"/>
        <v>2219</v>
      </c>
      <c r="AC384" s="153">
        <v>12</v>
      </c>
      <c r="AF384" s="153" t="str">
        <f ca="1" t="shared" si="65"/>
        <v>10130011|</v>
      </c>
      <c r="AJ384" s="205" t="str">
        <f ca="1" t="shared" si="62"/>
        <v>301013|20|;400023|9450|;</v>
      </c>
      <c r="AK384" s="205">
        <f ca="1">OFFSET([1]item_type!$A$1,MATCH(Q384,[1]item_type!$G:$G,0)-1,0)</f>
        <v>301013</v>
      </c>
      <c r="AL384" s="205">
        <v>20</v>
      </c>
      <c r="AM384" s="205">
        <f ca="1">IF(B384=B385,OFFSET(卡牌辅助配置表!$AE$1,MATCH(AB384,卡牌辅助配置表!AB:AB,0),0),0)</f>
        <v>9450</v>
      </c>
      <c r="AN384" s="153">
        <f ca="1" t="shared" si="63"/>
        <v>1013020</v>
      </c>
      <c r="AP384" s="153">
        <f ca="1">IF(AC384=0,0,IF(AC384=12,0,OFFSET(effect!$N$1,MATCH(K384,effect!M:M,0)-1,0)))</f>
        <v>0</v>
      </c>
    </row>
    <row r="385" spans="1:42">
      <c r="A385" s="153">
        <f ca="1" t="shared" si="56"/>
        <v>1013020</v>
      </c>
      <c r="B385" s="91" t="s">
        <v>377</v>
      </c>
      <c r="C385" s="186">
        <v>1</v>
      </c>
      <c r="D385" s="186">
        <v>5</v>
      </c>
      <c r="E385" s="165" t="s">
        <v>1050</v>
      </c>
      <c r="F385" s="179" t="s">
        <v>1052</v>
      </c>
      <c r="G385" s="186">
        <f ca="1">OFFSET(卡牌辅助配置表!$C$1,MATCH(AC385,卡牌辅助配置表!A:A,0)-1,0)</f>
        <v>0</v>
      </c>
      <c r="H385" s="186" t="e">
        <f ca="1">OFFSET(skill!$Q$1,MATCH(B385,skill!B:B,0)-1,0)</f>
        <v>#VALUE!</v>
      </c>
      <c r="I385" s="186"/>
      <c r="J385" s="186">
        <f ca="1">OFFSET(card_type!$F$1,MATCH(Q385,card_type!A:A,0)-1,0)</f>
        <v>2</v>
      </c>
      <c r="K385" s="243">
        <f ca="1">OFFSET(card_type!$G$1,MATCH(Q385,card_type!A:A,0)-1,0)</f>
        <v>2</v>
      </c>
      <c r="L385" s="157">
        <v>3</v>
      </c>
      <c r="M385" s="157">
        <v>3</v>
      </c>
      <c r="N385" s="153">
        <f t="shared" si="57"/>
        <v>20</v>
      </c>
      <c r="O385" s="157"/>
      <c r="P385" s="157"/>
      <c r="Q385" s="153">
        <f ca="1">OFFSET(card_type!$A$1,MATCH(card!B385,card_type!B:B,0)-1,0)</f>
        <v>1013</v>
      </c>
      <c r="R385" s="153">
        <v>1</v>
      </c>
      <c r="S385" s="157">
        <f ca="1">ROUND(IF(R385=0,0,IF(R385=1,X385*$S$1,IF(R385=2,X385*$S$1*buff的资质计算!$E$2,IF(R385=3,X385*$S$1*buff的资质计算!$E$3,0)))),0)*0</f>
        <v>0</v>
      </c>
      <c r="T385" s="153">
        <v>1</v>
      </c>
      <c r="U385" s="153">
        <f ca="1" t="shared" si="58"/>
        <v>22</v>
      </c>
      <c r="V385" s="153">
        <f ca="1">ROUND((OFFSET(卡牌辅助配置表!$O$1,MATCH(U385,卡牌辅助配置表!M:M,0)-1,0)+(N385-1)*OFFSET(卡牌辅助配置表!$P$1,MATCH(U385,卡牌辅助配置表!M:M,0)-1,0))*M385,2)</f>
        <v>79.95</v>
      </c>
      <c r="W385" s="157">
        <f ca="1">ROUND(IF(R385=0,0,IF(R385=1,X385*$W$1,IF(R385=2,X385*$W$1*buff的资质计算!$E$2,IF(R385=3,X385*$W$1*buff的资质计算!$E$3,0)))),2)</f>
        <v>15.45</v>
      </c>
      <c r="X385" s="157">
        <f ca="1" t="shared" si="59"/>
        <v>51.5</v>
      </c>
      <c r="Y385" s="157" t="e">
        <f ca="1" t="shared" si="64"/>
        <v>#VALUE!</v>
      </c>
      <c r="Z385" s="304" t="e">
        <f ca="1" t="shared" si="60"/>
        <v>#VALUE!</v>
      </c>
      <c r="AA385" s="304">
        <f ca="1">OFFSET(卡牌辅助配置表!$AD$1,MATCH(AB385,卡牌辅助配置表!AB:AB,0)-1,0)</f>
        <v>2960</v>
      </c>
      <c r="AB385" s="304">
        <f ca="1" t="shared" si="61"/>
        <v>2220</v>
      </c>
      <c r="AC385" s="153">
        <v>12</v>
      </c>
      <c r="AF385" s="153" t="str">
        <f ca="1" t="shared" si="65"/>
        <v>10130011|</v>
      </c>
      <c r="AJ385" s="205" t="str">
        <f ca="1" t="shared" si="62"/>
        <v>400023|10650|;</v>
      </c>
      <c r="AK385" s="205">
        <f ca="1">OFFSET([1]item_type!$A$1,MATCH(Q385,[1]item_type!$G:$G,0)-1,0)</f>
        <v>301013</v>
      </c>
      <c r="AL385" s="205"/>
      <c r="AM385" s="205">
        <f ca="1">IF(B385=B386,OFFSET(卡牌辅助配置表!$AE$1,MATCH(AB385,卡牌辅助配置表!AB:AB,0),0),0)</f>
        <v>10650</v>
      </c>
      <c r="AN385" s="153">
        <f ca="1" t="shared" si="63"/>
        <v>1013021</v>
      </c>
      <c r="AP385" s="153">
        <f ca="1">IF(AC385=0,0,IF(AC385=12,0,OFFSET(effect!$N$1,MATCH(K385,effect!M:M,0)-1,0)))</f>
        <v>0</v>
      </c>
    </row>
    <row r="386" spans="1:42">
      <c r="A386" s="153">
        <f ca="1" t="shared" si="56"/>
        <v>1013021</v>
      </c>
      <c r="B386" s="91" t="s">
        <v>377</v>
      </c>
      <c r="C386" s="186">
        <v>1</v>
      </c>
      <c r="D386" s="186">
        <v>5</v>
      </c>
      <c r="E386" s="165" t="s">
        <v>1050</v>
      </c>
      <c r="F386" s="179" t="s">
        <v>1052</v>
      </c>
      <c r="G386" s="186">
        <f ca="1">OFFSET(卡牌辅助配置表!$C$1,MATCH(AC386,卡牌辅助配置表!A:A,0)-1,0)</f>
        <v>0</v>
      </c>
      <c r="H386" s="186" t="e">
        <f ca="1">OFFSET(skill!$Q$1,MATCH(B386,skill!B:B,0)-1,0)</f>
        <v>#VALUE!</v>
      </c>
      <c r="I386" s="186"/>
      <c r="J386" s="186">
        <f ca="1">OFFSET(card_type!$F$1,MATCH(Q386,card_type!A:A,0)-1,0)</f>
        <v>2</v>
      </c>
      <c r="K386" s="243">
        <f ca="1">OFFSET(card_type!$G$1,MATCH(Q386,card_type!A:A,0)-1,0)</f>
        <v>2</v>
      </c>
      <c r="L386" s="157">
        <v>3</v>
      </c>
      <c r="M386" s="157">
        <v>3</v>
      </c>
      <c r="N386" s="153">
        <f t="shared" si="57"/>
        <v>21</v>
      </c>
      <c r="O386" s="157"/>
      <c r="P386" s="157"/>
      <c r="Q386" s="153">
        <f ca="1">OFFSET(card_type!$A$1,MATCH(card!B386,card_type!B:B,0)-1,0)</f>
        <v>1013</v>
      </c>
      <c r="R386" s="153">
        <v>1</v>
      </c>
      <c r="S386" s="157">
        <f ca="1">ROUND(IF(R386=0,0,IF(R386=1,X386*$S$1,IF(R386=2,X386*$S$1*buff的资质计算!$E$2,IF(R386=3,X386*$S$1*buff的资质计算!$E$3,0)))),0)*0</f>
        <v>0</v>
      </c>
      <c r="T386" s="153">
        <v>1</v>
      </c>
      <c r="U386" s="153">
        <f ca="1" t="shared" si="58"/>
        <v>22</v>
      </c>
      <c r="V386" s="153">
        <f ca="1">ROUND((OFFSET(卡牌辅助配置表!$O$1,MATCH(U386,卡牌辅助配置表!M:M,0)-1,0)+(N386-1)*OFFSET(卡牌辅助配置表!$P$1,MATCH(U386,卡牌辅助配置表!M:M,0)-1,0))*M386,2)</f>
        <v>82.5</v>
      </c>
      <c r="W386" s="157">
        <f ca="1">ROUND(IF(R386=0,0,IF(R386=1,X386*$W$1,IF(R386=2,X386*$W$1*buff的资质计算!$E$2,IF(R386=3,X386*$W$1*buff的资质计算!$E$3,0)))),2)</f>
        <v>15.6</v>
      </c>
      <c r="X386" s="157">
        <f ca="1" t="shared" si="59"/>
        <v>52</v>
      </c>
      <c r="Y386" s="157" t="e">
        <f ca="1" t="shared" si="64"/>
        <v>#VALUE!</v>
      </c>
      <c r="Z386" s="304" t="e">
        <f ca="1" t="shared" si="60"/>
        <v>#VALUE!</v>
      </c>
      <c r="AA386" s="304">
        <f ca="1">OFFSET(卡牌辅助配置表!$AD$1,MATCH(AB386,卡牌辅助配置表!AB:AB,0)-1,0)</f>
        <v>3129</v>
      </c>
      <c r="AB386" s="304">
        <f ca="1" t="shared" si="61"/>
        <v>2221</v>
      </c>
      <c r="AC386" s="153">
        <v>12</v>
      </c>
      <c r="AF386" s="153" t="str">
        <f ca="1" t="shared" si="65"/>
        <v>10130011|</v>
      </c>
      <c r="AJ386" s="205" t="str">
        <f ca="1" t="shared" si="62"/>
        <v>400023|11850|;</v>
      </c>
      <c r="AK386" s="205">
        <f ca="1">OFFSET([1]item_type!$A$1,MATCH(Q386,[1]item_type!$G:$G,0)-1,0)</f>
        <v>301013</v>
      </c>
      <c r="AL386" s="205"/>
      <c r="AM386" s="205">
        <f ca="1">IF(B386=B387,OFFSET(卡牌辅助配置表!$AE$1,MATCH(AB386,卡牌辅助配置表!AB:AB,0),0),0)</f>
        <v>11850</v>
      </c>
      <c r="AN386" s="153">
        <f ca="1" t="shared" si="63"/>
        <v>1013022</v>
      </c>
      <c r="AP386" s="153">
        <f ca="1">IF(AC386=0,0,IF(AC386=12,0,OFFSET(effect!$N$1,MATCH(K386,effect!M:M,0)-1,0)))</f>
        <v>0</v>
      </c>
    </row>
    <row r="387" spans="1:42">
      <c r="A387" s="153">
        <f ca="1" t="shared" si="56"/>
        <v>1013022</v>
      </c>
      <c r="B387" s="91" t="s">
        <v>377</v>
      </c>
      <c r="C387" s="186">
        <v>1</v>
      </c>
      <c r="D387" s="186">
        <v>5</v>
      </c>
      <c r="E387" s="165" t="s">
        <v>1050</v>
      </c>
      <c r="F387" s="179" t="s">
        <v>1052</v>
      </c>
      <c r="G387" s="186">
        <f ca="1">OFFSET(卡牌辅助配置表!$C$1,MATCH(AC387,卡牌辅助配置表!A:A,0)-1,0)</f>
        <v>0</v>
      </c>
      <c r="H387" s="186" t="e">
        <f ca="1">OFFSET(skill!$Q$1,MATCH(B387,skill!B:B,0)-1,0)</f>
        <v>#VALUE!</v>
      </c>
      <c r="I387" s="186"/>
      <c r="J387" s="186">
        <f ca="1">OFFSET(card_type!$F$1,MATCH(Q387,card_type!A:A,0)-1,0)</f>
        <v>2</v>
      </c>
      <c r="K387" s="243">
        <f ca="1">OFFSET(card_type!$G$1,MATCH(Q387,card_type!A:A,0)-1,0)</f>
        <v>2</v>
      </c>
      <c r="L387" s="157">
        <v>3</v>
      </c>
      <c r="M387" s="157">
        <v>3</v>
      </c>
      <c r="N387" s="153">
        <f t="shared" si="57"/>
        <v>22</v>
      </c>
      <c r="O387" s="157"/>
      <c r="P387" s="157"/>
      <c r="Q387" s="153">
        <f ca="1">OFFSET(card_type!$A$1,MATCH(card!B387,card_type!B:B,0)-1,0)</f>
        <v>1013</v>
      </c>
      <c r="R387" s="153">
        <v>1</v>
      </c>
      <c r="S387" s="157">
        <f ca="1">ROUND(IF(R387=0,0,IF(R387=1,X387*$S$1,IF(R387=2,X387*$S$1*buff的资质计算!$E$2,IF(R387=3,X387*$S$1*buff的资质计算!$E$3,0)))),0)*0</f>
        <v>0</v>
      </c>
      <c r="T387" s="153">
        <v>1</v>
      </c>
      <c r="U387" s="153">
        <f ca="1" t="shared" si="58"/>
        <v>22</v>
      </c>
      <c r="V387" s="153">
        <f ca="1">ROUND((OFFSET(卡牌辅助配置表!$O$1,MATCH(U387,卡牌辅助配置表!M:M,0)-1,0)+(N387-1)*OFFSET(卡牌辅助配置表!$P$1,MATCH(U387,卡牌辅助配置表!M:M,0)-1,0))*M387,2)</f>
        <v>85.05</v>
      </c>
      <c r="W387" s="157">
        <f ca="1">ROUND(IF(R387=0,0,IF(R387=1,X387*$W$1,IF(R387=2,X387*$W$1*buff的资质计算!$E$2,IF(R387=3,X387*$W$1*buff的资质计算!$E$3,0)))),2)</f>
        <v>15.75</v>
      </c>
      <c r="X387" s="157">
        <f ca="1" t="shared" si="59"/>
        <v>52.5</v>
      </c>
      <c r="Y387" s="157" t="e">
        <f ca="1" t="shared" si="64"/>
        <v>#VALUE!</v>
      </c>
      <c r="Z387" s="304" t="e">
        <f ca="1" t="shared" si="60"/>
        <v>#VALUE!</v>
      </c>
      <c r="AA387" s="304">
        <f ca="1">OFFSET(卡牌辅助配置表!$AD$1,MATCH(AB387,卡牌辅助配置表!AB:AB,0)-1,0)</f>
        <v>3298</v>
      </c>
      <c r="AB387" s="304">
        <f ca="1" t="shared" si="61"/>
        <v>2222</v>
      </c>
      <c r="AC387" s="153">
        <v>12</v>
      </c>
      <c r="AF387" s="153" t="str">
        <f ca="1" t="shared" si="65"/>
        <v>10130011|</v>
      </c>
      <c r="AJ387" s="205" t="str">
        <f ca="1" t="shared" si="62"/>
        <v>400023|13050|;</v>
      </c>
      <c r="AK387" s="205">
        <f ca="1">OFFSET([1]item_type!$A$1,MATCH(Q387,[1]item_type!$G:$G,0)-1,0)</f>
        <v>301013</v>
      </c>
      <c r="AL387" s="205"/>
      <c r="AM387" s="205">
        <f ca="1">IF(B387=B388,OFFSET(卡牌辅助配置表!$AE$1,MATCH(AB387,卡牌辅助配置表!AB:AB,0),0),0)</f>
        <v>13050</v>
      </c>
      <c r="AN387" s="153">
        <f ca="1" t="shared" si="63"/>
        <v>1013023</v>
      </c>
      <c r="AP387" s="153">
        <f ca="1">IF(AC387=0,0,IF(AC387=12,0,OFFSET(effect!$N$1,MATCH(K387,effect!M:M,0)-1,0)))</f>
        <v>0</v>
      </c>
    </row>
    <row r="388" spans="1:42">
      <c r="A388" s="153">
        <f ca="1" t="shared" si="56"/>
        <v>1013023</v>
      </c>
      <c r="B388" s="91" t="s">
        <v>377</v>
      </c>
      <c r="C388" s="186">
        <v>1</v>
      </c>
      <c r="D388" s="186">
        <v>5</v>
      </c>
      <c r="E388" s="165" t="s">
        <v>1050</v>
      </c>
      <c r="F388" s="179" t="s">
        <v>1052</v>
      </c>
      <c r="G388" s="186">
        <f ca="1">OFFSET(卡牌辅助配置表!$C$1,MATCH(AC388,卡牌辅助配置表!A:A,0)-1,0)</f>
        <v>0</v>
      </c>
      <c r="H388" s="186" t="e">
        <f ca="1">OFFSET(skill!$Q$1,MATCH(B388,skill!B:B,0)-1,0)</f>
        <v>#VALUE!</v>
      </c>
      <c r="I388" s="186"/>
      <c r="J388" s="186">
        <f ca="1">OFFSET(card_type!$F$1,MATCH(Q388,card_type!A:A,0)-1,0)</f>
        <v>2</v>
      </c>
      <c r="K388" s="243">
        <f ca="1">OFFSET(card_type!$G$1,MATCH(Q388,card_type!A:A,0)-1,0)</f>
        <v>2</v>
      </c>
      <c r="L388" s="157">
        <v>3</v>
      </c>
      <c r="M388" s="157">
        <v>3</v>
      </c>
      <c r="N388" s="153">
        <f t="shared" si="57"/>
        <v>23</v>
      </c>
      <c r="O388" s="157"/>
      <c r="P388" s="157"/>
      <c r="Q388" s="153">
        <f ca="1">OFFSET(card_type!$A$1,MATCH(card!B388,card_type!B:B,0)-1,0)</f>
        <v>1013</v>
      </c>
      <c r="R388" s="153">
        <v>1</v>
      </c>
      <c r="S388" s="157">
        <f ca="1">ROUND(IF(R388=0,0,IF(R388=1,X388*$S$1,IF(R388=2,X388*$S$1*buff的资质计算!$E$2,IF(R388=3,X388*$S$1*buff的资质计算!$E$3,0)))),0)*0</f>
        <v>0</v>
      </c>
      <c r="T388" s="153">
        <v>1</v>
      </c>
      <c r="U388" s="153">
        <f ca="1" t="shared" si="58"/>
        <v>22</v>
      </c>
      <c r="V388" s="153">
        <f ca="1">ROUND((OFFSET(卡牌辅助配置表!$O$1,MATCH(U388,卡牌辅助配置表!M:M,0)-1,0)+(N388-1)*OFFSET(卡牌辅助配置表!$P$1,MATCH(U388,卡牌辅助配置表!M:M,0)-1,0))*M388,2)</f>
        <v>87.6</v>
      </c>
      <c r="W388" s="157">
        <f ca="1">ROUND(IF(R388=0,0,IF(R388=1,X388*$W$1,IF(R388=2,X388*$W$1*buff的资质计算!$E$2,IF(R388=3,X388*$W$1*buff的资质计算!$E$3,0)))),2)</f>
        <v>15.9</v>
      </c>
      <c r="X388" s="157">
        <f ca="1" t="shared" si="59"/>
        <v>53</v>
      </c>
      <c r="Y388" s="157" t="e">
        <f ca="1" t="shared" si="64"/>
        <v>#VALUE!</v>
      </c>
      <c r="Z388" s="304" t="e">
        <f ca="1" t="shared" si="60"/>
        <v>#VALUE!</v>
      </c>
      <c r="AA388" s="304">
        <f ca="1">OFFSET(卡牌辅助配置表!$AD$1,MATCH(AB388,卡牌辅助配置表!AB:AB,0)-1,0)</f>
        <v>3467</v>
      </c>
      <c r="AB388" s="304">
        <f ca="1" t="shared" si="61"/>
        <v>2223</v>
      </c>
      <c r="AC388" s="153">
        <v>12</v>
      </c>
      <c r="AF388" s="153" t="str">
        <f ca="1" t="shared" si="65"/>
        <v>10130011|</v>
      </c>
      <c r="AJ388" s="205" t="str">
        <f ca="1" t="shared" si="62"/>
        <v>400023|14250|;</v>
      </c>
      <c r="AK388" s="205">
        <f ca="1">OFFSET([1]item_type!$A$1,MATCH(Q388,[1]item_type!$G:$G,0)-1,0)</f>
        <v>301013</v>
      </c>
      <c r="AL388" s="205"/>
      <c r="AM388" s="205">
        <f ca="1">IF(B388=B389,OFFSET(卡牌辅助配置表!$AE$1,MATCH(AB388,卡牌辅助配置表!AB:AB,0),0),0)</f>
        <v>14250</v>
      </c>
      <c r="AN388" s="153">
        <f ca="1" t="shared" si="63"/>
        <v>1013024</v>
      </c>
      <c r="AP388" s="153">
        <f ca="1">IF(AC388=0,0,IF(AC388=12,0,OFFSET(effect!$N$1,MATCH(K388,effect!M:M,0)-1,0)))</f>
        <v>0</v>
      </c>
    </row>
    <row r="389" spans="1:42">
      <c r="A389" s="153">
        <f ca="1" t="shared" si="56"/>
        <v>1013024</v>
      </c>
      <c r="B389" s="91" t="s">
        <v>377</v>
      </c>
      <c r="C389" s="186">
        <v>1</v>
      </c>
      <c r="D389" s="186">
        <v>5</v>
      </c>
      <c r="E389" s="165" t="s">
        <v>1050</v>
      </c>
      <c r="F389" s="179" t="s">
        <v>1052</v>
      </c>
      <c r="G389" s="186">
        <f ca="1">OFFSET(卡牌辅助配置表!$C$1,MATCH(AC389,卡牌辅助配置表!A:A,0)-1,0)</f>
        <v>0</v>
      </c>
      <c r="H389" s="186" t="e">
        <f ca="1">OFFSET(skill!$Q$1,MATCH(B389,skill!B:B,0)-1,0)</f>
        <v>#VALUE!</v>
      </c>
      <c r="I389" s="186"/>
      <c r="J389" s="186">
        <f ca="1">OFFSET(card_type!$F$1,MATCH(Q389,card_type!A:A,0)-1,0)</f>
        <v>2</v>
      </c>
      <c r="K389" s="243">
        <f ca="1">OFFSET(card_type!$G$1,MATCH(Q389,card_type!A:A,0)-1,0)</f>
        <v>2</v>
      </c>
      <c r="L389" s="157">
        <v>3</v>
      </c>
      <c r="M389" s="157">
        <v>3</v>
      </c>
      <c r="N389" s="153">
        <f t="shared" si="57"/>
        <v>24</v>
      </c>
      <c r="O389" s="157"/>
      <c r="P389" s="157"/>
      <c r="Q389" s="153">
        <f ca="1">OFFSET(card_type!$A$1,MATCH(card!B389,card_type!B:B,0)-1,0)</f>
        <v>1013</v>
      </c>
      <c r="R389" s="153">
        <v>1</v>
      </c>
      <c r="S389" s="157">
        <f ca="1">ROUND(IF(R389=0,0,IF(R389=1,X389*$S$1,IF(R389=2,X389*$S$1*buff的资质计算!$E$2,IF(R389=3,X389*$S$1*buff的资质计算!$E$3,0)))),0)*0</f>
        <v>0</v>
      </c>
      <c r="T389" s="153">
        <v>1</v>
      </c>
      <c r="U389" s="153">
        <f ca="1" t="shared" si="58"/>
        <v>22</v>
      </c>
      <c r="V389" s="153">
        <f ca="1">ROUND((OFFSET(卡牌辅助配置表!$O$1,MATCH(U389,卡牌辅助配置表!M:M,0)-1,0)+(N389-1)*OFFSET(卡牌辅助配置表!$P$1,MATCH(U389,卡牌辅助配置表!M:M,0)-1,0))*M389,2)</f>
        <v>90.15</v>
      </c>
      <c r="W389" s="157">
        <f ca="1">ROUND(IF(R389=0,0,IF(R389=1,X389*$W$1,IF(R389=2,X389*$W$1*buff的资质计算!$E$2,IF(R389=3,X389*$W$1*buff的资质计算!$E$3,0)))),2)</f>
        <v>16.05</v>
      </c>
      <c r="X389" s="157">
        <f ca="1" t="shared" si="59"/>
        <v>53.5</v>
      </c>
      <c r="Y389" s="157" t="e">
        <f ca="1" t="shared" si="64"/>
        <v>#VALUE!</v>
      </c>
      <c r="Z389" s="304" t="e">
        <f ca="1" t="shared" si="60"/>
        <v>#VALUE!</v>
      </c>
      <c r="AA389" s="304">
        <f ca="1">OFFSET(卡牌辅助配置表!$AD$1,MATCH(AB389,卡牌辅助配置表!AB:AB,0)-1,0)</f>
        <v>3636</v>
      </c>
      <c r="AB389" s="304">
        <f ca="1" t="shared" si="61"/>
        <v>2224</v>
      </c>
      <c r="AC389" s="153">
        <v>12</v>
      </c>
      <c r="AF389" s="153" t="str">
        <f ca="1" t="shared" si="65"/>
        <v>10130011|</v>
      </c>
      <c r="AJ389" s="205" t="str">
        <f ca="1" t="shared" si="62"/>
        <v>400023|15450|;</v>
      </c>
      <c r="AK389" s="205">
        <f ca="1">OFFSET([1]item_type!$A$1,MATCH(Q389,[1]item_type!$G:$G,0)-1,0)</f>
        <v>301013</v>
      </c>
      <c r="AL389" s="205"/>
      <c r="AM389" s="205">
        <f ca="1">IF(B389=B390,OFFSET(卡牌辅助配置表!$AE$1,MATCH(AB389,卡牌辅助配置表!AB:AB,0),0),0)</f>
        <v>15450</v>
      </c>
      <c r="AN389" s="153">
        <f ca="1" t="shared" si="63"/>
        <v>1013025</v>
      </c>
      <c r="AP389" s="153">
        <f ca="1">IF(AC389=0,0,IF(AC389=12,0,OFFSET(effect!$N$1,MATCH(K389,effect!M:M,0)-1,0)))</f>
        <v>0</v>
      </c>
    </row>
    <row r="390" spans="1:42">
      <c r="A390" s="153">
        <f ca="1" t="shared" ref="A390:A453" si="66">Q390*1000+N390</f>
        <v>1013025</v>
      </c>
      <c r="B390" s="91" t="s">
        <v>377</v>
      </c>
      <c r="C390" s="186">
        <v>1</v>
      </c>
      <c r="D390" s="186">
        <v>5</v>
      </c>
      <c r="E390" s="165" t="s">
        <v>1050</v>
      </c>
      <c r="F390" s="179" t="s">
        <v>1052</v>
      </c>
      <c r="G390" s="186">
        <f ca="1">OFFSET(卡牌辅助配置表!$C$1,MATCH(AC390,卡牌辅助配置表!A:A,0)-1,0)</f>
        <v>0</v>
      </c>
      <c r="H390" s="186" t="e">
        <f ca="1">OFFSET(skill!$Q$1,MATCH(B390,skill!B:B,0)-1,0)</f>
        <v>#VALUE!</v>
      </c>
      <c r="I390" s="186"/>
      <c r="J390" s="186">
        <f ca="1">OFFSET(card_type!$F$1,MATCH(Q390,card_type!A:A,0)-1,0)</f>
        <v>2</v>
      </c>
      <c r="K390" s="243">
        <f ca="1">OFFSET(card_type!$G$1,MATCH(Q390,card_type!A:A,0)-1,0)</f>
        <v>2</v>
      </c>
      <c r="L390" s="157">
        <v>3</v>
      </c>
      <c r="M390" s="157">
        <v>3</v>
      </c>
      <c r="N390" s="153">
        <f t="shared" ref="N390:N453" si="67">IF(B389=B390,N389+1,1)</f>
        <v>25</v>
      </c>
      <c r="O390" s="157"/>
      <c r="P390" s="157"/>
      <c r="Q390" s="153">
        <f ca="1">OFFSET(card_type!$A$1,MATCH(card!B390,card_type!B:B,0)-1,0)</f>
        <v>1013</v>
      </c>
      <c r="R390" s="153">
        <v>1</v>
      </c>
      <c r="S390" s="157">
        <f ca="1">ROUND(IF(R390=0,0,IF(R390=1,X390*$S$1,IF(R390=2,X390*$S$1*buff的资质计算!$E$2,IF(R390=3,X390*$S$1*buff的资质计算!$E$3,0)))),0)*0</f>
        <v>0</v>
      </c>
      <c r="T390" s="153">
        <v>1</v>
      </c>
      <c r="U390" s="153">
        <f ca="1" t="shared" ref="U390:U453" si="68">J390*10+K390</f>
        <v>22</v>
      </c>
      <c r="V390" s="153">
        <f ca="1">ROUND((OFFSET(卡牌辅助配置表!$O$1,MATCH(U390,卡牌辅助配置表!M:M,0)-1,0)+(N390-1)*OFFSET(卡牌辅助配置表!$P$1,MATCH(U390,卡牌辅助配置表!M:M,0)-1,0))*M390,2)</f>
        <v>92.7</v>
      </c>
      <c r="W390" s="157">
        <f ca="1">ROUND(IF(R390=0,0,IF(R390=1,X390*$W$1,IF(R390=2,X390*$W$1*buff的资质计算!$E$2,IF(R390=3,X390*$W$1*buff的资质计算!$E$3,0)))),2)</f>
        <v>16.2</v>
      </c>
      <c r="X390" s="157">
        <f ca="1" t="shared" ref="X390:X453" si="69">M390*($M$1+(J390-1)*$J$1+(K390-1)*$K$1)+G390+$J$1*(N390-1)/$N$1</f>
        <v>54</v>
      </c>
      <c r="Y390" s="157" t="e">
        <f ca="1" t="shared" si="64"/>
        <v>#VALUE!</v>
      </c>
      <c r="Z390" s="304" t="e">
        <f ca="1" t="shared" ref="Z390:Z453" si="70">Y390/M390</f>
        <v>#VALUE!</v>
      </c>
      <c r="AA390" s="304">
        <f ca="1">OFFSET(卡牌辅助配置表!$AD$1,MATCH(AB390,卡牌辅助配置表!AB:AB,0)-1,0)</f>
        <v>3805</v>
      </c>
      <c r="AB390" s="304">
        <f ca="1" t="shared" ref="AB390:AB453" si="71">J390*1000+K390*100+N390</f>
        <v>2225</v>
      </c>
      <c r="AC390" s="153">
        <v>12</v>
      </c>
      <c r="AF390" s="153" t="str">
        <f ca="1" t="shared" si="65"/>
        <v>10130011|</v>
      </c>
      <c r="AJ390" s="205" t="str">
        <f ca="1" t="shared" ref="AJ390:AJ453" si="72">IF(AN390=0,0,IF(AL390=0,$AM$1&amp;$AF$1&amp;AM390&amp;$AF$1&amp;$AJ$1,AK390&amp;$AF$1&amp;AL390&amp;$AF$1&amp;$AJ$1&amp;$AM$1&amp;$AF$1&amp;AM390&amp;$AF$1&amp;$AJ$1))</f>
        <v>400023|16650|;</v>
      </c>
      <c r="AK390" s="205">
        <f ca="1">OFFSET([1]item_type!$A$1,MATCH(Q390,[1]item_type!$G:$G,0)-1,0)</f>
        <v>301013</v>
      </c>
      <c r="AL390" s="205"/>
      <c r="AM390" s="205">
        <f ca="1">IF(B390=B391,OFFSET(卡牌辅助配置表!$AE$1,MATCH(AB390,卡牌辅助配置表!AB:AB,0),0),0)</f>
        <v>16650</v>
      </c>
      <c r="AN390" s="153">
        <f ca="1" t="shared" ref="AN390:AN453" si="73">IF(B390=B391,A390+1,0)</f>
        <v>1013026</v>
      </c>
      <c r="AP390" s="153">
        <f ca="1">IF(AC390=0,0,IF(AC390=12,0,OFFSET(effect!$N$1,MATCH(K390,effect!M:M,0)-1,0)))</f>
        <v>0</v>
      </c>
    </row>
    <row r="391" spans="1:42">
      <c r="A391" s="153">
        <f ca="1" t="shared" si="66"/>
        <v>1013026</v>
      </c>
      <c r="B391" s="91" t="s">
        <v>377</v>
      </c>
      <c r="C391" s="186">
        <v>1</v>
      </c>
      <c r="D391" s="186">
        <v>5</v>
      </c>
      <c r="E391" s="165" t="s">
        <v>1050</v>
      </c>
      <c r="F391" s="179" t="s">
        <v>1052</v>
      </c>
      <c r="G391" s="186">
        <f ca="1">OFFSET(卡牌辅助配置表!$C$1,MATCH(AC391,卡牌辅助配置表!A:A,0)-1,0)</f>
        <v>0</v>
      </c>
      <c r="H391" s="186" t="e">
        <f ca="1">OFFSET(skill!$Q$1,MATCH(B391,skill!B:B,0)-1,0)</f>
        <v>#VALUE!</v>
      </c>
      <c r="I391" s="186"/>
      <c r="J391" s="186">
        <f ca="1">OFFSET(card_type!$F$1,MATCH(Q391,card_type!A:A,0)-1,0)</f>
        <v>2</v>
      </c>
      <c r="K391" s="243">
        <f ca="1">OFFSET(card_type!$G$1,MATCH(Q391,card_type!A:A,0)-1,0)</f>
        <v>2</v>
      </c>
      <c r="L391" s="157">
        <v>3</v>
      </c>
      <c r="M391" s="157">
        <v>3</v>
      </c>
      <c r="N391" s="153">
        <f t="shared" si="67"/>
        <v>26</v>
      </c>
      <c r="O391" s="157"/>
      <c r="P391" s="157"/>
      <c r="Q391" s="153">
        <f ca="1">OFFSET(card_type!$A$1,MATCH(card!B391,card_type!B:B,0)-1,0)</f>
        <v>1013</v>
      </c>
      <c r="R391" s="153">
        <v>1</v>
      </c>
      <c r="S391" s="157">
        <f ca="1">ROUND(IF(R391=0,0,IF(R391=1,X391*$S$1,IF(R391=2,X391*$S$1*buff的资质计算!$E$2,IF(R391=3,X391*$S$1*buff的资质计算!$E$3,0)))),0)*0</f>
        <v>0</v>
      </c>
      <c r="T391" s="153">
        <v>1</v>
      </c>
      <c r="U391" s="153">
        <f ca="1" t="shared" si="68"/>
        <v>22</v>
      </c>
      <c r="V391" s="153">
        <f ca="1">ROUND((OFFSET(卡牌辅助配置表!$O$1,MATCH(U391,卡牌辅助配置表!M:M,0)-1,0)+(N391-1)*OFFSET(卡牌辅助配置表!$P$1,MATCH(U391,卡牌辅助配置表!M:M,0)-1,0))*M391,2)</f>
        <v>95.25</v>
      </c>
      <c r="W391" s="157">
        <f ca="1">ROUND(IF(R391=0,0,IF(R391=1,X391*$W$1,IF(R391=2,X391*$W$1*buff的资质计算!$E$2,IF(R391=3,X391*$W$1*buff的资质计算!$E$3,0)))),2)</f>
        <v>16.35</v>
      </c>
      <c r="X391" s="157">
        <f ca="1" t="shared" si="69"/>
        <v>54.5</v>
      </c>
      <c r="Y391" s="157" t="e">
        <f ca="1" t="shared" si="64"/>
        <v>#VALUE!</v>
      </c>
      <c r="Z391" s="304" t="e">
        <f ca="1" t="shared" si="70"/>
        <v>#VALUE!</v>
      </c>
      <c r="AA391" s="304">
        <f ca="1">OFFSET(卡牌辅助配置表!$AD$1,MATCH(AB391,卡牌辅助配置表!AB:AB,0)-1,0)</f>
        <v>3974</v>
      </c>
      <c r="AB391" s="304">
        <f ca="1" t="shared" si="71"/>
        <v>2226</v>
      </c>
      <c r="AC391" s="153">
        <v>12</v>
      </c>
      <c r="AF391" s="153" t="str">
        <f ca="1" t="shared" si="65"/>
        <v>10130011|</v>
      </c>
      <c r="AJ391" s="205" t="str">
        <f ca="1" t="shared" si="72"/>
        <v>400023|17850|;</v>
      </c>
      <c r="AK391" s="205">
        <f ca="1">OFFSET([1]item_type!$A$1,MATCH(Q391,[1]item_type!$G:$G,0)-1,0)</f>
        <v>301013</v>
      </c>
      <c r="AL391" s="205"/>
      <c r="AM391" s="205">
        <f ca="1">IF(B391=B392,OFFSET(卡牌辅助配置表!$AE$1,MATCH(AB391,卡牌辅助配置表!AB:AB,0),0),0)</f>
        <v>17850</v>
      </c>
      <c r="AN391" s="153">
        <f ca="1" t="shared" si="73"/>
        <v>1013027</v>
      </c>
      <c r="AP391" s="153">
        <f ca="1">IF(AC391=0,0,IF(AC391=12,0,OFFSET(effect!$N$1,MATCH(K391,effect!M:M,0)-1,0)))</f>
        <v>0</v>
      </c>
    </row>
    <row r="392" spans="1:42">
      <c r="A392" s="153">
        <f ca="1" t="shared" si="66"/>
        <v>1013027</v>
      </c>
      <c r="B392" s="91" t="s">
        <v>377</v>
      </c>
      <c r="C392" s="186">
        <v>1</v>
      </c>
      <c r="D392" s="186">
        <v>5</v>
      </c>
      <c r="E392" s="165" t="s">
        <v>1050</v>
      </c>
      <c r="F392" s="179" t="s">
        <v>1052</v>
      </c>
      <c r="G392" s="186">
        <f ca="1">OFFSET(卡牌辅助配置表!$C$1,MATCH(AC392,卡牌辅助配置表!A:A,0)-1,0)</f>
        <v>0</v>
      </c>
      <c r="H392" s="186" t="e">
        <f ca="1">OFFSET(skill!$Q$1,MATCH(B392,skill!B:B,0)-1,0)</f>
        <v>#VALUE!</v>
      </c>
      <c r="I392" s="186"/>
      <c r="J392" s="186">
        <f ca="1">OFFSET(card_type!$F$1,MATCH(Q392,card_type!A:A,0)-1,0)</f>
        <v>2</v>
      </c>
      <c r="K392" s="243">
        <f ca="1">OFFSET(card_type!$G$1,MATCH(Q392,card_type!A:A,0)-1,0)</f>
        <v>2</v>
      </c>
      <c r="L392" s="157">
        <v>3</v>
      </c>
      <c r="M392" s="157">
        <v>3</v>
      </c>
      <c r="N392" s="153">
        <f t="shared" si="67"/>
        <v>27</v>
      </c>
      <c r="O392" s="157"/>
      <c r="P392" s="157"/>
      <c r="Q392" s="153">
        <f ca="1">OFFSET(card_type!$A$1,MATCH(card!B392,card_type!B:B,0)-1,0)</f>
        <v>1013</v>
      </c>
      <c r="R392" s="153">
        <v>1</v>
      </c>
      <c r="S392" s="157">
        <f ca="1">ROUND(IF(R392=0,0,IF(R392=1,X392*$S$1,IF(R392=2,X392*$S$1*buff的资质计算!$E$2,IF(R392=3,X392*$S$1*buff的资质计算!$E$3,0)))),0)*0</f>
        <v>0</v>
      </c>
      <c r="T392" s="153">
        <v>1</v>
      </c>
      <c r="U392" s="153">
        <f ca="1" t="shared" si="68"/>
        <v>22</v>
      </c>
      <c r="V392" s="153">
        <f ca="1">ROUND((OFFSET(卡牌辅助配置表!$O$1,MATCH(U392,卡牌辅助配置表!M:M,0)-1,0)+(N392-1)*OFFSET(卡牌辅助配置表!$P$1,MATCH(U392,卡牌辅助配置表!M:M,0)-1,0))*M392,2)</f>
        <v>97.8</v>
      </c>
      <c r="W392" s="157">
        <f ca="1">ROUND(IF(R392=0,0,IF(R392=1,X392*$W$1,IF(R392=2,X392*$W$1*buff的资质计算!$E$2,IF(R392=3,X392*$W$1*buff的资质计算!$E$3,0)))),2)</f>
        <v>16.5</v>
      </c>
      <c r="X392" s="157">
        <f ca="1" t="shared" si="69"/>
        <v>55</v>
      </c>
      <c r="Y392" s="157" t="e">
        <f ca="1" t="shared" si="64"/>
        <v>#VALUE!</v>
      </c>
      <c r="Z392" s="304" t="e">
        <f ca="1" t="shared" si="70"/>
        <v>#VALUE!</v>
      </c>
      <c r="AA392" s="304">
        <f ca="1">OFFSET(卡牌辅助配置表!$AD$1,MATCH(AB392,卡牌辅助配置表!AB:AB,0)-1,0)</f>
        <v>4143</v>
      </c>
      <c r="AB392" s="304">
        <f ca="1" t="shared" si="71"/>
        <v>2227</v>
      </c>
      <c r="AC392" s="153">
        <v>12</v>
      </c>
      <c r="AF392" s="153" t="str">
        <f ca="1" t="shared" si="65"/>
        <v>10130011|</v>
      </c>
      <c r="AJ392" s="205" t="str">
        <f ca="1" t="shared" si="72"/>
        <v>400023|19050|;</v>
      </c>
      <c r="AK392" s="205">
        <f ca="1">OFFSET([1]item_type!$A$1,MATCH(Q392,[1]item_type!$G:$G,0)-1,0)</f>
        <v>301013</v>
      </c>
      <c r="AL392" s="205"/>
      <c r="AM392" s="205">
        <f ca="1">IF(B392=B393,OFFSET(卡牌辅助配置表!$AE$1,MATCH(AB392,卡牌辅助配置表!AB:AB,0),0),0)</f>
        <v>19050</v>
      </c>
      <c r="AN392" s="153">
        <f ca="1" t="shared" si="73"/>
        <v>1013028</v>
      </c>
      <c r="AP392" s="153">
        <f ca="1">IF(AC392=0,0,IF(AC392=12,0,OFFSET(effect!$N$1,MATCH(K392,effect!M:M,0)-1,0)))</f>
        <v>0</v>
      </c>
    </row>
    <row r="393" spans="1:42">
      <c r="A393" s="153">
        <f ca="1" t="shared" si="66"/>
        <v>1013028</v>
      </c>
      <c r="B393" s="91" t="s">
        <v>377</v>
      </c>
      <c r="C393" s="186">
        <v>1</v>
      </c>
      <c r="D393" s="186">
        <v>5</v>
      </c>
      <c r="E393" s="165" t="s">
        <v>1050</v>
      </c>
      <c r="F393" s="179" t="s">
        <v>1052</v>
      </c>
      <c r="G393" s="186">
        <f ca="1">OFFSET(卡牌辅助配置表!$C$1,MATCH(AC393,卡牌辅助配置表!A:A,0)-1,0)</f>
        <v>0</v>
      </c>
      <c r="H393" s="186" t="e">
        <f ca="1">OFFSET(skill!$Q$1,MATCH(B393,skill!B:B,0)-1,0)</f>
        <v>#VALUE!</v>
      </c>
      <c r="I393" s="186"/>
      <c r="J393" s="186">
        <f ca="1">OFFSET(card_type!$F$1,MATCH(Q393,card_type!A:A,0)-1,0)</f>
        <v>2</v>
      </c>
      <c r="K393" s="243">
        <f ca="1">OFFSET(card_type!$G$1,MATCH(Q393,card_type!A:A,0)-1,0)</f>
        <v>2</v>
      </c>
      <c r="L393" s="157">
        <v>3</v>
      </c>
      <c r="M393" s="157">
        <v>3</v>
      </c>
      <c r="N393" s="153">
        <f t="shared" si="67"/>
        <v>28</v>
      </c>
      <c r="O393" s="157"/>
      <c r="P393" s="157"/>
      <c r="Q393" s="153">
        <f ca="1">OFFSET(card_type!$A$1,MATCH(card!B393,card_type!B:B,0)-1,0)</f>
        <v>1013</v>
      </c>
      <c r="R393" s="153">
        <v>1</v>
      </c>
      <c r="S393" s="157">
        <f ca="1">ROUND(IF(R393=0,0,IF(R393=1,X393*$S$1,IF(R393=2,X393*$S$1*buff的资质计算!$E$2,IF(R393=3,X393*$S$1*buff的资质计算!$E$3,0)))),0)*0</f>
        <v>0</v>
      </c>
      <c r="T393" s="153">
        <v>1</v>
      </c>
      <c r="U393" s="153">
        <f ca="1" t="shared" si="68"/>
        <v>22</v>
      </c>
      <c r="V393" s="153">
        <f ca="1">ROUND((OFFSET(卡牌辅助配置表!$O$1,MATCH(U393,卡牌辅助配置表!M:M,0)-1,0)+(N393-1)*OFFSET(卡牌辅助配置表!$P$1,MATCH(U393,卡牌辅助配置表!M:M,0)-1,0))*M393,2)</f>
        <v>100.35</v>
      </c>
      <c r="W393" s="157">
        <f ca="1">ROUND(IF(R393=0,0,IF(R393=1,X393*$W$1,IF(R393=2,X393*$W$1*buff的资质计算!$E$2,IF(R393=3,X393*$W$1*buff的资质计算!$E$3,0)))),2)</f>
        <v>16.65</v>
      </c>
      <c r="X393" s="157">
        <f ca="1" t="shared" si="69"/>
        <v>55.5</v>
      </c>
      <c r="Y393" s="157" t="e">
        <f ca="1" t="shared" si="64"/>
        <v>#VALUE!</v>
      </c>
      <c r="Z393" s="304" t="e">
        <f ca="1" t="shared" si="70"/>
        <v>#VALUE!</v>
      </c>
      <c r="AA393" s="304">
        <f ca="1">OFFSET(卡牌辅助配置表!$AD$1,MATCH(AB393,卡牌辅助配置表!AB:AB,0)-1,0)</f>
        <v>4312</v>
      </c>
      <c r="AB393" s="304">
        <f ca="1" t="shared" si="71"/>
        <v>2228</v>
      </c>
      <c r="AC393" s="153">
        <v>12</v>
      </c>
      <c r="AF393" s="153" t="str">
        <f ca="1" t="shared" si="65"/>
        <v>10130011|</v>
      </c>
      <c r="AJ393" s="205" t="str">
        <f ca="1" t="shared" si="72"/>
        <v>400023|20250|;</v>
      </c>
      <c r="AK393" s="205">
        <f ca="1">OFFSET([1]item_type!$A$1,MATCH(Q393,[1]item_type!$G:$G,0)-1,0)</f>
        <v>301013</v>
      </c>
      <c r="AL393" s="205"/>
      <c r="AM393" s="205">
        <f ca="1">IF(B393=B394,OFFSET(卡牌辅助配置表!$AE$1,MATCH(AB393,卡牌辅助配置表!AB:AB,0),0),0)</f>
        <v>20250</v>
      </c>
      <c r="AN393" s="153">
        <f ca="1" t="shared" si="73"/>
        <v>1013029</v>
      </c>
      <c r="AP393" s="153">
        <f ca="1">IF(AC393=0,0,IF(AC393=12,0,OFFSET(effect!$N$1,MATCH(K393,effect!M:M,0)-1,0)))</f>
        <v>0</v>
      </c>
    </row>
    <row r="394" spans="1:42">
      <c r="A394" s="153">
        <f ca="1" t="shared" si="66"/>
        <v>1013029</v>
      </c>
      <c r="B394" s="91" t="s">
        <v>377</v>
      </c>
      <c r="C394" s="186">
        <v>1</v>
      </c>
      <c r="D394" s="186">
        <v>5</v>
      </c>
      <c r="E394" s="165" t="s">
        <v>1050</v>
      </c>
      <c r="F394" s="179" t="s">
        <v>1052</v>
      </c>
      <c r="G394" s="186">
        <f ca="1">OFFSET(卡牌辅助配置表!$C$1,MATCH(AC394,卡牌辅助配置表!A:A,0)-1,0)</f>
        <v>0</v>
      </c>
      <c r="H394" s="186" t="e">
        <f ca="1">OFFSET(skill!$Q$1,MATCH(B394,skill!B:B,0)-1,0)</f>
        <v>#VALUE!</v>
      </c>
      <c r="I394" s="186"/>
      <c r="J394" s="186">
        <f ca="1">OFFSET(card_type!$F$1,MATCH(Q394,card_type!A:A,0)-1,0)</f>
        <v>2</v>
      </c>
      <c r="K394" s="243">
        <f ca="1">OFFSET(card_type!$G$1,MATCH(Q394,card_type!A:A,0)-1,0)</f>
        <v>2</v>
      </c>
      <c r="L394" s="157">
        <v>3</v>
      </c>
      <c r="M394" s="157">
        <v>3</v>
      </c>
      <c r="N394" s="153">
        <f t="shared" si="67"/>
        <v>29</v>
      </c>
      <c r="O394" s="157"/>
      <c r="P394" s="157"/>
      <c r="Q394" s="153">
        <f ca="1">OFFSET(card_type!$A$1,MATCH(card!B394,card_type!B:B,0)-1,0)</f>
        <v>1013</v>
      </c>
      <c r="R394" s="153">
        <v>1</v>
      </c>
      <c r="S394" s="157">
        <f ca="1">ROUND(IF(R394=0,0,IF(R394=1,X394*$S$1,IF(R394=2,X394*$S$1*buff的资质计算!$E$2,IF(R394=3,X394*$S$1*buff的资质计算!$E$3,0)))),0)*0</f>
        <v>0</v>
      </c>
      <c r="T394" s="153">
        <v>1</v>
      </c>
      <c r="U394" s="153">
        <f ca="1" t="shared" si="68"/>
        <v>22</v>
      </c>
      <c r="V394" s="153">
        <f ca="1">ROUND((OFFSET(卡牌辅助配置表!$O$1,MATCH(U394,卡牌辅助配置表!M:M,0)-1,0)+(N394-1)*OFFSET(卡牌辅助配置表!$P$1,MATCH(U394,卡牌辅助配置表!M:M,0)-1,0))*M394,2)</f>
        <v>102.9</v>
      </c>
      <c r="W394" s="157">
        <f ca="1">ROUND(IF(R394=0,0,IF(R394=1,X394*$W$1,IF(R394=2,X394*$W$1*buff的资质计算!$E$2,IF(R394=3,X394*$W$1*buff的资质计算!$E$3,0)))),2)</f>
        <v>16.8</v>
      </c>
      <c r="X394" s="157">
        <f ca="1" t="shared" si="69"/>
        <v>56</v>
      </c>
      <c r="Y394" s="157" t="e">
        <f ca="1" t="shared" si="64"/>
        <v>#VALUE!</v>
      </c>
      <c r="Z394" s="304" t="e">
        <f ca="1" t="shared" si="70"/>
        <v>#VALUE!</v>
      </c>
      <c r="AA394" s="304">
        <f ca="1">OFFSET(卡牌辅助配置表!$AD$1,MATCH(AB394,卡牌辅助配置表!AB:AB,0)-1,0)</f>
        <v>4481</v>
      </c>
      <c r="AB394" s="304">
        <f ca="1" t="shared" si="71"/>
        <v>2229</v>
      </c>
      <c r="AC394" s="153">
        <v>12</v>
      </c>
      <c r="AF394" s="153" t="str">
        <f ca="1" t="shared" si="65"/>
        <v>10130011|</v>
      </c>
      <c r="AJ394" s="205" t="str">
        <f ca="1" t="shared" si="72"/>
        <v>301013|30|;400023|21450|;</v>
      </c>
      <c r="AK394" s="205">
        <f ca="1">OFFSET([1]item_type!$A$1,MATCH(Q394,[1]item_type!$G:$G,0)-1,0)</f>
        <v>301013</v>
      </c>
      <c r="AL394" s="205">
        <v>30</v>
      </c>
      <c r="AM394" s="205">
        <f ca="1">IF(B394=B395,OFFSET(卡牌辅助配置表!$AE$1,MATCH(AB394,卡牌辅助配置表!AB:AB,0),0),0)</f>
        <v>21450</v>
      </c>
      <c r="AN394" s="153">
        <f ca="1" t="shared" si="73"/>
        <v>1013030</v>
      </c>
      <c r="AP394" s="153">
        <f ca="1">IF(AC394=0,0,IF(AC394=12,0,OFFSET(effect!$N$1,MATCH(K394,effect!M:M,0)-1,0)))</f>
        <v>0</v>
      </c>
    </row>
    <row r="395" spans="1:42">
      <c r="A395" s="153">
        <f ca="1" t="shared" si="66"/>
        <v>1013030</v>
      </c>
      <c r="B395" s="91" t="s">
        <v>377</v>
      </c>
      <c r="C395" s="186">
        <v>1</v>
      </c>
      <c r="D395" s="186">
        <v>5</v>
      </c>
      <c r="E395" s="165" t="s">
        <v>1050</v>
      </c>
      <c r="F395" s="179" t="s">
        <v>1052</v>
      </c>
      <c r="G395" s="186">
        <f ca="1">OFFSET(卡牌辅助配置表!$C$1,MATCH(AC395,卡牌辅助配置表!A:A,0)-1,0)</f>
        <v>0</v>
      </c>
      <c r="H395" s="186" t="e">
        <f ca="1">OFFSET(skill!$Q$1,MATCH(B395,skill!B:B,0)-1,0)</f>
        <v>#VALUE!</v>
      </c>
      <c r="I395" s="186"/>
      <c r="J395" s="186">
        <f ca="1">OFFSET(card_type!$F$1,MATCH(Q395,card_type!A:A,0)-1,0)</f>
        <v>2</v>
      </c>
      <c r="K395" s="243">
        <f ca="1">OFFSET(card_type!$G$1,MATCH(Q395,card_type!A:A,0)-1,0)</f>
        <v>2</v>
      </c>
      <c r="L395" s="157">
        <v>3</v>
      </c>
      <c r="M395" s="157">
        <v>3</v>
      </c>
      <c r="N395" s="153">
        <f t="shared" si="67"/>
        <v>30</v>
      </c>
      <c r="O395" s="157"/>
      <c r="P395" s="157"/>
      <c r="Q395" s="153">
        <f ca="1">OFFSET(card_type!$A$1,MATCH(card!B395,card_type!B:B,0)-1,0)</f>
        <v>1013</v>
      </c>
      <c r="R395" s="153">
        <v>1</v>
      </c>
      <c r="S395" s="157">
        <f ca="1">ROUND(IF(R395=0,0,IF(R395=1,X395*$S$1,IF(R395=2,X395*$S$1*buff的资质计算!$E$2,IF(R395=3,X395*$S$1*buff的资质计算!$E$3,0)))),0)*0</f>
        <v>0</v>
      </c>
      <c r="T395" s="153">
        <v>1</v>
      </c>
      <c r="U395" s="153">
        <f ca="1" t="shared" si="68"/>
        <v>22</v>
      </c>
      <c r="V395" s="153">
        <f ca="1">ROUND((OFFSET(卡牌辅助配置表!$O$1,MATCH(U395,卡牌辅助配置表!M:M,0)-1,0)+(N395-1)*OFFSET(卡牌辅助配置表!$P$1,MATCH(U395,卡牌辅助配置表!M:M,0)-1,0))*M395,2)</f>
        <v>105.45</v>
      </c>
      <c r="W395" s="157">
        <f ca="1">ROUND(IF(R395=0,0,IF(R395=1,X395*$W$1,IF(R395=2,X395*$W$1*buff的资质计算!$E$2,IF(R395=3,X395*$W$1*buff的资质计算!$E$3,0)))),2)</f>
        <v>16.95</v>
      </c>
      <c r="X395" s="157">
        <f ca="1" t="shared" si="69"/>
        <v>56.5</v>
      </c>
      <c r="Y395" s="157" t="e">
        <f ca="1" t="shared" si="64"/>
        <v>#VALUE!</v>
      </c>
      <c r="Z395" s="304" t="e">
        <f ca="1" t="shared" si="70"/>
        <v>#VALUE!</v>
      </c>
      <c r="AA395" s="304">
        <f ca="1">OFFSET(卡牌辅助配置表!$AD$1,MATCH(AB395,卡牌辅助配置表!AB:AB,0)-1,0)</f>
        <v>4650</v>
      </c>
      <c r="AB395" s="304">
        <f ca="1" t="shared" si="71"/>
        <v>2230</v>
      </c>
      <c r="AC395" s="153">
        <v>12</v>
      </c>
      <c r="AF395" s="153" t="str">
        <f ca="1" t="shared" si="65"/>
        <v>10130011|</v>
      </c>
      <c r="AJ395" s="205">
        <f ca="1" t="shared" si="72"/>
        <v>0</v>
      </c>
      <c r="AK395" s="205">
        <f ca="1">OFFSET([1]item_type!$A$1,MATCH(Q395,[1]item_type!$G:$G,0)-1,0)</f>
        <v>301013</v>
      </c>
      <c r="AL395" s="205"/>
      <c r="AM395" s="205">
        <f ca="1">IF(B395=B396,OFFSET(卡牌辅助配置表!$AE$1,MATCH(AB395,卡牌辅助配置表!AB:AB,0),0),0)</f>
        <v>0</v>
      </c>
      <c r="AN395" s="153">
        <f ca="1" t="shared" si="73"/>
        <v>0</v>
      </c>
      <c r="AP395" s="153">
        <f ca="1">IF(AC395=0,0,IF(AC395=12,0,OFFSET(effect!$N$1,MATCH(K395,effect!M:M,0)-1,0)))</f>
        <v>0</v>
      </c>
    </row>
    <row r="396" spans="1:42">
      <c r="A396" s="153">
        <f ca="1" t="shared" si="66"/>
        <v>1014001</v>
      </c>
      <c r="B396" s="91" t="s">
        <v>642</v>
      </c>
      <c r="C396" s="186">
        <v>1</v>
      </c>
      <c r="D396" s="186">
        <v>6</v>
      </c>
      <c r="E396" s="165" t="s">
        <v>1050</v>
      </c>
      <c r="F396" s="165" t="str">
        <f>"增加"&amp;skill!$O$48/100&amp;"%对敌人伤害,对自己造成"&amp;P396/100&amp;"%伤害"</f>
        <v>增加50%对敌人伤害,对自己造成30%伤害</v>
      </c>
      <c r="G396" s="186">
        <f ca="1">OFFSET(卡牌辅助配置表!$C$1,MATCH(AC396,卡牌辅助配置表!A:A,0)-1,0)</f>
        <v>0</v>
      </c>
      <c r="H396" s="186">
        <f ca="1" t="shared" ref="H396:H455" si="74">IF(R396=0,Y396,0)</f>
        <v>0</v>
      </c>
      <c r="I396" s="186"/>
      <c r="J396" s="186">
        <f ca="1">OFFSET(card_type!$F$1,MATCH(Q396,card_type!A:A,0)-1,0)</f>
        <v>2</v>
      </c>
      <c r="K396" s="243">
        <f ca="1">OFFSET(card_type!$G$1,MATCH(Q396,card_type!A:A,0)-1,0)</f>
        <v>1</v>
      </c>
      <c r="L396" s="157">
        <v>1</v>
      </c>
      <c r="M396" s="157">
        <v>1</v>
      </c>
      <c r="N396" s="153">
        <f t="shared" si="67"/>
        <v>1</v>
      </c>
      <c r="O396" s="157"/>
      <c r="P396" s="157">
        <v>3000</v>
      </c>
      <c r="Q396" s="153">
        <f ca="1">OFFSET(card_type!$A$1,MATCH(card!B396,card_type!B:B,0)-1,0)</f>
        <v>1014</v>
      </c>
      <c r="R396" s="153">
        <v>1</v>
      </c>
      <c r="S396" s="157">
        <f ca="1">ROUND(IF(R396=0,0,IF(R396=1,X396*$S$1,IF(R396=2,X396*$S$1*buff的资质计算!$E$2,IF(R396=3,X396*$S$1*buff的资质计算!$E$3,0)))),0)*0</f>
        <v>0</v>
      </c>
      <c r="T396" s="153">
        <v>1</v>
      </c>
      <c r="U396" s="153">
        <f ca="1" t="shared" si="68"/>
        <v>21</v>
      </c>
      <c r="V396" s="153">
        <f ca="1">ROUND((OFFSET(卡牌辅助配置表!$O$1,MATCH(U396,卡牌辅助配置表!M:M,0)-1,0)+(N396-1)*OFFSET(卡牌辅助配置表!$P$1,MATCH(U396,卡牌辅助配置表!M:M,0)-1,0))*M396,2)</f>
        <v>6.93</v>
      </c>
      <c r="W396" s="157">
        <f ca="1">ROUND(IF(R396=0,0,IF(R396=1,X396*$W$1,IF(R396=2,X396*$W$1*buff的资质计算!$E$2,IF(R396=3,X396*$W$1*buff的资质计算!$E$3,0)))),2)</f>
        <v>3</v>
      </c>
      <c r="X396" s="157">
        <f ca="1" t="shared" si="69"/>
        <v>10</v>
      </c>
      <c r="Y396" s="157">
        <f ca="1" t="shared" si="64"/>
        <v>10</v>
      </c>
      <c r="Z396" s="304">
        <f ca="1" t="shared" si="70"/>
        <v>10</v>
      </c>
      <c r="AA396" s="304">
        <f ca="1">OFFSET(卡牌辅助配置表!$AD$1,MATCH(AB396,卡牌辅助配置表!AB:AB,0)-1,0)</f>
        <v>42</v>
      </c>
      <c r="AB396" s="304">
        <f ca="1" t="shared" si="71"/>
        <v>2101</v>
      </c>
      <c r="AC396" s="153">
        <v>12</v>
      </c>
      <c r="AF396" s="153" t="str">
        <f ca="1" t="shared" si="65"/>
        <v>10140011|</v>
      </c>
      <c r="AJ396" s="205" t="str">
        <f ca="1" t="shared" si="72"/>
        <v>400023|700|;</v>
      </c>
      <c r="AK396" s="205">
        <f ca="1">OFFSET([1]item_type!$A$1,MATCH(Q396,[1]item_type!$G:$G,0)-1,0)</f>
        <v>301014</v>
      </c>
      <c r="AL396" s="205"/>
      <c r="AM396" s="205">
        <f ca="1">IF(B396=B397,OFFSET(卡牌辅助配置表!$AE$1,MATCH(AB396,卡牌辅助配置表!AB:AB,0),0),0)</f>
        <v>700</v>
      </c>
      <c r="AN396" s="153">
        <f ca="1" t="shared" si="73"/>
        <v>1014002</v>
      </c>
      <c r="AP396" s="153">
        <f ca="1">IF(AC396=0,0,IF(AC396=12,0,OFFSET(effect!$N$1,MATCH(K396,effect!M:M,0)-1,0)))</f>
        <v>0</v>
      </c>
    </row>
    <row r="397" spans="1:42">
      <c r="A397" s="153">
        <f ca="1" t="shared" si="66"/>
        <v>1014002</v>
      </c>
      <c r="B397" s="91" t="s">
        <v>642</v>
      </c>
      <c r="C397" s="186">
        <v>1</v>
      </c>
      <c r="D397" s="186">
        <v>6</v>
      </c>
      <c r="E397" s="165" t="s">
        <v>1050</v>
      </c>
      <c r="F397" s="165" t="str">
        <f>"增加"&amp;skill!$O$48/100&amp;"%对敌人伤害,对自己造成"&amp;P397/100&amp;"%伤害"</f>
        <v>增加50%对敌人伤害,对自己造成30%伤害</v>
      </c>
      <c r="G397" s="186">
        <f ca="1">OFFSET(卡牌辅助配置表!$C$1,MATCH(AC397,卡牌辅助配置表!A:A,0)-1,0)</f>
        <v>0</v>
      </c>
      <c r="H397" s="186">
        <f ca="1" t="shared" si="74"/>
        <v>0</v>
      </c>
      <c r="I397" s="186"/>
      <c r="J397" s="186">
        <f ca="1">OFFSET(card_type!$F$1,MATCH(Q397,card_type!A:A,0)-1,0)</f>
        <v>2</v>
      </c>
      <c r="K397" s="243">
        <f ca="1">OFFSET(card_type!$G$1,MATCH(Q397,card_type!A:A,0)-1,0)</f>
        <v>1</v>
      </c>
      <c r="L397" s="157">
        <v>1</v>
      </c>
      <c r="M397" s="157">
        <v>1</v>
      </c>
      <c r="N397" s="153">
        <f t="shared" si="67"/>
        <v>2</v>
      </c>
      <c r="O397" s="157"/>
      <c r="P397" s="157">
        <v>3000</v>
      </c>
      <c r="Q397" s="153">
        <f ca="1">OFFSET(card_type!$A$1,MATCH(card!B397,card_type!B:B,0)-1,0)</f>
        <v>1014</v>
      </c>
      <c r="R397" s="153">
        <v>1</v>
      </c>
      <c r="S397" s="157">
        <f ca="1">ROUND(IF(R397=0,0,IF(R397=1,X397*$S$1,IF(R397=2,X397*$S$1*buff的资质计算!$E$2,IF(R397=3,X397*$S$1*buff的资质计算!$E$3,0)))),0)*0</f>
        <v>0</v>
      </c>
      <c r="T397" s="153">
        <v>1</v>
      </c>
      <c r="U397" s="153">
        <f ca="1" t="shared" si="68"/>
        <v>21</v>
      </c>
      <c r="V397" s="153">
        <f ca="1">ROUND((OFFSET(卡牌辅助配置表!$O$1,MATCH(U397,卡牌辅助配置表!M:M,0)-1,0)+(N397-1)*OFFSET(卡牌辅助配置表!$P$1,MATCH(U397,卡牌辅助配置表!M:M,0)-1,0))*M397,2)</f>
        <v>7.49</v>
      </c>
      <c r="W397" s="157">
        <f ca="1">ROUND(IF(R397=0,0,IF(R397=1,X397*$W$1,IF(R397=2,X397*$W$1*buff的资质计算!$E$2,IF(R397=3,X397*$W$1*buff的资质计算!$E$3,0)))),2)</f>
        <v>3.15</v>
      </c>
      <c r="X397" s="157">
        <f ca="1" t="shared" si="69"/>
        <v>10.5</v>
      </c>
      <c r="Y397" s="157">
        <f ca="1" t="shared" si="64"/>
        <v>10.5</v>
      </c>
      <c r="Z397" s="304">
        <f ca="1" t="shared" si="70"/>
        <v>10.5</v>
      </c>
      <c r="AA397" s="304">
        <f ca="1">OFFSET(卡牌辅助配置表!$AD$1,MATCH(AB397,卡牌辅助配置表!AB:AB,0)-1,0)</f>
        <v>84</v>
      </c>
      <c r="AB397" s="304">
        <f ca="1" t="shared" si="71"/>
        <v>2102</v>
      </c>
      <c r="AC397" s="153">
        <v>12</v>
      </c>
      <c r="AF397" s="153" t="str">
        <f ca="1" t="shared" si="65"/>
        <v>10140011|</v>
      </c>
      <c r="AJ397" s="205" t="str">
        <f ca="1" t="shared" si="72"/>
        <v>400023|900|;</v>
      </c>
      <c r="AK397" s="205">
        <f ca="1">OFFSET([1]item_type!$A$1,MATCH(Q397,[1]item_type!$G:$G,0)-1,0)</f>
        <v>301014</v>
      </c>
      <c r="AL397" s="205"/>
      <c r="AM397" s="205">
        <f ca="1">IF(B397=B398,OFFSET(卡牌辅助配置表!$AE$1,MATCH(AB397,卡牌辅助配置表!AB:AB,0),0),0)</f>
        <v>900</v>
      </c>
      <c r="AN397" s="153">
        <f ca="1" t="shared" si="73"/>
        <v>1014003</v>
      </c>
      <c r="AP397" s="153">
        <f ca="1">IF(AC397=0,0,IF(AC397=12,0,OFFSET(effect!$N$1,MATCH(K397,effect!M:M,0)-1,0)))</f>
        <v>0</v>
      </c>
    </row>
    <row r="398" spans="1:42">
      <c r="A398" s="153">
        <f ca="1" t="shared" si="66"/>
        <v>1014003</v>
      </c>
      <c r="B398" s="91" t="s">
        <v>642</v>
      </c>
      <c r="C398" s="186">
        <v>1</v>
      </c>
      <c r="D398" s="186">
        <v>6</v>
      </c>
      <c r="E398" s="165" t="s">
        <v>1050</v>
      </c>
      <c r="F398" s="165" t="str">
        <f>"增加"&amp;skill!$O$48/100&amp;"%对敌人伤害,对自己造成"&amp;P398/100&amp;"%伤害"</f>
        <v>增加50%对敌人伤害,对自己造成30%伤害</v>
      </c>
      <c r="G398" s="186">
        <f ca="1">OFFSET(卡牌辅助配置表!$C$1,MATCH(AC398,卡牌辅助配置表!A:A,0)-1,0)</f>
        <v>0</v>
      </c>
      <c r="H398" s="186">
        <f ca="1" t="shared" si="74"/>
        <v>0</v>
      </c>
      <c r="I398" s="186"/>
      <c r="J398" s="186">
        <f ca="1">OFFSET(card_type!$F$1,MATCH(Q398,card_type!A:A,0)-1,0)</f>
        <v>2</v>
      </c>
      <c r="K398" s="243">
        <f ca="1">OFFSET(card_type!$G$1,MATCH(Q398,card_type!A:A,0)-1,0)</f>
        <v>1</v>
      </c>
      <c r="L398" s="157">
        <v>1</v>
      </c>
      <c r="M398" s="157">
        <v>1</v>
      </c>
      <c r="N398" s="153">
        <f t="shared" si="67"/>
        <v>3</v>
      </c>
      <c r="O398" s="157"/>
      <c r="P398" s="157">
        <v>3000</v>
      </c>
      <c r="Q398" s="153">
        <f ca="1">OFFSET(card_type!$A$1,MATCH(card!B398,card_type!B:B,0)-1,0)</f>
        <v>1014</v>
      </c>
      <c r="R398" s="153">
        <v>1</v>
      </c>
      <c r="S398" s="157">
        <f ca="1">ROUND(IF(R398=0,0,IF(R398=1,X398*$S$1,IF(R398=2,X398*$S$1*buff的资质计算!$E$2,IF(R398=3,X398*$S$1*buff的资质计算!$E$3,0)))),0)*0</f>
        <v>0</v>
      </c>
      <c r="T398" s="153">
        <v>1</v>
      </c>
      <c r="U398" s="153">
        <f ca="1" t="shared" si="68"/>
        <v>21</v>
      </c>
      <c r="V398" s="153">
        <f ca="1">ROUND((OFFSET(卡牌辅助配置表!$O$1,MATCH(U398,卡牌辅助配置表!M:M,0)-1,0)+(N398-1)*OFFSET(卡牌辅助配置表!$P$1,MATCH(U398,卡牌辅助配置表!M:M,0)-1,0))*M398,2)</f>
        <v>8.05</v>
      </c>
      <c r="W398" s="157">
        <f ca="1">ROUND(IF(R398=0,0,IF(R398=1,X398*$W$1,IF(R398=2,X398*$W$1*buff的资质计算!$E$2,IF(R398=3,X398*$W$1*buff的资质计算!$E$3,0)))),2)</f>
        <v>3.3</v>
      </c>
      <c r="X398" s="157">
        <f ca="1" t="shared" si="69"/>
        <v>11</v>
      </c>
      <c r="Y398" s="157">
        <f ca="1" t="shared" si="64"/>
        <v>11</v>
      </c>
      <c r="Z398" s="304">
        <f ca="1" t="shared" si="70"/>
        <v>11</v>
      </c>
      <c r="AA398" s="304">
        <f ca="1">OFFSET(卡牌辅助配置表!$AD$1,MATCH(AB398,卡牌辅助配置表!AB:AB,0)-1,0)</f>
        <v>126</v>
      </c>
      <c r="AB398" s="304">
        <f ca="1" t="shared" si="71"/>
        <v>2103</v>
      </c>
      <c r="AC398" s="153">
        <v>12</v>
      </c>
      <c r="AF398" s="153" t="str">
        <f ca="1" t="shared" si="65"/>
        <v>10140011|</v>
      </c>
      <c r="AJ398" s="205" t="str">
        <f ca="1" t="shared" si="72"/>
        <v>400023|1100|;</v>
      </c>
      <c r="AK398" s="205">
        <f ca="1">OFFSET([1]item_type!$A$1,MATCH(Q398,[1]item_type!$G:$G,0)-1,0)</f>
        <v>301014</v>
      </c>
      <c r="AL398" s="205"/>
      <c r="AM398" s="205">
        <f ca="1">IF(B398=B399,OFFSET(卡牌辅助配置表!$AE$1,MATCH(AB398,卡牌辅助配置表!AB:AB,0),0),0)</f>
        <v>1100</v>
      </c>
      <c r="AN398" s="153">
        <f ca="1" t="shared" si="73"/>
        <v>1014004</v>
      </c>
      <c r="AP398" s="153">
        <f ca="1">IF(AC398=0,0,IF(AC398=12,0,OFFSET(effect!$N$1,MATCH(K398,effect!M:M,0)-1,0)))</f>
        <v>0</v>
      </c>
    </row>
    <row r="399" spans="1:42">
      <c r="A399" s="153">
        <f ca="1" t="shared" si="66"/>
        <v>1014004</v>
      </c>
      <c r="B399" s="91" t="s">
        <v>642</v>
      </c>
      <c r="C399" s="186">
        <v>1</v>
      </c>
      <c r="D399" s="186">
        <v>6</v>
      </c>
      <c r="E399" s="165" t="s">
        <v>1050</v>
      </c>
      <c r="F399" s="165" t="str">
        <f>"增加"&amp;skill!$O$48/100&amp;"%对敌人伤害,对自己造成"&amp;P399/100&amp;"%伤害"</f>
        <v>增加50%对敌人伤害,对自己造成30%伤害</v>
      </c>
      <c r="G399" s="186">
        <f ca="1">OFFSET(卡牌辅助配置表!$C$1,MATCH(AC399,卡牌辅助配置表!A:A,0)-1,0)</f>
        <v>0</v>
      </c>
      <c r="H399" s="186">
        <f ca="1" t="shared" si="74"/>
        <v>0</v>
      </c>
      <c r="I399" s="186"/>
      <c r="J399" s="186">
        <f ca="1">OFFSET(card_type!$F$1,MATCH(Q399,card_type!A:A,0)-1,0)</f>
        <v>2</v>
      </c>
      <c r="K399" s="243">
        <f ca="1">OFFSET(card_type!$G$1,MATCH(Q399,card_type!A:A,0)-1,0)</f>
        <v>1</v>
      </c>
      <c r="L399" s="157">
        <v>1</v>
      </c>
      <c r="M399" s="157">
        <v>1</v>
      </c>
      <c r="N399" s="153">
        <f t="shared" si="67"/>
        <v>4</v>
      </c>
      <c r="O399" s="157"/>
      <c r="P399" s="157">
        <v>3000</v>
      </c>
      <c r="Q399" s="153">
        <f ca="1">OFFSET(card_type!$A$1,MATCH(card!B399,card_type!B:B,0)-1,0)</f>
        <v>1014</v>
      </c>
      <c r="R399" s="153">
        <v>1</v>
      </c>
      <c r="S399" s="157">
        <f ca="1">ROUND(IF(R399=0,0,IF(R399=1,X399*$S$1,IF(R399=2,X399*$S$1*buff的资质计算!$E$2,IF(R399=3,X399*$S$1*buff的资质计算!$E$3,0)))),0)*0</f>
        <v>0</v>
      </c>
      <c r="T399" s="153">
        <v>1</v>
      </c>
      <c r="U399" s="153">
        <f ca="1" t="shared" si="68"/>
        <v>21</v>
      </c>
      <c r="V399" s="153">
        <f ca="1">ROUND((OFFSET(卡牌辅助配置表!$O$1,MATCH(U399,卡牌辅助配置表!M:M,0)-1,0)+(N399-1)*OFFSET(卡牌辅助配置表!$P$1,MATCH(U399,卡牌辅助配置表!M:M,0)-1,0))*M399,2)</f>
        <v>8.61</v>
      </c>
      <c r="W399" s="157">
        <f ca="1">ROUND(IF(R399=0,0,IF(R399=1,X399*$W$1,IF(R399=2,X399*$W$1*buff的资质计算!$E$2,IF(R399=3,X399*$W$1*buff的资质计算!$E$3,0)))),2)</f>
        <v>3.45</v>
      </c>
      <c r="X399" s="157">
        <f ca="1" t="shared" si="69"/>
        <v>11.5</v>
      </c>
      <c r="Y399" s="157">
        <f ca="1" t="shared" si="64"/>
        <v>11.5</v>
      </c>
      <c r="Z399" s="304">
        <f ca="1" t="shared" si="70"/>
        <v>11.5</v>
      </c>
      <c r="AA399" s="304">
        <f ca="1">OFFSET(卡牌辅助配置表!$AD$1,MATCH(AB399,卡牌辅助配置表!AB:AB,0)-1,0)</f>
        <v>168</v>
      </c>
      <c r="AB399" s="304">
        <f ca="1" t="shared" si="71"/>
        <v>2104</v>
      </c>
      <c r="AC399" s="153">
        <v>12</v>
      </c>
      <c r="AF399" s="153" t="str">
        <f ca="1" t="shared" si="65"/>
        <v>10140011|</v>
      </c>
      <c r="AJ399" s="205" t="str">
        <f ca="1" t="shared" si="72"/>
        <v>400023|1300|;</v>
      </c>
      <c r="AK399" s="205">
        <f ca="1">OFFSET([1]item_type!$A$1,MATCH(Q399,[1]item_type!$G:$G,0)-1,0)</f>
        <v>301014</v>
      </c>
      <c r="AL399" s="205"/>
      <c r="AM399" s="205">
        <f ca="1">IF(B399=B400,OFFSET(卡牌辅助配置表!$AE$1,MATCH(AB399,卡牌辅助配置表!AB:AB,0),0),0)</f>
        <v>1300</v>
      </c>
      <c r="AN399" s="153">
        <f ca="1" t="shared" si="73"/>
        <v>1014005</v>
      </c>
      <c r="AP399" s="153">
        <f ca="1">IF(AC399=0,0,IF(AC399=12,0,OFFSET(effect!$N$1,MATCH(K399,effect!M:M,0)-1,0)))</f>
        <v>0</v>
      </c>
    </row>
    <row r="400" spans="1:42">
      <c r="A400" s="153">
        <f ca="1" t="shared" si="66"/>
        <v>1014005</v>
      </c>
      <c r="B400" s="91" t="s">
        <v>642</v>
      </c>
      <c r="C400" s="186">
        <v>1</v>
      </c>
      <c r="D400" s="186">
        <v>6</v>
      </c>
      <c r="E400" s="165" t="s">
        <v>1050</v>
      </c>
      <c r="F400" s="165" t="str">
        <f>"增加"&amp;skill!$O$48/100&amp;"%对敌人伤害,对自己造成"&amp;P400/100&amp;"%伤害"</f>
        <v>增加50%对敌人伤害,对自己造成30%伤害</v>
      </c>
      <c r="G400" s="186">
        <f ca="1">OFFSET(卡牌辅助配置表!$C$1,MATCH(AC400,卡牌辅助配置表!A:A,0)-1,0)</f>
        <v>0</v>
      </c>
      <c r="H400" s="186">
        <f ca="1" t="shared" si="74"/>
        <v>0</v>
      </c>
      <c r="I400" s="186"/>
      <c r="J400" s="186">
        <f ca="1">OFFSET(card_type!$F$1,MATCH(Q400,card_type!A:A,0)-1,0)</f>
        <v>2</v>
      </c>
      <c r="K400" s="243">
        <f ca="1">OFFSET(card_type!$G$1,MATCH(Q400,card_type!A:A,0)-1,0)</f>
        <v>1</v>
      </c>
      <c r="L400" s="157">
        <v>1</v>
      </c>
      <c r="M400" s="157">
        <v>1</v>
      </c>
      <c r="N400" s="153">
        <f t="shared" si="67"/>
        <v>5</v>
      </c>
      <c r="O400" s="157"/>
      <c r="P400" s="157">
        <v>3000</v>
      </c>
      <c r="Q400" s="153">
        <f ca="1">OFFSET(card_type!$A$1,MATCH(card!B400,card_type!B:B,0)-1,0)</f>
        <v>1014</v>
      </c>
      <c r="R400" s="153">
        <v>1</v>
      </c>
      <c r="S400" s="157">
        <f ca="1">ROUND(IF(R400=0,0,IF(R400=1,X400*$S$1,IF(R400=2,X400*$S$1*buff的资质计算!$E$2,IF(R400=3,X400*$S$1*buff的资质计算!$E$3,0)))),0)*0</f>
        <v>0</v>
      </c>
      <c r="T400" s="153">
        <v>1</v>
      </c>
      <c r="U400" s="153">
        <f ca="1" t="shared" si="68"/>
        <v>21</v>
      </c>
      <c r="V400" s="153">
        <f ca="1">ROUND((OFFSET(卡牌辅助配置表!$O$1,MATCH(U400,卡牌辅助配置表!M:M,0)-1,0)+(N400-1)*OFFSET(卡牌辅助配置表!$P$1,MATCH(U400,卡牌辅助配置表!M:M,0)-1,0))*M400,2)</f>
        <v>9.17</v>
      </c>
      <c r="W400" s="157">
        <f ca="1">ROUND(IF(R400=0,0,IF(R400=1,X400*$W$1,IF(R400=2,X400*$W$1*buff的资质计算!$E$2,IF(R400=3,X400*$W$1*buff的资质计算!$E$3,0)))),2)</f>
        <v>3.6</v>
      </c>
      <c r="X400" s="157">
        <f ca="1" t="shared" si="69"/>
        <v>12</v>
      </c>
      <c r="Y400" s="157">
        <f ca="1" t="shared" ref="Y400:Y463" si="75">X400+H400</f>
        <v>12</v>
      </c>
      <c r="Z400" s="304">
        <f ca="1" t="shared" si="70"/>
        <v>12</v>
      </c>
      <c r="AA400" s="304">
        <f ca="1">OFFSET(卡牌辅助配置表!$AD$1,MATCH(AB400,卡牌辅助配置表!AB:AB,0)-1,0)</f>
        <v>210</v>
      </c>
      <c r="AB400" s="304">
        <f ca="1" t="shared" si="71"/>
        <v>2105</v>
      </c>
      <c r="AC400" s="153">
        <v>12</v>
      </c>
      <c r="AF400" s="153" t="str">
        <f ca="1" t="shared" ref="AF400:AF463" si="76">((Q400*1000+1)*10+1)&amp;$AF$1</f>
        <v>10140011|</v>
      </c>
      <c r="AJ400" s="205" t="str">
        <f ca="1" t="shared" si="72"/>
        <v>400023|1500|;</v>
      </c>
      <c r="AK400" s="205">
        <f ca="1">OFFSET([1]item_type!$A$1,MATCH(Q400,[1]item_type!$G:$G,0)-1,0)</f>
        <v>301014</v>
      </c>
      <c r="AL400" s="205"/>
      <c r="AM400" s="205">
        <f ca="1">IF(B400=B401,OFFSET(卡牌辅助配置表!$AE$1,MATCH(AB400,卡牌辅助配置表!AB:AB,0),0),0)</f>
        <v>1500</v>
      </c>
      <c r="AN400" s="153">
        <f ca="1" t="shared" si="73"/>
        <v>1014006</v>
      </c>
      <c r="AP400" s="153">
        <f ca="1">IF(AC400=0,0,IF(AC400=12,0,OFFSET(effect!$N$1,MATCH(K400,effect!M:M,0)-1,0)))</f>
        <v>0</v>
      </c>
    </row>
    <row r="401" spans="1:42">
      <c r="A401" s="153">
        <f ca="1" t="shared" si="66"/>
        <v>1014006</v>
      </c>
      <c r="B401" s="91" t="s">
        <v>642</v>
      </c>
      <c r="C401" s="186">
        <v>1</v>
      </c>
      <c r="D401" s="186">
        <v>6</v>
      </c>
      <c r="E401" s="165" t="s">
        <v>1050</v>
      </c>
      <c r="F401" s="165" t="str">
        <f>"增加"&amp;skill!$O$48/100&amp;"%对敌人伤害,对自己造成"&amp;P401/100&amp;"%伤害"</f>
        <v>增加50%对敌人伤害,对自己造成30%伤害</v>
      </c>
      <c r="G401" s="186">
        <f ca="1">OFFSET(卡牌辅助配置表!$C$1,MATCH(AC401,卡牌辅助配置表!A:A,0)-1,0)</f>
        <v>0</v>
      </c>
      <c r="H401" s="186">
        <f ca="1" t="shared" si="74"/>
        <v>0</v>
      </c>
      <c r="I401" s="186"/>
      <c r="J401" s="186">
        <f ca="1">OFFSET(card_type!$F$1,MATCH(Q401,card_type!A:A,0)-1,0)</f>
        <v>2</v>
      </c>
      <c r="K401" s="243">
        <f ca="1">OFFSET(card_type!$G$1,MATCH(Q401,card_type!A:A,0)-1,0)</f>
        <v>1</v>
      </c>
      <c r="L401" s="157">
        <v>1</v>
      </c>
      <c r="M401" s="157">
        <v>1</v>
      </c>
      <c r="N401" s="153">
        <f t="shared" si="67"/>
        <v>6</v>
      </c>
      <c r="O401" s="157"/>
      <c r="P401" s="157">
        <v>3000</v>
      </c>
      <c r="Q401" s="153">
        <f ca="1">OFFSET(card_type!$A$1,MATCH(card!B401,card_type!B:B,0)-1,0)</f>
        <v>1014</v>
      </c>
      <c r="R401" s="153">
        <v>1</v>
      </c>
      <c r="S401" s="157">
        <f ca="1">ROUND(IF(R401=0,0,IF(R401=1,X401*$S$1,IF(R401=2,X401*$S$1*buff的资质计算!$E$2,IF(R401=3,X401*$S$1*buff的资质计算!$E$3,0)))),0)*0</f>
        <v>0</v>
      </c>
      <c r="T401" s="153">
        <v>1</v>
      </c>
      <c r="U401" s="153">
        <f ca="1" t="shared" si="68"/>
        <v>21</v>
      </c>
      <c r="V401" s="153">
        <f ca="1">ROUND((OFFSET(卡牌辅助配置表!$O$1,MATCH(U401,卡牌辅助配置表!M:M,0)-1,0)+(N401-1)*OFFSET(卡牌辅助配置表!$P$1,MATCH(U401,卡牌辅助配置表!M:M,0)-1,0))*M401,2)</f>
        <v>9.74</v>
      </c>
      <c r="W401" s="157">
        <f ca="1">ROUND(IF(R401=0,0,IF(R401=1,X401*$W$1,IF(R401=2,X401*$W$1*buff的资质计算!$E$2,IF(R401=3,X401*$W$1*buff的资质计算!$E$3,0)))),2)</f>
        <v>3.75</v>
      </c>
      <c r="X401" s="157">
        <f ca="1" t="shared" si="69"/>
        <v>12.5</v>
      </c>
      <c r="Y401" s="157">
        <f ca="1" t="shared" si="75"/>
        <v>12.5</v>
      </c>
      <c r="Z401" s="304">
        <f ca="1" t="shared" si="70"/>
        <v>12.5</v>
      </c>
      <c r="AA401" s="304">
        <f ca="1">OFFSET(卡牌辅助配置表!$AD$1,MATCH(AB401,卡牌辅助配置表!AB:AB,0)-1,0)</f>
        <v>252</v>
      </c>
      <c r="AB401" s="304">
        <f ca="1" t="shared" si="71"/>
        <v>2106</v>
      </c>
      <c r="AC401" s="153">
        <v>12</v>
      </c>
      <c r="AF401" s="153" t="str">
        <f ca="1" t="shared" si="76"/>
        <v>10140011|</v>
      </c>
      <c r="AJ401" s="205" t="str">
        <f ca="1" t="shared" si="72"/>
        <v>400023|1700|;</v>
      </c>
      <c r="AK401" s="205">
        <f ca="1">OFFSET([1]item_type!$A$1,MATCH(Q401,[1]item_type!$G:$G,0)-1,0)</f>
        <v>301014</v>
      </c>
      <c r="AL401" s="205"/>
      <c r="AM401" s="205">
        <f ca="1">IF(B401=B402,OFFSET(卡牌辅助配置表!$AE$1,MATCH(AB401,卡牌辅助配置表!AB:AB,0),0),0)</f>
        <v>1700</v>
      </c>
      <c r="AN401" s="153">
        <f ca="1" t="shared" si="73"/>
        <v>1014007</v>
      </c>
      <c r="AP401" s="153">
        <f ca="1">IF(AC401=0,0,IF(AC401=12,0,OFFSET(effect!$N$1,MATCH(K401,effect!M:M,0)-1,0)))</f>
        <v>0</v>
      </c>
    </row>
    <row r="402" spans="1:42">
      <c r="A402" s="153">
        <f ca="1" t="shared" si="66"/>
        <v>1014007</v>
      </c>
      <c r="B402" s="91" t="s">
        <v>642</v>
      </c>
      <c r="C402" s="186">
        <v>1</v>
      </c>
      <c r="D402" s="186">
        <v>6</v>
      </c>
      <c r="E402" s="165" t="s">
        <v>1050</v>
      </c>
      <c r="F402" s="165" t="str">
        <f>"增加"&amp;skill!$O$48/100&amp;"%对敌人伤害,对自己造成"&amp;P402/100&amp;"%伤害"</f>
        <v>增加50%对敌人伤害,对自己造成30%伤害</v>
      </c>
      <c r="G402" s="186">
        <f ca="1">OFFSET(卡牌辅助配置表!$C$1,MATCH(AC402,卡牌辅助配置表!A:A,0)-1,0)</f>
        <v>0</v>
      </c>
      <c r="H402" s="186">
        <f ca="1" t="shared" si="74"/>
        <v>0</v>
      </c>
      <c r="I402" s="186"/>
      <c r="J402" s="186">
        <f ca="1">OFFSET(card_type!$F$1,MATCH(Q402,card_type!A:A,0)-1,0)</f>
        <v>2</v>
      </c>
      <c r="K402" s="243">
        <f ca="1">OFFSET(card_type!$G$1,MATCH(Q402,card_type!A:A,0)-1,0)</f>
        <v>1</v>
      </c>
      <c r="L402" s="157">
        <v>1</v>
      </c>
      <c r="M402" s="157">
        <v>1</v>
      </c>
      <c r="N402" s="153">
        <f t="shared" si="67"/>
        <v>7</v>
      </c>
      <c r="O402" s="157"/>
      <c r="P402" s="157">
        <v>3000</v>
      </c>
      <c r="Q402" s="153">
        <f ca="1">OFFSET(card_type!$A$1,MATCH(card!B402,card_type!B:B,0)-1,0)</f>
        <v>1014</v>
      </c>
      <c r="R402" s="153">
        <v>1</v>
      </c>
      <c r="S402" s="157">
        <f ca="1">ROUND(IF(R402=0,0,IF(R402=1,X402*$S$1,IF(R402=2,X402*$S$1*buff的资质计算!$E$2,IF(R402=3,X402*$S$1*buff的资质计算!$E$3,0)))),0)*0</f>
        <v>0</v>
      </c>
      <c r="T402" s="153">
        <v>1</v>
      </c>
      <c r="U402" s="153">
        <f ca="1" t="shared" si="68"/>
        <v>21</v>
      </c>
      <c r="V402" s="153">
        <f ca="1">ROUND((OFFSET(卡牌辅助配置表!$O$1,MATCH(U402,卡牌辅助配置表!M:M,0)-1,0)+(N402-1)*OFFSET(卡牌辅助配置表!$P$1,MATCH(U402,卡牌辅助配置表!M:M,0)-1,0))*M402,2)</f>
        <v>10.3</v>
      </c>
      <c r="W402" s="157">
        <f ca="1">ROUND(IF(R402=0,0,IF(R402=1,X402*$W$1,IF(R402=2,X402*$W$1*buff的资质计算!$E$2,IF(R402=3,X402*$W$1*buff的资质计算!$E$3,0)))),2)</f>
        <v>3.9</v>
      </c>
      <c r="X402" s="157">
        <f ca="1" t="shared" si="69"/>
        <v>13</v>
      </c>
      <c r="Y402" s="157">
        <f ca="1" t="shared" si="75"/>
        <v>13</v>
      </c>
      <c r="Z402" s="304">
        <f ca="1" t="shared" si="70"/>
        <v>13</v>
      </c>
      <c r="AA402" s="304">
        <f ca="1">OFFSET(卡牌辅助配置表!$AD$1,MATCH(AB402,卡牌辅助配置表!AB:AB,0)-1,0)</f>
        <v>294</v>
      </c>
      <c r="AB402" s="304">
        <f ca="1" t="shared" si="71"/>
        <v>2107</v>
      </c>
      <c r="AC402" s="153">
        <v>12</v>
      </c>
      <c r="AF402" s="153" t="str">
        <f ca="1" t="shared" si="76"/>
        <v>10140011|</v>
      </c>
      <c r="AJ402" s="205" t="str">
        <f ca="1" t="shared" si="72"/>
        <v>400023|1900|;</v>
      </c>
      <c r="AK402" s="205">
        <f ca="1">OFFSET([1]item_type!$A$1,MATCH(Q402,[1]item_type!$G:$G,0)-1,0)</f>
        <v>301014</v>
      </c>
      <c r="AL402" s="205"/>
      <c r="AM402" s="205">
        <f ca="1">IF(B402=B403,OFFSET(卡牌辅助配置表!$AE$1,MATCH(AB402,卡牌辅助配置表!AB:AB,0),0),0)</f>
        <v>1900</v>
      </c>
      <c r="AN402" s="153">
        <f ca="1" t="shared" si="73"/>
        <v>1014008</v>
      </c>
      <c r="AP402" s="153">
        <f ca="1">IF(AC402=0,0,IF(AC402=12,0,OFFSET(effect!$N$1,MATCH(K402,effect!M:M,0)-1,0)))</f>
        <v>0</v>
      </c>
    </row>
    <row r="403" spans="1:42">
      <c r="A403" s="153">
        <f ca="1" t="shared" si="66"/>
        <v>1014008</v>
      </c>
      <c r="B403" s="91" t="s">
        <v>642</v>
      </c>
      <c r="C403" s="186">
        <v>1</v>
      </c>
      <c r="D403" s="186">
        <v>6</v>
      </c>
      <c r="E403" s="165" t="s">
        <v>1050</v>
      </c>
      <c r="F403" s="165" t="str">
        <f>"增加"&amp;skill!$O$48/100&amp;"%对敌人伤害,对自己造成"&amp;P403/100&amp;"%伤害"</f>
        <v>增加50%对敌人伤害,对自己造成30%伤害</v>
      </c>
      <c r="G403" s="186">
        <f ca="1">OFFSET(卡牌辅助配置表!$C$1,MATCH(AC403,卡牌辅助配置表!A:A,0)-1,0)</f>
        <v>0</v>
      </c>
      <c r="H403" s="186">
        <f ca="1" t="shared" si="74"/>
        <v>0</v>
      </c>
      <c r="I403" s="186"/>
      <c r="J403" s="186">
        <f ca="1">OFFSET(card_type!$F$1,MATCH(Q403,card_type!A:A,0)-1,0)</f>
        <v>2</v>
      </c>
      <c r="K403" s="243">
        <f ca="1">OFFSET(card_type!$G$1,MATCH(Q403,card_type!A:A,0)-1,0)</f>
        <v>1</v>
      </c>
      <c r="L403" s="157">
        <v>1</v>
      </c>
      <c r="M403" s="157">
        <v>1</v>
      </c>
      <c r="N403" s="153">
        <f t="shared" si="67"/>
        <v>8</v>
      </c>
      <c r="O403" s="157"/>
      <c r="P403" s="157">
        <v>3000</v>
      </c>
      <c r="Q403" s="153">
        <f ca="1">OFFSET(card_type!$A$1,MATCH(card!B403,card_type!B:B,0)-1,0)</f>
        <v>1014</v>
      </c>
      <c r="R403" s="153">
        <v>1</v>
      </c>
      <c r="S403" s="157">
        <f ca="1">ROUND(IF(R403=0,0,IF(R403=1,X403*$S$1,IF(R403=2,X403*$S$1*buff的资质计算!$E$2,IF(R403=3,X403*$S$1*buff的资质计算!$E$3,0)))),0)*0</f>
        <v>0</v>
      </c>
      <c r="T403" s="153">
        <v>1</v>
      </c>
      <c r="U403" s="153">
        <f ca="1" t="shared" si="68"/>
        <v>21</v>
      </c>
      <c r="V403" s="153">
        <f ca="1">ROUND((OFFSET(卡牌辅助配置表!$O$1,MATCH(U403,卡牌辅助配置表!M:M,0)-1,0)+(N403-1)*OFFSET(卡牌辅助配置表!$P$1,MATCH(U403,卡牌辅助配置表!M:M,0)-1,0))*M403,2)</f>
        <v>10.86</v>
      </c>
      <c r="W403" s="157">
        <f ca="1">ROUND(IF(R403=0,0,IF(R403=1,X403*$W$1,IF(R403=2,X403*$W$1*buff的资质计算!$E$2,IF(R403=3,X403*$W$1*buff的资质计算!$E$3,0)))),2)</f>
        <v>4.05</v>
      </c>
      <c r="X403" s="157">
        <f ca="1" t="shared" si="69"/>
        <v>13.5</v>
      </c>
      <c r="Y403" s="157">
        <f ca="1" t="shared" si="75"/>
        <v>13.5</v>
      </c>
      <c r="Z403" s="304">
        <f ca="1" t="shared" si="70"/>
        <v>13.5</v>
      </c>
      <c r="AA403" s="304">
        <f ca="1">OFFSET(卡牌辅助配置表!$AD$1,MATCH(AB403,卡牌辅助配置表!AB:AB,0)-1,0)</f>
        <v>336</v>
      </c>
      <c r="AB403" s="304">
        <f ca="1" t="shared" si="71"/>
        <v>2108</v>
      </c>
      <c r="AC403" s="153">
        <v>12</v>
      </c>
      <c r="AF403" s="153" t="str">
        <f ca="1" t="shared" si="76"/>
        <v>10140011|</v>
      </c>
      <c r="AJ403" s="205" t="str">
        <f ca="1" t="shared" si="72"/>
        <v>400023|2100|;</v>
      </c>
      <c r="AK403" s="205">
        <f ca="1">OFFSET([1]item_type!$A$1,MATCH(Q403,[1]item_type!$G:$G,0)-1,0)</f>
        <v>301014</v>
      </c>
      <c r="AL403" s="205"/>
      <c r="AM403" s="205">
        <f ca="1">IF(B403=B404,OFFSET(卡牌辅助配置表!$AE$1,MATCH(AB403,卡牌辅助配置表!AB:AB,0),0),0)</f>
        <v>2100</v>
      </c>
      <c r="AN403" s="153">
        <f ca="1" t="shared" si="73"/>
        <v>1014009</v>
      </c>
      <c r="AP403" s="153">
        <f ca="1">IF(AC403=0,0,IF(AC403=12,0,OFFSET(effect!$N$1,MATCH(K403,effect!M:M,0)-1,0)))</f>
        <v>0</v>
      </c>
    </row>
    <row r="404" spans="1:42">
      <c r="A404" s="153">
        <f ca="1" t="shared" si="66"/>
        <v>1014009</v>
      </c>
      <c r="B404" s="91" t="s">
        <v>642</v>
      </c>
      <c r="C404" s="186">
        <v>1</v>
      </c>
      <c r="D404" s="186">
        <v>6</v>
      </c>
      <c r="E404" s="165" t="s">
        <v>1050</v>
      </c>
      <c r="F404" s="165" t="str">
        <f>"增加"&amp;skill!$O$48/100&amp;"%对敌人伤害,对自己造成"&amp;P404/100&amp;"%伤害"</f>
        <v>增加50%对敌人伤害,对自己造成30%伤害</v>
      </c>
      <c r="G404" s="186">
        <f ca="1">OFFSET(卡牌辅助配置表!$C$1,MATCH(AC404,卡牌辅助配置表!A:A,0)-1,0)</f>
        <v>0</v>
      </c>
      <c r="H404" s="186">
        <f ca="1" t="shared" si="74"/>
        <v>0</v>
      </c>
      <c r="I404" s="186"/>
      <c r="J404" s="186">
        <f ca="1">OFFSET(card_type!$F$1,MATCH(Q404,card_type!A:A,0)-1,0)</f>
        <v>2</v>
      </c>
      <c r="K404" s="243">
        <f ca="1">OFFSET(card_type!$G$1,MATCH(Q404,card_type!A:A,0)-1,0)</f>
        <v>1</v>
      </c>
      <c r="L404" s="157">
        <v>1</v>
      </c>
      <c r="M404" s="157">
        <v>1</v>
      </c>
      <c r="N404" s="153">
        <f t="shared" si="67"/>
        <v>9</v>
      </c>
      <c r="O404" s="157"/>
      <c r="P404" s="157">
        <v>3000</v>
      </c>
      <c r="Q404" s="153">
        <f ca="1">OFFSET(card_type!$A$1,MATCH(card!B404,card_type!B:B,0)-1,0)</f>
        <v>1014</v>
      </c>
      <c r="R404" s="153">
        <v>1</v>
      </c>
      <c r="S404" s="157">
        <f ca="1">ROUND(IF(R404=0,0,IF(R404=1,X404*$S$1,IF(R404=2,X404*$S$1*buff的资质计算!$E$2,IF(R404=3,X404*$S$1*buff的资质计算!$E$3,0)))),0)*0</f>
        <v>0</v>
      </c>
      <c r="T404" s="153">
        <v>1</v>
      </c>
      <c r="U404" s="153">
        <f ca="1" t="shared" si="68"/>
        <v>21</v>
      </c>
      <c r="V404" s="153">
        <f ca="1">ROUND((OFFSET(卡牌辅助配置表!$O$1,MATCH(U404,卡牌辅助配置表!M:M,0)-1,0)+(N404-1)*OFFSET(卡牌辅助配置表!$P$1,MATCH(U404,卡牌辅助配置表!M:M,0)-1,0))*M404,2)</f>
        <v>11.42</v>
      </c>
      <c r="W404" s="157">
        <f ca="1">ROUND(IF(R404=0,0,IF(R404=1,X404*$W$1,IF(R404=2,X404*$W$1*buff的资质计算!$E$2,IF(R404=3,X404*$W$1*buff的资质计算!$E$3,0)))),2)</f>
        <v>4.2</v>
      </c>
      <c r="X404" s="157">
        <f ca="1" t="shared" si="69"/>
        <v>14</v>
      </c>
      <c r="Y404" s="157">
        <f ca="1" t="shared" si="75"/>
        <v>14</v>
      </c>
      <c r="Z404" s="304">
        <f ca="1" t="shared" si="70"/>
        <v>14</v>
      </c>
      <c r="AA404" s="304">
        <f ca="1">OFFSET(卡牌辅助配置表!$AD$1,MATCH(AB404,卡牌辅助配置表!AB:AB,0)-1,0)</f>
        <v>378</v>
      </c>
      <c r="AB404" s="304">
        <f ca="1" t="shared" si="71"/>
        <v>2109</v>
      </c>
      <c r="AC404" s="153">
        <v>12</v>
      </c>
      <c r="AF404" s="153" t="str">
        <f ca="1" t="shared" si="76"/>
        <v>10140011|</v>
      </c>
      <c r="AJ404" s="205" t="str">
        <f ca="1" t="shared" si="72"/>
        <v>301014|15|;400023|2300|;</v>
      </c>
      <c r="AK404" s="205">
        <f ca="1">OFFSET([1]item_type!$A$1,MATCH(Q404,[1]item_type!$G:$G,0)-1,0)</f>
        <v>301014</v>
      </c>
      <c r="AL404" s="205">
        <v>15</v>
      </c>
      <c r="AM404" s="205">
        <f ca="1">IF(B404=B405,OFFSET(卡牌辅助配置表!$AE$1,MATCH(AB404,卡牌辅助配置表!AB:AB,0),0),0)</f>
        <v>2300</v>
      </c>
      <c r="AN404" s="153">
        <f ca="1" t="shared" si="73"/>
        <v>1014010</v>
      </c>
      <c r="AP404" s="153">
        <f ca="1">IF(AC404=0,0,IF(AC404=12,0,OFFSET(effect!$N$1,MATCH(K404,effect!M:M,0)-1,0)))</f>
        <v>0</v>
      </c>
    </row>
    <row r="405" spans="1:42">
      <c r="A405" s="153">
        <f ca="1" t="shared" si="66"/>
        <v>1014010</v>
      </c>
      <c r="B405" s="91" t="s">
        <v>642</v>
      </c>
      <c r="C405" s="186">
        <v>1</v>
      </c>
      <c r="D405" s="186">
        <v>6</v>
      </c>
      <c r="E405" s="165" t="s">
        <v>1050</v>
      </c>
      <c r="F405" s="165" t="str">
        <f>"增加"&amp;skill!$O$48/100&amp;"%对敌人伤害,对自己造成"&amp;P405/100&amp;"%伤害"</f>
        <v>增加50%对敌人伤害,对自己造成30%伤害</v>
      </c>
      <c r="G405" s="186">
        <f ca="1">OFFSET(卡牌辅助配置表!$C$1,MATCH(AC405,卡牌辅助配置表!A:A,0)-1,0)</f>
        <v>0</v>
      </c>
      <c r="H405" s="186">
        <f ca="1" t="shared" si="74"/>
        <v>0</v>
      </c>
      <c r="I405" s="186"/>
      <c r="J405" s="186">
        <f ca="1">OFFSET(card_type!$F$1,MATCH(Q405,card_type!A:A,0)-1,0)</f>
        <v>2</v>
      </c>
      <c r="K405" s="243">
        <f ca="1">OFFSET(card_type!$G$1,MATCH(Q405,card_type!A:A,0)-1,0)</f>
        <v>1</v>
      </c>
      <c r="L405" s="157">
        <v>1</v>
      </c>
      <c r="M405" s="157">
        <v>1</v>
      </c>
      <c r="N405" s="153">
        <f t="shared" si="67"/>
        <v>10</v>
      </c>
      <c r="O405" s="157"/>
      <c r="P405" s="157">
        <v>3000</v>
      </c>
      <c r="Q405" s="153">
        <f ca="1">OFFSET(card_type!$A$1,MATCH(card!B405,card_type!B:B,0)-1,0)</f>
        <v>1014</v>
      </c>
      <c r="R405" s="153">
        <v>1</v>
      </c>
      <c r="S405" s="157">
        <f ca="1">ROUND(IF(R405=0,0,IF(R405=1,X405*$S$1,IF(R405=2,X405*$S$1*buff的资质计算!$E$2,IF(R405=3,X405*$S$1*buff的资质计算!$E$3,0)))),0)*0</f>
        <v>0</v>
      </c>
      <c r="T405" s="153">
        <v>1</v>
      </c>
      <c r="U405" s="153">
        <f ca="1" t="shared" si="68"/>
        <v>21</v>
      </c>
      <c r="V405" s="153">
        <f ca="1">ROUND((OFFSET(卡牌辅助配置表!$O$1,MATCH(U405,卡牌辅助配置表!M:M,0)-1,0)+(N405-1)*OFFSET(卡牌辅助配置表!$P$1,MATCH(U405,卡牌辅助配置表!M:M,0)-1,0))*M405,2)</f>
        <v>11.98</v>
      </c>
      <c r="W405" s="157">
        <f ca="1">ROUND(IF(R405=0,0,IF(R405=1,X405*$W$1,IF(R405=2,X405*$W$1*buff的资质计算!$E$2,IF(R405=3,X405*$W$1*buff的资质计算!$E$3,0)))),2)</f>
        <v>4.35</v>
      </c>
      <c r="X405" s="157">
        <f ca="1" t="shared" si="69"/>
        <v>14.5</v>
      </c>
      <c r="Y405" s="157">
        <f ca="1" t="shared" si="75"/>
        <v>14.5</v>
      </c>
      <c r="Z405" s="304">
        <f ca="1" t="shared" si="70"/>
        <v>14.5</v>
      </c>
      <c r="AA405" s="304">
        <f ca="1">OFFSET(卡牌辅助配置表!$AD$1,MATCH(AB405,卡牌辅助配置表!AB:AB,0)-1,0)</f>
        <v>420</v>
      </c>
      <c r="AB405" s="304">
        <f ca="1" t="shared" si="71"/>
        <v>2110</v>
      </c>
      <c r="AC405" s="153">
        <v>12</v>
      </c>
      <c r="AF405" s="153" t="str">
        <f ca="1" t="shared" si="76"/>
        <v>10140011|</v>
      </c>
      <c r="AJ405" s="205" t="str">
        <f ca="1" t="shared" si="72"/>
        <v>400023|2700|;</v>
      </c>
      <c r="AK405" s="205">
        <f ca="1">OFFSET([1]item_type!$A$1,MATCH(Q405,[1]item_type!$G:$G,0)-1,0)</f>
        <v>301014</v>
      </c>
      <c r="AL405" s="205"/>
      <c r="AM405" s="205">
        <f ca="1">IF(B405=B406,OFFSET(卡牌辅助配置表!$AE$1,MATCH(AB405,卡牌辅助配置表!AB:AB,0),0),0)</f>
        <v>2700</v>
      </c>
      <c r="AN405" s="153">
        <f ca="1" t="shared" si="73"/>
        <v>1014011</v>
      </c>
      <c r="AP405" s="153">
        <f ca="1">IF(AC405=0,0,IF(AC405=12,0,OFFSET(effect!$N$1,MATCH(K405,effect!M:M,0)-1,0)))</f>
        <v>0</v>
      </c>
    </row>
    <row r="406" spans="1:42">
      <c r="A406" s="153">
        <f ca="1" t="shared" si="66"/>
        <v>1014011</v>
      </c>
      <c r="B406" s="91" t="s">
        <v>642</v>
      </c>
      <c r="C406" s="186">
        <v>1</v>
      </c>
      <c r="D406" s="186">
        <v>6</v>
      </c>
      <c r="E406" s="165" t="s">
        <v>1050</v>
      </c>
      <c r="F406" s="165" t="str">
        <f>"增加"&amp;skill!$O$48/100&amp;"%对敌人伤害,对自己造成"&amp;P406/100&amp;"%伤害"</f>
        <v>增加50%对敌人伤害,对自己造成30%伤害</v>
      </c>
      <c r="G406" s="186">
        <f ca="1">OFFSET(卡牌辅助配置表!$C$1,MATCH(AC406,卡牌辅助配置表!A:A,0)-1,0)</f>
        <v>0</v>
      </c>
      <c r="H406" s="186">
        <f ca="1" t="shared" si="74"/>
        <v>0</v>
      </c>
      <c r="I406" s="186"/>
      <c r="J406" s="186">
        <f ca="1">OFFSET(card_type!$F$1,MATCH(Q406,card_type!A:A,0)-1,0)</f>
        <v>2</v>
      </c>
      <c r="K406" s="243">
        <f ca="1">OFFSET(card_type!$G$1,MATCH(Q406,card_type!A:A,0)-1,0)</f>
        <v>1</v>
      </c>
      <c r="L406" s="157">
        <v>1</v>
      </c>
      <c r="M406" s="157">
        <v>1</v>
      </c>
      <c r="N406" s="153">
        <f t="shared" si="67"/>
        <v>11</v>
      </c>
      <c r="O406" s="157"/>
      <c r="P406" s="157">
        <v>3000</v>
      </c>
      <c r="Q406" s="153">
        <f ca="1">OFFSET(card_type!$A$1,MATCH(card!B406,card_type!B:B,0)-1,0)</f>
        <v>1014</v>
      </c>
      <c r="R406" s="153">
        <v>1</v>
      </c>
      <c r="S406" s="157">
        <f ca="1">ROUND(IF(R406=0,0,IF(R406=1,X406*$S$1,IF(R406=2,X406*$S$1*buff的资质计算!$E$2,IF(R406=3,X406*$S$1*buff的资质计算!$E$3,0)))),0)*0</f>
        <v>0</v>
      </c>
      <c r="T406" s="153">
        <v>1</v>
      </c>
      <c r="U406" s="153">
        <f ca="1" t="shared" si="68"/>
        <v>21</v>
      </c>
      <c r="V406" s="153">
        <f ca="1">ROUND((OFFSET(卡牌辅助配置表!$O$1,MATCH(U406,卡牌辅助配置表!M:M,0)-1,0)+(N406-1)*OFFSET(卡牌辅助配置表!$P$1,MATCH(U406,卡牌辅助配置表!M:M,0)-1,0))*M406,2)</f>
        <v>12.54</v>
      </c>
      <c r="W406" s="157">
        <f ca="1">ROUND(IF(R406=0,0,IF(R406=1,X406*$W$1,IF(R406=2,X406*$W$1*buff的资质计算!$E$2,IF(R406=3,X406*$W$1*buff的资质计算!$E$3,0)))),2)</f>
        <v>4.5</v>
      </c>
      <c r="X406" s="157">
        <f ca="1" t="shared" si="69"/>
        <v>15</v>
      </c>
      <c r="Y406" s="157">
        <f ca="1" t="shared" si="75"/>
        <v>15</v>
      </c>
      <c r="Z406" s="304">
        <f ca="1" t="shared" si="70"/>
        <v>15</v>
      </c>
      <c r="AA406" s="304">
        <f ca="1">OFFSET(卡牌辅助配置表!$AD$1,MATCH(AB406,卡牌辅助配置表!AB:AB,0)-1,0)</f>
        <v>483</v>
      </c>
      <c r="AB406" s="304">
        <f ca="1" t="shared" si="71"/>
        <v>2111</v>
      </c>
      <c r="AC406" s="153">
        <v>12</v>
      </c>
      <c r="AF406" s="153" t="str">
        <f ca="1" t="shared" si="76"/>
        <v>10140011|</v>
      </c>
      <c r="AJ406" s="205" t="str">
        <f ca="1" t="shared" si="72"/>
        <v>400023|3100|;</v>
      </c>
      <c r="AK406" s="205">
        <f ca="1">OFFSET([1]item_type!$A$1,MATCH(Q406,[1]item_type!$G:$G,0)-1,0)</f>
        <v>301014</v>
      </c>
      <c r="AL406" s="205"/>
      <c r="AM406" s="205">
        <f ca="1">IF(B406=B407,OFFSET(卡牌辅助配置表!$AE$1,MATCH(AB406,卡牌辅助配置表!AB:AB,0),0),0)</f>
        <v>3100</v>
      </c>
      <c r="AN406" s="153">
        <f ca="1" t="shared" si="73"/>
        <v>1014012</v>
      </c>
      <c r="AP406" s="153">
        <f ca="1">IF(AC406=0,0,IF(AC406=12,0,OFFSET(effect!$N$1,MATCH(K406,effect!M:M,0)-1,0)))</f>
        <v>0</v>
      </c>
    </row>
    <row r="407" spans="1:42">
      <c r="A407" s="153">
        <f ca="1" t="shared" si="66"/>
        <v>1014012</v>
      </c>
      <c r="B407" s="91" t="s">
        <v>642</v>
      </c>
      <c r="C407" s="186">
        <v>1</v>
      </c>
      <c r="D407" s="186">
        <v>6</v>
      </c>
      <c r="E407" s="165" t="s">
        <v>1050</v>
      </c>
      <c r="F407" s="165" t="str">
        <f>"增加"&amp;skill!$O$48/100&amp;"%对敌人伤害,对自己造成"&amp;P407/100&amp;"%伤害"</f>
        <v>增加50%对敌人伤害,对自己造成30%伤害</v>
      </c>
      <c r="G407" s="186">
        <f ca="1">OFFSET(卡牌辅助配置表!$C$1,MATCH(AC407,卡牌辅助配置表!A:A,0)-1,0)</f>
        <v>0</v>
      </c>
      <c r="H407" s="186">
        <f ca="1" t="shared" si="74"/>
        <v>0</v>
      </c>
      <c r="I407" s="186"/>
      <c r="J407" s="186">
        <f ca="1">OFFSET(card_type!$F$1,MATCH(Q407,card_type!A:A,0)-1,0)</f>
        <v>2</v>
      </c>
      <c r="K407" s="243">
        <f ca="1">OFFSET(card_type!$G$1,MATCH(Q407,card_type!A:A,0)-1,0)</f>
        <v>1</v>
      </c>
      <c r="L407" s="157">
        <v>1</v>
      </c>
      <c r="M407" s="157">
        <v>1</v>
      </c>
      <c r="N407" s="153">
        <f t="shared" si="67"/>
        <v>12</v>
      </c>
      <c r="O407" s="157"/>
      <c r="P407" s="157">
        <v>3000</v>
      </c>
      <c r="Q407" s="153">
        <f ca="1">OFFSET(card_type!$A$1,MATCH(card!B407,card_type!B:B,0)-1,0)</f>
        <v>1014</v>
      </c>
      <c r="R407" s="153">
        <v>1</v>
      </c>
      <c r="S407" s="157">
        <f ca="1">ROUND(IF(R407=0,0,IF(R407=1,X407*$S$1,IF(R407=2,X407*$S$1*buff的资质计算!$E$2,IF(R407=3,X407*$S$1*buff的资质计算!$E$3,0)))),0)*0</f>
        <v>0</v>
      </c>
      <c r="T407" s="153">
        <v>1</v>
      </c>
      <c r="U407" s="153">
        <f ca="1" t="shared" si="68"/>
        <v>21</v>
      </c>
      <c r="V407" s="153">
        <f ca="1">ROUND((OFFSET(卡牌辅助配置表!$O$1,MATCH(U407,卡牌辅助配置表!M:M,0)-1,0)+(N407-1)*OFFSET(卡牌辅助配置表!$P$1,MATCH(U407,卡牌辅助配置表!M:M,0)-1,0))*M407,2)</f>
        <v>13.1</v>
      </c>
      <c r="W407" s="157">
        <f ca="1">ROUND(IF(R407=0,0,IF(R407=1,X407*$W$1,IF(R407=2,X407*$W$1*buff的资质计算!$E$2,IF(R407=3,X407*$W$1*buff的资质计算!$E$3,0)))),2)</f>
        <v>4.65</v>
      </c>
      <c r="X407" s="157">
        <f ca="1" t="shared" si="69"/>
        <v>15.5</v>
      </c>
      <c r="Y407" s="157">
        <f ca="1" t="shared" si="75"/>
        <v>15.5</v>
      </c>
      <c r="Z407" s="304">
        <f ca="1" t="shared" si="70"/>
        <v>15.5</v>
      </c>
      <c r="AA407" s="304">
        <f ca="1">OFFSET(卡牌辅助配置表!$AD$1,MATCH(AB407,卡牌辅助配置表!AB:AB,0)-1,0)</f>
        <v>546</v>
      </c>
      <c r="AB407" s="304">
        <f ca="1" t="shared" si="71"/>
        <v>2112</v>
      </c>
      <c r="AC407" s="153">
        <v>12</v>
      </c>
      <c r="AF407" s="153" t="str">
        <f ca="1" t="shared" si="76"/>
        <v>10140011|</v>
      </c>
      <c r="AJ407" s="205" t="str">
        <f ca="1" t="shared" si="72"/>
        <v>400023|3500|;</v>
      </c>
      <c r="AK407" s="205">
        <f ca="1">OFFSET([1]item_type!$A$1,MATCH(Q407,[1]item_type!$G:$G,0)-1,0)</f>
        <v>301014</v>
      </c>
      <c r="AL407" s="205"/>
      <c r="AM407" s="205">
        <f ca="1">IF(B407=B408,OFFSET(卡牌辅助配置表!$AE$1,MATCH(AB407,卡牌辅助配置表!AB:AB,0),0),0)</f>
        <v>3500</v>
      </c>
      <c r="AN407" s="153">
        <f ca="1" t="shared" si="73"/>
        <v>1014013</v>
      </c>
      <c r="AP407" s="153">
        <f ca="1">IF(AC407=0,0,IF(AC407=12,0,OFFSET(effect!$N$1,MATCH(K407,effect!M:M,0)-1,0)))</f>
        <v>0</v>
      </c>
    </row>
    <row r="408" spans="1:42">
      <c r="A408" s="153">
        <f ca="1" t="shared" si="66"/>
        <v>1014013</v>
      </c>
      <c r="B408" s="91" t="s">
        <v>642</v>
      </c>
      <c r="C408" s="186">
        <v>1</v>
      </c>
      <c r="D408" s="186">
        <v>6</v>
      </c>
      <c r="E408" s="165" t="s">
        <v>1050</v>
      </c>
      <c r="F408" s="165" t="str">
        <f>"增加"&amp;skill!$O$48/100&amp;"%对敌人伤害,对自己造成"&amp;P408/100&amp;"%伤害"</f>
        <v>增加50%对敌人伤害,对自己造成30%伤害</v>
      </c>
      <c r="G408" s="186">
        <f ca="1">OFFSET(卡牌辅助配置表!$C$1,MATCH(AC408,卡牌辅助配置表!A:A,0)-1,0)</f>
        <v>0</v>
      </c>
      <c r="H408" s="186">
        <f ca="1" t="shared" si="74"/>
        <v>0</v>
      </c>
      <c r="I408" s="186"/>
      <c r="J408" s="186">
        <f ca="1">OFFSET(card_type!$F$1,MATCH(Q408,card_type!A:A,0)-1,0)</f>
        <v>2</v>
      </c>
      <c r="K408" s="243">
        <f ca="1">OFFSET(card_type!$G$1,MATCH(Q408,card_type!A:A,0)-1,0)</f>
        <v>1</v>
      </c>
      <c r="L408" s="157">
        <v>1</v>
      </c>
      <c r="M408" s="157">
        <v>1</v>
      </c>
      <c r="N408" s="153">
        <f t="shared" si="67"/>
        <v>13</v>
      </c>
      <c r="O408" s="157"/>
      <c r="P408" s="157">
        <v>3000</v>
      </c>
      <c r="Q408" s="153">
        <f ca="1">OFFSET(card_type!$A$1,MATCH(card!B408,card_type!B:B,0)-1,0)</f>
        <v>1014</v>
      </c>
      <c r="R408" s="153">
        <v>1</v>
      </c>
      <c r="S408" s="157">
        <f ca="1">ROUND(IF(R408=0,0,IF(R408=1,X408*$S$1,IF(R408=2,X408*$S$1*buff的资质计算!$E$2,IF(R408=3,X408*$S$1*buff的资质计算!$E$3,0)))),0)*0</f>
        <v>0</v>
      </c>
      <c r="T408" s="153">
        <v>1</v>
      </c>
      <c r="U408" s="153">
        <f ca="1" t="shared" si="68"/>
        <v>21</v>
      </c>
      <c r="V408" s="153">
        <f ca="1">ROUND((OFFSET(卡牌辅助配置表!$O$1,MATCH(U408,卡牌辅助配置表!M:M,0)-1,0)+(N408-1)*OFFSET(卡牌辅助配置表!$P$1,MATCH(U408,卡牌辅助配置表!M:M,0)-1,0))*M408,2)</f>
        <v>13.66</v>
      </c>
      <c r="W408" s="157">
        <f ca="1">ROUND(IF(R408=0,0,IF(R408=1,X408*$W$1,IF(R408=2,X408*$W$1*buff的资质计算!$E$2,IF(R408=3,X408*$W$1*buff的资质计算!$E$3,0)))),2)</f>
        <v>4.8</v>
      </c>
      <c r="X408" s="157">
        <f ca="1" t="shared" si="69"/>
        <v>16</v>
      </c>
      <c r="Y408" s="157">
        <f ca="1" t="shared" si="75"/>
        <v>16</v>
      </c>
      <c r="Z408" s="304">
        <f ca="1" t="shared" si="70"/>
        <v>16</v>
      </c>
      <c r="AA408" s="304">
        <f ca="1">OFFSET(卡牌辅助配置表!$AD$1,MATCH(AB408,卡牌辅助配置表!AB:AB,0)-1,0)</f>
        <v>609</v>
      </c>
      <c r="AB408" s="304">
        <f ca="1" t="shared" si="71"/>
        <v>2113</v>
      </c>
      <c r="AC408" s="153">
        <v>12</v>
      </c>
      <c r="AF408" s="153" t="str">
        <f ca="1" t="shared" si="76"/>
        <v>10140011|</v>
      </c>
      <c r="AJ408" s="205" t="str">
        <f ca="1" t="shared" si="72"/>
        <v>400023|3900|;</v>
      </c>
      <c r="AK408" s="205">
        <f ca="1">OFFSET([1]item_type!$A$1,MATCH(Q408,[1]item_type!$G:$G,0)-1,0)</f>
        <v>301014</v>
      </c>
      <c r="AL408" s="205"/>
      <c r="AM408" s="205">
        <f ca="1">IF(B408=B409,OFFSET(卡牌辅助配置表!$AE$1,MATCH(AB408,卡牌辅助配置表!AB:AB,0),0),0)</f>
        <v>3900</v>
      </c>
      <c r="AN408" s="153">
        <f ca="1" t="shared" si="73"/>
        <v>1014014</v>
      </c>
      <c r="AP408" s="153">
        <f ca="1">IF(AC408=0,0,IF(AC408=12,0,OFFSET(effect!$N$1,MATCH(K408,effect!M:M,0)-1,0)))</f>
        <v>0</v>
      </c>
    </row>
    <row r="409" spans="1:42">
      <c r="A409" s="153">
        <f ca="1" t="shared" si="66"/>
        <v>1014014</v>
      </c>
      <c r="B409" s="91" t="s">
        <v>642</v>
      </c>
      <c r="C409" s="186">
        <v>1</v>
      </c>
      <c r="D409" s="186">
        <v>6</v>
      </c>
      <c r="E409" s="165" t="s">
        <v>1050</v>
      </c>
      <c r="F409" s="165" t="str">
        <f>"增加"&amp;skill!$O$48/100&amp;"%对敌人伤害,对自己造成"&amp;P409/100&amp;"%伤害"</f>
        <v>增加50%对敌人伤害,对自己造成30%伤害</v>
      </c>
      <c r="G409" s="186">
        <f ca="1">OFFSET(卡牌辅助配置表!$C$1,MATCH(AC409,卡牌辅助配置表!A:A,0)-1,0)</f>
        <v>0</v>
      </c>
      <c r="H409" s="186">
        <f ca="1" t="shared" si="74"/>
        <v>0</v>
      </c>
      <c r="I409" s="186"/>
      <c r="J409" s="186">
        <f ca="1">OFFSET(card_type!$F$1,MATCH(Q409,card_type!A:A,0)-1,0)</f>
        <v>2</v>
      </c>
      <c r="K409" s="243">
        <f ca="1">OFFSET(card_type!$G$1,MATCH(Q409,card_type!A:A,0)-1,0)</f>
        <v>1</v>
      </c>
      <c r="L409" s="157">
        <v>1</v>
      </c>
      <c r="M409" s="157">
        <v>1</v>
      </c>
      <c r="N409" s="153">
        <f t="shared" si="67"/>
        <v>14</v>
      </c>
      <c r="O409" s="157"/>
      <c r="P409" s="157">
        <v>3000</v>
      </c>
      <c r="Q409" s="153">
        <f ca="1">OFFSET(card_type!$A$1,MATCH(card!B409,card_type!B:B,0)-1,0)</f>
        <v>1014</v>
      </c>
      <c r="R409" s="153">
        <v>1</v>
      </c>
      <c r="S409" s="157">
        <f ca="1">ROUND(IF(R409=0,0,IF(R409=1,X409*$S$1,IF(R409=2,X409*$S$1*buff的资质计算!$E$2,IF(R409=3,X409*$S$1*buff的资质计算!$E$3,0)))),0)*0</f>
        <v>0</v>
      </c>
      <c r="T409" s="153">
        <v>1</v>
      </c>
      <c r="U409" s="153">
        <f ca="1" t="shared" si="68"/>
        <v>21</v>
      </c>
      <c r="V409" s="153">
        <f ca="1">ROUND((OFFSET(卡牌辅助配置表!$O$1,MATCH(U409,卡牌辅助配置表!M:M,0)-1,0)+(N409-1)*OFFSET(卡牌辅助配置表!$P$1,MATCH(U409,卡牌辅助配置表!M:M,0)-1,0))*M409,2)</f>
        <v>14.22</v>
      </c>
      <c r="W409" s="157">
        <f ca="1">ROUND(IF(R409=0,0,IF(R409=1,X409*$W$1,IF(R409=2,X409*$W$1*buff的资质计算!$E$2,IF(R409=3,X409*$W$1*buff的资质计算!$E$3,0)))),2)</f>
        <v>4.95</v>
      </c>
      <c r="X409" s="157">
        <f ca="1" t="shared" si="69"/>
        <v>16.5</v>
      </c>
      <c r="Y409" s="157">
        <f ca="1" t="shared" si="75"/>
        <v>16.5</v>
      </c>
      <c r="Z409" s="304">
        <f ca="1" t="shared" si="70"/>
        <v>16.5</v>
      </c>
      <c r="AA409" s="304">
        <f ca="1">OFFSET(卡牌辅助配置表!$AD$1,MATCH(AB409,卡牌辅助配置表!AB:AB,0)-1,0)</f>
        <v>672</v>
      </c>
      <c r="AB409" s="304">
        <f ca="1" t="shared" si="71"/>
        <v>2114</v>
      </c>
      <c r="AC409" s="153">
        <v>12</v>
      </c>
      <c r="AF409" s="153" t="str">
        <f ca="1" t="shared" si="76"/>
        <v>10140011|</v>
      </c>
      <c r="AJ409" s="205" t="str">
        <f ca="1" t="shared" si="72"/>
        <v>400023|4300|;</v>
      </c>
      <c r="AK409" s="205">
        <f ca="1">OFFSET([1]item_type!$A$1,MATCH(Q409,[1]item_type!$G:$G,0)-1,0)</f>
        <v>301014</v>
      </c>
      <c r="AL409" s="205"/>
      <c r="AM409" s="205">
        <f ca="1">IF(B409=B410,OFFSET(卡牌辅助配置表!$AE$1,MATCH(AB409,卡牌辅助配置表!AB:AB,0),0),0)</f>
        <v>4300</v>
      </c>
      <c r="AN409" s="153">
        <f ca="1" t="shared" si="73"/>
        <v>1014015</v>
      </c>
      <c r="AP409" s="153">
        <f ca="1">IF(AC409=0,0,IF(AC409=12,0,OFFSET(effect!$N$1,MATCH(K409,effect!M:M,0)-1,0)))</f>
        <v>0</v>
      </c>
    </row>
    <row r="410" spans="1:42">
      <c r="A410" s="153">
        <f ca="1" t="shared" si="66"/>
        <v>1014015</v>
      </c>
      <c r="B410" s="91" t="s">
        <v>642</v>
      </c>
      <c r="C410" s="186">
        <v>1</v>
      </c>
      <c r="D410" s="186">
        <v>6</v>
      </c>
      <c r="E410" s="165" t="s">
        <v>1050</v>
      </c>
      <c r="F410" s="165" t="str">
        <f>"增加"&amp;skill!$O$48/100&amp;"%对敌人伤害,对自己造成"&amp;P410/100&amp;"%伤害"</f>
        <v>增加50%对敌人伤害,对自己造成30%伤害</v>
      </c>
      <c r="G410" s="186">
        <f ca="1">OFFSET(卡牌辅助配置表!$C$1,MATCH(AC410,卡牌辅助配置表!A:A,0)-1,0)</f>
        <v>0</v>
      </c>
      <c r="H410" s="186">
        <f ca="1" t="shared" si="74"/>
        <v>0</v>
      </c>
      <c r="I410" s="186"/>
      <c r="J410" s="186">
        <f ca="1">OFFSET(card_type!$F$1,MATCH(Q410,card_type!A:A,0)-1,0)</f>
        <v>2</v>
      </c>
      <c r="K410" s="243">
        <f ca="1">OFFSET(card_type!$G$1,MATCH(Q410,card_type!A:A,0)-1,0)</f>
        <v>1</v>
      </c>
      <c r="L410" s="157">
        <v>1</v>
      </c>
      <c r="M410" s="157">
        <v>1</v>
      </c>
      <c r="N410" s="153">
        <f t="shared" si="67"/>
        <v>15</v>
      </c>
      <c r="O410" s="157"/>
      <c r="P410" s="157">
        <v>3000</v>
      </c>
      <c r="Q410" s="153">
        <f ca="1">OFFSET(card_type!$A$1,MATCH(card!B410,card_type!B:B,0)-1,0)</f>
        <v>1014</v>
      </c>
      <c r="R410" s="153">
        <v>1</v>
      </c>
      <c r="S410" s="157">
        <f ca="1">ROUND(IF(R410=0,0,IF(R410=1,X410*$S$1,IF(R410=2,X410*$S$1*buff的资质计算!$E$2,IF(R410=3,X410*$S$1*buff的资质计算!$E$3,0)))),0)*0</f>
        <v>0</v>
      </c>
      <c r="T410" s="153">
        <v>1</v>
      </c>
      <c r="U410" s="153">
        <f ca="1" t="shared" si="68"/>
        <v>21</v>
      </c>
      <c r="V410" s="153">
        <f ca="1">ROUND((OFFSET(卡牌辅助配置表!$O$1,MATCH(U410,卡牌辅助配置表!M:M,0)-1,0)+(N410-1)*OFFSET(卡牌辅助配置表!$P$1,MATCH(U410,卡牌辅助配置表!M:M,0)-1,0))*M410,2)</f>
        <v>14.78</v>
      </c>
      <c r="W410" s="157">
        <f ca="1">ROUND(IF(R410=0,0,IF(R410=1,X410*$W$1,IF(R410=2,X410*$W$1*buff的资质计算!$E$2,IF(R410=3,X410*$W$1*buff的资质计算!$E$3,0)))),2)</f>
        <v>5.1</v>
      </c>
      <c r="X410" s="157">
        <f ca="1" t="shared" si="69"/>
        <v>17</v>
      </c>
      <c r="Y410" s="157">
        <f ca="1" t="shared" si="75"/>
        <v>17</v>
      </c>
      <c r="Z410" s="304">
        <f ca="1" t="shared" si="70"/>
        <v>17</v>
      </c>
      <c r="AA410" s="304">
        <f ca="1">OFFSET(卡牌辅助配置表!$AD$1,MATCH(AB410,卡牌辅助配置表!AB:AB,0)-1,0)</f>
        <v>735</v>
      </c>
      <c r="AB410" s="304">
        <f ca="1" t="shared" si="71"/>
        <v>2115</v>
      </c>
      <c r="AC410" s="153">
        <v>12</v>
      </c>
      <c r="AF410" s="153" t="str">
        <f ca="1" t="shared" si="76"/>
        <v>10140011|</v>
      </c>
      <c r="AJ410" s="205" t="str">
        <f ca="1" t="shared" si="72"/>
        <v>400023|4700|;</v>
      </c>
      <c r="AK410" s="205">
        <f ca="1">OFFSET([1]item_type!$A$1,MATCH(Q410,[1]item_type!$G:$G,0)-1,0)</f>
        <v>301014</v>
      </c>
      <c r="AL410" s="205"/>
      <c r="AM410" s="205">
        <f ca="1">IF(B410=B411,OFFSET(卡牌辅助配置表!$AE$1,MATCH(AB410,卡牌辅助配置表!AB:AB,0),0),0)</f>
        <v>4700</v>
      </c>
      <c r="AN410" s="153">
        <f ca="1" t="shared" si="73"/>
        <v>1014016</v>
      </c>
      <c r="AP410" s="153">
        <f ca="1">IF(AC410=0,0,IF(AC410=12,0,OFFSET(effect!$N$1,MATCH(K410,effect!M:M,0)-1,0)))</f>
        <v>0</v>
      </c>
    </row>
    <row r="411" spans="1:42">
      <c r="A411" s="153">
        <f ca="1" t="shared" si="66"/>
        <v>1014016</v>
      </c>
      <c r="B411" s="91" t="s">
        <v>642</v>
      </c>
      <c r="C411" s="186">
        <v>1</v>
      </c>
      <c r="D411" s="186">
        <v>6</v>
      </c>
      <c r="E411" s="165" t="s">
        <v>1050</v>
      </c>
      <c r="F411" s="165" t="str">
        <f>"增加"&amp;skill!$O$48/100&amp;"%对敌人伤害,对自己造成"&amp;P411/100&amp;"%伤害"</f>
        <v>增加50%对敌人伤害,对自己造成30%伤害</v>
      </c>
      <c r="G411" s="186">
        <f ca="1">OFFSET(卡牌辅助配置表!$C$1,MATCH(AC411,卡牌辅助配置表!A:A,0)-1,0)</f>
        <v>0</v>
      </c>
      <c r="H411" s="186">
        <f ca="1" t="shared" si="74"/>
        <v>0</v>
      </c>
      <c r="I411" s="186"/>
      <c r="J411" s="186">
        <f ca="1">OFFSET(card_type!$F$1,MATCH(Q411,card_type!A:A,0)-1,0)</f>
        <v>2</v>
      </c>
      <c r="K411" s="243">
        <f ca="1">OFFSET(card_type!$G$1,MATCH(Q411,card_type!A:A,0)-1,0)</f>
        <v>1</v>
      </c>
      <c r="L411" s="157">
        <v>1</v>
      </c>
      <c r="M411" s="157">
        <v>1</v>
      </c>
      <c r="N411" s="153">
        <f t="shared" si="67"/>
        <v>16</v>
      </c>
      <c r="O411" s="157"/>
      <c r="P411" s="157">
        <v>3000</v>
      </c>
      <c r="Q411" s="153">
        <f ca="1">OFFSET(card_type!$A$1,MATCH(card!B411,card_type!B:B,0)-1,0)</f>
        <v>1014</v>
      </c>
      <c r="R411" s="153">
        <v>1</v>
      </c>
      <c r="S411" s="157">
        <f ca="1">ROUND(IF(R411=0,0,IF(R411=1,X411*$S$1,IF(R411=2,X411*$S$1*buff的资质计算!$E$2,IF(R411=3,X411*$S$1*buff的资质计算!$E$3,0)))),0)*0</f>
        <v>0</v>
      </c>
      <c r="T411" s="153">
        <v>1</v>
      </c>
      <c r="U411" s="153">
        <f ca="1" t="shared" si="68"/>
        <v>21</v>
      </c>
      <c r="V411" s="153">
        <f ca="1">ROUND((OFFSET(卡牌辅助配置表!$O$1,MATCH(U411,卡牌辅助配置表!M:M,0)-1,0)+(N411-1)*OFFSET(卡牌辅助配置表!$P$1,MATCH(U411,卡牌辅助配置表!M:M,0)-1,0))*M411,2)</f>
        <v>15.35</v>
      </c>
      <c r="W411" s="157">
        <f ca="1">ROUND(IF(R411=0,0,IF(R411=1,X411*$W$1,IF(R411=2,X411*$W$1*buff的资质计算!$E$2,IF(R411=3,X411*$W$1*buff的资质计算!$E$3,0)))),2)</f>
        <v>5.25</v>
      </c>
      <c r="X411" s="157">
        <f ca="1" t="shared" si="69"/>
        <v>17.5</v>
      </c>
      <c r="Y411" s="157">
        <f ca="1" t="shared" si="75"/>
        <v>17.5</v>
      </c>
      <c r="Z411" s="304">
        <f ca="1" t="shared" si="70"/>
        <v>17.5</v>
      </c>
      <c r="AA411" s="304">
        <f ca="1">OFFSET(卡牌辅助配置表!$AD$1,MATCH(AB411,卡牌辅助配置表!AB:AB,0)-1,0)</f>
        <v>798</v>
      </c>
      <c r="AB411" s="304">
        <f ca="1" t="shared" si="71"/>
        <v>2116</v>
      </c>
      <c r="AC411" s="153">
        <v>12</v>
      </c>
      <c r="AF411" s="153" t="str">
        <f ca="1" t="shared" si="76"/>
        <v>10140011|</v>
      </c>
      <c r="AJ411" s="205" t="str">
        <f ca="1" t="shared" si="72"/>
        <v>400023|5100|;</v>
      </c>
      <c r="AK411" s="205">
        <f ca="1">OFFSET([1]item_type!$A$1,MATCH(Q411,[1]item_type!$G:$G,0)-1,0)</f>
        <v>301014</v>
      </c>
      <c r="AL411" s="205"/>
      <c r="AM411" s="205">
        <f ca="1">IF(B411=B412,OFFSET(卡牌辅助配置表!$AE$1,MATCH(AB411,卡牌辅助配置表!AB:AB,0),0),0)</f>
        <v>5100</v>
      </c>
      <c r="AN411" s="153">
        <f ca="1" t="shared" si="73"/>
        <v>1014017</v>
      </c>
      <c r="AP411" s="153">
        <f ca="1">IF(AC411=0,0,IF(AC411=12,0,OFFSET(effect!$N$1,MATCH(K411,effect!M:M,0)-1,0)))</f>
        <v>0</v>
      </c>
    </row>
    <row r="412" spans="1:42">
      <c r="A412" s="153">
        <f ca="1" t="shared" si="66"/>
        <v>1014017</v>
      </c>
      <c r="B412" s="91" t="s">
        <v>642</v>
      </c>
      <c r="C412" s="186">
        <v>1</v>
      </c>
      <c r="D412" s="186">
        <v>6</v>
      </c>
      <c r="E412" s="165" t="s">
        <v>1050</v>
      </c>
      <c r="F412" s="165" t="str">
        <f>"增加"&amp;skill!$O$48/100&amp;"%对敌人伤害,对自己造成"&amp;P412/100&amp;"%伤害"</f>
        <v>增加50%对敌人伤害,对自己造成30%伤害</v>
      </c>
      <c r="G412" s="186">
        <f ca="1">OFFSET(卡牌辅助配置表!$C$1,MATCH(AC412,卡牌辅助配置表!A:A,0)-1,0)</f>
        <v>0</v>
      </c>
      <c r="H412" s="186">
        <f ca="1" t="shared" si="74"/>
        <v>0</v>
      </c>
      <c r="I412" s="186"/>
      <c r="J412" s="186">
        <f ca="1">OFFSET(card_type!$F$1,MATCH(Q412,card_type!A:A,0)-1,0)</f>
        <v>2</v>
      </c>
      <c r="K412" s="243">
        <f ca="1">OFFSET(card_type!$G$1,MATCH(Q412,card_type!A:A,0)-1,0)</f>
        <v>1</v>
      </c>
      <c r="L412" s="157">
        <v>1</v>
      </c>
      <c r="M412" s="157">
        <v>1</v>
      </c>
      <c r="N412" s="153">
        <f t="shared" si="67"/>
        <v>17</v>
      </c>
      <c r="O412" s="157"/>
      <c r="P412" s="157">
        <v>3000</v>
      </c>
      <c r="Q412" s="153">
        <f ca="1">OFFSET(card_type!$A$1,MATCH(card!B412,card_type!B:B,0)-1,0)</f>
        <v>1014</v>
      </c>
      <c r="R412" s="153">
        <v>1</v>
      </c>
      <c r="S412" s="157">
        <f ca="1">ROUND(IF(R412=0,0,IF(R412=1,X412*$S$1,IF(R412=2,X412*$S$1*buff的资质计算!$E$2,IF(R412=3,X412*$S$1*buff的资质计算!$E$3,0)))),0)*0</f>
        <v>0</v>
      </c>
      <c r="T412" s="153">
        <v>1</v>
      </c>
      <c r="U412" s="153">
        <f ca="1" t="shared" si="68"/>
        <v>21</v>
      </c>
      <c r="V412" s="153">
        <f ca="1">ROUND((OFFSET(卡牌辅助配置表!$O$1,MATCH(U412,卡牌辅助配置表!M:M,0)-1,0)+(N412-1)*OFFSET(卡牌辅助配置表!$P$1,MATCH(U412,卡牌辅助配置表!M:M,0)-1,0))*M412,2)</f>
        <v>15.91</v>
      </c>
      <c r="W412" s="157">
        <f ca="1">ROUND(IF(R412=0,0,IF(R412=1,X412*$W$1,IF(R412=2,X412*$W$1*buff的资质计算!$E$2,IF(R412=3,X412*$W$1*buff的资质计算!$E$3,0)))),2)</f>
        <v>5.4</v>
      </c>
      <c r="X412" s="157">
        <f ca="1" t="shared" si="69"/>
        <v>18</v>
      </c>
      <c r="Y412" s="157">
        <f ca="1" t="shared" si="75"/>
        <v>18</v>
      </c>
      <c r="Z412" s="304">
        <f ca="1" t="shared" si="70"/>
        <v>18</v>
      </c>
      <c r="AA412" s="304">
        <f ca="1">OFFSET(卡牌辅助配置表!$AD$1,MATCH(AB412,卡牌辅助配置表!AB:AB,0)-1,0)</f>
        <v>861</v>
      </c>
      <c r="AB412" s="304">
        <f ca="1" t="shared" si="71"/>
        <v>2117</v>
      </c>
      <c r="AC412" s="153">
        <v>12</v>
      </c>
      <c r="AF412" s="153" t="str">
        <f ca="1" t="shared" si="76"/>
        <v>10140011|</v>
      </c>
      <c r="AJ412" s="205" t="str">
        <f ca="1" t="shared" si="72"/>
        <v>400023|5500|;</v>
      </c>
      <c r="AK412" s="205">
        <f ca="1">OFFSET([1]item_type!$A$1,MATCH(Q412,[1]item_type!$G:$G,0)-1,0)</f>
        <v>301014</v>
      </c>
      <c r="AL412" s="205"/>
      <c r="AM412" s="205">
        <f ca="1">IF(B412=B413,OFFSET(卡牌辅助配置表!$AE$1,MATCH(AB412,卡牌辅助配置表!AB:AB,0),0),0)</f>
        <v>5500</v>
      </c>
      <c r="AN412" s="153">
        <f ca="1" t="shared" si="73"/>
        <v>1014018</v>
      </c>
      <c r="AP412" s="153">
        <f ca="1">IF(AC412=0,0,IF(AC412=12,0,OFFSET(effect!$N$1,MATCH(K412,effect!M:M,0)-1,0)))</f>
        <v>0</v>
      </c>
    </row>
    <row r="413" spans="1:42">
      <c r="A413" s="153">
        <f ca="1" t="shared" si="66"/>
        <v>1014018</v>
      </c>
      <c r="B413" s="91" t="s">
        <v>642</v>
      </c>
      <c r="C413" s="186">
        <v>1</v>
      </c>
      <c r="D413" s="186">
        <v>6</v>
      </c>
      <c r="E413" s="165" t="s">
        <v>1050</v>
      </c>
      <c r="F413" s="165" t="str">
        <f>"增加"&amp;skill!$O$48/100&amp;"%对敌人伤害,对自己造成"&amp;P413/100&amp;"%伤害"</f>
        <v>增加50%对敌人伤害,对自己造成30%伤害</v>
      </c>
      <c r="G413" s="186">
        <f ca="1">OFFSET(卡牌辅助配置表!$C$1,MATCH(AC413,卡牌辅助配置表!A:A,0)-1,0)</f>
        <v>0</v>
      </c>
      <c r="H413" s="186">
        <f ca="1" t="shared" si="74"/>
        <v>0</v>
      </c>
      <c r="I413" s="186"/>
      <c r="J413" s="186">
        <f ca="1">OFFSET(card_type!$F$1,MATCH(Q413,card_type!A:A,0)-1,0)</f>
        <v>2</v>
      </c>
      <c r="K413" s="243">
        <f ca="1">OFFSET(card_type!$G$1,MATCH(Q413,card_type!A:A,0)-1,0)</f>
        <v>1</v>
      </c>
      <c r="L413" s="157">
        <v>1</v>
      </c>
      <c r="M413" s="157">
        <v>1</v>
      </c>
      <c r="N413" s="153">
        <f t="shared" si="67"/>
        <v>18</v>
      </c>
      <c r="O413" s="157"/>
      <c r="P413" s="157">
        <v>3000</v>
      </c>
      <c r="Q413" s="153">
        <f ca="1">OFFSET(card_type!$A$1,MATCH(card!B413,card_type!B:B,0)-1,0)</f>
        <v>1014</v>
      </c>
      <c r="R413" s="153">
        <v>1</v>
      </c>
      <c r="S413" s="157">
        <f ca="1">ROUND(IF(R413=0,0,IF(R413=1,X413*$S$1,IF(R413=2,X413*$S$1*buff的资质计算!$E$2,IF(R413=3,X413*$S$1*buff的资质计算!$E$3,0)))),0)*0</f>
        <v>0</v>
      </c>
      <c r="T413" s="153">
        <v>1</v>
      </c>
      <c r="U413" s="153">
        <f ca="1" t="shared" si="68"/>
        <v>21</v>
      </c>
      <c r="V413" s="153">
        <f ca="1">ROUND((OFFSET(卡牌辅助配置表!$O$1,MATCH(U413,卡牌辅助配置表!M:M,0)-1,0)+(N413-1)*OFFSET(卡牌辅助配置表!$P$1,MATCH(U413,卡牌辅助配置表!M:M,0)-1,0))*M413,2)</f>
        <v>16.47</v>
      </c>
      <c r="W413" s="157">
        <f ca="1">ROUND(IF(R413=0,0,IF(R413=1,X413*$W$1,IF(R413=2,X413*$W$1*buff的资质计算!$E$2,IF(R413=3,X413*$W$1*buff的资质计算!$E$3,0)))),2)</f>
        <v>5.55</v>
      </c>
      <c r="X413" s="157">
        <f ca="1" t="shared" si="69"/>
        <v>18.5</v>
      </c>
      <c r="Y413" s="157">
        <f ca="1" t="shared" si="75"/>
        <v>18.5</v>
      </c>
      <c r="Z413" s="304">
        <f ca="1" t="shared" si="70"/>
        <v>18.5</v>
      </c>
      <c r="AA413" s="304">
        <f ca="1">OFFSET(卡牌辅助配置表!$AD$1,MATCH(AB413,卡牌辅助配置表!AB:AB,0)-1,0)</f>
        <v>924</v>
      </c>
      <c r="AB413" s="304">
        <f ca="1" t="shared" si="71"/>
        <v>2118</v>
      </c>
      <c r="AC413" s="153">
        <v>12</v>
      </c>
      <c r="AF413" s="153" t="str">
        <f ca="1" t="shared" si="76"/>
        <v>10140011|</v>
      </c>
      <c r="AJ413" s="205" t="str">
        <f ca="1" t="shared" si="72"/>
        <v>400023|5900|;</v>
      </c>
      <c r="AK413" s="205">
        <f ca="1">OFFSET([1]item_type!$A$1,MATCH(Q413,[1]item_type!$G:$G,0)-1,0)</f>
        <v>301014</v>
      </c>
      <c r="AL413" s="205"/>
      <c r="AM413" s="205">
        <f ca="1">IF(B413=B414,OFFSET(卡牌辅助配置表!$AE$1,MATCH(AB413,卡牌辅助配置表!AB:AB,0),0),0)</f>
        <v>5900</v>
      </c>
      <c r="AN413" s="153">
        <f ca="1" t="shared" si="73"/>
        <v>1014019</v>
      </c>
      <c r="AP413" s="153">
        <f ca="1">IF(AC413=0,0,IF(AC413=12,0,OFFSET(effect!$N$1,MATCH(K413,effect!M:M,0)-1,0)))</f>
        <v>0</v>
      </c>
    </row>
    <row r="414" spans="1:42">
      <c r="A414" s="153">
        <f ca="1" t="shared" si="66"/>
        <v>1014019</v>
      </c>
      <c r="B414" s="91" t="s">
        <v>642</v>
      </c>
      <c r="C414" s="186">
        <v>1</v>
      </c>
      <c r="D414" s="186">
        <v>6</v>
      </c>
      <c r="E414" s="165" t="s">
        <v>1050</v>
      </c>
      <c r="F414" s="165" t="str">
        <f>"增加"&amp;skill!$O$48/100&amp;"%对敌人伤害,对自己造成"&amp;P414/100&amp;"%伤害"</f>
        <v>增加50%对敌人伤害,对自己造成30%伤害</v>
      </c>
      <c r="G414" s="186">
        <f ca="1">OFFSET(卡牌辅助配置表!$C$1,MATCH(AC414,卡牌辅助配置表!A:A,0)-1,0)</f>
        <v>0</v>
      </c>
      <c r="H414" s="186">
        <f ca="1" t="shared" si="74"/>
        <v>0</v>
      </c>
      <c r="I414" s="186"/>
      <c r="J414" s="186">
        <f ca="1">OFFSET(card_type!$F$1,MATCH(Q414,card_type!A:A,0)-1,0)</f>
        <v>2</v>
      </c>
      <c r="K414" s="243">
        <f ca="1">OFFSET(card_type!$G$1,MATCH(Q414,card_type!A:A,0)-1,0)</f>
        <v>1</v>
      </c>
      <c r="L414" s="157">
        <v>1</v>
      </c>
      <c r="M414" s="157">
        <v>1</v>
      </c>
      <c r="N414" s="153">
        <f t="shared" si="67"/>
        <v>19</v>
      </c>
      <c r="O414" s="157"/>
      <c r="P414" s="157">
        <v>3000</v>
      </c>
      <c r="Q414" s="153">
        <f ca="1">OFFSET(card_type!$A$1,MATCH(card!B414,card_type!B:B,0)-1,0)</f>
        <v>1014</v>
      </c>
      <c r="R414" s="153">
        <v>1</v>
      </c>
      <c r="S414" s="157">
        <f ca="1">ROUND(IF(R414=0,0,IF(R414=1,X414*$S$1,IF(R414=2,X414*$S$1*buff的资质计算!$E$2,IF(R414=3,X414*$S$1*buff的资质计算!$E$3,0)))),0)*0</f>
        <v>0</v>
      </c>
      <c r="T414" s="153">
        <v>1</v>
      </c>
      <c r="U414" s="153">
        <f ca="1" t="shared" si="68"/>
        <v>21</v>
      </c>
      <c r="V414" s="153">
        <f ca="1">ROUND((OFFSET(卡牌辅助配置表!$O$1,MATCH(U414,卡牌辅助配置表!M:M,0)-1,0)+(N414-1)*OFFSET(卡牌辅助配置表!$P$1,MATCH(U414,卡牌辅助配置表!M:M,0)-1,0))*M414,2)</f>
        <v>17.03</v>
      </c>
      <c r="W414" s="157">
        <f ca="1">ROUND(IF(R414=0,0,IF(R414=1,X414*$W$1,IF(R414=2,X414*$W$1*buff的资质计算!$E$2,IF(R414=3,X414*$W$1*buff的资质计算!$E$3,0)))),2)</f>
        <v>5.7</v>
      </c>
      <c r="X414" s="157">
        <f ca="1" t="shared" si="69"/>
        <v>19</v>
      </c>
      <c r="Y414" s="157">
        <f ca="1" t="shared" si="75"/>
        <v>19</v>
      </c>
      <c r="Z414" s="304">
        <f ca="1" t="shared" si="70"/>
        <v>19</v>
      </c>
      <c r="AA414" s="304">
        <f ca="1">OFFSET(卡牌辅助配置表!$AD$1,MATCH(AB414,卡牌辅助配置表!AB:AB,0)-1,0)</f>
        <v>987</v>
      </c>
      <c r="AB414" s="304">
        <f ca="1" t="shared" si="71"/>
        <v>2119</v>
      </c>
      <c r="AC414" s="153">
        <v>12</v>
      </c>
      <c r="AF414" s="153" t="str">
        <f ca="1" t="shared" si="76"/>
        <v>10140011|</v>
      </c>
      <c r="AJ414" s="205" t="str">
        <f ca="1" t="shared" si="72"/>
        <v>301014|20|;400023|6300|;</v>
      </c>
      <c r="AK414" s="205">
        <f ca="1">OFFSET([1]item_type!$A$1,MATCH(Q414,[1]item_type!$G:$G,0)-1,0)</f>
        <v>301014</v>
      </c>
      <c r="AL414" s="205">
        <v>20</v>
      </c>
      <c r="AM414" s="205">
        <f ca="1">IF(B414=B415,OFFSET(卡牌辅助配置表!$AE$1,MATCH(AB414,卡牌辅助配置表!AB:AB,0),0),0)</f>
        <v>6300</v>
      </c>
      <c r="AN414" s="153">
        <f ca="1" t="shared" si="73"/>
        <v>1014020</v>
      </c>
      <c r="AP414" s="153">
        <f ca="1">IF(AC414=0,0,IF(AC414=12,0,OFFSET(effect!$N$1,MATCH(K414,effect!M:M,0)-1,0)))</f>
        <v>0</v>
      </c>
    </row>
    <row r="415" spans="1:42">
      <c r="A415" s="153">
        <f ca="1" t="shared" si="66"/>
        <v>1014020</v>
      </c>
      <c r="B415" s="91" t="s">
        <v>642</v>
      </c>
      <c r="C415" s="186">
        <v>1</v>
      </c>
      <c r="D415" s="186">
        <v>6</v>
      </c>
      <c r="E415" s="165" t="s">
        <v>1050</v>
      </c>
      <c r="F415" s="165" t="str">
        <f>"增加"&amp;skill!$O$48/100&amp;"%对敌人伤害,对自己造成"&amp;P415/100&amp;"%伤害"</f>
        <v>增加50%对敌人伤害,对自己造成30%伤害</v>
      </c>
      <c r="G415" s="186">
        <f ca="1">OFFSET(卡牌辅助配置表!$C$1,MATCH(AC415,卡牌辅助配置表!A:A,0)-1,0)</f>
        <v>0</v>
      </c>
      <c r="H415" s="186">
        <f ca="1" t="shared" si="74"/>
        <v>0</v>
      </c>
      <c r="I415" s="186"/>
      <c r="J415" s="186">
        <f ca="1">OFFSET(card_type!$F$1,MATCH(Q415,card_type!A:A,0)-1,0)</f>
        <v>2</v>
      </c>
      <c r="K415" s="243">
        <f ca="1">OFFSET(card_type!$G$1,MATCH(Q415,card_type!A:A,0)-1,0)</f>
        <v>1</v>
      </c>
      <c r="L415" s="157">
        <v>1</v>
      </c>
      <c r="M415" s="157">
        <v>1</v>
      </c>
      <c r="N415" s="153">
        <f t="shared" si="67"/>
        <v>20</v>
      </c>
      <c r="O415" s="157"/>
      <c r="P415" s="157">
        <v>3000</v>
      </c>
      <c r="Q415" s="153">
        <f ca="1">OFFSET(card_type!$A$1,MATCH(card!B415,card_type!B:B,0)-1,0)</f>
        <v>1014</v>
      </c>
      <c r="R415" s="153">
        <v>1</v>
      </c>
      <c r="S415" s="157">
        <f ca="1">ROUND(IF(R415=0,0,IF(R415=1,X415*$S$1,IF(R415=2,X415*$S$1*buff的资质计算!$E$2,IF(R415=3,X415*$S$1*buff的资质计算!$E$3,0)))),0)*0</f>
        <v>0</v>
      </c>
      <c r="T415" s="153">
        <v>1</v>
      </c>
      <c r="U415" s="153">
        <f ca="1" t="shared" si="68"/>
        <v>21</v>
      </c>
      <c r="V415" s="153">
        <f ca="1">ROUND((OFFSET(卡牌辅助配置表!$O$1,MATCH(U415,卡牌辅助配置表!M:M,0)-1,0)+(N415-1)*OFFSET(卡牌辅助配置表!$P$1,MATCH(U415,卡牌辅助配置表!M:M,0)-1,0))*M415,2)</f>
        <v>17.59</v>
      </c>
      <c r="W415" s="157">
        <f ca="1">ROUND(IF(R415=0,0,IF(R415=1,X415*$W$1,IF(R415=2,X415*$W$1*buff的资质计算!$E$2,IF(R415=3,X415*$W$1*buff的资质计算!$E$3,0)))),2)</f>
        <v>5.85</v>
      </c>
      <c r="X415" s="157">
        <f ca="1" t="shared" si="69"/>
        <v>19.5</v>
      </c>
      <c r="Y415" s="157">
        <f ca="1" t="shared" si="75"/>
        <v>19.5</v>
      </c>
      <c r="Z415" s="304">
        <f ca="1" t="shared" si="70"/>
        <v>19.5</v>
      </c>
      <c r="AA415" s="304">
        <f ca="1">OFFSET(卡牌辅助配置表!$AD$1,MATCH(AB415,卡牌辅助配置表!AB:AB,0)-1,0)</f>
        <v>1050</v>
      </c>
      <c r="AB415" s="304">
        <f ca="1" t="shared" si="71"/>
        <v>2120</v>
      </c>
      <c r="AC415" s="153">
        <v>12</v>
      </c>
      <c r="AF415" s="153" t="str">
        <f ca="1" t="shared" si="76"/>
        <v>10140011|</v>
      </c>
      <c r="AJ415" s="205" t="str">
        <f ca="1" t="shared" si="72"/>
        <v>400023|7100|;</v>
      </c>
      <c r="AK415" s="205">
        <f ca="1">OFFSET([1]item_type!$A$1,MATCH(Q415,[1]item_type!$G:$G,0)-1,0)</f>
        <v>301014</v>
      </c>
      <c r="AL415" s="205"/>
      <c r="AM415" s="205">
        <f ca="1">IF(B415=B416,OFFSET(卡牌辅助配置表!$AE$1,MATCH(AB415,卡牌辅助配置表!AB:AB,0),0),0)</f>
        <v>7100</v>
      </c>
      <c r="AN415" s="153">
        <f ca="1" t="shared" si="73"/>
        <v>1014021</v>
      </c>
      <c r="AP415" s="153">
        <f ca="1">IF(AC415=0,0,IF(AC415=12,0,OFFSET(effect!$N$1,MATCH(K415,effect!M:M,0)-1,0)))</f>
        <v>0</v>
      </c>
    </row>
    <row r="416" spans="1:42">
      <c r="A416" s="153">
        <f ca="1" t="shared" si="66"/>
        <v>1014021</v>
      </c>
      <c r="B416" s="91" t="s">
        <v>642</v>
      </c>
      <c r="C416" s="186">
        <v>1</v>
      </c>
      <c r="D416" s="186">
        <v>6</v>
      </c>
      <c r="E416" s="165" t="s">
        <v>1050</v>
      </c>
      <c r="F416" s="165" t="str">
        <f>"增加"&amp;skill!$O$48/100&amp;"%对敌人伤害,对自己造成"&amp;P416/100&amp;"%伤害"</f>
        <v>增加50%对敌人伤害,对自己造成30%伤害</v>
      </c>
      <c r="G416" s="186">
        <f ca="1">OFFSET(卡牌辅助配置表!$C$1,MATCH(AC416,卡牌辅助配置表!A:A,0)-1,0)</f>
        <v>0</v>
      </c>
      <c r="H416" s="186">
        <f ca="1" t="shared" si="74"/>
        <v>0</v>
      </c>
      <c r="I416" s="186"/>
      <c r="J416" s="186">
        <f ca="1">OFFSET(card_type!$F$1,MATCH(Q416,card_type!A:A,0)-1,0)</f>
        <v>2</v>
      </c>
      <c r="K416" s="243">
        <f ca="1">OFFSET(card_type!$G$1,MATCH(Q416,card_type!A:A,0)-1,0)</f>
        <v>1</v>
      </c>
      <c r="L416" s="157">
        <v>1</v>
      </c>
      <c r="M416" s="157">
        <v>1</v>
      </c>
      <c r="N416" s="153">
        <f t="shared" si="67"/>
        <v>21</v>
      </c>
      <c r="O416" s="157"/>
      <c r="P416" s="157">
        <v>3000</v>
      </c>
      <c r="Q416" s="153">
        <f ca="1">OFFSET(card_type!$A$1,MATCH(card!B416,card_type!B:B,0)-1,0)</f>
        <v>1014</v>
      </c>
      <c r="R416" s="153">
        <v>1</v>
      </c>
      <c r="S416" s="157">
        <f ca="1">ROUND(IF(R416=0,0,IF(R416=1,X416*$S$1,IF(R416=2,X416*$S$1*buff的资质计算!$E$2,IF(R416=3,X416*$S$1*buff的资质计算!$E$3,0)))),0)*0</f>
        <v>0</v>
      </c>
      <c r="T416" s="153">
        <v>1</v>
      </c>
      <c r="U416" s="153">
        <f ca="1" t="shared" si="68"/>
        <v>21</v>
      </c>
      <c r="V416" s="153">
        <f ca="1">ROUND((OFFSET(卡牌辅助配置表!$O$1,MATCH(U416,卡牌辅助配置表!M:M,0)-1,0)+(N416-1)*OFFSET(卡牌辅助配置表!$P$1,MATCH(U416,卡牌辅助配置表!M:M,0)-1,0))*M416,2)</f>
        <v>18.15</v>
      </c>
      <c r="W416" s="157">
        <f ca="1">ROUND(IF(R416=0,0,IF(R416=1,X416*$W$1,IF(R416=2,X416*$W$1*buff的资质计算!$E$2,IF(R416=3,X416*$W$1*buff的资质计算!$E$3,0)))),2)</f>
        <v>6</v>
      </c>
      <c r="X416" s="157">
        <f ca="1" t="shared" si="69"/>
        <v>20</v>
      </c>
      <c r="Y416" s="157">
        <f ca="1" t="shared" si="75"/>
        <v>20</v>
      </c>
      <c r="Z416" s="304">
        <f ca="1" t="shared" si="70"/>
        <v>20</v>
      </c>
      <c r="AA416" s="304">
        <f ca="1">OFFSET(卡牌辅助配置表!$AD$1,MATCH(AB416,卡牌辅助配置表!AB:AB,0)-1,0)</f>
        <v>1135</v>
      </c>
      <c r="AB416" s="304">
        <f ca="1" t="shared" si="71"/>
        <v>2121</v>
      </c>
      <c r="AC416" s="153">
        <v>12</v>
      </c>
      <c r="AF416" s="153" t="str">
        <f ca="1" t="shared" si="76"/>
        <v>10140011|</v>
      </c>
      <c r="AJ416" s="205" t="str">
        <f ca="1" t="shared" si="72"/>
        <v>400023|7900|;</v>
      </c>
      <c r="AK416" s="205">
        <f ca="1">OFFSET([1]item_type!$A$1,MATCH(Q416,[1]item_type!$G:$G,0)-1,0)</f>
        <v>301014</v>
      </c>
      <c r="AL416" s="205"/>
      <c r="AM416" s="205">
        <f ca="1">IF(B416=B417,OFFSET(卡牌辅助配置表!$AE$1,MATCH(AB416,卡牌辅助配置表!AB:AB,0),0),0)</f>
        <v>7900</v>
      </c>
      <c r="AN416" s="153">
        <f ca="1" t="shared" si="73"/>
        <v>1014022</v>
      </c>
      <c r="AP416" s="153">
        <f ca="1">IF(AC416=0,0,IF(AC416=12,0,OFFSET(effect!$N$1,MATCH(K416,effect!M:M,0)-1,0)))</f>
        <v>0</v>
      </c>
    </row>
    <row r="417" spans="1:42">
      <c r="A417" s="153">
        <f ca="1" t="shared" si="66"/>
        <v>1014022</v>
      </c>
      <c r="B417" s="91" t="s">
        <v>642</v>
      </c>
      <c r="C417" s="186">
        <v>1</v>
      </c>
      <c r="D417" s="186">
        <v>6</v>
      </c>
      <c r="E417" s="165" t="s">
        <v>1050</v>
      </c>
      <c r="F417" s="165" t="str">
        <f>"增加"&amp;skill!$O$48/100&amp;"%对敌人伤害,对自己造成"&amp;P417/100&amp;"%伤害"</f>
        <v>增加50%对敌人伤害,对自己造成30%伤害</v>
      </c>
      <c r="G417" s="186">
        <f ca="1">OFFSET(卡牌辅助配置表!$C$1,MATCH(AC417,卡牌辅助配置表!A:A,0)-1,0)</f>
        <v>0</v>
      </c>
      <c r="H417" s="186">
        <f ca="1" t="shared" si="74"/>
        <v>0</v>
      </c>
      <c r="I417" s="186"/>
      <c r="J417" s="186">
        <f ca="1">OFFSET(card_type!$F$1,MATCH(Q417,card_type!A:A,0)-1,0)</f>
        <v>2</v>
      </c>
      <c r="K417" s="243">
        <f ca="1">OFFSET(card_type!$G$1,MATCH(Q417,card_type!A:A,0)-1,0)</f>
        <v>1</v>
      </c>
      <c r="L417" s="157">
        <v>1</v>
      </c>
      <c r="M417" s="157">
        <v>1</v>
      </c>
      <c r="N417" s="153">
        <f t="shared" si="67"/>
        <v>22</v>
      </c>
      <c r="O417" s="157"/>
      <c r="P417" s="157">
        <v>3000</v>
      </c>
      <c r="Q417" s="153">
        <f ca="1">OFFSET(card_type!$A$1,MATCH(card!B417,card_type!B:B,0)-1,0)</f>
        <v>1014</v>
      </c>
      <c r="R417" s="153">
        <v>1</v>
      </c>
      <c r="S417" s="157">
        <f ca="1">ROUND(IF(R417=0,0,IF(R417=1,X417*$S$1,IF(R417=2,X417*$S$1*buff的资质计算!$E$2,IF(R417=3,X417*$S$1*buff的资质计算!$E$3,0)))),0)*0</f>
        <v>0</v>
      </c>
      <c r="T417" s="153">
        <v>1</v>
      </c>
      <c r="U417" s="153">
        <f ca="1" t="shared" si="68"/>
        <v>21</v>
      </c>
      <c r="V417" s="153">
        <f ca="1">ROUND((OFFSET(卡牌辅助配置表!$O$1,MATCH(U417,卡牌辅助配置表!M:M,0)-1,0)+(N417-1)*OFFSET(卡牌辅助配置表!$P$1,MATCH(U417,卡牌辅助配置表!M:M,0)-1,0))*M417,2)</f>
        <v>18.71</v>
      </c>
      <c r="W417" s="157">
        <f ca="1">ROUND(IF(R417=0,0,IF(R417=1,X417*$W$1,IF(R417=2,X417*$W$1*buff的资质计算!$E$2,IF(R417=3,X417*$W$1*buff的资质计算!$E$3,0)))),2)</f>
        <v>6.15</v>
      </c>
      <c r="X417" s="157">
        <f ca="1" t="shared" si="69"/>
        <v>20.5</v>
      </c>
      <c r="Y417" s="157">
        <f ca="1" t="shared" si="75"/>
        <v>20.5</v>
      </c>
      <c r="Z417" s="304">
        <f ca="1" t="shared" si="70"/>
        <v>20.5</v>
      </c>
      <c r="AA417" s="304">
        <f ca="1">OFFSET(卡牌辅助配置表!$AD$1,MATCH(AB417,卡牌辅助配置表!AB:AB,0)-1,0)</f>
        <v>1220</v>
      </c>
      <c r="AB417" s="304">
        <f ca="1" t="shared" si="71"/>
        <v>2122</v>
      </c>
      <c r="AC417" s="153">
        <v>12</v>
      </c>
      <c r="AF417" s="153" t="str">
        <f ca="1" t="shared" si="76"/>
        <v>10140011|</v>
      </c>
      <c r="AJ417" s="205" t="str">
        <f ca="1" t="shared" si="72"/>
        <v>400023|8700|;</v>
      </c>
      <c r="AK417" s="205">
        <f ca="1">OFFSET([1]item_type!$A$1,MATCH(Q417,[1]item_type!$G:$G,0)-1,0)</f>
        <v>301014</v>
      </c>
      <c r="AL417" s="205"/>
      <c r="AM417" s="205">
        <f ca="1">IF(B417=B418,OFFSET(卡牌辅助配置表!$AE$1,MATCH(AB417,卡牌辅助配置表!AB:AB,0),0),0)</f>
        <v>8700</v>
      </c>
      <c r="AN417" s="153">
        <f ca="1" t="shared" si="73"/>
        <v>1014023</v>
      </c>
      <c r="AP417" s="153">
        <f ca="1">IF(AC417=0,0,IF(AC417=12,0,OFFSET(effect!$N$1,MATCH(K417,effect!M:M,0)-1,0)))</f>
        <v>0</v>
      </c>
    </row>
    <row r="418" spans="1:42">
      <c r="A418" s="153">
        <f ca="1" t="shared" si="66"/>
        <v>1014023</v>
      </c>
      <c r="B418" s="91" t="s">
        <v>642</v>
      </c>
      <c r="C418" s="186">
        <v>1</v>
      </c>
      <c r="D418" s="186">
        <v>6</v>
      </c>
      <c r="E418" s="165" t="s">
        <v>1050</v>
      </c>
      <c r="F418" s="165" t="str">
        <f>"增加"&amp;skill!$O$48/100&amp;"%对敌人伤害,对自己造成"&amp;P418/100&amp;"%伤害"</f>
        <v>增加50%对敌人伤害,对自己造成30%伤害</v>
      </c>
      <c r="G418" s="186">
        <f ca="1">OFFSET(卡牌辅助配置表!$C$1,MATCH(AC418,卡牌辅助配置表!A:A,0)-1,0)</f>
        <v>0</v>
      </c>
      <c r="H418" s="186">
        <f ca="1" t="shared" si="74"/>
        <v>0</v>
      </c>
      <c r="I418" s="186"/>
      <c r="J418" s="186">
        <f ca="1">OFFSET(card_type!$F$1,MATCH(Q418,card_type!A:A,0)-1,0)</f>
        <v>2</v>
      </c>
      <c r="K418" s="243">
        <f ca="1">OFFSET(card_type!$G$1,MATCH(Q418,card_type!A:A,0)-1,0)</f>
        <v>1</v>
      </c>
      <c r="L418" s="157">
        <v>1</v>
      </c>
      <c r="M418" s="157">
        <v>1</v>
      </c>
      <c r="N418" s="153">
        <f t="shared" si="67"/>
        <v>23</v>
      </c>
      <c r="O418" s="157"/>
      <c r="P418" s="157">
        <v>3000</v>
      </c>
      <c r="Q418" s="153">
        <f ca="1">OFFSET(card_type!$A$1,MATCH(card!B418,card_type!B:B,0)-1,0)</f>
        <v>1014</v>
      </c>
      <c r="R418" s="153">
        <v>1</v>
      </c>
      <c r="S418" s="157">
        <f ca="1">ROUND(IF(R418=0,0,IF(R418=1,X418*$S$1,IF(R418=2,X418*$S$1*buff的资质计算!$E$2,IF(R418=3,X418*$S$1*buff的资质计算!$E$3,0)))),0)*0</f>
        <v>0</v>
      </c>
      <c r="T418" s="153">
        <v>1</v>
      </c>
      <c r="U418" s="153">
        <f ca="1" t="shared" si="68"/>
        <v>21</v>
      </c>
      <c r="V418" s="153">
        <f ca="1">ROUND((OFFSET(卡牌辅助配置表!$O$1,MATCH(U418,卡牌辅助配置表!M:M,0)-1,0)+(N418-1)*OFFSET(卡牌辅助配置表!$P$1,MATCH(U418,卡牌辅助配置表!M:M,0)-1,0))*M418,2)</f>
        <v>19.27</v>
      </c>
      <c r="W418" s="157">
        <f ca="1">ROUND(IF(R418=0,0,IF(R418=1,X418*$W$1,IF(R418=2,X418*$W$1*buff的资质计算!$E$2,IF(R418=3,X418*$W$1*buff的资质计算!$E$3,0)))),2)</f>
        <v>6.3</v>
      </c>
      <c r="X418" s="157">
        <f ca="1" t="shared" si="69"/>
        <v>21</v>
      </c>
      <c r="Y418" s="157">
        <f ca="1" t="shared" si="75"/>
        <v>21</v>
      </c>
      <c r="Z418" s="304">
        <f ca="1" t="shared" si="70"/>
        <v>21</v>
      </c>
      <c r="AA418" s="304">
        <f ca="1">OFFSET(卡牌辅助配置表!$AD$1,MATCH(AB418,卡牌辅助配置表!AB:AB,0)-1,0)</f>
        <v>1305</v>
      </c>
      <c r="AB418" s="304">
        <f ca="1" t="shared" si="71"/>
        <v>2123</v>
      </c>
      <c r="AC418" s="153">
        <v>12</v>
      </c>
      <c r="AF418" s="153" t="str">
        <f ca="1" t="shared" si="76"/>
        <v>10140011|</v>
      </c>
      <c r="AJ418" s="205" t="str">
        <f ca="1" t="shared" si="72"/>
        <v>400023|9500|;</v>
      </c>
      <c r="AK418" s="205">
        <f ca="1">OFFSET([1]item_type!$A$1,MATCH(Q418,[1]item_type!$G:$G,0)-1,0)</f>
        <v>301014</v>
      </c>
      <c r="AL418" s="205"/>
      <c r="AM418" s="205">
        <f ca="1">IF(B418=B419,OFFSET(卡牌辅助配置表!$AE$1,MATCH(AB418,卡牌辅助配置表!AB:AB,0),0),0)</f>
        <v>9500</v>
      </c>
      <c r="AN418" s="153">
        <f ca="1" t="shared" si="73"/>
        <v>1014024</v>
      </c>
      <c r="AP418" s="153">
        <f ca="1">IF(AC418=0,0,IF(AC418=12,0,OFFSET(effect!$N$1,MATCH(K418,effect!M:M,0)-1,0)))</f>
        <v>0</v>
      </c>
    </row>
    <row r="419" spans="1:42">
      <c r="A419" s="153">
        <f ca="1" t="shared" si="66"/>
        <v>1014024</v>
      </c>
      <c r="B419" s="91" t="s">
        <v>642</v>
      </c>
      <c r="C419" s="186">
        <v>1</v>
      </c>
      <c r="D419" s="186">
        <v>6</v>
      </c>
      <c r="E419" s="165" t="s">
        <v>1050</v>
      </c>
      <c r="F419" s="165" t="str">
        <f>"增加"&amp;skill!$O$48/100&amp;"%对敌人伤害,对自己造成"&amp;P419/100&amp;"%伤害"</f>
        <v>增加50%对敌人伤害,对自己造成30%伤害</v>
      </c>
      <c r="G419" s="186">
        <f ca="1">OFFSET(卡牌辅助配置表!$C$1,MATCH(AC419,卡牌辅助配置表!A:A,0)-1,0)</f>
        <v>0</v>
      </c>
      <c r="H419" s="186">
        <f ca="1" t="shared" si="74"/>
        <v>0</v>
      </c>
      <c r="I419" s="186"/>
      <c r="J419" s="186">
        <f ca="1">OFFSET(card_type!$F$1,MATCH(Q419,card_type!A:A,0)-1,0)</f>
        <v>2</v>
      </c>
      <c r="K419" s="243">
        <f ca="1">OFFSET(card_type!$G$1,MATCH(Q419,card_type!A:A,0)-1,0)</f>
        <v>1</v>
      </c>
      <c r="L419" s="157">
        <v>1</v>
      </c>
      <c r="M419" s="157">
        <v>1</v>
      </c>
      <c r="N419" s="153">
        <f t="shared" si="67"/>
        <v>24</v>
      </c>
      <c r="O419" s="157"/>
      <c r="P419" s="157">
        <v>3000</v>
      </c>
      <c r="Q419" s="153">
        <f ca="1">OFFSET(card_type!$A$1,MATCH(card!B419,card_type!B:B,0)-1,0)</f>
        <v>1014</v>
      </c>
      <c r="R419" s="153">
        <v>1</v>
      </c>
      <c r="S419" s="157">
        <f ca="1">ROUND(IF(R419=0,0,IF(R419=1,X419*$S$1,IF(R419=2,X419*$S$1*buff的资质计算!$E$2,IF(R419=3,X419*$S$1*buff的资质计算!$E$3,0)))),0)*0</f>
        <v>0</v>
      </c>
      <c r="T419" s="153">
        <v>1</v>
      </c>
      <c r="U419" s="153">
        <f ca="1" t="shared" si="68"/>
        <v>21</v>
      </c>
      <c r="V419" s="153">
        <f ca="1">ROUND((OFFSET(卡牌辅助配置表!$O$1,MATCH(U419,卡牌辅助配置表!M:M,0)-1,0)+(N419-1)*OFFSET(卡牌辅助配置表!$P$1,MATCH(U419,卡牌辅助配置表!M:M,0)-1,0))*M419,2)</f>
        <v>19.83</v>
      </c>
      <c r="W419" s="157">
        <f ca="1">ROUND(IF(R419=0,0,IF(R419=1,X419*$W$1,IF(R419=2,X419*$W$1*buff的资质计算!$E$2,IF(R419=3,X419*$W$1*buff的资质计算!$E$3,0)))),2)</f>
        <v>6.45</v>
      </c>
      <c r="X419" s="157">
        <f ca="1" t="shared" si="69"/>
        <v>21.5</v>
      </c>
      <c r="Y419" s="157">
        <f ca="1" t="shared" si="75"/>
        <v>21.5</v>
      </c>
      <c r="Z419" s="304">
        <f ca="1" t="shared" si="70"/>
        <v>21.5</v>
      </c>
      <c r="AA419" s="304">
        <f ca="1">OFFSET(卡牌辅助配置表!$AD$1,MATCH(AB419,卡牌辅助配置表!AB:AB,0)-1,0)</f>
        <v>1390</v>
      </c>
      <c r="AB419" s="304">
        <f ca="1" t="shared" si="71"/>
        <v>2124</v>
      </c>
      <c r="AC419" s="153">
        <v>12</v>
      </c>
      <c r="AF419" s="153" t="str">
        <f ca="1" t="shared" si="76"/>
        <v>10140011|</v>
      </c>
      <c r="AJ419" s="205" t="str">
        <f ca="1" t="shared" si="72"/>
        <v>400023|10300|;</v>
      </c>
      <c r="AK419" s="205">
        <f ca="1">OFFSET([1]item_type!$A$1,MATCH(Q419,[1]item_type!$G:$G,0)-1,0)</f>
        <v>301014</v>
      </c>
      <c r="AL419" s="205"/>
      <c r="AM419" s="205">
        <f ca="1">IF(B419=B420,OFFSET(卡牌辅助配置表!$AE$1,MATCH(AB419,卡牌辅助配置表!AB:AB,0),0),0)</f>
        <v>10300</v>
      </c>
      <c r="AN419" s="153">
        <f ca="1" t="shared" si="73"/>
        <v>1014025</v>
      </c>
      <c r="AP419" s="153">
        <f ca="1">IF(AC419=0,0,IF(AC419=12,0,OFFSET(effect!$N$1,MATCH(K419,effect!M:M,0)-1,0)))</f>
        <v>0</v>
      </c>
    </row>
    <row r="420" spans="1:42">
      <c r="A420" s="153">
        <f ca="1" t="shared" si="66"/>
        <v>1014025</v>
      </c>
      <c r="B420" s="91" t="s">
        <v>642</v>
      </c>
      <c r="C420" s="186">
        <v>1</v>
      </c>
      <c r="D420" s="186">
        <v>6</v>
      </c>
      <c r="E420" s="165" t="s">
        <v>1050</v>
      </c>
      <c r="F420" s="165" t="str">
        <f>"增加"&amp;skill!$O$48/100&amp;"%对敌人伤害,对自己造成"&amp;P420/100&amp;"%伤害"</f>
        <v>增加50%对敌人伤害,对自己造成30%伤害</v>
      </c>
      <c r="G420" s="186">
        <f ca="1">OFFSET(卡牌辅助配置表!$C$1,MATCH(AC420,卡牌辅助配置表!A:A,0)-1,0)</f>
        <v>0</v>
      </c>
      <c r="H420" s="186">
        <f ca="1" t="shared" si="74"/>
        <v>0</v>
      </c>
      <c r="I420" s="186"/>
      <c r="J420" s="186">
        <f ca="1">OFFSET(card_type!$F$1,MATCH(Q420,card_type!A:A,0)-1,0)</f>
        <v>2</v>
      </c>
      <c r="K420" s="243">
        <f ca="1">OFFSET(card_type!$G$1,MATCH(Q420,card_type!A:A,0)-1,0)</f>
        <v>1</v>
      </c>
      <c r="L420" s="157">
        <v>1</v>
      </c>
      <c r="M420" s="157">
        <v>1</v>
      </c>
      <c r="N420" s="153">
        <f t="shared" si="67"/>
        <v>25</v>
      </c>
      <c r="O420" s="157"/>
      <c r="P420" s="157">
        <v>3000</v>
      </c>
      <c r="Q420" s="153">
        <f ca="1">OFFSET(card_type!$A$1,MATCH(card!B420,card_type!B:B,0)-1,0)</f>
        <v>1014</v>
      </c>
      <c r="R420" s="153">
        <v>1</v>
      </c>
      <c r="S420" s="157">
        <f ca="1">ROUND(IF(R420=0,0,IF(R420=1,X420*$S$1,IF(R420=2,X420*$S$1*buff的资质计算!$E$2,IF(R420=3,X420*$S$1*buff的资质计算!$E$3,0)))),0)*0</f>
        <v>0</v>
      </c>
      <c r="T420" s="153">
        <v>1</v>
      </c>
      <c r="U420" s="153">
        <f ca="1" t="shared" si="68"/>
        <v>21</v>
      </c>
      <c r="V420" s="153">
        <f ca="1">ROUND((OFFSET(卡牌辅助配置表!$O$1,MATCH(U420,卡牌辅助配置表!M:M,0)-1,0)+(N420-1)*OFFSET(卡牌辅助配置表!$P$1,MATCH(U420,卡牌辅助配置表!M:M,0)-1,0))*M420,2)</f>
        <v>20.39</v>
      </c>
      <c r="W420" s="157">
        <f ca="1">ROUND(IF(R420=0,0,IF(R420=1,X420*$W$1,IF(R420=2,X420*$W$1*buff的资质计算!$E$2,IF(R420=3,X420*$W$1*buff的资质计算!$E$3,0)))),2)</f>
        <v>6.6</v>
      </c>
      <c r="X420" s="157">
        <f ca="1" t="shared" si="69"/>
        <v>22</v>
      </c>
      <c r="Y420" s="157">
        <f ca="1" t="shared" si="75"/>
        <v>22</v>
      </c>
      <c r="Z420" s="304">
        <f ca="1" t="shared" si="70"/>
        <v>22</v>
      </c>
      <c r="AA420" s="304">
        <f ca="1">OFFSET(卡牌辅助配置表!$AD$1,MATCH(AB420,卡牌辅助配置表!AB:AB,0)-1,0)</f>
        <v>1475</v>
      </c>
      <c r="AB420" s="304">
        <f ca="1" t="shared" si="71"/>
        <v>2125</v>
      </c>
      <c r="AC420" s="153">
        <v>12</v>
      </c>
      <c r="AF420" s="153" t="str">
        <f ca="1" t="shared" si="76"/>
        <v>10140011|</v>
      </c>
      <c r="AJ420" s="205" t="str">
        <f ca="1" t="shared" si="72"/>
        <v>400023|11100|;</v>
      </c>
      <c r="AK420" s="205">
        <f ca="1">OFFSET([1]item_type!$A$1,MATCH(Q420,[1]item_type!$G:$G,0)-1,0)</f>
        <v>301014</v>
      </c>
      <c r="AL420" s="205"/>
      <c r="AM420" s="205">
        <f ca="1">IF(B420=B421,OFFSET(卡牌辅助配置表!$AE$1,MATCH(AB420,卡牌辅助配置表!AB:AB,0),0),0)</f>
        <v>11100</v>
      </c>
      <c r="AN420" s="153">
        <f ca="1" t="shared" si="73"/>
        <v>1014026</v>
      </c>
      <c r="AP420" s="153">
        <f ca="1">IF(AC420=0,0,IF(AC420=12,0,OFFSET(effect!$N$1,MATCH(K420,effect!M:M,0)-1,0)))</f>
        <v>0</v>
      </c>
    </row>
    <row r="421" spans="1:42">
      <c r="A421" s="153">
        <f ca="1" t="shared" si="66"/>
        <v>1014026</v>
      </c>
      <c r="B421" s="91" t="s">
        <v>642</v>
      </c>
      <c r="C421" s="186">
        <v>1</v>
      </c>
      <c r="D421" s="186">
        <v>6</v>
      </c>
      <c r="E421" s="165" t="s">
        <v>1050</v>
      </c>
      <c r="F421" s="165" t="str">
        <f>"增加"&amp;skill!$O$48/100&amp;"%对敌人伤害,对自己造成"&amp;P421/100&amp;"%伤害"</f>
        <v>增加50%对敌人伤害,对自己造成30%伤害</v>
      </c>
      <c r="G421" s="186">
        <f ca="1">OFFSET(卡牌辅助配置表!$C$1,MATCH(AC421,卡牌辅助配置表!A:A,0)-1,0)</f>
        <v>0</v>
      </c>
      <c r="H421" s="186">
        <f ca="1" t="shared" si="74"/>
        <v>0</v>
      </c>
      <c r="I421" s="186"/>
      <c r="J421" s="186">
        <f ca="1">OFFSET(card_type!$F$1,MATCH(Q421,card_type!A:A,0)-1,0)</f>
        <v>2</v>
      </c>
      <c r="K421" s="243">
        <f ca="1">OFFSET(card_type!$G$1,MATCH(Q421,card_type!A:A,0)-1,0)</f>
        <v>1</v>
      </c>
      <c r="L421" s="157">
        <v>1</v>
      </c>
      <c r="M421" s="157">
        <v>1</v>
      </c>
      <c r="N421" s="153">
        <f t="shared" si="67"/>
        <v>26</v>
      </c>
      <c r="O421" s="157"/>
      <c r="P421" s="157">
        <v>3000</v>
      </c>
      <c r="Q421" s="153">
        <f ca="1">OFFSET(card_type!$A$1,MATCH(card!B421,card_type!B:B,0)-1,0)</f>
        <v>1014</v>
      </c>
      <c r="R421" s="153">
        <v>1</v>
      </c>
      <c r="S421" s="157">
        <f ca="1">ROUND(IF(R421=0,0,IF(R421=1,X421*$S$1,IF(R421=2,X421*$S$1*buff的资质计算!$E$2,IF(R421=3,X421*$S$1*buff的资质计算!$E$3,0)))),0)*0</f>
        <v>0</v>
      </c>
      <c r="T421" s="153">
        <v>1</v>
      </c>
      <c r="U421" s="153">
        <f ca="1" t="shared" si="68"/>
        <v>21</v>
      </c>
      <c r="V421" s="153">
        <f ca="1">ROUND((OFFSET(卡牌辅助配置表!$O$1,MATCH(U421,卡牌辅助配置表!M:M,0)-1,0)+(N421-1)*OFFSET(卡牌辅助配置表!$P$1,MATCH(U421,卡牌辅助配置表!M:M,0)-1,0))*M421,2)</f>
        <v>20.96</v>
      </c>
      <c r="W421" s="157">
        <f ca="1">ROUND(IF(R421=0,0,IF(R421=1,X421*$W$1,IF(R421=2,X421*$W$1*buff的资质计算!$E$2,IF(R421=3,X421*$W$1*buff的资质计算!$E$3,0)))),2)</f>
        <v>6.75</v>
      </c>
      <c r="X421" s="157">
        <f ca="1" t="shared" si="69"/>
        <v>22.5</v>
      </c>
      <c r="Y421" s="157">
        <f ca="1" t="shared" si="75"/>
        <v>22.5</v>
      </c>
      <c r="Z421" s="304">
        <f ca="1" t="shared" si="70"/>
        <v>22.5</v>
      </c>
      <c r="AA421" s="304">
        <f ca="1">OFFSET(卡牌辅助配置表!$AD$1,MATCH(AB421,卡牌辅助配置表!AB:AB,0)-1,0)</f>
        <v>1560</v>
      </c>
      <c r="AB421" s="304">
        <f ca="1" t="shared" si="71"/>
        <v>2126</v>
      </c>
      <c r="AC421" s="153">
        <v>12</v>
      </c>
      <c r="AF421" s="153" t="str">
        <f ca="1" t="shared" si="76"/>
        <v>10140011|</v>
      </c>
      <c r="AJ421" s="205" t="str">
        <f ca="1" t="shared" si="72"/>
        <v>400023|11900|;</v>
      </c>
      <c r="AK421" s="205">
        <f ca="1">OFFSET([1]item_type!$A$1,MATCH(Q421,[1]item_type!$G:$G,0)-1,0)</f>
        <v>301014</v>
      </c>
      <c r="AL421" s="205"/>
      <c r="AM421" s="205">
        <f ca="1">IF(B421=B422,OFFSET(卡牌辅助配置表!$AE$1,MATCH(AB421,卡牌辅助配置表!AB:AB,0),0),0)</f>
        <v>11900</v>
      </c>
      <c r="AN421" s="153">
        <f ca="1" t="shared" si="73"/>
        <v>1014027</v>
      </c>
      <c r="AP421" s="153">
        <f ca="1">IF(AC421=0,0,IF(AC421=12,0,OFFSET(effect!$N$1,MATCH(K421,effect!M:M,0)-1,0)))</f>
        <v>0</v>
      </c>
    </row>
    <row r="422" spans="1:42">
      <c r="A422" s="153">
        <f ca="1" t="shared" si="66"/>
        <v>1014027</v>
      </c>
      <c r="B422" s="91" t="s">
        <v>642</v>
      </c>
      <c r="C422" s="186">
        <v>1</v>
      </c>
      <c r="D422" s="186">
        <v>6</v>
      </c>
      <c r="E422" s="165" t="s">
        <v>1050</v>
      </c>
      <c r="F422" s="165" t="str">
        <f>"增加"&amp;skill!$O$48/100&amp;"%对敌人伤害,对自己造成"&amp;P422/100&amp;"%伤害"</f>
        <v>增加50%对敌人伤害,对自己造成30%伤害</v>
      </c>
      <c r="G422" s="186">
        <f ca="1">OFFSET(卡牌辅助配置表!$C$1,MATCH(AC422,卡牌辅助配置表!A:A,0)-1,0)</f>
        <v>0</v>
      </c>
      <c r="H422" s="186">
        <f ca="1" t="shared" si="74"/>
        <v>0</v>
      </c>
      <c r="I422" s="186"/>
      <c r="J422" s="186">
        <f ca="1">OFFSET(card_type!$F$1,MATCH(Q422,card_type!A:A,0)-1,0)</f>
        <v>2</v>
      </c>
      <c r="K422" s="243">
        <f ca="1">OFFSET(card_type!$G$1,MATCH(Q422,card_type!A:A,0)-1,0)</f>
        <v>1</v>
      </c>
      <c r="L422" s="157">
        <v>1</v>
      </c>
      <c r="M422" s="157">
        <v>1</v>
      </c>
      <c r="N422" s="153">
        <f t="shared" si="67"/>
        <v>27</v>
      </c>
      <c r="O422" s="157"/>
      <c r="P422" s="157">
        <v>3000</v>
      </c>
      <c r="Q422" s="153">
        <f ca="1">OFFSET(card_type!$A$1,MATCH(card!B422,card_type!B:B,0)-1,0)</f>
        <v>1014</v>
      </c>
      <c r="R422" s="153">
        <v>1</v>
      </c>
      <c r="S422" s="157">
        <f ca="1">ROUND(IF(R422=0,0,IF(R422=1,X422*$S$1,IF(R422=2,X422*$S$1*buff的资质计算!$E$2,IF(R422=3,X422*$S$1*buff的资质计算!$E$3,0)))),0)*0</f>
        <v>0</v>
      </c>
      <c r="T422" s="153">
        <v>1</v>
      </c>
      <c r="U422" s="153">
        <f ca="1" t="shared" si="68"/>
        <v>21</v>
      </c>
      <c r="V422" s="153">
        <f ca="1">ROUND((OFFSET(卡牌辅助配置表!$O$1,MATCH(U422,卡牌辅助配置表!M:M,0)-1,0)+(N422-1)*OFFSET(卡牌辅助配置表!$P$1,MATCH(U422,卡牌辅助配置表!M:M,0)-1,0))*M422,2)</f>
        <v>21.52</v>
      </c>
      <c r="W422" s="157">
        <f ca="1">ROUND(IF(R422=0,0,IF(R422=1,X422*$W$1,IF(R422=2,X422*$W$1*buff的资质计算!$E$2,IF(R422=3,X422*$W$1*buff的资质计算!$E$3,0)))),2)</f>
        <v>6.9</v>
      </c>
      <c r="X422" s="157">
        <f ca="1" t="shared" si="69"/>
        <v>23</v>
      </c>
      <c r="Y422" s="157">
        <f ca="1" t="shared" si="75"/>
        <v>23</v>
      </c>
      <c r="Z422" s="304">
        <f ca="1" t="shared" si="70"/>
        <v>23</v>
      </c>
      <c r="AA422" s="304">
        <f ca="1">OFFSET(卡牌辅助配置表!$AD$1,MATCH(AB422,卡牌辅助配置表!AB:AB,0)-1,0)</f>
        <v>1645</v>
      </c>
      <c r="AB422" s="304">
        <f ca="1" t="shared" si="71"/>
        <v>2127</v>
      </c>
      <c r="AC422" s="153">
        <v>12</v>
      </c>
      <c r="AF422" s="153" t="str">
        <f ca="1" t="shared" si="76"/>
        <v>10140011|</v>
      </c>
      <c r="AJ422" s="205" t="str">
        <f ca="1" t="shared" si="72"/>
        <v>400023|12700|;</v>
      </c>
      <c r="AK422" s="205">
        <f ca="1">OFFSET([1]item_type!$A$1,MATCH(Q422,[1]item_type!$G:$G,0)-1,0)</f>
        <v>301014</v>
      </c>
      <c r="AL422" s="205"/>
      <c r="AM422" s="205">
        <f ca="1">IF(B422=B423,OFFSET(卡牌辅助配置表!$AE$1,MATCH(AB422,卡牌辅助配置表!AB:AB,0),0),0)</f>
        <v>12700</v>
      </c>
      <c r="AN422" s="153">
        <f ca="1" t="shared" si="73"/>
        <v>1014028</v>
      </c>
      <c r="AP422" s="153">
        <f ca="1">IF(AC422=0,0,IF(AC422=12,0,OFFSET(effect!$N$1,MATCH(K422,effect!M:M,0)-1,0)))</f>
        <v>0</v>
      </c>
    </row>
    <row r="423" spans="1:42">
      <c r="A423" s="153">
        <f ca="1" t="shared" si="66"/>
        <v>1014028</v>
      </c>
      <c r="B423" s="91" t="s">
        <v>642</v>
      </c>
      <c r="C423" s="186">
        <v>1</v>
      </c>
      <c r="D423" s="186">
        <v>6</v>
      </c>
      <c r="E423" s="165" t="s">
        <v>1050</v>
      </c>
      <c r="F423" s="165" t="str">
        <f>"增加"&amp;skill!$O$48/100&amp;"%对敌人伤害,对自己造成"&amp;P423/100&amp;"%伤害"</f>
        <v>增加50%对敌人伤害,对自己造成30%伤害</v>
      </c>
      <c r="G423" s="186">
        <f ca="1">OFFSET(卡牌辅助配置表!$C$1,MATCH(AC423,卡牌辅助配置表!A:A,0)-1,0)</f>
        <v>0</v>
      </c>
      <c r="H423" s="186">
        <f ca="1" t="shared" si="74"/>
        <v>0</v>
      </c>
      <c r="I423" s="186"/>
      <c r="J423" s="186">
        <f ca="1">OFFSET(card_type!$F$1,MATCH(Q423,card_type!A:A,0)-1,0)</f>
        <v>2</v>
      </c>
      <c r="K423" s="243">
        <f ca="1">OFFSET(card_type!$G$1,MATCH(Q423,card_type!A:A,0)-1,0)</f>
        <v>1</v>
      </c>
      <c r="L423" s="157">
        <v>1</v>
      </c>
      <c r="M423" s="157">
        <v>1</v>
      </c>
      <c r="N423" s="153">
        <f t="shared" si="67"/>
        <v>28</v>
      </c>
      <c r="O423" s="157"/>
      <c r="P423" s="157">
        <v>3000</v>
      </c>
      <c r="Q423" s="153">
        <f ca="1">OFFSET(card_type!$A$1,MATCH(card!B423,card_type!B:B,0)-1,0)</f>
        <v>1014</v>
      </c>
      <c r="R423" s="153">
        <v>1</v>
      </c>
      <c r="S423" s="157">
        <f ca="1">ROUND(IF(R423=0,0,IF(R423=1,X423*$S$1,IF(R423=2,X423*$S$1*buff的资质计算!$E$2,IF(R423=3,X423*$S$1*buff的资质计算!$E$3,0)))),0)*0</f>
        <v>0</v>
      </c>
      <c r="T423" s="153">
        <v>1</v>
      </c>
      <c r="U423" s="153">
        <f ca="1" t="shared" si="68"/>
        <v>21</v>
      </c>
      <c r="V423" s="153">
        <f ca="1">ROUND((OFFSET(卡牌辅助配置表!$O$1,MATCH(U423,卡牌辅助配置表!M:M,0)-1,0)+(N423-1)*OFFSET(卡牌辅助配置表!$P$1,MATCH(U423,卡牌辅助配置表!M:M,0)-1,0))*M423,2)</f>
        <v>22.08</v>
      </c>
      <c r="W423" s="157">
        <f ca="1">ROUND(IF(R423=0,0,IF(R423=1,X423*$W$1,IF(R423=2,X423*$W$1*buff的资质计算!$E$2,IF(R423=3,X423*$W$1*buff的资质计算!$E$3,0)))),2)</f>
        <v>7.05</v>
      </c>
      <c r="X423" s="157">
        <f ca="1" t="shared" si="69"/>
        <v>23.5</v>
      </c>
      <c r="Y423" s="157">
        <f ca="1" t="shared" si="75"/>
        <v>23.5</v>
      </c>
      <c r="Z423" s="304">
        <f ca="1" t="shared" si="70"/>
        <v>23.5</v>
      </c>
      <c r="AA423" s="304">
        <f ca="1">OFFSET(卡牌辅助配置表!$AD$1,MATCH(AB423,卡牌辅助配置表!AB:AB,0)-1,0)</f>
        <v>1730</v>
      </c>
      <c r="AB423" s="304">
        <f ca="1" t="shared" si="71"/>
        <v>2128</v>
      </c>
      <c r="AC423" s="153">
        <v>12</v>
      </c>
      <c r="AF423" s="153" t="str">
        <f ca="1" t="shared" si="76"/>
        <v>10140011|</v>
      </c>
      <c r="AJ423" s="205" t="str">
        <f ca="1" t="shared" si="72"/>
        <v>400023|13500|;</v>
      </c>
      <c r="AK423" s="205">
        <f ca="1">OFFSET([1]item_type!$A$1,MATCH(Q423,[1]item_type!$G:$G,0)-1,0)</f>
        <v>301014</v>
      </c>
      <c r="AL423" s="205"/>
      <c r="AM423" s="205">
        <f ca="1">IF(B423=B424,OFFSET(卡牌辅助配置表!$AE$1,MATCH(AB423,卡牌辅助配置表!AB:AB,0),0),0)</f>
        <v>13500</v>
      </c>
      <c r="AN423" s="153">
        <f ca="1" t="shared" si="73"/>
        <v>1014029</v>
      </c>
      <c r="AP423" s="153">
        <f ca="1">IF(AC423=0,0,IF(AC423=12,0,OFFSET(effect!$N$1,MATCH(K423,effect!M:M,0)-1,0)))</f>
        <v>0</v>
      </c>
    </row>
    <row r="424" spans="1:42">
      <c r="A424" s="153">
        <f ca="1" t="shared" si="66"/>
        <v>1014029</v>
      </c>
      <c r="B424" s="91" t="s">
        <v>642</v>
      </c>
      <c r="C424" s="186">
        <v>1</v>
      </c>
      <c r="D424" s="186">
        <v>6</v>
      </c>
      <c r="E424" s="165" t="s">
        <v>1050</v>
      </c>
      <c r="F424" s="165" t="str">
        <f>"增加"&amp;skill!$O$48/100&amp;"%对敌人伤害,对自己造成"&amp;P424/100&amp;"%伤害"</f>
        <v>增加50%对敌人伤害,对自己造成30%伤害</v>
      </c>
      <c r="G424" s="186">
        <f ca="1">OFFSET(卡牌辅助配置表!$C$1,MATCH(AC424,卡牌辅助配置表!A:A,0)-1,0)</f>
        <v>0</v>
      </c>
      <c r="H424" s="186">
        <f ca="1" t="shared" si="74"/>
        <v>0</v>
      </c>
      <c r="I424" s="186"/>
      <c r="J424" s="186">
        <f ca="1">OFFSET(card_type!$F$1,MATCH(Q424,card_type!A:A,0)-1,0)</f>
        <v>2</v>
      </c>
      <c r="K424" s="243">
        <f ca="1">OFFSET(card_type!$G$1,MATCH(Q424,card_type!A:A,0)-1,0)</f>
        <v>1</v>
      </c>
      <c r="L424" s="157">
        <v>1</v>
      </c>
      <c r="M424" s="157">
        <v>1</v>
      </c>
      <c r="N424" s="153">
        <f t="shared" si="67"/>
        <v>29</v>
      </c>
      <c r="O424" s="157"/>
      <c r="P424" s="157">
        <v>3000</v>
      </c>
      <c r="Q424" s="153">
        <f ca="1">OFFSET(card_type!$A$1,MATCH(card!B424,card_type!B:B,0)-1,0)</f>
        <v>1014</v>
      </c>
      <c r="R424" s="153">
        <v>1</v>
      </c>
      <c r="S424" s="157">
        <f ca="1">ROUND(IF(R424=0,0,IF(R424=1,X424*$S$1,IF(R424=2,X424*$S$1*buff的资质计算!$E$2,IF(R424=3,X424*$S$1*buff的资质计算!$E$3,0)))),0)*0</f>
        <v>0</v>
      </c>
      <c r="T424" s="153">
        <v>1</v>
      </c>
      <c r="U424" s="153">
        <f ca="1" t="shared" si="68"/>
        <v>21</v>
      </c>
      <c r="V424" s="153">
        <f ca="1">ROUND((OFFSET(卡牌辅助配置表!$O$1,MATCH(U424,卡牌辅助配置表!M:M,0)-1,0)+(N424-1)*OFFSET(卡牌辅助配置表!$P$1,MATCH(U424,卡牌辅助配置表!M:M,0)-1,0))*M424,2)</f>
        <v>22.64</v>
      </c>
      <c r="W424" s="157">
        <f ca="1">ROUND(IF(R424=0,0,IF(R424=1,X424*$W$1,IF(R424=2,X424*$W$1*buff的资质计算!$E$2,IF(R424=3,X424*$W$1*buff的资质计算!$E$3,0)))),2)</f>
        <v>7.2</v>
      </c>
      <c r="X424" s="157">
        <f ca="1" t="shared" si="69"/>
        <v>24</v>
      </c>
      <c r="Y424" s="157">
        <f ca="1" t="shared" si="75"/>
        <v>24</v>
      </c>
      <c r="Z424" s="304">
        <f ca="1" t="shared" si="70"/>
        <v>24</v>
      </c>
      <c r="AA424" s="304">
        <f ca="1">OFFSET(卡牌辅助配置表!$AD$1,MATCH(AB424,卡牌辅助配置表!AB:AB,0)-1,0)</f>
        <v>1815</v>
      </c>
      <c r="AB424" s="304">
        <f ca="1" t="shared" si="71"/>
        <v>2129</v>
      </c>
      <c r="AC424" s="153">
        <v>12</v>
      </c>
      <c r="AF424" s="153" t="str">
        <f ca="1" t="shared" si="76"/>
        <v>10140011|</v>
      </c>
      <c r="AJ424" s="205" t="str">
        <f ca="1" t="shared" si="72"/>
        <v>301014|30|;400023|14300|;</v>
      </c>
      <c r="AK424" s="205">
        <f ca="1">OFFSET([1]item_type!$A$1,MATCH(Q424,[1]item_type!$G:$G,0)-1,0)</f>
        <v>301014</v>
      </c>
      <c r="AL424" s="205">
        <v>30</v>
      </c>
      <c r="AM424" s="205">
        <f ca="1">IF(B424=B425,OFFSET(卡牌辅助配置表!$AE$1,MATCH(AB424,卡牌辅助配置表!AB:AB,0),0),0)</f>
        <v>14300</v>
      </c>
      <c r="AN424" s="153">
        <f ca="1" t="shared" si="73"/>
        <v>1014030</v>
      </c>
      <c r="AP424" s="153">
        <f ca="1">IF(AC424=0,0,IF(AC424=12,0,OFFSET(effect!$N$1,MATCH(K424,effect!M:M,0)-1,0)))</f>
        <v>0</v>
      </c>
    </row>
    <row r="425" spans="1:42">
      <c r="A425" s="153">
        <f ca="1" t="shared" si="66"/>
        <v>1014030</v>
      </c>
      <c r="B425" s="91" t="s">
        <v>642</v>
      </c>
      <c r="C425" s="186">
        <v>1</v>
      </c>
      <c r="D425" s="186">
        <v>6</v>
      </c>
      <c r="E425" s="165" t="s">
        <v>1050</v>
      </c>
      <c r="F425" s="165" t="str">
        <f>"增加"&amp;skill!$O$48/100&amp;"%对敌人伤害,对自己造成"&amp;P425/100&amp;"%伤害"</f>
        <v>增加50%对敌人伤害,对自己造成30%伤害</v>
      </c>
      <c r="G425" s="186">
        <f ca="1">OFFSET(卡牌辅助配置表!$C$1,MATCH(AC425,卡牌辅助配置表!A:A,0)-1,0)</f>
        <v>0</v>
      </c>
      <c r="H425" s="186">
        <f ca="1" t="shared" si="74"/>
        <v>0</v>
      </c>
      <c r="I425" s="186"/>
      <c r="J425" s="186">
        <f ca="1">OFFSET(card_type!$F$1,MATCH(Q425,card_type!A:A,0)-1,0)</f>
        <v>2</v>
      </c>
      <c r="K425" s="243">
        <f ca="1">OFFSET(card_type!$G$1,MATCH(Q425,card_type!A:A,0)-1,0)</f>
        <v>1</v>
      </c>
      <c r="L425" s="157">
        <v>1</v>
      </c>
      <c r="M425" s="157">
        <v>1</v>
      </c>
      <c r="N425" s="153">
        <f t="shared" si="67"/>
        <v>30</v>
      </c>
      <c r="O425" s="157"/>
      <c r="P425" s="157">
        <v>3000</v>
      </c>
      <c r="Q425" s="153">
        <f ca="1">OFFSET(card_type!$A$1,MATCH(card!B425,card_type!B:B,0)-1,0)</f>
        <v>1014</v>
      </c>
      <c r="R425" s="153">
        <v>1</v>
      </c>
      <c r="S425" s="157">
        <f ca="1">ROUND(IF(R425=0,0,IF(R425=1,X425*$S$1,IF(R425=2,X425*$S$1*buff的资质计算!$E$2,IF(R425=3,X425*$S$1*buff的资质计算!$E$3,0)))),0)*0</f>
        <v>0</v>
      </c>
      <c r="T425" s="153">
        <v>1</v>
      </c>
      <c r="U425" s="153">
        <f ca="1" t="shared" si="68"/>
        <v>21</v>
      </c>
      <c r="V425" s="153">
        <f ca="1">ROUND((OFFSET(卡牌辅助配置表!$O$1,MATCH(U425,卡牌辅助配置表!M:M,0)-1,0)+(N425-1)*OFFSET(卡牌辅助配置表!$P$1,MATCH(U425,卡牌辅助配置表!M:M,0)-1,0))*M425,2)</f>
        <v>23.2</v>
      </c>
      <c r="W425" s="157">
        <f ca="1">ROUND(IF(R425=0,0,IF(R425=1,X425*$W$1,IF(R425=2,X425*$W$1*buff的资质计算!$E$2,IF(R425=3,X425*$W$1*buff的资质计算!$E$3,0)))),2)</f>
        <v>7.35</v>
      </c>
      <c r="X425" s="157">
        <f ca="1" t="shared" si="69"/>
        <v>24.5</v>
      </c>
      <c r="Y425" s="157">
        <f ca="1" t="shared" si="75"/>
        <v>24.5</v>
      </c>
      <c r="Z425" s="304">
        <f ca="1" t="shared" si="70"/>
        <v>24.5</v>
      </c>
      <c r="AA425" s="304">
        <f ca="1">OFFSET(卡牌辅助配置表!$AD$1,MATCH(AB425,卡牌辅助配置表!AB:AB,0)-1,0)</f>
        <v>1900</v>
      </c>
      <c r="AB425" s="304">
        <f ca="1" t="shared" si="71"/>
        <v>2130</v>
      </c>
      <c r="AC425" s="153">
        <v>12</v>
      </c>
      <c r="AF425" s="153" t="str">
        <f ca="1" t="shared" si="76"/>
        <v>10140011|</v>
      </c>
      <c r="AJ425" s="205">
        <f ca="1" t="shared" si="72"/>
        <v>0</v>
      </c>
      <c r="AK425" s="205">
        <f ca="1">OFFSET([1]item_type!$A$1,MATCH(Q425,[1]item_type!$G:$G,0)-1,0)</f>
        <v>301014</v>
      </c>
      <c r="AL425" s="205"/>
      <c r="AM425" s="205">
        <f ca="1">IF(B425=B426,OFFSET(卡牌辅助配置表!$AE$1,MATCH(AB425,卡牌辅助配置表!AB:AB,0),0),0)</f>
        <v>0</v>
      </c>
      <c r="AN425" s="153">
        <f ca="1" t="shared" si="73"/>
        <v>0</v>
      </c>
      <c r="AP425" s="153">
        <f ca="1">IF(AC425=0,0,IF(AC425=12,0,OFFSET(effect!$N$1,MATCH(K425,effect!M:M,0)-1,0)))</f>
        <v>0</v>
      </c>
    </row>
    <row r="426" spans="1:42">
      <c r="A426" s="153">
        <f ca="1" t="shared" si="66"/>
        <v>1015001</v>
      </c>
      <c r="B426" s="91" t="s">
        <v>445</v>
      </c>
      <c r="C426" s="186">
        <v>1</v>
      </c>
      <c r="D426" s="186">
        <v>5</v>
      </c>
      <c r="E426" s="165" t="s">
        <v>1050</v>
      </c>
      <c r="F426" s="165" t="str">
        <f>"上一招为拳法时，增加"&amp;skill!$O$49/100&amp;"%伤害"</f>
        <v>上一招为拳法时，增加40%伤害</v>
      </c>
      <c r="G426" s="186">
        <f ca="1">OFFSET(卡牌辅助配置表!$C$1,MATCH(AC426,卡牌辅助配置表!A:A,0)-1,0)</f>
        <v>3</v>
      </c>
      <c r="H426" s="186">
        <f ca="1" t="shared" si="74"/>
        <v>0</v>
      </c>
      <c r="I426" s="186"/>
      <c r="J426" s="186">
        <f ca="1">OFFSET(card_type!$F$1,MATCH(Q426,card_type!A:A,0)-1,0)</f>
        <v>3</v>
      </c>
      <c r="K426" s="243">
        <f ca="1">OFFSET(card_type!$G$1,MATCH(Q426,card_type!A:A,0)-1,0)</f>
        <v>1</v>
      </c>
      <c r="L426" s="157">
        <v>2</v>
      </c>
      <c r="M426" s="157">
        <v>2</v>
      </c>
      <c r="N426" s="153">
        <f t="shared" si="67"/>
        <v>1</v>
      </c>
      <c r="O426" s="157"/>
      <c r="P426" s="157"/>
      <c r="Q426" s="153">
        <f ca="1">OFFSET(card_type!$A$1,MATCH(card!B426,card_type!B:B,0)-1,0)</f>
        <v>1015</v>
      </c>
      <c r="R426" s="153">
        <v>1</v>
      </c>
      <c r="S426" s="157">
        <f ca="1">ROUND(IF(R426=0,0,IF(R426=1,X426*$S$1,IF(R426=2,X426*$S$1*buff的资质计算!$E$2,IF(R426=3,X426*$S$1*buff的资质计算!$E$3,0)))),0)*0</f>
        <v>0</v>
      </c>
      <c r="T426" s="153">
        <v>1</v>
      </c>
      <c r="U426" s="153">
        <f ca="1" t="shared" si="68"/>
        <v>31</v>
      </c>
      <c r="V426" s="153">
        <f ca="1">ROUND((OFFSET(卡牌辅助配置表!$O$1,MATCH(U426,卡牌辅助配置表!M:M,0)-1,0)+(N426-1)*OFFSET(卡牌辅助配置表!$P$1,MATCH(U426,卡牌辅助配置表!M:M,0)-1,0))*M426,2)</f>
        <v>18.95</v>
      </c>
      <c r="W426" s="157">
        <f ca="1">ROUND(IF(R426=0,0,IF(R426=1,X426*$W$1,IF(R426=2,X426*$W$1*buff的资质计算!$E$2,IF(R426=3,X426*$W$1*buff的资质计算!$E$3,0)))),2)</f>
        <v>9.9</v>
      </c>
      <c r="X426" s="157">
        <f ca="1" t="shared" si="69"/>
        <v>33</v>
      </c>
      <c r="Y426" s="157">
        <f ca="1" t="shared" si="75"/>
        <v>33</v>
      </c>
      <c r="Z426" s="304">
        <f ca="1" t="shared" si="70"/>
        <v>16.5</v>
      </c>
      <c r="AA426" s="304">
        <f ca="1">OFFSET(卡牌辅助配置表!$AD$1,MATCH(AB426,卡牌辅助配置表!AB:AB,0)-1,0)</f>
        <v>100</v>
      </c>
      <c r="AB426" s="304">
        <f ca="1" t="shared" si="71"/>
        <v>3101</v>
      </c>
      <c r="AC426" s="153">
        <v>3</v>
      </c>
      <c r="AE426" s="153">
        <v>1</v>
      </c>
      <c r="AF426" s="153" t="str">
        <f ca="1" t="shared" si="76"/>
        <v>10150011|</v>
      </c>
      <c r="AJ426" s="205" t="str">
        <f ca="1" t="shared" si="72"/>
        <v>400023|700|;</v>
      </c>
      <c r="AK426" s="205">
        <f ca="1">OFFSET([1]item_type!$A$1,MATCH(Q426,[1]item_type!$G:$G,0)-1,0)</f>
        <v>301015</v>
      </c>
      <c r="AL426" s="205"/>
      <c r="AM426" s="205">
        <f ca="1">IF(B426=B427,OFFSET(卡牌辅助配置表!$AE$1,MATCH(AB426,卡牌辅助配置表!AB:AB,0),0),0)</f>
        <v>700</v>
      </c>
      <c r="AN426" s="153">
        <f ca="1" t="shared" si="73"/>
        <v>1015002</v>
      </c>
      <c r="AP426" s="153" t="str">
        <f ca="1">IF(AC426=0,0,IF(AC426=12,0,OFFSET(effect!$N$1,MATCH(K426,effect!M:M,0)-1,0)))</f>
        <v>kpsx_pt</v>
      </c>
    </row>
    <row r="427" spans="1:42">
      <c r="A427" s="153">
        <f ca="1" t="shared" si="66"/>
        <v>1015002</v>
      </c>
      <c r="B427" s="91" t="s">
        <v>445</v>
      </c>
      <c r="C427" s="186">
        <v>1</v>
      </c>
      <c r="D427" s="186">
        <v>5</v>
      </c>
      <c r="E427" s="165" t="s">
        <v>1050</v>
      </c>
      <c r="F427" s="165" t="str">
        <f>"上一招为拳法时，增加"&amp;skill!$O$49/100&amp;"%伤害"</f>
        <v>上一招为拳法时，增加40%伤害</v>
      </c>
      <c r="G427" s="186">
        <f ca="1">OFFSET(卡牌辅助配置表!$C$1,MATCH(AC427,卡牌辅助配置表!A:A,0)-1,0)</f>
        <v>3</v>
      </c>
      <c r="H427" s="186">
        <f ca="1" t="shared" si="74"/>
        <v>0</v>
      </c>
      <c r="I427" s="186"/>
      <c r="J427" s="186">
        <f ca="1">OFFSET(card_type!$F$1,MATCH(Q427,card_type!A:A,0)-1,0)</f>
        <v>3</v>
      </c>
      <c r="K427" s="243">
        <f ca="1">OFFSET(card_type!$G$1,MATCH(Q427,card_type!A:A,0)-1,0)</f>
        <v>1</v>
      </c>
      <c r="L427" s="157">
        <v>2</v>
      </c>
      <c r="M427" s="157">
        <v>2</v>
      </c>
      <c r="N427" s="153">
        <f t="shared" si="67"/>
        <v>2</v>
      </c>
      <c r="O427" s="157"/>
      <c r="P427" s="157"/>
      <c r="Q427" s="153">
        <f ca="1">OFFSET(card_type!$A$1,MATCH(card!B427,card_type!B:B,0)-1,0)</f>
        <v>1015</v>
      </c>
      <c r="R427" s="153">
        <v>1</v>
      </c>
      <c r="S427" s="157">
        <f ca="1">ROUND(IF(R427=0,0,IF(R427=1,X427*$S$1,IF(R427=2,X427*$S$1*buff的资质计算!$E$2,IF(R427=3,X427*$S$1*buff的资质计算!$E$3,0)))),0)*0</f>
        <v>0</v>
      </c>
      <c r="T427" s="153">
        <v>1</v>
      </c>
      <c r="U427" s="153">
        <f ca="1" t="shared" si="68"/>
        <v>31</v>
      </c>
      <c r="V427" s="153">
        <f ca="1">ROUND((OFFSET(卡牌辅助配置表!$O$1,MATCH(U427,卡牌辅助配置表!M:M,0)-1,0)+(N427-1)*OFFSET(卡牌辅助配置表!$P$1,MATCH(U427,卡牌辅助配置表!M:M,0)-1,0))*M427,2)</f>
        <v>21.3</v>
      </c>
      <c r="W427" s="157">
        <f ca="1">ROUND(IF(R427=0,0,IF(R427=1,X427*$W$1,IF(R427=2,X427*$W$1*buff的资质计算!$E$2,IF(R427=3,X427*$W$1*buff的资质计算!$E$3,0)))),2)</f>
        <v>10.05</v>
      </c>
      <c r="X427" s="157">
        <f ca="1" t="shared" si="69"/>
        <v>33.5</v>
      </c>
      <c r="Y427" s="157">
        <f ca="1" t="shared" si="75"/>
        <v>33.5</v>
      </c>
      <c r="Z427" s="304">
        <f ca="1" t="shared" si="70"/>
        <v>16.75</v>
      </c>
      <c r="AA427" s="304">
        <f ca="1">OFFSET(卡牌辅助配置表!$AD$1,MATCH(AB427,卡牌辅助配置表!AB:AB,0)-1,0)</f>
        <v>200</v>
      </c>
      <c r="AB427" s="304">
        <f ca="1" t="shared" si="71"/>
        <v>3102</v>
      </c>
      <c r="AC427" s="153">
        <v>3</v>
      </c>
      <c r="AE427" s="153">
        <v>1</v>
      </c>
      <c r="AF427" s="153" t="str">
        <f ca="1" t="shared" si="76"/>
        <v>10150011|</v>
      </c>
      <c r="AJ427" s="205" t="str">
        <f ca="1" t="shared" si="72"/>
        <v>400023|900|;</v>
      </c>
      <c r="AK427" s="205">
        <f ca="1">OFFSET([1]item_type!$A$1,MATCH(Q427,[1]item_type!$G:$G,0)-1,0)</f>
        <v>301015</v>
      </c>
      <c r="AL427" s="205"/>
      <c r="AM427" s="205">
        <f ca="1">IF(B427=B428,OFFSET(卡牌辅助配置表!$AE$1,MATCH(AB427,卡牌辅助配置表!AB:AB,0),0),0)</f>
        <v>900</v>
      </c>
      <c r="AN427" s="153">
        <f ca="1" t="shared" si="73"/>
        <v>1015003</v>
      </c>
      <c r="AP427" s="153" t="str">
        <f ca="1">IF(AC427=0,0,IF(AC427=12,0,OFFSET(effect!$N$1,MATCH(K427,effect!M:M,0)-1,0)))</f>
        <v>kpsx_pt</v>
      </c>
    </row>
    <row r="428" spans="1:42">
      <c r="A428" s="153">
        <f ca="1" t="shared" si="66"/>
        <v>1015003</v>
      </c>
      <c r="B428" s="91" t="s">
        <v>445</v>
      </c>
      <c r="C428" s="186">
        <v>1</v>
      </c>
      <c r="D428" s="186">
        <v>5</v>
      </c>
      <c r="E428" s="165" t="s">
        <v>1050</v>
      </c>
      <c r="F428" s="165" t="str">
        <f>"上一招为拳法时，增加"&amp;skill!$O$49/100&amp;"%伤害"</f>
        <v>上一招为拳法时，增加40%伤害</v>
      </c>
      <c r="G428" s="186">
        <f ca="1">OFFSET(卡牌辅助配置表!$C$1,MATCH(AC428,卡牌辅助配置表!A:A,0)-1,0)</f>
        <v>3</v>
      </c>
      <c r="H428" s="186">
        <f ca="1" t="shared" si="74"/>
        <v>0</v>
      </c>
      <c r="I428" s="186"/>
      <c r="J428" s="186">
        <f ca="1">OFFSET(card_type!$F$1,MATCH(Q428,card_type!A:A,0)-1,0)</f>
        <v>3</v>
      </c>
      <c r="K428" s="243">
        <f ca="1">OFFSET(card_type!$G$1,MATCH(Q428,card_type!A:A,0)-1,0)</f>
        <v>1</v>
      </c>
      <c r="L428" s="157">
        <v>2</v>
      </c>
      <c r="M428" s="157">
        <v>2</v>
      </c>
      <c r="N428" s="153">
        <f t="shared" si="67"/>
        <v>3</v>
      </c>
      <c r="O428" s="157"/>
      <c r="P428" s="157"/>
      <c r="Q428" s="153">
        <f ca="1">OFFSET(card_type!$A$1,MATCH(card!B428,card_type!B:B,0)-1,0)</f>
        <v>1015</v>
      </c>
      <c r="R428" s="153">
        <v>1</v>
      </c>
      <c r="S428" s="157">
        <f ca="1">ROUND(IF(R428=0,0,IF(R428=1,X428*$S$1,IF(R428=2,X428*$S$1*buff的资质计算!$E$2,IF(R428=3,X428*$S$1*buff的资质计算!$E$3,0)))),0)*0</f>
        <v>0</v>
      </c>
      <c r="T428" s="153">
        <v>1</v>
      </c>
      <c r="U428" s="153">
        <f ca="1" t="shared" si="68"/>
        <v>31</v>
      </c>
      <c r="V428" s="153">
        <f ca="1">ROUND((OFFSET(卡牌辅助配置表!$O$1,MATCH(U428,卡牌辅助配置表!M:M,0)-1,0)+(N428-1)*OFFSET(卡牌辅助配置表!$P$1,MATCH(U428,卡牌辅助配置表!M:M,0)-1,0))*M428,2)</f>
        <v>23.66</v>
      </c>
      <c r="W428" s="157">
        <f ca="1">ROUND(IF(R428=0,0,IF(R428=1,X428*$W$1,IF(R428=2,X428*$W$1*buff的资质计算!$E$2,IF(R428=3,X428*$W$1*buff的资质计算!$E$3,0)))),2)</f>
        <v>10.2</v>
      </c>
      <c r="X428" s="157">
        <f ca="1" t="shared" si="69"/>
        <v>34</v>
      </c>
      <c r="Y428" s="157">
        <f ca="1" t="shared" si="75"/>
        <v>34</v>
      </c>
      <c r="Z428" s="304">
        <f ca="1" t="shared" si="70"/>
        <v>17</v>
      </c>
      <c r="AA428" s="304">
        <f ca="1">OFFSET(卡牌辅助配置表!$AD$1,MATCH(AB428,卡牌辅助配置表!AB:AB,0)-1,0)</f>
        <v>300</v>
      </c>
      <c r="AB428" s="304">
        <f ca="1" t="shared" si="71"/>
        <v>3103</v>
      </c>
      <c r="AC428" s="153">
        <v>3</v>
      </c>
      <c r="AE428" s="153">
        <v>1</v>
      </c>
      <c r="AF428" s="153" t="str">
        <f ca="1" t="shared" si="76"/>
        <v>10150011|</v>
      </c>
      <c r="AJ428" s="205" t="str">
        <f ca="1" t="shared" si="72"/>
        <v>400023|1100|;</v>
      </c>
      <c r="AK428" s="205">
        <f ca="1">OFFSET([1]item_type!$A$1,MATCH(Q428,[1]item_type!$G:$G,0)-1,0)</f>
        <v>301015</v>
      </c>
      <c r="AL428" s="205"/>
      <c r="AM428" s="205">
        <f ca="1">IF(B428=B429,OFFSET(卡牌辅助配置表!$AE$1,MATCH(AB428,卡牌辅助配置表!AB:AB,0),0),0)</f>
        <v>1100</v>
      </c>
      <c r="AN428" s="153">
        <f ca="1" t="shared" si="73"/>
        <v>1015004</v>
      </c>
      <c r="AP428" s="153" t="str">
        <f ca="1">IF(AC428=0,0,IF(AC428=12,0,OFFSET(effect!$N$1,MATCH(K428,effect!M:M,0)-1,0)))</f>
        <v>kpsx_pt</v>
      </c>
    </row>
    <row r="429" spans="1:42">
      <c r="A429" s="153">
        <f ca="1" t="shared" si="66"/>
        <v>1015004</v>
      </c>
      <c r="B429" s="91" t="s">
        <v>445</v>
      </c>
      <c r="C429" s="186">
        <v>1</v>
      </c>
      <c r="D429" s="186">
        <v>5</v>
      </c>
      <c r="E429" s="165" t="s">
        <v>1050</v>
      </c>
      <c r="F429" s="165" t="str">
        <f>"上一招为拳法时，增加"&amp;skill!$O$49/100&amp;"%伤害"</f>
        <v>上一招为拳法时，增加40%伤害</v>
      </c>
      <c r="G429" s="186">
        <f ca="1">OFFSET(卡牌辅助配置表!$C$1,MATCH(AC429,卡牌辅助配置表!A:A,0)-1,0)</f>
        <v>3</v>
      </c>
      <c r="H429" s="186">
        <f ca="1" t="shared" si="74"/>
        <v>0</v>
      </c>
      <c r="I429" s="186"/>
      <c r="J429" s="186">
        <f ca="1">OFFSET(card_type!$F$1,MATCH(Q429,card_type!A:A,0)-1,0)</f>
        <v>3</v>
      </c>
      <c r="K429" s="243">
        <f ca="1">OFFSET(card_type!$G$1,MATCH(Q429,card_type!A:A,0)-1,0)</f>
        <v>1</v>
      </c>
      <c r="L429" s="157">
        <v>2</v>
      </c>
      <c r="M429" s="157">
        <v>2</v>
      </c>
      <c r="N429" s="153">
        <f t="shared" si="67"/>
        <v>4</v>
      </c>
      <c r="O429" s="157"/>
      <c r="P429" s="157"/>
      <c r="Q429" s="153">
        <f ca="1">OFFSET(card_type!$A$1,MATCH(card!B429,card_type!B:B,0)-1,0)</f>
        <v>1015</v>
      </c>
      <c r="R429" s="153">
        <v>1</v>
      </c>
      <c r="S429" s="157">
        <f ca="1">ROUND(IF(R429=0,0,IF(R429=1,X429*$S$1,IF(R429=2,X429*$S$1*buff的资质计算!$E$2,IF(R429=3,X429*$S$1*buff的资质计算!$E$3,0)))),0)*0</f>
        <v>0</v>
      </c>
      <c r="T429" s="153">
        <v>1</v>
      </c>
      <c r="U429" s="153">
        <f ca="1" t="shared" si="68"/>
        <v>31</v>
      </c>
      <c r="V429" s="153">
        <f ca="1">ROUND((OFFSET(卡牌辅助配置表!$O$1,MATCH(U429,卡牌辅助配置表!M:M,0)-1,0)+(N429-1)*OFFSET(卡牌辅助配置表!$P$1,MATCH(U429,卡牌辅助配置表!M:M,0)-1,0))*M429,2)</f>
        <v>26.01</v>
      </c>
      <c r="W429" s="157">
        <f ca="1">ROUND(IF(R429=0,0,IF(R429=1,X429*$W$1,IF(R429=2,X429*$W$1*buff的资质计算!$E$2,IF(R429=3,X429*$W$1*buff的资质计算!$E$3,0)))),2)</f>
        <v>10.35</v>
      </c>
      <c r="X429" s="157">
        <f ca="1" t="shared" si="69"/>
        <v>34.5</v>
      </c>
      <c r="Y429" s="157">
        <f ca="1" t="shared" si="75"/>
        <v>34.5</v>
      </c>
      <c r="Z429" s="304">
        <f ca="1" t="shared" si="70"/>
        <v>17.25</v>
      </c>
      <c r="AA429" s="304">
        <f ca="1">OFFSET(卡牌辅助配置表!$AD$1,MATCH(AB429,卡牌辅助配置表!AB:AB,0)-1,0)</f>
        <v>400</v>
      </c>
      <c r="AB429" s="304">
        <f ca="1" t="shared" si="71"/>
        <v>3104</v>
      </c>
      <c r="AC429" s="153">
        <v>3</v>
      </c>
      <c r="AE429" s="153">
        <v>1</v>
      </c>
      <c r="AF429" s="153" t="str">
        <f ca="1" t="shared" si="76"/>
        <v>10150011|</v>
      </c>
      <c r="AJ429" s="205" t="str">
        <f ca="1" t="shared" si="72"/>
        <v>400023|1300|;</v>
      </c>
      <c r="AK429" s="205">
        <f ca="1">OFFSET([1]item_type!$A$1,MATCH(Q429,[1]item_type!$G:$G,0)-1,0)</f>
        <v>301015</v>
      </c>
      <c r="AL429" s="205"/>
      <c r="AM429" s="205">
        <f ca="1">IF(B429=B430,OFFSET(卡牌辅助配置表!$AE$1,MATCH(AB429,卡牌辅助配置表!AB:AB,0),0),0)</f>
        <v>1300</v>
      </c>
      <c r="AN429" s="153">
        <f ca="1" t="shared" si="73"/>
        <v>1015005</v>
      </c>
      <c r="AP429" s="153" t="str">
        <f ca="1">IF(AC429=0,0,IF(AC429=12,0,OFFSET(effect!$N$1,MATCH(K429,effect!M:M,0)-1,0)))</f>
        <v>kpsx_pt</v>
      </c>
    </row>
    <row r="430" spans="1:42">
      <c r="A430" s="153">
        <f ca="1" t="shared" si="66"/>
        <v>1015005</v>
      </c>
      <c r="B430" s="91" t="s">
        <v>445</v>
      </c>
      <c r="C430" s="186">
        <v>1</v>
      </c>
      <c r="D430" s="186">
        <v>5</v>
      </c>
      <c r="E430" s="165" t="s">
        <v>1050</v>
      </c>
      <c r="F430" s="165" t="str">
        <f>"上一招为拳法时，增加"&amp;skill!$O$49/100&amp;"%伤害"</f>
        <v>上一招为拳法时，增加40%伤害</v>
      </c>
      <c r="G430" s="186">
        <f ca="1">OFFSET(卡牌辅助配置表!$C$1,MATCH(AC430,卡牌辅助配置表!A:A,0)-1,0)</f>
        <v>3</v>
      </c>
      <c r="H430" s="186">
        <f ca="1" t="shared" si="74"/>
        <v>0</v>
      </c>
      <c r="I430" s="186"/>
      <c r="J430" s="186">
        <f ca="1">OFFSET(card_type!$F$1,MATCH(Q430,card_type!A:A,0)-1,0)</f>
        <v>3</v>
      </c>
      <c r="K430" s="243">
        <f ca="1">OFFSET(card_type!$G$1,MATCH(Q430,card_type!A:A,0)-1,0)</f>
        <v>1</v>
      </c>
      <c r="L430" s="157">
        <v>2</v>
      </c>
      <c r="M430" s="157">
        <v>2</v>
      </c>
      <c r="N430" s="153">
        <f t="shared" si="67"/>
        <v>5</v>
      </c>
      <c r="O430" s="157"/>
      <c r="P430" s="157"/>
      <c r="Q430" s="153">
        <f ca="1">OFFSET(card_type!$A$1,MATCH(card!B430,card_type!B:B,0)-1,0)</f>
        <v>1015</v>
      </c>
      <c r="R430" s="153">
        <v>1</v>
      </c>
      <c r="S430" s="157">
        <f ca="1">ROUND(IF(R430=0,0,IF(R430=1,X430*$S$1,IF(R430=2,X430*$S$1*buff的资质计算!$E$2,IF(R430=3,X430*$S$1*buff的资质计算!$E$3,0)))),0)*0</f>
        <v>0</v>
      </c>
      <c r="T430" s="153">
        <v>1</v>
      </c>
      <c r="U430" s="153">
        <f ca="1" t="shared" si="68"/>
        <v>31</v>
      </c>
      <c r="V430" s="153">
        <f ca="1">ROUND((OFFSET(卡牌辅助配置表!$O$1,MATCH(U430,卡牌辅助配置表!M:M,0)-1,0)+(N430-1)*OFFSET(卡牌辅助配置表!$P$1,MATCH(U430,卡牌辅助配置表!M:M,0)-1,0))*M430,2)</f>
        <v>28.36</v>
      </c>
      <c r="W430" s="157">
        <f ca="1">ROUND(IF(R430=0,0,IF(R430=1,X430*$W$1,IF(R430=2,X430*$W$1*buff的资质计算!$E$2,IF(R430=3,X430*$W$1*buff的资质计算!$E$3,0)))),2)</f>
        <v>10.5</v>
      </c>
      <c r="X430" s="157">
        <f ca="1" t="shared" si="69"/>
        <v>35</v>
      </c>
      <c r="Y430" s="157">
        <f ca="1" t="shared" si="75"/>
        <v>35</v>
      </c>
      <c r="Z430" s="304">
        <f ca="1" t="shared" si="70"/>
        <v>17.5</v>
      </c>
      <c r="AA430" s="304">
        <f ca="1">OFFSET(卡牌辅助配置表!$AD$1,MATCH(AB430,卡牌辅助配置表!AB:AB,0)-1,0)</f>
        <v>500</v>
      </c>
      <c r="AB430" s="304">
        <f ca="1" t="shared" si="71"/>
        <v>3105</v>
      </c>
      <c r="AC430" s="153">
        <v>3</v>
      </c>
      <c r="AE430" s="153">
        <v>1</v>
      </c>
      <c r="AF430" s="153" t="str">
        <f ca="1" t="shared" si="76"/>
        <v>10150011|</v>
      </c>
      <c r="AJ430" s="205" t="str">
        <f ca="1" t="shared" si="72"/>
        <v>400023|1500|;</v>
      </c>
      <c r="AK430" s="205">
        <f ca="1">OFFSET([1]item_type!$A$1,MATCH(Q430,[1]item_type!$G:$G,0)-1,0)</f>
        <v>301015</v>
      </c>
      <c r="AL430" s="205"/>
      <c r="AM430" s="205">
        <f ca="1">IF(B430=B431,OFFSET(卡牌辅助配置表!$AE$1,MATCH(AB430,卡牌辅助配置表!AB:AB,0),0),0)</f>
        <v>1500</v>
      </c>
      <c r="AN430" s="153">
        <f ca="1" t="shared" si="73"/>
        <v>1015006</v>
      </c>
      <c r="AP430" s="153" t="str">
        <f ca="1">IF(AC430=0,0,IF(AC430=12,0,OFFSET(effect!$N$1,MATCH(K430,effect!M:M,0)-1,0)))</f>
        <v>kpsx_pt</v>
      </c>
    </row>
    <row r="431" spans="1:42">
      <c r="A431" s="153">
        <f ca="1" t="shared" si="66"/>
        <v>1015006</v>
      </c>
      <c r="B431" s="91" t="s">
        <v>445</v>
      </c>
      <c r="C431" s="186">
        <v>1</v>
      </c>
      <c r="D431" s="186">
        <v>5</v>
      </c>
      <c r="E431" s="165" t="s">
        <v>1050</v>
      </c>
      <c r="F431" s="165" t="str">
        <f>"上一招为拳法时，增加"&amp;skill!$O$49/100&amp;"%伤害"</f>
        <v>上一招为拳法时，增加40%伤害</v>
      </c>
      <c r="G431" s="186">
        <f ca="1">OFFSET(卡牌辅助配置表!$C$1,MATCH(AC431,卡牌辅助配置表!A:A,0)-1,0)</f>
        <v>3</v>
      </c>
      <c r="H431" s="186">
        <f ca="1" t="shared" si="74"/>
        <v>0</v>
      </c>
      <c r="I431" s="186"/>
      <c r="J431" s="186">
        <f ca="1">OFFSET(card_type!$F$1,MATCH(Q431,card_type!A:A,0)-1,0)</f>
        <v>3</v>
      </c>
      <c r="K431" s="243">
        <f ca="1">OFFSET(card_type!$G$1,MATCH(Q431,card_type!A:A,0)-1,0)</f>
        <v>1</v>
      </c>
      <c r="L431" s="157">
        <v>2</v>
      </c>
      <c r="M431" s="157">
        <v>2</v>
      </c>
      <c r="N431" s="153">
        <f t="shared" si="67"/>
        <v>6</v>
      </c>
      <c r="O431" s="157"/>
      <c r="P431" s="157"/>
      <c r="Q431" s="153">
        <f ca="1">OFFSET(card_type!$A$1,MATCH(card!B431,card_type!B:B,0)-1,0)</f>
        <v>1015</v>
      </c>
      <c r="R431" s="153">
        <v>1</v>
      </c>
      <c r="S431" s="157">
        <f ca="1">ROUND(IF(R431=0,0,IF(R431=1,X431*$S$1,IF(R431=2,X431*$S$1*buff的资质计算!$E$2,IF(R431=3,X431*$S$1*buff的资质计算!$E$3,0)))),0)*0</f>
        <v>0</v>
      </c>
      <c r="T431" s="153">
        <v>1</v>
      </c>
      <c r="U431" s="153">
        <f ca="1" t="shared" si="68"/>
        <v>31</v>
      </c>
      <c r="V431" s="153">
        <f ca="1">ROUND((OFFSET(卡牌辅助配置表!$O$1,MATCH(U431,卡牌辅助配置表!M:M,0)-1,0)+(N431-1)*OFFSET(卡牌辅助配置表!$P$1,MATCH(U431,卡牌辅助配置表!M:M,0)-1,0))*M431,2)</f>
        <v>30.72</v>
      </c>
      <c r="W431" s="157">
        <f ca="1">ROUND(IF(R431=0,0,IF(R431=1,X431*$W$1,IF(R431=2,X431*$W$1*buff的资质计算!$E$2,IF(R431=3,X431*$W$1*buff的资质计算!$E$3,0)))),2)</f>
        <v>10.65</v>
      </c>
      <c r="X431" s="157">
        <f ca="1" t="shared" si="69"/>
        <v>35.5</v>
      </c>
      <c r="Y431" s="157">
        <f ca="1" t="shared" si="75"/>
        <v>35.5</v>
      </c>
      <c r="Z431" s="304">
        <f ca="1" t="shared" si="70"/>
        <v>17.75</v>
      </c>
      <c r="AA431" s="304">
        <f ca="1">OFFSET(卡牌辅助配置表!$AD$1,MATCH(AB431,卡牌辅助配置表!AB:AB,0)-1,0)</f>
        <v>600</v>
      </c>
      <c r="AB431" s="304">
        <f ca="1" t="shared" si="71"/>
        <v>3106</v>
      </c>
      <c r="AC431" s="153">
        <v>3</v>
      </c>
      <c r="AE431" s="153">
        <v>1</v>
      </c>
      <c r="AF431" s="153" t="str">
        <f ca="1" t="shared" si="76"/>
        <v>10150011|</v>
      </c>
      <c r="AJ431" s="205" t="str">
        <f ca="1" t="shared" si="72"/>
        <v>400023|1700|;</v>
      </c>
      <c r="AK431" s="205">
        <f ca="1">OFFSET([1]item_type!$A$1,MATCH(Q431,[1]item_type!$G:$G,0)-1,0)</f>
        <v>301015</v>
      </c>
      <c r="AL431" s="205"/>
      <c r="AM431" s="205">
        <f ca="1">IF(B431=B432,OFFSET(卡牌辅助配置表!$AE$1,MATCH(AB431,卡牌辅助配置表!AB:AB,0),0),0)</f>
        <v>1700</v>
      </c>
      <c r="AN431" s="153">
        <f ca="1" t="shared" si="73"/>
        <v>1015007</v>
      </c>
      <c r="AP431" s="153" t="str">
        <f ca="1">IF(AC431=0,0,IF(AC431=12,0,OFFSET(effect!$N$1,MATCH(K431,effect!M:M,0)-1,0)))</f>
        <v>kpsx_pt</v>
      </c>
    </row>
    <row r="432" spans="1:42">
      <c r="A432" s="153">
        <f ca="1" t="shared" si="66"/>
        <v>1015007</v>
      </c>
      <c r="B432" s="91" t="s">
        <v>445</v>
      </c>
      <c r="C432" s="186">
        <v>1</v>
      </c>
      <c r="D432" s="186">
        <v>5</v>
      </c>
      <c r="E432" s="165" t="s">
        <v>1050</v>
      </c>
      <c r="F432" s="165" t="str">
        <f>"上一招为拳法时，增加"&amp;skill!$O$49/100&amp;"%伤害"</f>
        <v>上一招为拳法时，增加40%伤害</v>
      </c>
      <c r="G432" s="186">
        <f ca="1">OFFSET(卡牌辅助配置表!$C$1,MATCH(AC432,卡牌辅助配置表!A:A,0)-1,0)</f>
        <v>3</v>
      </c>
      <c r="H432" s="186">
        <f ca="1" t="shared" si="74"/>
        <v>0</v>
      </c>
      <c r="I432" s="186"/>
      <c r="J432" s="186">
        <f ca="1">OFFSET(card_type!$F$1,MATCH(Q432,card_type!A:A,0)-1,0)</f>
        <v>3</v>
      </c>
      <c r="K432" s="243">
        <f ca="1">OFFSET(card_type!$G$1,MATCH(Q432,card_type!A:A,0)-1,0)</f>
        <v>1</v>
      </c>
      <c r="L432" s="157">
        <v>2</v>
      </c>
      <c r="M432" s="157">
        <v>2</v>
      </c>
      <c r="N432" s="153">
        <f t="shared" si="67"/>
        <v>7</v>
      </c>
      <c r="O432" s="157"/>
      <c r="P432" s="157"/>
      <c r="Q432" s="153">
        <f ca="1">OFFSET(card_type!$A$1,MATCH(card!B432,card_type!B:B,0)-1,0)</f>
        <v>1015</v>
      </c>
      <c r="R432" s="153">
        <v>1</v>
      </c>
      <c r="S432" s="157">
        <f ca="1">ROUND(IF(R432=0,0,IF(R432=1,X432*$S$1,IF(R432=2,X432*$S$1*buff的资质计算!$E$2,IF(R432=3,X432*$S$1*buff的资质计算!$E$3,0)))),0)*0</f>
        <v>0</v>
      </c>
      <c r="T432" s="153">
        <v>1</v>
      </c>
      <c r="U432" s="153">
        <f ca="1" t="shared" si="68"/>
        <v>31</v>
      </c>
      <c r="V432" s="153">
        <f ca="1">ROUND((OFFSET(卡牌辅助配置表!$O$1,MATCH(U432,卡牌辅助配置表!M:M,0)-1,0)+(N432-1)*OFFSET(卡牌辅助配置表!$P$1,MATCH(U432,卡牌辅助配置表!M:M,0)-1,0))*M432,2)</f>
        <v>33.07</v>
      </c>
      <c r="W432" s="157">
        <f ca="1">ROUND(IF(R432=0,0,IF(R432=1,X432*$W$1,IF(R432=2,X432*$W$1*buff的资质计算!$E$2,IF(R432=3,X432*$W$1*buff的资质计算!$E$3,0)))),2)</f>
        <v>10.8</v>
      </c>
      <c r="X432" s="157">
        <f ca="1" t="shared" si="69"/>
        <v>36</v>
      </c>
      <c r="Y432" s="157">
        <f ca="1" t="shared" si="75"/>
        <v>36</v>
      </c>
      <c r="Z432" s="304">
        <f ca="1" t="shared" si="70"/>
        <v>18</v>
      </c>
      <c r="AA432" s="304">
        <f ca="1">OFFSET(卡牌辅助配置表!$AD$1,MATCH(AB432,卡牌辅助配置表!AB:AB,0)-1,0)</f>
        <v>700</v>
      </c>
      <c r="AB432" s="304">
        <f ca="1" t="shared" si="71"/>
        <v>3107</v>
      </c>
      <c r="AC432" s="153">
        <v>3</v>
      </c>
      <c r="AE432" s="153">
        <v>1</v>
      </c>
      <c r="AF432" s="153" t="str">
        <f ca="1" t="shared" si="76"/>
        <v>10150011|</v>
      </c>
      <c r="AJ432" s="205" t="str">
        <f ca="1" t="shared" si="72"/>
        <v>400023|1900|;</v>
      </c>
      <c r="AK432" s="205">
        <f ca="1">OFFSET([1]item_type!$A$1,MATCH(Q432,[1]item_type!$G:$G,0)-1,0)</f>
        <v>301015</v>
      </c>
      <c r="AL432" s="205"/>
      <c r="AM432" s="205">
        <f ca="1">IF(B432=B433,OFFSET(卡牌辅助配置表!$AE$1,MATCH(AB432,卡牌辅助配置表!AB:AB,0),0),0)</f>
        <v>1900</v>
      </c>
      <c r="AN432" s="153">
        <f ca="1" t="shared" si="73"/>
        <v>1015008</v>
      </c>
      <c r="AP432" s="153" t="str">
        <f ca="1">IF(AC432=0,0,IF(AC432=12,0,OFFSET(effect!$N$1,MATCH(K432,effect!M:M,0)-1,0)))</f>
        <v>kpsx_pt</v>
      </c>
    </row>
    <row r="433" spans="1:42">
      <c r="A433" s="153">
        <f ca="1" t="shared" si="66"/>
        <v>1015008</v>
      </c>
      <c r="B433" s="91" t="s">
        <v>445</v>
      </c>
      <c r="C433" s="186">
        <v>1</v>
      </c>
      <c r="D433" s="186">
        <v>5</v>
      </c>
      <c r="E433" s="165" t="s">
        <v>1050</v>
      </c>
      <c r="F433" s="165" t="str">
        <f>"上一招为拳法时，增加"&amp;skill!$O$49/100&amp;"%伤害"</f>
        <v>上一招为拳法时，增加40%伤害</v>
      </c>
      <c r="G433" s="186">
        <f ca="1">OFFSET(卡牌辅助配置表!$C$1,MATCH(AC433,卡牌辅助配置表!A:A,0)-1,0)</f>
        <v>3</v>
      </c>
      <c r="H433" s="186">
        <f ca="1" t="shared" si="74"/>
        <v>0</v>
      </c>
      <c r="I433" s="186"/>
      <c r="J433" s="186">
        <f ca="1">OFFSET(card_type!$F$1,MATCH(Q433,card_type!A:A,0)-1,0)</f>
        <v>3</v>
      </c>
      <c r="K433" s="243">
        <f ca="1">OFFSET(card_type!$G$1,MATCH(Q433,card_type!A:A,0)-1,0)</f>
        <v>1</v>
      </c>
      <c r="L433" s="157">
        <v>2</v>
      </c>
      <c r="M433" s="157">
        <v>2</v>
      </c>
      <c r="N433" s="153">
        <f t="shared" si="67"/>
        <v>8</v>
      </c>
      <c r="O433" s="157"/>
      <c r="P433" s="157"/>
      <c r="Q433" s="153">
        <f ca="1">OFFSET(card_type!$A$1,MATCH(card!B433,card_type!B:B,0)-1,0)</f>
        <v>1015</v>
      </c>
      <c r="R433" s="153">
        <v>1</v>
      </c>
      <c r="S433" s="157">
        <f ca="1">ROUND(IF(R433=0,0,IF(R433=1,X433*$S$1,IF(R433=2,X433*$S$1*buff的资质计算!$E$2,IF(R433=3,X433*$S$1*buff的资质计算!$E$3,0)))),0)*0</f>
        <v>0</v>
      </c>
      <c r="T433" s="153">
        <v>1</v>
      </c>
      <c r="U433" s="153">
        <f ca="1" t="shared" si="68"/>
        <v>31</v>
      </c>
      <c r="V433" s="153">
        <f ca="1">ROUND((OFFSET(卡牌辅助配置表!$O$1,MATCH(U433,卡牌辅助配置表!M:M,0)-1,0)+(N433-1)*OFFSET(卡牌辅助配置表!$P$1,MATCH(U433,卡牌辅助配置表!M:M,0)-1,0))*M433,2)</f>
        <v>35.43</v>
      </c>
      <c r="W433" s="157">
        <f ca="1">ROUND(IF(R433=0,0,IF(R433=1,X433*$W$1,IF(R433=2,X433*$W$1*buff的资质计算!$E$2,IF(R433=3,X433*$W$1*buff的资质计算!$E$3,0)))),2)</f>
        <v>10.95</v>
      </c>
      <c r="X433" s="157">
        <f ca="1" t="shared" si="69"/>
        <v>36.5</v>
      </c>
      <c r="Y433" s="157">
        <f ca="1" t="shared" si="75"/>
        <v>36.5</v>
      </c>
      <c r="Z433" s="304">
        <f ca="1" t="shared" si="70"/>
        <v>18.25</v>
      </c>
      <c r="AA433" s="304">
        <f ca="1">OFFSET(卡牌辅助配置表!$AD$1,MATCH(AB433,卡牌辅助配置表!AB:AB,0)-1,0)</f>
        <v>800</v>
      </c>
      <c r="AB433" s="304">
        <f ca="1" t="shared" si="71"/>
        <v>3108</v>
      </c>
      <c r="AC433" s="153">
        <v>3</v>
      </c>
      <c r="AE433" s="153">
        <v>1</v>
      </c>
      <c r="AF433" s="153" t="str">
        <f ca="1" t="shared" si="76"/>
        <v>10150011|</v>
      </c>
      <c r="AJ433" s="205" t="str">
        <f ca="1" t="shared" si="72"/>
        <v>400023|2100|;</v>
      </c>
      <c r="AK433" s="205">
        <f ca="1">OFFSET([1]item_type!$A$1,MATCH(Q433,[1]item_type!$G:$G,0)-1,0)</f>
        <v>301015</v>
      </c>
      <c r="AL433" s="205"/>
      <c r="AM433" s="205">
        <f ca="1">IF(B433=B434,OFFSET(卡牌辅助配置表!$AE$1,MATCH(AB433,卡牌辅助配置表!AB:AB,0),0),0)</f>
        <v>2100</v>
      </c>
      <c r="AN433" s="153">
        <f ca="1" t="shared" si="73"/>
        <v>1015009</v>
      </c>
      <c r="AP433" s="153" t="str">
        <f ca="1">IF(AC433=0,0,IF(AC433=12,0,OFFSET(effect!$N$1,MATCH(K433,effect!M:M,0)-1,0)))</f>
        <v>kpsx_pt</v>
      </c>
    </row>
    <row r="434" spans="1:42">
      <c r="A434" s="153">
        <f ca="1" t="shared" si="66"/>
        <v>1015009</v>
      </c>
      <c r="B434" s="91" t="s">
        <v>445</v>
      </c>
      <c r="C434" s="186">
        <v>1</v>
      </c>
      <c r="D434" s="186">
        <v>5</v>
      </c>
      <c r="E434" s="165" t="s">
        <v>1050</v>
      </c>
      <c r="F434" s="165" t="str">
        <f>"上一招为拳法时，增加"&amp;skill!$O$49/100&amp;"%伤害"</f>
        <v>上一招为拳法时，增加40%伤害</v>
      </c>
      <c r="G434" s="186">
        <f ca="1">OFFSET(卡牌辅助配置表!$C$1,MATCH(AC434,卡牌辅助配置表!A:A,0)-1,0)</f>
        <v>3</v>
      </c>
      <c r="H434" s="186">
        <f ca="1" t="shared" si="74"/>
        <v>0</v>
      </c>
      <c r="I434" s="186"/>
      <c r="J434" s="186">
        <f ca="1">OFFSET(card_type!$F$1,MATCH(Q434,card_type!A:A,0)-1,0)</f>
        <v>3</v>
      </c>
      <c r="K434" s="243">
        <f ca="1">OFFSET(card_type!$G$1,MATCH(Q434,card_type!A:A,0)-1,0)</f>
        <v>1</v>
      </c>
      <c r="L434" s="157">
        <v>2</v>
      </c>
      <c r="M434" s="157">
        <v>2</v>
      </c>
      <c r="N434" s="153">
        <f t="shared" si="67"/>
        <v>9</v>
      </c>
      <c r="O434" s="157"/>
      <c r="P434" s="157"/>
      <c r="Q434" s="153">
        <f ca="1">OFFSET(card_type!$A$1,MATCH(card!B434,card_type!B:B,0)-1,0)</f>
        <v>1015</v>
      </c>
      <c r="R434" s="153">
        <v>1</v>
      </c>
      <c r="S434" s="157">
        <f ca="1">ROUND(IF(R434=0,0,IF(R434=1,X434*$S$1,IF(R434=2,X434*$S$1*buff的资质计算!$E$2,IF(R434=3,X434*$S$1*buff的资质计算!$E$3,0)))),0)*0</f>
        <v>0</v>
      </c>
      <c r="T434" s="153">
        <v>1</v>
      </c>
      <c r="U434" s="153">
        <f ca="1" t="shared" si="68"/>
        <v>31</v>
      </c>
      <c r="V434" s="153">
        <f ca="1">ROUND((OFFSET(卡牌辅助配置表!$O$1,MATCH(U434,卡牌辅助配置表!M:M,0)-1,0)+(N434-1)*OFFSET(卡牌辅助配置表!$P$1,MATCH(U434,卡牌辅助配置表!M:M,0)-1,0))*M434,2)</f>
        <v>37.78</v>
      </c>
      <c r="W434" s="157">
        <f ca="1">ROUND(IF(R434=0,0,IF(R434=1,X434*$W$1,IF(R434=2,X434*$W$1*buff的资质计算!$E$2,IF(R434=3,X434*$W$1*buff的资质计算!$E$3,0)))),2)</f>
        <v>11.1</v>
      </c>
      <c r="X434" s="157">
        <f ca="1" t="shared" si="69"/>
        <v>37</v>
      </c>
      <c r="Y434" s="157">
        <f ca="1" t="shared" si="75"/>
        <v>37</v>
      </c>
      <c r="Z434" s="304">
        <f ca="1" t="shared" si="70"/>
        <v>18.5</v>
      </c>
      <c r="AA434" s="304">
        <f ca="1">OFFSET(卡牌辅助配置表!$AD$1,MATCH(AB434,卡牌辅助配置表!AB:AB,0)-1,0)</f>
        <v>900</v>
      </c>
      <c r="AB434" s="304">
        <f ca="1" t="shared" si="71"/>
        <v>3109</v>
      </c>
      <c r="AC434" s="153">
        <v>3</v>
      </c>
      <c r="AE434" s="153">
        <v>1</v>
      </c>
      <c r="AF434" s="153" t="str">
        <f ca="1" t="shared" si="76"/>
        <v>10150011|</v>
      </c>
      <c r="AJ434" s="205" t="str">
        <f ca="1" t="shared" si="72"/>
        <v>301015|15|;400023|2300|;</v>
      </c>
      <c r="AK434" s="205">
        <f ca="1">OFFSET([1]item_type!$A$1,MATCH(Q434,[1]item_type!$G:$G,0)-1,0)</f>
        <v>301015</v>
      </c>
      <c r="AL434" s="205">
        <v>15</v>
      </c>
      <c r="AM434" s="205">
        <f ca="1">IF(B434=B435,OFFSET(卡牌辅助配置表!$AE$1,MATCH(AB434,卡牌辅助配置表!AB:AB,0),0),0)</f>
        <v>2300</v>
      </c>
      <c r="AN434" s="153">
        <f ca="1" t="shared" si="73"/>
        <v>1015010</v>
      </c>
      <c r="AP434" s="153" t="str">
        <f ca="1">IF(AC434=0,0,IF(AC434=12,0,OFFSET(effect!$N$1,MATCH(K434,effect!M:M,0)-1,0)))</f>
        <v>kpsx_pt</v>
      </c>
    </row>
    <row r="435" spans="1:42">
      <c r="A435" s="153">
        <f ca="1" t="shared" si="66"/>
        <v>1015010</v>
      </c>
      <c r="B435" s="91" t="s">
        <v>445</v>
      </c>
      <c r="C435" s="186">
        <v>1</v>
      </c>
      <c r="D435" s="186">
        <v>5</v>
      </c>
      <c r="E435" s="165" t="s">
        <v>1050</v>
      </c>
      <c r="F435" s="165" t="str">
        <f>"上一招为拳法时，增加"&amp;skill!$O$49/100&amp;"%伤害"</f>
        <v>上一招为拳法时，增加40%伤害</v>
      </c>
      <c r="G435" s="186">
        <f ca="1">OFFSET(卡牌辅助配置表!$C$1,MATCH(AC435,卡牌辅助配置表!A:A,0)-1,0)</f>
        <v>3</v>
      </c>
      <c r="H435" s="186">
        <f ca="1" t="shared" si="74"/>
        <v>0</v>
      </c>
      <c r="I435" s="186"/>
      <c r="J435" s="186">
        <f ca="1">OFFSET(card_type!$F$1,MATCH(Q435,card_type!A:A,0)-1,0)</f>
        <v>3</v>
      </c>
      <c r="K435" s="243">
        <f ca="1">OFFSET(card_type!$G$1,MATCH(Q435,card_type!A:A,0)-1,0)</f>
        <v>1</v>
      </c>
      <c r="L435" s="157">
        <v>2</v>
      </c>
      <c r="M435" s="157">
        <v>2</v>
      </c>
      <c r="N435" s="153">
        <f t="shared" si="67"/>
        <v>10</v>
      </c>
      <c r="O435" s="157"/>
      <c r="P435" s="157"/>
      <c r="Q435" s="153">
        <f ca="1">OFFSET(card_type!$A$1,MATCH(card!B435,card_type!B:B,0)-1,0)</f>
        <v>1015</v>
      </c>
      <c r="R435" s="153">
        <v>1</v>
      </c>
      <c r="S435" s="157">
        <f ca="1">ROUND(IF(R435=0,0,IF(R435=1,X435*$S$1,IF(R435=2,X435*$S$1*buff的资质计算!$E$2,IF(R435=3,X435*$S$1*buff的资质计算!$E$3,0)))),0)*0</f>
        <v>0</v>
      </c>
      <c r="T435" s="153">
        <v>1</v>
      </c>
      <c r="U435" s="153">
        <f ca="1" t="shared" si="68"/>
        <v>31</v>
      </c>
      <c r="V435" s="153">
        <f ca="1">ROUND((OFFSET(卡牌辅助配置表!$O$1,MATCH(U435,卡牌辅助配置表!M:M,0)-1,0)+(N435-1)*OFFSET(卡牌辅助配置表!$P$1,MATCH(U435,卡牌辅助配置表!M:M,0)-1,0))*M435,2)</f>
        <v>40.13</v>
      </c>
      <c r="W435" s="157">
        <f ca="1">ROUND(IF(R435=0,0,IF(R435=1,X435*$W$1,IF(R435=2,X435*$W$1*buff的资质计算!$E$2,IF(R435=3,X435*$W$1*buff的资质计算!$E$3,0)))),2)</f>
        <v>11.25</v>
      </c>
      <c r="X435" s="157">
        <f ca="1" t="shared" si="69"/>
        <v>37.5</v>
      </c>
      <c r="Y435" s="157">
        <f ca="1" t="shared" si="75"/>
        <v>37.5</v>
      </c>
      <c r="Z435" s="304">
        <f ca="1" t="shared" si="70"/>
        <v>18.75</v>
      </c>
      <c r="AA435" s="304">
        <f ca="1">OFFSET(卡牌辅助配置表!$AD$1,MATCH(AB435,卡牌辅助配置表!AB:AB,0)-1,0)</f>
        <v>1000</v>
      </c>
      <c r="AB435" s="304">
        <f ca="1" t="shared" si="71"/>
        <v>3110</v>
      </c>
      <c r="AC435" s="153">
        <v>3</v>
      </c>
      <c r="AE435" s="153">
        <v>1</v>
      </c>
      <c r="AF435" s="153" t="str">
        <f ca="1" t="shared" si="76"/>
        <v>10150011|</v>
      </c>
      <c r="AJ435" s="205" t="str">
        <f ca="1" t="shared" si="72"/>
        <v>400023|2700|;</v>
      </c>
      <c r="AK435" s="205">
        <f ca="1">OFFSET([1]item_type!$A$1,MATCH(Q435,[1]item_type!$G:$G,0)-1,0)</f>
        <v>301015</v>
      </c>
      <c r="AL435" s="205"/>
      <c r="AM435" s="205">
        <f ca="1">IF(B435=B436,OFFSET(卡牌辅助配置表!$AE$1,MATCH(AB435,卡牌辅助配置表!AB:AB,0),0),0)</f>
        <v>2700</v>
      </c>
      <c r="AN435" s="153">
        <f ca="1" t="shared" si="73"/>
        <v>1015011</v>
      </c>
      <c r="AP435" s="153" t="str">
        <f ca="1">IF(AC435=0,0,IF(AC435=12,0,OFFSET(effect!$N$1,MATCH(K435,effect!M:M,0)-1,0)))</f>
        <v>kpsx_pt</v>
      </c>
    </row>
    <row r="436" spans="1:42">
      <c r="A436" s="153">
        <f ca="1" t="shared" si="66"/>
        <v>1015011</v>
      </c>
      <c r="B436" s="91" t="s">
        <v>445</v>
      </c>
      <c r="C436" s="186">
        <v>1</v>
      </c>
      <c r="D436" s="186">
        <v>5</v>
      </c>
      <c r="E436" s="165" t="s">
        <v>1050</v>
      </c>
      <c r="F436" s="165" t="str">
        <f>"上一招为拳法时，增加"&amp;skill!$O$49/100&amp;"%伤害"</f>
        <v>上一招为拳法时，增加40%伤害</v>
      </c>
      <c r="G436" s="186">
        <f ca="1">OFFSET(卡牌辅助配置表!$C$1,MATCH(AC436,卡牌辅助配置表!A:A,0)-1,0)</f>
        <v>3</v>
      </c>
      <c r="H436" s="186">
        <f ca="1" t="shared" si="74"/>
        <v>0</v>
      </c>
      <c r="I436" s="186"/>
      <c r="J436" s="186">
        <f ca="1">OFFSET(card_type!$F$1,MATCH(Q436,card_type!A:A,0)-1,0)</f>
        <v>3</v>
      </c>
      <c r="K436" s="243">
        <f ca="1">OFFSET(card_type!$G$1,MATCH(Q436,card_type!A:A,0)-1,0)</f>
        <v>1</v>
      </c>
      <c r="L436" s="157">
        <v>2</v>
      </c>
      <c r="M436" s="157">
        <v>2</v>
      </c>
      <c r="N436" s="153">
        <f t="shared" si="67"/>
        <v>11</v>
      </c>
      <c r="O436" s="157"/>
      <c r="P436" s="157"/>
      <c r="Q436" s="153">
        <f ca="1">OFFSET(card_type!$A$1,MATCH(card!B436,card_type!B:B,0)-1,0)</f>
        <v>1015</v>
      </c>
      <c r="R436" s="153">
        <v>1</v>
      </c>
      <c r="S436" s="157">
        <f ca="1">ROUND(IF(R436=0,0,IF(R436=1,X436*$S$1,IF(R436=2,X436*$S$1*buff的资质计算!$E$2,IF(R436=3,X436*$S$1*buff的资质计算!$E$3,0)))),0)*0</f>
        <v>0</v>
      </c>
      <c r="T436" s="153">
        <v>1</v>
      </c>
      <c r="U436" s="153">
        <f ca="1" t="shared" si="68"/>
        <v>31</v>
      </c>
      <c r="V436" s="153">
        <f ca="1">ROUND((OFFSET(卡牌辅助配置表!$O$1,MATCH(U436,卡牌辅助配置表!M:M,0)-1,0)+(N436-1)*OFFSET(卡牌辅助配置表!$P$1,MATCH(U436,卡牌辅助配置表!M:M,0)-1,0))*M436,2)</f>
        <v>42.49</v>
      </c>
      <c r="W436" s="157">
        <f ca="1">ROUND(IF(R436=0,0,IF(R436=1,X436*$W$1,IF(R436=2,X436*$W$1*buff的资质计算!$E$2,IF(R436=3,X436*$W$1*buff的资质计算!$E$3,0)))),2)</f>
        <v>11.4</v>
      </c>
      <c r="X436" s="157">
        <f ca="1" t="shared" si="69"/>
        <v>38</v>
      </c>
      <c r="Y436" s="157">
        <f ca="1" t="shared" si="75"/>
        <v>38</v>
      </c>
      <c r="Z436" s="304">
        <f ca="1" t="shared" si="70"/>
        <v>19</v>
      </c>
      <c r="AA436" s="304">
        <f ca="1">OFFSET(卡牌辅助配置表!$AD$1,MATCH(AB436,卡牌辅助配置表!AB:AB,0)-1,0)</f>
        <v>1149</v>
      </c>
      <c r="AB436" s="304">
        <f ca="1" t="shared" si="71"/>
        <v>3111</v>
      </c>
      <c r="AC436" s="153">
        <v>3</v>
      </c>
      <c r="AE436" s="153">
        <v>1</v>
      </c>
      <c r="AF436" s="153" t="str">
        <f ca="1" t="shared" si="76"/>
        <v>10150011|</v>
      </c>
      <c r="AJ436" s="205" t="str">
        <f ca="1" t="shared" si="72"/>
        <v>400023|3100|;</v>
      </c>
      <c r="AK436" s="205">
        <f ca="1">OFFSET([1]item_type!$A$1,MATCH(Q436,[1]item_type!$G:$G,0)-1,0)</f>
        <v>301015</v>
      </c>
      <c r="AL436" s="205"/>
      <c r="AM436" s="205">
        <f ca="1">IF(B436=B437,OFFSET(卡牌辅助配置表!$AE$1,MATCH(AB436,卡牌辅助配置表!AB:AB,0),0),0)</f>
        <v>3100</v>
      </c>
      <c r="AN436" s="153">
        <f ca="1" t="shared" si="73"/>
        <v>1015012</v>
      </c>
      <c r="AP436" s="153" t="str">
        <f ca="1">IF(AC436=0,0,IF(AC436=12,0,OFFSET(effect!$N$1,MATCH(K436,effect!M:M,0)-1,0)))</f>
        <v>kpsx_pt</v>
      </c>
    </row>
    <row r="437" spans="1:42">
      <c r="A437" s="153">
        <f ca="1" t="shared" si="66"/>
        <v>1015012</v>
      </c>
      <c r="B437" s="91" t="s">
        <v>445</v>
      </c>
      <c r="C437" s="186">
        <v>1</v>
      </c>
      <c r="D437" s="186">
        <v>5</v>
      </c>
      <c r="E437" s="165" t="s">
        <v>1050</v>
      </c>
      <c r="F437" s="165" t="str">
        <f>"上一招为拳法时，增加"&amp;skill!$O$49/100&amp;"%伤害"</f>
        <v>上一招为拳法时，增加40%伤害</v>
      </c>
      <c r="G437" s="186">
        <f ca="1">OFFSET(卡牌辅助配置表!$C$1,MATCH(AC437,卡牌辅助配置表!A:A,0)-1,0)</f>
        <v>3</v>
      </c>
      <c r="H437" s="186">
        <f ca="1" t="shared" si="74"/>
        <v>0</v>
      </c>
      <c r="I437" s="186"/>
      <c r="J437" s="186">
        <f ca="1">OFFSET(card_type!$F$1,MATCH(Q437,card_type!A:A,0)-1,0)</f>
        <v>3</v>
      </c>
      <c r="K437" s="243">
        <f ca="1">OFFSET(card_type!$G$1,MATCH(Q437,card_type!A:A,0)-1,0)</f>
        <v>1</v>
      </c>
      <c r="L437" s="157">
        <v>2</v>
      </c>
      <c r="M437" s="157">
        <v>2</v>
      </c>
      <c r="N437" s="153">
        <f t="shared" si="67"/>
        <v>12</v>
      </c>
      <c r="O437" s="157"/>
      <c r="P437" s="157"/>
      <c r="Q437" s="153">
        <f ca="1">OFFSET(card_type!$A$1,MATCH(card!B437,card_type!B:B,0)-1,0)</f>
        <v>1015</v>
      </c>
      <c r="R437" s="153">
        <v>1</v>
      </c>
      <c r="S437" s="157">
        <f ca="1">ROUND(IF(R437=0,0,IF(R437=1,X437*$S$1,IF(R437=2,X437*$S$1*buff的资质计算!$E$2,IF(R437=3,X437*$S$1*buff的资质计算!$E$3,0)))),0)*0</f>
        <v>0</v>
      </c>
      <c r="T437" s="153">
        <v>1</v>
      </c>
      <c r="U437" s="153">
        <f ca="1" t="shared" si="68"/>
        <v>31</v>
      </c>
      <c r="V437" s="153">
        <f ca="1">ROUND((OFFSET(卡牌辅助配置表!$O$1,MATCH(U437,卡牌辅助配置表!M:M,0)-1,0)+(N437-1)*OFFSET(卡牌辅助配置表!$P$1,MATCH(U437,卡牌辅助配置表!M:M,0)-1,0))*M437,2)</f>
        <v>44.84</v>
      </c>
      <c r="W437" s="157">
        <f ca="1">ROUND(IF(R437=0,0,IF(R437=1,X437*$W$1,IF(R437=2,X437*$W$1*buff的资质计算!$E$2,IF(R437=3,X437*$W$1*buff的资质计算!$E$3,0)))),2)</f>
        <v>11.55</v>
      </c>
      <c r="X437" s="157">
        <f ca="1" t="shared" si="69"/>
        <v>38.5</v>
      </c>
      <c r="Y437" s="157">
        <f ca="1" t="shared" si="75"/>
        <v>38.5</v>
      </c>
      <c r="Z437" s="304">
        <f ca="1" t="shared" si="70"/>
        <v>19.25</v>
      </c>
      <c r="AA437" s="304">
        <f ca="1">OFFSET(卡牌辅助配置表!$AD$1,MATCH(AB437,卡牌辅助配置表!AB:AB,0)-1,0)</f>
        <v>1298</v>
      </c>
      <c r="AB437" s="304">
        <f ca="1" t="shared" si="71"/>
        <v>3112</v>
      </c>
      <c r="AC437" s="153">
        <v>3</v>
      </c>
      <c r="AE437" s="153">
        <v>1</v>
      </c>
      <c r="AF437" s="153" t="str">
        <f ca="1" t="shared" si="76"/>
        <v>10150011|</v>
      </c>
      <c r="AJ437" s="205" t="str">
        <f ca="1" t="shared" si="72"/>
        <v>400023|3500|;</v>
      </c>
      <c r="AK437" s="205">
        <f ca="1">OFFSET([1]item_type!$A$1,MATCH(Q437,[1]item_type!$G:$G,0)-1,0)</f>
        <v>301015</v>
      </c>
      <c r="AL437" s="205"/>
      <c r="AM437" s="205">
        <f ca="1">IF(B437=B438,OFFSET(卡牌辅助配置表!$AE$1,MATCH(AB437,卡牌辅助配置表!AB:AB,0),0),0)</f>
        <v>3500</v>
      </c>
      <c r="AN437" s="153">
        <f ca="1" t="shared" si="73"/>
        <v>1015013</v>
      </c>
      <c r="AP437" s="153" t="str">
        <f ca="1">IF(AC437=0,0,IF(AC437=12,0,OFFSET(effect!$N$1,MATCH(K437,effect!M:M,0)-1,0)))</f>
        <v>kpsx_pt</v>
      </c>
    </row>
    <row r="438" spans="1:42">
      <c r="A438" s="153">
        <f ca="1" t="shared" si="66"/>
        <v>1015013</v>
      </c>
      <c r="B438" s="91" t="s">
        <v>445</v>
      </c>
      <c r="C438" s="186">
        <v>1</v>
      </c>
      <c r="D438" s="186">
        <v>5</v>
      </c>
      <c r="E438" s="165" t="s">
        <v>1050</v>
      </c>
      <c r="F438" s="165" t="str">
        <f>"上一招为拳法时，增加"&amp;skill!$O$49/100&amp;"%伤害"</f>
        <v>上一招为拳法时，增加40%伤害</v>
      </c>
      <c r="G438" s="186">
        <f ca="1">OFFSET(卡牌辅助配置表!$C$1,MATCH(AC438,卡牌辅助配置表!A:A,0)-1,0)</f>
        <v>3</v>
      </c>
      <c r="H438" s="186">
        <f ca="1" t="shared" si="74"/>
        <v>0</v>
      </c>
      <c r="I438" s="186"/>
      <c r="J438" s="186">
        <f ca="1">OFFSET(card_type!$F$1,MATCH(Q438,card_type!A:A,0)-1,0)</f>
        <v>3</v>
      </c>
      <c r="K438" s="243">
        <f ca="1">OFFSET(card_type!$G$1,MATCH(Q438,card_type!A:A,0)-1,0)</f>
        <v>1</v>
      </c>
      <c r="L438" s="157">
        <v>2</v>
      </c>
      <c r="M438" s="157">
        <v>2</v>
      </c>
      <c r="N438" s="153">
        <f t="shared" si="67"/>
        <v>13</v>
      </c>
      <c r="O438" s="157"/>
      <c r="P438" s="157"/>
      <c r="Q438" s="153">
        <f ca="1">OFFSET(card_type!$A$1,MATCH(card!B438,card_type!B:B,0)-1,0)</f>
        <v>1015</v>
      </c>
      <c r="R438" s="153">
        <v>1</v>
      </c>
      <c r="S438" s="157">
        <f ca="1">ROUND(IF(R438=0,0,IF(R438=1,X438*$S$1,IF(R438=2,X438*$S$1*buff的资质计算!$E$2,IF(R438=3,X438*$S$1*buff的资质计算!$E$3,0)))),0)*0</f>
        <v>0</v>
      </c>
      <c r="T438" s="153">
        <v>1</v>
      </c>
      <c r="U438" s="153">
        <f ca="1" t="shared" si="68"/>
        <v>31</v>
      </c>
      <c r="V438" s="153">
        <f ca="1">ROUND((OFFSET(卡牌辅助配置表!$O$1,MATCH(U438,卡牌辅助配置表!M:M,0)-1,0)+(N438-1)*OFFSET(卡牌辅助配置表!$P$1,MATCH(U438,卡牌辅助配置表!M:M,0)-1,0))*M438,2)</f>
        <v>47.2</v>
      </c>
      <c r="W438" s="157">
        <f ca="1">ROUND(IF(R438=0,0,IF(R438=1,X438*$W$1,IF(R438=2,X438*$W$1*buff的资质计算!$E$2,IF(R438=3,X438*$W$1*buff的资质计算!$E$3,0)))),2)</f>
        <v>11.7</v>
      </c>
      <c r="X438" s="157">
        <f ca="1" t="shared" si="69"/>
        <v>39</v>
      </c>
      <c r="Y438" s="157">
        <f ca="1" t="shared" si="75"/>
        <v>39</v>
      </c>
      <c r="Z438" s="304">
        <f ca="1" t="shared" si="70"/>
        <v>19.5</v>
      </c>
      <c r="AA438" s="304">
        <f ca="1">OFFSET(卡牌辅助配置表!$AD$1,MATCH(AB438,卡牌辅助配置表!AB:AB,0)-1,0)</f>
        <v>1447</v>
      </c>
      <c r="AB438" s="304">
        <f ca="1" t="shared" si="71"/>
        <v>3113</v>
      </c>
      <c r="AC438" s="153">
        <v>3</v>
      </c>
      <c r="AE438" s="153">
        <v>1</v>
      </c>
      <c r="AF438" s="153" t="str">
        <f ca="1" t="shared" si="76"/>
        <v>10150011|</v>
      </c>
      <c r="AJ438" s="205" t="str">
        <f ca="1" t="shared" si="72"/>
        <v>400023|3900|;</v>
      </c>
      <c r="AK438" s="205">
        <f ca="1">OFFSET([1]item_type!$A$1,MATCH(Q438,[1]item_type!$G:$G,0)-1,0)</f>
        <v>301015</v>
      </c>
      <c r="AL438" s="205"/>
      <c r="AM438" s="205">
        <f ca="1">IF(B438=B439,OFFSET(卡牌辅助配置表!$AE$1,MATCH(AB438,卡牌辅助配置表!AB:AB,0),0),0)</f>
        <v>3900</v>
      </c>
      <c r="AN438" s="153">
        <f ca="1" t="shared" si="73"/>
        <v>1015014</v>
      </c>
      <c r="AP438" s="153" t="str">
        <f ca="1">IF(AC438=0,0,IF(AC438=12,0,OFFSET(effect!$N$1,MATCH(K438,effect!M:M,0)-1,0)))</f>
        <v>kpsx_pt</v>
      </c>
    </row>
    <row r="439" spans="1:42">
      <c r="A439" s="153">
        <f ca="1" t="shared" si="66"/>
        <v>1015014</v>
      </c>
      <c r="B439" s="91" t="s">
        <v>445</v>
      </c>
      <c r="C439" s="186">
        <v>1</v>
      </c>
      <c r="D439" s="186">
        <v>5</v>
      </c>
      <c r="E439" s="165" t="s">
        <v>1050</v>
      </c>
      <c r="F439" s="165" t="str">
        <f>"上一招为拳法时，增加"&amp;skill!$O$49/100&amp;"%伤害"</f>
        <v>上一招为拳法时，增加40%伤害</v>
      </c>
      <c r="G439" s="186">
        <f ca="1">OFFSET(卡牌辅助配置表!$C$1,MATCH(AC439,卡牌辅助配置表!A:A,0)-1,0)</f>
        <v>3</v>
      </c>
      <c r="H439" s="186">
        <f ca="1" t="shared" si="74"/>
        <v>0</v>
      </c>
      <c r="I439" s="186"/>
      <c r="J439" s="186">
        <f ca="1">OFFSET(card_type!$F$1,MATCH(Q439,card_type!A:A,0)-1,0)</f>
        <v>3</v>
      </c>
      <c r="K439" s="243">
        <f ca="1">OFFSET(card_type!$G$1,MATCH(Q439,card_type!A:A,0)-1,0)</f>
        <v>1</v>
      </c>
      <c r="L439" s="157">
        <v>2</v>
      </c>
      <c r="M439" s="157">
        <v>2</v>
      </c>
      <c r="N439" s="153">
        <f t="shared" si="67"/>
        <v>14</v>
      </c>
      <c r="O439" s="157"/>
      <c r="P439" s="157"/>
      <c r="Q439" s="153">
        <f ca="1">OFFSET(card_type!$A$1,MATCH(card!B439,card_type!B:B,0)-1,0)</f>
        <v>1015</v>
      </c>
      <c r="R439" s="153">
        <v>1</v>
      </c>
      <c r="S439" s="157">
        <f ca="1">ROUND(IF(R439=0,0,IF(R439=1,X439*$S$1,IF(R439=2,X439*$S$1*buff的资质计算!$E$2,IF(R439=3,X439*$S$1*buff的资质计算!$E$3,0)))),0)*0</f>
        <v>0</v>
      </c>
      <c r="T439" s="153">
        <v>1</v>
      </c>
      <c r="U439" s="153">
        <f ca="1" t="shared" si="68"/>
        <v>31</v>
      </c>
      <c r="V439" s="153">
        <f ca="1">ROUND((OFFSET(卡牌辅助配置表!$O$1,MATCH(U439,卡牌辅助配置表!M:M,0)-1,0)+(N439-1)*OFFSET(卡牌辅助配置表!$P$1,MATCH(U439,卡牌辅助配置表!M:M,0)-1,0))*M439,2)</f>
        <v>49.55</v>
      </c>
      <c r="W439" s="157">
        <f ca="1">ROUND(IF(R439=0,0,IF(R439=1,X439*$W$1,IF(R439=2,X439*$W$1*buff的资质计算!$E$2,IF(R439=3,X439*$W$1*buff的资质计算!$E$3,0)))),2)</f>
        <v>11.85</v>
      </c>
      <c r="X439" s="157">
        <f ca="1" t="shared" si="69"/>
        <v>39.5</v>
      </c>
      <c r="Y439" s="157">
        <f ca="1" t="shared" si="75"/>
        <v>39.5</v>
      </c>
      <c r="Z439" s="304">
        <f ca="1" t="shared" si="70"/>
        <v>19.75</v>
      </c>
      <c r="AA439" s="304">
        <f ca="1">OFFSET(卡牌辅助配置表!$AD$1,MATCH(AB439,卡牌辅助配置表!AB:AB,0)-1,0)</f>
        <v>1596</v>
      </c>
      <c r="AB439" s="304">
        <f ca="1" t="shared" si="71"/>
        <v>3114</v>
      </c>
      <c r="AC439" s="153">
        <v>3</v>
      </c>
      <c r="AE439" s="153">
        <v>1</v>
      </c>
      <c r="AF439" s="153" t="str">
        <f ca="1" t="shared" si="76"/>
        <v>10150011|</v>
      </c>
      <c r="AJ439" s="205" t="str">
        <f ca="1" t="shared" si="72"/>
        <v>400023|4300|;</v>
      </c>
      <c r="AK439" s="205">
        <f ca="1">OFFSET([1]item_type!$A$1,MATCH(Q439,[1]item_type!$G:$G,0)-1,0)</f>
        <v>301015</v>
      </c>
      <c r="AL439" s="205"/>
      <c r="AM439" s="205">
        <f ca="1">IF(B439=B440,OFFSET(卡牌辅助配置表!$AE$1,MATCH(AB439,卡牌辅助配置表!AB:AB,0),0),0)</f>
        <v>4300</v>
      </c>
      <c r="AN439" s="153">
        <f ca="1" t="shared" si="73"/>
        <v>1015015</v>
      </c>
      <c r="AP439" s="153" t="str">
        <f ca="1">IF(AC439=0,0,IF(AC439=12,0,OFFSET(effect!$N$1,MATCH(K439,effect!M:M,0)-1,0)))</f>
        <v>kpsx_pt</v>
      </c>
    </row>
    <row r="440" spans="1:42">
      <c r="A440" s="153">
        <f ca="1" t="shared" si="66"/>
        <v>1015015</v>
      </c>
      <c r="B440" s="91" t="s">
        <v>445</v>
      </c>
      <c r="C440" s="186">
        <v>1</v>
      </c>
      <c r="D440" s="186">
        <v>5</v>
      </c>
      <c r="E440" s="165" t="s">
        <v>1050</v>
      </c>
      <c r="F440" s="165" t="str">
        <f>"上一招为拳法时，增加"&amp;skill!$O$49/100&amp;"%伤害"</f>
        <v>上一招为拳法时，增加40%伤害</v>
      </c>
      <c r="G440" s="186">
        <f ca="1">OFFSET(卡牌辅助配置表!$C$1,MATCH(AC440,卡牌辅助配置表!A:A,0)-1,0)</f>
        <v>3</v>
      </c>
      <c r="H440" s="186">
        <f ca="1" t="shared" si="74"/>
        <v>0</v>
      </c>
      <c r="I440" s="186"/>
      <c r="J440" s="186">
        <f ca="1">OFFSET(card_type!$F$1,MATCH(Q440,card_type!A:A,0)-1,0)</f>
        <v>3</v>
      </c>
      <c r="K440" s="243">
        <f ca="1">OFFSET(card_type!$G$1,MATCH(Q440,card_type!A:A,0)-1,0)</f>
        <v>1</v>
      </c>
      <c r="L440" s="157">
        <v>2</v>
      </c>
      <c r="M440" s="157">
        <v>2</v>
      </c>
      <c r="N440" s="153">
        <f t="shared" si="67"/>
        <v>15</v>
      </c>
      <c r="O440" s="157"/>
      <c r="P440" s="157"/>
      <c r="Q440" s="153">
        <f ca="1">OFFSET(card_type!$A$1,MATCH(card!B440,card_type!B:B,0)-1,0)</f>
        <v>1015</v>
      </c>
      <c r="R440" s="153">
        <v>1</v>
      </c>
      <c r="S440" s="157">
        <f ca="1">ROUND(IF(R440=0,0,IF(R440=1,X440*$S$1,IF(R440=2,X440*$S$1*buff的资质计算!$E$2,IF(R440=3,X440*$S$1*buff的资质计算!$E$3,0)))),0)*0</f>
        <v>0</v>
      </c>
      <c r="T440" s="153">
        <v>1</v>
      </c>
      <c r="U440" s="153">
        <f ca="1" t="shared" si="68"/>
        <v>31</v>
      </c>
      <c r="V440" s="153">
        <f ca="1">ROUND((OFFSET(卡牌辅助配置表!$O$1,MATCH(U440,卡牌辅助配置表!M:M,0)-1,0)+(N440-1)*OFFSET(卡牌辅助配置表!$P$1,MATCH(U440,卡牌辅助配置表!M:M,0)-1,0))*M440,2)</f>
        <v>51.9</v>
      </c>
      <c r="W440" s="157">
        <f ca="1">ROUND(IF(R440=0,0,IF(R440=1,X440*$W$1,IF(R440=2,X440*$W$1*buff的资质计算!$E$2,IF(R440=3,X440*$W$1*buff的资质计算!$E$3,0)))),2)</f>
        <v>12</v>
      </c>
      <c r="X440" s="157">
        <f ca="1" t="shared" si="69"/>
        <v>40</v>
      </c>
      <c r="Y440" s="157">
        <f ca="1" t="shared" si="75"/>
        <v>40</v>
      </c>
      <c r="Z440" s="304">
        <f ca="1" t="shared" si="70"/>
        <v>20</v>
      </c>
      <c r="AA440" s="304">
        <f ca="1">OFFSET(卡牌辅助配置表!$AD$1,MATCH(AB440,卡牌辅助配置表!AB:AB,0)-1,0)</f>
        <v>1745</v>
      </c>
      <c r="AB440" s="304">
        <f ca="1" t="shared" si="71"/>
        <v>3115</v>
      </c>
      <c r="AC440" s="153">
        <v>3</v>
      </c>
      <c r="AE440" s="153">
        <v>1</v>
      </c>
      <c r="AF440" s="153" t="str">
        <f ca="1" t="shared" si="76"/>
        <v>10150011|</v>
      </c>
      <c r="AJ440" s="205" t="str">
        <f ca="1" t="shared" si="72"/>
        <v>400023|4700|;</v>
      </c>
      <c r="AK440" s="205">
        <f ca="1">OFFSET([1]item_type!$A$1,MATCH(Q440,[1]item_type!$G:$G,0)-1,0)</f>
        <v>301015</v>
      </c>
      <c r="AL440" s="205"/>
      <c r="AM440" s="205">
        <f ca="1">IF(B440=B441,OFFSET(卡牌辅助配置表!$AE$1,MATCH(AB440,卡牌辅助配置表!AB:AB,0),0),0)</f>
        <v>4700</v>
      </c>
      <c r="AN440" s="153">
        <f ca="1" t="shared" si="73"/>
        <v>1015016</v>
      </c>
      <c r="AP440" s="153" t="str">
        <f ca="1">IF(AC440=0,0,IF(AC440=12,0,OFFSET(effect!$N$1,MATCH(K440,effect!M:M,0)-1,0)))</f>
        <v>kpsx_pt</v>
      </c>
    </row>
    <row r="441" spans="1:42">
      <c r="A441" s="153">
        <f ca="1" t="shared" si="66"/>
        <v>1015016</v>
      </c>
      <c r="B441" s="91" t="s">
        <v>445</v>
      </c>
      <c r="C441" s="186">
        <v>1</v>
      </c>
      <c r="D441" s="186">
        <v>5</v>
      </c>
      <c r="E441" s="165" t="s">
        <v>1050</v>
      </c>
      <c r="F441" s="165" t="str">
        <f>"上一招为拳法时，增加"&amp;skill!$O$49/100&amp;"%伤害"</f>
        <v>上一招为拳法时，增加40%伤害</v>
      </c>
      <c r="G441" s="186">
        <f ca="1">OFFSET(卡牌辅助配置表!$C$1,MATCH(AC441,卡牌辅助配置表!A:A,0)-1,0)</f>
        <v>3</v>
      </c>
      <c r="H441" s="186">
        <f ca="1" t="shared" si="74"/>
        <v>0</v>
      </c>
      <c r="I441" s="186"/>
      <c r="J441" s="186">
        <f ca="1">OFFSET(card_type!$F$1,MATCH(Q441,card_type!A:A,0)-1,0)</f>
        <v>3</v>
      </c>
      <c r="K441" s="243">
        <f ca="1">OFFSET(card_type!$G$1,MATCH(Q441,card_type!A:A,0)-1,0)</f>
        <v>1</v>
      </c>
      <c r="L441" s="157">
        <v>2</v>
      </c>
      <c r="M441" s="157">
        <v>2</v>
      </c>
      <c r="N441" s="153">
        <f t="shared" si="67"/>
        <v>16</v>
      </c>
      <c r="O441" s="157"/>
      <c r="P441" s="157"/>
      <c r="Q441" s="153">
        <f ca="1">OFFSET(card_type!$A$1,MATCH(card!B441,card_type!B:B,0)-1,0)</f>
        <v>1015</v>
      </c>
      <c r="R441" s="153">
        <v>1</v>
      </c>
      <c r="S441" s="157">
        <f ca="1">ROUND(IF(R441=0,0,IF(R441=1,X441*$S$1,IF(R441=2,X441*$S$1*buff的资质计算!$E$2,IF(R441=3,X441*$S$1*buff的资质计算!$E$3,0)))),0)*0</f>
        <v>0</v>
      </c>
      <c r="T441" s="153">
        <v>1</v>
      </c>
      <c r="U441" s="153">
        <f ca="1" t="shared" si="68"/>
        <v>31</v>
      </c>
      <c r="V441" s="153">
        <f ca="1">ROUND((OFFSET(卡牌辅助配置表!$O$1,MATCH(U441,卡牌辅助配置表!M:M,0)-1,0)+(N441-1)*OFFSET(卡牌辅助配置表!$P$1,MATCH(U441,卡牌辅助配置表!M:M,0)-1,0))*M441,2)</f>
        <v>54.26</v>
      </c>
      <c r="W441" s="157">
        <f ca="1">ROUND(IF(R441=0,0,IF(R441=1,X441*$W$1,IF(R441=2,X441*$W$1*buff的资质计算!$E$2,IF(R441=3,X441*$W$1*buff的资质计算!$E$3,0)))),2)</f>
        <v>12.15</v>
      </c>
      <c r="X441" s="157">
        <f ca="1" t="shared" si="69"/>
        <v>40.5</v>
      </c>
      <c r="Y441" s="157">
        <f ca="1" t="shared" si="75"/>
        <v>40.5</v>
      </c>
      <c r="Z441" s="304">
        <f ca="1" t="shared" si="70"/>
        <v>20.25</v>
      </c>
      <c r="AA441" s="304">
        <f ca="1">OFFSET(卡牌辅助配置表!$AD$1,MATCH(AB441,卡牌辅助配置表!AB:AB,0)-1,0)</f>
        <v>1894</v>
      </c>
      <c r="AB441" s="304">
        <f ca="1" t="shared" si="71"/>
        <v>3116</v>
      </c>
      <c r="AC441" s="153">
        <v>3</v>
      </c>
      <c r="AE441" s="153">
        <v>1</v>
      </c>
      <c r="AF441" s="153" t="str">
        <f ca="1" t="shared" si="76"/>
        <v>10150011|</v>
      </c>
      <c r="AJ441" s="205" t="str">
        <f ca="1" t="shared" si="72"/>
        <v>400023|5100|;</v>
      </c>
      <c r="AK441" s="205">
        <f ca="1">OFFSET([1]item_type!$A$1,MATCH(Q441,[1]item_type!$G:$G,0)-1,0)</f>
        <v>301015</v>
      </c>
      <c r="AL441" s="205"/>
      <c r="AM441" s="205">
        <f ca="1">IF(B441=B442,OFFSET(卡牌辅助配置表!$AE$1,MATCH(AB441,卡牌辅助配置表!AB:AB,0),0),0)</f>
        <v>5100</v>
      </c>
      <c r="AN441" s="153">
        <f ca="1" t="shared" si="73"/>
        <v>1015017</v>
      </c>
      <c r="AP441" s="153" t="str">
        <f ca="1">IF(AC441=0,0,IF(AC441=12,0,OFFSET(effect!$N$1,MATCH(K441,effect!M:M,0)-1,0)))</f>
        <v>kpsx_pt</v>
      </c>
    </row>
    <row r="442" spans="1:42">
      <c r="A442" s="153">
        <f ca="1" t="shared" si="66"/>
        <v>1015017</v>
      </c>
      <c r="B442" s="91" t="s">
        <v>445</v>
      </c>
      <c r="C442" s="186">
        <v>1</v>
      </c>
      <c r="D442" s="186">
        <v>5</v>
      </c>
      <c r="E442" s="165" t="s">
        <v>1050</v>
      </c>
      <c r="F442" s="165" t="str">
        <f>"上一招为拳法时，增加"&amp;skill!$O$49/100&amp;"%伤害"</f>
        <v>上一招为拳法时，增加40%伤害</v>
      </c>
      <c r="G442" s="186">
        <f ca="1">OFFSET(卡牌辅助配置表!$C$1,MATCH(AC442,卡牌辅助配置表!A:A,0)-1,0)</f>
        <v>3</v>
      </c>
      <c r="H442" s="186">
        <f ca="1" t="shared" si="74"/>
        <v>0</v>
      </c>
      <c r="I442" s="186"/>
      <c r="J442" s="186">
        <f ca="1">OFFSET(card_type!$F$1,MATCH(Q442,card_type!A:A,0)-1,0)</f>
        <v>3</v>
      </c>
      <c r="K442" s="243">
        <f ca="1">OFFSET(card_type!$G$1,MATCH(Q442,card_type!A:A,0)-1,0)</f>
        <v>1</v>
      </c>
      <c r="L442" s="157">
        <v>2</v>
      </c>
      <c r="M442" s="157">
        <v>2</v>
      </c>
      <c r="N442" s="153">
        <f t="shared" si="67"/>
        <v>17</v>
      </c>
      <c r="O442" s="157"/>
      <c r="P442" s="157"/>
      <c r="Q442" s="153">
        <f ca="1">OFFSET(card_type!$A$1,MATCH(card!B442,card_type!B:B,0)-1,0)</f>
        <v>1015</v>
      </c>
      <c r="R442" s="153">
        <v>1</v>
      </c>
      <c r="S442" s="157">
        <f ca="1">ROUND(IF(R442=0,0,IF(R442=1,X442*$S$1,IF(R442=2,X442*$S$1*buff的资质计算!$E$2,IF(R442=3,X442*$S$1*buff的资质计算!$E$3,0)))),0)*0</f>
        <v>0</v>
      </c>
      <c r="T442" s="153">
        <v>1</v>
      </c>
      <c r="U442" s="153">
        <f ca="1" t="shared" si="68"/>
        <v>31</v>
      </c>
      <c r="V442" s="153">
        <f ca="1">ROUND((OFFSET(卡牌辅助配置表!$O$1,MATCH(U442,卡牌辅助配置表!M:M,0)-1,0)+(N442-1)*OFFSET(卡牌辅助配置表!$P$1,MATCH(U442,卡牌辅助配置表!M:M,0)-1,0))*M442,2)</f>
        <v>56.61</v>
      </c>
      <c r="W442" s="157">
        <f ca="1">ROUND(IF(R442=0,0,IF(R442=1,X442*$W$1,IF(R442=2,X442*$W$1*buff的资质计算!$E$2,IF(R442=3,X442*$W$1*buff的资质计算!$E$3,0)))),2)</f>
        <v>12.3</v>
      </c>
      <c r="X442" s="157">
        <f ca="1" t="shared" si="69"/>
        <v>41</v>
      </c>
      <c r="Y442" s="157">
        <f ca="1" t="shared" si="75"/>
        <v>41</v>
      </c>
      <c r="Z442" s="304">
        <f ca="1" t="shared" si="70"/>
        <v>20.5</v>
      </c>
      <c r="AA442" s="304">
        <f ca="1">OFFSET(卡牌辅助配置表!$AD$1,MATCH(AB442,卡牌辅助配置表!AB:AB,0)-1,0)</f>
        <v>2043</v>
      </c>
      <c r="AB442" s="304">
        <f ca="1" t="shared" si="71"/>
        <v>3117</v>
      </c>
      <c r="AC442" s="153">
        <v>3</v>
      </c>
      <c r="AE442" s="153">
        <v>1</v>
      </c>
      <c r="AF442" s="153" t="str">
        <f ca="1" t="shared" si="76"/>
        <v>10150011|</v>
      </c>
      <c r="AJ442" s="205" t="str">
        <f ca="1" t="shared" si="72"/>
        <v>400023|5500|;</v>
      </c>
      <c r="AK442" s="205">
        <f ca="1">OFFSET([1]item_type!$A$1,MATCH(Q442,[1]item_type!$G:$G,0)-1,0)</f>
        <v>301015</v>
      </c>
      <c r="AL442" s="205"/>
      <c r="AM442" s="205">
        <f ca="1">IF(B442=B443,OFFSET(卡牌辅助配置表!$AE$1,MATCH(AB442,卡牌辅助配置表!AB:AB,0),0),0)</f>
        <v>5500</v>
      </c>
      <c r="AN442" s="153">
        <f ca="1" t="shared" si="73"/>
        <v>1015018</v>
      </c>
      <c r="AP442" s="153" t="str">
        <f ca="1">IF(AC442=0,0,IF(AC442=12,0,OFFSET(effect!$N$1,MATCH(K442,effect!M:M,0)-1,0)))</f>
        <v>kpsx_pt</v>
      </c>
    </row>
    <row r="443" spans="1:42">
      <c r="A443" s="153">
        <f ca="1" t="shared" si="66"/>
        <v>1015018</v>
      </c>
      <c r="B443" s="91" t="s">
        <v>445</v>
      </c>
      <c r="C443" s="186">
        <v>1</v>
      </c>
      <c r="D443" s="186">
        <v>5</v>
      </c>
      <c r="E443" s="165" t="s">
        <v>1050</v>
      </c>
      <c r="F443" s="165" t="str">
        <f>"上一招为拳法时，增加"&amp;skill!$O$49/100&amp;"%伤害"</f>
        <v>上一招为拳法时，增加40%伤害</v>
      </c>
      <c r="G443" s="186">
        <f ca="1">OFFSET(卡牌辅助配置表!$C$1,MATCH(AC443,卡牌辅助配置表!A:A,0)-1,0)</f>
        <v>3</v>
      </c>
      <c r="H443" s="186">
        <f ca="1" t="shared" si="74"/>
        <v>0</v>
      </c>
      <c r="I443" s="186"/>
      <c r="J443" s="186">
        <f ca="1">OFFSET(card_type!$F$1,MATCH(Q443,card_type!A:A,0)-1,0)</f>
        <v>3</v>
      </c>
      <c r="K443" s="243">
        <f ca="1">OFFSET(card_type!$G$1,MATCH(Q443,card_type!A:A,0)-1,0)</f>
        <v>1</v>
      </c>
      <c r="L443" s="157">
        <v>2</v>
      </c>
      <c r="M443" s="157">
        <v>2</v>
      </c>
      <c r="N443" s="153">
        <f t="shared" si="67"/>
        <v>18</v>
      </c>
      <c r="O443" s="157"/>
      <c r="P443" s="157"/>
      <c r="Q443" s="153">
        <f ca="1">OFFSET(card_type!$A$1,MATCH(card!B443,card_type!B:B,0)-1,0)</f>
        <v>1015</v>
      </c>
      <c r="R443" s="153">
        <v>1</v>
      </c>
      <c r="S443" s="157">
        <f ca="1">ROUND(IF(R443=0,0,IF(R443=1,X443*$S$1,IF(R443=2,X443*$S$1*buff的资质计算!$E$2,IF(R443=3,X443*$S$1*buff的资质计算!$E$3,0)))),0)*0</f>
        <v>0</v>
      </c>
      <c r="T443" s="153">
        <v>1</v>
      </c>
      <c r="U443" s="153">
        <f ca="1" t="shared" si="68"/>
        <v>31</v>
      </c>
      <c r="V443" s="153">
        <f ca="1">ROUND((OFFSET(卡牌辅助配置表!$O$1,MATCH(U443,卡牌辅助配置表!M:M,0)-1,0)+(N443-1)*OFFSET(卡牌辅助配置表!$P$1,MATCH(U443,卡牌辅助配置表!M:M,0)-1,0))*M443,2)</f>
        <v>58.97</v>
      </c>
      <c r="W443" s="157">
        <f ca="1">ROUND(IF(R443=0,0,IF(R443=1,X443*$W$1,IF(R443=2,X443*$W$1*buff的资质计算!$E$2,IF(R443=3,X443*$W$1*buff的资质计算!$E$3,0)))),2)</f>
        <v>12.45</v>
      </c>
      <c r="X443" s="157">
        <f ca="1" t="shared" si="69"/>
        <v>41.5</v>
      </c>
      <c r="Y443" s="157">
        <f ca="1" t="shared" si="75"/>
        <v>41.5</v>
      </c>
      <c r="Z443" s="304">
        <f ca="1" t="shared" si="70"/>
        <v>20.75</v>
      </c>
      <c r="AA443" s="304">
        <f ca="1">OFFSET(卡牌辅助配置表!$AD$1,MATCH(AB443,卡牌辅助配置表!AB:AB,0)-1,0)</f>
        <v>2192</v>
      </c>
      <c r="AB443" s="304">
        <f ca="1" t="shared" si="71"/>
        <v>3118</v>
      </c>
      <c r="AC443" s="153">
        <v>3</v>
      </c>
      <c r="AE443" s="153">
        <v>1</v>
      </c>
      <c r="AF443" s="153" t="str">
        <f ca="1" t="shared" si="76"/>
        <v>10150011|</v>
      </c>
      <c r="AJ443" s="205" t="str">
        <f ca="1" t="shared" si="72"/>
        <v>400023|5900|;</v>
      </c>
      <c r="AK443" s="205">
        <f ca="1">OFFSET([1]item_type!$A$1,MATCH(Q443,[1]item_type!$G:$G,0)-1,0)</f>
        <v>301015</v>
      </c>
      <c r="AL443" s="205"/>
      <c r="AM443" s="205">
        <f ca="1">IF(B443=B444,OFFSET(卡牌辅助配置表!$AE$1,MATCH(AB443,卡牌辅助配置表!AB:AB,0),0),0)</f>
        <v>5900</v>
      </c>
      <c r="AN443" s="153">
        <f ca="1" t="shared" si="73"/>
        <v>1015019</v>
      </c>
      <c r="AP443" s="153" t="str">
        <f ca="1">IF(AC443=0,0,IF(AC443=12,0,OFFSET(effect!$N$1,MATCH(K443,effect!M:M,0)-1,0)))</f>
        <v>kpsx_pt</v>
      </c>
    </row>
    <row r="444" spans="1:42">
      <c r="A444" s="153">
        <f ca="1" t="shared" si="66"/>
        <v>1015019</v>
      </c>
      <c r="B444" s="91" t="s">
        <v>445</v>
      </c>
      <c r="C444" s="186">
        <v>1</v>
      </c>
      <c r="D444" s="186">
        <v>5</v>
      </c>
      <c r="E444" s="165" t="s">
        <v>1050</v>
      </c>
      <c r="F444" s="165" t="str">
        <f>"上一招为拳法时，增加"&amp;skill!$O$49/100&amp;"%伤害"</f>
        <v>上一招为拳法时，增加40%伤害</v>
      </c>
      <c r="G444" s="186">
        <f ca="1">OFFSET(卡牌辅助配置表!$C$1,MATCH(AC444,卡牌辅助配置表!A:A,0)-1,0)</f>
        <v>3</v>
      </c>
      <c r="H444" s="186">
        <f ca="1" t="shared" si="74"/>
        <v>0</v>
      </c>
      <c r="I444" s="186"/>
      <c r="J444" s="186">
        <f ca="1">OFFSET(card_type!$F$1,MATCH(Q444,card_type!A:A,0)-1,0)</f>
        <v>3</v>
      </c>
      <c r="K444" s="243">
        <f ca="1">OFFSET(card_type!$G$1,MATCH(Q444,card_type!A:A,0)-1,0)</f>
        <v>1</v>
      </c>
      <c r="L444" s="157">
        <v>2</v>
      </c>
      <c r="M444" s="157">
        <v>2</v>
      </c>
      <c r="N444" s="153">
        <f t="shared" si="67"/>
        <v>19</v>
      </c>
      <c r="O444" s="157"/>
      <c r="P444" s="157"/>
      <c r="Q444" s="153">
        <f ca="1">OFFSET(card_type!$A$1,MATCH(card!B444,card_type!B:B,0)-1,0)</f>
        <v>1015</v>
      </c>
      <c r="R444" s="153">
        <v>1</v>
      </c>
      <c r="S444" s="157">
        <f ca="1">ROUND(IF(R444=0,0,IF(R444=1,X444*$S$1,IF(R444=2,X444*$S$1*buff的资质计算!$E$2,IF(R444=3,X444*$S$1*buff的资质计算!$E$3,0)))),0)*0</f>
        <v>0</v>
      </c>
      <c r="T444" s="153">
        <v>1</v>
      </c>
      <c r="U444" s="153">
        <f ca="1" t="shared" si="68"/>
        <v>31</v>
      </c>
      <c r="V444" s="153">
        <f ca="1">ROUND((OFFSET(卡牌辅助配置表!$O$1,MATCH(U444,卡牌辅助配置表!M:M,0)-1,0)+(N444-1)*OFFSET(卡牌辅助配置表!$P$1,MATCH(U444,卡牌辅助配置表!M:M,0)-1,0))*M444,2)</f>
        <v>61.32</v>
      </c>
      <c r="W444" s="157">
        <f ca="1">ROUND(IF(R444=0,0,IF(R444=1,X444*$W$1,IF(R444=2,X444*$W$1*buff的资质计算!$E$2,IF(R444=3,X444*$W$1*buff的资质计算!$E$3,0)))),2)</f>
        <v>12.6</v>
      </c>
      <c r="X444" s="157">
        <f ca="1" t="shared" si="69"/>
        <v>42</v>
      </c>
      <c r="Y444" s="157">
        <f ca="1" t="shared" si="75"/>
        <v>42</v>
      </c>
      <c r="Z444" s="304">
        <f ca="1" t="shared" si="70"/>
        <v>21</v>
      </c>
      <c r="AA444" s="304">
        <f ca="1">OFFSET(卡牌辅助配置表!$AD$1,MATCH(AB444,卡牌辅助配置表!AB:AB,0)-1,0)</f>
        <v>2341</v>
      </c>
      <c r="AB444" s="304">
        <f ca="1" t="shared" si="71"/>
        <v>3119</v>
      </c>
      <c r="AC444" s="153">
        <v>3</v>
      </c>
      <c r="AE444" s="153">
        <v>1</v>
      </c>
      <c r="AF444" s="153" t="str">
        <f ca="1" t="shared" si="76"/>
        <v>10150011|</v>
      </c>
      <c r="AJ444" s="205" t="str">
        <f ca="1" t="shared" si="72"/>
        <v>301015|20|;400023|6300|;</v>
      </c>
      <c r="AK444" s="205">
        <f ca="1">OFFSET([1]item_type!$A$1,MATCH(Q444,[1]item_type!$G:$G,0)-1,0)</f>
        <v>301015</v>
      </c>
      <c r="AL444" s="205">
        <v>20</v>
      </c>
      <c r="AM444" s="205">
        <f ca="1">IF(B444=B445,OFFSET(卡牌辅助配置表!$AE$1,MATCH(AB444,卡牌辅助配置表!AB:AB,0),0),0)</f>
        <v>6300</v>
      </c>
      <c r="AN444" s="153">
        <f ca="1" t="shared" si="73"/>
        <v>1015020</v>
      </c>
      <c r="AP444" s="153" t="str">
        <f ca="1">IF(AC444=0,0,IF(AC444=12,0,OFFSET(effect!$N$1,MATCH(K444,effect!M:M,0)-1,0)))</f>
        <v>kpsx_pt</v>
      </c>
    </row>
    <row r="445" spans="1:42">
      <c r="A445" s="153">
        <f ca="1" t="shared" si="66"/>
        <v>1015020</v>
      </c>
      <c r="B445" s="91" t="s">
        <v>445</v>
      </c>
      <c r="C445" s="186">
        <v>1</v>
      </c>
      <c r="D445" s="186">
        <v>5</v>
      </c>
      <c r="E445" s="165" t="s">
        <v>1050</v>
      </c>
      <c r="F445" s="165" t="str">
        <f>"上一招为拳法时，增加"&amp;skill!$O$49/100&amp;"%伤害"</f>
        <v>上一招为拳法时，增加40%伤害</v>
      </c>
      <c r="G445" s="186">
        <f ca="1">OFFSET(卡牌辅助配置表!$C$1,MATCH(AC445,卡牌辅助配置表!A:A,0)-1,0)</f>
        <v>3</v>
      </c>
      <c r="H445" s="186">
        <f ca="1" t="shared" si="74"/>
        <v>0</v>
      </c>
      <c r="I445" s="186"/>
      <c r="J445" s="186">
        <f ca="1">OFFSET(card_type!$F$1,MATCH(Q445,card_type!A:A,0)-1,0)</f>
        <v>3</v>
      </c>
      <c r="K445" s="243">
        <f ca="1">OFFSET(card_type!$G$1,MATCH(Q445,card_type!A:A,0)-1,0)</f>
        <v>1</v>
      </c>
      <c r="L445" s="157">
        <v>2</v>
      </c>
      <c r="M445" s="157">
        <v>2</v>
      </c>
      <c r="N445" s="153">
        <f t="shared" si="67"/>
        <v>20</v>
      </c>
      <c r="O445" s="157"/>
      <c r="P445" s="157"/>
      <c r="Q445" s="153">
        <f ca="1">OFFSET(card_type!$A$1,MATCH(card!B445,card_type!B:B,0)-1,0)</f>
        <v>1015</v>
      </c>
      <c r="R445" s="153">
        <v>1</v>
      </c>
      <c r="S445" s="157">
        <f ca="1">ROUND(IF(R445=0,0,IF(R445=1,X445*$S$1,IF(R445=2,X445*$S$1*buff的资质计算!$E$2,IF(R445=3,X445*$S$1*buff的资质计算!$E$3,0)))),0)*0</f>
        <v>0</v>
      </c>
      <c r="T445" s="153">
        <v>1</v>
      </c>
      <c r="U445" s="153">
        <f ca="1" t="shared" si="68"/>
        <v>31</v>
      </c>
      <c r="V445" s="153">
        <f ca="1">ROUND((OFFSET(卡牌辅助配置表!$O$1,MATCH(U445,卡牌辅助配置表!M:M,0)-1,0)+(N445-1)*OFFSET(卡牌辅助配置表!$P$1,MATCH(U445,卡牌辅助配置表!M:M,0)-1,0))*M445,2)</f>
        <v>63.67</v>
      </c>
      <c r="W445" s="157">
        <f ca="1">ROUND(IF(R445=0,0,IF(R445=1,X445*$W$1,IF(R445=2,X445*$W$1*buff的资质计算!$E$2,IF(R445=3,X445*$W$1*buff的资质计算!$E$3,0)))),2)</f>
        <v>12.75</v>
      </c>
      <c r="X445" s="157">
        <f ca="1" t="shared" si="69"/>
        <v>42.5</v>
      </c>
      <c r="Y445" s="157">
        <f ca="1" t="shared" si="75"/>
        <v>42.5</v>
      </c>
      <c r="Z445" s="304">
        <f ca="1" t="shared" si="70"/>
        <v>21.25</v>
      </c>
      <c r="AA445" s="304">
        <f ca="1">OFFSET(卡牌辅助配置表!$AD$1,MATCH(AB445,卡牌辅助配置表!AB:AB,0)-1,0)</f>
        <v>2490</v>
      </c>
      <c r="AB445" s="304">
        <f ca="1" t="shared" si="71"/>
        <v>3120</v>
      </c>
      <c r="AC445" s="153">
        <v>3</v>
      </c>
      <c r="AE445" s="153">
        <v>1</v>
      </c>
      <c r="AF445" s="153" t="str">
        <f ca="1" t="shared" si="76"/>
        <v>10150011|</v>
      </c>
      <c r="AJ445" s="205" t="str">
        <f ca="1" t="shared" si="72"/>
        <v>400023|7100|;</v>
      </c>
      <c r="AK445" s="205">
        <f ca="1">OFFSET([1]item_type!$A$1,MATCH(Q445,[1]item_type!$G:$G,0)-1,0)</f>
        <v>301015</v>
      </c>
      <c r="AL445" s="205"/>
      <c r="AM445" s="205">
        <f ca="1">IF(B445=B446,OFFSET(卡牌辅助配置表!$AE$1,MATCH(AB445,卡牌辅助配置表!AB:AB,0),0),0)</f>
        <v>7100</v>
      </c>
      <c r="AN445" s="153">
        <f ca="1" t="shared" si="73"/>
        <v>1015021</v>
      </c>
      <c r="AP445" s="153" t="str">
        <f ca="1">IF(AC445=0,0,IF(AC445=12,0,OFFSET(effect!$N$1,MATCH(K445,effect!M:M,0)-1,0)))</f>
        <v>kpsx_pt</v>
      </c>
    </row>
    <row r="446" spans="1:42">
      <c r="A446" s="153">
        <f ca="1" t="shared" si="66"/>
        <v>1015021</v>
      </c>
      <c r="B446" s="91" t="s">
        <v>445</v>
      </c>
      <c r="C446" s="186">
        <v>1</v>
      </c>
      <c r="D446" s="186">
        <v>5</v>
      </c>
      <c r="E446" s="165" t="s">
        <v>1050</v>
      </c>
      <c r="F446" s="165" t="str">
        <f>"上一招为拳法时，增加"&amp;skill!$O$49/100&amp;"%伤害"</f>
        <v>上一招为拳法时，增加40%伤害</v>
      </c>
      <c r="G446" s="186">
        <f ca="1">OFFSET(卡牌辅助配置表!$C$1,MATCH(AC446,卡牌辅助配置表!A:A,0)-1,0)</f>
        <v>3</v>
      </c>
      <c r="H446" s="186">
        <f ca="1" t="shared" si="74"/>
        <v>0</v>
      </c>
      <c r="I446" s="186"/>
      <c r="J446" s="186">
        <f ca="1">OFFSET(card_type!$F$1,MATCH(Q446,card_type!A:A,0)-1,0)</f>
        <v>3</v>
      </c>
      <c r="K446" s="243">
        <f ca="1">OFFSET(card_type!$G$1,MATCH(Q446,card_type!A:A,0)-1,0)</f>
        <v>1</v>
      </c>
      <c r="L446" s="157">
        <v>2</v>
      </c>
      <c r="M446" s="157">
        <v>2</v>
      </c>
      <c r="N446" s="153">
        <f t="shared" si="67"/>
        <v>21</v>
      </c>
      <c r="O446" s="157"/>
      <c r="P446" s="157"/>
      <c r="Q446" s="153">
        <f ca="1">OFFSET(card_type!$A$1,MATCH(card!B446,card_type!B:B,0)-1,0)</f>
        <v>1015</v>
      </c>
      <c r="R446" s="153">
        <v>1</v>
      </c>
      <c r="S446" s="157">
        <f ca="1">ROUND(IF(R446=0,0,IF(R446=1,X446*$S$1,IF(R446=2,X446*$S$1*buff的资质计算!$E$2,IF(R446=3,X446*$S$1*buff的资质计算!$E$3,0)))),0)*0</f>
        <v>0</v>
      </c>
      <c r="T446" s="153">
        <v>1</v>
      </c>
      <c r="U446" s="153">
        <f ca="1" t="shared" si="68"/>
        <v>31</v>
      </c>
      <c r="V446" s="153">
        <f ca="1">ROUND((OFFSET(卡牌辅助配置表!$O$1,MATCH(U446,卡牌辅助配置表!M:M,0)-1,0)+(N446-1)*OFFSET(卡牌辅助配置表!$P$1,MATCH(U446,卡牌辅助配置表!M:M,0)-1,0))*M446,2)</f>
        <v>66.03</v>
      </c>
      <c r="W446" s="157">
        <f ca="1">ROUND(IF(R446=0,0,IF(R446=1,X446*$W$1,IF(R446=2,X446*$W$1*buff的资质计算!$E$2,IF(R446=3,X446*$W$1*buff的资质计算!$E$3,0)))),2)</f>
        <v>12.9</v>
      </c>
      <c r="X446" s="157">
        <f ca="1" t="shared" si="69"/>
        <v>43</v>
      </c>
      <c r="Y446" s="157">
        <f ca="1" t="shared" si="75"/>
        <v>43</v>
      </c>
      <c r="Z446" s="304">
        <f ca="1" t="shared" si="70"/>
        <v>21.5</v>
      </c>
      <c r="AA446" s="304">
        <f ca="1">OFFSET(卡牌辅助配置表!$AD$1,MATCH(AB446,卡牌辅助配置表!AB:AB,0)-1,0)</f>
        <v>2689</v>
      </c>
      <c r="AB446" s="304">
        <f ca="1" t="shared" si="71"/>
        <v>3121</v>
      </c>
      <c r="AC446" s="153">
        <v>3</v>
      </c>
      <c r="AE446" s="153">
        <v>1</v>
      </c>
      <c r="AF446" s="153" t="str">
        <f ca="1" t="shared" si="76"/>
        <v>10150011|</v>
      </c>
      <c r="AJ446" s="205" t="str">
        <f ca="1" t="shared" si="72"/>
        <v>400023|7900|;</v>
      </c>
      <c r="AK446" s="205">
        <f ca="1">OFFSET([1]item_type!$A$1,MATCH(Q446,[1]item_type!$G:$G,0)-1,0)</f>
        <v>301015</v>
      </c>
      <c r="AL446" s="205"/>
      <c r="AM446" s="205">
        <f ca="1">IF(B446=B447,OFFSET(卡牌辅助配置表!$AE$1,MATCH(AB446,卡牌辅助配置表!AB:AB,0),0),0)</f>
        <v>7900</v>
      </c>
      <c r="AN446" s="153">
        <f ca="1" t="shared" si="73"/>
        <v>1015022</v>
      </c>
      <c r="AP446" s="153" t="str">
        <f ca="1">IF(AC446=0,0,IF(AC446=12,0,OFFSET(effect!$N$1,MATCH(K446,effect!M:M,0)-1,0)))</f>
        <v>kpsx_pt</v>
      </c>
    </row>
    <row r="447" spans="1:42">
      <c r="A447" s="153">
        <f ca="1" t="shared" si="66"/>
        <v>1015022</v>
      </c>
      <c r="B447" s="91" t="s">
        <v>445</v>
      </c>
      <c r="C447" s="186">
        <v>1</v>
      </c>
      <c r="D447" s="186">
        <v>5</v>
      </c>
      <c r="E447" s="165" t="s">
        <v>1050</v>
      </c>
      <c r="F447" s="165" t="str">
        <f>"上一招为拳法时，增加"&amp;skill!$O$49/100&amp;"%伤害"</f>
        <v>上一招为拳法时，增加40%伤害</v>
      </c>
      <c r="G447" s="186">
        <f ca="1">OFFSET(卡牌辅助配置表!$C$1,MATCH(AC447,卡牌辅助配置表!A:A,0)-1,0)</f>
        <v>3</v>
      </c>
      <c r="H447" s="186">
        <f ca="1" t="shared" si="74"/>
        <v>0</v>
      </c>
      <c r="I447" s="186"/>
      <c r="J447" s="186">
        <f ca="1">OFFSET(card_type!$F$1,MATCH(Q447,card_type!A:A,0)-1,0)</f>
        <v>3</v>
      </c>
      <c r="K447" s="243">
        <f ca="1">OFFSET(card_type!$G$1,MATCH(Q447,card_type!A:A,0)-1,0)</f>
        <v>1</v>
      </c>
      <c r="L447" s="157">
        <v>2</v>
      </c>
      <c r="M447" s="157">
        <v>2</v>
      </c>
      <c r="N447" s="153">
        <f t="shared" si="67"/>
        <v>22</v>
      </c>
      <c r="O447" s="157"/>
      <c r="P447" s="157"/>
      <c r="Q447" s="153">
        <f ca="1">OFFSET(card_type!$A$1,MATCH(card!B447,card_type!B:B,0)-1,0)</f>
        <v>1015</v>
      </c>
      <c r="R447" s="153">
        <v>1</v>
      </c>
      <c r="S447" s="157">
        <f ca="1">ROUND(IF(R447=0,0,IF(R447=1,X447*$S$1,IF(R447=2,X447*$S$1*buff的资质计算!$E$2,IF(R447=3,X447*$S$1*buff的资质计算!$E$3,0)))),0)*0</f>
        <v>0</v>
      </c>
      <c r="T447" s="153">
        <v>1</v>
      </c>
      <c r="U447" s="153">
        <f ca="1" t="shared" si="68"/>
        <v>31</v>
      </c>
      <c r="V447" s="153">
        <f ca="1">ROUND((OFFSET(卡牌辅助配置表!$O$1,MATCH(U447,卡牌辅助配置表!M:M,0)-1,0)+(N447-1)*OFFSET(卡牌辅助配置表!$P$1,MATCH(U447,卡牌辅助配置表!M:M,0)-1,0))*M447,2)</f>
        <v>68.38</v>
      </c>
      <c r="W447" s="157">
        <f ca="1">ROUND(IF(R447=0,0,IF(R447=1,X447*$W$1,IF(R447=2,X447*$W$1*buff的资质计算!$E$2,IF(R447=3,X447*$W$1*buff的资质计算!$E$3,0)))),2)</f>
        <v>13.05</v>
      </c>
      <c r="X447" s="157">
        <f ca="1" t="shared" si="69"/>
        <v>43.5</v>
      </c>
      <c r="Y447" s="157">
        <f ca="1" t="shared" si="75"/>
        <v>43.5</v>
      </c>
      <c r="Z447" s="304">
        <f ca="1" t="shared" si="70"/>
        <v>21.75</v>
      </c>
      <c r="AA447" s="304">
        <f ca="1">OFFSET(卡牌辅助配置表!$AD$1,MATCH(AB447,卡牌辅助配置表!AB:AB,0)-1,0)</f>
        <v>2888</v>
      </c>
      <c r="AB447" s="304">
        <f ca="1" t="shared" si="71"/>
        <v>3122</v>
      </c>
      <c r="AC447" s="153">
        <v>3</v>
      </c>
      <c r="AE447" s="153">
        <v>1</v>
      </c>
      <c r="AF447" s="153" t="str">
        <f ca="1" t="shared" si="76"/>
        <v>10150011|</v>
      </c>
      <c r="AJ447" s="205" t="str">
        <f ca="1" t="shared" si="72"/>
        <v>400023|8700|;</v>
      </c>
      <c r="AK447" s="205">
        <f ca="1">OFFSET([1]item_type!$A$1,MATCH(Q447,[1]item_type!$G:$G,0)-1,0)</f>
        <v>301015</v>
      </c>
      <c r="AL447" s="205"/>
      <c r="AM447" s="205">
        <f ca="1">IF(B447=B448,OFFSET(卡牌辅助配置表!$AE$1,MATCH(AB447,卡牌辅助配置表!AB:AB,0),0),0)</f>
        <v>8700</v>
      </c>
      <c r="AN447" s="153">
        <f ca="1" t="shared" si="73"/>
        <v>1015023</v>
      </c>
      <c r="AP447" s="153" t="str">
        <f ca="1">IF(AC447=0,0,IF(AC447=12,0,OFFSET(effect!$N$1,MATCH(K447,effect!M:M,0)-1,0)))</f>
        <v>kpsx_pt</v>
      </c>
    </row>
    <row r="448" spans="1:42">
      <c r="A448" s="153">
        <f ca="1" t="shared" si="66"/>
        <v>1015023</v>
      </c>
      <c r="B448" s="91" t="s">
        <v>445</v>
      </c>
      <c r="C448" s="186">
        <v>1</v>
      </c>
      <c r="D448" s="186">
        <v>5</v>
      </c>
      <c r="E448" s="165" t="s">
        <v>1050</v>
      </c>
      <c r="F448" s="165" t="str">
        <f>"上一招为拳法时，增加"&amp;skill!$O$49/100&amp;"%伤害"</f>
        <v>上一招为拳法时，增加40%伤害</v>
      </c>
      <c r="G448" s="186">
        <f ca="1">OFFSET(卡牌辅助配置表!$C$1,MATCH(AC448,卡牌辅助配置表!A:A,0)-1,0)</f>
        <v>3</v>
      </c>
      <c r="H448" s="186">
        <f ca="1" t="shared" si="74"/>
        <v>0</v>
      </c>
      <c r="I448" s="186"/>
      <c r="J448" s="186">
        <f ca="1">OFFSET(card_type!$F$1,MATCH(Q448,card_type!A:A,0)-1,0)</f>
        <v>3</v>
      </c>
      <c r="K448" s="243">
        <f ca="1">OFFSET(card_type!$G$1,MATCH(Q448,card_type!A:A,0)-1,0)</f>
        <v>1</v>
      </c>
      <c r="L448" s="157">
        <v>2</v>
      </c>
      <c r="M448" s="157">
        <v>2</v>
      </c>
      <c r="N448" s="153">
        <f t="shared" si="67"/>
        <v>23</v>
      </c>
      <c r="O448" s="157"/>
      <c r="P448" s="157"/>
      <c r="Q448" s="153">
        <f ca="1">OFFSET(card_type!$A$1,MATCH(card!B448,card_type!B:B,0)-1,0)</f>
        <v>1015</v>
      </c>
      <c r="R448" s="153">
        <v>1</v>
      </c>
      <c r="S448" s="157">
        <f ca="1">ROUND(IF(R448=0,0,IF(R448=1,X448*$S$1,IF(R448=2,X448*$S$1*buff的资质计算!$E$2,IF(R448=3,X448*$S$1*buff的资质计算!$E$3,0)))),0)*0</f>
        <v>0</v>
      </c>
      <c r="T448" s="153">
        <v>1</v>
      </c>
      <c r="U448" s="153">
        <f ca="1" t="shared" si="68"/>
        <v>31</v>
      </c>
      <c r="V448" s="153">
        <f ca="1">ROUND((OFFSET(卡牌辅助配置表!$O$1,MATCH(U448,卡牌辅助配置表!M:M,0)-1,0)+(N448-1)*OFFSET(卡牌辅助配置表!$P$1,MATCH(U448,卡牌辅助配置表!M:M,0)-1,0))*M448,2)</f>
        <v>70.74</v>
      </c>
      <c r="W448" s="157">
        <f ca="1">ROUND(IF(R448=0,0,IF(R448=1,X448*$W$1,IF(R448=2,X448*$W$1*buff的资质计算!$E$2,IF(R448=3,X448*$W$1*buff的资质计算!$E$3,0)))),2)</f>
        <v>13.2</v>
      </c>
      <c r="X448" s="157">
        <f ca="1" t="shared" si="69"/>
        <v>44</v>
      </c>
      <c r="Y448" s="157">
        <f ca="1" t="shared" si="75"/>
        <v>44</v>
      </c>
      <c r="Z448" s="304">
        <f ca="1" t="shared" si="70"/>
        <v>22</v>
      </c>
      <c r="AA448" s="304">
        <f ca="1">OFFSET(卡牌辅助配置表!$AD$1,MATCH(AB448,卡牌辅助配置表!AB:AB,0)-1,0)</f>
        <v>3087</v>
      </c>
      <c r="AB448" s="304">
        <f ca="1" t="shared" si="71"/>
        <v>3123</v>
      </c>
      <c r="AC448" s="153">
        <v>3</v>
      </c>
      <c r="AE448" s="153">
        <v>1</v>
      </c>
      <c r="AF448" s="153" t="str">
        <f ca="1" t="shared" si="76"/>
        <v>10150011|</v>
      </c>
      <c r="AJ448" s="205" t="str">
        <f ca="1" t="shared" si="72"/>
        <v>400023|9500|;</v>
      </c>
      <c r="AK448" s="205">
        <f ca="1">OFFSET([1]item_type!$A$1,MATCH(Q448,[1]item_type!$G:$G,0)-1,0)</f>
        <v>301015</v>
      </c>
      <c r="AL448" s="205"/>
      <c r="AM448" s="205">
        <f ca="1">IF(B448=B449,OFFSET(卡牌辅助配置表!$AE$1,MATCH(AB448,卡牌辅助配置表!AB:AB,0),0),0)</f>
        <v>9500</v>
      </c>
      <c r="AN448" s="153">
        <f ca="1" t="shared" si="73"/>
        <v>1015024</v>
      </c>
      <c r="AP448" s="153" t="str">
        <f ca="1">IF(AC448=0,0,IF(AC448=12,0,OFFSET(effect!$N$1,MATCH(K448,effect!M:M,0)-1,0)))</f>
        <v>kpsx_pt</v>
      </c>
    </row>
    <row r="449" spans="1:42">
      <c r="A449" s="153">
        <f ca="1" t="shared" si="66"/>
        <v>1015024</v>
      </c>
      <c r="B449" s="91" t="s">
        <v>445</v>
      </c>
      <c r="C449" s="186">
        <v>1</v>
      </c>
      <c r="D449" s="186">
        <v>5</v>
      </c>
      <c r="E449" s="165" t="s">
        <v>1050</v>
      </c>
      <c r="F449" s="165" t="str">
        <f>"上一招为拳法时，增加"&amp;skill!$O$49/100&amp;"%伤害"</f>
        <v>上一招为拳法时，增加40%伤害</v>
      </c>
      <c r="G449" s="186">
        <f ca="1">OFFSET(卡牌辅助配置表!$C$1,MATCH(AC449,卡牌辅助配置表!A:A,0)-1,0)</f>
        <v>3</v>
      </c>
      <c r="H449" s="186">
        <f ca="1" t="shared" si="74"/>
        <v>0</v>
      </c>
      <c r="I449" s="186"/>
      <c r="J449" s="186">
        <f ca="1">OFFSET(card_type!$F$1,MATCH(Q449,card_type!A:A,0)-1,0)</f>
        <v>3</v>
      </c>
      <c r="K449" s="243">
        <f ca="1">OFFSET(card_type!$G$1,MATCH(Q449,card_type!A:A,0)-1,0)</f>
        <v>1</v>
      </c>
      <c r="L449" s="157">
        <v>2</v>
      </c>
      <c r="M449" s="157">
        <v>2</v>
      </c>
      <c r="N449" s="153">
        <f t="shared" si="67"/>
        <v>24</v>
      </c>
      <c r="O449" s="157"/>
      <c r="P449" s="157"/>
      <c r="Q449" s="153">
        <f ca="1">OFFSET(card_type!$A$1,MATCH(card!B449,card_type!B:B,0)-1,0)</f>
        <v>1015</v>
      </c>
      <c r="R449" s="153">
        <v>1</v>
      </c>
      <c r="S449" s="157">
        <f ca="1">ROUND(IF(R449=0,0,IF(R449=1,X449*$S$1,IF(R449=2,X449*$S$1*buff的资质计算!$E$2,IF(R449=3,X449*$S$1*buff的资质计算!$E$3,0)))),0)*0</f>
        <v>0</v>
      </c>
      <c r="T449" s="153">
        <v>1</v>
      </c>
      <c r="U449" s="153">
        <f ca="1" t="shared" si="68"/>
        <v>31</v>
      </c>
      <c r="V449" s="153">
        <f ca="1">ROUND((OFFSET(卡牌辅助配置表!$O$1,MATCH(U449,卡牌辅助配置表!M:M,0)-1,0)+(N449-1)*OFFSET(卡牌辅助配置表!$P$1,MATCH(U449,卡牌辅助配置表!M:M,0)-1,0))*M449,2)</f>
        <v>73.09</v>
      </c>
      <c r="W449" s="157">
        <f ca="1">ROUND(IF(R449=0,0,IF(R449=1,X449*$W$1,IF(R449=2,X449*$W$1*buff的资质计算!$E$2,IF(R449=3,X449*$W$1*buff的资质计算!$E$3,0)))),2)</f>
        <v>13.35</v>
      </c>
      <c r="X449" s="157">
        <f ca="1" t="shared" si="69"/>
        <v>44.5</v>
      </c>
      <c r="Y449" s="157">
        <f ca="1" t="shared" si="75"/>
        <v>44.5</v>
      </c>
      <c r="Z449" s="304">
        <f ca="1" t="shared" si="70"/>
        <v>22.25</v>
      </c>
      <c r="AA449" s="304">
        <f ca="1">OFFSET(卡牌辅助配置表!$AD$1,MATCH(AB449,卡牌辅助配置表!AB:AB,0)-1,0)</f>
        <v>3286</v>
      </c>
      <c r="AB449" s="304">
        <f ca="1" t="shared" si="71"/>
        <v>3124</v>
      </c>
      <c r="AC449" s="153">
        <v>3</v>
      </c>
      <c r="AE449" s="153">
        <v>1</v>
      </c>
      <c r="AF449" s="153" t="str">
        <f ca="1" t="shared" si="76"/>
        <v>10150011|</v>
      </c>
      <c r="AJ449" s="205" t="str">
        <f ca="1" t="shared" si="72"/>
        <v>400023|10300|;</v>
      </c>
      <c r="AK449" s="205">
        <f ca="1">OFFSET([1]item_type!$A$1,MATCH(Q449,[1]item_type!$G:$G,0)-1,0)</f>
        <v>301015</v>
      </c>
      <c r="AL449" s="205"/>
      <c r="AM449" s="205">
        <f ca="1">IF(B449=B450,OFFSET(卡牌辅助配置表!$AE$1,MATCH(AB449,卡牌辅助配置表!AB:AB,0),0),0)</f>
        <v>10300</v>
      </c>
      <c r="AN449" s="153">
        <f ca="1" t="shared" si="73"/>
        <v>1015025</v>
      </c>
      <c r="AP449" s="153" t="str">
        <f ca="1">IF(AC449=0,0,IF(AC449=12,0,OFFSET(effect!$N$1,MATCH(K449,effect!M:M,0)-1,0)))</f>
        <v>kpsx_pt</v>
      </c>
    </row>
    <row r="450" spans="1:42">
      <c r="A450" s="153">
        <f ca="1" t="shared" si="66"/>
        <v>1015025</v>
      </c>
      <c r="B450" s="91" t="s">
        <v>445</v>
      </c>
      <c r="C450" s="186">
        <v>1</v>
      </c>
      <c r="D450" s="186">
        <v>5</v>
      </c>
      <c r="E450" s="165" t="s">
        <v>1050</v>
      </c>
      <c r="F450" s="165" t="str">
        <f>"上一招为拳法时，增加"&amp;skill!$O$49/100&amp;"%伤害"</f>
        <v>上一招为拳法时，增加40%伤害</v>
      </c>
      <c r="G450" s="186">
        <f ca="1">OFFSET(卡牌辅助配置表!$C$1,MATCH(AC450,卡牌辅助配置表!A:A,0)-1,0)</f>
        <v>3</v>
      </c>
      <c r="H450" s="186">
        <f ca="1" t="shared" si="74"/>
        <v>0</v>
      </c>
      <c r="I450" s="186"/>
      <c r="J450" s="186">
        <f ca="1">OFFSET(card_type!$F$1,MATCH(Q450,card_type!A:A,0)-1,0)</f>
        <v>3</v>
      </c>
      <c r="K450" s="243">
        <f ca="1">OFFSET(card_type!$G$1,MATCH(Q450,card_type!A:A,0)-1,0)</f>
        <v>1</v>
      </c>
      <c r="L450" s="157">
        <v>2</v>
      </c>
      <c r="M450" s="157">
        <v>2</v>
      </c>
      <c r="N450" s="153">
        <f t="shared" si="67"/>
        <v>25</v>
      </c>
      <c r="O450" s="157"/>
      <c r="P450" s="157"/>
      <c r="Q450" s="153">
        <f ca="1">OFFSET(card_type!$A$1,MATCH(card!B450,card_type!B:B,0)-1,0)</f>
        <v>1015</v>
      </c>
      <c r="R450" s="153">
        <v>1</v>
      </c>
      <c r="S450" s="157">
        <f ca="1">ROUND(IF(R450=0,0,IF(R450=1,X450*$S$1,IF(R450=2,X450*$S$1*buff的资质计算!$E$2,IF(R450=3,X450*$S$1*buff的资质计算!$E$3,0)))),0)*0</f>
        <v>0</v>
      </c>
      <c r="T450" s="153">
        <v>1</v>
      </c>
      <c r="U450" s="153">
        <f ca="1" t="shared" si="68"/>
        <v>31</v>
      </c>
      <c r="V450" s="153">
        <f ca="1">ROUND((OFFSET(卡牌辅助配置表!$O$1,MATCH(U450,卡牌辅助配置表!M:M,0)-1,0)+(N450-1)*OFFSET(卡牌辅助配置表!$P$1,MATCH(U450,卡牌辅助配置表!M:M,0)-1,0))*M450,2)</f>
        <v>75.44</v>
      </c>
      <c r="W450" s="157">
        <f ca="1">ROUND(IF(R450=0,0,IF(R450=1,X450*$W$1,IF(R450=2,X450*$W$1*buff的资质计算!$E$2,IF(R450=3,X450*$W$1*buff的资质计算!$E$3,0)))),2)</f>
        <v>13.5</v>
      </c>
      <c r="X450" s="157">
        <f ca="1" t="shared" si="69"/>
        <v>45</v>
      </c>
      <c r="Y450" s="157">
        <f ca="1" t="shared" si="75"/>
        <v>45</v>
      </c>
      <c r="Z450" s="304">
        <f ca="1" t="shared" si="70"/>
        <v>22.5</v>
      </c>
      <c r="AA450" s="304">
        <f ca="1">OFFSET(卡牌辅助配置表!$AD$1,MATCH(AB450,卡牌辅助配置表!AB:AB,0)-1,0)</f>
        <v>3485</v>
      </c>
      <c r="AB450" s="304">
        <f ca="1" t="shared" si="71"/>
        <v>3125</v>
      </c>
      <c r="AC450" s="153">
        <v>3</v>
      </c>
      <c r="AE450" s="153">
        <v>1</v>
      </c>
      <c r="AF450" s="153" t="str">
        <f ca="1" t="shared" si="76"/>
        <v>10150011|</v>
      </c>
      <c r="AJ450" s="205" t="str">
        <f ca="1" t="shared" si="72"/>
        <v>400023|11100|;</v>
      </c>
      <c r="AK450" s="205">
        <f ca="1">OFFSET([1]item_type!$A$1,MATCH(Q450,[1]item_type!$G:$G,0)-1,0)</f>
        <v>301015</v>
      </c>
      <c r="AL450" s="205"/>
      <c r="AM450" s="205">
        <f ca="1">IF(B450=B451,OFFSET(卡牌辅助配置表!$AE$1,MATCH(AB450,卡牌辅助配置表!AB:AB,0),0),0)</f>
        <v>11100</v>
      </c>
      <c r="AN450" s="153">
        <f ca="1" t="shared" si="73"/>
        <v>1015026</v>
      </c>
      <c r="AP450" s="153" t="str">
        <f ca="1">IF(AC450=0,0,IF(AC450=12,0,OFFSET(effect!$N$1,MATCH(K450,effect!M:M,0)-1,0)))</f>
        <v>kpsx_pt</v>
      </c>
    </row>
    <row r="451" spans="1:42">
      <c r="A451" s="153">
        <f ca="1" t="shared" si="66"/>
        <v>1015026</v>
      </c>
      <c r="B451" s="91" t="s">
        <v>445</v>
      </c>
      <c r="C451" s="186">
        <v>1</v>
      </c>
      <c r="D451" s="186">
        <v>5</v>
      </c>
      <c r="E451" s="165" t="s">
        <v>1050</v>
      </c>
      <c r="F451" s="165" t="str">
        <f>"上一招为拳法时，增加"&amp;skill!$O$49/100&amp;"%伤害"</f>
        <v>上一招为拳法时，增加40%伤害</v>
      </c>
      <c r="G451" s="186">
        <f ca="1">OFFSET(卡牌辅助配置表!$C$1,MATCH(AC451,卡牌辅助配置表!A:A,0)-1,0)</f>
        <v>3</v>
      </c>
      <c r="H451" s="186">
        <f ca="1" t="shared" si="74"/>
        <v>0</v>
      </c>
      <c r="I451" s="186"/>
      <c r="J451" s="186">
        <f ca="1">OFFSET(card_type!$F$1,MATCH(Q451,card_type!A:A,0)-1,0)</f>
        <v>3</v>
      </c>
      <c r="K451" s="243">
        <f ca="1">OFFSET(card_type!$G$1,MATCH(Q451,card_type!A:A,0)-1,0)</f>
        <v>1</v>
      </c>
      <c r="L451" s="157">
        <v>2</v>
      </c>
      <c r="M451" s="157">
        <v>2</v>
      </c>
      <c r="N451" s="153">
        <f t="shared" si="67"/>
        <v>26</v>
      </c>
      <c r="O451" s="157"/>
      <c r="P451" s="157"/>
      <c r="Q451" s="153">
        <f ca="1">OFFSET(card_type!$A$1,MATCH(card!B451,card_type!B:B,0)-1,0)</f>
        <v>1015</v>
      </c>
      <c r="R451" s="153">
        <v>1</v>
      </c>
      <c r="S451" s="157">
        <f ca="1">ROUND(IF(R451=0,0,IF(R451=1,X451*$S$1,IF(R451=2,X451*$S$1*buff的资质计算!$E$2,IF(R451=3,X451*$S$1*buff的资质计算!$E$3,0)))),0)*0</f>
        <v>0</v>
      </c>
      <c r="T451" s="153">
        <v>1</v>
      </c>
      <c r="U451" s="153">
        <f ca="1" t="shared" si="68"/>
        <v>31</v>
      </c>
      <c r="V451" s="153">
        <f ca="1">ROUND((OFFSET(卡牌辅助配置表!$O$1,MATCH(U451,卡牌辅助配置表!M:M,0)-1,0)+(N451-1)*OFFSET(卡牌辅助配置表!$P$1,MATCH(U451,卡牌辅助配置表!M:M,0)-1,0))*M451,2)</f>
        <v>77.8</v>
      </c>
      <c r="W451" s="157">
        <f ca="1">ROUND(IF(R451=0,0,IF(R451=1,X451*$W$1,IF(R451=2,X451*$W$1*buff的资质计算!$E$2,IF(R451=3,X451*$W$1*buff的资质计算!$E$3,0)))),2)</f>
        <v>13.65</v>
      </c>
      <c r="X451" s="157">
        <f ca="1" t="shared" si="69"/>
        <v>45.5</v>
      </c>
      <c r="Y451" s="157">
        <f ca="1" t="shared" si="75"/>
        <v>45.5</v>
      </c>
      <c r="Z451" s="304">
        <f ca="1" t="shared" si="70"/>
        <v>22.75</v>
      </c>
      <c r="AA451" s="304">
        <f ca="1">OFFSET(卡牌辅助配置表!$AD$1,MATCH(AB451,卡牌辅助配置表!AB:AB,0)-1,0)</f>
        <v>3684</v>
      </c>
      <c r="AB451" s="304">
        <f ca="1" t="shared" si="71"/>
        <v>3126</v>
      </c>
      <c r="AC451" s="153">
        <v>3</v>
      </c>
      <c r="AE451" s="153">
        <v>1</v>
      </c>
      <c r="AF451" s="153" t="str">
        <f ca="1" t="shared" si="76"/>
        <v>10150011|</v>
      </c>
      <c r="AJ451" s="205" t="str">
        <f ca="1" t="shared" si="72"/>
        <v>400023|11900|;</v>
      </c>
      <c r="AK451" s="205">
        <f ca="1">OFFSET([1]item_type!$A$1,MATCH(Q451,[1]item_type!$G:$G,0)-1,0)</f>
        <v>301015</v>
      </c>
      <c r="AL451" s="205"/>
      <c r="AM451" s="205">
        <f ca="1">IF(B451=B452,OFFSET(卡牌辅助配置表!$AE$1,MATCH(AB451,卡牌辅助配置表!AB:AB,0),0),0)</f>
        <v>11900</v>
      </c>
      <c r="AN451" s="153">
        <f ca="1" t="shared" si="73"/>
        <v>1015027</v>
      </c>
      <c r="AP451" s="153" t="str">
        <f ca="1">IF(AC451=0,0,IF(AC451=12,0,OFFSET(effect!$N$1,MATCH(K451,effect!M:M,0)-1,0)))</f>
        <v>kpsx_pt</v>
      </c>
    </row>
    <row r="452" spans="1:42">
      <c r="A452" s="153">
        <f ca="1" t="shared" si="66"/>
        <v>1015027</v>
      </c>
      <c r="B452" s="91" t="s">
        <v>445</v>
      </c>
      <c r="C452" s="186">
        <v>1</v>
      </c>
      <c r="D452" s="186">
        <v>5</v>
      </c>
      <c r="E452" s="165" t="s">
        <v>1050</v>
      </c>
      <c r="F452" s="165" t="str">
        <f>"上一招为拳法时，增加"&amp;skill!$O$49/100&amp;"%伤害"</f>
        <v>上一招为拳法时，增加40%伤害</v>
      </c>
      <c r="G452" s="186">
        <f ca="1">OFFSET(卡牌辅助配置表!$C$1,MATCH(AC452,卡牌辅助配置表!A:A,0)-1,0)</f>
        <v>3</v>
      </c>
      <c r="H452" s="186">
        <f ca="1" t="shared" si="74"/>
        <v>0</v>
      </c>
      <c r="I452" s="186"/>
      <c r="J452" s="186">
        <f ca="1">OFFSET(card_type!$F$1,MATCH(Q452,card_type!A:A,0)-1,0)</f>
        <v>3</v>
      </c>
      <c r="K452" s="243">
        <f ca="1">OFFSET(card_type!$G$1,MATCH(Q452,card_type!A:A,0)-1,0)</f>
        <v>1</v>
      </c>
      <c r="L452" s="157">
        <v>2</v>
      </c>
      <c r="M452" s="157">
        <v>2</v>
      </c>
      <c r="N452" s="153">
        <f t="shared" si="67"/>
        <v>27</v>
      </c>
      <c r="O452" s="157"/>
      <c r="P452" s="157"/>
      <c r="Q452" s="153">
        <f ca="1">OFFSET(card_type!$A$1,MATCH(card!B452,card_type!B:B,0)-1,0)</f>
        <v>1015</v>
      </c>
      <c r="R452" s="153">
        <v>1</v>
      </c>
      <c r="S452" s="157">
        <f ca="1">ROUND(IF(R452=0,0,IF(R452=1,X452*$S$1,IF(R452=2,X452*$S$1*buff的资质计算!$E$2,IF(R452=3,X452*$S$1*buff的资质计算!$E$3,0)))),0)*0</f>
        <v>0</v>
      </c>
      <c r="T452" s="153">
        <v>1</v>
      </c>
      <c r="U452" s="153">
        <f ca="1" t="shared" si="68"/>
        <v>31</v>
      </c>
      <c r="V452" s="153">
        <f ca="1">ROUND((OFFSET(卡牌辅助配置表!$O$1,MATCH(U452,卡牌辅助配置表!M:M,0)-1,0)+(N452-1)*OFFSET(卡牌辅助配置表!$P$1,MATCH(U452,卡牌辅助配置表!M:M,0)-1,0))*M452,2)</f>
        <v>80.15</v>
      </c>
      <c r="W452" s="157">
        <f ca="1">ROUND(IF(R452=0,0,IF(R452=1,X452*$W$1,IF(R452=2,X452*$W$1*buff的资质计算!$E$2,IF(R452=3,X452*$W$1*buff的资质计算!$E$3,0)))),2)</f>
        <v>13.8</v>
      </c>
      <c r="X452" s="157">
        <f ca="1" t="shared" si="69"/>
        <v>46</v>
      </c>
      <c r="Y452" s="157">
        <f ca="1" t="shared" si="75"/>
        <v>46</v>
      </c>
      <c r="Z452" s="304">
        <f ca="1" t="shared" si="70"/>
        <v>23</v>
      </c>
      <c r="AA452" s="304">
        <f ca="1">OFFSET(卡牌辅助配置表!$AD$1,MATCH(AB452,卡牌辅助配置表!AB:AB,0)-1,0)</f>
        <v>3883</v>
      </c>
      <c r="AB452" s="304">
        <f ca="1" t="shared" si="71"/>
        <v>3127</v>
      </c>
      <c r="AC452" s="153">
        <v>3</v>
      </c>
      <c r="AE452" s="153">
        <v>1</v>
      </c>
      <c r="AF452" s="153" t="str">
        <f ca="1" t="shared" si="76"/>
        <v>10150011|</v>
      </c>
      <c r="AJ452" s="205" t="str">
        <f ca="1" t="shared" si="72"/>
        <v>400023|12700|;</v>
      </c>
      <c r="AK452" s="205">
        <f ca="1">OFFSET([1]item_type!$A$1,MATCH(Q452,[1]item_type!$G:$G,0)-1,0)</f>
        <v>301015</v>
      </c>
      <c r="AL452" s="205"/>
      <c r="AM452" s="205">
        <f ca="1">IF(B452=B453,OFFSET(卡牌辅助配置表!$AE$1,MATCH(AB452,卡牌辅助配置表!AB:AB,0),0),0)</f>
        <v>12700</v>
      </c>
      <c r="AN452" s="153">
        <f ca="1" t="shared" si="73"/>
        <v>1015028</v>
      </c>
      <c r="AP452" s="153" t="str">
        <f ca="1">IF(AC452=0,0,IF(AC452=12,0,OFFSET(effect!$N$1,MATCH(K452,effect!M:M,0)-1,0)))</f>
        <v>kpsx_pt</v>
      </c>
    </row>
    <row r="453" spans="1:42">
      <c r="A453" s="153">
        <f ca="1" t="shared" si="66"/>
        <v>1015028</v>
      </c>
      <c r="B453" s="91" t="s">
        <v>445</v>
      </c>
      <c r="C453" s="186">
        <v>1</v>
      </c>
      <c r="D453" s="186">
        <v>5</v>
      </c>
      <c r="E453" s="165" t="s">
        <v>1050</v>
      </c>
      <c r="F453" s="165" t="str">
        <f>"上一招为拳法时，增加"&amp;skill!$O$49/100&amp;"%伤害"</f>
        <v>上一招为拳法时，增加40%伤害</v>
      </c>
      <c r="G453" s="186">
        <f ca="1">OFFSET(卡牌辅助配置表!$C$1,MATCH(AC453,卡牌辅助配置表!A:A,0)-1,0)</f>
        <v>3</v>
      </c>
      <c r="H453" s="186">
        <f ca="1" t="shared" si="74"/>
        <v>0</v>
      </c>
      <c r="I453" s="186"/>
      <c r="J453" s="186">
        <f ca="1">OFFSET(card_type!$F$1,MATCH(Q453,card_type!A:A,0)-1,0)</f>
        <v>3</v>
      </c>
      <c r="K453" s="243">
        <f ca="1">OFFSET(card_type!$G$1,MATCH(Q453,card_type!A:A,0)-1,0)</f>
        <v>1</v>
      </c>
      <c r="L453" s="157">
        <v>2</v>
      </c>
      <c r="M453" s="157">
        <v>2</v>
      </c>
      <c r="N453" s="153">
        <f t="shared" si="67"/>
        <v>28</v>
      </c>
      <c r="O453" s="157"/>
      <c r="P453" s="157"/>
      <c r="Q453" s="153">
        <f ca="1">OFFSET(card_type!$A$1,MATCH(card!B453,card_type!B:B,0)-1,0)</f>
        <v>1015</v>
      </c>
      <c r="R453" s="153">
        <v>1</v>
      </c>
      <c r="S453" s="157">
        <f ca="1">ROUND(IF(R453=0,0,IF(R453=1,X453*$S$1,IF(R453=2,X453*$S$1*buff的资质计算!$E$2,IF(R453=3,X453*$S$1*buff的资质计算!$E$3,0)))),0)*0</f>
        <v>0</v>
      </c>
      <c r="T453" s="153">
        <v>1</v>
      </c>
      <c r="U453" s="153">
        <f ca="1" t="shared" si="68"/>
        <v>31</v>
      </c>
      <c r="V453" s="153">
        <f ca="1">ROUND((OFFSET(卡牌辅助配置表!$O$1,MATCH(U453,卡牌辅助配置表!M:M,0)-1,0)+(N453-1)*OFFSET(卡牌辅助配置表!$P$1,MATCH(U453,卡牌辅助配置表!M:M,0)-1,0))*M453,2)</f>
        <v>82.51</v>
      </c>
      <c r="W453" s="157">
        <f ca="1">ROUND(IF(R453=0,0,IF(R453=1,X453*$W$1,IF(R453=2,X453*$W$1*buff的资质计算!$E$2,IF(R453=3,X453*$W$1*buff的资质计算!$E$3,0)))),2)</f>
        <v>13.95</v>
      </c>
      <c r="X453" s="157">
        <f ca="1" t="shared" si="69"/>
        <v>46.5</v>
      </c>
      <c r="Y453" s="157">
        <f ca="1" t="shared" si="75"/>
        <v>46.5</v>
      </c>
      <c r="Z453" s="304">
        <f ca="1" t="shared" si="70"/>
        <v>23.25</v>
      </c>
      <c r="AA453" s="304">
        <f ca="1">OFFSET(卡牌辅助配置表!$AD$1,MATCH(AB453,卡牌辅助配置表!AB:AB,0)-1,0)</f>
        <v>4082</v>
      </c>
      <c r="AB453" s="304">
        <f ca="1" t="shared" si="71"/>
        <v>3128</v>
      </c>
      <c r="AC453" s="153">
        <v>3</v>
      </c>
      <c r="AE453" s="153">
        <v>1</v>
      </c>
      <c r="AF453" s="153" t="str">
        <f ca="1" t="shared" si="76"/>
        <v>10150011|</v>
      </c>
      <c r="AJ453" s="205" t="str">
        <f ca="1" t="shared" si="72"/>
        <v>400023|13500|;</v>
      </c>
      <c r="AK453" s="205">
        <f ca="1">OFFSET([1]item_type!$A$1,MATCH(Q453,[1]item_type!$G:$G,0)-1,0)</f>
        <v>301015</v>
      </c>
      <c r="AL453" s="205"/>
      <c r="AM453" s="205">
        <f ca="1">IF(B453=B454,OFFSET(卡牌辅助配置表!$AE$1,MATCH(AB453,卡牌辅助配置表!AB:AB,0),0),0)</f>
        <v>13500</v>
      </c>
      <c r="AN453" s="153">
        <f ca="1" t="shared" si="73"/>
        <v>1015029</v>
      </c>
      <c r="AP453" s="153" t="str">
        <f ca="1">IF(AC453=0,0,IF(AC453=12,0,OFFSET(effect!$N$1,MATCH(K453,effect!M:M,0)-1,0)))</f>
        <v>kpsx_pt</v>
      </c>
    </row>
    <row r="454" spans="1:42">
      <c r="A454" s="153">
        <f ca="1" t="shared" ref="A454:A517" si="77">Q454*1000+N454</f>
        <v>1015029</v>
      </c>
      <c r="B454" s="91" t="s">
        <v>445</v>
      </c>
      <c r="C454" s="186">
        <v>1</v>
      </c>
      <c r="D454" s="186">
        <v>5</v>
      </c>
      <c r="E454" s="165" t="s">
        <v>1050</v>
      </c>
      <c r="F454" s="165" t="str">
        <f>"上一招为拳法时，增加"&amp;skill!$O$49/100&amp;"%伤害"</f>
        <v>上一招为拳法时，增加40%伤害</v>
      </c>
      <c r="G454" s="186">
        <f ca="1">OFFSET(卡牌辅助配置表!$C$1,MATCH(AC454,卡牌辅助配置表!A:A,0)-1,0)</f>
        <v>3</v>
      </c>
      <c r="H454" s="186">
        <f ca="1" t="shared" si="74"/>
        <v>0</v>
      </c>
      <c r="I454" s="186"/>
      <c r="J454" s="186">
        <f ca="1">OFFSET(card_type!$F$1,MATCH(Q454,card_type!A:A,0)-1,0)</f>
        <v>3</v>
      </c>
      <c r="K454" s="243">
        <f ca="1">OFFSET(card_type!$G$1,MATCH(Q454,card_type!A:A,0)-1,0)</f>
        <v>1</v>
      </c>
      <c r="L454" s="157">
        <v>2</v>
      </c>
      <c r="M454" s="157">
        <v>2</v>
      </c>
      <c r="N454" s="153">
        <f t="shared" ref="N454:N517" si="78">IF(B453=B454,N453+1,1)</f>
        <v>29</v>
      </c>
      <c r="O454" s="157"/>
      <c r="P454" s="157"/>
      <c r="Q454" s="153">
        <f ca="1">OFFSET(card_type!$A$1,MATCH(card!B454,card_type!B:B,0)-1,0)</f>
        <v>1015</v>
      </c>
      <c r="R454" s="153">
        <v>1</v>
      </c>
      <c r="S454" s="157">
        <f ca="1">ROUND(IF(R454=0,0,IF(R454=1,X454*$S$1,IF(R454=2,X454*$S$1*buff的资质计算!$E$2,IF(R454=3,X454*$S$1*buff的资质计算!$E$3,0)))),0)*0</f>
        <v>0</v>
      </c>
      <c r="T454" s="153">
        <v>1</v>
      </c>
      <c r="U454" s="153">
        <f ca="1" t="shared" ref="U454:U517" si="79">J454*10+K454</f>
        <v>31</v>
      </c>
      <c r="V454" s="153">
        <f ca="1">ROUND((OFFSET(卡牌辅助配置表!$O$1,MATCH(U454,卡牌辅助配置表!M:M,0)-1,0)+(N454-1)*OFFSET(卡牌辅助配置表!$P$1,MATCH(U454,卡牌辅助配置表!M:M,0)-1,0))*M454,2)</f>
        <v>84.86</v>
      </c>
      <c r="W454" s="157">
        <f ca="1">ROUND(IF(R454=0,0,IF(R454=1,X454*$W$1,IF(R454=2,X454*$W$1*buff的资质计算!$E$2,IF(R454=3,X454*$W$1*buff的资质计算!$E$3,0)))),2)</f>
        <v>14.1</v>
      </c>
      <c r="X454" s="157">
        <f ca="1" t="shared" ref="X454:X517" si="80">M454*($M$1+(J454-1)*$J$1+(K454-1)*$K$1)+G454+$J$1*(N454-1)/$N$1</f>
        <v>47</v>
      </c>
      <c r="Y454" s="157">
        <f ca="1" t="shared" si="75"/>
        <v>47</v>
      </c>
      <c r="Z454" s="304">
        <f ca="1" t="shared" ref="Z454:Z517" si="81">Y454/M454</f>
        <v>23.5</v>
      </c>
      <c r="AA454" s="304">
        <f ca="1">OFFSET(卡牌辅助配置表!$AD$1,MATCH(AB454,卡牌辅助配置表!AB:AB,0)-1,0)</f>
        <v>4281</v>
      </c>
      <c r="AB454" s="304">
        <f ca="1" t="shared" ref="AB454:AB517" si="82">J454*1000+K454*100+N454</f>
        <v>3129</v>
      </c>
      <c r="AC454" s="153">
        <v>3</v>
      </c>
      <c r="AE454" s="153">
        <v>1</v>
      </c>
      <c r="AF454" s="153" t="str">
        <f ca="1" t="shared" si="76"/>
        <v>10150011|</v>
      </c>
      <c r="AJ454" s="205" t="str">
        <f ca="1" t="shared" ref="AJ454:AJ517" si="83">IF(AN454=0,0,IF(AL454=0,$AM$1&amp;$AF$1&amp;AM454&amp;$AF$1&amp;$AJ$1,AK454&amp;$AF$1&amp;AL454&amp;$AF$1&amp;$AJ$1&amp;$AM$1&amp;$AF$1&amp;AM454&amp;$AF$1&amp;$AJ$1))</f>
        <v>301015|30|;400023|14300|;</v>
      </c>
      <c r="AK454" s="205">
        <f ca="1">OFFSET([1]item_type!$A$1,MATCH(Q454,[1]item_type!$G:$G,0)-1,0)</f>
        <v>301015</v>
      </c>
      <c r="AL454" s="205">
        <v>30</v>
      </c>
      <c r="AM454" s="205">
        <f ca="1">IF(B454=B455,OFFSET(卡牌辅助配置表!$AE$1,MATCH(AB454,卡牌辅助配置表!AB:AB,0),0),0)</f>
        <v>14300</v>
      </c>
      <c r="AN454" s="153">
        <f ca="1" t="shared" ref="AN454:AN517" si="84">IF(B454=B455,A454+1,0)</f>
        <v>1015030</v>
      </c>
      <c r="AP454" s="153" t="str">
        <f ca="1">IF(AC454=0,0,IF(AC454=12,0,OFFSET(effect!$N$1,MATCH(K454,effect!M:M,0)-1,0)))</f>
        <v>kpsx_pt</v>
      </c>
    </row>
    <row r="455" spans="1:42">
      <c r="A455" s="153">
        <f ca="1" t="shared" si="77"/>
        <v>1015030</v>
      </c>
      <c r="B455" s="91" t="s">
        <v>445</v>
      </c>
      <c r="C455" s="186">
        <v>1</v>
      </c>
      <c r="D455" s="186">
        <v>5</v>
      </c>
      <c r="E455" s="165" t="s">
        <v>1050</v>
      </c>
      <c r="F455" s="165" t="str">
        <f>"上一招为拳法时，增加"&amp;skill!$O$49/100&amp;"%伤害"</f>
        <v>上一招为拳法时，增加40%伤害</v>
      </c>
      <c r="G455" s="186">
        <f ca="1">OFFSET(卡牌辅助配置表!$C$1,MATCH(AC455,卡牌辅助配置表!A:A,0)-1,0)</f>
        <v>3</v>
      </c>
      <c r="H455" s="186">
        <f ca="1" t="shared" si="74"/>
        <v>0</v>
      </c>
      <c r="I455" s="186"/>
      <c r="J455" s="186">
        <f ca="1">OFFSET(card_type!$F$1,MATCH(Q455,card_type!A:A,0)-1,0)</f>
        <v>3</v>
      </c>
      <c r="K455" s="243">
        <f ca="1">OFFSET(card_type!$G$1,MATCH(Q455,card_type!A:A,0)-1,0)</f>
        <v>1</v>
      </c>
      <c r="L455" s="157">
        <v>2</v>
      </c>
      <c r="M455" s="157">
        <v>2</v>
      </c>
      <c r="N455" s="153">
        <f t="shared" si="78"/>
        <v>30</v>
      </c>
      <c r="O455" s="157"/>
      <c r="P455" s="157"/>
      <c r="Q455" s="153">
        <f ca="1">OFFSET(card_type!$A$1,MATCH(card!B455,card_type!B:B,0)-1,0)</f>
        <v>1015</v>
      </c>
      <c r="R455" s="153">
        <v>1</v>
      </c>
      <c r="S455" s="157">
        <f ca="1">ROUND(IF(R455=0,0,IF(R455=1,X455*$S$1,IF(R455=2,X455*$S$1*buff的资质计算!$E$2,IF(R455=3,X455*$S$1*buff的资质计算!$E$3,0)))),0)*0</f>
        <v>0</v>
      </c>
      <c r="T455" s="153">
        <v>1</v>
      </c>
      <c r="U455" s="153">
        <f ca="1" t="shared" si="79"/>
        <v>31</v>
      </c>
      <c r="V455" s="153">
        <f ca="1">ROUND((OFFSET(卡牌辅助配置表!$O$1,MATCH(U455,卡牌辅助配置表!M:M,0)-1,0)+(N455-1)*OFFSET(卡牌辅助配置表!$P$1,MATCH(U455,卡牌辅助配置表!M:M,0)-1,0))*M455,2)</f>
        <v>87.21</v>
      </c>
      <c r="W455" s="157">
        <f ca="1">ROUND(IF(R455=0,0,IF(R455=1,X455*$W$1,IF(R455=2,X455*$W$1*buff的资质计算!$E$2,IF(R455=3,X455*$W$1*buff的资质计算!$E$3,0)))),2)</f>
        <v>14.25</v>
      </c>
      <c r="X455" s="157">
        <f ca="1" t="shared" si="80"/>
        <v>47.5</v>
      </c>
      <c r="Y455" s="157">
        <f ca="1" t="shared" si="75"/>
        <v>47.5</v>
      </c>
      <c r="Z455" s="304">
        <f ca="1" t="shared" si="81"/>
        <v>23.75</v>
      </c>
      <c r="AA455" s="304">
        <f ca="1">OFFSET(卡牌辅助配置表!$AD$1,MATCH(AB455,卡牌辅助配置表!AB:AB,0)-1,0)</f>
        <v>4480</v>
      </c>
      <c r="AB455" s="304">
        <f ca="1" t="shared" si="82"/>
        <v>3130</v>
      </c>
      <c r="AC455" s="153">
        <v>3</v>
      </c>
      <c r="AE455" s="153">
        <v>1</v>
      </c>
      <c r="AF455" s="153" t="str">
        <f ca="1" t="shared" si="76"/>
        <v>10150011|</v>
      </c>
      <c r="AJ455" s="205">
        <f ca="1" t="shared" si="83"/>
        <v>0</v>
      </c>
      <c r="AK455" s="205">
        <f ca="1">OFFSET([1]item_type!$A$1,MATCH(Q455,[1]item_type!$G:$G,0)-1,0)</f>
        <v>301015</v>
      </c>
      <c r="AL455" s="205"/>
      <c r="AM455" s="205">
        <f ca="1">IF(B455=B456,OFFSET(卡牌辅助配置表!$AE$1,MATCH(AB455,卡牌辅助配置表!AB:AB,0),0),0)</f>
        <v>0</v>
      </c>
      <c r="AN455" s="153">
        <f ca="1" t="shared" si="84"/>
        <v>0</v>
      </c>
      <c r="AP455" s="153" t="str">
        <f ca="1">IF(AC455=0,0,IF(AC455=12,0,OFFSET(effect!$N$1,MATCH(K455,effect!M:M,0)-1,0)))</f>
        <v>kpsx_pt</v>
      </c>
    </row>
    <row r="456" spans="1:43">
      <c r="A456" s="153">
        <f ca="1" t="shared" si="77"/>
        <v>1016001</v>
      </c>
      <c r="B456" s="91" t="s">
        <v>652</v>
      </c>
      <c r="C456" s="186">
        <v>1</v>
      </c>
      <c r="D456" s="186">
        <v>2</v>
      </c>
      <c r="E456" s="165" t="s">
        <v>1050</v>
      </c>
      <c r="F456" s="179" t="s">
        <v>1053</v>
      </c>
      <c r="G456" s="186">
        <f ca="1">OFFSET(卡牌辅助配置表!$C$1,MATCH(AC456,卡牌辅助配置表!A:A,0)-1,0)</f>
        <v>0</v>
      </c>
      <c r="H456" s="186" t="e">
        <f ca="1">OFFSET(skill!$Q$1,MATCH(B456,skill!B:B,0)-1,0)</f>
        <v>#VALUE!</v>
      </c>
      <c r="I456" s="186"/>
      <c r="J456" s="186">
        <f ca="1">OFFSET(card_type!$F$1,MATCH(Q456,card_type!A:A,0)-1,0)</f>
        <v>3</v>
      </c>
      <c r="K456" s="243">
        <f ca="1">OFFSET(card_type!$G$1,MATCH(Q456,card_type!A:A,0)-1,0)</f>
        <v>2</v>
      </c>
      <c r="L456" s="157">
        <v>2</v>
      </c>
      <c r="M456" s="157">
        <v>2</v>
      </c>
      <c r="N456" s="153">
        <f t="shared" si="78"/>
        <v>1</v>
      </c>
      <c r="O456" s="157"/>
      <c r="P456" s="157"/>
      <c r="Q456" s="153">
        <f ca="1">OFFSET(card_type!$A$1,MATCH(card!B456,card_type!B:B,0)-1,0)</f>
        <v>1016</v>
      </c>
      <c r="R456" s="153">
        <v>1</v>
      </c>
      <c r="S456" s="157">
        <f ca="1">ROUND(IF(R456=0,0,IF(R456=1,X456*$S$1,IF(R456=2,X456*$S$1*buff的资质计算!$E$2,IF(R456=3,X456*$S$1*buff的资质计算!$E$3,0)))),0)*0</f>
        <v>0</v>
      </c>
      <c r="T456" s="153">
        <v>2</v>
      </c>
      <c r="U456" s="153">
        <f ca="1" t="shared" si="79"/>
        <v>32</v>
      </c>
      <c r="V456" s="153">
        <f ca="1">ROUND((OFFSET(卡牌辅助配置表!$O$1,MATCH(U456,卡牌辅助配置表!M:M,0)-1,0)+(N456-1)*OFFSET(卡牌辅助配置表!$P$1,MATCH(U456,卡牌辅助配置表!M:M,0)-1,0))*M456,2)</f>
        <v>28.71</v>
      </c>
      <c r="W456" s="157">
        <f ca="1">ROUND(IF(R456=0,0,IF(R456=1,X456*$W$1,IF(R456=2,X456*$W$1*buff的资质计算!$E$2,IF(R456=3,X456*$W$1*buff的资质计算!$E$3,0)))),2)</f>
        <v>11.4</v>
      </c>
      <c r="X456" s="157">
        <f ca="1" t="shared" si="80"/>
        <v>38</v>
      </c>
      <c r="Y456" s="157" t="e">
        <f ca="1" t="shared" si="75"/>
        <v>#VALUE!</v>
      </c>
      <c r="Z456" s="304" t="e">
        <f ca="1" t="shared" si="81"/>
        <v>#VALUE!</v>
      </c>
      <c r="AA456" s="304">
        <f ca="1">OFFSET(卡牌辅助配置表!$AD$1,MATCH(AB456,卡牌辅助配置表!AB:AB,0)-1,0)</f>
        <v>199</v>
      </c>
      <c r="AB456" s="304">
        <f ca="1" t="shared" si="82"/>
        <v>3201</v>
      </c>
      <c r="AC456" s="153">
        <v>12</v>
      </c>
      <c r="AF456" s="153" t="str">
        <f ca="1" t="shared" si="76"/>
        <v>10160011|</v>
      </c>
      <c r="AJ456" s="205" t="str">
        <f ca="1" t="shared" si="83"/>
        <v>400023|1050|;</v>
      </c>
      <c r="AK456" s="205">
        <f ca="1">OFFSET([1]item_type!$A$1,MATCH(Q456,[1]item_type!$G:$G,0)-1,0)</f>
        <v>301016</v>
      </c>
      <c r="AL456" s="205"/>
      <c r="AM456" s="205">
        <f ca="1">IF(B456=B457,OFFSET(卡牌辅助配置表!$AE$1,MATCH(AB456,卡牌辅助配置表!AB:AB,0),0),0)</f>
        <v>1050</v>
      </c>
      <c r="AN456" s="153">
        <f ca="1" t="shared" si="84"/>
        <v>1016002</v>
      </c>
      <c r="AP456" s="153">
        <f ca="1">IF(AC456=0,0,IF(AC456=12,0,OFFSET(effect!$N$1,MATCH(K456,effect!M:M,0)-1,0)))</f>
        <v>0</v>
      </c>
      <c r="AQ456" s="153">
        <v>10</v>
      </c>
    </row>
    <row r="457" spans="1:43">
      <c r="A457" s="153">
        <f ca="1" t="shared" si="77"/>
        <v>1016002</v>
      </c>
      <c r="B457" s="91" t="s">
        <v>652</v>
      </c>
      <c r="C457" s="186">
        <v>1</v>
      </c>
      <c r="D457" s="186">
        <v>2</v>
      </c>
      <c r="E457" s="165" t="s">
        <v>1050</v>
      </c>
      <c r="F457" s="179" t="s">
        <v>1053</v>
      </c>
      <c r="G457" s="186">
        <f ca="1">OFFSET(卡牌辅助配置表!$C$1,MATCH(AC457,卡牌辅助配置表!A:A,0)-1,0)</f>
        <v>0</v>
      </c>
      <c r="H457" s="186" t="e">
        <f ca="1">OFFSET(skill!$Q$1,MATCH(B457,skill!B:B,0)-1,0)</f>
        <v>#VALUE!</v>
      </c>
      <c r="I457" s="186"/>
      <c r="J457" s="186">
        <f ca="1">OFFSET(card_type!$F$1,MATCH(Q457,card_type!A:A,0)-1,0)</f>
        <v>3</v>
      </c>
      <c r="K457" s="243">
        <f ca="1">OFFSET(card_type!$G$1,MATCH(Q457,card_type!A:A,0)-1,0)</f>
        <v>2</v>
      </c>
      <c r="L457" s="157">
        <v>2</v>
      </c>
      <c r="M457" s="157">
        <v>2</v>
      </c>
      <c r="N457" s="153">
        <f t="shared" si="78"/>
        <v>2</v>
      </c>
      <c r="O457" s="157"/>
      <c r="P457" s="157"/>
      <c r="Q457" s="153">
        <f ca="1">OFFSET(card_type!$A$1,MATCH(card!B457,card_type!B:B,0)-1,0)</f>
        <v>1016</v>
      </c>
      <c r="R457" s="153">
        <v>1</v>
      </c>
      <c r="S457" s="157">
        <f ca="1">ROUND(IF(R457=0,0,IF(R457=1,X457*$S$1,IF(R457=2,X457*$S$1*buff的资质计算!$E$2,IF(R457=3,X457*$S$1*buff的资质计算!$E$3,0)))),0)*0</f>
        <v>0</v>
      </c>
      <c r="T457" s="153">
        <v>2</v>
      </c>
      <c r="U457" s="153">
        <f ca="1" t="shared" si="79"/>
        <v>32</v>
      </c>
      <c r="V457" s="153">
        <f ca="1">ROUND((OFFSET(卡牌辅助配置表!$O$1,MATCH(U457,卡牌辅助配置表!M:M,0)-1,0)+(N457-1)*OFFSET(卡牌辅助配置表!$P$1,MATCH(U457,卡牌辅助配置表!M:M,0)-1,0))*M457,2)</f>
        <v>32.28</v>
      </c>
      <c r="W457" s="157">
        <f ca="1">ROUND(IF(R457=0,0,IF(R457=1,X457*$W$1,IF(R457=2,X457*$W$1*buff的资质计算!$E$2,IF(R457=3,X457*$W$1*buff的资质计算!$E$3,0)))),2)</f>
        <v>11.55</v>
      </c>
      <c r="X457" s="157">
        <f ca="1" t="shared" si="80"/>
        <v>38.5</v>
      </c>
      <c r="Y457" s="157" t="e">
        <f ca="1" t="shared" si="75"/>
        <v>#VALUE!</v>
      </c>
      <c r="Z457" s="304" t="e">
        <f ca="1" t="shared" si="81"/>
        <v>#VALUE!</v>
      </c>
      <c r="AA457" s="304">
        <f ca="1">OFFSET(卡牌辅助配置表!$AD$1,MATCH(AB457,卡牌辅助配置表!AB:AB,0)-1,0)</f>
        <v>398</v>
      </c>
      <c r="AB457" s="304">
        <f ca="1" t="shared" si="82"/>
        <v>3202</v>
      </c>
      <c r="AC457" s="153">
        <v>12</v>
      </c>
      <c r="AF457" s="153" t="str">
        <f ca="1" t="shared" si="76"/>
        <v>10160011|</v>
      </c>
      <c r="AJ457" s="205" t="str">
        <f ca="1" t="shared" si="83"/>
        <v>400023|1350|;</v>
      </c>
      <c r="AK457" s="205">
        <f ca="1">OFFSET([1]item_type!$A$1,MATCH(Q457,[1]item_type!$G:$G,0)-1,0)</f>
        <v>301016</v>
      </c>
      <c r="AL457" s="205"/>
      <c r="AM457" s="205">
        <f ca="1">IF(B457=B458,OFFSET(卡牌辅助配置表!$AE$1,MATCH(AB457,卡牌辅助配置表!AB:AB,0),0),0)</f>
        <v>1350</v>
      </c>
      <c r="AN457" s="153">
        <f ca="1" t="shared" si="84"/>
        <v>1016003</v>
      </c>
      <c r="AP457" s="153">
        <f ca="1">IF(AC457=0,0,IF(AC457=12,0,OFFSET(effect!$N$1,MATCH(K457,effect!M:M,0)-1,0)))</f>
        <v>0</v>
      </c>
      <c r="AQ457" s="153">
        <v>10</v>
      </c>
    </row>
    <row r="458" spans="1:43">
      <c r="A458" s="153">
        <f ca="1" t="shared" si="77"/>
        <v>1016003</v>
      </c>
      <c r="B458" s="91" t="s">
        <v>652</v>
      </c>
      <c r="C458" s="186">
        <v>1</v>
      </c>
      <c r="D458" s="186">
        <v>2</v>
      </c>
      <c r="E458" s="165" t="s">
        <v>1050</v>
      </c>
      <c r="F458" s="179" t="s">
        <v>1053</v>
      </c>
      <c r="G458" s="186">
        <f ca="1">OFFSET(卡牌辅助配置表!$C$1,MATCH(AC458,卡牌辅助配置表!A:A,0)-1,0)</f>
        <v>0</v>
      </c>
      <c r="H458" s="186" t="e">
        <f ca="1">OFFSET(skill!$Q$1,MATCH(B458,skill!B:B,0)-1,0)</f>
        <v>#VALUE!</v>
      </c>
      <c r="I458" s="186"/>
      <c r="J458" s="186">
        <f ca="1">OFFSET(card_type!$F$1,MATCH(Q458,card_type!A:A,0)-1,0)</f>
        <v>3</v>
      </c>
      <c r="K458" s="243">
        <f ca="1">OFFSET(card_type!$G$1,MATCH(Q458,card_type!A:A,0)-1,0)</f>
        <v>2</v>
      </c>
      <c r="L458" s="157">
        <v>2</v>
      </c>
      <c r="M458" s="157">
        <v>2</v>
      </c>
      <c r="N458" s="153">
        <f t="shared" si="78"/>
        <v>3</v>
      </c>
      <c r="O458" s="157"/>
      <c r="P458" s="157"/>
      <c r="Q458" s="153">
        <f ca="1">OFFSET(card_type!$A$1,MATCH(card!B458,card_type!B:B,0)-1,0)</f>
        <v>1016</v>
      </c>
      <c r="R458" s="153">
        <v>1</v>
      </c>
      <c r="S458" s="157">
        <f ca="1">ROUND(IF(R458=0,0,IF(R458=1,X458*$S$1,IF(R458=2,X458*$S$1*buff的资质计算!$E$2,IF(R458=3,X458*$S$1*buff的资质计算!$E$3,0)))),0)*0</f>
        <v>0</v>
      </c>
      <c r="T458" s="153">
        <v>2</v>
      </c>
      <c r="U458" s="153">
        <f ca="1" t="shared" si="79"/>
        <v>32</v>
      </c>
      <c r="V458" s="153">
        <f ca="1">ROUND((OFFSET(卡牌辅助配置表!$O$1,MATCH(U458,卡牌辅助配置表!M:M,0)-1,0)+(N458-1)*OFFSET(卡牌辅助配置表!$P$1,MATCH(U458,卡牌辅助配置表!M:M,0)-1,0))*M458,2)</f>
        <v>35.84</v>
      </c>
      <c r="W458" s="157">
        <f ca="1">ROUND(IF(R458=0,0,IF(R458=1,X458*$W$1,IF(R458=2,X458*$W$1*buff的资质计算!$E$2,IF(R458=3,X458*$W$1*buff的资质计算!$E$3,0)))),2)</f>
        <v>11.7</v>
      </c>
      <c r="X458" s="157">
        <f ca="1" t="shared" si="80"/>
        <v>39</v>
      </c>
      <c r="Y458" s="157" t="e">
        <f ca="1" t="shared" si="75"/>
        <v>#VALUE!</v>
      </c>
      <c r="Z458" s="304" t="e">
        <f ca="1" t="shared" si="81"/>
        <v>#VALUE!</v>
      </c>
      <c r="AA458" s="304">
        <f ca="1">OFFSET(卡牌辅助配置表!$AD$1,MATCH(AB458,卡牌辅助配置表!AB:AB,0)-1,0)</f>
        <v>597</v>
      </c>
      <c r="AB458" s="304">
        <f ca="1" t="shared" si="82"/>
        <v>3203</v>
      </c>
      <c r="AC458" s="153">
        <v>12</v>
      </c>
      <c r="AF458" s="153" t="str">
        <f ca="1" t="shared" si="76"/>
        <v>10160011|</v>
      </c>
      <c r="AJ458" s="205" t="str">
        <f ca="1" t="shared" si="83"/>
        <v>400023|1650|;</v>
      </c>
      <c r="AK458" s="205">
        <f ca="1">OFFSET([1]item_type!$A$1,MATCH(Q458,[1]item_type!$G:$G,0)-1,0)</f>
        <v>301016</v>
      </c>
      <c r="AL458" s="205"/>
      <c r="AM458" s="205">
        <f ca="1">IF(B458=B459,OFFSET(卡牌辅助配置表!$AE$1,MATCH(AB458,卡牌辅助配置表!AB:AB,0),0),0)</f>
        <v>1650</v>
      </c>
      <c r="AN458" s="153">
        <f ca="1" t="shared" si="84"/>
        <v>1016004</v>
      </c>
      <c r="AP458" s="153">
        <f ca="1">IF(AC458=0,0,IF(AC458=12,0,OFFSET(effect!$N$1,MATCH(K458,effect!M:M,0)-1,0)))</f>
        <v>0</v>
      </c>
      <c r="AQ458" s="153">
        <v>10</v>
      </c>
    </row>
    <row r="459" spans="1:43">
      <c r="A459" s="153">
        <f ca="1" t="shared" si="77"/>
        <v>1016004</v>
      </c>
      <c r="B459" s="91" t="s">
        <v>652</v>
      </c>
      <c r="C459" s="186">
        <v>1</v>
      </c>
      <c r="D459" s="186">
        <v>2</v>
      </c>
      <c r="E459" s="165" t="s">
        <v>1050</v>
      </c>
      <c r="F459" s="179" t="s">
        <v>1053</v>
      </c>
      <c r="G459" s="186">
        <f ca="1">OFFSET(卡牌辅助配置表!$C$1,MATCH(AC459,卡牌辅助配置表!A:A,0)-1,0)</f>
        <v>0</v>
      </c>
      <c r="H459" s="186" t="e">
        <f ca="1">OFFSET(skill!$Q$1,MATCH(B459,skill!B:B,0)-1,0)</f>
        <v>#VALUE!</v>
      </c>
      <c r="I459" s="186"/>
      <c r="J459" s="186">
        <f ca="1">OFFSET(card_type!$F$1,MATCH(Q459,card_type!A:A,0)-1,0)</f>
        <v>3</v>
      </c>
      <c r="K459" s="243">
        <f ca="1">OFFSET(card_type!$G$1,MATCH(Q459,card_type!A:A,0)-1,0)</f>
        <v>2</v>
      </c>
      <c r="L459" s="157">
        <v>2</v>
      </c>
      <c r="M459" s="157">
        <v>2</v>
      </c>
      <c r="N459" s="153">
        <f t="shared" si="78"/>
        <v>4</v>
      </c>
      <c r="O459" s="157"/>
      <c r="P459" s="157"/>
      <c r="Q459" s="153">
        <f ca="1">OFFSET(card_type!$A$1,MATCH(card!B459,card_type!B:B,0)-1,0)</f>
        <v>1016</v>
      </c>
      <c r="R459" s="153">
        <v>1</v>
      </c>
      <c r="S459" s="157">
        <f ca="1">ROUND(IF(R459=0,0,IF(R459=1,X459*$S$1,IF(R459=2,X459*$S$1*buff的资质计算!$E$2,IF(R459=3,X459*$S$1*buff的资质计算!$E$3,0)))),0)*0</f>
        <v>0</v>
      </c>
      <c r="T459" s="153">
        <v>2</v>
      </c>
      <c r="U459" s="153">
        <f ca="1" t="shared" si="79"/>
        <v>32</v>
      </c>
      <c r="V459" s="153">
        <f ca="1">ROUND((OFFSET(卡牌辅助配置表!$O$1,MATCH(U459,卡牌辅助配置表!M:M,0)-1,0)+(N459-1)*OFFSET(卡牌辅助配置表!$P$1,MATCH(U459,卡牌辅助配置表!M:M,0)-1,0))*M459,2)</f>
        <v>39.41</v>
      </c>
      <c r="W459" s="157">
        <f ca="1">ROUND(IF(R459=0,0,IF(R459=1,X459*$W$1,IF(R459=2,X459*$W$1*buff的资质计算!$E$2,IF(R459=3,X459*$W$1*buff的资质计算!$E$3,0)))),2)</f>
        <v>11.85</v>
      </c>
      <c r="X459" s="157">
        <f ca="1" t="shared" si="80"/>
        <v>39.5</v>
      </c>
      <c r="Y459" s="157" t="e">
        <f ca="1" t="shared" si="75"/>
        <v>#VALUE!</v>
      </c>
      <c r="Z459" s="304" t="e">
        <f ca="1" t="shared" si="81"/>
        <v>#VALUE!</v>
      </c>
      <c r="AA459" s="304">
        <f ca="1">OFFSET(卡牌辅助配置表!$AD$1,MATCH(AB459,卡牌辅助配置表!AB:AB,0)-1,0)</f>
        <v>796</v>
      </c>
      <c r="AB459" s="304">
        <f ca="1" t="shared" si="82"/>
        <v>3204</v>
      </c>
      <c r="AC459" s="153">
        <v>12</v>
      </c>
      <c r="AF459" s="153" t="str">
        <f ca="1" t="shared" si="76"/>
        <v>10160011|</v>
      </c>
      <c r="AJ459" s="205" t="str">
        <f ca="1" t="shared" si="83"/>
        <v>400023|1950|;</v>
      </c>
      <c r="AK459" s="205">
        <f ca="1">OFFSET([1]item_type!$A$1,MATCH(Q459,[1]item_type!$G:$G,0)-1,0)</f>
        <v>301016</v>
      </c>
      <c r="AL459" s="205"/>
      <c r="AM459" s="205">
        <f ca="1">IF(B459=B460,OFFSET(卡牌辅助配置表!$AE$1,MATCH(AB459,卡牌辅助配置表!AB:AB,0),0),0)</f>
        <v>1950</v>
      </c>
      <c r="AN459" s="153">
        <f ca="1" t="shared" si="84"/>
        <v>1016005</v>
      </c>
      <c r="AP459" s="153">
        <f ca="1">IF(AC459=0,0,IF(AC459=12,0,OFFSET(effect!$N$1,MATCH(K459,effect!M:M,0)-1,0)))</f>
        <v>0</v>
      </c>
      <c r="AQ459" s="153">
        <v>10</v>
      </c>
    </row>
    <row r="460" spans="1:43">
      <c r="A460" s="153">
        <f ca="1" t="shared" si="77"/>
        <v>1016005</v>
      </c>
      <c r="B460" s="91" t="s">
        <v>652</v>
      </c>
      <c r="C460" s="186">
        <v>1</v>
      </c>
      <c r="D460" s="186">
        <v>2</v>
      </c>
      <c r="E460" s="165" t="s">
        <v>1050</v>
      </c>
      <c r="F460" s="179" t="s">
        <v>1053</v>
      </c>
      <c r="G460" s="186">
        <f ca="1">OFFSET(卡牌辅助配置表!$C$1,MATCH(AC460,卡牌辅助配置表!A:A,0)-1,0)</f>
        <v>0</v>
      </c>
      <c r="H460" s="186" t="e">
        <f ca="1">OFFSET(skill!$Q$1,MATCH(B460,skill!B:B,0)-1,0)</f>
        <v>#VALUE!</v>
      </c>
      <c r="I460" s="186"/>
      <c r="J460" s="186">
        <f ca="1">OFFSET(card_type!$F$1,MATCH(Q460,card_type!A:A,0)-1,0)</f>
        <v>3</v>
      </c>
      <c r="K460" s="243">
        <f ca="1">OFFSET(card_type!$G$1,MATCH(Q460,card_type!A:A,0)-1,0)</f>
        <v>2</v>
      </c>
      <c r="L460" s="157">
        <v>2</v>
      </c>
      <c r="M460" s="157">
        <v>2</v>
      </c>
      <c r="N460" s="153">
        <f t="shared" si="78"/>
        <v>5</v>
      </c>
      <c r="O460" s="157"/>
      <c r="P460" s="157"/>
      <c r="Q460" s="153">
        <f ca="1">OFFSET(card_type!$A$1,MATCH(card!B460,card_type!B:B,0)-1,0)</f>
        <v>1016</v>
      </c>
      <c r="R460" s="153">
        <v>1</v>
      </c>
      <c r="S460" s="157">
        <f ca="1">ROUND(IF(R460=0,0,IF(R460=1,X460*$S$1,IF(R460=2,X460*$S$1*buff的资质计算!$E$2,IF(R460=3,X460*$S$1*buff的资质计算!$E$3,0)))),0)*0</f>
        <v>0</v>
      </c>
      <c r="T460" s="153">
        <v>2</v>
      </c>
      <c r="U460" s="153">
        <f ca="1" t="shared" si="79"/>
        <v>32</v>
      </c>
      <c r="V460" s="153">
        <f ca="1">ROUND((OFFSET(卡牌辅助配置表!$O$1,MATCH(U460,卡牌辅助配置表!M:M,0)-1,0)+(N460-1)*OFFSET(卡牌辅助配置表!$P$1,MATCH(U460,卡牌辅助配置表!M:M,0)-1,0))*M460,2)</f>
        <v>42.98</v>
      </c>
      <c r="W460" s="157">
        <f ca="1">ROUND(IF(R460=0,0,IF(R460=1,X460*$W$1,IF(R460=2,X460*$W$1*buff的资质计算!$E$2,IF(R460=3,X460*$W$1*buff的资质计算!$E$3,0)))),2)</f>
        <v>12</v>
      </c>
      <c r="X460" s="157">
        <f ca="1" t="shared" si="80"/>
        <v>40</v>
      </c>
      <c r="Y460" s="157" t="e">
        <f ca="1" t="shared" si="75"/>
        <v>#VALUE!</v>
      </c>
      <c r="Z460" s="304" t="e">
        <f ca="1" t="shared" si="81"/>
        <v>#VALUE!</v>
      </c>
      <c r="AA460" s="304">
        <f ca="1">OFFSET(卡牌辅助配置表!$AD$1,MATCH(AB460,卡牌辅助配置表!AB:AB,0)-1,0)</f>
        <v>995</v>
      </c>
      <c r="AB460" s="304">
        <f ca="1" t="shared" si="82"/>
        <v>3205</v>
      </c>
      <c r="AC460" s="153">
        <v>12</v>
      </c>
      <c r="AF460" s="153" t="str">
        <f ca="1" t="shared" si="76"/>
        <v>10160011|</v>
      </c>
      <c r="AJ460" s="205" t="str">
        <f ca="1" t="shared" si="83"/>
        <v>400023|2250|;</v>
      </c>
      <c r="AK460" s="205">
        <f ca="1">OFFSET([1]item_type!$A$1,MATCH(Q460,[1]item_type!$G:$G,0)-1,0)</f>
        <v>301016</v>
      </c>
      <c r="AL460" s="205"/>
      <c r="AM460" s="205">
        <f ca="1">IF(B460=B461,OFFSET(卡牌辅助配置表!$AE$1,MATCH(AB460,卡牌辅助配置表!AB:AB,0),0),0)</f>
        <v>2250</v>
      </c>
      <c r="AN460" s="153">
        <f ca="1" t="shared" si="84"/>
        <v>1016006</v>
      </c>
      <c r="AP460" s="153">
        <f ca="1">IF(AC460=0,0,IF(AC460=12,0,OFFSET(effect!$N$1,MATCH(K460,effect!M:M,0)-1,0)))</f>
        <v>0</v>
      </c>
      <c r="AQ460" s="153">
        <v>10</v>
      </c>
    </row>
    <row r="461" spans="1:43">
      <c r="A461" s="153">
        <f ca="1" t="shared" si="77"/>
        <v>1016006</v>
      </c>
      <c r="B461" s="91" t="s">
        <v>652</v>
      </c>
      <c r="C461" s="186">
        <v>1</v>
      </c>
      <c r="D461" s="186">
        <v>2</v>
      </c>
      <c r="E461" s="165" t="s">
        <v>1050</v>
      </c>
      <c r="F461" s="179" t="s">
        <v>1053</v>
      </c>
      <c r="G461" s="186">
        <f ca="1">OFFSET(卡牌辅助配置表!$C$1,MATCH(AC461,卡牌辅助配置表!A:A,0)-1,0)</f>
        <v>0</v>
      </c>
      <c r="H461" s="186" t="e">
        <f ca="1">OFFSET(skill!$Q$1,MATCH(B461,skill!B:B,0)-1,0)</f>
        <v>#VALUE!</v>
      </c>
      <c r="I461" s="186"/>
      <c r="J461" s="186">
        <f ca="1">OFFSET(card_type!$F$1,MATCH(Q461,card_type!A:A,0)-1,0)</f>
        <v>3</v>
      </c>
      <c r="K461" s="243">
        <f ca="1">OFFSET(card_type!$G$1,MATCH(Q461,card_type!A:A,0)-1,0)</f>
        <v>2</v>
      </c>
      <c r="L461" s="157">
        <v>2</v>
      </c>
      <c r="M461" s="157">
        <v>2</v>
      </c>
      <c r="N461" s="153">
        <f t="shared" si="78"/>
        <v>6</v>
      </c>
      <c r="O461" s="157"/>
      <c r="P461" s="157"/>
      <c r="Q461" s="153">
        <f ca="1">OFFSET(card_type!$A$1,MATCH(card!B461,card_type!B:B,0)-1,0)</f>
        <v>1016</v>
      </c>
      <c r="R461" s="153">
        <v>1</v>
      </c>
      <c r="S461" s="157">
        <f ca="1">ROUND(IF(R461=0,0,IF(R461=1,X461*$S$1,IF(R461=2,X461*$S$1*buff的资质计算!$E$2,IF(R461=3,X461*$S$1*buff的资质计算!$E$3,0)))),0)*0</f>
        <v>0</v>
      </c>
      <c r="T461" s="153">
        <v>2</v>
      </c>
      <c r="U461" s="153">
        <f ca="1" t="shared" si="79"/>
        <v>32</v>
      </c>
      <c r="V461" s="153">
        <f ca="1">ROUND((OFFSET(卡牌辅助配置表!$O$1,MATCH(U461,卡牌辅助配置表!M:M,0)-1,0)+(N461-1)*OFFSET(卡牌辅助配置表!$P$1,MATCH(U461,卡牌辅助配置表!M:M,0)-1,0))*M461,2)</f>
        <v>46.54</v>
      </c>
      <c r="W461" s="157">
        <f ca="1">ROUND(IF(R461=0,0,IF(R461=1,X461*$W$1,IF(R461=2,X461*$W$1*buff的资质计算!$E$2,IF(R461=3,X461*$W$1*buff的资质计算!$E$3,0)))),2)</f>
        <v>12.15</v>
      </c>
      <c r="X461" s="157">
        <f ca="1" t="shared" si="80"/>
        <v>40.5</v>
      </c>
      <c r="Y461" s="157" t="e">
        <f ca="1" t="shared" si="75"/>
        <v>#VALUE!</v>
      </c>
      <c r="Z461" s="304" t="e">
        <f ca="1" t="shared" si="81"/>
        <v>#VALUE!</v>
      </c>
      <c r="AA461" s="304">
        <f ca="1">OFFSET(卡牌辅助配置表!$AD$1,MATCH(AB461,卡牌辅助配置表!AB:AB,0)-1,0)</f>
        <v>1194</v>
      </c>
      <c r="AB461" s="304">
        <f ca="1" t="shared" si="82"/>
        <v>3206</v>
      </c>
      <c r="AC461" s="153">
        <v>12</v>
      </c>
      <c r="AF461" s="153" t="str">
        <f ca="1" t="shared" si="76"/>
        <v>10160011|</v>
      </c>
      <c r="AJ461" s="205" t="str">
        <f ca="1" t="shared" si="83"/>
        <v>400023|2550|;</v>
      </c>
      <c r="AK461" s="205">
        <f ca="1">OFFSET([1]item_type!$A$1,MATCH(Q461,[1]item_type!$G:$G,0)-1,0)</f>
        <v>301016</v>
      </c>
      <c r="AL461" s="205"/>
      <c r="AM461" s="205">
        <f ca="1">IF(B461=B462,OFFSET(卡牌辅助配置表!$AE$1,MATCH(AB461,卡牌辅助配置表!AB:AB,0),0),0)</f>
        <v>2550</v>
      </c>
      <c r="AN461" s="153">
        <f ca="1" t="shared" si="84"/>
        <v>1016007</v>
      </c>
      <c r="AP461" s="153">
        <f ca="1">IF(AC461=0,0,IF(AC461=12,0,OFFSET(effect!$N$1,MATCH(K461,effect!M:M,0)-1,0)))</f>
        <v>0</v>
      </c>
      <c r="AQ461" s="153">
        <v>10</v>
      </c>
    </row>
    <row r="462" spans="1:43">
      <c r="A462" s="153">
        <f ca="1" t="shared" si="77"/>
        <v>1016007</v>
      </c>
      <c r="B462" s="91" t="s">
        <v>652</v>
      </c>
      <c r="C462" s="186">
        <v>1</v>
      </c>
      <c r="D462" s="186">
        <v>2</v>
      </c>
      <c r="E462" s="165" t="s">
        <v>1050</v>
      </c>
      <c r="F462" s="179" t="s">
        <v>1053</v>
      </c>
      <c r="G462" s="186">
        <f ca="1">OFFSET(卡牌辅助配置表!$C$1,MATCH(AC462,卡牌辅助配置表!A:A,0)-1,0)</f>
        <v>0</v>
      </c>
      <c r="H462" s="186" t="e">
        <f ca="1">OFFSET(skill!$Q$1,MATCH(B462,skill!B:B,0)-1,0)</f>
        <v>#VALUE!</v>
      </c>
      <c r="I462" s="186"/>
      <c r="J462" s="186">
        <f ca="1">OFFSET(card_type!$F$1,MATCH(Q462,card_type!A:A,0)-1,0)</f>
        <v>3</v>
      </c>
      <c r="K462" s="243">
        <f ca="1">OFFSET(card_type!$G$1,MATCH(Q462,card_type!A:A,0)-1,0)</f>
        <v>2</v>
      </c>
      <c r="L462" s="157">
        <v>2</v>
      </c>
      <c r="M462" s="157">
        <v>2</v>
      </c>
      <c r="N462" s="153">
        <f t="shared" si="78"/>
        <v>7</v>
      </c>
      <c r="O462" s="157"/>
      <c r="P462" s="157"/>
      <c r="Q462" s="153">
        <f ca="1">OFFSET(card_type!$A$1,MATCH(card!B462,card_type!B:B,0)-1,0)</f>
        <v>1016</v>
      </c>
      <c r="R462" s="153">
        <v>1</v>
      </c>
      <c r="S462" s="157">
        <f ca="1">ROUND(IF(R462=0,0,IF(R462=1,X462*$S$1,IF(R462=2,X462*$S$1*buff的资质计算!$E$2,IF(R462=3,X462*$S$1*buff的资质计算!$E$3,0)))),0)*0</f>
        <v>0</v>
      </c>
      <c r="T462" s="153">
        <v>2</v>
      </c>
      <c r="U462" s="153">
        <f ca="1" t="shared" si="79"/>
        <v>32</v>
      </c>
      <c r="V462" s="153">
        <f ca="1">ROUND((OFFSET(卡牌辅助配置表!$O$1,MATCH(U462,卡牌辅助配置表!M:M,0)-1,0)+(N462-1)*OFFSET(卡牌辅助配置表!$P$1,MATCH(U462,卡牌辅助配置表!M:M,0)-1,0))*M462,2)</f>
        <v>50.11</v>
      </c>
      <c r="W462" s="157">
        <f ca="1">ROUND(IF(R462=0,0,IF(R462=1,X462*$W$1,IF(R462=2,X462*$W$1*buff的资质计算!$E$2,IF(R462=3,X462*$W$1*buff的资质计算!$E$3,0)))),2)</f>
        <v>12.3</v>
      </c>
      <c r="X462" s="157">
        <f ca="1" t="shared" si="80"/>
        <v>41</v>
      </c>
      <c r="Y462" s="157" t="e">
        <f ca="1" t="shared" si="75"/>
        <v>#VALUE!</v>
      </c>
      <c r="Z462" s="304" t="e">
        <f ca="1" t="shared" si="81"/>
        <v>#VALUE!</v>
      </c>
      <c r="AA462" s="304">
        <f ca="1">OFFSET(卡牌辅助配置表!$AD$1,MATCH(AB462,卡牌辅助配置表!AB:AB,0)-1,0)</f>
        <v>1393</v>
      </c>
      <c r="AB462" s="304">
        <f ca="1" t="shared" si="82"/>
        <v>3207</v>
      </c>
      <c r="AC462" s="153">
        <v>12</v>
      </c>
      <c r="AF462" s="153" t="str">
        <f ca="1" t="shared" si="76"/>
        <v>10160011|</v>
      </c>
      <c r="AJ462" s="205" t="str">
        <f ca="1" t="shared" si="83"/>
        <v>400023|2850|;</v>
      </c>
      <c r="AK462" s="205">
        <f ca="1">OFFSET([1]item_type!$A$1,MATCH(Q462,[1]item_type!$G:$G,0)-1,0)</f>
        <v>301016</v>
      </c>
      <c r="AL462" s="205"/>
      <c r="AM462" s="205">
        <f ca="1">IF(B462=B463,OFFSET(卡牌辅助配置表!$AE$1,MATCH(AB462,卡牌辅助配置表!AB:AB,0),0),0)</f>
        <v>2850</v>
      </c>
      <c r="AN462" s="153">
        <f ca="1" t="shared" si="84"/>
        <v>1016008</v>
      </c>
      <c r="AP462" s="153">
        <f ca="1">IF(AC462=0,0,IF(AC462=12,0,OFFSET(effect!$N$1,MATCH(K462,effect!M:M,0)-1,0)))</f>
        <v>0</v>
      </c>
      <c r="AQ462" s="153">
        <v>10</v>
      </c>
    </row>
    <row r="463" spans="1:43">
      <c r="A463" s="153">
        <f ca="1" t="shared" si="77"/>
        <v>1016008</v>
      </c>
      <c r="B463" s="91" t="s">
        <v>652</v>
      </c>
      <c r="C463" s="186">
        <v>1</v>
      </c>
      <c r="D463" s="186">
        <v>2</v>
      </c>
      <c r="E463" s="165" t="s">
        <v>1050</v>
      </c>
      <c r="F463" s="179" t="s">
        <v>1053</v>
      </c>
      <c r="G463" s="186">
        <f ca="1">OFFSET(卡牌辅助配置表!$C$1,MATCH(AC463,卡牌辅助配置表!A:A,0)-1,0)</f>
        <v>0</v>
      </c>
      <c r="H463" s="186" t="e">
        <f ca="1">OFFSET(skill!$Q$1,MATCH(B463,skill!B:B,0)-1,0)</f>
        <v>#VALUE!</v>
      </c>
      <c r="I463" s="186"/>
      <c r="J463" s="186">
        <f ca="1">OFFSET(card_type!$F$1,MATCH(Q463,card_type!A:A,0)-1,0)</f>
        <v>3</v>
      </c>
      <c r="K463" s="243">
        <f ca="1">OFFSET(card_type!$G$1,MATCH(Q463,card_type!A:A,0)-1,0)</f>
        <v>2</v>
      </c>
      <c r="L463" s="157">
        <v>2</v>
      </c>
      <c r="M463" s="157">
        <v>2</v>
      </c>
      <c r="N463" s="153">
        <f t="shared" si="78"/>
        <v>8</v>
      </c>
      <c r="O463" s="157"/>
      <c r="P463" s="157"/>
      <c r="Q463" s="153">
        <f ca="1">OFFSET(card_type!$A$1,MATCH(card!B463,card_type!B:B,0)-1,0)</f>
        <v>1016</v>
      </c>
      <c r="R463" s="153">
        <v>1</v>
      </c>
      <c r="S463" s="157">
        <f ca="1">ROUND(IF(R463=0,0,IF(R463=1,X463*$S$1,IF(R463=2,X463*$S$1*buff的资质计算!$E$2,IF(R463=3,X463*$S$1*buff的资质计算!$E$3,0)))),0)*0</f>
        <v>0</v>
      </c>
      <c r="T463" s="153">
        <v>2</v>
      </c>
      <c r="U463" s="153">
        <f ca="1" t="shared" si="79"/>
        <v>32</v>
      </c>
      <c r="V463" s="153">
        <f ca="1">ROUND((OFFSET(卡牌辅助配置表!$O$1,MATCH(U463,卡牌辅助配置表!M:M,0)-1,0)+(N463-1)*OFFSET(卡牌辅助配置表!$P$1,MATCH(U463,卡牌辅助配置表!M:M,0)-1,0))*M463,2)</f>
        <v>53.68</v>
      </c>
      <c r="W463" s="157">
        <f ca="1">ROUND(IF(R463=0,0,IF(R463=1,X463*$W$1,IF(R463=2,X463*$W$1*buff的资质计算!$E$2,IF(R463=3,X463*$W$1*buff的资质计算!$E$3,0)))),2)</f>
        <v>12.45</v>
      </c>
      <c r="X463" s="157">
        <f ca="1" t="shared" si="80"/>
        <v>41.5</v>
      </c>
      <c r="Y463" s="157" t="e">
        <f ca="1" t="shared" si="75"/>
        <v>#VALUE!</v>
      </c>
      <c r="Z463" s="304" t="e">
        <f ca="1" t="shared" si="81"/>
        <v>#VALUE!</v>
      </c>
      <c r="AA463" s="304">
        <f ca="1">OFFSET(卡牌辅助配置表!$AD$1,MATCH(AB463,卡牌辅助配置表!AB:AB,0)-1,0)</f>
        <v>1592</v>
      </c>
      <c r="AB463" s="304">
        <f ca="1" t="shared" si="82"/>
        <v>3208</v>
      </c>
      <c r="AC463" s="153">
        <v>12</v>
      </c>
      <c r="AF463" s="153" t="str">
        <f ca="1" t="shared" si="76"/>
        <v>10160011|</v>
      </c>
      <c r="AJ463" s="205" t="str">
        <f ca="1" t="shared" si="83"/>
        <v>400023|3150|;</v>
      </c>
      <c r="AK463" s="205">
        <f ca="1">OFFSET([1]item_type!$A$1,MATCH(Q463,[1]item_type!$G:$G,0)-1,0)</f>
        <v>301016</v>
      </c>
      <c r="AL463" s="205"/>
      <c r="AM463" s="205">
        <f ca="1">IF(B463=B464,OFFSET(卡牌辅助配置表!$AE$1,MATCH(AB463,卡牌辅助配置表!AB:AB,0),0),0)</f>
        <v>3150</v>
      </c>
      <c r="AN463" s="153">
        <f ca="1" t="shared" si="84"/>
        <v>1016009</v>
      </c>
      <c r="AP463" s="153">
        <f ca="1">IF(AC463=0,0,IF(AC463=12,0,OFFSET(effect!$N$1,MATCH(K463,effect!M:M,0)-1,0)))</f>
        <v>0</v>
      </c>
      <c r="AQ463" s="153">
        <v>10</v>
      </c>
    </row>
    <row r="464" spans="1:43">
      <c r="A464" s="153">
        <f ca="1" t="shared" si="77"/>
        <v>1016009</v>
      </c>
      <c r="B464" s="91" t="s">
        <v>652</v>
      </c>
      <c r="C464" s="186">
        <v>1</v>
      </c>
      <c r="D464" s="186">
        <v>2</v>
      </c>
      <c r="E464" s="165" t="s">
        <v>1050</v>
      </c>
      <c r="F464" s="179" t="s">
        <v>1053</v>
      </c>
      <c r="G464" s="186">
        <f ca="1">OFFSET(卡牌辅助配置表!$C$1,MATCH(AC464,卡牌辅助配置表!A:A,0)-1,0)</f>
        <v>0</v>
      </c>
      <c r="H464" s="186" t="e">
        <f ca="1">OFFSET(skill!$Q$1,MATCH(B464,skill!B:B,0)-1,0)</f>
        <v>#VALUE!</v>
      </c>
      <c r="I464" s="186"/>
      <c r="J464" s="186">
        <f ca="1">OFFSET(card_type!$F$1,MATCH(Q464,card_type!A:A,0)-1,0)</f>
        <v>3</v>
      </c>
      <c r="K464" s="243">
        <f ca="1">OFFSET(card_type!$G$1,MATCH(Q464,card_type!A:A,0)-1,0)</f>
        <v>2</v>
      </c>
      <c r="L464" s="157">
        <v>2</v>
      </c>
      <c r="M464" s="157">
        <v>2</v>
      </c>
      <c r="N464" s="153">
        <f t="shared" si="78"/>
        <v>9</v>
      </c>
      <c r="O464" s="157"/>
      <c r="P464" s="157"/>
      <c r="Q464" s="153">
        <f ca="1">OFFSET(card_type!$A$1,MATCH(card!B464,card_type!B:B,0)-1,0)</f>
        <v>1016</v>
      </c>
      <c r="R464" s="153">
        <v>1</v>
      </c>
      <c r="S464" s="157">
        <f ca="1">ROUND(IF(R464=0,0,IF(R464=1,X464*$S$1,IF(R464=2,X464*$S$1*buff的资质计算!$E$2,IF(R464=3,X464*$S$1*buff的资质计算!$E$3,0)))),0)*0</f>
        <v>0</v>
      </c>
      <c r="T464" s="153">
        <v>2</v>
      </c>
      <c r="U464" s="153">
        <f ca="1" t="shared" si="79"/>
        <v>32</v>
      </c>
      <c r="V464" s="153">
        <f ca="1">ROUND((OFFSET(卡牌辅助配置表!$O$1,MATCH(U464,卡牌辅助配置表!M:M,0)-1,0)+(N464-1)*OFFSET(卡牌辅助配置表!$P$1,MATCH(U464,卡牌辅助配置表!M:M,0)-1,0))*M464,2)</f>
        <v>57.24</v>
      </c>
      <c r="W464" s="157">
        <f ca="1">ROUND(IF(R464=0,0,IF(R464=1,X464*$W$1,IF(R464=2,X464*$W$1*buff的资质计算!$E$2,IF(R464=3,X464*$W$1*buff的资质计算!$E$3,0)))),2)</f>
        <v>12.6</v>
      </c>
      <c r="X464" s="157">
        <f ca="1" t="shared" si="80"/>
        <v>42</v>
      </c>
      <c r="Y464" s="157" t="e">
        <f ca="1" t="shared" ref="Y464:Y527" si="85">X464+H464</f>
        <v>#VALUE!</v>
      </c>
      <c r="Z464" s="304" t="e">
        <f ca="1" t="shared" si="81"/>
        <v>#VALUE!</v>
      </c>
      <c r="AA464" s="304">
        <f ca="1">OFFSET(卡牌辅助配置表!$AD$1,MATCH(AB464,卡牌辅助配置表!AB:AB,0)-1,0)</f>
        <v>1791</v>
      </c>
      <c r="AB464" s="304">
        <f ca="1" t="shared" si="82"/>
        <v>3209</v>
      </c>
      <c r="AC464" s="153">
        <v>12</v>
      </c>
      <c r="AF464" s="153" t="str">
        <f ca="1" t="shared" ref="AF464:AF527" si="86">((Q464*1000+1)*10+1)&amp;$AF$1</f>
        <v>10160011|</v>
      </c>
      <c r="AJ464" s="205" t="str">
        <f ca="1" t="shared" si="83"/>
        <v>301016|15|;400023|3450|;</v>
      </c>
      <c r="AK464" s="205">
        <f ca="1">OFFSET([1]item_type!$A$1,MATCH(Q464,[1]item_type!$G:$G,0)-1,0)</f>
        <v>301016</v>
      </c>
      <c r="AL464" s="205">
        <v>15</v>
      </c>
      <c r="AM464" s="205">
        <f ca="1">IF(B464=B465,OFFSET(卡牌辅助配置表!$AE$1,MATCH(AB464,卡牌辅助配置表!AB:AB,0),0),0)</f>
        <v>3450</v>
      </c>
      <c r="AN464" s="153">
        <f ca="1" t="shared" si="84"/>
        <v>1016010</v>
      </c>
      <c r="AP464" s="153">
        <f ca="1">IF(AC464=0,0,IF(AC464=12,0,OFFSET(effect!$N$1,MATCH(K464,effect!M:M,0)-1,0)))</f>
        <v>0</v>
      </c>
      <c r="AQ464" s="153">
        <v>10</v>
      </c>
    </row>
    <row r="465" spans="1:43">
      <c r="A465" s="153">
        <f ca="1" t="shared" si="77"/>
        <v>1016010</v>
      </c>
      <c r="B465" s="91" t="s">
        <v>652</v>
      </c>
      <c r="C465" s="186">
        <v>1</v>
      </c>
      <c r="D465" s="186">
        <v>2</v>
      </c>
      <c r="E465" s="165" t="s">
        <v>1050</v>
      </c>
      <c r="F465" s="179" t="s">
        <v>1053</v>
      </c>
      <c r="G465" s="186">
        <f ca="1">OFFSET(卡牌辅助配置表!$C$1,MATCH(AC465,卡牌辅助配置表!A:A,0)-1,0)</f>
        <v>0</v>
      </c>
      <c r="H465" s="186" t="e">
        <f ca="1">OFFSET(skill!$Q$1,MATCH(B465,skill!B:B,0)-1,0)</f>
        <v>#VALUE!</v>
      </c>
      <c r="I465" s="186"/>
      <c r="J465" s="186">
        <f ca="1">OFFSET(card_type!$F$1,MATCH(Q465,card_type!A:A,0)-1,0)</f>
        <v>3</v>
      </c>
      <c r="K465" s="243">
        <f ca="1">OFFSET(card_type!$G$1,MATCH(Q465,card_type!A:A,0)-1,0)</f>
        <v>2</v>
      </c>
      <c r="L465" s="157">
        <v>2</v>
      </c>
      <c r="M465" s="157">
        <v>2</v>
      </c>
      <c r="N465" s="153">
        <f t="shared" si="78"/>
        <v>10</v>
      </c>
      <c r="O465" s="157"/>
      <c r="P465" s="157"/>
      <c r="Q465" s="153">
        <f ca="1">OFFSET(card_type!$A$1,MATCH(card!B465,card_type!B:B,0)-1,0)</f>
        <v>1016</v>
      </c>
      <c r="R465" s="153">
        <v>1</v>
      </c>
      <c r="S465" s="157">
        <f ca="1">ROUND(IF(R465=0,0,IF(R465=1,X465*$S$1,IF(R465=2,X465*$S$1*buff的资质计算!$E$2,IF(R465=3,X465*$S$1*buff的资质计算!$E$3,0)))),0)*0</f>
        <v>0</v>
      </c>
      <c r="T465" s="153">
        <v>2</v>
      </c>
      <c r="U465" s="153">
        <f ca="1" t="shared" si="79"/>
        <v>32</v>
      </c>
      <c r="V465" s="153">
        <f ca="1">ROUND((OFFSET(卡牌辅助配置表!$O$1,MATCH(U465,卡牌辅助配置表!M:M,0)-1,0)+(N465-1)*OFFSET(卡牌辅助配置表!$P$1,MATCH(U465,卡牌辅助配置表!M:M,0)-1,0))*M465,2)</f>
        <v>60.81</v>
      </c>
      <c r="W465" s="157">
        <f ca="1">ROUND(IF(R465=0,0,IF(R465=1,X465*$W$1,IF(R465=2,X465*$W$1*buff的资质计算!$E$2,IF(R465=3,X465*$W$1*buff的资质计算!$E$3,0)))),2)</f>
        <v>12.75</v>
      </c>
      <c r="X465" s="157">
        <f ca="1" t="shared" si="80"/>
        <v>42.5</v>
      </c>
      <c r="Y465" s="157" t="e">
        <f ca="1" t="shared" si="85"/>
        <v>#VALUE!</v>
      </c>
      <c r="Z465" s="304" t="e">
        <f ca="1" t="shared" si="81"/>
        <v>#VALUE!</v>
      </c>
      <c r="AA465" s="304">
        <f ca="1">OFFSET(卡牌辅助配置表!$AD$1,MATCH(AB465,卡牌辅助配置表!AB:AB,0)-1,0)</f>
        <v>1990</v>
      </c>
      <c r="AB465" s="304">
        <f ca="1" t="shared" si="82"/>
        <v>3210</v>
      </c>
      <c r="AC465" s="153">
        <v>12</v>
      </c>
      <c r="AF465" s="153" t="str">
        <f ca="1" t="shared" si="86"/>
        <v>10160011|</v>
      </c>
      <c r="AJ465" s="205" t="str">
        <f ca="1" t="shared" si="83"/>
        <v>400023|4050|;</v>
      </c>
      <c r="AK465" s="205">
        <f ca="1">OFFSET([1]item_type!$A$1,MATCH(Q465,[1]item_type!$G:$G,0)-1,0)</f>
        <v>301016</v>
      </c>
      <c r="AL465" s="205"/>
      <c r="AM465" s="205">
        <f ca="1">IF(B465=B466,OFFSET(卡牌辅助配置表!$AE$1,MATCH(AB465,卡牌辅助配置表!AB:AB,0),0),0)</f>
        <v>4050</v>
      </c>
      <c r="AN465" s="153">
        <f ca="1" t="shared" si="84"/>
        <v>1016011</v>
      </c>
      <c r="AP465" s="153">
        <f ca="1">IF(AC465=0,0,IF(AC465=12,0,OFFSET(effect!$N$1,MATCH(K465,effect!M:M,0)-1,0)))</f>
        <v>0</v>
      </c>
      <c r="AQ465" s="153">
        <v>10</v>
      </c>
    </row>
    <row r="466" spans="1:43">
      <c r="A466" s="153">
        <f ca="1" t="shared" si="77"/>
        <v>1016011</v>
      </c>
      <c r="B466" s="91" t="s">
        <v>652</v>
      </c>
      <c r="C466" s="186">
        <v>1</v>
      </c>
      <c r="D466" s="186">
        <v>2</v>
      </c>
      <c r="E466" s="165" t="s">
        <v>1050</v>
      </c>
      <c r="F466" s="179" t="s">
        <v>1053</v>
      </c>
      <c r="G466" s="186">
        <f ca="1">OFFSET(卡牌辅助配置表!$C$1,MATCH(AC466,卡牌辅助配置表!A:A,0)-1,0)</f>
        <v>0</v>
      </c>
      <c r="H466" s="186" t="e">
        <f ca="1">OFFSET(skill!$Q$1,MATCH(B466,skill!B:B,0)-1,0)</f>
        <v>#VALUE!</v>
      </c>
      <c r="I466" s="186"/>
      <c r="J466" s="186">
        <f ca="1">OFFSET(card_type!$F$1,MATCH(Q466,card_type!A:A,0)-1,0)</f>
        <v>3</v>
      </c>
      <c r="K466" s="243">
        <f ca="1">OFFSET(card_type!$G$1,MATCH(Q466,card_type!A:A,0)-1,0)</f>
        <v>2</v>
      </c>
      <c r="L466" s="157">
        <v>2</v>
      </c>
      <c r="M466" s="157">
        <v>2</v>
      </c>
      <c r="N466" s="153">
        <f t="shared" si="78"/>
        <v>11</v>
      </c>
      <c r="O466" s="157"/>
      <c r="P466" s="157"/>
      <c r="Q466" s="153">
        <f ca="1">OFFSET(card_type!$A$1,MATCH(card!B466,card_type!B:B,0)-1,0)</f>
        <v>1016</v>
      </c>
      <c r="R466" s="153">
        <v>1</v>
      </c>
      <c r="S466" s="157">
        <f ca="1">ROUND(IF(R466=0,0,IF(R466=1,X466*$S$1,IF(R466=2,X466*$S$1*buff的资质计算!$E$2,IF(R466=3,X466*$S$1*buff的资质计算!$E$3,0)))),0)*0</f>
        <v>0</v>
      </c>
      <c r="T466" s="153">
        <v>2</v>
      </c>
      <c r="U466" s="153">
        <f ca="1" t="shared" si="79"/>
        <v>32</v>
      </c>
      <c r="V466" s="153">
        <f ca="1">ROUND((OFFSET(卡牌辅助配置表!$O$1,MATCH(U466,卡牌辅助配置表!M:M,0)-1,0)+(N466-1)*OFFSET(卡牌辅助配置表!$P$1,MATCH(U466,卡牌辅助配置表!M:M,0)-1,0))*M466,2)</f>
        <v>64.38</v>
      </c>
      <c r="W466" s="157">
        <f ca="1">ROUND(IF(R466=0,0,IF(R466=1,X466*$W$1,IF(R466=2,X466*$W$1*buff的资质计算!$E$2,IF(R466=3,X466*$W$1*buff的资质计算!$E$3,0)))),2)</f>
        <v>12.9</v>
      </c>
      <c r="X466" s="157">
        <f ca="1" t="shared" si="80"/>
        <v>43</v>
      </c>
      <c r="Y466" s="157" t="e">
        <f ca="1" t="shared" si="85"/>
        <v>#VALUE!</v>
      </c>
      <c r="Z466" s="304" t="e">
        <f ca="1" t="shared" si="81"/>
        <v>#VALUE!</v>
      </c>
      <c r="AA466" s="304">
        <f ca="1">OFFSET(卡牌辅助配置表!$AD$1,MATCH(AB466,卡牌辅助配置表!AB:AB,0)-1,0)</f>
        <v>2289</v>
      </c>
      <c r="AB466" s="304">
        <f ca="1" t="shared" si="82"/>
        <v>3211</v>
      </c>
      <c r="AC466" s="153">
        <v>12</v>
      </c>
      <c r="AF466" s="153" t="str">
        <f ca="1" t="shared" si="86"/>
        <v>10160011|</v>
      </c>
      <c r="AJ466" s="205" t="str">
        <f ca="1" t="shared" si="83"/>
        <v>400023|4650|;</v>
      </c>
      <c r="AK466" s="205">
        <f ca="1">OFFSET([1]item_type!$A$1,MATCH(Q466,[1]item_type!$G:$G,0)-1,0)</f>
        <v>301016</v>
      </c>
      <c r="AL466" s="205"/>
      <c r="AM466" s="205">
        <f ca="1">IF(B466=B467,OFFSET(卡牌辅助配置表!$AE$1,MATCH(AB466,卡牌辅助配置表!AB:AB,0),0),0)</f>
        <v>4650</v>
      </c>
      <c r="AN466" s="153">
        <f ca="1" t="shared" si="84"/>
        <v>1016012</v>
      </c>
      <c r="AP466" s="153">
        <f ca="1">IF(AC466=0,0,IF(AC466=12,0,OFFSET(effect!$N$1,MATCH(K466,effect!M:M,0)-1,0)))</f>
        <v>0</v>
      </c>
      <c r="AQ466" s="153">
        <v>10</v>
      </c>
    </row>
    <row r="467" spans="1:43">
      <c r="A467" s="153">
        <f ca="1" t="shared" si="77"/>
        <v>1016012</v>
      </c>
      <c r="B467" s="91" t="s">
        <v>652</v>
      </c>
      <c r="C467" s="186">
        <v>1</v>
      </c>
      <c r="D467" s="186">
        <v>2</v>
      </c>
      <c r="E467" s="165" t="s">
        <v>1050</v>
      </c>
      <c r="F467" s="179" t="s">
        <v>1053</v>
      </c>
      <c r="G467" s="186">
        <f ca="1">OFFSET(卡牌辅助配置表!$C$1,MATCH(AC467,卡牌辅助配置表!A:A,0)-1,0)</f>
        <v>0</v>
      </c>
      <c r="H467" s="186" t="e">
        <f ca="1">OFFSET(skill!$Q$1,MATCH(B467,skill!B:B,0)-1,0)</f>
        <v>#VALUE!</v>
      </c>
      <c r="I467" s="186"/>
      <c r="J467" s="186">
        <f ca="1">OFFSET(card_type!$F$1,MATCH(Q467,card_type!A:A,0)-1,0)</f>
        <v>3</v>
      </c>
      <c r="K467" s="243">
        <f ca="1">OFFSET(card_type!$G$1,MATCH(Q467,card_type!A:A,0)-1,0)</f>
        <v>2</v>
      </c>
      <c r="L467" s="157">
        <v>2</v>
      </c>
      <c r="M467" s="157">
        <v>2</v>
      </c>
      <c r="N467" s="153">
        <f t="shared" si="78"/>
        <v>12</v>
      </c>
      <c r="O467" s="157"/>
      <c r="P467" s="157"/>
      <c r="Q467" s="153">
        <f ca="1">OFFSET(card_type!$A$1,MATCH(card!B467,card_type!B:B,0)-1,0)</f>
        <v>1016</v>
      </c>
      <c r="R467" s="153">
        <v>1</v>
      </c>
      <c r="S467" s="157">
        <f ca="1">ROUND(IF(R467=0,0,IF(R467=1,X467*$S$1,IF(R467=2,X467*$S$1*buff的资质计算!$E$2,IF(R467=3,X467*$S$1*buff的资质计算!$E$3,0)))),0)*0</f>
        <v>0</v>
      </c>
      <c r="T467" s="153">
        <v>2</v>
      </c>
      <c r="U467" s="153">
        <f ca="1" t="shared" si="79"/>
        <v>32</v>
      </c>
      <c r="V467" s="153">
        <f ca="1">ROUND((OFFSET(卡牌辅助配置表!$O$1,MATCH(U467,卡牌辅助配置表!M:M,0)-1,0)+(N467-1)*OFFSET(卡牌辅助配置表!$P$1,MATCH(U467,卡牌辅助配置表!M:M,0)-1,0))*M467,2)</f>
        <v>67.94</v>
      </c>
      <c r="W467" s="157">
        <f ca="1">ROUND(IF(R467=0,0,IF(R467=1,X467*$W$1,IF(R467=2,X467*$W$1*buff的资质计算!$E$2,IF(R467=3,X467*$W$1*buff的资质计算!$E$3,0)))),2)</f>
        <v>13.05</v>
      </c>
      <c r="X467" s="157">
        <f ca="1" t="shared" si="80"/>
        <v>43.5</v>
      </c>
      <c r="Y467" s="157" t="e">
        <f ca="1" t="shared" si="85"/>
        <v>#VALUE!</v>
      </c>
      <c r="Z467" s="304" t="e">
        <f ca="1" t="shared" si="81"/>
        <v>#VALUE!</v>
      </c>
      <c r="AA467" s="304">
        <f ca="1">OFFSET(卡牌辅助配置表!$AD$1,MATCH(AB467,卡牌辅助配置表!AB:AB,0)-1,0)</f>
        <v>2588</v>
      </c>
      <c r="AB467" s="304">
        <f ca="1" t="shared" si="82"/>
        <v>3212</v>
      </c>
      <c r="AC467" s="153">
        <v>12</v>
      </c>
      <c r="AF467" s="153" t="str">
        <f ca="1" t="shared" si="86"/>
        <v>10160011|</v>
      </c>
      <c r="AJ467" s="205" t="str">
        <f ca="1" t="shared" si="83"/>
        <v>400023|5250|;</v>
      </c>
      <c r="AK467" s="205">
        <f ca="1">OFFSET([1]item_type!$A$1,MATCH(Q467,[1]item_type!$G:$G,0)-1,0)</f>
        <v>301016</v>
      </c>
      <c r="AL467" s="205"/>
      <c r="AM467" s="205">
        <f ca="1">IF(B467=B468,OFFSET(卡牌辅助配置表!$AE$1,MATCH(AB467,卡牌辅助配置表!AB:AB,0),0),0)</f>
        <v>5250</v>
      </c>
      <c r="AN467" s="153">
        <f ca="1" t="shared" si="84"/>
        <v>1016013</v>
      </c>
      <c r="AP467" s="153">
        <f ca="1">IF(AC467=0,0,IF(AC467=12,0,OFFSET(effect!$N$1,MATCH(K467,effect!M:M,0)-1,0)))</f>
        <v>0</v>
      </c>
      <c r="AQ467" s="153">
        <v>10</v>
      </c>
    </row>
    <row r="468" spans="1:43">
      <c r="A468" s="153">
        <f ca="1" t="shared" si="77"/>
        <v>1016013</v>
      </c>
      <c r="B468" s="91" t="s">
        <v>652</v>
      </c>
      <c r="C468" s="186">
        <v>1</v>
      </c>
      <c r="D468" s="186">
        <v>2</v>
      </c>
      <c r="E468" s="165" t="s">
        <v>1050</v>
      </c>
      <c r="F468" s="179" t="s">
        <v>1053</v>
      </c>
      <c r="G468" s="186">
        <f ca="1">OFFSET(卡牌辅助配置表!$C$1,MATCH(AC468,卡牌辅助配置表!A:A,0)-1,0)</f>
        <v>0</v>
      </c>
      <c r="H468" s="186" t="e">
        <f ca="1">OFFSET(skill!$Q$1,MATCH(B468,skill!B:B,0)-1,0)</f>
        <v>#VALUE!</v>
      </c>
      <c r="I468" s="186"/>
      <c r="J468" s="186">
        <f ca="1">OFFSET(card_type!$F$1,MATCH(Q468,card_type!A:A,0)-1,0)</f>
        <v>3</v>
      </c>
      <c r="K468" s="243">
        <f ca="1">OFFSET(card_type!$G$1,MATCH(Q468,card_type!A:A,0)-1,0)</f>
        <v>2</v>
      </c>
      <c r="L468" s="157">
        <v>2</v>
      </c>
      <c r="M468" s="157">
        <v>2</v>
      </c>
      <c r="N468" s="153">
        <f t="shared" si="78"/>
        <v>13</v>
      </c>
      <c r="O468" s="157"/>
      <c r="P468" s="157"/>
      <c r="Q468" s="153">
        <f ca="1">OFFSET(card_type!$A$1,MATCH(card!B468,card_type!B:B,0)-1,0)</f>
        <v>1016</v>
      </c>
      <c r="R468" s="153">
        <v>1</v>
      </c>
      <c r="S468" s="157">
        <f ca="1">ROUND(IF(R468=0,0,IF(R468=1,X468*$S$1,IF(R468=2,X468*$S$1*buff的资质计算!$E$2,IF(R468=3,X468*$S$1*buff的资质计算!$E$3,0)))),0)*0</f>
        <v>0</v>
      </c>
      <c r="T468" s="153">
        <v>2</v>
      </c>
      <c r="U468" s="153">
        <f ca="1" t="shared" si="79"/>
        <v>32</v>
      </c>
      <c r="V468" s="153">
        <f ca="1">ROUND((OFFSET(卡牌辅助配置表!$O$1,MATCH(U468,卡牌辅助配置表!M:M,0)-1,0)+(N468-1)*OFFSET(卡牌辅助配置表!$P$1,MATCH(U468,卡牌辅助配置表!M:M,0)-1,0))*M468,2)</f>
        <v>71.51</v>
      </c>
      <c r="W468" s="157">
        <f ca="1">ROUND(IF(R468=0,0,IF(R468=1,X468*$W$1,IF(R468=2,X468*$W$1*buff的资质计算!$E$2,IF(R468=3,X468*$W$1*buff的资质计算!$E$3,0)))),2)</f>
        <v>13.2</v>
      </c>
      <c r="X468" s="157">
        <f ca="1" t="shared" si="80"/>
        <v>44</v>
      </c>
      <c r="Y468" s="157" t="e">
        <f ca="1" t="shared" si="85"/>
        <v>#VALUE!</v>
      </c>
      <c r="Z468" s="304" t="e">
        <f ca="1" t="shared" si="81"/>
        <v>#VALUE!</v>
      </c>
      <c r="AA468" s="304">
        <f ca="1">OFFSET(卡牌辅助配置表!$AD$1,MATCH(AB468,卡牌辅助配置表!AB:AB,0)-1,0)</f>
        <v>2887</v>
      </c>
      <c r="AB468" s="304">
        <f ca="1" t="shared" si="82"/>
        <v>3213</v>
      </c>
      <c r="AC468" s="153">
        <v>12</v>
      </c>
      <c r="AF468" s="153" t="str">
        <f ca="1" t="shared" si="86"/>
        <v>10160011|</v>
      </c>
      <c r="AJ468" s="205" t="str">
        <f ca="1" t="shared" si="83"/>
        <v>400023|5850|;</v>
      </c>
      <c r="AK468" s="205">
        <f ca="1">OFFSET([1]item_type!$A$1,MATCH(Q468,[1]item_type!$G:$G,0)-1,0)</f>
        <v>301016</v>
      </c>
      <c r="AL468" s="205"/>
      <c r="AM468" s="205">
        <f ca="1">IF(B468=B469,OFFSET(卡牌辅助配置表!$AE$1,MATCH(AB468,卡牌辅助配置表!AB:AB,0),0),0)</f>
        <v>5850</v>
      </c>
      <c r="AN468" s="153">
        <f ca="1" t="shared" si="84"/>
        <v>1016014</v>
      </c>
      <c r="AP468" s="153">
        <f ca="1">IF(AC468=0,0,IF(AC468=12,0,OFFSET(effect!$N$1,MATCH(K468,effect!M:M,0)-1,0)))</f>
        <v>0</v>
      </c>
      <c r="AQ468" s="153">
        <v>10</v>
      </c>
    </row>
    <row r="469" spans="1:43">
      <c r="A469" s="153">
        <f ca="1" t="shared" si="77"/>
        <v>1016014</v>
      </c>
      <c r="B469" s="91" t="s">
        <v>652</v>
      </c>
      <c r="C469" s="186">
        <v>1</v>
      </c>
      <c r="D469" s="186">
        <v>2</v>
      </c>
      <c r="E469" s="165" t="s">
        <v>1050</v>
      </c>
      <c r="F469" s="179" t="s">
        <v>1053</v>
      </c>
      <c r="G469" s="186">
        <f ca="1">OFFSET(卡牌辅助配置表!$C$1,MATCH(AC469,卡牌辅助配置表!A:A,0)-1,0)</f>
        <v>0</v>
      </c>
      <c r="H469" s="186" t="e">
        <f ca="1">OFFSET(skill!$Q$1,MATCH(B469,skill!B:B,0)-1,0)</f>
        <v>#VALUE!</v>
      </c>
      <c r="I469" s="186"/>
      <c r="J469" s="186">
        <f ca="1">OFFSET(card_type!$F$1,MATCH(Q469,card_type!A:A,0)-1,0)</f>
        <v>3</v>
      </c>
      <c r="K469" s="243">
        <f ca="1">OFFSET(card_type!$G$1,MATCH(Q469,card_type!A:A,0)-1,0)</f>
        <v>2</v>
      </c>
      <c r="L469" s="157">
        <v>2</v>
      </c>
      <c r="M469" s="157">
        <v>2</v>
      </c>
      <c r="N469" s="153">
        <f t="shared" si="78"/>
        <v>14</v>
      </c>
      <c r="O469" s="157"/>
      <c r="P469" s="157"/>
      <c r="Q469" s="153">
        <f ca="1">OFFSET(card_type!$A$1,MATCH(card!B469,card_type!B:B,0)-1,0)</f>
        <v>1016</v>
      </c>
      <c r="R469" s="153">
        <v>1</v>
      </c>
      <c r="S469" s="157">
        <f ca="1">ROUND(IF(R469=0,0,IF(R469=1,X469*$S$1,IF(R469=2,X469*$S$1*buff的资质计算!$E$2,IF(R469=3,X469*$S$1*buff的资质计算!$E$3,0)))),0)*0</f>
        <v>0</v>
      </c>
      <c r="T469" s="153">
        <v>2</v>
      </c>
      <c r="U469" s="153">
        <f ca="1" t="shared" si="79"/>
        <v>32</v>
      </c>
      <c r="V469" s="153">
        <f ca="1">ROUND((OFFSET(卡牌辅助配置表!$O$1,MATCH(U469,卡牌辅助配置表!M:M,0)-1,0)+(N469-1)*OFFSET(卡牌辅助配置表!$P$1,MATCH(U469,卡牌辅助配置表!M:M,0)-1,0))*M469,2)</f>
        <v>75.08</v>
      </c>
      <c r="W469" s="157">
        <f ca="1">ROUND(IF(R469=0,0,IF(R469=1,X469*$W$1,IF(R469=2,X469*$W$1*buff的资质计算!$E$2,IF(R469=3,X469*$W$1*buff的资质计算!$E$3,0)))),2)</f>
        <v>13.35</v>
      </c>
      <c r="X469" s="157">
        <f ca="1" t="shared" si="80"/>
        <v>44.5</v>
      </c>
      <c r="Y469" s="157" t="e">
        <f ca="1" t="shared" si="85"/>
        <v>#VALUE!</v>
      </c>
      <c r="Z469" s="304" t="e">
        <f ca="1" t="shared" si="81"/>
        <v>#VALUE!</v>
      </c>
      <c r="AA469" s="304">
        <f ca="1">OFFSET(卡牌辅助配置表!$AD$1,MATCH(AB469,卡牌辅助配置表!AB:AB,0)-1,0)</f>
        <v>3186</v>
      </c>
      <c r="AB469" s="304">
        <f ca="1" t="shared" si="82"/>
        <v>3214</v>
      </c>
      <c r="AC469" s="153">
        <v>12</v>
      </c>
      <c r="AF469" s="153" t="str">
        <f ca="1" t="shared" si="86"/>
        <v>10160011|</v>
      </c>
      <c r="AJ469" s="205" t="str">
        <f ca="1" t="shared" si="83"/>
        <v>400023|6450|;</v>
      </c>
      <c r="AK469" s="205">
        <f ca="1">OFFSET([1]item_type!$A$1,MATCH(Q469,[1]item_type!$G:$G,0)-1,0)</f>
        <v>301016</v>
      </c>
      <c r="AL469" s="205"/>
      <c r="AM469" s="205">
        <f ca="1">IF(B469=B470,OFFSET(卡牌辅助配置表!$AE$1,MATCH(AB469,卡牌辅助配置表!AB:AB,0),0),0)</f>
        <v>6450</v>
      </c>
      <c r="AN469" s="153">
        <f ca="1" t="shared" si="84"/>
        <v>1016015</v>
      </c>
      <c r="AP469" s="153">
        <f ca="1">IF(AC469=0,0,IF(AC469=12,0,OFFSET(effect!$N$1,MATCH(K469,effect!M:M,0)-1,0)))</f>
        <v>0</v>
      </c>
      <c r="AQ469" s="153">
        <v>10</v>
      </c>
    </row>
    <row r="470" spans="1:43">
      <c r="A470" s="153">
        <f ca="1" t="shared" si="77"/>
        <v>1016015</v>
      </c>
      <c r="B470" s="91" t="s">
        <v>652</v>
      </c>
      <c r="C470" s="186">
        <v>1</v>
      </c>
      <c r="D470" s="186">
        <v>2</v>
      </c>
      <c r="E470" s="165" t="s">
        <v>1050</v>
      </c>
      <c r="F470" s="179" t="s">
        <v>1053</v>
      </c>
      <c r="G470" s="186">
        <f ca="1">OFFSET(卡牌辅助配置表!$C$1,MATCH(AC470,卡牌辅助配置表!A:A,0)-1,0)</f>
        <v>0</v>
      </c>
      <c r="H470" s="186" t="e">
        <f ca="1">OFFSET(skill!$Q$1,MATCH(B470,skill!B:B,0)-1,0)</f>
        <v>#VALUE!</v>
      </c>
      <c r="I470" s="186"/>
      <c r="J470" s="186">
        <f ca="1">OFFSET(card_type!$F$1,MATCH(Q470,card_type!A:A,0)-1,0)</f>
        <v>3</v>
      </c>
      <c r="K470" s="243">
        <f ca="1">OFFSET(card_type!$G$1,MATCH(Q470,card_type!A:A,0)-1,0)</f>
        <v>2</v>
      </c>
      <c r="L470" s="157">
        <v>2</v>
      </c>
      <c r="M470" s="157">
        <v>2</v>
      </c>
      <c r="N470" s="153">
        <f t="shared" si="78"/>
        <v>15</v>
      </c>
      <c r="O470" s="157"/>
      <c r="P470" s="157"/>
      <c r="Q470" s="153">
        <f ca="1">OFFSET(card_type!$A$1,MATCH(card!B470,card_type!B:B,0)-1,0)</f>
        <v>1016</v>
      </c>
      <c r="R470" s="153">
        <v>1</v>
      </c>
      <c r="S470" s="157">
        <f ca="1">ROUND(IF(R470=0,0,IF(R470=1,X470*$S$1,IF(R470=2,X470*$S$1*buff的资质计算!$E$2,IF(R470=3,X470*$S$1*buff的资质计算!$E$3,0)))),0)*0</f>
        <v>0</v>
      </c>
      <c r="T470" s="153">
        <v>2</v>
      </c>
      <c r="U470" s="153">
        <f ca="1" t="shared" si="79"/>
        <v>32</v>
      </c>
      <c r="V470" s="153">
        <f ca="1">ROUND((OFFSET(卡牌辅助配置表!$O$1,MATCH(U470,卡牌辅助配置表!M:M,0)-1,0)+(N470-1)*OFFSET(卡牌辅助配置表!$P$1,MATCH(U470,卡牌辅助配置表!M:M,0)-1,0))*M470,2)</f>
        <v>78.64</v>
      </c>
      <c r="W470" s="157">
        <f ca="1">ROUND(IF(R470=0,0,IF(R470=1,X470*$W$1,IF(R470=2,X470*$W$1*buff的资质计算!$E$2,IF(R470=3,X470*$W$1*buff的资质计算!$E$3,0)))),2)</f>
        <v>13.5</v>
      </c>
      <c r="X470" s="157">
        <f ca="1" t="shared" si="80"/>
        <v>45</v>
      </c>
      <c r="Y470" s="157" t="e">
        <f ca="1" t="shared" si="85"/>
        <v>#VALUE!</v>
      </c>
      <c r="Z470" s="304" t="e">
        <f ca="1" t="shared" si="81"/>
        <v>#VALUE!</v>
      </c>
      <c r="AA470" s="304">
        <f ca="1">OFFSET(卡牌辅助配置表!$AD$1,MATCH(AB470,卡牌辅助配置表!AB:AB,0)-1,0)</f>
        <v>3485</v>
      </c>
      <c r="AB470" s="304">
        <f ca="1" t="shared" si="82"/>
        <v>3215</v>
      </c>
      <c r="AC470" s="153">
        <v>12</v>
      </c>
      <c r="AF470" s="153" t="str">
        <f ca="1" t="shared" si="86"/>
        <v>10160011|</v>
      </c>
      <c r="AJ470" s="205" t="str">
        <f ca="1" t="shared" si="83"/>
        <v>400023|7050|;</v>
      </c>
      <c r="AK470" s="205">
        <f ca="1">OFFSET([1]item_type!$A$1,MATCH(Q470,[1]item_type!$G:$G,0)-1,0)</f>
        <v>301016</v>
      </c>
      <c r="AL470" s="205"/>
      <c r="AM470" s="205">
        <f ca="1">IF(B470=B471,OFFSET(卡牌辅助配置表!$AE$1,MATCH(AB470,卡牌辅助配置表!AB:AB,0),0),0)</f>
        <v>7050</v>
      </c>
      <c r="AN470" s="153">
        <f ca="1" t="shared" si="84"/>
        <v>1016016</v>
      </c>
      <c r="AP470" s="153">
        <f ca="1">IF(AC470=0,0,IF(AC470=12,0,OFFSET(effect!$N$1,MATCH(K470,effect!M:M,0)-1,0)))</f>
        <v>0</v>
      </c>
      <c r="AQ470" s="153">
        <v>10</v>
      </c>
    </row>
    <row r="471" spans="1:43">
      <c r="A471" s="153">
        <f ca="1" t="shared" si="77"/>
        <v>1016016</v>
      </c>
      <c r="B471" s="91" t="s">
        <v>652</v>
      </c>
      <c r="C471" s="186">
        <v>1</v>
      </c>
      <c r="D471" s="186">
        <v>2</v>
      </c>
      <c r="E471" s="165" t="s">
        <v>1050</v>
      </c>
      <c r="F471" s="179" t="s">
        <v>1053</v>
      </c>
      <c r="G471" s="186">
        <f ca="1">OFFSET(卡牌辅助配置表!$C$1,MATCH(AC471,卡牌辅助配置表!A:A,0)-1,0)</f>
        <v>0</v>
      </c>
      <c r="H471" s="186" t="e">
        <f ca="1">OFFSET(skill!$Q$1,MATCH(B471,skill!B:B,0)-1,0)</f>
        <v>#VALUE!</v>
      </c>
      <c r="I471" s="186"/>
      <c r="J471" s="186">
        <f ca="1">OFFSET(card_type!$F$1,MATCH(Q471,card_type!A:A,0)-1,0)</f>
        <v>3</v>
      </c>
      <c r="K471" s="243">
        <f ca="1">OFFSET(card_type!$G$1,MATCH(Q471,card_type!A:A,0)-1,0)</f>
        <v>2</v>
      </c>
      <c r="L471" s="157">
        <v>2</v>
      </c>
      <c r="M471" s="157">
        <v>2</v>
      </c>
      <c r="N471" s="153">
        <f t="shared" si="78"/>
        <v>16</v>
      </c>
      <c r="O471" s="157"/>
      <c r="P471" s="157"/>
      <c r="Q471" s="153">
        <f ca="1">OFFSET(card_type!$A$1,MATCH(card!B471,card_type!B:B,0)-1,0)</f>
        <v>1016</v>
      </c>
      <c r="R471" s="153">
        <v>1</v>
      </c>
      <c r="S471" s="157">
        <f ca="1">ROUND(IF(R471=0,0,IF(R471=1,X471*$S$1,IF(R471=2,X471*$S$1*buff的资质计算!$E$2,IF(R471=3,X471*$S$1*buff的资质计算!$E$3,0)))),0)*0</f>
        <v>0</v>
      </c>
      <c r="T471" s="153">
        <v>2</v>
      </c>
      <c r="U471" s="153">
        <f ca="1" t="shared" si="79"/>
        <v>32</v>
      </c>
      <c r="V471" s="153">
        <f ca="1">ROUND((OFFSET(卡牌辅助配置表!$O$1,MATCH(U471,卡牌辅助配置表!M:M,0)-1,0)+(N471-1)*OFFSET(卡牌辅助配置表!$P$1,MATCH(U471,卡牌辅助配置表!M:M,0)-1,0))*M471,2)</f>
        <v>82.21</v>
      </c>
      <c r="W471" s="157">
        <f ca="1">ROUND(IF(R471=0,0,IF(R471=1,X471*$W$1,IF(R471=2,X471*$W$1*buff的资质计算!$E$2,IF(R471=3,X471*$W$1*buff的资质计算!$E$3,0)))),2)</f>
        <v>13.65</v>
      </c>
      <c r="X471" s="157">
        <f ca="1" t="shared" si="80"/>
        <v>45.5</v>
      </c>
      <c r="Y471" s="157" t="e">
        <f ca="1" t="shared" si="85"/>
        <v>#VALUE!</v>
      </c>
      <c r="Z471" s="304" t="e">
        <f ca="1" t="shared" si="81"/>
        <v>#VALUE!</v>
      </c>
      <c r="AA471" s="304">
        <f ca="1">OFFSET(卡牌辅助配置表!$AD$1,MATCH(AB471,卡牌辅助配置表!AB:AB,0)-1,0)</f>
        <v>3784</v>
      </c>
      <c r="AB471" s="304">
        <f ca="1" t="shared" si="82"/>
        <v>3216</v>
      </c>
      <c r="AC471" s="153">
        <v>12</v>
      </c>
      <c r="AF471" s="153" t="str">
        <f ca="1" t="shared" si="86"/>
        <v>10160011|</v>
      </c>
      <c r="AJ471" s="205" t="str">
        <f ca="1" t="shared" si="83"/>
        <v>400023|7650|;</v>
      </c>
      <c r="AK471" s="205">
        <f ca="1">OFFSET([1]item_type!$A$1,MATCH(Q471,[1]item_type!$G:$G,0)-1,0)</f>
        <v>301016</v>
      </c>
      <c r="AL471" s="205"/>
      <c r="AM471" s="205">
        <f ca="1">IF(B471=B472,OFFSET(卡牌辅助配置表!$AE$1,MATCH(AB471,卡牌辅助配置表!AB:AB,0),0),0)</f>
        <v>7650</v>
      </c>
      <c r="AN471" s="153">
        <f ca="1" t="shared" si="84"/>
        <v>1016017</v>
      </c>
      <c r="AP471" s="153">
        <f ca="1">IF(AC471=0,0,IF(AC471=12,0,OFFSET(effect!$N$1,MATCH(K471,effect!M:M,0)-1,0)))</f>
        <v>0</v>
      </c>
      <c r="AQ471" s="153">
        <v>10</v>
      </c>
    </row>
    <row r="472" spans="1:43">
      <c r="A472" s="153">
        <f ca="1" t="shared" si="77"/>
        <v>1016017</v>
      </c>
      <c r="B472" s="91" t="s">
        <v>652</v>
      </c>
      <c r="C472" s="186">
        <v>1</v>
      </c>
      <c r="D472" s="186">
        <v>2</v>
      </c>
      <c r="E472" s="165" t="s">
        <v>1050</v>
      </c>
      <c r="F472" s="179" t="s">
        <v>1053</v>
      </c>
      <c r="G472" s="186">
        <f ca="1">OFFSET(卡牌辅助配置表!$C$1,MATCH(AC472,卡牌辅助配置表!A:A,0)-1,0)</f>
        <v>0</v>
      </c>
      <c r="H472" s="186" t="e">
        <f ca="1">OFFSET(skill!$Q$1,MATCH(B472,skill!B:B,0)-1,0)</f>
        <v>#VALUE!</v>
      </c>
      <c r="I472" s="186"/>
      <c r="J472" s="186">
        <f ca="1">OFFSET(card_type!$F$1,MATCH(Q472,card_type!A:A,0)-1,0)</f>
        <v>3</v>
      </c>
      <c r="K472" s="243">
        <f ca="1">OFFSET(card_type!$G$1,MATCH(Q472,card_type!A:A,0)-1,0)</f>
        <v>2</v>
      </c>
      <c r="L472" s="157">
        <v>2</v>
      </c>
      <c r="M472" s="157">
        <v>2</v>
      </c>
      <c r="N472" s="153">
        <f t="shared" si="78"/>
        <v>17</v>
      </c>
      <c r="O472" s="157"/>
      <c r="P472" s="157"/>
      <c r="Q472" s="153">
        <f ca="1">OFFSET(card_type!$A$1,MATCH(card!B472,card_type!B:B,0)-1,0)</f>
        <v>1016</v>
      </c>
      <c r="R472" s="153">
        <v>1</v>
      </c>
      <c r="S472" s="157">
        <f ca="1">ROUND(IF(R472=0,0,IF(R472=1,X472*$S$1,IF(R472=2,X472*$S$1*buff的资质计算!$E$2,IF(R472=3,X472*$S$1*buff的资质计算!$E$3,0)))),0)*0</f>
        <v>0</v>
      </c>
      <c r="T472" s="153">
        <v>2</v>
      </c>
      <c r="U472" s="153">
        <f ca="1" t="shared" si="79"/>
        <v>32</v>
      </c>
      <c r="V472" s="153">
        <f ca="1">ROUND((OFFSET(卡牌辅助配置表!$O$1,MATCH(U472,卡牌辅助配置表!M:M,0)-1,0)+(N472-1)*OFFSET(卡牌辅助配置表!$P$1,MATCH(U472,卡牌辅助配置表!M:M,0)-1,0))*M472,2)</f>
        <v>85.78</v>
      </c>
      <c r="W472" s="157">
        <f ca="1">ROUND(IF(R472=0,0,IF(R472=1,X472*$W$1,IF(R472=2,X472*$W$1*buff的资质计算!$E$2,IF(R472=3,X472*$W$1*buff的资质计算!$E$3,0)))),2)</f>
        <v>13.8</v>
      </c>
      <c r="X472" s="157">
        <f ca="1" t="shared" si="80"/>
        <v>46</v>
      </c>
      <c r="Y472" s="157" t="e">
        <f ca="1" t="shared" si="85"/>
        <v>#VALUE!</v>
      </c>
      <c r="Z472" s="304" t="e">
        <f ca="1" t="shared" si="81"/>
        <v>#VALUE!</v>
      </c>
      <c r="AA472" s="304">
        <f ca="1">OFFSET(卡牌辅助配置表!$AD$1,MATCH(AB472,卡牌辅助配置表!AB:AB,0)-1,0)</f>
        <v>4083</v>
      </c>
      <c r="AB472" s="304">
        <f ca="1" t="shared" si="82"/>
        <v>3217</v>
      </c>
      <c r="AC472" s="153">
        <v>12</v>
      </c>
      <c r="AF472" s="153" t="str">
        <f ca="1" t="shared" si="86"/>
        <v>10160011|</v>
      </c>
      <c r="AJ472" s="205" t="str">
        <f ca="1" t="shared" si="83"/>
        <v>400023|8250|;</v>
      </c>
      <c r="AK472" s="205">
        <f ca="1">OFFSET([1]item_type!$A$1,MATCH(Q472,[1]item_type!$G:$G,0)-1,0)</f>
        <v>301016</v>
      </c>
      <c r="AL472" s="205"/>
      <c r="AM472" s="205">
        <f ca="1">IF(B472=B473,OFFSET(卡牌辅助配置表!$AE$1,MATCH(AB472,卡牌辅助配置表!AB:AB,0),0),0)</f>
        <v>8250</v>
      </c>
      <c r="AN472" s="153">
        <f ca="1" t="shared" si="84"/>
        <v>1016018</v>
      </c>
      <c r="AP472" s="153">
        <f ca="1">IF(AC472=0,0,IF(AC472=12,0,OFFSET(effect!$N$1,MATCH(K472,effect!M:M,0)-1,0)))</f>
        <v>0</v>
      </c>
      <c r="AQ472" s="153">
        <v>10</v>
      </c>
    </row>
    <row r="473" spans="1:43">
      <c r="A473" s="153">
        <f ca="1" t="shared" si="77"/>
        <v>1016018</v>
      </c>
      <c r="B473" s="91" t="s">
        <v>652</v>
      </c>
      <c r="C473" s="186">
        <v>1</v>
      </c>
      <c r="D473" s="186">
        <v>2</v>
      </c>
      <c r="E473" s="165" t="s">
        <v>1050</v>
      </c>
      <c r="F473" s="179" t="s">
        <v>1053</v>
      </c>
      <c r="G473" s="186">
        <f ca="1">OFFSET(卡牌辅助配置表!$C$1,MATCH(AC473,卡牌辅助配置表!A:A,0)-1,0)</f>
        <v>0</v>
      </c>
      <c r="H473" s="186" t="e">
        <f ca="1">OFFSET(skill!$Q$1,MATCH(B473,skill!B:B,0)-1,0)</f>
        <v>#VALUE!</v>
      </c>
      <c r="I473" s="186"/>
      <c r="J473" s="186">
        <f ca="1">OFFSET(card_type!$F$1,MATCH(Q473,card_type!A:A,0)-1,0)</f>
        <v>3</v>
      </c>
      <c r="K473" s="243">
        <f ca="1">OFFSET(card_type!$G$1,MATCH(Q473,card_type!A:A,0)-1,0)</f>
        <v>2</v>
      </c>
      <c r="L473" s="157">
        <v>2</v>
      </c>
      <c r="M473" s="157">
        <v>2</v>
      </c>
      <c r="N473" s="153">
        <f t="shared" si="78"/>
        <v>18</v>
      </c>
      <c r="O473" s="157"/>
      <c r="P473" s="157"/>
      <c r="Q473" s="153">
        <f ca="1">OFFSET(card_type!$A$1,MATCH(card!B473,card_type!B:B,0)-1,0)</f>
        <v>1016</v>
      </c>
      <c r="R473" s="153">
        <v>1</v>
      </c>
      <c r="S473" s="157">
        <f ca="1">ROUND(IF(R473=0,0,IF(R473=1,X473*$S$1,IF(R473=2,X473*$S$1*buff的资质计算!$E$2,IF(R473=3,X473*$S$1*buff的资质计算!$E$3,0)))),0)*0</f>
        <v>0</v>
      </c>
      <c r="T473" s="153">
        <v>2</v>
      </c>
      <c r="U473" s="153">
        <f ca="1" t="shared" si="79"/>
        <v>32</v>
      </c>
      <c r="V473" s="153">
        <f ca="1">ROUND((OFFSET(卡牌辅助配置表!$O$1,MATCH(U473,卡牌辅助配置表!M:M,0)-1,0)+(N473-1)*OFFSET(卡牌辅助配置表!$P$1,MATCH(U473,卡牌辅助配置表!M:M,0)-1,0))*M473,2)</f>
        <v>89.34</v>
      </c>
      <c r="W473" s="157">
        <f ca="1">ROUND(IF(R473=0,0,IF(R473=1,X473*$W$1,IF(R473=2,X473*$W$1*buff的资质计算!$E$2,IF(R473=3,X473*$W$1*buff的资质计算!$E$3,0)))),2)</f>
        <v>13.95</v>
      </c>
      <c r="X473" s="157">
        <f ca="1" t="shared" si="80"/>
        <v>46.5</v>
      </c>
      <c r="Y473" s="157" t="e">
        <f ca="1" t="shared" si="85"/>
        <v>#VALUE!</v>
      </c>
      <c r="Z473" s="304" t="e">
        <f ca="1" t="shared" si="81"/>
        <v>#VALUE!</v>
      </c>
      <c r="AA473" s="304">
        <f ca="1">OFFSET(卡牌辅助配置表!$AD$1,MATCH(AB473,卡牌辅助配置表!AB:AB,0)-1,0)</f>
        <v>4382</v>
      </c>
      <c r="AB473" s="304">
        <f ca="1" t="shared" si="82"/>
        <v>3218</v>
      </c>
      <c r="AC473" s="153">
        <v>12</v>
      </c>
      <c r="AF473" s="153" t="str">
        <f ca="1" t="shared" si="86"/>
        <v>10160011|</v>
      </c>
      <c r="AJ473" s="205" t="str">
        <f ca="1" t="shared" si="83"/>
        <v>400023|8850|;</v>
      </c>
      <c r="AK473" s="205">
        <f ca="1">OFFSET([1]item_type!$A$1,MATCH(Q473,[1]item_type!$G:$G,0)-1,0)</f>
        <v>301016</v>
      </c>
      <c r="AL473" s="205"/>
      <c r="AM473" s="205">
        <f ca="1">IF(B473=B474,OFFSET(卡牌辅助配置表!$AE$1,MATCH(AB473,卡牌辅助配置表!AB:AB,0),0),0)</f>
        <v>8850</v>
      </c>
      <c r="AN473" s="153">
        <f ca="1" t="shared" si="84"/>
        <v>1016019</v>
      </c>
      <c r="AP473" s="153">
        <f ca="1">IF(AC473=0,0,IF(AC473=12,0,OFFSET(effect!$N$1,MATCH(K473,effect!M:M,0)-1,0)))</f>
        <v>0</v>
      </c>
      <c r="AQ473" s="153">
        <v>10</v>
      </c>
    </row>
    <row r="474" spans="1:43">
      <c r="A474" s="153">
        <f ca="1" t="shared" si="77"/>
        <v>1016019</v>
      </c>
      <c r="B474" s="91" t="s">
        <v>652</v>
      </c>
      <c r="C474" s="186">
        <v>1</v>
      </c>
      <c r="D474" s="186">
        <v>2</v>
      </c>
      <c r="E474" s="165" t="s">
        <v>1050</v>
      </c>
      <c r="F474" s="179" t="s">
        <v>1053</v>
      </c>
      <c r="G474" s="186">
        <f ca="1">OFFSET(卡牌辅助配置表!$C$1,MATCH(AC474,卡牌辅助配置表!A:A,0)-1,0)</f>
        <v>0</v>
      </c>
      <c r="H474" s="186" t="e">
        <f ca="1">OFFSET(skill!$Q$1,MATCH(B474,skill!B:B,0)-1,0)</f>
        <v>#VALUE!</v>
      </c>
      <c r="I474" s="186"/>
      <c r="J474" s="186">
        <f ca="1">OFFSET(card_type!$F$1,MATCH(Q474,card_type!A:A,0)-1,0)</f>
        <v>3</v>
      </c>
      <c r="K474" s="243">
        <f ca="1">OFFSET(card_type!$G$1,MATCH(Q474,card_type!A:A,0)-1,0)</f>
        <v>2</v>
      </c>
      <c r="L474" s="157">
        <v>2</v>
      </c>
      <c r="M474" s="157">
        <v>2</v>
      </c>
      <c r="N474" s="153">
        <f t="shared" si="78"/>
        <v>19</v>
      </c>
      <c r="O474" s="157"/>
      <c r="P474" s="157"/>
      <c r="Q474" s="153">
        <f ca="1">OFFSET(card_type!$A$1,MATCH(card!B474,card_type!B:B,0)-1,0)</f>
        <v>1016</v>
      </c>
      <c r="R474" s="153">
        <v>1</v>
      </c>
      <c r="S474" s="157">
        <f ca="1">ROUND(IF(R474=0,0,IF(R474=1,X474*$S$1,IF(R474=2,X474*$S$1*buff的资质计算!$E$2,IF(R474=3,X474*$S$1*buff的资质计算!$E$3,0)))),0)*0</f>
        <v>0</v>
      </c>
      <c r="T474" s="153">
        <v>2</v>
      </c>
      <c r="U474" s="153">
        <f ca="1" t="shared" si="79"/>
        <v>32</v>
      </c>
      <c r="V474" s="153">
        <f ca="1">ROUND((OFFSET(卡牌辅助配置表!$O$1,MATCH(U474,卡牌辅助配置表!M:M,0)-1,0)+(N474-1)*OFFSET(卡牌辅助配置表!$P$1,MATCH(U474,卡牌辅助配置表!M:M,0)-1,0))*M474,2)</f>
        <v>92.91</v>
      </c>
      <c r="W474" s="157">
        <f ca="1">ROUND(IF(R474=0,0,IF(R474=1,X474*$W$1,IF(R474=2,X474*$W$1*buff的资质计算!$E$2,IF(R474=3,X474*$W$1*buff的资质计算!$E$3,0)))),2)</f>
        <v>14.1</v>
      </c>
      <c r="X474" s="157">
        <f ca="1" t="shared" si="80"/>
        <v>47</v>
      </c>
      <c r="Y474" s="157" t="e">
        <f ca="1" t="shared" si="85"/>
        <v>#VALUE!</v>
      </c>
      <c r="Z474" s="304" t="e">
        <f ca="1" t="shared" si="81"/>
        <v>#VALUE!</v>
      </c>
      <c r="AA474" s="304">
        <f ca="1">OFFSET(卡牌辅助配置表!$AD$1,MATCH(AB474,卡牌辅助配置表!AB:AB,0)-1,0)</f>
        <v>4681</v>
      </c>
      <c r="AB474" s="304">
        <f ca="1" t="shared" si="82"/>
        <v>3219</v>
      </c>
      <c r="AC474" s="153">
        <v>12</v>
      </c>
      <c r="AF474" s="153" t="str">
        <f ca="1" t="shared" si="86"/>
        <v>10160011|</v>
      </c>
      <c r="AJ474" s="205" t="str">
        <f ca="1" t="shared" si="83"/>
        <v>301016|20|;400023|9450|;</v>
      </c>
      <c r="AK474" s="205">
        <f ca="1">OFFSET([1]item_type!$A$1,MATCH(Q474,[1]item_type!$G:$G,0)-1,0)</f>
        <v>301016</v>
      </c>
      <c r="AL474" s="205">
        <v>20</v>
      </c>
      <c r="AM474" s="205">
        <f ca="1">IF(B474=B475,OFFSET(卡牌辅助配置表!$AE$1,MATCH(AB474,卡牌辅助配置表!AB:AB,0),0),0)</f>
        <v>9450</v>
      </c>
      <c r="AN474" s="153">
        <f ca="1" t="shared" si="84"/>
        <v>1016020</v>
      </c>
      <c r="AP474" s="153">
        <f ca="1">IF(AC474=0,0,IF(AC474=12,0,OFFSET(effect!$N$1,MATCH(K474,effect!M:M,0)-1,0)))</f>
        <v>0</v>
      </c>
      <c r="AQ474" s="153">
        <v>10</v>
      </c>
    </row>
    <row r="475" spans="1:43">
      <c r="A475" s="153">
        <f ca="1" t="shared" si="77"/>
        <v>1016020</v>
      </c>
      <c r="B475" s="91" t="s">
        <v>652</v>
      </c>
      <c r="C475" s="186">
        <v>1</v>
      </c>
      <c r="D475" s="186">
        <v>2</v>
      </c>
      <c r="E475" s="165" t="s">
        <v>1050</v>
      </c>
      <c r="F475" s="179" t="s">
        <v>1053</v>
      </c>
      <c r="G475" s="186">
        <f ca="1">OFFSET(卡牌辅助配置表!$C$1,MATCH(AC475,卡牌辅助配置表!A:A,0)-1,0)</f>
        <v>0</v>
      </c>
      <c r="H475" s="186" t="e">
        <f ca="1">OFFSET(skill!$Q$1,MATCH(B475,skill!B:B,0)-1,0)</f>
        <v>#VALUE!</v>
      </c>
      <c r="I475" s="186"/>
      <c r="J475" s="186">
        <f ca="1">OFFSET(card_type!$F$1,MATCH(Q475,card_type!A:A,0)-1,0)</f>
        <v>3</v>
      </c>
      <c r="K475" s="243">
        <f ca="1">OFFSET(card_type!$G$1,MATCH(Q475,card_type!A:A,0)-1,0)</f>
        <v>2</v>
      </c>
      <c r="L475" s="157">
        <v>2</v>
      </c>
      <c r="M475" s="157">
        <v>2</v>
      </c>
      <c r="N475" s="153">
        <f t="shared" si="78"/>
        <v>20</v>
      </c>
      <c r="O475" s="157"/>
      <c r="P475" s="157"/>
      <c r="Q475" s="153">
        <f ca="1">OFFSET(card_type!$A$1,MATCH(card!B475,card_type!B:B,0)-1,0)</f>
        <v>1016</v>
      </c>
      <c r="R475" s="153">
        <v>1</v>
      </c>
      <c r="S475" s="157">
        <f ca="1">ROUND(IF(R475=0,0,IF(R475=1,X475*$S$1,IF(R475=2,X475*$S$1*buff的资质计算!$E$2,IF(R475=3,X475*$S$1*buff的资质计算!$E$3,0)))),0)*0</f>
        <v>0</v>
      </c>
      <c r="T475" s="153">
        <v>2</v>
      </c>
      <c r="U475" s="153">
        <f ca="1" t="shared" si="79"/>
        <v>32</v>
      </c>
      <c r="V475" s="153">
        <f ca="1">ROUND((OFFSET(卡牌辅助配置表!$O$1,MATCH(U475,卡牌辅助配置表!M:M,0)-1,0)+(N475-1)*OFFSET(卡牌辅助配置表!$P$1,MATCH(U475,卡牌辅助配置表!M:M,0)-1,0))*M475,2)</f>
        <v>96.48</v>
      </c>
      <c r="W475" s="157">
        <f ca="1">ROUND(IF(R475=0,0,IF(R475=1,X475*$W$1,IF(R475=2,X475*$W$1*buff的资质计算!$E$2,IF(R475=3,X475*$W$1*buff的资质计算!$E$3,0)))),2)</f>
        <v>14.25</v>
      </c>
      <c r="X475" s="157">
        <f ca="1" t="shared" si="80"/>
        <v>47.5</v>
      </c>
      <c r="Y475" s="157" t="e">
        <f ca="1" t="shared" si="85"/>
        <v>#VALUE!</v>
      </c>
      <c r="Z475" s="304" t="e">
        <f ca="1" t="shared" si="81"/>
        <v>#VALUE!</v>
      </c>
      <c r="AA475" s="304">
        <f ca="1">OFFSET(卡牌辅助配置表!$AD$1,MATCH(AB475,卡牌辅助配置表!AB:AB,0)-1,0)</f>
        <v>4980</v>
      </c>
      <c r="AB475" s="304">
        <f ca="1" t="shared" si="82"/>
        <v>3220</v>
      </c>
      <c r="AC475" s="153">
        <v>12</v>
      </c>
      <c r="AF475" s="153" t="str">
        <f ca="1" t="shared" si="86"/>
        <v>10160011|</v>
      </c>
      <c r="AJ475" s="205" t="str">
        <f ca="1" t="shared" si="83"/>
        <v>400023|10650|;</v>
      </c>
      <c r="AK475" s="205">
        <f ca="1">OFFSET([1]item_type!$A$1,MATCH(Q475,[1]item_type!$G:$G,0)-1,0)</f>
        <v>301016</v>
      </c>
      <c r="AL475" s="205"/>
      <c r="AM475" s="205">
        <f ca="1">IF(B475=B476,OFFSET(卡牌辅助配置表!$AE$1,MATCH(AB475,卡牌辅助配置表!AB:AB,0),0),0)</f>
        <v>10650</v>
      </c>
      <c r="AN475" s="153">
        <f ca="1" t="shared" si="84"/>
        <v>1016021</v>
      </c>
      <c r="AP475" s="153">
        <f ca="1">IF(AC475=0,0,IF(AC475=12,0,OFFSET(effect!$N$1,MATCH(K475,effect!M:M,0)-1,0)))</f>
        <v>0</v>
      </c>
      <c r="AQ475" s="153">
        <v>10</v>
      </c>
    </row>
    <row r="476" spans="1:43">
      <c r="A476" s="153">
        <f ca="1" t="shared" si="77"/>
        <v>1016021</v>
      </c>
      <c r="B476" s="91" t="s">
        <v>652</v>
      </c>
      <c r="C476" s="186">
        <v>1</v>
      </c>
      <c r="D476" s="186">
        <v>2</v>
      </c>
      <c r="E476" s="165" t="s">
        <v>1050</v>
      </c>
      <c r="F476" s="179" t="s">
        <v>1053</v>
      </c>
      <c r="G476" s="186">
        <f ca="1">OFFSET(卡牌辅助配置表!$C$1,MATCH(AC476,卡牌辅助配置表!A:A,0)-1,0)</f>
        <v>0</v>
      </c>
      <c r="H476" s="186" t="e">
        <f ca="1">OFFSET(skill!$Q$1,MATCH(B476,skill!B:B,0)-1,0)</f>
        <v>#VALUE!</v>
      </c>
      <c r="I476" s="186"/>
      <c r="J476" s="186">
        <f ca="1">OFFSET(card_type!$F$1,MATCH(Q476,card_type!A:A,0)-1,0)</f>
        <v>3</v>
      </c>
      <c r="K476" s="243">
        <f ca="1">OFFSET(card_type!$G$1,MATCH(Q476,card_type!A:A,0)-1,0)</f>
        <v>2</v>
      </c>
      <c r="L476" s="157">
        <v>2</v>
      </c>
      <c r="M476" s="157">
        <v>2</v>
      </c>
      <c r="N476" s="153">
        <f t="shared" si="78"/>
        <v>21</v>
      </c>
      <c r="O476" s="157"/>
      <c r="P476" s="157"/>
      <c r="Q476" s="153">
        <f ca="1">OFFSET(card_type!$A$1,MATCH(card!B476,card_type!B:B,0)-1,0)</f>
        <v>1016</v>
      </c>
      <c r="R476" s="153">
        <v>1</v>
      </c>
      <c r="S476" s="157">
        <f ca="1">ROUND(IF(R476=0,0,IF(R476=1,X476*$S$1,IF(R476=2,X476*$S$1*buff的资质计算!$E$2,IF(R476=3,X476*$S$1*buff的资质计算!$E$3,0)))),0)*0</f>
        <v>0</v>
      </c>
      <c r="T476" s="153">
        <v>2</v>
      </c>
      <c r="U476" s="153">
        <f ca="1" t="shared" si="79"/>
        <v>32</v>
      </c>
      <c r="V476" s="153">
        <f ca="1">ROUND((OFFSET(卡牌辅助配置表!$O$1,MATCH(U476,卡牌辅助配置表!M:M,0)-1,0)+(N476-1)*OFFSET(卡牌辅助配置表!$P$1,MATCH(U476,卡牌辅助配置表!M:M,0)-1,0))*M476,2)</f>
        <v>100.04</v>
      </c>
      <c r="W476" s="157">
        <f ca="1">ROUND(IF(R476=0,0,IF(R476=1,X476*$W$1,IF(R476=2,X476*$W$1*buff的资质计算!$E$2,IF(R476=3,X476*$W$1*buff的资质计算!$E$3,0)))),2)</f>
        <v>14.4</v>
      </c>
      <c r="X476" s="157">
        <f ca="1" t="shared" si="80"/>
        <v>48</v>
      </c>
      <c r="Y476" s="157" t="e">
        <f ca="1" t="shared" si="85"/>
        <v>#VALUE!</v>
      </c>
      <c r="Z476" s="304" t="e">
        <f ca="1" t="shared" si="81"/>
        <v>#VALUE!</v>
      </c>
      <c r="AA476" s="304">
        <f ca="1">OFFSET(卡牌辅助配置表!$AD$1,MATCH(AB476,卡牌辅助配置表!AB:AB,0)-1,0)</f>
        <v>5378</v>
      </c>
      <c r="AB476" s="304">
        <f ca="1" t="shared" si="82"/>
        <v>3221</v>
      </c>
      <c r="AC476" s="153">
        <v>12</v>
      </c>
      <c r="AF476" s="153" t="str">
        <f ca="1" t="shared" si="86"/>
        <v>10160011|</v>
      </c>
      <c r="AJ476" s="205" t="str">
        <f ca="1" t="shared" si="83"/>
        <v>400023|11850|;</v>
      </c>
      <c r="AK476" s="205">
        <f ca="1">OFFSET([1]item_type!$A$1,MATCH(Q476,[1]item_type!$G:$G,0)-1,0)</f>
        <v>301016</v>
      </c>
      <c r="AL476" s="205"/>
      <c r="AM476" s="205">
        <f ca="1">IF(B476=B477,OFFSET(卡牌辅助配置表!$AE$1,MATCH(AB476,卡牌辅助配置表!AB:AB,0),0),0)</f>
        <v>11850</v>
      </c>
      <c r="AN476" s="153">
        <f ca="1" t="shared" si="84"/>
        <v>1016022</v>
      </c>
      <c r="AP476" s="153">
        <f ca="1">IF(AC476=0,0,IF(AC476=12,0,OFFSET(effect!$N$1,MATCH(K476,effect!M:M,0)-1,0)))</f>
        <v>0</v>
      </c>
      <c r="AQ476" s="153">
        <v>10</v>
      </c>
    </row>
    <row r="477" spans="1:43">
      <c r="A477" s="153">
        <f ca="1" t="shared" si="77"/>
        <v>1016022</v>
      </c>
      <c r="B477" s="91" t="s">
        <v>652</v>
      </c>
      <c r="C477" s="186">
        <v>1</v>
      </c>
      <c r="D477" s="186">
        <v>2</v>
      </c>
      <c r="E477" s="165" t="s">
        <v>1050</v>
      </c>
      <c r="F477" s="179" t="s">
        <v>1053</v>
      </c>
      <c r="G477" s="186">
        <f ca="1">OFFSET(卡牌辅助配置表!$C$1,MATCH(AC477,卡牌辅助配置表!A:A,0)-1,0)</f>
        <v>0</v>
      </c>
      <c r="H477" s="186" t="e">
        <f ca="1">OFFSET(skill!$Q$1,MATCH(B477,skill!B:B,0)-1,0)</f>
        <v>#VALUE!</v>
      </c>
      <c r="I477" s="186"/>
      <c r="J477" s="186">
        <f ca="1">OFFSET(card_type!$F$1,MATCH(Q477,card_type!A:A,0)-1,0)</f>
        <v>3</v>
      </c>
      <c r="K477" s="243">
        <f ca="1">OFFSET(card_type!$G$1,MATCH(Q477,card_type!A:A,0)-1,0)</f>
        <v>2</v>
      </c>
      <c r="L477" s="157">
        <v>2</v>
      </c>
      <c r="M477" s="157">
        <v>2</v>
      </c>
      <c r="N477" s="153">
        <f t="shared" si="78"/>
        <v>22</v>
      </c>
      <c r="O477" s="157"/>
      <c r="P477" s="157"/>
      <c r="Q477" s="153">
        <f ca="1">OFFSET(card_type!$A$1,MATCH(card!B477,card_type!B:B,0)-1,0)</f>
        <v>1016</v>
      </c>
      <c r="R477" s="153">
        <v>1</v>
      </c>
      <c r="S477" s="157">
        <f ca="1">ROUND(IF(R477=0,0,IF(R477=1,X477*$S$1,IF(R477=2,X477*$S$1*buff的资质计算!$E$2,IF(R477=3,X477*$S$1*buff的资质计算!$E$3,0)))),0)*0</f>
        <v>0</v>
      </c>
      <c r="T477" s="153">
        <v>2</v>
      </c>
      <c r="U477" s="153">
        <f ca="1" t="shared" si="79"/>
        <v>32</v>
      </c>
      <c r="V477" s="153">
        <f ca="1">ROUND((OFFSET(卡牌辅助配置表!$O$1,MATCH(U477,卡牌辅助配置表!M:M,0)-1,0)+(N477-1)*OFFSET(卡牌辅助配置表!$P$1,MATCH(U477,卡牌辅助配置表!M:M,0)-1,0))*M477,2)</f>
        <v>103.61</v>
      </c>
      <c r="W477" s="157">
        <f ca="1">ROUND(IF(R477=0,0,IF(R477=1,X477*$W$1,IF(R477=2,X477*$W$1*buff的资质计算!$E$2,IF(R477=3,X477*$W$1*buff的资质计算!$E$3,0)))),2)</f>
        <v>14.55</v>
      </c>
      <c r="X477" s="157">
        <f ca="1" t="shared" si="80"/>
        <v>48.5</v>
      </c>
      <c r="Y477" s="157" t="e">
        <f ca="1" t="shared" si="85"/>
        <v>#VALUE!</v>
      </c>
      <c r="Z477" s="304" t="e">
        <f ca="1" t="shared" si="81"/>
        <v>#VALUE!</v>
      </c>
      <c r="AA477" s="304">
        <f ca="1">OFFSET(卡牌辅助配置表!$AD$1,MATCH(AB477,卡牌辅助配置表!AB:AB,0)-1,0)</f>
        <v>5776</v>
      </c>
      <c r="AB477" s="304">
        <f ca="1" t="shared" si="82"/>
        <v>3222</v>
      </c>
      <c r="AC477" s="153">
        <v>12</v>
      </c>
      <c r="AF477" s="153" t="str">
        <f ca="1" t="shared" si="86"/>
        <v>10160011|</v>
      </c>
      <c r="AJ477" s="205" t="str">
        <f ca="1" t="shared" si="83"/>
        <v>400023|13050|;</v>
      </c>
      <c r="AK477" s="205">
        <f ca="1">OFFSET([1]item_type!$A$1,MATCH(Q477,[1]item_type!$G:$G,0)-1,0)</f>
        <v>301016</v>
      </c>
      <c r="AL477" s="205"/>
      <c r="AM477" s="205">
        <f ca="1">IF(B477=B478,OFFSET(卡牌辅助配置表!$AE$1,MATCH(AB477,卡牌辅助配置表!AB:AB,0),0),0)</f>
        <v>13050</v>
      </c>
      <c r="AN477" s="153">
        <f ca="1" t="shared" si="84"/>
        <v>1016023</v>
      </c>
      <c r="AP477" s="153">
        <f ca="1">IF(AC477=0,0,IF(AC477=12,0,OFFSET(effect!$N$1,MATCH(K477,effect!M:M,0)-1,0)))</f>
        <v>0</v>
      </c>
      <c r="AQ477" s="153">
        <v>10</v>
      </c>
    </row>
    <row r="478" spans="1:43">
      <c r="A478" s="153">
        <f ca="1" t="shared" si="77"/>
        <v>1016023</v>
      </c>
      <c r="B478" s="91" t="s">
        <v>652</v>
      </c>
      <c r="C478" s="186">
        <v>1</v>
      </c>
      <c r="D478" s="186">
        <v>2</v>
      </c>
      <c r="E478" s="165" t="s">
        <v>1050</v>
      </c>
      <c r="F478" s="179" t="s">
        <v>1053</v>
      </c>
      <c r="G478" s="186">
        <f ca="1">OFFSET(卡牌辅助配置表!$C$1,MATCH(AC478,卡牌辅助配置表!A:A,0)-1,0)</f>
        <v>0</v>
      </c>
      <c r="H478" s="186" t="e">
        <f ca="1">OFFSET(skill!$Q$1,MATCH(B478,skill!B:B,0)-1,0)</f>
        <v>#VALUE!</v>
      </c>
      <c r="I478" s="186"/>
      <c r="J478" s="186">
        <f ca="1">OFFSET(card_type!$F$1,MATCH(Q478,card_type!A:A,0)-1,0)</f>
        <v>3</v>
      </c>
      <c r="K478" s="243">
        <f ca="1">OFFSET(card_type!$G$1,MATCH(Q478,card_type!A:A,0)-1,0)</f>
        <v>2</v>
      </c>
      <c r="L478" s="157">
        <v>2</v>
      </c>
      <c r="M478" s="157">
        <v>2</v>
      </c>
      <c r="N478" s="153">
        <f t="shared" si="78"/>
        <v>23</v>
      </c>
      <c r="O478" s="157"/>
      <c r="P478" s="157"/>
      <c r="Q478" s="153">
        <f ca="1">OFFSET(card_type!$A$1,MATCH(card!B478,card_type!B:B,0)-1,0)</f>
        <v>1016</v>
      </c>
      <c r="R478" s="153">
        <v>1</v>
      </c>
      <c r="S478" s="157">
        <f ca="1">ROUND(IF(R478=0,0,IF(R478=1,X478*$S$1,IF(R478=2,X478*$S$1*buff的资质计算!$E$2,IF(R478=3,X478*$S$1*buff的资质计算!$E$3,0)))),0)*0</f>
        <v>0</v>
      </c>
      <c r="T478" s="153">
        <v>2</v>
      </c>
      <c r="U478" s="153">
        <f ca="1" t="shared" si="79"/>
        <v>32</v>
      </c>
      <c r="V478" s="153">
        <f ca="1">ROUND((OFFSET(卡牌辅助配置表!$O$1,MATCH(U478,卡牌辅助配置表!M:M,0)-1,0)+(N478-1)*OFFSET(卡牌辅助配置表!$P$1,MATCH(U478,卡牌辅助配置表!M:M,0)-1,0))*M478,2)</f>
        <v>107.18</v>
      </c>
      <c r="W478" s="157">
        <f ca="1">ROUND(IF(R478=0,0,IF(R478=1,X478*$W$1,IF(R478=2,X478*$W$1*buff的资质计算!$E$2,IF(R478=3,X478*$W$1*buff的资质计算!$E$3,0)))),2)</f>
        <v>14.7</v>
      </c>
      <c r="X478" s="157">
        <f ca="1" t="shared" si="80"/>
        <v>49</v>
      </c>
      <c r="Y478" s="157" t="e">
        <f ca="1" t="shared" si="85"/>
        <v>#VALUE!</v>
      </c>
      <c r="Z478" s="304" t="e">
        <f ca="1" t="shared" si="81"/>
        <v>#VALUE!</v>
      </c>
      <c r="AA478" s="304">
        <f ca="1">OFFSET(卡牌辅助配置表!$AD$1,MATCH(AB478,卡牌辅助配置表!AB:AB,0)-1,0)</f>
        <v>6174</v>
      </c>
      <c r="AB478" s="304">
        <f ca="1" t="shared" si="82"/>
        <v>3223</v>
      </c>
      <c r="AC478" s="153">
        <v>12</v>
      </c>
      <c r="AF478" s="153" t="str">
        <f ca="1" t="shared" si="86"/>
        <v>10160011|</v>
      </c>
      <c r="AJ478" s="205" t="str">
        <f ca="1" t="shared" si="83"/>
        <v>400023|14250|;</v>
      </c>
      <c r="AK478" s="205">
        <f ca="1">OFFSET([1]item_type!$A$1,MATCH(Q478,[1]item_type!$G:$G,0)-1,0)</f>
        <v>301016</v>
      </c>
      <c r="AL478" s="205"/>
      <c r="AM478" s="205">
        <f ca="1">IF(B478=B479,OFFSET(卡牌辅助配置表!$AE$1,MATCH(AB478,卡牌辅助配置表!AB:AB,0),0),0)</f>
        <v>14250</v>
      </c>
      <c r="AN478" s="153">
        <f ca="1" t="shared" si="84"/>
        <v>1016024</v>
      </c>
      <c r="AP478" s="153">
        <f ca="1">IF(AC478=0,0,IF(AC478=12,0,OFFSET(effect!$N$1,MATCH(K478,effect!M:M,0)-1,0)))</f>
        <v>0</v>
      </c>
      <c r="AQ478" s="153">
        <v>10</v>
      </c>
    </row>
    <row r="479" spans="1:43">
      <c r="A479" s="153">
        <f ca="1" t="shared" si="77"/>
        <v>1016024</v>
      </c>
      <c r="B479" s="91" t="s">
        <v>652</v>
      </c>
      <c r="C479" s="186">
        <v>1</v>
      </c>
      <c r="D479" s="186">
        <v>2</v>
      </c>
      <c r="E479" s="165" t="s">
        <v>1050</v>
      </c>
      <c r="F479" s="179" t="s">
        <v>1053</v>
      </c>
      <c r="G479" s="186">
        <f ca="1">OFFSET(卡牌辅助配置表!$C$1,MATCH(AC479,卡牌辅助配置表!A:A,0)-1,0)</f>
        <v>0</v>
      </c>
      <c r="H479" s="186" t="e">
        <f ca="1">OFFSET(skill!$Q$1,MATCH(B479,skill!B:B,0)-1,0)</f>
        <v>#VALUE!</v>
      </c>
      <c r="I479" s="186"/>
      <c r="J479" s="186">
        <f ca="1">OFFSET(card_type!$F$1,MATCH(Q479,card_type!A:A,0)-1,0)</f>
        <v>3</v>
      </c>
      <c r="K479" s="243">
        <f ca="1">OFFSET(card_type!$G$1,MATCH(Q479,card_type!A:A,0)-1,0)</f>
        <v>2</v>
      </c>
      <c r="L479" s="157">
        <v>2</v>
      </c>
      <c r="M479" s="157">
        <v>2</v>
      </c>
      <c r="N479" s="153">
        <f t="shared" si="78"/>
        <v>24</v>
      </c>
      <c r="O479" s="157"/>
      <c r="P479" s="157"/>
      <c r="Q479" s="153">
        <f ca="1">OFFSET(card_type!$A$1,MATCH(card!B479,card_type!B:B,0)-1,0)</f>
        <v>1016</v>
      </c>
      <c r="R479" s="153">
        <v>1</v>
      </c>
      <c r="S479" s="157">
        <f ca="1">ROUND(IF(R479=0,0,IF(R479=1,X479*$S$1,IF(R479=2,X479*$S$1*buff的资质计算!$E$2,IF(R479=3,X479*$S$1*buff的资质计算!$E$3,0)))),0)*0</f>
        <v>0</v>
      </c>
      <c r="T479" s="153">
        <v>2</v>
      </c>
      <c r="U479" s="153">
        <f ca="1" t="shared" si="79"/>
        <v>32</v>
      </c>
      <c r="V479" s="153">
        <f ca="1">ROUND((OFFSET(卡牌辅助配置表!$O$1,MATCH(U479,卡牌辅助配置表!M:M,0)-1,0)+(N479-1)*OFFSET(卡牌辅助配置表!$P$1,MATCH(U479,卡牌辅助配置表!M:M,0)-1,0))*M479,2)</f>
        <v>110.74</v>
      </c>
      <c r="W479" s="157">
        <f ca="1">ROUND(IF(R479=0,0,IF(R479=1,X479*$W$1,IF(R479=2,X479*$W$1*buff的资质计算!$E$2,IF(R479=3,X479*$W$1*buff的资质计算!$E$3,0)))),2)</f>
        <v>14.85</v>
      </c>
      <c r="X479" s="157">
        <f ca="1" t="shared" si="80"/>
        <v>49.5</v>
      </c>
      <c r="Y479" s="157" t="e">
        <f ca="1" t="shared" si="85"/>
        <v>#VALUE!</v>
      </c>
      <c r="Z479" s="304" t="e">
        <f ca="1" t="shared" si="81"/>
        <v>#VALUE!</v>
      </c>
      <c r="AA479" s="304">
        <f ca="1">OFFSET(卡牌辅助配置表!$AD$1,MATCH(AB479,卡牌辅助配置表!AB:AB,0)-1,0)</f>
        <v>6572</v>
      </c>
      <c r="AB479" s="304">
        <f ca="1" t="shared" si="82"/>
        <v>3224</v>
      </c>
      <c r="AC479" s="153">
        <v>12</v>
      </c>
      <c r="AF479" s="153" t="str">
        <f ca="1" t="shared" si="86"/>
        <v>10160011|</v>
      </c>
      <c r="AJ479" s="205" t="str">
        <f ca="1" t="shared" si="83"/>
        <v>400023|15450|;</v>
      </c>
      <c r="AK479" s="205">
        <f ca="1">OFFSET([1]item_type!$A$1,MATCH(Q479,[1]item_type!$G:$G,0)-1,0)</f>
        <v>301016</v>
      </c>
      <c r="AL479" s="205"/>
      <c r="AM479" s="205">
        <f ca="1">IF(B479=B480,OFFSET(卡牌辅助配置表!$AE$1,MATCH(AB479,卡牌辅助配置表!AB:AB,0),0),0)</f>
        <v>15450</v>
      </c>
      <c r="AN479" s="153">
        <f ca="1" t="shared" si="84"/>
        <v>1016025</v>
      </c>
      <c r="AP479" s="153">
        <f ca="1">IF(AC479=0,0,IF(AC479=12,0,OFFSET(effect!$N$1,MATCH(K479,effect!M:M,0)-1,0)))</f>
        <v>0</v>
      </c>
      <c r="AQ479" s="153">
        <v>10</v>
      </c>
    </row>
    <row r="480" spans="1:43">
      <c r="A480" s="153">
        <f ca="1" t="shared" si="77"/>
        <v>1016025</v>
      </c>
      <c r="B480" s="91" t="s">
        <v>652</v>
      </c>
      <c r="C480" s="186">
        <v>1</v>
      </c>
      <c r="D480" s="186">
        <v>2</v>
      </c>
      <c r="E480" s="165" t="s">
        <v>1050</v>
      </c>
      <c r="F480" s="179" t="s">
        <v>1053</v>
      </c>
      <c r="G480" s="186">
        <f ca="1">OFFSET(卡牌辅助配置表!$C$1,MATCH(AC480,卡牌辅助配置表!A:A,0)-1,0)</f>
        <v>0</v>
      </c>
      <c r="H480" s="186" t="e">
        <f ca="1">OFFSET(skill!$Q$1,MATCH(B480,skill!B:B,0)-1,0)</f>
        <v>#VALUE!</v>
      </c>
      <c r="I480" s="186"/>
      <c r="J480" s="186">
        <f ca="1">OFFSET(card_type!$F$1,MATCH(Q480,card_type!A:A,0)-1,0)</f>
        <v>3</v>
      </c>
      <c r="K480" s="243">
        <f ca="1">OFFSET(card_type!$G$1,MATCH(Q480,card_type!A:A,0)-1,0)</f>
        <v>2</v>
      </c>
      <c r="L480" s="157">
        <v>2</v>
      </c>
      <c r="M480" s="157">
        <v>2</v>
      </c>
      <c r="N480" s="153">
        <f t="shared" si="78"/>
        <v>25</v>
      </c>
      <c r="O480" s="157"/>
      <c r="P480" s="157"/>
      <c r="Q480" s="153">
        <f ca="1">OFFSET(card_type!$A$1,MATCH(card!B480,card_type!B:B,0)-1,0)</f>
        <v>1016</v>
      </c>
      <c r="R480" s="153">
        <v>1</v>
      </c>
      <c r="S480" s="157">
        <f ca="1">ROUND(IF(R480=0,0,IF(R480=1,X480*$S$1,IF(R480=2,X480*$S$1*buff的资质计算!$E$2,IF(R480=3,X480*$S$1*buff的资质计算!$E$3,0)))),0)*0</f>
        <v>0</v>
      </c>
      <c r="T480" s="153">
        <v>2</v>
      </c>
      <c r="U480" s="153">
        <f ca="1" t="shared" si="79"/>
        <v>32</v>
      </c>
      <c r="V480" s="153">
        <f ca="1">ROUND((OFFSET(卡牌辅助配置表!$O$1,MATCH(U480,卡牌辅助配置表!M:M,0)-1,0)+(N480-1)*OFFSET(卡牌辅助配置表!$P$1,MATCH(U480,卡牌辅助配置表!M:M,0)-1,0))*M480,2)</f>
        <v>114.31</v>
      </c>
      <c r="W480" s="157">
        <f ca="1">ROUND(IF(R480=0,0,IF(R480=1,X480*$W$1,IF(R480=2,X480*$W$1*buff的资质计算!$E$2,IF(R480=3,X480*$W$1*buff的资质计算!$E$3,0)))),2)</f>
        <v>15</v>
      </c>
      <c r="X480" s="157">
        <f ca="1" t="shared" si="80"/>
        <v>50</v>
      </c>
      <c r="Y480" s="157" t="e">
        <f ca="1" t="shared" si="85"/>
        <v>#VALUE!</v>
      </c>
      <c r="Z480" s="304" t="e">
        <f ca="1" t="shared" si="81"/>
        <v>#VALUE!</v>
      </c>
      <c r="AA480" s="304">
        <f ca="1">OFFSET(卡牌辅助配置表!$AD$1,MATCH(AB480,卡牌辅助配置表!AB:AB,0)-1,0)</f>
        <v>6970</v>
      </c>
      <c r="AB480" s="304">
        <f ca="1" t="shared" si="82"/>
        <v>3225</v>
      </c>
      <c r="AC480" s="153">
        <v>12</v>
      </c>
      <c r="AF480" s="153" t="str">
        <f ca="1" t="shared" si="86"/>
        <v>10160011|</v>
      </c>
      <c r="AJ480" s="205" t="str">
        <f ca="1" t="shared" si="83"/>
        <v>400023|16650|;</v>
      </c>
      <c r="AK480" s="205">
        <f ca="1">OFFSET([1]item_type!$A$1,MATCH(Q480,[1]item_type!$G:$G,0)-1,0)</f>
        <v>301016</v>
      </c>
      <c r="AL480" s="205"/>
      <c r="AM480" s="205">
        <f ca="1">IF(B480=B481,OFFSET(卡牌辅助配置表!$AE$1,MATCH(AB480,卡牌辅助配置表!AB:AB,0),0),0)</f>
        <v>16650</v>
      </c>
      <c r="AN480" s="153">
        <f ca="1" t="shared" si="84"/>
        <v>1016026</v>
      </c>
      <c r="AP480" s="153">
        <f ca="1">IF(AC480=0,0,IF(AC480=12,0,OFFSET(effect!$N$1,MATCH(K480,effect!M:M,0)-1,0)))</f>
        <v>0</v>
      </c>
      <c r="AQ480" s="153">
        <v>10</v>
      </c>
    </row>
    <row r="481" spans="1:43">
      <c r="A481" s="153">
        <f ca="1" t="shared" si="77"/>
        <v>1016026</v>
      </c>
      <c r="B481" s="91" t="s">
        <v>652</v>
      </c>
      <c r="C481" s="186">
        <v>1</v>
      </c>
      <c r="D481" s="186">
        <v>2</v>
      </c>
      <c r="E481" s="165" t="s">
        <v>1050</v>
      </c>
      <c r="F481" s="179" t="s">
        <v>1053</v>
      </c>
      <c r="G481" s="186">
        <f ca="1">OFFSET(卡牌辅助配置表!$C$1,MATCH(AC481,卡牌辅助配置表!A:A,0)-1,0)</f>
        <v>0</v>
      </c>
      <c r="H481" s="186" t="e">
        <f ca="1">OFFSET(skill!$Q$1,MATCH(B481,skill!B:B,0)-1,0)</f>
        <v>#VALUE!</v>
      </c>
      <c r="I481" s="186"/>
      <c r="J481" s="186">
        <f ca="1">OFFSET(card_type!$F$1,MATCH(Q481,card_type!A:A,0)-1,0)</f>
        <v>3</v>
      </c>
      <c r="K481" s="243">
        <f ca="1">OFFSET(card_type!$G$1,MATCH(Q481,card_type!A:A,0)-1,0)</f>
        <v>2</v>
      </c>
      <c r="L481" s="157">
        <v>2</v>
      </c>
      <c r="M481" s="157">
        <v>2</v>
      </c>
      <c r="N481" s="153">
        <f t="shared" si="78"/>
        <v>26</v>
      </c>
      <c r="O481" s="157"/>
      <c r="P481" s="157"/>
      <c r="Q481" s="153">
        <f ca="1">OFFSET(card_type!$A$1,MATCH(card!B481,card_type!B:B,0)-1,0)</f>
        <v>1016</v>
      </c>
      <c r="R481" s="153">
        <v>1</v>
      </c>
      <c r="S481" s="157">
        <f ca="1">ROUND(IF(R481=0,0,IF(R481=1,X481*$S$1,IF(R481=2,X481*$S$1*buff的资质计算!$E$2,IF(R481=3,X481*$S$1*buff的资质计算!$E$3,0)))),0)*0</f>
        <v>0</v>
      </c>
      <c r="T481" s="153">
        <v>2</v>
      </c>
      <c r="U481" s="153">
        <f ca="1" t="shared" si="79"/>
        <v>32</v>
      </c>
      <c r="V481" s="153">
        <f ca="1">ROUND((OFFSET(卡牌辅助配置表!$O$1,MATCH(U481,卡牌辅助配置表!M:M,0)-1,0)+(N481-1)*OFFSET(卡牌辅助配置表!$P$1,MATCH(U481,卡牌辅助配置表!M:M,0)-1,0))*M481,2)</f>
        <v>117.88</v>
      </c>
      <c r="W481" s="157">
        <f ca="1">ROUND(IF(R481=0,0,IF(R481=1,X481*$W$1,IF(R481=2,X481*$W$1*buff的资质计算!$E$2,IF(R481=3,X481*$W$1*buff的资质计算!$E$3,0)))),2)</f>
        <v>15.15</v>
      </c>
      <c r="X481" s="157">
        <f ca="1" t="shared" si="80"/>
        <v>50.5</v>
      </c>
      <c r="Y481" s="157" t="e">
        <f ca="1" t="shared" si="85"/>
        <v>#VALUE!</v>
      </c>
      <c r="Z481" s="304" t="e">
        <f ca="1" t="shared" si="81"/>
        <v>#VALUE!</v>
      </c>
      <c r="AA481" s="304">
        <f ca="1">OFFSET(卡牌辅助配置表!$AD$1,MATCH(AB481,卡牌辅助配置表!AB:AB,0)-1,0)</f>
        <v>7368</v>
      </c>
      <c r="AB481" s="304">
        <f ca="1" t="shared" si="82"/>
        <v>3226</v>
      </c>
      <c r="AC481" s="153">
        <v>12</v>
      </c>
      <c r="AF481" s="153" t="str">
        <f ca="1" t="shared" si="86"/>
        <v>10160011|</v>
      </c>
      <c r="AJ481" s="205" t="str">
        <f ca="1" t="shared" si="83"/>
        <v>400023|17850|;</v>
      </c>
      <c r="AK481" s="205">
        <f ca="1">OFFSET([1]item_type!$A$1,MATCH(Q481,[1]item_type!$G:$G,0)-1,0)</f>
        <v>301016</v>
      </c>
      <c r="AL481" s="205"/>
      <c r="AM481" s="205">
        <f ca="1">IF(B481=B482,OFFSET(卡牌辅助配置表!$AE$1,MATCH(AB481,卡牌辅助配置表!AB:AB,0),0),0)</f>
        <v>17850</v>
      </c>
      <c r="AN481" s="153">
        <f ca="1" t="shared" si="84"/>
        <v>1016027</v>
      </c>
      <c r="AP481" s="153">
        <f ca="1">IF(AC481=0,0,IF(AC481=12,0,OFFSET(effect!$N$1,MATCH(K481,effect!M:M,0)-1,0)))</f>
        <v>0</v>
      </c>
      <c r="AQ481" s="153">
        <v>10</v>
      </c>
    </row>
    <row r="482" spans="1:43">
      <c r="A482" s="153">
        <f ca="1" t="shared" si="77"/>
        <v>1016027</v>
      </c>
      <c r="B482" s="91" t="s">
        <v>652</v>
      </c>
      <c r="C482" s="186">
        <v>1</v>
      </c>
      <c r="D482" s="186">
        <v>2</v>
      </c>
      <c r="E482" s="165" t="s">
        <v>1050</v>
      </c>
      <c r="F482" s="179" t="s">
        <v>1053</v>
      </c>
      <c r="G482" s="186">
        <f ca="1">OFFSET(卡牌辅助配置表!$C$1,MATCH(AC482,卡牌辅助配置表!A:A,0)-1,0)</f>
        <v>0</v>
      </c>
      <c r="H482" s="186" t="e">
        <f ca="1">OFFSET(skill!$Q$1,MATCH(B482,skill!B:B,0)-1,0)</f>
        <v>#VALUE!</v>
      </c>
      <c r="I482" s="186"/>
      <c r="J482" s="186">
        <f ca="1">OFFSET(card_type!$F$1,MATCH(Q482,card_type!A:A,0)-1,0)</f>
        <v>3</v>
      </c>
      <c r="K482" s="243">
        <f ca="1">OFFSET(card_type!$G$1,MATCH(Q482,card_type!A:A,0)-1,0)</f>
        <v>2</v>
      </c>
      <c r="L482" s="157">
        <v>2</v>
      </c>
      <c r="M482" s="157">
        <v>2</v>
      </c>
      <c r="N482" s="153">
        <f t="shared" si="78"/>
        <v>27</v>
      </c>
      <c r="O482" s="157"/>
      <c r="P482" s="157"/>
      <c r="Q482" s="153">
        <f ca="1">OFFSET(card_type!$A$1,MATCH(card!B482,card_type!B:B,0)-1,0)</f>
        <v>1016</v>
      </c>
      <c r="R482" s="153">
        <v>1</v>
      </c>
      <c r="S482" s="157">
        <f ca="1">ROUND(IF(R482=0,0,IF(R482=1,X482*$S$1,IF(R482=2,X482*$S$1*buff的资质计算!$E$2,IF(R482=3,X482*$S$1*buff的资质计算!$E$3,0)))),0)*0</f>
        <v>0</v>
      </c>
      <c r="T482" s="153">
        <v>2</v>
      </c>
      <c r="U482" s="153">
        <f ca="1" t="shared" si="79"/>
        <v>32</v>
      </c>
      <c r="V482" s="153">
        <f ca="1">ROUND((OFFSET(卡牌辅助配置表!$O$1,MATCH(U482,卡牌辅助配置表!M:M,0)-1,0)+(N482-1)*OFFSET(卡牌辅助配置表!$P$1,MATCH(U482,卡牌辅助配置表!M:M,0)-1,0))*M482,2)</f>
        <v>121.44</v>
      </c>
      <c r="W482" s="157">
        <f ca="1">ROUND(IF(R482=0,0,IF(R482=1,X482*$W$1,IF(R482=2,X482*$W$1*buff的资质计算!$E$2,IF(R482=3,X482*$W$1*buff的资质计算!$E$3,0)))),2)</f>
        <v>15.3</v>
      </c>
      <c r="X482" s="157">
        <f ca="1" t="shared" si="80"/>
        <v>51</v>
      </c>
      <c r="Y482" s="157" t="e">
        <f ca="1" t="shared" si="85"/>
        <v>#VALUE!</v>
      </c>
      <c r="Z482" s="304" t="e">
        <f ca="1" t="shared" si="81"/>
        <v>#VALUE!</v>
      </c>
      <c r="AA482" s="304">
        <f ca="1">OFFSET(卡牌辅助配置表!$AD$1,MATCH(AB482,卡牌辅助配置表!AB:AB,0)-1,0)</f>
        <v>7766</v>
      </c>
      <c r="AB482" s="304">
        <f ca="1" t="shared" si="82"/>
        <v>3227</v>
      </c>
      <c r="AC482" s="153">
        <v>12</v>
      </c>
      <c r="AF482" s="153" t="str">
        <f ca="1" t="shared" si="86"/>
        <v>10160011|</v>
      </c>
      <c r="AJ482" s="205" t="str">
        <f ca="1" t="shared" si="83"/>
        <v>400023|19050|;</v>
      </c>
      <c r="AK482" s="205">
        <f ca="1">OFFSET([1]item_type!$A$1,MATCH(Q482,[1]item_type!$G:$G,0)-1,0)</f>
        <v>301016</v>
      </c>
      <c r="AL482" s="205"/>
      <c r="AM482" s="205">
        <f ca="1">IF(B482=B483,OFFSET(卡牌辅助配置表!$AE$1,MATCH(AB482,卡牌辅助配置表!AB:AB,0),0),0)</f>
        <v>19050</v>
      </c>
      <c r="AN482" s="153">
        <f ca="1" t="shared" si="84"/>
        <v>1016028</v>
      </c>
      <c r="AP482" s="153">
        <f ca="1">IF(AC482=0,0,IF(AC482=12,0,OFFSET(effect!$N$1,MATCH(K482,effect!M:M,0)-1,0)))</f>
        <v>0</v>
      </c>
      <c r="AQ482" s="153">
        <v>10</v>
      </c>
    </row>
    <row r="483" spans="1:43">
      <c r="A483" s="153">
        <f ca="1" t="shared" si="77"/>
        <v>1016028</v>
      </c>
      <c r="B483" s="91" t="s">
        <v>652</v>
      </c>
      <c r="C483" s="186">
        <v>1</v>
      </c>
      <c r="D483" s="186">
        <v>2</v>
      </c>
      <c r="E483" s="165" t="s">
        <v>1050</v>
      </c>
      <c r="F483" s="179" t="s">
        <v>1053</v>
      </c>
      <c r="G483" s="186">
        <f ca="1">OFFSET(卡牌辅助配置表!$C$1,MATCH(AC483,卡牌辅助配置表!A:A,0)-1,0)</f>
        <v>0</v>
      </c>
      <c r="H483" s="186" t="e">
        <f ca="1">OFFSET(skill!$Q$1,MATCH(B483,skill!B:B,0)-1,0)</f>
        <v>#VALUE!</v>
      </c>
      <c r="I483" s="186"/>
      <c r="J483" s="186">
        <f ca="1">OFFSET(card_type!$F$1,MATCH(Q483,card_type!A:A,0)-1,0)</f>
        <v>3</v>
      </c>
      <c r="K483" s="243">
        <f ca="1">OFFSET(card_type!$G$1,MATCH(Q483,card_type!A:A,0)-1,0)</f>
        <v>2</v>
      </c>
      <c r="L483" s="157">
        <v>2</v>
      </c>
      <c r="M483" s="157">
        <v>2</v>
      </c>
      <c r="N483" s="153">
        <f t="shared" si="78"/>
        <v>28</v>
      </c>
      <c r="O483" s="157"/>
      <c r="P483" s="157"/>
      <c r="Q483" s="153">
        <f ca="1">OFFSET(card_type!$A$1,MATCH(card!B483,card_type!B:B,0)-1,0)</f>
        <v>1016</v>
      </c>
      <c r="R483" s="153">
        <v>1</v>
      </c>
      <c r="S483" s="157">
        <f ca="1">ROUND(IF(R483=0,0,IF(R483=1,X483*$S$1,IF(R483=2,X483*$S$1*buff的资质计算!$E$2,IF(R483=3,X483*$S$1*buff的资质计算!$E$3,0)))),0)*0</f>
        <v>0</v>
      </c>
      <c r="T483" s="153">
        <v>2</v>
      </c>
      <c r="U483" s="153">
        <f ca="1" t="shared" si="79"/>
        <v>32</v>
      </c>
      <c r="V483" s="153">
        <f ca="1">ROUND((OFFSET(卡牌辅助配置表!$O$1,MATCH(U483,卡牌辅助配置表!M:M,0)-1,0)+(N483-1)*OFFSET(卡牌辅助配置表!$P$1,MATCH(U483,卡牌辅助配置表!M:M,0)-1,0))*M483,2)</f>
        <v>125.01</v>
      </c>
      <c r="W483" s="157">
        <f ca="1">ROUND(IF(R483=0,0,IF(R483=1,X483*$W$1,IF(R483=2,X483*$W$1*buff的资质计算!$E$2,IF(R483=3,X483*$W$1*buff的资质计算!$E$3,0)))),2)</f>
        <v>15.45</v>
      </c>
      <c r="X483" s="157">
        <f ca="1" t="shared" si="80"/>
        <v>51.5</v>
      </c>
      <c r="Y483" s="157" t="e">
        <f ca="1" t="shared" si="85"/>
        <v>#VALUE!</v>
      </c>
      <c r="Z483" s="304" t="e">
        <f ca="1" t="shared" si="81"/>
        <v>#VALUE!</v>
      </c>
      <c r="AA483" s="304">
        <f ca="1">OFFSET(卡牌辅助配置表!$AD$1,MATCH(AB483,卡牌辅助配置表!AB:AB,0)-1,0)</f>
        <v>8164</v>
      </c>
      <c r="AB483" s="304">
        <f ca="1" t="shared" si="82"/>
        <v>3228</v>
      </c>
      <c r="AC483" s="153">
        <v>12</v>
      </c>
      <c r="AF483" s="153" t="str">
        <f ca="1" t="shared" si="86"/>
        <v>10160011|</v>
      </c>
      <c r="AJ483" s="205" t="str">
        <f ca="1" t="shared" si="83"/>
        <v>400023|20250|;</v>
      </c>
      <c r="AK483" s="205">
        <f ca="1">OFFSET([1]item_type!$A$1,MATCH(Q483,[1]item_type!$G:$G,0)-1,0)</f>
        <v>301016</v>
      </c>
      <c r="AL483" s="205"/>
      <c r="AM483" s="205">
        <f ca="1">IF(B483=B484,OFFSET(卡牌辅助配置表!$AE$1,MATCH(AB483,卡牌辅助配置表!AB:AB,0),0),0)</f>
        <v>20250</v>
      </c>
      <c r="AN483" s="153">
        <f ca="1" t="shared" si="84"/>
        <v>1016029</v>
      </c>
      <c r="AP483" s="153">
        <f ca="1">IF(AC483=0,0,IF(AC483=12,0,OFFSET(effect!$N$1,MATCH(K483,effect!M:M,0)-1,0)))</f>
        <v>0</v>
      </c>
      <c r="AQ483" s="153">
        <v>10</v>
      </c>
    </row>
    <row r="484" spans="1:43">
      <c r="A484" s="153">
        <f ca="1" t="shared" si="77"/>
        <v>1016029</v>
      </c>
      <c r="B484" s="91" t="s">
        <v>652</v>
      </c>
      <c r="C484" s="186">
        <v>1</v>
      </c>
      <c r="D484" s="186">
        <v>2</v>
      </c>
      <c r="E484" s="165" t="s">
        <v>1050</v>
      </c>
      <c r="F484" s="179" t="s">
        <v>1053</v>
      </c>
      <c r="G484" s="186">
        <f ca="1">OFFSET(卡牌辅助配置表!$C$1,MATCH(AC484,卡牌辅助配置表!A:A,0)-1,0)</f>
        <v>0</v>
      </c>
      <c r="H484" s="186" t="e">
        <f ca="1">OFFSET(skill!$Q$1,MATCH(B484,skill!B:B,0)-1,0)</f>
        <v>#VALUE!</v>
      </c>
      <c r="I484" s="186"/>
      <c r="J484" s="186">
        <f ca="1">OFFSET(card_type!$F$1,MATCH(Q484,card_type!A:A,0)-1,0)</f>
        <v>3</v>
      </c>
      <c r="K484" s="243">
        <f ca="1">OFFSET(card_type!$G$1,MATCH(Q484,card_type!A:A,0)-1,0)</f>
        <v>2</v>
      </c>
      <c r="L484" s="157">
        <v>2</v>
      </c>
      <c r="M484" s="157">
        <v>2</v>
      </c>
      <c r="N484" s="153">
        <f t="shared" si="78"/>
        <v>29</v>
      </c>
      <c r="O484" s="157"/>
      <c r="P484" s="157"/>
      <c r="Q484" s="153">
        <f ca="1">OFFSET(card_type!$A$1,MATCH(card!B484,card_type!B:B,0)-1,0)</f>
        <v>1016</v>
      </c>
      <c r="R484" s="153">
        <v>1</v>
      </c>
      <c r="S484" s="157">
        <f ca="1">ROUND(IF(R484=0,0,IF(R484=1,X484*$S$1,IF(R484=2,X484*$S$1*buff的资质计算!$E$2,IF(R484=3,X484*$S$1*buff的资质计算!$E$3,0)))),0)*0</f>
        <v>0</v>
      </c>
      <c r="T484" s="153">
        <v>2</v>
      </c>
      <c r="U484" s="153">
        <f ca="1" t="shared" si="79"/>
        <v>32</v>
      </c>
      <c r="V484" s="153">
        <f ca="1">ROUND((OFFSET(卡牌辅助配置表!$O$1,MATCH(U484,卡牌辅助配置表!M:M,0)-1,0)+(N484-1)*OFFSET(卡牌辅助配置表!$P$1,MATCH(U484,卡牌辅助配置表!M:M,0)-1,0))*M484,2)</f>
        <v>128.58</v>
      </c>
      <c r="W484" s="157">
        <f ca="1">ROUND(IF(R484=0,0,IF(R484=1,X484*$W$1,IF(R484=2,X484*$W$1*buff的资质计算!$E$2,IF(R484=3,X484*$W$1*buff的资质计算!$E$3,0)))),2)</f>
        <v>15.6</v>
      </c>
      <c r="X484" s="157">
        <f ca="1" t="shared" si="80"/>
        <v>52</v>
      </c>
      <c r="Y484" s="157" t="e">
        <f ca="1" t="shared" si="85"/>
        <v>#VALUE!</v>
      </c>
      <c r="Z484" s="304" t="e">
        <f ca="1" t="shared" si="81"/>
        <v>#VALUE!</v>
      </c>
      <c r="AA484" s="304">
        <f ca="1">OFFSET(卡牌辅助配置表!$AD$1,MATCH(AB484,卡牌辅助配置表!AB:AB,0)-1,0)</f>
        <v>8562</v>
      </c>
      <c r="AB484" s="304">
        <f ca="1" t="shared" si="82"/>
        <v>3229</v>
      </c>
      <c r="AC484" s="153">
        <v>12</v>
      </c>
      <c r="AF484" s="153" t="str">
        <f ca="1" t="shared" si="86"/>
        <v>10160011|</v>
      </c>
      <c r="AJ484" s="205" t="str">
        <f ca="1" t="shared" si="83"/>
        <v>301016|30|;400023|21450|;</v>
      </c>
      <c r="AK484" s="205">
        <f ca="1">OFFSET([1]item_type!$A$1,MATCH(Q484,[1]item_type!$G:$G,0)-1,0)</f>
        <v>301016</v>
      </c>
      <c r="AL484" s="205">
        <v>30</v>
      </c>
      <c r="AM484" s="205">
        <f ca="1">IF(B484=B485,OFFSET(卡牌辅助配置表!$AE$1,MATCH(AB484,卡牌辅助配置表!AB:AB,0),0),0)</f>
        <v>21450</v>
      </c>
      <c r="AN484" s="153">
        <f ca="1" t="shared" si="84"/>
        <v>1016030</v>
      </c>
      <c r="AP484" s="153">
        <f ca="1">IF(AC484=0,0,IF(AC484=12,0,OFFSET(effect!$N$1,MATCH(K484,effect!M:M,0)-1,0)))</f>
        <v>0</v>
      </c>
      <c r="AQ484" s="153">
        <v>10</v>
      </c>
    </row>
    <row r="485" spans="1:43">
      <c r="A485" s="153">
        <f ca="1" t="shared" si="77"/>
        <v>1016030</v>
      </c>
      <c r="B485" s="91" t="s">
        <v>652</v>
      </c>
      <c r="C485" s="186">
        <v>1</v>
      </c>
      <c r="D485" s="186">
        <v>2</v>
      </c>
      <c r="E485" s="165" t="s">
        <v>1050</v>
      </c>
      <c r="F485" s="179" t="s">
        <v>1053</v>
      </c>
      <c r="G485" s="186">
        <f ca="1">OFFSET(卡牌辅助配置表!$C$1,MATCH(AC485,卡牌辅助配置表!A:A,0)-1,0)</f>
        <v>0</v>
      </c>
      <c r="H485" s="186" t="e">
        <f ca="1">OFFSET(skill!$Q$1,MATCH(B485,skill!B:B,0)-1,0)</f>
        <v>#VALUE!</v>
      </c>
      <c r="I485" s="186"/>
      <c r="J485" s="186">
        <f ca="1">OFFSET(card_type!$F$1,MATCH(Q485,card_type!A:A,0)-1,0)</f>
        <v>3</v>
      </c>
      <c r="K485" s="243">
        <f ca="1">OFFSET(card_type!$G$1,MATCH(Q485,card_type!A:A,0)-1,0)</f>
        <v>2</v>
      </c>
      <c r="L485" s="157">
        <v>2</v>
      </c>
      <c r="M485" s="157">
        <v>2</v>
      </c>
      <c r="N485" s="153">
        <f t="shared" si="78"/>
        <v>30</v>
      </c>
      <c r="O485" s="157"/>
      <c r="P485" s="157"/>
      <c r="Q485" s="153">
        <f ca="1">OFFSET(card_type!$A$1,MATCH(card!B485,card_type!B:B,0)-1,0)</f>
        <v>1016</v>
      </c>
      <c r="R485" s="153">
        <v>1</v>
      </c>
      <c r="S485" s="157">
        <f ca="1">ROUND(IF(R485=0,0,IF(R485=1,X485*$S$1,IF(R485=2,X485*$S$1*buff的资质计算!$E$2,IF(R485=3,X485*$S$1*buff的资质计算!$E$3,0)))),0)*0</f>
        <v>0</v>
      </c>
      <c r="T485" s="153">
        <v>2</v>
      </c>
      <c r="U485" s="153">
        <f ca="1" t="shared" si="79"/>
        <v>32</v>
      </c>
      <c r="V485" s="153">
        <f ca="1">ROUND((OFFSET(卡牌辅助配置表!$O$1,MATCH(U485,卡牌辅助配置表!M:M,0)-1,0)+(N485-1)*OFFSET(卡牌辅助配置表!$P$1,MATCH(U485,卡牌辅助配置表!M:M,0)-1,0))*M485,2)</f>
        <v>132.14</v>
      </c>
      <c r="W485" s="157">
        <f ca="1">ROUND(IF(R485=0,0,IF(R485=1,X485*$W$1,IF(R485=2,X485*$W$1*buff的资质计算!$E$2,IF(R485=3,X485*$W$1*buff的资质计算!$E$3,0)))),2)</f>
        <v>15.75</v>
      </c>
      <c r="X485" s="157">
        <f ca="1" t="shared" si="80"/>
        <v>52.5</v>
      </c>
      <c r="Y485" s="157" t="e">
        <f ca="1" t="shared" si="85"/>
        <v>#VALUE!</v>
      </c>
      <c r="Z485" s="304" t="e">
        <f ca="1" t="shared" si="81"/>
        <v>#VALUE!</v>
      </c>
      <c r="AA485" s="304">
        <f ca="1">OFFSET(卡牌辅助配置表!$AD$1,MATCH(AB485,卡牌辅助配置表!AB:AB,0)-1,0)</f>
        <v>8960</v>
      </c>
      <c r="AB485" s="304">
        <f ca="1" t="shared" si="82"/>
        <v>3230</v>
      </c>
      <c r="AC485" s="153">
        <v>12</v>
      </c>
      <c r="AF485" s="153" t="str">
        <f ca="1" t="shared" si="86"/>
        <v>10160011|</v>
      </c>
      <c r="AJ485" s="205">
        <f ca="1" t="shared" si="83"/>
        <v>0</v>
      </c>
      <c r="AK485" s="205">
        <f ca="1">OFFSET([1]item_type!$A$1,MATCH(Q485,[1]item_type!$G:$G,0)-1,0)</f>
        <v>301016</v>
      </c>
      <c r="AL485" s="205"/>
      <c r="AM485" s="205">
        <f ca="1">IF(B485=B486,OFFSET(卡牌辅助配置表!$AE$1,MATCH(AB485,卡牌辅助配置表!AB:AB,0),0),0)</f>
        <v>0</v>
      </c>
      <c r="AN485" s="153">
        <f ca="1" t="shared" si="84"/>
        <v>0</v>
      </c>
      <c r="AP485" s="153">
        <f ca="1">IF(AC485=0,0,IF(AC485=12,0,OFFSET(effect!$N$1,MATCH(K485,effect!M:M,0)-1,0)))</f>
        <v>0</v>
      </c>
      <c r="AQ485" s="153">
        <v>10</v>
      </c>
    </row>
    <row r="486" spans="1:42">
      <c r="A486" s="153">
        <f ca="1" t="shared" si="77"/>
        <v>1017001</v>
      </c>
      <c r="B486" s="91" t="s">
        <v>480</v>
      </c>
      <c r="C486" s="186">
        <v>1</v>
      </c>
      <c r="D486" s="186">
        <v>4</v>
      </c>
      <c r="E486" s="165" t="s">
        <v>1050</v>
      </c>
      <c r="F486" s="179" t="s">
        <v>1054</v>
      </c>
      <c r="G486" s="186">
        <f ca="1">OFFSET(卡牌辅助配置表!$C$1,MATCH(AC486,卡牌辅助配置表!A:A,0)-1,0)</f>
        <v>0</v>
      </c>
      <c r="H486" s="186">
        <f ca="1">OFFSET(skill!$Q$1,MATCH(B486,skill!B:B,0)-1,0)</f>
        <v>5</v>
      </c>
      <c r="I486" s="186"/>
      <c r="J486" s="186">
        <f ca="1">OFFSET(card_type!$F$1,MATCH(Q486,card_type!A:A,0)-1,0)</f>
        <v>3</v>
      </c>
      <c r="K486" s="243">
        <f ca="1">OFFSET(card_type!$G$1,MATCH(Q486,card_type!A:A,0)-1,0)</f>
        <v>2</v>
      </c>
      <c r="L486" s="157">
        <v>2</v>
      </c>
      <c r="M486" s="157">
        <v>2</v>
      </c>
      <c r="N486" s="153">
        <f t="shared" si="78"/>
        <v>1</v>
      </c>
      <c r="O486" s="157"/>
      <c r="P486" s="157"/>
      <c r="Q486" s="153">
        <f ca="1">OFFSET(card_type!$A$1,MATCH(card!B486,card_type!B:B,0)-1,0)</f>
        <v>1017</v>
      </c>
      <c r="R486" s="153">
        <v>1</v>
      </c>
      <c r="S486" s="157">
        <f ca="1">ROUND(IF(R486=0,0,IF(R486=1,X486*$S$1,IF(R486=2,X486*$S$1*buff的资质计算!$E$2,IF(R486=3,X486*$S$1*buff的资质计算!$E$3,0)))),0)*0</f>
        <v>0</v>
      </c>
      <c r="T486" s="153">
        <v>4</v>
      </c>
      <c r="U486" s="153">
        <f ca="1" t="shared" si="79"/>
        <v>32</v>
      </c>
      <c r="V486" s="153">
        <f ca="1">ROUND((OFFSET(卡牌辅助配置表!$O$1,MATCH(U486,卡牌辅助配置表!M:M,0)-1,0)+(N486-1)*OFFSET(卡牌辅助配置表!$P$1,MATCH(U486,卡牌辅助配置表!M:M,0)-1,0))*M486,2)</f>
        <v>28.71</v>
      </c>
      <c r="W486" s="157">
        <f ca="1">ROUND(IF(R486=0,0,IF(R486=1,X486*$W$1,IF(R486=2,X486*$W$1*buff的资质计算!$E$2,IF(R486=3,X486*$W$1*buff的资质计算!$E$3,0)))),2)</f>
        <v>11.4</v>
      </c>
      <c r="X486" s="157">
        <f ca="1" t="shared" si="80"/>
        <v>38</v>
      </c>
      <c r="Y486" s="157">
        <f ca="1" t="shared" si="85"/>
        <v>43</v>
      </c>
      <c r="Z486" s="304">
        <f ca="1" t="shared" si="81"/>
        <v>21.5</v>
      </c>
      <c r="AA486" s="304">
        <f ca="1">OFFSET(卡牌辅助配置表!$AD$1,MATCH(AB486,卡牌辅助配置表!AB:AB,0)-1,0)</f>
        <v>199</v>
      </c>
      <c r="AB486" s="304">
        <f ca="1" t="shared" si="82"/>
        <v>3201</v>
      </c>
      <c r="AC486" s="153">
        <v>12</v>
      </c>
      <c r="AF486" s="153" t="str">
        <f ca="1" t="shared" si="86"/>
        <v>10170011|</v>
      </c>
      <c r="AJ486" s="205" t="str">
        <f ca="1" t="shared" si="83"/>
        <v>400023|1050|;</v>
      </c>
      <c r="AK486" s="205">
        <f ca="1">OFFSET([1]item_type!$A$1,MATCH(Q486,[1]item_type!$G:$G,0)-1,0)</f>
        <v>301017</v>
      </c>
      <c r="AL486" s="205"/>
      <c r="AM486" s="205">
        <f ca="1">IF(B486=B487,OFFSET(卡牌辅助配置表!$AE$1,MATCH(AB486,卡牌辅助配置表!AB:AB,0),0),0)</f>
        <v>1050</v>
      </c>
      <c r="AN486" s="153">
        <f ca="1" t="shared" si="84"/>
        <v>1017002</v>
      </c>
      <c r="AP486" s="153">
        <f ca="1">IF(AC486=0,0,IF(AC486=12,0,OFFSET(effect!$N$1,MATCH(K486,effect!M:M,0)-1,0)))</f>
        <v>0</v>
      </c>
    </row>
    <row r="487" spans="1:42">
      <c r="A487" s="153">
        <f ca="1" t="shared" si="77"/>
        <v>1017002</v>
      </c>
      <c r="B487" s="91" t="s">
        <v>480</v>
      </c>
      <c r="C487" s="186">
        <v>1</v>
      </c>
      <c r="D487" s="186">
        <v>4</v>
      </c>
      <c r="E487" s="165" t="s">
        <v>1050</v>
      </c>
      <c r="F487" s="179" t="s">
        <v>1054</v>
      </c>
      <c r="G487" s="186">
        <f ca="1">OFFSET(卡牌辅助配置表!$C$1,MATCH(AC487,卡牌辅助配置表!A:A,0)-1,0)</f>
        <v>0</v>
      </c>
      <c r="H487" s="186">
        <f ca="1">OFFSET(skill!$Q$1,MATCH(B487,skill!B:B,0)-1,0)</f>
        <v>5</v>
      </c>
      <c r="I487" s="186"/>
      <c r="J487" s="186">
        <f ca="1">OFFSET(card_type!$F$1,MATCH(Q487,card_type!A:A,0)-1,0)</f>
        <v>3</v>
      </c>
      <c r="K487" s="243">
        <f ca="1">OFFSET(card_type!$G$1,MATCH(Q487,card_type!A:A,0)-1,0)</f>
        <v>2</v>
      </c>
      <c r="L487" s="157">
        <v>2</v>
      </c>
      <c r="M487" s="157">
        <v>2</v>
      </c>
      <c r="N487" s="153">
        <f t="shared" si="78"/>
        <v>2</v>
      </c>
      <c r="O487" s="157"/>
      <c r="P487" s="157"/>
      <c r="Q487" s="153">
        <f ca="1">OFFSET(card_type!$A$1,MATCH(card!B487,card_type!B:B,0)-1,0)</f>
        <v>1017</v>
      </c>
      <c r="R487" s="153">
        <v>1</v>
      </c>
      <c r="S487" s="157">
        <f ca="1">ROUND(IF(R487=0,0,IF(R487=1,X487*$S$1,IF(R487=2,X487*$S$1*buff的资质计算!$E$2,IF(R487=3,X487*$S$1*buff的资质计算!$E$3,0)))),0)*0</f>
        <v>0</v>
      </c>
      <c r="T487" s="153">
        <v>4</v>
      </c>
      <c r="U487" s="153">
        <f ca="1" t="shared" si="79"/>
        <v>32</v>
      </c>
      <c r="V487" s="153">
        <f ca="1">ROUND((OFFSET(卡牌辅助配置表!$O$1,MATCH(U487,卡牌辅助配置表!M:M,0)-1,0)+(N487-1)*OFFSET(卡牌辅助配置表!$P$1,MATCH(U487,卡牌辅助配置表!M:M,0)-1,0))*M487,2)</f>
        <v>32.28</v>
      </c>
      <c r="W487" s="157">
        <f ca="1">ROUND(IF(R487=0,0,IF(R487=1,X487*$W$1,IF(R487=2,X487*$W$1*buff的资质计算!$E$2,IF(R487=3,X487*$W$1*buff的资质计算!$E$3,0)))),2)</f>
        <v>11.55</v>
      </c>
      <c r="X487" s="157">
        <f ca="1" t="shared" si="80"/>
        <v>38.5</v>
      </c>
      <c r="Y487" s="157">
        <f ca="1" t="shared" si="85"/>
        <v>43.5</v>
      </c>
      <c r="Z487" s="304">
        <f ca="1" t="shared" si="81"/>
        <v>21.75</v>
      </c>
      <c r="AA487" s="304">
        <f ca="1">OFFSET(卡牌辅助配置表!$AD$1,MATCH(AB487,卡牌辅助配置表!AB:AB,0)-1,0)</f>
        <v>398</v>
      </c>
      <c r="AB487" s="304">
        <f ca="1" t="shared" si="82"/>
        <v>3202</v>
      </c>
      <c r="AC487" s="153">
        <v>12</v>
      </c>
      <c r="AF487" s="153" t="str">
        <f ca="1" t="shared" si="86"/>
        <v>10170011|</v>
      </c>
      <c r="AJ487" s="205" t="str">
        <f ca="1" t="shared" si="83"/>
        <v>400023|1350|;</v>
      </c>
      <c r="AK487" s="205">
        <f ca="1">OFFSET([1]item_type!$A$1,MATCH(Q487,[1]item_type!$G:$G,0)-1,0)</f>
        <v>301017</v>
      </c>
      <c r="AL487" s="205"/>
      <c r="AM487" s="205">
        <f ca="1">IF(B487=B488,OFFSET(卡牌辅助配置表!$AE$1,MATCH(AB487,卡牌辅助配置表!AB:AB,0),0),0)</f>
        <v>1350</v>
      </c>
      <c r="AN487" s="153">
        <f ca="1" t="shared" si="84"/>
        <v>1017003</v>
      </c>
      <c r="AP487" s="153">
        <f ca="1">IF(AC487=0,0,IF(AC487=12,0,OFFSET(effect!$N$1,MATCH(K487,effect!M:M,0)-1,0)))</f>
        <v>0</v>
      </c>
    </row>
    <row r="488" spans="1:42">
      <c r="A488" s="153">
        <f ca="1" t="shared" si="77"/>
        <v>1017003</v>
      </c>
      <c r="B488" s="91" t="s">
        <v>480</v>
      </c>
      <c r="C488" s="186">
        <v>1</v>
      </c>
      <c r="D488" s="186">
        <v>4</v>
      </c>
      <c r="E488" s="165" t="s">
        <v>1050</v>
      </c>
      <c r="F488" s="179" t="s">
        <v>1054</v>
      </c>
      <c r="G488" s="186">
        <f ca="1">OFFSET(卡牌辅助配置表!$C$1,MATCH(AC488,卡牌辅助配置表!A:A,0)-1,0)</f>
        <v>0</v>
      </c>
      <c r="H488" s="186">
        <f ca="1">OFFSET(skill!$Q$1,MATCH(B488,skill!B:B,0)-1,0)</f>
        <v>5</v>
      </c>
      <c r="I488" s="186"/>
      <c r="J488" s="186">
        <f ca="1">OFFSET(card_type!$F$1,MATCH(Q488,card_type!A:A,0)-1,0)</f>
        <v>3</v>
      </c>
      <c r="K488" s="243">
        <f ca="1">OFFSET(card_type!$G$1,MATCH(Q488,card_type!A:A,0)-1,0)</f>
        <v>2</v>
      </c>
      <c r="L488" s="157">
        <v>2</v>
      </c>
      <c r="M488" s="157">
        <v>2</v>
      </c>
      <c r="N488" s="153">
        <f t="shared" si="78"/>
        <v>3</v>
      </c>
      <c r="O488" s="157"/>
      <c r="P488" s="157"/>
      <c r="Q488" s="153">
        <f ca="1">OFFSET(card_type!$A$1,MATCH(card!B488,card_type!B:B,0)-1,0)</f>
        <v>1017</v>
      </c>
      <c r="R488" s="153">
        <v>1</v>
      </c>
      <c r="S488" s="157">
        <f ca="1">ROUND(IF(R488=0,0,IF(R488=1,X488*$S$1,IF(R488=2,X488*$S$1*buff的资质计算!$E$2,IF(R488=3,X488*$S$1*buff的资质计算!$E$3,0)))),0)*0</f>
        <v>0</v>
      </c>
      <c r="T488" s="153">
        <v>4</v>
      </c>
      <c r="U488" s="153">
        <f ca="1" t="shared" si="79"/>
        <v>32</v>
      </c>
      <c r="V488" s="153">
        <f ca="1">ROUND((OFFSET(卡牌辅助配置表!$O$1,MATCH(U488,卡牌辅助配置表!M:M,0)-1,0)+(N488-1)*OFFSET(卡牌辅助配置表!$P$1,MATCH(U488,卡牌辅助配置表!M:M,0)-1,0))*M488,2)</f>
        <v>35.84</v>
      </c>
      <c r="W488" s="157">
        <f ca="1">ROUND(IF(R488=0,0,IF(R488=1,X488*$W$1,IF(R488=2,X488*$W$1*buff的资质计算!$E$2,IF(R488=3,X488*$W$1*buff的资质计算!$E$3,0)))),2)</f>
        <v>11.7</v>
      </c>
      <c r="X488" s="157">
        <f ca="1" t="shared" si="80"/>
        <v>39</v>
      </c>
      <c r="Y488" s="157">
        <f ca="1" t="shared" si="85"/>
        <v>44</v>
      </c>
      <c r="Z488" s="304">
        <f ca="1" t="shared" si="81"/>
        <v>22</v>
      </c>
      <c r="AA488" s="304">
        <f ca="1">OFFSET(卡牌辅助配置表!$AD$1,MATCH(AB488,卡牌辅助配置表!AB:AB,0)-1,0)</f>
        <v>597</v>
      </c>
      <c r="AB488" s="304">
        <f ca="1" t="shared" si="82"/>
        <v>3203</v>
      </c>
      <c r="AC488" s="153">
        <v>12</v>
      </c>
      <c r="AF488" s="153" t="str">
        <f ca="1" t="shared" si="86"/>
        <v>10170011|</v>
      </c>
      <c r="AJ488" s="205" t="str">
        <f ca="1" t="shared" si="83"/>
        <v>400023|1650|;</v>
      </c>
      <c r="AK488" s="205">
        <f ca="1">OFFSET([1]item_type!$A$1,MATCH(Q488,[1]item_type!$G:$G,0)-1,0)</f>
        <v>301017</v>
      </c>
      <c r="AL488" s="205"/>
      <c r="AM488" s="205">
        <f ca="1">IF(B488=B489,OFFSET(卡牌辅助配置表!$AE$1,MATCH(AB488,卡牌辅助配置表!AB:AB,0),0),0)</f>
        <v>1650</v>
      </c>
      <c r="AN488" s="153">
        <f ca="1" t="shared" si="84"/>
        <v>1017004</v>
      </c>
      <c r="AP488" s="153">
        <f ca="1">IF(AC488=0,0,IF(AC488=12,0,OFFSET(effect!$N$1,MATCH(K488,effect!M:M,0)-1,0)))</f>
        <v>0</v>
      </c>
    </row>
    <row r="489" spans="1:42">
      <c r="A489" s="153">
        <f ca="1" t="shared" si="77"/>
        <v>1017004</v>
      </c>
      <c r="B489" s="91" t="s">
        <v>480</v>
      </c>
      <c r="C489" s="186">
        <v>1</v>
      </c>
      <c r="D489" s="186">
        <v>4</v>
      </c>
      <c r="E489" s="165" t="s">
        <v>1050</v>
      </c>
      <c r="F489" s="179" t="s">
        <v>1054</v>
      </c>
      <c r="G489" s="186">
        <f ca="1">OFFSET(卡牌辅助配置表!$C$1,MATCH(AC489,卡牌辅助配置表!A:A,0)-1,0)</f>
        <v>0</v>
      </c>
      <c r="H489" s="186">
        <f ca="1">OFFSET(skill!$Q$1,MATCH(B489,skill!B:B,0)-1,0)</f>
        <v>5</v>
      </c>
      <c r="I489" s="186"/>
      <c r="J489" s="186">
        <f ca="1">OFFSET(card_type!$F$1,MATCH(Q489,card_type!A:A,0)-1,0)</f>
        <v>3</v>
      </c>
      <c r="K489" s="243">
        <f ca="1">OFFSET(card_type!$G$1,MATCH(Q489,card_type!A:A,0)-1,0)</f>
        <v>2</v>
      </c>
      <c r="L489" s="157">
        <v>2</v>
      </c>
      <c r="M489" s="157">
        <v>2</v>
      </c>
      <c r="N489" s="153">
        <f t="shared" si="78"/>
        <v>4</v>
      </c>
      <c r="O489" s="157"/>
      <c r="P489" s="157"/>
      <c r="Q489" s="153">
        <f ca="1">OFFSET(card_type!$A$1,MATCH(card!B489,card_type!B:B,0)-1,0)</f>
        <v>1017</v>
      </c>
      <c r="R489" s="153">
        <v>1</v>
      </c>
      <c r="S489" s="157">
        <f ca="1">ROUND(IF(R489=0,0,IF(R489=1,X489*$S$1,IF(R489=2,X489*$S$1*buff的资质计算!$E$2,IF(R489=3,X489*$S$1*buff的资质计算!$E$3,0)))),0)*0</f>
        <v>0</v>
      </c>
      <c r="T489" s="153">
        <v>4</v>
      </c>
      <c r="U489" s="153">
        <f ca="1" t="shared" si="79"/>
        <v>32</v>
      </c>
      <c r="V489" s="153">
        <f ca="1">ROUND((OFFSET(卡牌辅助配置表!$O$1,MATCH(U489,卡牌辅助配置表!M:M,0)-1,0)+(N489-1)*OFFSET(卡牌辅助配置表!$P$1,MATCH(U489,卡牌辅助配置表!M:M,0)-1,0))*M489,2)</f>
        <v>39.41</v>
      </c>
      <c r="W489" s="157">
        <f ca="1">ROUND(IF(R489=0,0,IF(R489=1,X489*$W$1,IF(R489=2,X489*$W$1*buff的资质计算!$E$2,IF(R489=3,X489*$W$1*buff的资质计算!$E$3,0)))),2)</f>
        <v>11.85</v>
      </c>
      <c r="X489" s="157">
        <f ca="1" t="shared" si="80"/>
        <v>39.5</v>
      </c>
      <c r="Y489" s="157">
        <f ca="1" t="shared" si="85"/>
        <v>44.5</v>
      </c>
      <c r="Z489" s="304">
        <f ca="1" t="shared" si="81"/>
        <v>22.25</v>
      </c>
      <c r="AA489" s="304">
        <f ca="1">OFFSET(卡牌辅助配置表!$AD$1,MATCH(AB489,卡牌辅助配置表!AB:AB,0)-1,0)</f>
        <v>796</v>
      </c>
      <c r="AB489" s="304">
        <f ca="1" t="shared" si="82"/>
        <v>3204</v>
      </c>
      <c r="AC489" s="153">
        <v>12</v>
      </c>
      <c r="AF489" s="153" t="str">
        <f ca="1" t="shared" si="86"/>
        <v>10170011|</v>
      </c>
      <c r="AJ489" s="205" t="str">
        <f ca="1" t="shared" si="83"/>
        <v>400023|1950|;</v>
      </c>
      <c r="AK489" s="205">
        <f ca="1">OFFSET([1]item_type!$A$1,MATCH(Q489,[1]item_type!$G:$G,0)-1,0)</f>
        <v>301017</v>
      </c>
      <c r="AL489" s="205"/>
      <c r="AM489" s="205">
        <f ca="1">IF(B489=B490,OFFSET(卡牌辅助配置表!$AE$1,MATCH(AB489,卡牌辅助配置表!AB:AB,0),0),0)</f>
        <v>1950</v>
      </c>
      <c r="AN489" s="153">
        <f ca="1" t="shared" si="84"/>
        <v>1017005</v>
      </c>
      <c r="AP489" s="153">
        <f ca="1">IF(AC489=0,0,IF(AC489=12,0,OFFSET(effect!$N$1,MATCH(K489,effect!M:M,0)-1,0)))</f>
        <v>0</v>
      </c>
    </row>
    <row r="490" spans="1:42">
      <c r="A490" s="153">
        <f ca="1" t="shared" si="77"/>
        <v>1017005</v>
      </c>
      <c r="B490" s="91" t="s">
        <v>480</v>
      </c>
      <c r="C490" s="186">
        <v>1</v>
      </c>
      <c r="D490" s="186">
        <v>4</v>
      </c>
      <c r="E490" s="165" t="s">
        <v>1050</v>
      </c>
      <c r="F490" s="179" t="s">
        <v>1054</v>
      </c>
      <c r="G490" s="186">
        <f ca="1">OFFSET(卡牌辅助配置表!$C$1,MATCH(AC490,卡牌辅助配置表!A:A,0)-1,0)</f>
        <v>0</v>
      </c>
      <c r="H490" s="186">
        <f ca="1">OFFSET(skill!$Q$1,MATCH(B490,skill!B:B,0)-1,0)</f>
        <v>5</v>
      </c>
      <c r="I490" s="186"/>
      <c r="J490" s="186">
        <f ca="1">OFFSET(card_type!$F$1,MATCH(Q490,card_type!A:A,0)-1,0)</f>
        <v>3</v>
      </c>
      <c r="K490" s="243">
        <f ca="1">OFFSET(card_type!$G$1,MATCH(Q490,card_type!A:A,0)-1,0)</f>
        <v>2</v>
      </c>
      <c r="L490" s="157">
        <v>2</v>
      </c>
      <c r="M490" s="157">
        <v>2</v>
      </c>
      <c r="N490" s="153">
        <f t="shared" si="78"/>
        <v>5</v>
      </c>
      <c r="O490" s="157"/>
      <c r="P490" s="157"/>
      <c r="Q490" s="153">
        <f ca="1">OFFSET(card_type!$A$1,MATCH(card!B490,card_type!B:B,0)-1,0)</f>
        <v>1017</v>
      </c>
      <c r="R490" s="153">
        <v>1</v>
      </c>
      <c r="S490" s="157">
        <f ca="1">ROUND(IF(R490=0,0,IF(R490=1,X490*$S$1,IF(R490=2,X490*$S$1*buff的资质计算!$E$2,IF(R490=3,X490*$S$1*buff的资质计算!$E$3,0)))),0)*0</f>
        <v>0</v>
      </c>
      <c r="T490" s="153">
        <v>4</v>
      </c>
      <c r="U490" s="153">
        <f ca="1" t="shared" si="79"/>
        <v>32</v>
      </c>
      <c r="V490" s="153">
        <f ca="1">ROUND((OFFSET(卡牌辅助配置表!$O$1,MATCH(U490,卡牌辅助配置表!M:M,0)-1,0)+(N490-1)*OFFSET(卡牌辅助配置表!$P$1,MATCH(U490,卡牌辅助配置表!M:M,0)-1,0))*M490,2)</f>
        <v>42.98</v>
      </c>
      <c r="W490" s="157">
        <f ca="1">ROUND(IF(R490=0,0,IF(R490=1,X490*$W$1,IF(R490=2,X490*$W$1*buff的资质计算!$E$2,IF(R490=3,X490*$W$1*buff的资质计算!$E$3,0)))),2)</f>
        <v>12</v>
      </c>
      <c r="X490" s="157">
        <f ca="1" t="shared" si="80"/>
        <v>40</v>
      </c>
      <c r="Y490" s="157">
        <f ca="1" t="shared" si="85"/>
        <v>45</v>
      </c>
      <c r="Z490" s="304">
        <f ca="1" t="shared" si="81"/>
        <v>22.5</v>
      </c>
      <c r="AA490" s="304">
        <f ca="1">OFFSET(卡牌辅助配置表!$AD$1,MATCH(AB490,卡牌辅助配置表!AB:AB,0)-1,0)</f>
        <v>995</v>
      </c>
      <c r="AB490" s="304">
        <f ca="1" t="shared" si="82"/>
        <v>3205</v>
      </c>
      <c r="AC490" s="153">
        <v>12</v>
      </c>
      <c r="AF490" s="153" t="str">
        <f ca="1" t="shared" si="86"/>
        <v>10170011|</v>
      </c>
      <c r="AJ490" s="205" t="str">
        <f ca="1" t="shared" si="83"/>
        <v>400023|2250|;</v>
      </c>
      <c r="AK490" s="205">
        <f ca="1">OFFSET([1]item_type!$A$1,MATCH(Q490,[1]item_type!$G:$G,0)-1,0)</f>
        <v>301017</v>
      </c>
      <c r="AL490" s="205"/>
      <c r="AM490" s="205">
        <f ca="1">IF(B490=B491,OFFSET(卡牌辅助配置表!$AE$1,MATCH(AB490,卡牌辅助配置表!AB:AB,0),0),0)</f>
        <v>2250</v>
      </c>
      <c r="AN490" s="153">
        <f ca="1" t="shared" si="84"/>
        <v>1017006</v>
      </c>
      <c r="AP490" s="153">
        <f ca="1">IF(AC490=0,0,IF(AC490=12,0,OFFSET(effect!$N$1,MATCH(K490,effect!M:M,0)-1,0)))</f>
        <v>0</v>
      </c>
    </row>
    <row r="491" spans="1:42">
      <c r="A491" s="153">
        <f ca="1" t="shared" si="77"/>
        <v>1017006</v>
      </c>
      <c r="B491" s="91" t="s">
        <v>480</v>
      </c>
      <c r="C491" s="186">
        <v>1</v>
      </c>
      <c r="D491" s="186">
        <v>4</v>
      </c>
      <c r="E491" s="165" t="s">
        <v>1050</v>
      </c>
      <c r="F491" s="179" t="s">
        <v>1054</v>
      </c>
      <c r="G491" s="186">
        <f ca="1">OFFSET(卡牌辅助配置表!$C$1,MATCH(AC491,卡牌辅助配置表!A:A,0)-1,0)</f>
        <v>0</v>
      </c>
      <c r="H491" s="186">
        <f ca="1">OFFSET(skill!$Q$1,MATCH(B491,skill!B:B,0)-1,0)</f>
        <v>5</v>
      </c>
      <c r="I491" s="186"/>
      <c r="J491" s="186">
        <f ca="1">OFFSET(card_type!$F$1,MATCH(Q491,card_type!A:A,0)-1,0)</f>
        <v>3</v>
      </c>
      <c r="K491" s="243">
        <f ca="1">OFFSET(card_type!$G$1,MATCH(Q491,card_type!A:A,0)-1,0)</f>
        <v>2</v>
      </c>
      <c r="L491" s="157">
        <v>2</v>
      </c>
      <c r="M491" s="157">
        <v>2</v>
      </c>
      <c r="N491" s="153">
        <f t="shared" si="78"/>
        <v>6</v>
      </c>
      <c r="O491" s="157"/>
      <c r="P491" s="157"/>
      <c r="Q491" s="153">
        <f ca="1">OFFSET(card_type!$A$1,MATCH(card!B491,card_type!B:B,0)-1,0)</f>
        <v>1017</v>
      </c>
      <c r="R491" s="153">
        <v>1</v>
      </c>
      <c r="S491" s="157">
        <f ca="1">ROUND(IF(R491=0,0,IF(R491=1,X491*$S$1,IF(R491=2,X491*$S$1*buff的资质计算!$E$2,IF(R491=3,X491*$S$1*buff的资质计算!$E$3,0)))),0)*0</f>
        <v>0</v>
      </c>
      <c r="T491" s="153">
        <v>4</v>
      </c>
      <c r="U491" s="153">
        <f ca="1" t="shared" si="79"/>
        <v>32</v>
      </c>
      <c r="V491" s="153">
        <f ca="1">ROUND((OFFSET(卡牌辅助配置表!$O$1,MATCH(U491,卡牌辅助配置表!M:M,0)-1,0)+(N491-1)*OFFSET(卡牌辅助配置表!$P$1,MATCH(U491,卡牌辅助配置表!M:M,0)-1,0))*M491,2)</f>
        <v>46.54</v>
      </c>
      <c r="W491" s="157">
        <f ca="1">ROUND(IF(R491=0,0,IF(R491=1,X491*$W$1,IF(R491=2,X491*$W$1*buff的资质计算!$E$2,IF(R491=3,X491*$W$1*buff的资质计算!$E$3,0)))),2)</f>
        <v>12.15</v>
      </c>
      <c r="X491" s="157">
        <f ca="1" t="shared" si="80"/>
        <v>40.5</v>
      </c>
      <c r="Y491" s="157">
        <f ca="1" t="shared" si="85"/>
        <v>45.5</v>
      </c>
      <c r="Z491" s="304">
        <f ca="1" t="shared" si="81"/>
        <v>22.75</v>
      </c>
      <c r="AA491" s="304">
        <f ca="1">OFFSET(卡牌辅助配置表!$AD$1,MATCH(AB491,卡牌辅助配置表!AB:AB,0)-1,0)</f>
        <v>1194</v>
      </c>
      <c r="AB491" s="304">
        <f ca="1" t="shared" si="82"/>
        <v>3206</v>
      </c>
      <c r="AC491" s="153">
        <v>12</v>
      </c>
      <c r="AF491" s="153" t="str">
        <f ca="1" t="shared" si="86"/>
        <v>10170011|</v>
      </c>
      <c r="AJ491" s="205" t="str">
        <f ca="1" t="shared" si="83"/>
        <v>400023|2550|;</v>
      </c>
      <c r="AK491" s="205">
        <f ca="1">OFFSET([1]item_type!$A$1,MATCH(Q491,[1]item_type!$G:$G,0)-1,0)</f>
        <v>301017</v>
      </c>
      <c r="AL491" s="205"/>
      <c r="AM491" s="205">
        <f ca="1">IF(B491=B492,OFFSET(卡牌辅助配置表!$AE$1,MATCH(AB491,卡牌辅助配置表!AB:AB,0),0),0)</f>
        <v>2550</v>
      </c>
      <c r="AN491" s="153">
        <f ca="1" t="shared" si="84"/>
        <v>1017007</v>
      </c>
      <c r="AP491" s="153">
        <f ca="1">IF(AC491=0,0,IF(AC491=12,0,OFFSET(effect!$N$1,MATCH(K491,effect!M:M,0)-1,0)))</f>
        <v>0</v>
      </c>
    </row>
    <row r="492" spans="1:42">
      <c r="A492" s="153">
        <f ca="1" t="shared" si="77"/>
        <v>1017007</v>
      </c>
      <c r="B492" s="91" t="s">
        <v>480</v>
      </c>
      <c r="C492" s="186">
        <v>1</v>
      </c>
      <c r="D492" s="186">
        <v>4</v>
      </c>
      <c r="E492" s="165" t="s">
        <v>1050</v>
      </c>
      <c r="F492" s="179" t="s">
        <v>1054</v>
      </c>
      <c r="G492" s="186">
        <f ca="1">OFFSET(卡牌辅助配置表!$C$1,MATCH(AC492,卡牌辅助配置表!A:A,0)-1,0)</f>
        <v>0</v>
      </c>
      <c r="H492" s="186">
        <f ca="1">OFFSET(skill!$Q$1,MATCH(B492,skill!B:B,0)-1,0)</f>
        <v>5</v>
      </c>
      <c r="I492" s="186"/>
      <c r="J492" s="186">
        <f ca="1">OFFSET(card_type!$F$1,MATCH(Q492,card_type!A:A,0)-1,0)</f>
        <v>3</v>
      </c>
      <c r="K492" s="243">
        <f ca="1">OFFSET(card_type!$G$1,MATCH(Q492,card_type!A:A,0)-1,0)</f>
        <v>2</v>
      </c>
      <c r="L492" s="157">
        <v>2</v>
      </c>
      <c r="M492" s="157">
        <v>2</v>
      </c>
      <c r="N492" s="153">
        <f t="shared" si="78"/>
        <v>7</v>
      </c>
      <c r="O492" s="157"/>
      <c r="P492" s="157"/>
      <c r="Q492" s="153">
        <f ca="1">OFFSET(card_type!$A$1,MATCH(card!B492,card_type!B:B,0)-1,0)</f>
        <v>1017</v>
      </c>
      <c r="R492" s="153">
        <v>1</v>
      </c>
      <c r="S492" s="157">
        <f ca="1">ROUND(IF(R492=0,0,IF(R492=1,X492*$S$1,IF(R492=2,X492*$S$1*buff的资质计算!$E$2,IF(R492=3,X492*$S$1*buff的资质计算!$E$3,0)))),0)*0</f>
        <v>0</v>
      </c>
      <c r="T492" s="153">
        <v>4</v>
      </c>
      <c r="U492" s="153">
        <f ca="1" t="shared" si="79"/>
        <v>32</v>
      </c>
      <c r="V492" s="153">
        <f ca="1">ROUND((OFFSET(卡牌辅助配置表!$O$1,MATCH(U492,卡牌辅助配置表!M:M,0)-1,0)+(N492-1)*OFFSET(卡牌辅助配置表!$P$1,MATCH(U492,卡牌辅助配置表!M:M,0)-1,0))*M492,2)</f>
        <v>50.11</v>
      </c>
      <c r="W492" s="157">
        <f ca="1">ROUND(IF(R492=0,0,IF(R492=1,X492*$W$1,IF(R492=2,X492*$W$1*buff的资质计算!$E$2,IF(R492=3,X492*$W$1*buff的资质计算!$E$3,0)))),2)</f>
        <v>12.3</v>
      </c>
      <c r="X492" s="157">
        <f ca="1" t="shared" si="80"/>
        <v>41</v>
      </c>
      <c r="Y492" s="157">
        <f ca="1" t="shared" si="85"/>
        <v>46</v>
      </c>
      <c r="Z492" s="304">
        <f ca="1" t="shared" si="81"/>
        <v>23</v>
      </c>
      <c r="AA492" s="304">
        <f ca="1">OFFSET(卡牌辅助配置表!$AD$1,MATCH(AB492,卡牌辅助配置表!AB:AB,0)-1,0)</f>
        <v>1393</v>
      </c>
      <c r="AB492" s="304">
        <f ca="1" t="shared" si="82"/>
        <v>3207</v>
      </c>
      <c r="AC492" s="153">
        <v>12</v>
      </c>
      <c r="AF492" s="153" t="str">
        <f ca="1" t="shared" si="86"/>
        <v>10170011|</v>
      </c>
      <c r="AJ492" s="205" t="str">
        <f ca="1" t="shared" si="83"/>
        <v>400023|2850|;</v>
      </c>
      <c r="AK492" s="205">
        <f ca="1">OFFSET([1]item_type!$A$1,MATCH(Q492,[1]item_type!$G:$G,0)-1,0)</f>
        <v>301017</v>
      </c>
      <c r="AL492" s="205"/>
      <c r="AM492" s="205">
        <f ca="1">IF(B492=B493,OFFSET(卡牌辅助配置表!$AE$1,MATCH(AB492,卡牌辅助配置表!AB:AB,0),0),0)</f>
        <v>2850</v>
      </c>
      <c r="AN492" s="153">
        <f ca="1" t="shared" si="84"/>
        <v>1017008</v>
      </c>
      <c r="AP492" s="153">
        <f ca="1">IF(AC492=0,0,IF(AC492=12,0,OFFSET(effect!$N$1,MATCH(K492,effect!M:M,0)-1,0)))</f>
        <v>0</v>
      </c>
    </row>
    <row r="493" spans="1:42">
      <c r="A493" s="153">
        <f ca="1" t="shared" si="77"/>
        <v>1017008</v>
      </c>
      <c r="B493" s="91" t="s">
        <v>480</v>
      </c>
      <c r="C493" s="186">
        <v>1</v>
      </c>
      <c r="D493" s="186">
        <v>4</v>
      </c>
      <c r="E493" s="165" t="s">
        <v>1050</v>
      </c>
      <c r="F493" s="179" t="s">
        <v>1054</v>
      </c>
      <c r="G493" s="186">
        <f ca="1">OFFSET(卡牌辅助配置表!$C$1,MATCH(AC493,卡牌辅助配置表!A:A,0)-1,0)</f>
        <v>0</v>
      </c>
      <c r="H493" s="186">
        <f ca="1">OFFSET(skill!$Q$1,MATCH(B493,skill!B:B,0)-1,0)</f>
        <v>5</v>
      </c>
      <c r="I493" s="186"/>
      <c r="J493" s="186">
        <f ca="1">OFFSET(card_type!$F$1,MATCH(Q493,card_type!A:A,0)-1,0)</f>
        <v>3</v>
      </c>
      <c r="K493" s="243">
        <f ca="1">OFFSET(card_type!$G$1,MATCH(Q493,card_type!A:A,0)-1,0)</f>
        <v>2</v>
      </c>
      <c r="L493" s="157">
        <v>2</v>
      </c>
      <c r="M493" s="157">
        <v>2</v>
      </c>
      <c r="N493" s="153">
        <f t="shared" si="78"/>
        <v>8</v>
      </c>
      <c r="O493" s="157"/>
      <c r="P493" s="157"/>
      <c r="Q493" s="153">
        <f ca="1">OFFSET(card_type!$A$1,MATCH(card!B493,card_type!B:B,0)-1,0)</f>
        <v>1017</v>
      </c>
      <c r="R493" s="153">
        <v>1</v>
      </c>
      <c r="S493" s="157">
        <f ca="1">ROUND(IF(R493=0,0,IF(R493=1,X493*$S$1,IF(R493=2,X493*$S$1*buff的资质计算!$E$2,IF(R493=3,X493*$S$1*buff的资质计算!$E$3,0)))),0)*0</f>
        <v>0</v>
      </c>
      <c r="T493" s="153">
        <v>4</v>
      </c>
      <c r="U493" s="153">
        <f ca="1" t="shared" si="79"/>
        <v>32</v>
      </c>
      <c r="V493" s="153">
        <f ca="1">ROUND((OFFSET(卡牌辅助配置表!$O$1,MATCH(U493,卡牌辅助配置表!M:M,0)-1,0)+(N493-1)*OFFSET(卡牌辅助配置表!$P$1,MATCH(U493,卡牌辅助配置表!M:M,0)-1,0))*M493,2)</f>
        <v>53.68</v>
      </c>
      <c r="W493" s="157">
        <f ca="1">ROUND(IF(R493=0,0,IF(R493=1,X493*$W$1,IF(R493=2,X493*$W$1*buff的资质计算!$E$2,IF(R493=3,X493*$W$1*buff的资质计算!$E$3,0)))),2)</f>
        <v>12.45</v>
      </c>
      <c r="X493" s="157">
        <f ca="1" t="shared" si="80"/>
        <v>41.5</v>
      </c>
      <c r="Y493" s="157">
        <f ca="1" t="shared" si="85"/>
        <v>46.5</v>
      </c>
      <c r="Z493" s="304">
        <f ca="1" t="shared" si="81"/>
        <v>23.25</v>
      </c>
      <c r="AA493" s="304">
        <f ca="1">OFFSET(卡牌辅助配置表!$AD$1,MATCH(AB493,卡牌辅助配置表!AB:AB,0)-1,0)</f>
        <v>1592</v>
      </c>
      <c r="AB493" s="304">
        <f ca="1" t="shared" si="82"/>
        <v>3208</v>
      </c>
      <c r="AC493" s="153">
        <v>12</v>
      </c>
      <c r="AF493" s="153" t="str">
        <f ca="1" t="shared" si="86"/>
        <v>10170011|</v>
      </c>
      <c r="AJ493" s="205" t="str">
        <f ca="1" t="shared" si="83"/>
        <v>400023|3150|;</v>
      </c>
      <c r="AK493" s="205">
        <f ca="1">OFFSET([1]item_type!$A$1,MATCH(Q493,[1]item_type!$G:$G,0)-1,0)</f>
        <v>301017</v>
      </c>
      <c r="AL493" s="205"/>
      <c r="AM493" s="205">
        <f ca="1">IF(B493=B494,OFFSET(卡牌辅助配置表!$AE$1,MATCH(AB493,卡牌辅助配置表!AB:AB,0),0),0)</f>
        <v>3150</v>
      </c>
      <c r="AN493" s="153">
        <f ca="1" t="shared" si="84"/>
        <v>1017009</v>
      </c>
      <c r="AP493" s="153">
        <f ca="1">IF(AC493=0,0,IF(AC493=12,0,OFFSET(effect!$N$1,MATCH(K493,effect!M:M,0)-1,0)))</f>
        <v>0</v>
      </c>
    </row>
    <row r="494" spans="1:42">
      <c r="A494" s="153">
        <f ca="1" t="shared" si="77"/>
        <v>1017009</v>
      </c>
      <c r="B494" s="91" t="s">
        <v>480</v>
      </c>
      <c r="C494" s="186">
        <v>1</v>
      </c>
      <c r="D494" s="186">
        <v>4</v>
      </c>
      <c r="E494" s="165" t="s">
        <v>1050</v>
      </c>
      <c r="F494" s="179" t="s">
        <v>1054</v>
      </c>
      <c r="G494" s="186">
        <f ca="1">OFFSET(卡牌辅助配置表!$C$1,MATCH(AC494,卡牌辅助配置表!A:A,0)-1,0)</f>
        <v>0</v>
      </c>
      <c r="H494" s="186">
        <f ca="1">OFFSET(skill!$Q$1,MATCH(B494,skill!B:B,0)-1,0)</f>
        <v>5</v>
      </c>
      <c r="I494" s="186"/>
      <c r="J494" s="186">
        <f ca="1">OFFSET(card_type!$F$1,MATCH(Q494,card_type!A:A,0)-1,0)</f>
        <v>3</v>
      </c>
      <c r="K494" s="243">
        <f ca="1">OFFSET(card_type!$G$1,MATCH(Q494,card_type!A:A,0)-1,0)</f>
        <v>2</v>
      </c>
      <c r="L494" s="157">
        <v>2</v>
      </c>
      <c r="M494" s="157">
        <v>2</v>
      </c>
      <c r="N494" s="153">
        <f t="shared" si="78"/>
        <v>9</v>
      </c>
      <c r="O494" s="157"/>
      <c r="P494" s="157"/>
      <c r="Q494" s="153">
        <f ca="1">OFFSET(card_type!$A$1,MATCH(card!B494,card_type!B:B,0)-1,0)</f>
        <v>1017</v>
      </c>
      <c r="R494" s="153">
        <v>1</v>
      </c>
      <c r="S494" s="157">
        <f ca="1">ROUND(IF(R494=0,0,IF(R494=1,X494*$S$1,IF(R494=2,X494*$S$1*buff的资质计算!$E$2,IF(R494=3,X494*$S$1*buff的资质计算!$E$3,0)))),0)*0</f>
        <v>0</v>
      </c>
      <c r="T494" s="153">
        <v>4</v>
      </c>
      <c r="U494" s="153">
        <f ca="1" t="shared" si="79"/>
        <v>32</v>
      </c>
      <c r="V494" s="153">
        <f ca="1">ROUND((OFFSET(卡牌辅助配置表!$O$1,MATCH(U494,卡牌辅助配置表!M:M,0)-1,0)+(N494-1)*OFFSET(卡牌辅助配置表!$P$1,MATCH(U494,卡牌辅助配置表!M:M,0)-1,0))*M494,2)</f>
        <v>57.24</v>
      </c>
      <c r="W494" s="157">
        <f ca="1">ROUND(IF(R494=0,0,IF(R494=1,X494*$W$1,IF(R494=2,X494*$W$1*buff的资质计算!$E$2,IF(R494=3,X494*$W$1*buff的资质计算!$E$3,0)))),2)</f>
        <v>12.6</v>
      </c>
      <c r="X494" s="157">
        <f ca="1" t="shared" si="80"/>
        <v>42</v>
      </c>
      <c r="Y494" s="157">
        <f ca="1" t="shared" si="85"/>
        <v>47</v>
      </c>
      <c r="Z494" s="304">
        <f ca="1" t="shared" si="81"/>
        <v>23.5</v>
      </c>
      <c r="AA494" s="304">
        <f ca="1">OFFSET(卡牌辅助配置表!$AD$1,MATCH(AB494,卡牌辅助配置表!AB:AB,0)-1,0)</f>
        <v>1791</v>
      </c>
      <c r="AB494" s="304">
        <f ca="1" t="shared" si="82"/>
        <v>3209</v>
      </c>
      <c r="AC494" s="153">
        <v>12</v>
      </c>
      <c r="AF494" s="153" t="str">
        <f ca="1" t="shared" si="86"/>
        <v>10170011|</v>
      </c>
      <c r="AJ494" s="205" t="str">
        <f ca="1" t="shared" si="83"/>
        <v>301017|15|;400023|3450|;</v>
      </c>
      <c r="AK494" s="205">
        <f ca="1">OFFSET([1]item_type!$A$1,MATCH(Q494,[1]item_type!$G:$G,0)-1,0)</f>
        <v>301017</v>
      </c>
      <c r="AL494" s="205">
        <v>15</v>
      </c>
      <c r="AM494" s="205">
        <f ca="1">IF(B494=B495,OFFSET(卡牌辅助配置表!$AE$1,MATCH(AB494,卡牌辅助配置表!AB:AB,0),0),0)</f>
        <v>3450</v>
      </c>
      <c r="AN494" s="153">
        <f ca="1" t="shared" si="84"/>
        <v>1017010</v>
      </c>
      <c r="AP494" s="153">
        <f ca="1">IF(AC494=0,0,IF(AC494=12,0,OFFSET(effect!$N$1,MATCH(K494,effect!M:M,0)-1,0)))</f>
        <v>0</v>
      </c>
    </row>
    <row r="495" spans="1:42">
      <c r="A495" s="153">
        <f ca="1" t="shared" si="77"/>
        <v>1017010</v>
      </c>
      <c r="B495" s="91" t="s">
        <v>480</v>
      </c>
      <c r="C495" s="186">
        <v>1</v>
      </c>
      <c r="D495" s="186">
        <v>4</v>
      </c>
      <c r="E495" s="165" t="s">
        <v>1050</v>
      </c>
      <c r="F495" s="179" t="s">
        <v>1054</v>
      </c>
      <c r="G495" s="186">
        <f ca="1">OFFSET(卡牌辅助配置表!$C$1,MATCH(AC495,卡牌辅助配置表!A:A,0)-1,0)</f>
        <v>0</v>
      </c>
      <c r="H495" s="186">
        <f ca="1">OFFSET(skill!$Q$1,MATCH(B495,skill!B:B,0)-1,0)</f>
        <v>5</v>
      </c>
      <c r="I495" s="186"/>
      <c r="J495" s="186">
        <f ca="1">OFFSET(card_type!$F$1,MATCH(Q495,card_type!A:A,0)-1,0)</f>
        <v>3</v>
      </c>
      <c r="K495" s="243">
        <f ca="1">OFFSET(card_type!$G$1,MATCH(Q495,card_type!A:A,0)-1,0)</f>
        <v>2</v>
      </c>
      <c r="L495" s="157">
        <v>2</v>
      </c>
      <c r="M495" s="157">
        <v>2</v>
      </c>
      <c r="N495" s="153">
        <f t="shared" si="78"/>
        <v>10</v>
      </c>
      <c r="O495" s="157"/>
      <c r="P495" s="157"/>
      <c r="Q495" s="153">
        <f ca="1">OFFSET(card_type!$A$1,MATCH(card!B495,card_type!B:B,0)-1,0)</f>
        <v>1017</v>
      </c>
      <c r="R495" s="153">
        <v>1</v>
      </c>
      <c r="S495" s="157">
        <f ca="1">ROUND(IF(R495=0,0,IF(R495=1,X495*$S$1,IF(R495=2,X495*$S$1*buff的资质计算!$E$2,IF(R495=3,X495*$S$1*buff的资质计算!$E$3,0)))),0)*0</f>
        <v>0</v>
      </c>
      <c r="T495" s="153">
        <v>4</v>
      </c>
      <c r="U495" s="153">
        <f ca="1" t="shared" si="79"/>
        <v>32</v>
      </c>
      <c r="V495" s="153">
        <f ca="1">ROUND((OFFSET(卡牌辅助配置表!$O$1,MATCH(U495,卡牌辅助配置表!M:M,0)-1,0)+(N495-1)*OFFSET(卡牌辅助配置表!$P$1,MATCH(U495,卡牌辅助配置表!M:M,0)-1,0))*M495,2)</f>
        <v>60.81</v>
      </c>
      <c r="W495" s="157">
        <f ca="1">ROUND(IF(R495=0,0,IF(R495=1,X495*$W$1,IF(R495=2,X495*$W$1*buff的资质计算!$E$2,IF(R495=3,X495*$W$1*buff的资质计算!$E$3,0)))),2)</f>
        <v>12.75</v>
      </c>
      <c r="X495" s="157">
        <f ca="1" t="shared" si="80"/>
        <v>42.5</v>
      </c>
      <c r="Y495" s="157">
        <f ca="1" t="shared" si="85"/>
        <v>47.5</v>
      </c>
      <c r="Z495" s="304">
        <f ca="1" t="shared" si="81"/>
        <v>23.75</v>
      </c>
      <c r="AA495" s="304">
        <f ca="1">OFFSET(卡牌辅助配置表!$AD$1,MATCH(AB495,卡牌辅助配置表!AB:AB,0)-1,0)</f>
        <v>1990</v>
      </c>
      <c r="AB495" s="304">
        <f ca="1" t="shared" si="82"/>
        <v>3210</v>
      </c>
      <c r="AC495" s="153">
        <v>12</v>
      </c>
      <c r="AF495" s="153" t="str">
        <f ca="1" t="shared" si="86"/>
        <v>10170011|</v>
      </c>
      <c r="AJ495" s="205" t="str">
        <f ca="1" t="shared" si="83"/>
        <v>400023|4050|;</v>
      </c>
      <c r="AK495" s="205">
        <f ca="1">OFFSET([1]item_type!$A$1,MATCH(Q495,[1]item_type!$G:$G,0)-1,0)</f>
        <v>301017</v>
      </c>
      <c r="AL495" s="205"/>
      <c r="AM495" s="205">
        <f ca="1">IF(B495=B496,OFFSET(卡牌辅助配置表!$AE$1,MATCH(AB495,卡牌辅助配置表!AB:AB,0),0),0)</f>
        <v>4050</v>
      </c>
      <c r="AN495" s="153">
        <f ca="1" t="shared" si="84"/>
        <v>1017011</v>
      </c>
      <c r="AP495" s="153">
        <f ca="1">IF(AC495=0,0,IF(AC495=12,0,OFFSET(effect!$N$1,MATCH(K495,effect!M:M,0)-1,0)))</f>
        <v>0</v>
      </c>
    </row>
    <row r="496" spans="1:42">
      <c r="A496" s="153">
        <f ca="1" t="shared" si="77"/>
        <v>1017011</v>
      </c>
      <c r="B496" s="91" t="s">
        <v>480</v>
      </c>
      <c r="C496" s="186">
        <v>1</v>
      </c>
      <c r="D496" s="186">
        <v>4</v>
      </c>
      <c r="E496" s="165" t="s">
        <v>1050</v>
      </c>
      <c r="F496" s="179" t="s">
        <v>1054</v>
      </c>
      <c r="G496" s="186">
        <f ca="1">OFFSET(卡牌辅助配置表!$C$1,MATCH(AC496,卡牌辅助配置表!A:A,0)-1,0)</f>
        <v>0</v>
      </c>
      <c r="H496" s="186">
        <f ca="1">OFFSET(skill!$Q$1,MATCH(B496,skill!B:B,0)-1,0)</f>
        <v>5</v>
      </c>
      <c r="I496" s="186"/>
      <c r="J496" s="186">
        <f ca="1">OFFSET(card_type!$F$1,MATCH(Q496,card_type!A:A,0)-1,0)</f>
        <v>3</v>
      </c>
      <c r="K496" s="243">
        <f ca="1">OFFSET(card_type!$G$1,MATCH(Q496,card_type!A:A,0)-1,0)</f>
        <v>2</v>
      </c>
      <c r="L496" s="157">
        <v>2</v>
      </c>
      <c r="M496" s="157">
        <v>2</v>
      </c>
      <c r="N496" s="153">
        <f t="shared" si="78"/>
        <v>11</v>
      </c>
      <c r="O496" s="157"/>
      <c r="P496" s="157"/>
      <c r="Q496" s="153">
        <f ca="1">OFFSET(card_type!$A$1,MATCH(card!B496,card_type!B:B,0)-1,0)</f>
        <v>1017</v>
      </c>
      <c r="R496" s="153">
        <v>1</v>
      </c>
      <c r="S496" s="157">
        <f ca="1">ROUND(IF(R496=0,0,IF(R496=1,X496*$S$1,IF(R496=2,X496*$S$1*buff的资质计算!$E$2,IF(R496=3,X496*$S$1*buff的资质计算!$E$3,0)))),0)*0</f>
        <v>0</v>
      </c>
      <c r="T496" s="153">
        <v>4</v>
      </c>
      <c r="U496" s="153">
        <f ca="1" t="shared" si="79"/>
        <v>32</v>
      </c>
      <c r="V496" s="153">
        <f ca="1">ROUND((OFFSET(卡牌辅助配置表!$O$1,MATCH(U496,卡牌辅助配置表!M:M,0)-1,0)+(N496-1)*OFFSET(卡牌辅助配置表!$P$1,MATCH(U496,卡牌辅助配置表!M:M,0)-1,0))*M496,2)</f>
        <v>64.38</v>
      </c>
      <c r="W496" s="157">
        <f ca="1">ROUND(IF(R496=0,0,IF(R496=1,X496*$W$1,IF(R496=2,X496*$W$1*buff的资质计算!$E$2,IF(R496=3,X496*$W$1*buff的资质计算!$E$3,0)))),2)</f>
        <v>12.9</v>
      </c>
      <c r="X496" s="157">
        <f ca="1" t="shared" si="80"/>
        <v>43</v>
      </c>
      <c r="Y496" s="157">
        <f ca="1" t="shared" si="85"/>
        <v>48</v>
      </c>
      <c r="Z496" s="304">
        <f ca="1" t="shared" si="81"/>
        <v>24</v>
      </c>
      <c r="AA496" s="304">
        <f ca="1">OFFSET(卡牌辅助配置表!$AD$1,MATCH(AB496,卡牌辅助配置表!AB:AB,0)-1,0)</f>
        <v>2289</v>
      </c>
      <c r="AB496" s="304">
        <f ca="1" t="shared" si="82"/>
        <v>3211</v>
      </c>
      <c r="AC496" s="153">
        <v>12</v>
      </c>
      <c r="AF496" s="153" t="str">
        <f ca="1" t="shared" si="86"/>
        <v>10170011|</v>
      </c>
      <c r="AJ496" s="205" t="str">
        <f ca="1" t="shared" si="83"/>
        <v>400023|4650|;</v>
      </c>
      <c r="AK496" s="205">
        <f ca="1">OFFSET([1]item_type!$A$1,MATCH(Q496,[1]item_type!$G:$G,0)-1,0)</f>
        <v>301017</v>
      </c>
      <c r="AL496" s="205"/>
      <c r="AM496" s="205">
        <f ca="1">IF(B496=B497,OFFSET(卡牌辅助配置表!$AE$1,MATCH(AB496,卡牌辅助配置表!AB:AB,0),0),0)</f>
        <v>4650</v>
      </c>
      <c r="AN496" s="153">
        <f ca="1" t="shared" si="84"/>
        <v>1017012</v>
      </c>
      <c r="AP496" s="153">
        <f ca="1">IF(AC496=0,0,IF(AC496=12,0,OFFSET(effect!$N$1,MATCH(K496,effect!M:M,0)-1,0)))</f>
        <v>0</v>
      </c>
    </row>
    <row r="497" spans="1:42">
      <c r="A497" s="153">
        <f ca="1" t="shared" si="77"/>
        <v>1017012</v>
      </c>
      <c r="B497" s="91" t="s">
        <v>480</v>
      </c>
      <c r="C497" s="186">
        <v>1</v>
      </c>
      <c r="D497" s="186">
        <v>4</v>
      </c>
      <c r="E497" s="165" t="s">
        <v>1050</v>
      </c>
      <c r="F497" s="179" t="s">
        <v>1054</v>
      </c>
      <c r="G497" s="186">
        <f ca="1">OFFSET(卡牌辅助配置表!$C$1,MATCH(AC497,卡牌辅助配置表!A:A,0)-1,0)</f>
        <v>0</v>
      </c>
      <c r="H497" s="186">
        <f ca="1">OFFSET(skill!$Q$1,MATCH(B497,skill!B:B,0)-1,0)</f>
        <v>5</v>
      </c>
      <c r="I497" s="186"/>
      <c r="J497" s="186">
        <f ca="1">OFFSET(card_type!$F$1,MATCH(Q497,card_type!A:A,0)-1,0)</f>
        <v>3</v>
      </c>
      <c r="K497" s="243">
        <f ca="1">OFFSET(card_type!$G$1,MATCH(Q497,card_type!A:A,0)-1,0)</f>
        <v>2</v>
      </c>
      <c r="L497" s="157">
        <v>2</v>
      </c>
      <c r="M497" s="157">
        <v>2</v>
      </c>
      <c r="N497" s="153">
        <f t="shared" si="78"/>
        <v>12</v>
      </c>
      <c r="O497" s="157"/>
      <c r="P497" s="157"/>
      <c r="Q497" s="153">
        <f ca="1">OFFSET(card_type!$A$1,MATCH(card!B497,card_type!B:B,0)-1,0)</f>
        <v>1017</v>
      </c>
      <c r="R497" s="153">
        <v>1</v>
      </c>
      <c r="S497" s="157">
        <f ca="1">ROUND(IF(R497=0,0,IF(R497=1,X497*$S$1,IF(R497=2,X497*$S$1*buff的资质计算!$E$2,IF(R497=3,X497*$S$1*buff的资质计算!$E$3,0)))),0)*0</f>
        <v>0</v>
      </c>
      <c r="T497" s="153">
        <v>4</v>
      </c>
      <c r="U497" s="153">
        <f ca="1" t="shared" si="79"/>
        <v>32</v>
      </c>
      <c r="V497" s="153">
        <f ca="1">ROUND((OFFSET(卡牌辅助配置表!$O$1,MATCH(U497,卡牌辅助配置表!M:M,0)-1,0)+(N497-1)*OFFSET(卡牌辅助配置表!$P$1,MATCH(U497,卡牌辅助配置表!M:M,0)-1,0))*M497,2)</f>
        <v>67.94</v>
      </c>
      <c r="W497" s="157">
        <f ca="1">ROUND(IF(R497=0,0,IF(R497=1,X497*$W$1,IF(R497=2,X497*$W$1*buff的资质计算!$E$2,IF(R497=3,X497*$W$1*buff的资质计算!$E$3,0)))),2)</f>
        <v>13.05</v>
      </c>
      <c r="X497" s="157">
        <f ca="1" t="shared" si="80"/>
        <v>43.5</v>
      </c>
      <c r="Y497" s="157">
        <f ca="1" t="shared" si="85"/>
        <v>48.5</v>
      </c>
      <c r="Z497" s="304">
        <f ca="1" t="shared" si="81"/>
        <v>24.25</v>
      </c>
      <c r="AA497" s="304">
        <f ca="1">OFFSET(卡牌辅助配置表!$AD$1,MATCH(AB497,卡牌辅助配置表!AB:AB,0)-1,0)</f>
        <v>2588</v>
      </c>
      <c r="AB497" s="304">
        <f ca="1" t="shared" si="82"/>
        <v>3212</v>
      </c>
      <c r="AC497" s="153">
        <v>12</v>
      </c>
      <c r="AF497" s="153" t="str">
        <f ca="1" t="shared" si="86"/>
        <v>10170011|</v>
      </c>
      <c r="AJ497" s="205" t="str">
        <f ca="1" t="shared" si="83"/>
        <v>400023|5250|;</v>
      </c>
      <c r="AK497" s="205">
        <f ca="1">OFFSET([1]item_type!$A$1,MATCH(Q497,[1]item_type!$G:$G,0)-1,0)</f>
        <v>301017</v>
      </c>
      <c r="AL497" s="205"/>
      <c r="AM497" s="205">
        <f ca="1">IF(B497=B498,OFFSET(卡牌辅助配置表!$AE$1,MATCH(AB497,卡牌辅助配置表!AB:AB,0),0),0)</f>
        <v>5250</v>
      </c>
      <c r="AN497" s="153">
        <f ca="1" t="shared" si="84"/>
        <v>1017013</v>
      </c>
      <c r="AP497" s="153">
        <f ca="1">IF(AC497=0,0,IF(AC497=12,0,OFFSET(effect!$N$1,MATCH(K497,effect!M:M,0)-1,0)))</f>
        <v>0</v>
      </c>
    </row>
    <row r="498" spans="1:42">
      <c r="A498" s="153">
        <f ca="1" t="shared" si="77"/>
        <v>1017013</v>
      </c>
      <c r="B498" s="91" t="s">
        <v>480</v>
      </c>
      <c r="C498" s="186">
        <v>1</v>
      </c>
      <c r="D498" s="186">
        <v>4</v>
      </c>
      <c r="E498" s="165" t="s">
        <v>1050</v>
      </c>
      <c r="F498" s="179" t="s">
        <v>1054</v>
      </c>
      <c r="G498" s="186">
        <f ca="1">OFFSET(卡牌辅助配置表!$C$1,MATCH(AC498,卡牌辅助配置表!A:A,0)-1,0)</f>
        <v>0</v>
      </c>
      <c r="H498" s="186">
        <f ca="1">OFFSET(skill!$Q$1,MATCH(B498,skill!B:B,0)-1,0)</f>
        <v>5</v>
      </c>
      <c r="I498" s="186"/>
      <c r="J498" s="186">
        <f ca="1">OFFSET(card_type!$F$1,MATCH(Q498,card_type!A:A,0)-1,0)</f>
        <v>3</v>
      </c>
      <c r="K498" s="243">
        <f ca="1">OFFSET(card_type!$G$1,MATCH(Q498,card_type!A:A,0)-1,0)</f>
        <v>2</v>
      </c>
      <c r="L498" s="157">
        <v>2</v>
      </c>
      <c r="M498" s="157">
        <v>2</v>
      </c>
      <c r="N498" s="153">
        <f t="shared" si="78"/>
        <v>13</v>
      </c>
      <c r="O498" s="157"/>
      <c r="P498" s="157"/>
      <c r="Q498" s="153">
        <f ca="1">OFFSET(card_type!$A$1,MATCH(card!B498,card_type!B:B,0)-1,0)</f>
        <v>1017</v>
      </c>
      <c r="R498" s="153">
        <v>1</v>
      </c>
      <c r="S498" s="157">
        <f ca="1">ROUND(IF(R498=0,0,IF(R498=1,X498*$S$1,IF(R498=2,X498*$S$1*buff的资质计算!$E$2,IF(R498=3,X498*$S$1*buff的资质计算!$E$3,0)))),0)*0</f>
        <v>0</v>
      </c>
      <c r="T498" s="153">
        <v>4</v>
      </c>
      <c r="U498" s="153">
        <f ca="1" t="shared" si="79"/>
        <v>32</v>
      </c>
      <c r="V498" s="153">
        <f ca="1">ROUND((OFFSET(卡牌辅助配置表!$O$1,MATCH(U498,卡牌辅助配置表!M:M,0)-1,0)+(N498-1)*OFFSET(卡牌辅助配置表!$P$1,MATCH(U498,卡牌辅助配置表!M:M,0)-1,0))*M498,2)</f>
        <v>71.51</v>
      </c>
      <c r="W498" s="157">
        <f ca="1">ROUND(IF(R498=0,0,IF(R498=1,X498*$W$1,IF(R498=2,X498*$W$1*buff的资质计算!$E$2,IF(R498=3,X498*$W$1*buff的资质计算!$E$3,0)))),2)</f>
        <v>13.2</v>
      </c>
      <c r="X498" s="157">
        <f ca="1" t="shared" si="80"/>
        <v>44</v>
      </c>
      <c r="Y498" s="157">
        <f ca="1" t="shared" si="85"/>
        <v>49</v>
      </c>
      <c r="Z498" s="304">
        <f ca="1" t="shared" si="81"/>
        <v>24.5</v>
      </c>
      <c r="AA498" s="304">
        <f ca="1">OFFSET(卡牌辅助配置表!$AD$1,MATCH(AB498,卡牌辅助配置表!AB:AB,0)-1,0)</f>
        <v>2887</v>
      </c>
      <c r="AB498" s="304">
        <f ca="1" t="shared" si="82"/>
        <v>3213</v>
      </c>
      <c r="AC498" s="153">
        <v>12</v>
      </c>
      <c r="AF498" s="153" t="str">
        <f ca="1" t="shared" si="86"/>
        <v>10170011|</v>
      </c>
      <c r="AJ498" s="205" t="str">
        <f ca="1" t="shared" si="83"/>
        <v>400023|5850|;</v>
      </c>
      <c r="AK498" s="205">
        <f ca="1">OFFSET([1]item_type!$A$1,MATCH(Q498,[1]item_type!$G:$G,0)-1,0)</f>
        <v>301017</v>
      </c>
      <c r="AL498" s="205"/>
      <c r="AM498" s="205">
        <f ca="1">IF(B498=B499,OFFSET(卡牌辅助配置表!$AE$1,MATCH(AB498,卡牌辅助配置表!AB:AB,0),0),0)</f>
        <v>5850</v>
      </c>
      <c r="AN498" s="153">
        <f ca="1" t="shared" si="84"/>
        <v>1017014</v>
      </c>
      <c r="AP498" s="153">
        <f ca="1">IF(AC498=0,0,IF(AC498=12,0,OFFSET(effect!$N$1,MATCH(K498,effect!M:M,0)-1,0)))</f>
        <v>0</v>
      </c>
    </row>
    <row r="499" spans="1:42">
      <c r="A499" s="153">
        <f ca="1" t="shared" si="77"/>
        <v>1017014</v>
      </c>
      <c r="B499" s="91" t="s">
        <v>480</v>
      </c>
      <c r="C499" s="186">
        <v>1</v>
      </c>
      <c r="D499" s="186">
        <v>4</v>
      </c>
      <c r="E499" s="165" t="s">
        <v>1050</v>
      </c>
      <c r="F499" s="179" t="s">
        <v>1054</v>
      </c>
      <c r="G499" s="186">
        <f ca="1">OFFSET(卡牌辅助配置表!$C$1,MATCH(AC499,卡牌辅助配置表!A:A,0)-1,0)</f>
        <v>0</v>
      </c>
      <c r="H499" s="186">
        <f ca="1">OFFSET(skill!$Q$1,MATCH(B499,skill!B:B,0)-1,0)</f>
        <v>5</v>
      </c>
      <c r="I499" s="186"/>
      <c r="J499" s="186">
        <f ca="1">OFFSET(card_type!$F$1,MATCH(Q499,card_type!A:A,0)-1,0)</f>
        <v>3</v>
      </c>
      <c r="K499" s="243">
        <f ca="1">OFFSET(card_type!$G$1,MATCH(Q499,card_type!A:A,0)-1,0)</f>
        <v>2</v>
      </c>
      <c r="L499" s="157">
        <v>2</v>
      </c>
      <c r="M499" s="157">
        <v>2</v>
      </c>
      <c r="N499" s="153">
        <f t="shared" si="78"/>
        <v>14</v>
      </c>
      <c r="O499" s="157"/>
      <c r="P499" s="157"/>
      <c r="Q499" s="153">
        <f ca="1">OFFSET(card_type!$A$1,MATCH(card!B499,card_type!B:B,0)-1,0)</f>
        <v>1017</v>
      </c>
      <c r="R499" s="153">
        <v>1</v>
      </c>
      <c r="S499" s="157">
        <f ca="1">ROUND(IF(R499=0,0,IF(R499=1,X499*$S$1,IF(R499=2,X499*$S$1*buff的资质计算!$E$2,IF(R499=3,X499*$S$1*buff的资质计算!$E$3,0)))),0)*0</f>
        <v>0</v>
      </c>
      <c r="T499" s="153">
        <v>4</v>
      </c>
      <c r="U499" s="153">
        <f ca="1" t="shared" si="79"/>
        <v>32</v>
      </c>
      <c r="V499" s="153">
        <f ca="1">ROUND((OFFSET(卡牌辅助配置表!$O$1,MATCH(U499,卡牌辅助配置表!M:M,0)-1,0)+(N499-1)*OFFSET(卡牌辅助配置表!$P$1,MATCH(U499,卡牌辅助配置表!M:M,0)-1,0))*M499,2)</f>
        <v>75.08</v>
      </c>
      <c r="W499" s="157">
        <f ca="1">ROUND(IF(R499=0,0,IF(R499=1,X499*$W$1,IF(R499=2,X499*$W$1*buff的资质计算!$E$2,IF(R499=3,X499*$W$1*buff的资质计算!$E$3,0)))),2)</f>
        <v>13.35</v>
      </c>
      <c r="X499" s="157">
        <f ca="1" t="shared" si="80"/>
        <v>44.5</v>
      </c>
      <c r="Y499" s="157">
        <f ca="1" t="shared" si="85"/>
        <v>49.5</v>
      </c>
      <c r="Z499" s="304">
        <f ca="1" t="shared" si="81"/>
        <v>24.75</v>
      </c>
      <c r="AA499" s="304">
        <f ca="1">OFFSET(卡牌辅助配置表!$AD$1,MATCH(AB499,卡牌辅助配置表!AB:AB,0)-1,0)</f>
        <v>3186</v>
      </c>
      <c r="AB499" s="304">
        <f ca="1" t="shared" si="82"/>
        <v>3214</v>
      </c>
      <c r="AC499" s="153">
        <v>12</v>
      </c>
      <c r="AF499" s="153" t="str">
        <f ca="1" t="shared" si="86"/>
        <v>10170011|</v>
      </c>
      <c r="AJ499" s="205" t="str">
        <f ca="1" t="shared" si="83"/>
        <v>400023|6450|;</v>
      </c>
      <c r="AK499" s="205">
        <f ca="1">OFFSET([1]item_type!$A$1,MATCH(Q499,[1]item_type!$G:$G,0)-1,0)</f>
        <v>301017</v>
      </c>
      <c r="AL499" s="205"/>
      <c r="AM499" s="205">
        <f ca="1">IF(B499=B500,OFFSET(卡牌辅助配置表!$AE$1,MATCH(AB499,卡牌辅助配置表!AB:AB,0),0),0)</f>
        <v>6450</v>
      </c>
      <c r="AN499" s="153">
        <f ca="1" t="shared" si="84"/>
        <v>1017015</v>
      </c>
      <c r="AP499" s="153">
        <f ca="1">IF(AC499=0,0,IF(AC499=12,0,OFFSET(effect!$N$1,MATCH(K499,effect!M:M,0)-1,0)))</f>
        <v>0</v>
      </c>
    </row>
    <row r="500" spans="1:42">
      <c r="A500" s="153">
        <f ca="1" t="shared" si="77"/>
        <v>1017015</v>
      </c>
      <c r="B500" s="91" t="s">
        <v>480</v>
      </c>
      <c r="C500" s="186">
        <v>1</v>
      </c>
      <c r="D500" s="186">
        <v>4</v>
      </c>
      <c r="E500" s="165" t="s">
        <v>1050</v>
      </c>
      <c r="F500" s="179" t="s">
        <v>1054</v>
      </c>
      <c r="G500" s="186">
        <f ca="1">OFFSET(卡牌辅助配置表!$C$1,MATCH(AC500,卡牌辅助配置表!A:A,0)-1,0)</f>
        <v>0</v>
      </c>
      <c r="H500" s="186">
        <f ca="1">OFFSET(skill!$Q$1,MATCH(B500,skill!B:B,0)-1,0)</f>
        <v>5</v>
      </c>
      <c r="I500" s="186"/>
      <c r="J500" s="186">
        <f ca="1">OFFSET(card_type!$F$1,MATCH(Q500,card_type!A:A,0)-1,0)</f>
        <v>3</v>
      </c>
      <c r="K500" s="243">
        <f ca="1">OFFSET(card_type!$G$1,MATCH(Q500,card_type!A:A,0)-1,0)</f>
        <v>2</v>
      </c>
      <c r="L500" s="157">
        <v>2</v>
      </c>
      <c r="M500" s="157">
        <v>2</v>
      </c>
      <c r="N500" s="153">
        <f t="shared" si="78"/>
        <v>15</v>
      </c>
      <c r="O500" s="157"/>
      <c r="P500" s="157"/>
      <c r="Q500" s="153">
        <f ca="1">OFFSET(card_type!$A$1,MATCH(card!B500,card_type!B:B,0)-1,0)</f>
        <v>1017</v>
      </c>
      <c r="R500" s="153">
        <v>1</v>
      </c>
      <c r="S500" s="157">
        <f ca="1">ROUND(IF(R500=0,0,IF(R500=1,X500*$S$1,IF(R500=2,X500*$S$1*buff的资质计算!$E$2,IF(R500=3,X500*$S$1*buff的资质计算!$E$3,0)))),0)*0</f>
        <v>0</v>
      </c>
      <c r="T500" s="153">
        <v>4</v>
      </c>
      <c r="U500" s="153">
        <f ca="1" t="shared" si="79"/>
        <v>32</v>
      </c>
      <c r="V500" s="153">
        <f ca="1">ROUND((OFFSET(卡牌辅助配置表!$O$1,MATCH(U500,卡牌辅助配置表!M:M,0)-1,0)+(N500-1)*OFFSET(卡牌辅助配置表!$P$1,MATCH(U500,卡牌辅助配置表!M:M,0)-1,0))*M500,2)</f>
        <v>78.64</v>
      </c>
      <c r="W500" s="157">
        <f ca="1">ROUND(IF(R500=0,0,IF(R500=1,X500*$W$1,IF(R500=2,X500*$W$1*buff的资质计算!$E$2,IF(R500=3,X500*$W$1*buff的资质计算!$E$3,0)))),2)</f>
        <v>13.5</v>
      </c>
      <c r="X500" s="157">
        <f ca="1" t="shared" si="80"/>
        <v>45</v>
      </c>
      <c r="Y500" s="157">
        <f ca="1" t="shared" si="85"/>
        <v>50</v>
      </c>
      <c r="Z500" s="304">
        <f ca="1" t="shared" si="81"/>
        <v>25</v>
      </c>
      <c r="AA500" s="304">
        <f ca="1">OFFSET(卡牌辅助配置表!$AD$1,MATCH(AB500,卡牌辅助配置表!AB:AB,0)-1,0)</f>
        <v>3485</v>
      </c>
      <c r="AB500" s="304">
        <f ca="1" t="shared" si="82"/>
        <v>3215</v>
      </c>
      <c r="AC500" s="153">
        <v>12</v>
      </c>
      <c r="AF500" s="153" t="str">
        <f ca="1" t="shared" si="86"/>
        <v>10170011|</v>
      </c>
      <c r="AJ500" s="205" t="str">
        <f ca="1" t="shared" si="83"/>
        <v>400023|7050|;</v>
      </c>
      <c r="AK500" s="205">
        <f ca="1">OFFSET([1]item_type!$A$1,MATCH(Q500,[1]item_type!$G:$G,0)-1,0)</f>
        <v>301017</v>
      </c>
      <c r="AL500" s="205"/>
      <c r="AM500" s="205">
        <f ca="1">IF(B500=B501,OFFSET(卡牌辅助配置表!$AE$1,MATCH(AB500,卡牌辅助配置表!AB:AB,0),0),0)</f>
        <v>7050</v>
      </c>
      <c r="AN500" s="153">
        <f ca="1" t="shared" si="84"/>
        <v>1017016</v>
      </c>
      <c r="AP500" s="153">
        <f ca="1">IF(AC500=0,0,IF(AC500=12,0,OFFSET(effect!$N$1,MATCH(K500,effect!M:M,0)-1,0)))</f>
        <v>0</v>
      </c>
    </row>
    <row r="501" spans="1:42">
      <c r="A501" s="153">
        <f ca="1" t="shared" si="77"/>
        <v>1017016</v>
      </c>
      <c r="B501" s="91" t="s">
        <v>480</v>
      </c>
      <c r="C501" s="186">
        <v>1</v>
      </c>
      <c r="D501" s="186">
        <v>4</v>
      </c>
      <c r="E501" s="165" t="s">
        <v>1050</v>
      </c>
      <c r="F501" s="179" t="s">
        <v>1054</v>
      </c>
      <c r="G501" s="186">
        <f ca="1">OFFSET(卡牌辅助配置表!$C$1,MATCH(AC501,卡牌辅助配置表!A:A,0)-1,0)</f>
        <v>0</v>
      </c>
      <c r="H501" s="186">
        <f ca="1">OFFSET(skill!$Q$1,MATCH(B501,skill!B:B,0)-1,0)</f>
        <v>5</v>
      </c>
      <c r="I501" s="186"/>
      <c r="J501" s="186">
        <f ca="1">OFFSET(card_type!$F$1,MATCH(Q501,card_type!A:A,0)-1,0)</f>
        <v>3</v>
      </c>
      <c r="K501" s="243">
        <f ca="1">OFFSET(card_type!$G$1,MATCH(Q501,card_type!A:A,0)-1,0)</f>
        <v>2</v>
      </c>
      <c r="L501" s="157">
        <v>2</v>
      </c>
      <c r="M501" s="157">
        <v>2</v>
      </c>
      <c r="N501" s="153">
        <f t="shared" si="78"/>
        <v>16</v>
      </c>
      <c r="O501" s="157"/>
      <c r="P501" s="157"/>
      <c r="Q501" s="153">
        <f ca="1">OFFSET(card_type!$A$1,MATCH(card!B501,card_type!B:B,0)-1,0)</f>
        <v>1017</v>
      </c>
      <c r="R501" s="153">
        <v>1</v>
      </c>
      <c r="S501" s="157">
        <f ca="1">ROUND(IF(R501=0,0,IF(R501=1,X501*$S$1,IF(R501=2,X501*$S$1*buff的资质计算!$E$2,IF(R501=3,X501*$S$1*buff的资质计算!$E$3,0)))),0)*0</f>
        <v>0</v>
      </c>
      <c r="T501" s="153">
        <v>4</v>
      </c>
      <c r="U501" s="153">
        <f ca="1" t="shared" si="79"/>
        <v>32</v>
      </c>
      <c r="V501" s="153">
        <f ca="1">ROUND((OFFSET(卡牌辅助配置表!$O$1,MATCH(U501,卡牌辅助配置表!M:M,0)-1,0)+(N501-1)*OFFSET(卡牌辅助配置表!$P$1,MATCH(U501,卡牌辅助配置表!M:M,0)-1,0))*M501,2)</f>
        <v>82.21</v>
      </c>
      <c r="W501" s="157">
        <f ca="1">ROUND(IF(R501=0,0,IF(R501=1,X501*$W$1,IF(R501=2,X501*$W$1*buff的资质计算!$E$2,IF(R501=3,X501*$W$1*buff的资质计算!$E$3,0)))),2)</f>
        <v>13.65</v>
      </c>
      <c r="X501" s="157">
        <f ca="1" t="shared" si="80"/>
        <v>45.5</v>
      </c>
      <c r="Y501" s="157">
        <f ca="1" t="shared" si="85"/>
        <v>50.5</v>
      </c>
      <c r="Z501" s="304">
        <f ca="1" t="shared" si="81"/>
        <v>25.25</v>
      </c>
      <c r="AA501" s="304">
        <f ca="1">OFFSET(卡牌辅助配置表!$AD$1,MATCH(AB501,卡牌辅助配置表!AB:AB,0)-1,0)</f>
        <v>3784</v>
      </c>
      <c r="AB501" s="304">
        <f ca="1" t="shared" si="82"/>
        <v>3216</v>
      </c>
      <c r="AC501" s="153">
        <v>12</v>
      </c>
      <c r="AF501" s="153" t="str">
        <f ca="1" t="shared" si="86"/>
        <v>10170011|</v>
      </c>
      <c r="AJ501" s="205" t="str">
        <f ca="1" t="shared" si="83"/>
        <v>400023|7650|;</v>
      </c>
      <c r="AK501" s="205">
        <f ca="1">OFFSET([1]item_type!$A$1,MATCH(Q501,[1]item_type!$G:$G,0)-1,0)</f>
        <v>301017</v>
      </c>
      <c r="AL501" s="205"/>
      <c r="AM501" s="205">
        <f ca="1">IF(B501=B502,OFFSET(卡牌辅助配置表!$AE$1,MATCH(AB501,卡牌辅助配置表!AB:AB,0),0),0)</f>
        <v>7650</v>
      </c>
      <c r="AN501" s="153">
        <f ca="1" t="shared" si="84"/>
        <v>1017017</v>
      </c>
      <c r="AP501" s="153">
        <f ca="1">IF(AC501=0,0,IF(AC501=12,0,OFFSET(effect!$N$1,MATCH(K501,effect!M:M,0)-1,0)))</f>
        <v>0</v>
      </c>
    </row>
    <row r="502" spans="1:42">
      <c r="A502" s="153">
        <f ca="1" t="shared" si="77"/>
        <v>1017017</v>
      </c>
      <c r="B502" s="91" t="s">
        <v>480</v>
      </c>
      <c r="C502" s="186">
        <v>1</v>
      </c>
      <c r="D502" s="186">
        <v>4</v>
      </c>
      <c r="E502" s="165" t="s">
        <v>1050</v>
      </c>
      <c r="F502" s="179" t="s">
        <v>1054</v>
      </c>
      <c r="G502" s="186">
        <f ca="1">OFFSET(卡牌辅助配置表!$C$1,MATCH(AC502,卡牌辅助配置表!A:A,0)-1,0)</f>
        <v>0</v>
      </c>
      <c r="H502" s="186">
        <f ca="1">OFFSET(skill!$Q$1,MATCH(B502,skill!B:B,0)-1,0)</f>
        <v>5</v>
      </c>
      <c r="I502" s="186"/>
      <c r="J502" s="186">
        <f ca="1">OFFSET(card_type!$F$1,MATCH(Q502,card_type!A:A,0)-1,0)</f>
        <v>3</v>
      </c>
      <c r="K502" s="243">
        <f ca="1">OFFSET(card_type!$G$1,MATCH(Q502,card_type!A:A,0)-1,0)</f>
        <v>2</v>
      </c>
      <c r="L502" s="157">
        <v>2</v>
      </c>
      <c r="M502" s="157">
        <v>2</v>
      </c>
      <c r="N502" s="153">
        <f t="shared" si="78"/>
        <v>17</v>
      </c>
      <c r="O502" s="157"/>
      <c r="P502" s="157"/>
      <c r="Q502" s="153">
        <f ca="1">OFFSET(card_type!$A$1,MATCH(card!B502,card_type!B:B,0)-1,0)</f>
        <v>1017</v>
      </c>
      <c r="R502" s="153">
        <v>1</v>
      </c>
      <c r="S502" s="157">
        <f ca="1">ROUND(IF(R502=0,0,IF(R502=1,X502*$S$1,IF(R502=2,X502*$S$1*buff的资质计算!$E$2,IF(R502=3,X502*$S$1*buff的资质计算!$E$3,0)))),0)*0</f>
        <v>0</v>
      </c>
      <c r="T502" s="153">
        <v>4</v>
      </c>
      <c r="U502" s="153">
        <f ca="1" t="shared" si="79"/>
        <v>32</v>
      </c>
      <c r="V502" s="153">
        <f ca="1">ROUND((OFFSET(卡牌辅助配置表!$O$1,MATCH(U502,卡牌辅助配置表!M:M,0)-1,0)+(N502-1)*OFFSET(卡牌辅助配置表!$P$1,MATCH(U502,卡牌辅助配置表!M:M,0)-1,0))*M502,2)</f>
        <v>85.78</v>
      </c>
      <c r="W502" s="157">
        <f ca="1">ROUND(IF(R502=0,0,IF(R502=1,X502*$W$1,IF(R502=2,X502*$W$1*buff的资质计算!$E$2,IF(R502=3,X502*$W$1*buff的资质计算!$E$3,0)))),2)</f>
        <v>13.8</v>
      </c>
      <c r="X502" s="157">
        <f ca="1" t="shared" si="80"/>
        <v>46</v>
      </c>
      <c r="Y502" s="157">
        <f ca="1" t="shared" si="85"/>
        <v>51</v>
      </c>
      <c r="Z502" s="304">
        <f ca="1" t="shared" si="81"/>
        <v>25.5</v>
      </c>
      <c r="AA502" s="304">
        <f ca="1">OFFSET(卡牌辅助配置表!$AD$1,MATCH(AB502,卡牌辅助配置表!AB:AB,0)-1,0)</f>
        <v>4083</v>
      </c>
      <c r="AB502" s="304">
        <f ca="1" t="shared" si="82"/>
        <v>3217</v>
      </c>
      <c r="AC502" s="153">
        <v>12</v>
      </c>
      <c r="AF502" s="153" t="str">
        <f ca="1" t="shared" si="86"/>
        <v>10170011|</v>
      </c>
      <c r="AJ502" s="205" t="str">
        <f ca="1" t="shared" si="83"/>
        <v>400023|8250|;</v>
      </c>
      <c r="AK502" s="205">
        <f ca="1">OFFSET([1]item_type!$A$1,MATCH(Q502,[1]item_type!$G:$G,0)-1,0)</f>
        <v>301017</v>
      </c>
      <c r="AL502" s="205"/>
      <c r="AM502" s="205">
        <f ca="1">IF(B502=B503,OFFSET(卡牌辅助配置表!$AE$1,MATCH(AB502,卡牌辅助配置表!AB:AB,0),0),0)</f>
        <v>8250</v>
      </c>
      <c r="AN502" s="153">
        <f ca="1" t="shared" si="84"/>
        <v>1017018</v>
      </c>
      <c r="AP502" s="153">
        <f ca="1">IF(AC502=0,0,IF(AC502=12,0,OFFSET(effect!$N$1,MATCH(K502,effect!M:M,0)-1,0)))</f>
        <v>0</v>
      </c>
    </row>
    <row r="503" spans="1:42">
      <c r="A503" s="153">
        <f ca="1" t="shared" si="77"/>
        <v>1017018</v>
      </c>
      <c r="B503" s="91" t="s">
        <v>480</v>
      </c>
      <c r="C503" s="186">
        <v>1</v>
      </c>
      <c r="D503" s="186">
        <v>4</v>
      </c>
      <c r="E503" s="165" t="s">
        <v>1050</v>
      </c>
      <c r="F503" s="179" t="s">
        <v>1054</v>
      </c>
      <c r="G503" s="186">
        <f ca="1">OFFSET(卡牌辅助配置表!$C$1,MATCH(AC503,卡牌辅助配置表!A:A,0)-1,0)</f>
        <v>0</v>
      </c>
      <c r="H503" s="186">
        <f ca="1">OFFSET(skill!$Q$1,MATCH(B503,skill!B:B,0)-1,0)</f>
        <v>5</v>
      </c>
      <c r="I503" s="186"/>
      <c r="J503" s="186">
        <f ca="1">OFFSET(card_type!$F$1,MATCH(Q503,card_type!A:A,0)-1,0)</f>
        <v>3</v>
      </c>
      <c r="K503" s="243">
        <f ca="1">OFFSET(card_type!$G$1,MATCH(Q503,card_type!A:A,0)-1,0)</f>
        <v>2</v>
      </c>
      <c r="L503" s="157">
        <v>2</v>
      </c>
      <c r="M503" s="157">
        <v>2</v>
      </c>
      <c r="N503" s="153">
        <f t="shared" si="78"/>
        <v>18</v>
      </c>
      <c r="O503" s="157"/>
      <c r="P503" s="157"/>
      <c r="Q503" s="153">
        <f ca="1">OFFSET(card_type!$A$1,MATCH(card!B503,card_type!B:B,0)-1,0)</f>
        <v>1017</v>
      </c>
      <c r="R503" s="153">
        <v>1</v>
      </c>
      <c r="S503" s="157">
        <f ca="1">ROUND(IF(R503=0,0,IF(R503=1,X503*$S$1,IF(R503=2,X503*$S$1*buff的资质计算!$E$2,IF(R503=3,X503*$S$1*buff的资质计算!$E$3,0)))),0)*0</f>
        <v>0</v>
      </c>
      <c r="T503" s="153">
        <v>4</v>
      </c>
      <c r="U503" s="153">
        <f ca="1" t="shared" si="79"/>
        <v>32</v>
      </c>
      <c r="V503" s="153">
        <f ca="1">ROUND((OFFSET(卡牌辅助配置表!$O$1,MATCH(U503,卡牌辅助配置表!M:M,0)-1,0)+(N503-1)*OFFSET(卡牌辅助配置表!$P$1,MATCH(U503,卡牌辅助配置表!M:M,0)-1,0))*M503,2)</f>
        <v>89.34</v>
      </c>
      <c r="W503" s="157">
        <f ca="1">ROUND(IF(R503=0,0,IF(R503=1,X503*$W$1,IF(R503=2,X503*$W$1*buff的资质计算!$E$2,IF(R503=3,X503*$W$1*buff的资质计算!$E$3,0)))),2)</f>
        <v>13.95</v>
      </c>
      <c r="X503" s="157">
        <f ca="1" t="shared" si="80"/>
        <v>46.5</v>
      </c>
      <c r="Y503" s="157">
        <f ca="1" t="shared" si="85"/>
        <v>51.5</v>
      </c>
      <c r="Z503" s="304">
        <f ca="1" t="shared" si="81"/>
        <v>25.75</v>
      </c>
      <c r="AA503" s="304">
        <f ca="1">OFFSET(卡牌辅助配置表!$AD$1,MATCH(AB503,卡牌辅助配置表!AB:AB,0)-1,0)</f>
        <v>4382</v>
      </c>
      <c r="AB503" s="304">
        <f ca="1" t="shared" si="82"/>
        <v>3218</v>
      </c>
      <c r="AC503" s="153">
        <v>12</v>
      </c>
      <c r="AF503" s="153" t="str">
        <f ca="1" t="shared" si="86"/>
        <v>10170011|</v>
      </c>
      <c r="AJ503" s="205" t="str">
        <f ca="1" t="shared" si="83"/>
        <v>400023|8850|;</v>
      </c>
      <c r="AK503" s="205">
        <f ca="1">OFFSET([1]item_type!$A$1,MATCH(Q503,[1]item_type!$G:$G,0)-1,0)</f>
        <v>301017</v>
      </c>
      <c r="AL503" s="205"/>
      <c r="AM503" s="205">
        <f ca="1">IF(B503=B504,OFFSET(卡牌辅助配置表!$AE$1,MATCH(AB503,卡牌辅助配置表!AB:AB,0),0),0)</f>
        <v>8850</v>
      </c>
      <c r="AN503" s="153">
        <f ca="1" t="shared" si="84"/>
        <v>1017019</v>
      </c>
      <c r="AP503" s="153">
        <f ca="1">IF(AC503=0,0,IF(AC503=12,0,OFFSET(effect!$N$1,MATCH(K503,effect!M:M,0)-1,0)))</f>
        <v>0</v>
      </c>
    </row>
    <row r="504" spans="1:42">
      <c r="A504" s="153">
        <f ca="1" t="shared" si="77"/>
        <v>1017019</v>
      </c>
      <c r="B504" s="91" t="s">
        <v>480</v>
      </c>
      <c r="C504" s="186">
        <v>1</v>
      </c>
      <c r="D504" s="186">
        <v>4</v>
      </c>
      <c r="E504" s="165" t="s">
        <v>1050</v>
      </c>
      <c r="F504" s="179" t="s">
        <v>1054</v>
      </c>
      <c r="G504" s="186">
        <f ca="1">OFFSET(卡牌辅助配置表!$C$1,MATCH(AC504,卡牌辅助配置表!A:A,0)-1,0)</f>
        <v>0</v>
      </c>
      <c r="H504" s="186">
        <f ca="1">OFFSET(skill!$Q$1,MATCH(B504,skill!B:B,0)-1,0)</f>
        <v>5</v>
      </c>
      <c r="I504" s="186"/>
      <c r="J504" s="186">
        <f ca="1">OFFSET(card_type!$F$1,MATCH(Q504,card_type!A:A,0)-1,0)</f>
        <v>3</v>
      </c>
      <c r="K504" s="243">
        <f ca="1">OFFSET(card_type!$G$1,MATCH(Q504,card_type!A:A,0)-1,0)</f>
        <v>2</v>
      </c>
      <c r="L504" s="157">
        <v>2</v>
      </c>
      <c r="M504" s="157">
        <v>2</v>
      </c>
      <c r="N504" s="153">
        <f t="shared" si="78"/>
        <v>19</v>
      </c>
      <c r="O504" s="157"/>
      <c r="P504" s="157"/>
      <c r="Q504" s="153">
        <f ca="1">OFFSET(card_type!$A$1,MATCH(card!B504,card_type!B:B,0)-1,0)</f>
        <v>1017</v>
      </c>
      <c r="R504" s="153">
        <v>1</v>
      </c>
      <c r="S504" s="157">
        <f ca="1">ROUND(IF(R504=0,0,IF(R504=1,X504*$S$1,IF(R504=2,X504*$S$1*buff的资质计算!$E$2,IF(R504=3,X504*$S$1*buff的资质计算!$E$3,0)))),0)*0</f>
        <v>0</v>
      </c>
      <c r="T504" s="153">
        <v>4</v>
      </c>
      <c r="U504" s="153">
        <f ca="1" t="shared" si="79"/>
        <v>32</v>
      </c>
      <c r="V504" s="153">
        <f ca="1">ROUND((OFFSET(卡牌辅助配置表!$O$1,MATCH(U504,卡牌辅助配置表!M:M,0)-1,0)+(N504-1)*OFFSET(卡牌辅助配置表!$P$1,MATCH(U504,卡牌辅助配置表!M:M,0)-1,0))*M504,2)</f>
        <v>92.91</v>
      </c>
      <c r="W504" s="157">
        <f ca="1">ROUND(IF(R504=0,0,IF(R504=1,X504*$W$1,IF(R504=2,X504*$W$1*buff的资质计算!$E$2,IF(R504=3,X504*$W$1*buff的资质计算!$E$3,0)))),2)</f>
        <v>14.1</v>
      </c>
      <c r="X504" s="157">
        <f ca="1" t="shared" si="80"/>
        <v>47</v>
      </c>
      <c r="Y504" s="157">
        <f ca="1" t="shared" si="85"/>
        <v>52</v>
      </c>
      <c r="Z504" s="304">
        <f ca="1" t="shared" si="81"/>
        <v>26</v>
      </c>
      <c r="AA504" s="304">
        <f ca="1">OFFSET(卡牌辅助配置表!$AD$1,MATCH(AB504,卡牌辅助配置表!AB:AB,0)-1,0)</f>
        <v>4681</v>
      </c>
      <c r="AB504" s="304">
        <f ca="1" t="shared" si="82"/>
        <v>3219</v>
      </c>
      <c r="AC504" s="153">
        <v>12</v>
      </c>
      <c r="AF504" s="153" t="str">
        <f ca="1" t="shared" si="86"/>
        <v>10170011|</v>
      </c>
      <c r="AJ504" s="205" t="str">
        <f ca="1" t="shared" si="83"/>
        <v>301017|20|;400023|9450|;</v>
      </c>
      <c r="AK504" s="205">
        <f ca="1">OFFSET([1]item_type!$A$1,MATCH(Q504,[1]item_type!$G:$G,0)-1,0)</f>
        <v>301017</v>
      </c>
      <c r="AL504" s="205">
        <v>20</v>
      </c>
      <c r="AM504" s="205">
        <f ca="1">IF(B504=B505,OFFSET(卡牌辅助配置表!$AE$1,MATCH(AB504,卡牌辅助配置表!AB:AB,0),0),0)</f>
        <v>9450</v>
      </c>
      <c r="AN504" s="153">
        <f ca="1" t="shared" si="84"/>
        <v>1017020</v>
      </c>
      <c r="AP504" s="153">
        <f ca="1">IF(AC504=0,0,IF(AC504=12,0,OFFSET(effect!$N$1,MATCH(K504,effect!M:M,0)-1,0)))</f>
        <v>0</v>
      </c>
    </row>
    <row r="505" spans="1:42">
      <c r="A505" s="153">
        <f ca="1" t="shared" si="77"/>
        <v>1017020</v>
      </c>
      <c r="B505" s="91" t="s">
        <v>480</v>
      </c>
      <c r="C505" s="186">
        <v>1</v>
      </c>
      <c r="D505" s="186">
        <v>4</v>
      </c>
      <c r="E505" s="165" t="s">
        <v>1050</v>
      </c>
      <c r="F505" s="179" t="s">
        <v>1054</v>
      </c>
      <c r="G505" s="186">
        <f ca="1">OFFSET(卡牌辅助配置表!$C$1,MATCH(AC505,卡牌辅助配置表!A:A,0)-1,0)</f>
        <v>0</v>
      </c>
      <c r="H505" s="186">
        <f ca="1">OFFSET(skill!$Q$1,MATCH(B505,skill!B:B,0)-1,0)</f>
        <v>5</v>
      </c>
      <c r="I505" s="186"/>
      <c r="J505" s="186">
        <f ca="1">OFFSET(card_type!$F$1,MATCH(Q505,card_type!A:A,0)-1,0)</f>
        <v>3</v>
      </c>
      <c r="K505" s="243">
        <f ca="1">OFFSET(card_type!$G$1,MATCH(Q505,card_type!A:A,0)-1,0)</f>
        <v>2</v>
      </c>
      <c r="L505" s="157">
        <v>2</v>
      </c>
      <c r="M505" s="157">
        <v>2</v>
      </c>
      <c r="N505" s="153">
        <f t="shared" si="78"/>
        <v>20</v>
      </c>
      <c r="O505" s="157"/>
      <c r="P505" s="157"/>
      <c r="Q505" s="153">
        <f ca="1">OFFSET(card_type!$A$1,MATCH(card!B505,card_type!B:B,0)-1,0)</f>
        <v>1017</v>
      </c>
      <c r="R505" s="153">
        <v>1</v>
      </c>
      <c r="S505" s="157">
        <f ca="1">ROUND(IF(R505=0,0,IF(R505=1,X505*$S$1,IF(R505=2,X505*$S$1*buff的资质计算!$E$2,IF(R505=3,X505*$S$1*buff的资质计算!$E$3,0)))),0)*0</f>
        <v>0</v>
      </c>
      <c r="T505" s="153">
        <v>4</v>
      </c>
      <c r="U505" s="153">
        <f ca="1" t="shared" si="79"/>
        <v>32</v>
      </c>
      <c r="V505" s="153">
        <f ca="1">ROUND((OFFSET(卡牌辅助配置表!$O$1,MATCH(U505,卡牌辅助配置表!M:M,0)-1,0)+(N505-1)*OFFSET(卡牌辅助配置表!$P$1,MATCH(U505,卡牌辅助配置表!M:M,0)-1,0))*M505,2)</f>
        <v>96.48</v>
      </c>
      <c r="W505" s="157">
        <f ca="1">ROUND(IF(R505=0,0,IF(R505=1,X505*$W$1,IF(R505=2,X505*$W$1*buff的资质计算!$E$2,IF(R505=3,X505*$W$1*buff的资质计算!$E$3,0)))),2)</f>
        <v>14.25</v>
      </c>
      <c r="X505" s="157">
        <f ca="1" t="shared" si="80"/>
        <v>47.5</v>
      </c>
      <c r="Y505" s="157">
        <f ca="1" t="shared" si="85"/>
        <v>52.5</v>
      </c>
      <c r="Z505" s="304">
        <f ca="1" t="shared" si="81"/>
        <v>26.25</v>
      </c>
      <c r="AA505" s="304">
        <f ca="1">OFFSET(卡牌辅助配置表!$AD$1,MATCH(AB505,卡牌辅助配置表!AB:AB,0)-1,0)</f>
        <v>4980</v>
      </c>
      <c r="AB505" s="304">
        <f ca="1" t="shared" si="82"/>
        <v>3220</v>
      </c>
      <c r="AC505" s="153">
        <v>12</v>
      </c>
      <c r="AF505" s="153" t="str">
        <f ca="1" t="shared" si="86"/>
        <v>10170011|</v>
      </c>
      <c r="AJ505" s="205" t="str">
        <f ca="1" t="shared" si="83"/>
        <v>400023|10650|;</v>
      </c>
      <c r="AK505" s="205">
        <f ca="1">OFFSET([1]item_type!$A$1,MATCH(Q505,[1]item_type!$G:$G,0)-1,0)</f>
        <v>301017</v>
      </c>
      <c r="AL505" s="205"/>
      <c r="AM505" s="205">
        <f ca="1">IF(B505=B506,OFFSET(卡牌辅助配置表!$AE$1,MATCH(AB505,卡牌辅助配置表!AB:AB,0),0),0)</f>
        <v>10650</v>
      </c>
      <c r="AN505" s="153">
        <f ca="1" t="shared" si="84"/>
        <v>1017021</v>
      </c>
      <c r="AP505" s="153">
        <f ca="1">IF(AC505=0,0,IF(AC505=12,0,OFFSET(effect!$N$1,MATCH(K505,effect!M:M,0)-1,0)))</f>
        <v>0</v>
      </c>
    </row>
    <row r="506" spans="1:42">
      <c r="A506" s="153">
        <f ca="1" t="shared" si="77"/>
        <v>1017021</v>
      </c>
      <c r="B506" s="91" t="s">
        <v>480</v>
      </c>
      <c r="C506" s="186">
        <v>1</v>
      </c>
      <c r="D506" s="186">
        <v>4</v>
      </c>
      <c r="E506" s="165" t="s">
        <v>1050</v>
      </c>
      <c r="F506" s="179" t="s">
        <v>1054</v>
      </c>
      <c r="G506" s="186">
        <f ca="1">OFFSET(卡牌辅助配置表!$C$1,MATCH(AC506,卡牌辅助配置表!A:A,0)-1,0)</f>
        <v>0</v>
      </c>
      <c r="H506" s="186">
        <f ca="1">OFFSET(skill!$Q$1,MATCH(B506,skill!B:B,0)-1,0)</f>
        <v>5</v>
      </c>
      <c r="I506" s="186"/>
      <c r="J506" s="186">
        <f ca="1">OFFSET(card_type!$F$1,MATCH(Q506,card_type!A:A,0)-1,0)</f>
        <v>3</v>
      </c>
      <c r="K506" s="243">
        <f ca="1">OFFSET(card_type!$G$1,MATCH(Q506,card_type!A:A,0)-1,0)</f>
        <v>2</v>
      </c>
      <c r="L506" s="157">
        <v>2</v>
      </c>
      <c r="M506" s="157">
        <v>2</v>
      </c>
      <c r="N506" s="153">
        <f t="shared" si="78"/>
        <v>21</v>
      </c>
      <c r="O506" s="157"/>
      <c r="P506" s="157"/>
      <c r="Q506" s="153">
        <f ca="1">OFFSET(card_type!$A$1,MATCH(card!B506,card_type!B:B,0)-1,0)</f>
        <v>1017</v>
      </c>
      <c r="R506" s="153">
        <v>1</v>
      </c>
      <c r="S506" s="157">
        <f ca="1">ROUND(IF(R506=0,0,IF(R506=1,X506*$S$1,IF(R506=2,X506*$S$1*buff的资质计算!$E$2,IF(R506=3,X506*$S$1*buff的资质计算!$E$3,0)))),0)*0</f>
        <v>0</v>
      </c>
      <c r="T506" s="153">
        <v>4</v>
      </c>
      <c r="U506" s="153">
        <f ca="1" t="shared" si="79"/>
        <v>32</v>
      </c>
      <c r="V506" s="153">
        <f ca="1">ROUND((OFFSET(卡牌辅助配置表!$O$1,MATCH(U506,卡牌辅助配置表!M:M,0)-1,0)+(N506-1)*OFFSET(卡牌辅助配置表!$P$1,MATCH(U506,卡牌辅助配置表!M:M,0)-1,0))*M506,2)</f>
        <v>100.04</v>
      </c>
      <c r="W506" s="157">
        <f ca="1">ROUND(IF(R506=0,0,IF(R506=1,X506*$W$1,IF(R506=2,X506*$W$1*buff的资质计算!$E$2,IF(R506=3,X506*$W$1*buff的资质计算!$E$3,0)))),2)</f>
        <v>14.4</v>
      </c>
      <c r="X506" s="157">
        <f ca="1" t="shared" si="80"/>
        <v>48</v>
      </c>
      <c r="Y506" s="157">
        <f ca="1" t="shared" si="85"/>
        <v>53</v>
      </c>
      <c r="Z506" s="304">
        <f ca="1" t="shared" si="81"/>
        <v>26.5</v>
      </c>
      <c r="AA506" s="304">
        <f ca="1">OFFSET(卡牌辅助配置表!$AD$1,MATCH(AB506,卡牌辅助配置表!AB:AB,0)-1,0)</f>
        <v>5378</v>
      </c>
      <c r="AB506" s="304">
        <f ca="1" t="shared" si="82"/>
        <v>3221</v>
      </c>
      <c r="AC506" s="153">
        <v>12</v>
      </c>
      <c r="AF506" s="153" t="str">
        <f ca="1" t="shared" si="86"/>
        <v>10170011|</v>
      </c>
      <c r="AJ506" s="205" t="str">
        <f ca="1" t="shared" si="83"/>
        <v>400023|11850|;</v>
      </c>
      <c r="AK506" s="205">
        <f ca="1">OFFSET([1]item_type!$A$1,MATCH(Q506,[1]item_type!$G:$G,0)-1,0)</f>
        <v>301017</v>
      </c>
      <c r="AL506" s="205"/>
      <c r="AM506" s="205">
        <f ca="1">IF(B506=B507,OFFSET(卡牌辅助配置表!$AE$1,MATCH(AB506,卡牌辅助配置表!AB:AB,0),0),0)</f>
        <v>11850</v>
      </c>
      <c r="AN506" s="153">
        <f ca="1" t="shared" si="84"/>
        <v>1017022</v>
      </c>
      <c r="AP506" s="153">
        <f ca="1">IF(AC506=0,0,IF(AC506=12,0,OFFSET(effect!$N$1,MATCH(K506,effect!M:M,0)-1,0)))</f>
        <v>0</v>
      </c>
    </row>
    <row r="507" spans="1:42">
      <c r="A507" s="153">
        <f ca="1" t="shared" si="77"/>
        <v>1017022</v>
      </c>
      <c r="B507" s="91" t="s">
        <v>480</v>
      </c>
      <c r="C507" s="186">
        <v>1</v>
      </c>
      <c r="D507" s="186">
        <v>4</v>
      </c>
      <c r="E507" s="165" t="s">
        <v>1050</v>
      </c>
      <c r="F507" s="179" t="s">
        <v>1054</v>
      </c>
      <c r="G507" s="186">
        <f ca="1">OFFSET(卡牌辅助配置表!$C$1,MATCH(AC507,卡牌辅助配置表!A:A,0)-1,0)</f>
        <v>0</v>
      </c>
      <c r="H507" s="186">
        <f ca="1">OFFSET(skill!$Q$1,MATCH(B507,skill!B:B,0)-1,0)</f>
        <v>5</v>
      </c>
      <c r="I507" s="186"/>
      <c r="J507" s="186">
        <f ca="1">OFFSET(card_type!$F$1,MATCH(Q507,card_type!A:A,0)-1,0)</f>
        <v>3</v>
      </c>
      <c r="K507" s="243">
        <f ca="1">OFFSET(card_type!$G$1,MATCH(Q507,card_type!A:A,0)-1,0)</f>
        <v>2</v>
      </c>
      <c r="L507" s="157">
        <v>2</v>
      </c>
      <c r="M507" s="157">
        <v>2</v>
      </c>
      <c r="N507" s="153">
        <f t="shared" si="78"/>
        <v>22</v>
      </c>
      <c r="O507" s="157"/>
      <c r="P507" s="157"/>
      <c r="Q507" s="153">
        <f ca="1">OFFSET(card_type!$A$1,MATCH(card!B507,card_type!B:B,0)-1,0)</f>
        <v>1017</v>
      </c>
      <c r="R507" s="153">
        <v>1</v>
      </c>
      <c r="S507" s="157">
        <f ca="1">ROUND(IF(R507=0,0,IF(R507=1,X507*$S$1,IF(R507=2,X507*$S$1*buff的资质计算!$E$2,IF(R507=3,X507*$S$1*buff的资质计算!$E$3,0)))),0)*0</f>
        <v>0</v>
      </c>
      <c r="T507" s="153">
        <v>4</v>
      </c>
      <c r="U507" s="153">
        <f ca="1" t="shared" si="79"/>
        <v>32</v>
      </c>
      <c r="V507" s="153">
        <f ca="1">ROUND((OFFSET(卡牌辅助配置表!$O$1,MATCH(U507,卡牌辅助配置表!M:M,0)-1,0)+(N507-1)*OFFSET(卡牌辅助配置表!$P$1,MATCH(U507,卡牌辅助配置表!M:M,0)-1,0))*M507,2)</f>
        <v>103.61</v>
      </c>
      <c r="W507" s="157">
        <f ca="1">ROUND(IF(R507=0,0,IF(R507=1,X507*$W$1,IF(R507=2,X507*$W$1*buff的资质计算!$E$2,IF(R507=3,X507*$W$1*buff的资质计算!$E$3,0)))),2)</f>
        <v>14.55</v>
      </c>
      <c r="X507" s="157">
        <f ca="1" t="shared" si="80"/>
        <v>48.5</v>
      </c>
      <c r="Y507" s="157">
        <f ca="1" t="shared" si="85"/>
        <v>53.5</v>
      </c>
      <c r="Z507" s="304">
        <f ca="1" t="shared" si="81"/>
        <v>26.75</v>
      </c>
      <c r="AA507" s="304">
        <f ca="1">OFFSET(卡牌辅助配置表!$AD$1,MATCH(AB507,卡牌辅助配置表!AB:AB,0)-1,0)</f>
        <v>5776</v>
      </c>
      <c r="AB507" s="304">
        <f ca="1" t="shared" si="82"/>
        <v>3222</v>
      </c>
      <c r="AC507" s="153">
        <v>12</v>
      </c>
      <c r="AF507" s="153" t="str">
        <f ca="1" t="shared" si="86"/>
        <v>10170011|</v>
      </c>
      <c r="AJ507" s="205" t="str">
        <f ca="1" t="shared" si="83"/>
        <v>400023|13050|;</v>
      </c>
      <c r="AK507" s="205">
        <f ca="1">OFFSET([1]item_type!$A$1,MATCH(Q507,[1]item_type!$G:$G,0)-1,0)</f>
        <v>301017</v>
      </c>
      <c r="AL507" s="205"/>
      <c r="AM507" s="205">
        <f ca="1">IF(B507=B508,OFFSET(卡牌辅助配置表!$AE$1,MATCH(AB507,卡牌辅助配置表!AB:AB,0),0),0)</f>
        <v>13050</v>
      </c>
      <c r="AN507" s="153">
        <f ca="1" t="shared" si="84"/>
        <v>1017023</v>
      </c>
      <c r="AP507" s="153">
        <f ca="1">IF(AC507=0,0,IF(AC507=12,0,OFFSET(effect!$N$1,MATCH(K507,effect!M:M,0)-1,0)))</f>
        <v>0</v>
      </c>
    </row>
    <row r="508" spans="1:42">
      <c r="A508" s="153">
        <f ca="1" t="shared" si="77"/>
        <v>1017023</v>
      </c>
      <c r="B508" s="91" t="s">
        <v>480</v>
      </c>
      <c r="C508" s="186">
        <v>1</v>
      </c>
      <c r="D508" s="186">
        <v>4</v>
      </c>
      <c r="E508" s="165" t="s">
        <v>1050</v>
      </c>
      <c r="F508" s="179" t="s">
        <v>1054</v>
      </c>
      <c r="G508" s="186">
        <f ca="1">OFFSET(卡牌辅助配置表!$C$1,MATCH(AC508,卡牌辅助配置表!A:A,0)-1,0)</f>
        <v>0</v>
      </c>
      <c r="H508" s="186">
        <f ca="1">OFFSET(skill!$Q$1,MATCH(B508,skill!B:B,0)-1,0)</f>
        <v>5</v>
      </c>
      <c r="I508" s="186"/>
      <c r="J508" s="186">
        <f ca="1">OFFSET(card_type!$F$1,MATCH(Q508,card_type!A:A,0)-1,0)</f>
        <v>3</v>
      </c>
      <c r="K508" s="243">
        <f ca="1">OFFSET(card_type!$G$1,MATCH(Q508,card_type!A:A,0)-1,0)</f>
        <v>2</v>
      </c>
      <c r="L508" s="157">
        <v>2</v>
      </c>
      <c r="M508" s="157">
        <v>2</v>
      </c>
      <c r="N508" s="153">
        <f t="shared" si="78"/>
        <v>23</v>
      </c>
      <c r="O508" s="157"/>
      <c r="P508" s="157"/>
      <c r="Q508" s="153">
        <f ca="1">OFFSET(card_type!$A$1,MATCH(card!B508,card_type!B:B,0)-1,0)</f>
        <v>1017</v>
      </c>
      <c r="R508" s="153">
        <v>1</v>
      </c>
      <c r="S508" s="157">
        <f ca="1">ROUND(IF(R508=0,0,IF(R508=1,X508*$S$1,IF(R508=2,X508*$S$1*buff的资质计算!$E$2,IF(R508=3,X508*$S$1*buff的资质计算!$E$3,0)))),0)*0</f>
        <v>0</v>
      </c>
      <c r="T508" s="153">
        <v>4</v>
      </c>
      <c r="U508" s="153">
        <f ca="1" t="shared" si="79"/>
        <v>32</v>
      </c>
      <c r="V508" s="153">
        <f ca="1">ROUND((OFFSET(卡牌辅助配置表!$O$1,MATCH(U508,卡牌辅助配置表!M:M,0)-1,0)+(N508-1)*OFFSET(卡牌辅助配置表!$P$1,MATCH(U508,卡牌辅助配置表!M:M,0)-1,0))*M508,2)</f>
        <v>107.18</v>
      </c>
      <c r="W508" s="157">
        <f ca="1">ROUND(IF(R508=0,0,IF(R508=1,X508*$W$1,IF(R508=2,X508*$W$1*buff的资质计算!$E$2,IF(R508=3,X508*$W$1*buff的资质计算!$E$3,0)))),2)</f>
        <v>14.7</v>
      </c>
      <c r="X508" s="157">
        <f ca="1" t="shared" si="80"/>
        <v>49</v>
      </c>
      <c r="Y508" s="157">
        <f ca="1" t="shared" si="85"/>
        <v>54</v>
      </c>
      <c r="Z508" s="304">
        <f ca="1" t="shared" si="81"/>
        <v>27</v>
      </c>
      <c r="AA508" s="304">
        <f ca="1">OFFSET(卡牌辅助配置表!$AD$1,MATCH(AB508,卡牌辅助配置表!AB:AB,0)-1,0)</f>
        <v>6174</v>
      </c>
      <c r="AB508" s="304">
        <f ca="1" t="shared" si="82"/>
        <v>3223</v>
      </c>
      <c r="AC508" s="153">
        <v>12</v>
      </c>
      <c r="AF508" s="153" t="str">
        <f ca="1" t="shared" si="86"/>
        <v>10170011|</v>
      </c>
      <c r="AJ508" s="205" t="str">
        <f ca="1" t="shared" si="83"/>
        <v>400023|14250|;</v>
      </c>
      <c r="AK508" s="205">
        <f ca="1">OFFSET([1]item_type!$A$1,MATCH(Q508,[1]item_type!$G:$G,0)-1,0)</f>
        <v>301017</v>
      </c>
      <c r="AL508" s="205"/>
      <c r="AM508" s="205">
        <f ca="1">IF(B508=B509,OFFSET(卡牌辅助配置表!$AE$1,MATCH(AB508,卡牌辅助配置表!AB:AB,0),0),0)</f>
        <v>14250</v>
      </c>
      <c r="AN508" s="153">
        <f ca="1" t="shared" si="84"/>
        <v>1017024</v>
      </c>
      <c r="AP508" s="153">
        <f ca="1">IF(AC508=0,0,IF(AC508=12,0,OFFSET(effect!$N$1,MATCH(K508,effect!M:M,0)-1,0)))</f>
        <v>0</v>
      </c>
    </row>
    <row r="509" spans="1:42">
      <c r="A509" s="153">
        <f ca="1" t="shared" si="77"/>
        <v>1017024</v>
      </c>
      <c r="B509" s="91" t="s">
        <v>480</v>
      </c>
      <c r="C509" s="186">
        <v>1</v>
      </c>
      <c r="D509" s="186">
        <v>4</v>
      </c>
      <c r="E509" s="165" t="s">
        <v>1050</v>
      </c>
      <c r="F509" s="179" t="s">
        <v>1054</v>
      </c>
      <c r="G509" s="186">
        <f ca="1">OFFSET(卡牌辅助配置表!$C$1,MATCH(AC509,卡牌辅助配置表!A:A,0)-1,0)</f>
        <v>0</v>
      </c>
      <c r="H509" s="186">
        <f ca="1">OFFSET(skill!$Q$1,MATCH(B509,skill!B:B,0)-1,0)</f>
        <v>5</v>
      </c>
      <c r="I509" s="186"/>
      <c r="J509" s="186">
        <f ca="1">OFFSET(card_type!$F$1,MATCH(Q509,card_type!A:A,0)-1,0)</f>
        <v>3</v>
      </c>
      <c r="K509" s="243">
        <f ca="1">OFFSET(card_type!$G$1,MATCH(Q509,card_type!A:A,0)-1,0)</f>
        <v>2</v>
      </c>
      <c r="L509" s="157">
        <v>2</v>
      </c>
      <c r="M509" s="157">
        <v>2</v>
      </c>
      <c r="N509" s="153">
        <f t="shared" si="78"/>
        <v>24</v>
      </c>
      <c r="O509" s="157"/>
      <c r="P509" s="157"/>
      <c r="Q509" s="153">
        <f ca="1">OFFSET(card_type!$A$1,MATCH(card!B509,card_type!B:B,0)-1,0)</f>
        <v>1017</v>
      </c>
      <c r="R509" s="153">
        <v>1</v>
      </c>
      <c r="S509" s="157">
        <f ca="1">ROUND(IF(R509=0,0,IF(R509=1,X509*$S$1,IF(R509=2,X509*$S$1*buff的资质计算!$E$2,IF(R509=3,X509*$S$1*buff的资质计算!$E$3,0)))),0)*0</f>
        <v>0</v>
      </c>
      <c r="T509" s="153">
        <v>4</v>
      </c>
      <c r="U509" s="153">
        <f ca="1" t="shared" si="79"/>
        <v>32</v>
      </c>
      <c r="V509" s="153">
        <f ca="1">ROUND((OFFSET(卡牌辅助配置表!$O$1,MATCH(U509,卡牌辅助配置表!M:M,0)-1,0)+(N509-1)*OFFSET(卡牌辅助配置表!$P$1,MATCH(U509,卡牌辅助配置表!M:M,0)-1,0))*M509,2)</f>
        <v>110.74</v>
      </c>
      <c r="W509" s="157">
        <f ca="1">ROUND(IF(R509=0,0,IF(R509=1,X509*$W$1,IF(R509=2,X509*$W$1*buff的资质计算!$E$2,IF(R509=3,X509*$W$1*buff的资质计算!$E$3,0)))),2)</f>
        <v>14.85</v>
      </c>
      <c r="X509" s="157">
        <f ca="1" t="shared" si="80"/>
        <v>49.5</v>
      </c>
      <c r="Y509" s="157">
        <f ca="1" t="shared" si="85"/>
        <v>54.5</v>
      </c>
      <c r="Z509" s="304">
        <f ca="1" t="shared" si="81"/>
        <v>27.25</v>
      </c>
      <c r="AA509" s="304">
        <f ca="1">OFFSET(卡牌辅助配置表!$AD$1,MATCH(AB509,卡牌辅助配置表!AB:AB,0)-1,0)</f>
        <v>6572</v>
      </c>
      <c r="AB509" s="304">
        <f ca="1" t="shared" si="82"/>
        <v>3224</v>
      </c>
      <c r="AC509" s="153">
        <v>12</v>
      </c>
      <c r="AF509" s="153" t="str">
        <f ca="1" t="shared" si="86"/>
        <v>10170011|</v>
      </c>
      <c r="AJ509" s="205" t="str">
        <f ca="1" t="shared" si="83"/>
        <v>400023|15450|;</v>
      </c>
      <c r="AK509" s="205">
        <f ca="1">OFFSET([1]item_type!$A$1,MATCH(Q509,[1]item_type!$G:$G,0)-1,0)</f>
        <v>301017</v>
      </c>
      <c r="AL509" s="205"/>
      <c r="AM509" s="205">
        <f ca="1">IF(B509=B510,OFFSET(卡牌辅助配置表!$AE$1,MATCH(AB509,卡牌辅助配置表!AB:AB,0),0),0)</f>
        <v>15450</v>
      </c>
      <c r="AN509" s="153">
        <f ca="1" t="shared" si="84"/>
        <v>1017025</v>
      </c>
      <c r="AP509" s="153">
        <f ca="1">IF(AC509=0,0,IF(AC509=12,0,OFFSET(effect!$N$1,MATCH(K509,effect!M:M,0)-1,0)))</f>
        <v>0</v>
      </c>
    </row>
    <row r="510" spans="1:42">
      <c r="A510" s="153">
        <f ca="1" t="shared" si="77"/>
        <v>1017025</v>
      </c>
      <c r="B510" s="91" t="s">
        <v>480</v>
      </c>
      <c r="C510" s="186">
        <v>1</v>
      </c>
      <c r="D510" s="186">
        <v>4</v>
      </c>
      <c r="E510" s="165" t="s">
        <v>1050</v>
      </c>
      <c r="F510" s="179" t="s">
        <v>1054</v>
      </c>
      <c r="G510" s="186">
        <f ca="1">OFFSET(卡牌辅助配置表!$C$1,MATCH(AC510,卡牌辅助配置表!A:A,0)-1,0)</f>
        <v>0</v>
      </c>
      <c r="H510" s="186">
        <f ca="1">OFFSET(skill!$Q$1,MATCH(B510,skill!B:B,0)-1,0)</f>
        <v>5</v>
      </c>
      <c r="I510" s="186"/>
      <c r="J510" s="186">
        <f ca="1">OFFSET(card_type!$F$1,MATCH(Q510,card_type!A:A,0)-1,0)</f>
        <v>3</v>
      </c>
      <c r="K510" s="243">
        <f ca="1">OFFSET(card_type!$G$1,MATCH(Q510,card_type!A:A,0)-1,0)</f>
        <v>2</v>
      </c>
      <c r="L510" s="157">
        <v>2</v>
      </c>
      <c r="M510" s="157">
        <v>2</v>
      </c>
      <c r="N510" s="153">
        <f t="shared" si="78"/>
        <v>25</v>
      </c>
      <c r="O510" s="157"/>
      <c r="P510" s="157"/>
      <c r="Q510" s="153">
        <f ca="1">OFFSET(card_type!$A$1,MATCH(card!B510,card_type!B:B,0)-1,0)</f>
        <v>1017</v>
      </c>
      <c r="R510" s="153">
        <v>1</v>
      </c>
      <c r="S510" s="157">
        <f ca="1">ROUND(IF(R510=0,0,IF(R510=1,X510*$S$1,IF(R510=2,X510*$S$1*buff的资质计算!$E$2,IF(R510=3,X510*$S$1*buff的资质计算!$E$3,0)))),0)*0</f>
        <v>0</v>
      </c>
      <c r="T510" s="153">
        <v>4</v>
      </c>
      <c r="U510" s="153">
        <f ca="1" t="shared" si="79"/>
        <v>32</v>
      </c>
      <c r="V510" s="153">
        <f ca="1">ROUND((OFFSET(卡牌辅助配置表!$O$1,MATCH(U510,卡牌辅助配置表!M:M,0)-1,0)+(N510-1)*OFFSET(卡牌辅助配置表!$P$1,MATCH(U510,卡牌辅助配置表!M:M,0)-1,0))*M510,2)</f>
        <v>114.31</v>
      </c>
      <c r="W510" s="157">
        <f ca="1">ROUND(IF(R510=0,0,IF(R510=1,X510*$W$1,IF(R510=2,X510*$W$1*buff的资质计算!$E$2,IF(R510=3,X510*$W$1*buff的资质计算!$E$3,0)))),2)</f>
        <v>15</v>
      </c>
      <c r="X510" s="157">
        <f ca="1" t="shared" si="80"/>
        <v>50</v>
      </c>
      <c r="Y510" s="157">
        <f ca="1" t="shared" si="85"/>
        <v>55</v>
      </c>
      <c r="Z510" s="304">
        <f ca="1" t="shared" si="81"/>
        <v>27.5</v>
      </c>
      <c r="AA510" s="304">
        <f ca="1">OFFSET(卡牌辅助配置表!$AD$1,MATCH(AB510,卡牌辅助配置表!AB:AB,0)-1,0)</f>
        <v>6970</v>
      </c>
      <c r="AB510" s="304">
        <f ca="1" t="shared" si="82"/>
        <v>3225</v>
      </c>
      <c r="AC510" s="153">
        <v>12</v>
      </c>
      <c r="AF510" s="153" t="str">
        <f ca="1" t="shared" si="86"/>
        <v>10170011|</v>
      </c>
      <c r="AJ510" s="205" t="str">
        <f ca="1" t="shared" si="83"/>
        <v>400023|16650|;</v>
      </c>
      <c r="AK510" s="205">
        <f ca="1">OFFSET([1]item_type!$A$1,MATCH(Q510,[1]item_type!$G:$G,0)-1,0)</f>
        <v>301017</v>
      </c>
      <c r="AL510" s="205"/>
      <c r="AM510" s="205">
        <f ca="1">IF(B510=B511,OFFSET(卡牌辅助配置表!$AE$1,MATCH(AB510,卡牌辅助配置表!AB:AB,0),0),0)</f>
        <v>16650</v>
      </c>
      <c r="AN510" s="153">
        <f ca="1" t="shared" si="84"/>
        <v>1017026</v>
      </c>
      <c r="AP510" s="153">
        <f ca="1">IF(AC510=0,0,IF(AC510=12,0,OFFSET(effect!$N$1,MATCH(K510,effect!M:M,0)-1,0)))</f>
        <v>0</v>
      </c>
    </row>
    <row r="511" spans="1:42">
      <c r="A511" s="153">
        <f ca="1" t="shared" si="77"/>
        <v>1017026</v>
      </c>
      <c r="B511" s="91" t="s">
        <v>480</v>
      </c>
      <c r="C511" s="186">
        <v>1</v>
      </c>
      <c r="D511" s="186">
        <v>4</v>
      </c>
      <c r="E511" s="165" t="s">
        <v>1050</v>
      </c>
      <c r="F511" s="179" t="s">
        <v>1054</v>
      </c>
      <c r="G511" s="186">
        <f ca="1">OFFSET(卡牌辅助配置表!$C$1,MATCH(AC511,卡牌辅助配置表!A:A,0)-1,0)</f>
        <v>0</v>
      </c>
      <c r="H511" s="186">
        <f ca="1">OFFSET(skill!$Q$1,MATCH(B511,skill!B:B,0)-1,0)</f>
        <v>5</v>
      </c>
      <c r="I511" s="186"/>
      <c r="J511" s="186">
        <f ca="1">OFFSET(card_type!$F$1,MATCH(Q511,card_type!A:A,0)-1,0)</f>
        <v>3</v>
      </c>
      <c r="K511" s="243">
        <f ca="1">OFFSET(card_type!$G$1,MATCH(Q511,card_type!A:A,0)-1,0)</f>
        <v>2</v>
      </c>
      <c r="L511" s="157">
        <v>2</v>
      </c>
      <c r="M511" s="157">
        <v>2</v>
      </c>
      <c r="N511" s="153">
        <f t="shared" si="78"/>
        <v>26</v>
      </c>
      <c r="O511" s="157"/>
      <c r="P511" s="157"/>
      <c r="Q511" s="153">
        <f ca="1">OFFSET(card_type!$A$1,MATCH(card!B511,card_type!B:B,0)-1,0)</f>
        <v>1017</v>
      </c>
      <c r="R511" s="153">
        <v>1</v>
      </c>
      <c r="S511" s="157">
        <f ca="1">ROUND(IF(R511=0,0,IF(R511=1,X511*$S$1,IF(R511=2,X511*$S$1*buff的资质计算!$E$2,IF(R511=3,X511*$S$1*buff的资质计算!$E$3,0)))),0)*0</f>
        <v>0</v>
      </c>
      <c r="T511" s="153">
        <v>4</v>
      </c>
      <c r="U511" s="153">
        <f ca="1" t="shared" si="79"/>
        <v>32</v>
      </c>
      <c r="V511" s="153">
        <f ca="1">ROUND((OFFSET(卡牌辅助配置表!$O$1,MATCH(U511,卡牌辅助配置表!M:M,0)-1,0)+(N511-1)*OFFSET(卡牌辅助配置表!$P$1,MATCH(U511,卡牌辅助配置表!M:M,0)-1,0))*M511,2)</f>
        <v>117.88</v>
      </c>
      <c r="W511" s="157">
        <f ca="1">ROUND(IF(R511=0,0,IF(R511=1,X511*$W$1,IF(R511=2,X511*$W$1*buff的资质计算!$E$2,IF(R511=3,X511*$W$1*buff的资质计算!$E$3,0)))),2)</f>
        <v>15.15</v>
      </c>
      <c r="X511" s="157">
        <f ca="1" t="shared" si="80"/>
        <v>50.5</v>
      </c>
      <c r="Y511" s="157">
        <f ca="1" t="shared" si="85"/>
        <v>55.5</v>
      </c>
      <c r="Z511" s="304">
        <f ca="1" t="shared" si="81"/>
        <v>27.75</v>
      </c>
      <c r="AA511" s="304">
        <f ca="1">OFFSET(卡牌辅助配置表!$AD$1,MATCH(AB511,卡牌辅助配置表!AB:AB,0)-1,0)</f>
        <v>7368</v>
      </c>
      <c r="AB511" s="304">
        <f ca="1" t="shared" si="82"/>
        <v>3226</v>
      </c>
      <c r="AC511" s="153">
        <v>12</v>
      </c>
      <c r="AF511" s="153" t="str">
        <f ca="1" t="shared" si="86"/>
        <v>10170011|</v>
      </c>
      <c r="AJ511" s="205" t="str">
        <f ca="1" t="shared" si="83"/>
        <v>400023|17850|;</v>
      </c>
      <c r="AK511" s="205">
        <f ca="1">OFFSET([1]item_type!$A$1,MATCH(Q511,[1]item_type!$G:$G,0)-1,0)</f>
        <v>301017</v>
      </c>
      <c r="AL511" s="205"/>
      <c r="AM511" s="205">
        <f ca="1">IF(B511=B512,OFFSET(卡牌辅助配置表!$AE$1,MATCH(AB511,卡牌辅助配置表!AB:AB,0),0),0)</f>
        <v>17850</v>
      </c>
      <c r="AN511" s="153">
        <f ca="1" t="shared" si="84"/>
        <v>1017027</v>
      </c>
      <c r="AP511" s="153">
        <f ca="1">IF(AC511=0,0,IF(AC511=12,0,OFFSET(effect!$N$1,MATCH(K511,effect!M:M,0)-1,0)))</f>
        <v>0</v>
      </c>
    </row>
    <row r="512" spans="1:42">
      <c r="A512" s="153">
        <f ca="1" t="shared" si="77"/>
        <v>1017027</v>
      </c>
      <c r="B512" s="91" t="s">
        <v>480</v>
      </c>
      <c r="C512" s="186">
        <v>1</v>
      </c>
      <c r="D512" s="186">
        <v>4</v>
      </c>
      <c r="E512" s="165" t="s">
        <v>1050</v>
      </c>
      <c r="F512" s="179" t="s">
        <v>1054</v>
      </c>
      <c r="G512" s="186">
        <f ca="1">OFFSET(卡牌辅助配置表!$C$1,MATCH(AC512,卡牌辅助配置表!A:A,0)-1,0)</f>
        <v>0</v>
      </c>
      <c r="H512" s="186">
        <f ca="1">OFFSET(skill!$Q$1,MATCH(B512,skill!B:B,0)-1,0)</f>
        <v>5</v>
      </c>
      <c r="I512" s="186"/>
      <c r="J512" s="186">
        <f ca="1">OFFSET(card_type!$F$1,MATCH(Q512,card_type!A:A,0)-1,0)</f>
        <v>3</v>
      </c>
      <c r="K512" s="243">
        <f ca="1">OFFSET(card_type!$G$1,MATCH(Q512,card_type!A:A,0)-1,0)</f>
        <v>2</v>
      </c>
      <c r="L512" s="157">
        <v>2</v>
      </c>
      <c r="M512" s="157">
        <v>2</v>
      </c>
      <c r="N512" s="153">
        <f t="shared" si="78"/>
        <v>27</v>
      </c>
      <c r="O512" s="157"/>
      <c r="P512" s="157"/>
      <c r="Q512" s="153">
        <f ca="1">OFFSET(card_type!$A$1,MATCH(card!B512,card_type!B:B,0)-1,0)</f>
        <v>1017</v>
      </c>
      <c r="R512" s="153">
        <v>1</v>
      </c>
      <c r="S512" s="157">
        <f ca="1">ROUND(IF(R512=0,0,IF(R512=1,X512*$S$1,IF(R512=2,X512*$S$1*buff的资质计算!$E$2,IF(R512=3,X512*$S$1*buff的资质计算!$E$3,0)))),0)*0</f>
        <v>0</v>
      </c>
      <c r="T512" s="153">
        <v>4</v>
      </c>
      <c r="U512" s="153">
        <f ca="1" t="shared" si="79"/>
        <v>32</v>
      </c>
      <c r="V512" s="153">
        <f ca="1">ROUND((OFFSET(卡牌辅助配置表!$O$1,MATCH(U512,卡牌辅助配置表!M:M,0)-1,0)+(N512-1)*OFFSET(卡牌辅助配置表!$P$1,MATCH(U512,卡牌辅助配置表!M:M,0)-1,0))*M512,2)</f>
        <v>121.44</v>
      </c>
      <c r="W512" s="157">
        <f ca="1">ROUND(IF(R512=0,0,IF(R512=1,X512*$W$1,IF(R512=2,X512*$W$1*buff的资质计算!$E$2,IF(R512=3,X512*$W$1*buff的资质计算!$E$3,0)))),2)</f>
        <v>15.3</v>
      </c>
      <c r="X512" s="157">
        <f ca="1" t="shared" si="80"/>
        <v>51</v>
      </c>
      <c r="Y512" s="157">
        <f ca="1" t="shared" si="85"/>
        <v>56</v>
      </c>
      <c r="Z512" s="304">
        <f ca="1" t="shared" si="81"/>
        <v>28</v>
      </c>
      <c r="AA512" s="304">
        <f ca="1">OFFSET(卡牌辅助配置表!$AD$1,MATCH(AB512,卡牌辅助配置表!AB:AB,0)-1,0)</f>
        <v>7766</v>
      </c>
      <c r="AB512" s="304">
        <f ca="1" t="shared" si="82"/>
        <v>3227</v>
      </c>
      <c r="AC512" s="153">
        <v>12</v>
      </c>
      <c r="AF512" s="153" t="str">
        <f ca="1" t="shared" si="86"/>
        <v>10170011|</v>
      </c>
      <c r="AJ512" s="205" t="str">
        <f ca="1" t="shared" si="83"/>
        <v>400023|19050|;</v>
      </c>
      <c r="AK512" s="205">
        <f ca="1">OFFSET([1]item_type!$A$1,MATCH(Q512,[1]item_type!$G:$G,0)-1,0)</f>
        <v>301017</v>
      </c>
      <c r="AL512" s="205"/>
      <c r="AM512" s="205">
        <f ca="1">IF(B512=B513,OFFSET(卡牌辅助配置表!$AE$1,MATCH(AB512,卡牌辅助配置表!AB:AB,0),0),0)</f>
        <v>19050</v>
      </c>
      <c r="AN512" s="153">
        <f ca="1" t="shared" si="84"/>
        <v>1017028</v>
      </c>
      <c r="AP512" s="153">
        <f ca="1">IF(AC512=0,0,IF(AC512=12,0,OFFSET(effect!$N$1,MATCH(K512,effect!M:M,0)-1,0)))</f>
        <v>0</v>
      </c>
    </row>
    <row r="513" spans="1:42">
      <c r="A513" s="153">
        <f ca="1" t="shared" si="77"/>
        <v>1017028</v>
      </c>
      <c r="B513" s="91" t="s">
        <v>480</v>
      </c>
      <c r="C513" s="186">
        <v>1</v>
      </c>
      <c r="D513" s="186">
        <v>4</v>
      </c>
      <c r="E513" s="165" t="s">
        <v>1050</v>
      </c>
      <c r="F513" s="179" t="s">
        <v>1054</v>
      </c>
      <c r="G513" s="186">
        <f ca="1">OFFSET(卡牌辅助配置表!$C$1,MATCH(AC513,卡牌辅助配置表!A:A,0)-1,0)</f>
        <v>0</v>
      </c>
      <c r="H513" s="186">
        <f ca="1">OFFSET(skill!$Q$1,MATCH(B513,skill!B:B,0)-1,0)</f>
        <v>5</v>
      </c>
      <c r="I513" s="186"/>
      <c r="J513" s="186">
        <f ca="1">OFFSET(card_type!$F$1,MATCH(Q513,card_type!A:A,0)-1,0)</f>
        <v>3</v>
      </c>
      <c r="K513" s="243">
        <f ca="1">OFFSET(card_type!$G$1,MATCH(Q513,card_type!A:A,0)-1,0)</f>
        <v>2</v>
      </c>
      <c r="L513" s="157">
        <v>2</v>
      </c>
      <c r="M513" s="157">
        <v>2</v>
      </c>
      <c r="N513" s="153">
        <f t="shared" si="78"/>
        <v>28</v>
      </c>
      <c r="O513" s="157"/>
      <c r="P513" s="157"/>
      <c r="Q513" s="153">
        <f ca="1">OFFSET(card_type!$A$1,MATCH(card!B513,card_type!B:B,0)-1,0)</f>
        <v>1017</v>
      </c>
      <c r="R513" s="153">
        <v>1</v>
      </c>
      <c r="S513" s="157">
        <f ca="1">ROUND(IF(R513=0,0,IF(R513=1,X513*$S$1,IF(R513=2,X513*$S$1*buff的资质计算!$E$2,IF(R513=3,X513*$S$1*buff的资质计算!$E$3,0)))),0)*0</f>
        <v>0</v>
      </c>
      <c r="T513" s="153">
        <v>4</v>
      </c>
      <c r="U513" s="153">
        <f ca="1" t="shared" si="79"/>
        <v>32</v>
      </c>
      <c r="V513" s="153">
        <f ca="1">ROUND((OFFSET(卡牌辅助配置表!$O$1,MATCH(U513,卡牌辅助配置表!M:M,0)-1,0)+(N513-1)*OFFSET(卡牌辅助配置表!$P$1,MATCH(U513,卡牌辅助配置表!M:M,0)-1,0))*M513,2)</f>
        <v>125.01</v>
      </c>
      <c r="W513" s="157">
        <f ca="1">ROUND(IF(R513=0,0,IF(R513=1,X513*$W$1,IF(R513=2,X513*$W$1*buff的资质计算!$E$2,IF(R513=3,X513*$W$1*buff的资质计算!$E$3,0)))),2)</f>
        <v>15.45</v>
      </c>
      <c r="X513" s="157">
        <f ca="1" t="shared" si="80"/>
        <v>51.5</v>
      </c>
      <c r="Y513" s="157">
        <f ca="1" t="shared" si="85"/>
        <v>56.5</v>
      </c>
      <c r="Z513" s="304">
        <f ca="1" t="shared" si="81"/>
        <v>28.25</v>
      </c>
      <c r="AA513" s="304">
        <f ca="1">OFFSET(卡牌辅助配置表!$AD$1,MATCH(AB513,卡牌辅助配置表!AB:AB,0)-1,0)</f>
        <v>8164</v>
      </c>
      <c r="AB513" s="304">
        <f ca="1" t="shared" si="82"/>
        <v>3228</v>
      </c>
      <c r="AC513" s="153">
        <v>12</v>
      </c>
      <c r="AF513" s="153" t="str">
        <f ca="1" t="shared" si="86"/>
        <v>10170011|</v>
      </c>
      <c r="AJ513" s="205" t="str">
        <f ca="1" t="shared" si="83"/>
        <v>400023|20250|;</v>
      </c>
      <c r="AK513" s="205">
        <f ca="1">OFFSET([1]item_type!$A$1,MATCH(Q513,[1]item_type!$G:$G,0)-1,0)</f>
        <v>301017</v>
      </c>
      <c r="AL513" s="205"/>
      <c r="AM513" s="205">
        <f ca="1">IF(B513=B514,OFFSET(卡牌辅助配置表!$AE$1,MATCH(AB513,卡牌辅助配置表!AB:AB,0),0),0)</f>
        <v>20250</v>
      </c>
      <c r="AN513" s="153">
        <f ca="1" t="shared" si="84"/>
        <v>1017029</v>
      </c>
      <c r="AP513" s="153">
        <f ca="1">IF(AC513=0,0,IF(AC513=12,0,OFFSET(effect!$N$1,MATCH(K513,effect!M:M,0)-1,0)))</f>
        <v>0</v>
      </c>
    </row>
    <row r="514" spans="1:42">
      <c r="A514" s="153">
        <f ca="1" t="shared" si="77"/>
        <v>1017029</v>
      </c>
      <c r="B514" s="91" t="s">
        <v>480</v>
      </c>
      <c r="C514" s="186">
        <v>1</v>
      </c>
      <c r="D514" s="186">
        <v>4</v>
      </c>
      <c r="E514" s="165" t="s">
        <v>1050</v>
      </c>
      <c r="F514" s="179" t="s">
        <v>1054</v>
      </c>
      <c r="G514" s="186">
        <f ca="1">OFFSET(卡牌辅助配置表!$C$1,MATCH(AC514,卡牌辅助配置表!A:A,0)-1,0)</f>
        <v>0</v>
      </c>
      <c r="H514" s="186">
        <f ca="1">OFFSET(skill!$Q$1,MATCH(B514,skill!B:B,0)-1,0)</f>
        <v>5</v>
      </c>
      <c r="I514" s="186"/>
      <c r="J514" s="186">
        <f ca="1">OFFSET(card_type!$F$1,MATCH(Q514,card_type!A:A,0)-1,0)</f>
        <v>3</v>
      </c>
      <c r="K514" s="243">
        <f ca="1">OFFSET(card_type!$G$1,MATCH(Q514,card_type!A:A,0)-1,0)</f>
        <v>2</v>
      </c>
      <c r="L514" s="157">
        <v>2</v>
      </c>
      <c r="M514" s="157">
        <v>2</v>
      </c>
      <c r="N514" s="153">
        <f t="shared" si="78"/>
        <v>29</v>
      </c>
      <c r="O514" s="157"/>
      <c r="P514" s="157"/>
      <c r="Q514" s="153">
        <f ca="1">OFFSET(card_type!$A$1,MATCH(card!B514,card_type!B:B,0)-1,0)</f>
        <v>1017</v>
      </c>
      <c r="R514" s="153">
        <v>1</v>
      </c>
      <c r="S514" s="157">
        <f ca="1">ROUND(IF(R514=0,0,IF(R514=1,X514*$S$1,IF(R514=2,X514*$S$1*buff的资质计算!$E$2,IF(R514=3,X514*$S$1*buff的资质计算!$E$3,0)))),0)*0</f>
        <v>0</v>
      </c>
      <c r="T514" s="153">
        <v>4</v>
      </c>
      <c r="U514" s="153">
        <f ca="1" t="shared" si="79"/>
        <v>32</v>
      </c>
      <c r="V514" s="153">
        <f ca="1">ROUND((OFFSET(卡牌辅助配置表!$O$1,MATCH(U514,卡牌辅助配置表!M:M,0)-1,0)+(N514-1)*OFFSET(卡牌辅助配置表!$P$1,MATCH(U514,卡牌辅助配置表!M:M,0)-1,0))*M514,2)</f>
        <v>128.58</v>
      </c>
      <c r="W514" s="157">
        <f ca="1">ROUND(IF(R514=0,0,IF(R514=1,X514*$W$1,IF(R514=2,X514*$W$1*buff的资质计算!$E$2,IF(R514=3,X514*$W$1*buff的资质计算!$E$3,0)))),2)</f>
        <v>15.6</v>
      </c>
      <c r="X514" s="157">
        <f ca="1" t="shared" si="80"/>
        <v>52</v>
      </c>
      <c r="Y514" s="157">
        <f ca="1" t="shared" si="85"/>
        <v>57</v>
      </c>
      <c r="Z514" s="304">
        <f ca="1" t="shared" si="81"/>
        <v>28.5</v>
      </c>
      <c r="AA514" s="304">
        <f ca="1">OFFSET(卡牌辅助配置表!$AD$1,MATCH(AB514,卡牌辅助配置表!AB:AB,0)-1,0)</f>
        <v>8562</v>
      </c>
      <c r="AB514" s="304">
        <f ca="1" t="shared" si="82"/>
        <v>3229</v>
      </c>
      <c r="AC514" s="153">
        <v>12</v>
      </c>
      <c r="AF514" s="153" t="str">
        <f ca="1" t="shared" si="86"/>
        <v>10170011|</v>
      </c>
      <c r="AJ514" s="205" t="str">
        <f ca="1" t="shared" si="83"/>
        <v>301017|30|;400023|21450|;</v>
      </c>
      <c r="AK514" s="205">
        <f ca="1">OFFSET([1]item_type!$A$1,MATCH(Q514,[1]item_type!$G:$G,0)-1,0)</f>
        <v>301017</v>
      </c>
      <c r="AL514" s="205">
        <v>30</v>
      </c>
      <c r="AM514" s="205">
        <f ca="1">IF(B514=B515,OFFSET(卡牌辅助配置表!$AE$1,MATCH(AB514,卡牌辅助配置表!AB:AB,0),0),0)</f>
        <v>21450</v>
      </c>
      <c r="AN514" s="153">
        <f ca="1" t="shared" si="84"/>
        <v>1017030</v>
      </c>
      <c r="AP514" s="153">
        <f ca="1">IF(AC514=0,0,IF(AC514=12,0,OFFSET(effect!$N$1,MATCH(K514,effect!M:M,0)-1,0)))</f>
        <v>0</v>
      </c>
    </row>
    <row r="515" spans="1:42">
      <c r="A515" s="153">
        <f ca="1" t="shared" si="77"/>
        <v>1017030</v>
      </c>
      <c r="B515" s="91" t="s">
        <v>480</v>
      </c>
      <c r="C515" s="186">
        <v>1</v>
      </c>
      <c r="D515" s="186">
        <v>4</v>
      </c>
      <c r="E515" s="165" t="s">
        <v>1050</v>
      </c>
      <c r="F515" s="179" t="s">
        <v>1054</v>
      </c>
      <c r="G515" s="186">
        <f ca="1">OFFSET(卡牌辅助配置表!$C$1,MATCH(AC515,卡牌辅助配置表!A:A,0)-1,0)</f>
        <v>0</v>
      </c>
      <c r="H515" s="186">
        <f ca="1">OFFSET(skill!$Q$1,MATCH(B515,skill!B:B,0)-1,0)</f>
        <v>5</v>
      </c>
      <c r="I515" s="186"/>
      <c r="J515" s="186">
        <f ca="1">OFFSET(card_type!$F$1,MATCH(Q515,card_type!A:A,0)-1,0)</f>
        <v>3</v>
      </c>
      <c r="K515" s="243">
        <f ca="1">OFFSET(card_type!$G$1,MATCH(Q515,card_type!A:A,0)-1,0)</f>
        <v>2</v>
      </c>
      <c r="L515" s="157">
        <v>2</v>
      </c>
      <c r="M515" s="157">
        <v>2</v>
      </c>
      <c r="N515" s="153">
        <f t="shared" si="78"/>
        <v>30</v>
      </c>
      <c r="O515" s="157"/>
      <c r="P515" s="157"/>
      <c r="Q515" s="153">
        <f ca="1">OFFSET(card_type!$A$1,MATCH(card!B515,card_type!B:B,0)-1,0)</f>
        <v>1017</v>
      </c>
      <c r="R515" s="153">
        <v>1</v>
      </c>
      <c r="S515" s="157">
        <f ca="1">ROUND(IF(R515=0,0,IF(R515=1,X515*$S$1,IF(R515=2,X515*$S$1*buff的资质计算!$E$2,IF(R515=3,X515*$S$1*buff的资质计算!$E$3,0)))),0)*0</f>
        <v>0</v>
      </c>
      <c r="T515" s="153">
        <v>4</v>
      </c>
      <c r="U515" s="153">
        <f ca="1" t="shared" si="79"/>
        <v>32</v>
      </c>
      <c r="V515" s="153">
        <f ca="1">ROUND((OFFSET(卡牌辅助配置表!$O$1,MATCH(U515,卡牌辅助配置表!M:M,0)-1,0)+(N515-1)*OFFSET(卡牌辅助配置表!$P$1,MATCH(U515,卡牌辅助配置表!M:M,0)-1,0))*M515,2)</f>
        <v>132.14</v>
      </c>
      <c r="W515" s="157">
        <f ca="1">ROUND(IF(R515=0,0,IF(R515=1,X515*$W$1,IF(R515=2,X515*$W$1*buff的资质计算!$E$2,IF(R515=3,X515*$W$1*buff的资质计算!$E$3,0)))),2)</f>
        <v>15.75</v>
      </c>
      <c r="X515" s="157">
        <f ca="1" t="shared" si="80"/>
        <v>52.5</v>
      </c>
      <c r="Y515" s="157">
        <f ca="1" t="shared" si="85"/>
        <v>57.5</v>
      </c>
      <c r="Z515" s="304">
        <f ca="1" t="shared" si="81"/>
        <v>28.75</v>
      </c>
      <c r="AA515" s="304">
        <f ca="1">OFFSET(卡牌辅助配置表!$AD$1,MATCH(AB515,卡牌辅助配置表!AB:AB,0)-1,0)</f>
        <v>8960</v>
      </c>
      <c r="AB515" s="304">
        <f ca="1" t="shared" si="82"/>
        <v>3230</v>
      </c>
      <c r="AC515" s="153">
        <v>12</v>
      </c>
      <c r="AF515" s="153" t="str">
        <f ca="1" t="shared" si="86"/>
        <v>10170011|</v>
      </c>
      <c r="AJ515" s="205">
        <f ca="1" t="shared" si="83"/>
        <v>0</v>
      </c>
      <c r="AK515" s="205">
        <f ca="1">OFFSET([1]item_type!$A$1,MATCH(Q515,[1]item_type!$G:$G,0)-1,0)</f>
        <v>301017</v>
      </c>
      <c r="AL515" s="205"/>
      <c r="AM515" s="205">
        <f ca="1">IF(B515=B516,OFFSET(卡牌辅助配置表!$AE$1,MATCH(AB515,卡牌辅助配置表!AB:AB,0),0),0)</f>
        <v>0</v>
      </c>
      <c r="AN515" s="153">
        <f ca="1" t="shared" si="84"/>
        <v>0</v>
      </c>
      <c r="AP515" s="153">
        <f ca="1">IF(AC515=0,0,IF(AC515=12,0,OFFSET(effect!$N$1,MATCH(K515,effect!M:M,0)-1,0)))</f>
        <v>0</v>
      </c>
    </row>
    <row r="516" spans="1:42">
      <c r="A516" s="153">
        <f ca="1" t="shared" si="77"/>
        <v>1018001</v>
      </c>
      <c r="B516" s="91" t="s">
        <v>661</v>
      </c>
      <c r="C516" s="186">
        <v>1</v>
      </c>
      <c r="D516" s="186">
        <v>6</v>
      </c>
      <c r="E516" s="165" t="s">
        <v>1050</v>
      </c>
      <c r="F516" s="165" t="str">
        <f>"上一招为拳法时，增加造成伤害"&amp;skill!$O$52/100&amp;"%的护甲"</f>
        <v>上一招为拳法时，增加造成伤害60%的护甲</v>
      </c>
      <c r="G516" s="186">
        <f ca="1">OFFSET(卡牌辅助配置表!$C$1,MATCH(AC516,卡牌辅助配置表!A:A,0)-1,0)</f>
        <v>3</v>
      </c>
      <c r="H516" s="186">
        <f ca="1" t="shared" ref="H516:H545" si="87">IF(R516=0,Y516,0)</f>
        <v>0</v>
      </c>
      <c r="I516" s="186"/>
      <c r="J516" s="186">
        <f ca="1">OFFSET(card_type!$F$1,MATCH(Q516,card_type!A:A,0)-1,0)</f>
        <v>3</v>
      </c>
      <c r="K516" s="243">
        <f ca="1">OFFSET(card_type!$G$1,MATCH(Q516,card_type!A:A,0)-1,0)</f>
        <v>3</v>
      </c>
      <c r="L516" s="157">
        <v>2</v>
      </c>
      <c r="M516" s="157">
        <v>2</v>
      </c>
      <c r="N516" s="153">
        <f t="shared" si="78"/>
        <v>1</v>
      </c>
      <c r="O516" s="157"/>
      <c r="P516" s="157"/>
      <c r="Q516" s="153">
        <f ca="1">OFFSET(card_type!$A$1,MATCH(card!B516,card_type!B:B,0)-1,0)</f>
        <v>1018</v>
      </c>
      <c r="R516" s="153">
        <v>1</v>
      </c>
      <c r="S516" s="157">
        <f ca="1">ROUND(IF(R516=0,0,IF(R516=1,X516*$S$1,IF(R516=2,X516*$S$1*buff的资质计算!$E$2,IF(R516=3,X516*$S$1*buff的资质计算!$E$3,0)))),0)*0</f>
        <v>0</v>
      </c>
      <c r="T516" s="153">
        <v>2</v>
      </c>
      <c r="U516" s="153">
        <f ca="1" t="shared" si="79"/>
        <v>33</v>
      </c>
      <c r="V516" s="153">
        <f ca="1">ROUND((OFFSET(卡牌辅助配置表!$O$1,MATCH(U516,卡牌辅助配置表!M:M,0)-1,0)+(N516-1)*OFFSET(卡牌辅助配置表!$P$1,MATCH(U516,卡牌辅助配置表!M:M,0)-1,0))*M516,2)</f>
        <v>45.94</v>
      </c>
      <c r="W516" s="157">
        <f ca="1">ROUND(IF(R516=0,0,IF(R516=1,X516*$W$1,IF(R516=2,X516*$W$1*buff的资质计算!$E$2,IF(R516=3,X516*$W$1*buff的资质计算!$E$3,0)))),2)</f>
        <v>14.7</v>
      </c>
      <c r="X516" s="157">
        <f ca="1" t="shared" si="80"/>
        <v>49</v>
      </c>
      <c r="Y516" s="157">
        <f ca="1" t="shared" si="85"/>
        <v>49</v>
      </c>
      <c r="Z516" s="304">
        <f ca="1" t="shared" si="81"/>
        <v>24.5</v>
      </c>
      <c r="AA516" s="304">
        <f ca="1">OFFSET(卡牌辅助配置表!$AD$1,MATCH(AB516,卡牌辅助配置表!AB:AB,0)-1,0)</f>
        <v>498</v>
      </c>
      <c r="AB516" s="304">
        <f ca="1" t="shared" si="82"/>
        <v>3301</v>
      </c>
      <c r="AC516" s="153">
        <v>3</v>
      </c>
      <c r="AE516" s="153">
        <v>1</v>
      </c>
      <c r="AF516" s="153" t="str">
        <f ca="1" t="shared" si="86"/>
        <v>10180011|</v>
      </c>
      <c r="AJ516" s="205" t="str">
        <f ca="1" t="shared" si="83"/>
        <v>400023|1400|;</v>
      </c>
      <c r="AK516" s="205">
        <f ca="1">OFFSET([1]item_type!$A$1,MATCH(Q516,[1]item_type!$G:$G,0)-1,0)</f>
        <v>301018</v>
      </c>
      <c r="AL516" s="205"/>
      <c r="AM516" s="205">
        <f ca="1">IF(B516=B517,OFFSET(卡牌辅助配置表!$AE$1,MATCH(AB516,卡牌辅助配置表!AB:AB,0),0),0)</f>
        <v>1400</v>
      </c>
      <c r="AN516" s="153">
        <f ca="1" t="shared" si="84"/>
        <v>1018002</v>
      </c>
      <c r="AP516" s="153" t="str">
        <f ca="1">IF(AC516=0,0,IF(AC516=12,0,OFFSET(effect!$N$1,MATCH(K516,effect!M:M,0)-1,0)))</f>
        <v>kpsx_zise</v>
      </c>
    </row>
    <row r="517" spans="1:42">
      <c r="A517" s="153">
        <f ca="1" t="shared" si="77"/>
        <v>1018002</v>
      </c>
      <c r="B517" s="91" t="s">
        <v>661</v>
      </c>
      <c r="C517" s="186">
        <v>1</v>
      </c>
      <c r="D517" s="186">
        <v>6</v>
      </c>
      <c r="E517" s="165" t="s">
        <v>1050</v>
      </c>
      <c r="F517" s="165" t="str">
        <f>"上一招为拳法时，增加造成伤害"&amp;skill!$O$52/100&amp;"%的护甲"</f>
        <v>上一招为拳法时，增加造成伤害60%的护甲</v>
      </c>
      <c r="G517" s="186">
        <f ca="1">OFFSET(卡牌辅助配置表!$C$1,MATCH(AC517,卡牌辅助配置表!A:A,0)-1,0)</f>
        <v>3</v>
      </c>
      <c r="H517" s="186">
        <f ca="1" t="shared" si="87"/>
        <v>0</v>
      </c>
      <c r="I517" s="186"/>
      <c r="J517" s="186">
        <f ca="1">OFFSET(card_type!$F$1,MATCH(Q517,card_type!A:A,0)-1,0)</f>
        <v>3</v>
      </c>
      <c r="K517" s="243">
        <f ca="1">OFFSET(card_type!$G$1,MATCH(Q517,card_type!A:A,0)-1,0)</f>
        <v>3</v>
      </c>
      <c r="L517" s="157">
        <v>2</v>
      </c>
      <c r="M517" s="157">
        <v>2</v>
      </c>
      <c r="N517" s="153">
        <f t="shared" si="78"/>
        <v>2</v>
      </c>
      <c r="O517" s="157"/>
      <c r="P517" s="157"/>
      <c r="Q517" s="153">
        <f ca="1">OFFSET(card_type!$A$1,MATCH(card!B517,card_type!B:B,0)-1,0)</f>
        <v>1018</v>
      </c>
      <c r="R517" s="153">
        <v>1</v>
      </c>
      <c r="S517" s="157">
        <f ca="1">ROUND(IF(R517=0,0,IF(R517=1,X517*$S$1,IF(R517=2,X517*$S$1*buff的资质计算!$E$2,IF(R517=3,X517*$S$1*buff的资质计算!$E$3,0)))),0)*0</f>
        <v>0</v>
      </c>
      <c r="T517" s="153">
        <v>2</v>
      </c>
      <c r="U517" s="153">
        <f ca="1" t="shared" si="79"/>
        <v>33</v>
      </c>
      <c r="V517" s="153">
        <f ca="1">ROUND((OFFSET(卡牌辅助配置表!$O$1,MATCH(U517,卡牌辅助配置表!M:M,0)-1,0)+(N517-1)*OFFSET(卡牌辅助配置表!$P$1,MATCH(U517,卡牌辅助配置表!M:M,0)-1,0))*M517,2)</f>
        <v>50.58</v>
      </c>
      <c r="W517" s="157">
        <f ca="1">ROUND(IF(R517=0,0,IF(R517=1,X517*$W$1,IF(R517=2,X517*$W$1*buff的资质计算!$E$2,IF(R517=3,X517*$W$1*buff的资质计算!$E$3,0)))),2)</f>
        <v>14.85</v>
      </c>
      <c r="X517" s="157">
        <f ca="1" t="shared" si="80"/>
        <v>49.5</v>
      </c>
      <c r="Y517" s="157">
        <f ca="1" t="shared" si="85"/>
        <v>49.5</v>
      </c>
      <c r="Z517" s="304">
        <f ca="1" t="shared" si="81"/>
        <v>24.75</v>
      </c>
      <c r="AA517" s="304">
        <f ca="1">OFFSET(卡牌辅助配置表!$AD$1,MATCH(AB517,卡牌辅助配置表!AB:AB,0)-1,0)</f>
        <v>996</v>
      </c>
      <c r="AB517" s="304">
        <f ca="1" t="shared" si="82"/>
        <v>3302</v>
      </c>
      <c r="AC517" s="153">
        <v>3</v>
      </c>
      <c r="AE517" s="153">
        <v>1</v>
      </c>
      <c r="AF517" s="153" t="str">
        <f ca="1" t="shared" si="86"/>
        <v>10180011|</v>
      </c>
      <c r="AJ517" s="205" t="str">
        <f ca="1" t="shared" si="83"/>
        <v>400023|1800|;</v>
      </c>
      <c r="AK517" s="205">
        <f ca="1">OFFSET([1]item_type!$A$1,MATCH(Q517,[1]item_type!$G:$G,0)-1,0)</f>
        <v>301018</v>
      </c>
      <c r="AL517" s="205"/>
      <c r="AM517" s="205">
        <f ca="1">IF(B517=B518,OFFSET(卡牌辅助配置表!$AE$1,MATCH(AB517,卡牌辅助配置表!AB:AB,0),0),0)</f>
        <v>1800</v>
      </c>
      <c r="AN517" s="153">
        <f ca="1" t="shared" si="84"/>
        <v>1018003</v>
      </c>
      <c r="AP517" s="153" t="str">
        <f ca="1">IF(AC517=0,0,IF(AC517=12,0,OFFSET(effect!$N$1,MATCH(K517,effect!M:M,0)-1,0)))</f>
        <v>kpsx_zise</v>
      </c>
    </row>
    <row r="518" spans="1:42">
      <c r="A518" s="153">
        <f ca="1" t="shared" ref="A518:A581" si="88">Q518*1000+N518</f>
        <v>1018003</v>
      </c>
      <c r="B518" s="91" t="s">
        <v>661</v>
      </c>
      <c r="C518" s="186">
        <v>1</v>
      </c>
      <c r="D518" s="186">
        <v>6</v>
      </c>
      <c r="E518" s="165" t="s">
        <v>1050</v>
      </c>
      <c r="F518" s="165" t="str">
        <f>"上一招为拳法时，增加造成伤害"&amp;skill!$O$52/100&amp;"%的护甲"</f>
        <v>上一招为拳法时，增加造成伤害60%的护甲</v>
      </c>
      <c r="G518" s="186">
        <f ca="1">OFFSET(卡牌辅助配置表!$C$1,MATCH(AC518,卡牌辅助配置表!A:A,0)-1,0)</f>
        <v>3</v>
      </c>
      <c r="H518" s="186">
        <f ca="1" t="shared" si="87"/>
        <v>0</v>
      </c>
      <c r="I518" s="186"/>
      <c r="J518" s="186">
        <f ca="1">OFFSET(card_type!$F$1,MATCH(Q518,card_type!A:A,0)-1,0)</f>
        <v>3</v>
      </c>
      <c r="K518" s="243">
        <f ca="1">OFFSET(card_type!$G$1,MATCH(Q518,card_type!A:A,0)-1,0)</f>
        <v>3</v>
      </c>
      <c r="L518" s="157">
        <v>2</v>
      </c>
      <c r="M518" s="157">
        <v>2</v>
      </c>
      <c r="N518" s="153">
        <f t="shared" ref="N518:N581" si="89">IF(B517=B518,N517+1,1)</f>
        <v>3</v>
      </c>
      <c r="O518" s="157"/>
      <c r="P518" s="157"/>
      <c r="Q518" s="153">
        <f ca="1">OFFSET(card_type!$A$1,MATCH(card!B518,card_type!B:B,0)-1,0)</f>
        <v>1018</v>
      </c>
      <c r="R518" s="153">
        <v>1</v>
      </c>
      <c r="S518" s="157">
        <f ca="1">ROUND(IF(R518=0,0,IF(R518=1,X518*$S$1,IF(R518=2,X518*$S$1*buff的资质计算!$E$2,IF(R518=3,X518*$S$1*buff的资质计算!$E$3,0)))),0)*0</f>
        <v>0</v>
      </c>
      <c r="T518" s="153">
        <v>2</v>
      </c>
      <c r="U518" s="153">
        <f ca="1" t="shared" ref="U518:U581" si="90">J518*10+K518</f>
        <v>33</v>
      </c>
      <c r="V518" s="153">
        <f ca="1">ROUND((OFFSET(卡牌辅助配置表!$O$1,MATCH(U518,卡牌辅助配置表!M:M,0)-1,0)+(N518-1)*OFFSET(卡牌辅助配置表!$P$1,MATCH(U518,卡牌辅助配置表!M:M,0)-1,0))*M518,2)</f>
        <v>55.22</v>
      </c>
      <c r="W518" s="157">
        <f ca="1">ROUND(IF(R518=0,0,IF(R518=1,X518*$W$1,IF(R518=2,X518*$W$1*buff的资质计算!$E$2,IF(R518=3,X518*$W$1*buff的资质计算!$E$3,0)))),2)</f>
        <v>15</v>
      </c>
      <c r="X518" s="157">
        <f ca="1" t="shared" ref="X518:X581" si="91">M518*($M$1+(J518-1)*$J$1+(K518-1)*$K$1)+G518+$J$1*(N518-1)/$N$1</f>
        <v>50</v>
      </c>
      <c r="Y518" s="157">
        <f ca="1" t="shared" si="85"/>
        <v>50</v>
      </c>
      <c r="Z518" s="304">
        <f ca="1" t="shared" ref="Z518:Z581" si="92">Y518/M518</f>
        <v>25</v>
      </c>
      <c r="AA518" s="304">
        <f ca="1">OFFSET(卡牌辅助配置表!$AD$1,MATCH(AB518,卡牌辅助配置表!AB:AB,0)-1,0)</f>
        <v>1494</v>
      </c>
      <c r="AB518" s="304">
        <f ca="1" t="shared" ref="AB518:AB581" si="93">J518*1000+K518*100+N518</f>
        <v>3303</v>
      </c>
      <c r="AC518" s="153">
        <v>3</v>
      </c>
      <c r="AE518" s="153">
        <v>1</v>
      </c>
      <c r="AF518" s="153" t="str">
        <f ca="1" t="shared" si="86"/>
        <v>10180011|</v>
      </c>
      <c r="AJ518" s="205" t="str">
        <f ca="1" t="shared" ref="AJ518:AJ581" si="94">IF(AN518=0,0,IF(AL518=0,$AM$1&amp;$AF$1&amp;AM518&amp;$AF$1&amp;$AJ$1,AK518&amp;$AF$1&amp;AL518&amp;$AF$1&amp;$AJ$1&amp;$AM$1&amp;$AF$1&amp;AM518&amp;$AF$1&amp;$AJ$1))</f>
        <v>400023|2200|;</v>
      </c>
      <c r="AK518" s="205">
        <f ca="1">OFFSET([1]item_type!$A$1,MATCH(Q518,[1]item_type!$G:$G,0)-1,0)</f>
        <v>301018</v>
      </c>
      <c r="AL518" s="205"/>
      <c r="AM518" s="205">
        <f ca="1">IF(B518=B519,OFFSET(卡牌辅助配置表!$AE$1,MATCH(AB518,卡牌辅助配置表!AB:AB,0),0),0)</f>
        <v>2200</v>
      </c>
      <c r="AN518" s="153">
        <f ca="1" t="shared" ref="AN518:AN581" si="95">IF(B518=B519,A518+1,0)</f>
        <v>1018004</v>
      </c>
      <c r="AP518" s="153" t="str">
        <f ca="1">IF(AC518=0,0,IF(AC518=12,0,OFFSET(effect!$N$1,MATCH(K518,effect!M:M,0)-1,0)))</f>
        <v>kpsx_zise</v>
      </c>
    </row>
    <row r="519" spans="1:42">
      <c r="A519" s="153">
        <f ca="1" t="shared" si="88"/>
        <v>1018004</v>
      </c>
      <c r="B519" s="91" t="s">
        <v>661</v>
      </c>
      <c r="C519" s="186">
        <v>1</v>
      </c>
      <c r="D519" s="186">
        <v>6</v>
      </c>
      <c r="E519" s="165" t="s">
        <v>1050</v>
      </c>
      <c r="F519" s="165" t="str">
        <f>"上一招为拳法时，增加造成伤害"&amp;skill!$O$52/100&amp;"%的护甲"</f>
        <v>上一招为拳法时，增加造成伤害60%的护甲</v>
      </c>
      <c r="G519" s="186">
        <f ca="1">OFFSET(卡牌辅助配置表!$C$1,MATCH(AC519,卡牌辅助配置表!A:A,0)-1,0)</f>
        <v>3</v>
      </c>
      <c r="H519" s="186">
        <f ca="1" t="shared" si="87"/>
        <v>0</v>
      </c>
      <c r="I519" s="186"/>
      <c r="J519" s="186">
        <f ca="1">OFFSET(card_type!$F$1,MATCH(Q519,card_type!A:A,0)-1,0)</f>
        <v>3</v>
      </c>
      <c r="K519" s="243">
        <f ca="1">OFFSET(card_type!$G$1,MATCH(Q519,card_type!A:A,0)-1,0)</f>
        <v>3</v>
      </c>
      <c r="L519" s="157">
        <v>2</v>
      </c>
      <c r="M519" s="157">
        <v>2</v>
      </c>
      <c r="N519" s="153">
        <f t="shared" si="89"/>
        <v>4</v>
      </c>
      <c r="O519" s="157"/>
      <c r="P519" s="157"/>
      <c r="Q519" s="153">
        <f ca="1">OFFSET(card_type!$A$1,MATCH(card!B519,card_type!B:B,0)-1,0)</f>
        <v>1018</v>
      </c>
      <c r="R519" s="153">
        <v>1</v>
      </c>
      <c r="S519" s="157">
        <f ca="1">ROUND(IF(R519=0,0,IF(R519=1,X519*$S$1,IF(R519=2,X519*$S$1*buff的资质计算!$E$2,IF(R519=3,X519*$S$1*buff的资质计算!$E$3,0)))),0)*0</f>
        <v>0</v>
      </c>
      <c r="T519" s="153">
        <v>2</v>
      </c>
      <c r="U519" s="153">
        <f ca="1" t="shared" si="90"/>
        <v>33</v>
      </c>
      <c r="V519" s="153">
        <f ca="1">ROUND((OFFSET(卡牌辅助配置表!$O$1,MATCH(U519,卡牌辅助配置表!M:M,0)-1,0)+(N519-1)*OFFSET(卡牌辅助配置表!$P$1,MATCH(U519,卡牌辅助配置表!M:M,0)-1,0))*M519,2)</f>
        <v>59.86</v>
      </c>
      <c r="W519" s="157">
        <f ca="1">ROUND(IF(R519=0,0,IF(R519=1,X519*$W$1,IF(R519=2,X519*$W$1*buff的资质计算!$E$2,IF(R519=3,X519*$W$1*buff的资质计算!$E$3,0)))),2)</f>
        <v>15.15</v>
      </c>
      <c r="X519" s="157">
        <f ca="1" t="shared" si="91"/>
        <v>50.5</v>
      </c>
      <c r="Y519" s="157">
        <f ca="1" t="shared" si="85"/>
        <v>50.5</v>
      </c>
      <c r="Z519" s="304">
        <f ca="1" t="shared" si="92"/>
        <v>25.25</v>
      </c>
      <c r="AA519" s="304">
        <f ca="1">OFFSET(卡牌辅助配置表!$AD$1,MATCH(AB519,卡牌辅助配置表!AB:AB,0)-1,0)</f>
        <v>1992</v>
      </c>
      <c r="AB519" s="304">
        <f ca="1" t="shared" si="93"/>
        <v>3304</v>
      </c>
      <c r="AC519" s="153">
        <v>3</v>
      </c>
      <c r="AE519" s="153">
        <v>1</v>
      </c>
      <c r="AF519" s="153" t="str">
        <f ca="1" t="shared" si="86"/>
        <v>10180011|</v>
      </c>
      <c r="AJ519" s="205" t="str">
        <f ca="1" t="shared" si="94"/>
        <v>400023|2600|;</v>
      </c>
      <c r="AK519" s="205">
        <f ca="1">OFFSET([1]item_type!$A$1,MATCH(Q519,[1]item_type!$G:$G,0)-1,0)</f>
        <v>301018</v>
      </c>
      <c r="AL519" s="205"/>
      <c r="AM519" s="205">
        <f ca="1">IF(B519=B520,OFFSET(卡牌辅助配置表!$AE$1,MATCH(AB519,卡牌辅助配置表!AB:AB,0),0),0)</f>
        <v>2600</v>
      </c>
      <c r="AN519" s="153">
        <f ca="1" t="shared" si="95"/>
        <v>1018005</v>
      </c>
      <c r="AP519" s="153" t="str">
        <f ca="1">IF(AC519=0,0,IF(AC519=12,0,OFFSET(effect!$N$1,MATCH(K519,effect!M:M,0)-1,0)))</f>
        <v>kpsx_zise</v>
      </c>
    </row>
    <row r="520" spans="1:42">
      <c r="A520" s="153">
        <f ca="1" t="shared" si="88"/>
        <v>1018005</v>
      </c>
      <c r="B520" s="91" t="s">
        <v>661</v>
      </c>
      <c r="C520" s="186">
        <v>1</v>
      </c>
      <c r="D520" s="186">
        <v>6</v>
      </c>
      <c r="E520" s="165" t="s">
        <v>1050</v>
      </c>
      <c r="F520" s="165" t="str">
        <f>"上一招为拳法时，增加造成伤害"&amp;skill!$O$52/100&amp;"%的护甲"</f>
        <v>上一招为拳法时，增加造成伤害60%的护甲</v>
      </c>
      <c r="G520" s="186">
        <f ca="1">OFFSET(卡牌辅助配置表!$C$1,MATCH(AC520,卡牌辅助配置表!A:A,0)-1,0)</f>
        <v>3</v>
      </c>
      <c r="H520" s="186">
        <f ca="1" t="shared" si="87"/>
        <v>0</v>
      </c>
      <c r="I520" s="186"/>
      <c r="J520" s="186">
        <f ca="1">OFFSET(card_type!$F$1,MATCH(Q520,card_type!A:A,0)-1,0)</f>
        <v>3</v>
      </c>
      <c r="K520" s="243">
        <f ca="1">OFFSET(card_type!$G$1,MATCH(Q520,card_type!A:A,0)-1,0)</f>
        <v>3</v>
      </c>
      <c r="L520" s="157">
        <v>2</v>
      </c>
      <c r="M520" s="157">
        <v>2</v>
      </c>
      <c r="N520" s="153">
        <f t="shared" si="89"/>
        <v>5</v>
      </c>
      <c r="O520" s="157"/>
      <c r="P520" s="157"/>
      <c r="Q520" s="153">
        <f ca="1">OFFSET(card_type!$A$1,MATCH(card!B520,card_type!B:B,0)-1,0)</f>
        <v>1018</v>
      </c>
      <c r="R520" s="153">
        <v>1</v>
      </c>
      <c r="S520" s="157">
        <f ca="1">ROUND(IF(R520=0,0,IF(R520=1,X520*$S$1,IF(R520=2,X520*$S$1*buff的资质计算!$E$2,IF(R520=3,X520*$S$1*buff的资质计算!$E$3,0)))),0)*0</f>
        <v>0</v>
      </c>
      <c r="T520" s="153">
        <v>2</v>
      </c>
      <c r="U520" s="153">
        <f ca="1" t="shared" si="90"/>
        <v>33</v>
      </c>
      <c r="V520" s="153">
        <f ca="1">ROUND((OFFSET(卡牌辅助配置表!$O$1,MATCH(U520,卡牌辅助配置表!M:M,0)-1,0)+(N520-1)*OFFSET(卡牌辅助配置表!$P$1,MATCH(U520,卡牌辅助配置表!M:M,0)-1,0))*M520,2)</f>
        <v>64.5</v>
      </c>
      <c r="W520" s="157">
        <f ca="1">ROUND(IF(R520=0,0,IF(R520=1,X520*$W$1,IF(R520=2,X520*$W$1*buff的资质计算!$E$2,IF(R520=3,X520*$W$1*buff的资质计算!$E$3,0)))),2)</f>
        <v>15.3</v>
      </c>
      <c r="X520" s="157">
        <f ca="1" t="shared" si="91"/>
        <v>51</v>
      </c>
      <c r="Y520" s="157">
        <f ca="1" t="shared" si="85"/>
        <v>51</v>
      </c>
      <c r="Z520" s="304">
        <f ca="1" t="shared" si="92"/>
        <v>25.5</v>
      </c>
      <c r="AA520" s="304">
        <f ca="1">OFFSET(卡牌辅助配置表!$AD$1,MATCH(AB520,卡牌辅助配置表!AB:AB,0)-1,0)</f>
        <v>2490</v>
      </c>
      <c r="AB520" s="304">
        <f ca="1" t="shared" si="93"/>
        <v>3305</v>
      </c>
      <c r="AC520" s="153">
        <v>3</v>
      </c>
      <c r="AE520" s="153">
        <v>1</v>
      </c>
      <c r="AF520" s="153" t="str">
        <f ca="1" t="shared" si="86"/>
        <v>10180011|</v>
      </c>
      <c r="AJ520" s="205" t="str">
        <f ca="1" t="shared" si="94"/>
        <v>400023|3000|;</v>
      </c>
      <c r="AK520" s="205">
        <f ca="1">OFFSET([1]item_type!$A$1,MATCH(Q520,[1]item_type!$G:$G,0)-1,0)</f>
        <v>301018</v>
      </c>
      <c r="AL520" s="205"/>
      <c r="AM520" s="205">
        <f ca="1">IF(B520=B521,OFFSET(卡牌辅助配置表!$AE$1,MATCH(AB520,卡牌辅助配置表!AB:AB,0),0),0)</f>
        <v>3000</v>
      </c>
      <c r="AN520" s="153">
        <f ca="1" t="shared" si="95"/>
        <v>1018006</v>
      </c>
      <c r="AP520" s="153" t="str">
        <f ca="1">IF(AC520=0,0,IF(AC520=12,0,OFFSET(effect!$N$1,MATCH(K520,effect!M:M,0)-1,0)))</f>
        <v>kpsx_zise</v>
      </c>
    </row>
    <row r="521" spans="1:42">
      <c r="A521" s="153">
        <f ca="1" t="shared" si="88"/>
        <v>1018006</v>
      </c>
      <c r="B521" s="91" t="s">
        <v>661</v>
      </c>
      <c r="C521" s="186">
        <v>1</v>
      </c>
      <c r="D521" s="186">
        <v>6</v>
      </c>
      <c r="E521" s="165" t="s">
        <v>1050</v>
      </c>
      <c r="F521" s="165" t="str">
        <f>"上一招为拳法时，增加造成伤害"&amp;skill!$O$52/100&amp;"%的护甲"</f>
        <v>上一招为拳法时，增加造成伤害60%的护甲</v>
      </c>
      <c r="G521" s="186">
        <f ca="1">OFFSET(卡牌辅助配置表!$C$1,MATCH(AC521,卡牌辅助配置表!A:A,0)-1,0)</f>
        <v>3</v>
      </c>
      <c r="H521" s="186">
        <f ca="1" t="shared" si="87"/>
        <v>0</v>
      </c>
      <c r="I521" s="186"/>
      <c r="J521" s="186">
        <f ca="1">OFFSET(card_type!$F$1,MATCH(Q521,card_type!A:A,0)-1,0)</f>
        <v>3</v>
      </c>
      <c r="K521" s="243">
        <f ca="1">OFFSET(card_type!$G$1,MATCH(Q521,card_type!A:A,0)-1,0)</f>
        <v>3</v>
      </c>
      <c r="L521" s="157">
        <v>2</v>
      </c>
      <c r="M521" s="157">
        <v>2</v>
      </c>
      <c r="N521" s="153">
        <f t="shared" si="89"/>
        <v>6</v>
      </c>
      <c r="O521" s="157"/>
      <c r="P521" s="157"/>
      <c r="Q521" s="153">
        <f ca="1">OFFSET(card_type!$A$1,MATCH(card!B521,card_type!B:B,0)-1,0)</f>
        <v>1018</v>
      </c>
      <c r="R521" s="153">
        <v>1</v>
      </c>
      <c r="S521" s="157">
        <f ca="1">ROUND(IF(R521=0,0,IF(R521=1,X521*$S$1,IF(R521=2,X521*$S$1*buff的资质计算!$E$2,IF(R521=3,X521*$S$1*buff的资质计算!$E$3,0)))),0)*0</f>
        <v>0</v>
      </c>
      <c r="T521" s="153">
        <v>2</v>
      </c>
      <c r="U521" s="153">
        <f ca="1" t="shared" si="90"/>
        <v>33</v>
      </c>
      <c r="V521" s="153">
        <f ca="1">ROUND((OFFSET(卡牌辅助配置表!$O$1,MATCH(U521,卡牌辅助配置表!M:M,0)-1,0)+(N521-1)*OFFSET(卡牌辅助配置表!$P$1,MATCH(U521,卡牌辅助配置表!M:M,0)-1,0))*M521,2)</f>
        <v>69.14</v>
      </c>
      <c r="W521" s="157">
        <f ca="1">ROUND(IF(R521=0,0,IF(R521=1,X521*$W$1,IF(R521=2,X521*$W$1*buff的资质计算!$E$2,IF(R521=3,X521*$W$1*buff的资质计算!$E$3,0)))),2)</f>
        <v>15.45</v>
      </c>
      <c r="X521" s="157">
        <f ca="1" t="shared" si="91"/>
        <v>51.5</v>
      </c>
      <c r="Y521" s="157">
        <f ca="1" t="shared" si="85"/>
        <v>51.5</v>
      </c>
      <c r="Z521" s="304">
        <f ca="1" t="shared" si="92"/>
        <v>25.75</v>
      </c>
      <c r="AA521" s="304">
        <f ca="1">OFFSET(卡牌辅助配置表!$AD$1,MATCH(AB521,卡牌辅助配置表!AB:AB,0)-1,0)</f>
        <v>2988</v>
      </c>
      <c r="AB521" s="304">
        <f ca="1" t="shared" si="93"/>
        <v>3306</v>
      </c>
      <c r="AC521" s="153">
        <v>3</v>
      </c>
      <c r="AE521" s="153">
        <v>1</v>
      </c>
      <c r="AF521" s="153" t="str">
        <f ca="1" t="shared" si="86"/>
        <v>10180011|</v>
      </c>
      <c r="AJ521" s="205" t="str">
        <f ca="1" t="shared" si="94"/>
        <v>400023|3400|;</v>
      </c>
      <c r="AK521" s="205">
        <f ca="1">OFFSET([1]item_type!$A$1,MATCH(Q521,[1]item_type!$G:$G,0)-1,0)</f>
        <v>301018</v>
      </c>
      <c r="AL521" s="205"/>
      <c r="AM521" s="205">
        <f ca="1">IF(B521=B522,OFFSET(卡牌辅助配置表!$AE$1,MATCH(AB521,卡牌辅助配置表!AB:AB,0),0),0)</f>
        <v>3400</v>
      </c>
      <c r="AN521" s="153">
        <f ca="1" t="shared" si="95"/>
        <v>1018007</v>
      </c>
      <c r="AP521" s="153" t="str">
        <f ca="1">IF(AC521=0,0,IF(AC521=12,0,OFFSET(effect!$N$1,MATCH(K521,effect!M:M,0)-1,0)))</f>
        <v>kpsx_zise</v>
      </c>
    </row>
    <row r="522" spans="1:42">
      <c r="A522" s="153">
        <f ca="1" t="shared" si="88"/>
        <v>1018007</v>
      </c>
      <c r="B522" s="91" t="s">
        <v>661</v>
      </c>
      <c r="C522" s="186">
        <v>1</v>
      </c>
      <c r="D522" s="186">
        <v>6</v>
      </c>
      <c r="E522" s="165" t="s">
        <v>1050</v>
      </c>
      <c r="F522" s="165" t="str">
        <f>"上一招为拳法时，增加造成伤害"&amp;skill!$O$52/100&amp;"%的护甲"</f>
        <v>上一招为拳法时，增加造成伤害60%的护甲</v>
      </c>
      <c r="G522" s="186">
        <f ca="1">OFFSET(卡牌辅助配置表!$C$1,MATCH(AC522,卡牌辅助配置表!A:A,0)-1,0)</f>
        <v>3</v>
      </c>
      <c r="H522" s="186">
        <f ca="1" t="shared" si="87"/>
        <v>0</v>
      </c>
      <c r="I522" s="186"/>
      <c r="J522" s="186">
        <f ca="1">OFFSET(card_type!$F$1,MATCH(Q522,card_type!A:A,0)-1,0)</f>
        <v>3</v>
      </c>
      <c r="K522" s="243">
        <f ca="1">OFFSET(card_type!$G$1,MATCH(Q522,card_type!A:A,0)-1,0)</f>
        <v>3</v>
      </c>
      <c r="L522" s="157">
        <v>2</v>
      </c>
      <c r="M522" s="157">
        <v>2</v>
      </c>
      <c r="N522" s="153">
        <f t="shared" si="89"/>
        <v>7</v>
      </c>
      <c r="O522" s="157"/>
      <c r="P522" s="157"/>
      <c r="Q522" s="153">
        <f ca="1">OFFSET(card_type!$A$1,MATCH(card!B522,card_type!B:B,0)-1,0)</f>
        <v>1018</v>
      </c>
      <c r="R522" s="153">
        <v>1</v>
      </c>
      <c r="S522" s="157">
        <f ca="1">ROUND(IF(R522=0,0,IF(R522=1,X522*$S$1,IF(R522=2,X522*$S$1*buff的资质计算!$E$2,IF(R522=3,X522*$S$1*buff的资质计算!$E$3,0)))),0)*0</f>
        <v>0</v>
      </c>
      <c r="T522" s="153">
        <v>2</v>
      </c>
      <c r="U522" s="153">
        <f ca="1" t="shared" si="90"/>
        <v>33</v>
      </c>
      <c r="V522" s="153">
        <f ca="1">ROUND((OFFSET(卡牌辅助配置表!$O$1,MATCH(U522,卡牌辅助配置表!M:M,0)-1,0)+(N522-1)*OFFSET(卡牌辅助配置表!$P$1,MATCH(U522,卡牌辅助配置表!M:M,0)-1,0))*M522,2)</f>
        <v>73.78</v>
      </c>
      <c r="W522" s="157">
        <f ca="1">ROUND(IF(R522=0,0,IF(R522=1,X522*$W$1,IF(R522=2,X522*$W$1*buff的资质计算!$E$2,IF(R522=3,X522*$W$1*buff的资质计算!$E$3,0)))),2)</f>
        <v>15.6</v>
      </c>
      <c r="X522" s="157">
        <f ca="1" t="shared" si="91"/>
        <v>52</v>
      </c>
      <c r="Y522" s="157">
        <f ca="1" t="shared" si="85"/>
        <v>52</v>
      </c>
      <c r="Z522" s="304">
        <f ca="1" t="shared" si="92"/>
        <v>26</v>
      </c>
      <c r="AA522" s="304">
        <f ca="1">OFFSET(卡牌辅助配置表!$AD$1,MATCH(AB522,卡牌辅助配置表!AB:AB,0)-1,0)</f>
        <v>3486</v>
      </c>
      <c r="AB522" s="304">
        <f ca="1" t="shared" si="93"/>
        <v>3307</v>
      </c>
      <c r="AC522" s="153">
        <v>3</v>
      </c>
      <c r="AE522" s="153">
        <v>1</v>
      </c>
      <c r="AF522" s="153" t="str">
        <f ca="1" t="shared" si="86"/>
        <v>10180011|</v>
      </c>
      <c r="AJ522" s="205" t="str">
        <f ca="1" t="shared" si="94"/>
        <v>400023|3800|;</v>
      </c>
      <c r="AK522" s="205">
        <f ca="1">OFFSET([1]item_type!$A$1,MATCH(Q522,[1]item_type!$G:$G,0)-1,0)</f>
        <v>301018</v>
      </c>
      <c r="AL522" s="205"/>
      <c r="AM522" s="205">
        <f ca="1">IF(B522=B523,OFFSET(卡牌辅助配置表!$AE$1,MATCH(AB522,卡牌辅助配置表!AB:AB,0),0),0)</f>
        <v>3800</v>
      </c>
      <c r="AN522" s="153">
        <f ca="1" t="shared" si="95"/>
        <v>1018008</v>
      </c>
      <c r="AP522" s="153" t="str">
        <f ca="1">IF(AC522=0,0,IF(AC522=12,0,OFFSET(effect!$N$1,MATCH(K522,effect!M:M,0)-1,0)))</f>
        <v>kpsx_zise</v>
      </c>
    </row>
    <row r="523" spans="1:42">
      <c r="A523" s="153">
        <f ca="1" t="shared" si="88"/>
        <v>1018008</v>
      </c>
      <c r="B523" s="91" t="s">
        <v>661</v>
      </c>
      <c r="C523" s="186">
        <v>1</v>
      </c>
      <c r="D523" s="186">
        <v>6</v>
      </c>
      <c r="E523" s="165" t="s">
        <v>1050</v>
      </c>
      <c r="F523" s="165" t="str">
        <f>"上一招为拳法时，增加造成伤害"&amp;skill!$O$52/100&amp;"%的护甲"</f>
        <v>上一招为拳法时，增加造成伤害60%的护甲</v>
      </c>
      <c r="G523" s="186">
        <f ca="1">OFFSET(卡牌辅助配置表!$C$1,MATCH(AC523,卡牌辅助配置表!A:A,0)-1,0)</f>
        <v>3</v>
      </c>
      <c r="H523" s="186">
        <f ca="1" t="shared" si="87"/>
        <v>0</v>
      </c>
      <c r="I523" s="186"/>
      <c r="J523" s="186">
        <f ca="1">OFFSET(card_type!$F$1,MATCH(Q523,card_type!A:A,0)-1,0)</f>
        <v>3</v>
      </c>
      <c r="K523" s="243">
        <f ca="1">OFFSET(card_type!$G$1,MATCH(Q523,card_type!A:A,0)-1,0)</f>
        <v>3</v>
      </c>
      <c r="L523" s="157">
        <v>2</v>
      </c>
      <c r="M523" s="157">
        <v>2</v>
      </c>
      <c r="N523" s="153">
        <f t="shared" si="89"/>
        <v>8</v>
      </c>
      <c r="O523" s="157"/>
      <c r="P523" s="157"/>
      <c r="Q523" s="153">
        <f ca="1">OFFSET(card_type!$A$1,MATCH(card!B523,card_type!B:B,0)-1,0)</f>
        <v>1018</v>
      </c>
      <c r="R523" s="153">
        <v>1</v>
      </c>
      <c r="S523" s="157">
        <f ca="1">ROUND(IF(R523=0,0,IF(R523=1,X523*$S$1,IF(R523=2,X523*$S$1*buff的资质计算!$E$2,IF(R523=3,X523*$S$1*buff的资质计算!$E$3,0)))),0)*0</f>
        <v>0</v>
      </c>
      <c r="T523" s="153">
        <v>2</v>
      </c>
      <c r="U523" s="153">
        <f ca="1" t="shared" si="90"/>
        <v>33</v>
      </c>
      <c r="V523" s="153">
        <f ca="1">ROUND((OFFSET(卡牌辅助配置表!$O$1,MATCH(U523,卡牌辅助配置表!M:M,0)-1,0)+(N523-1)*OFFSET(卡牌辅助配置表!$P$1,MATCH(U523,卡牌辅助配置表!M:M,0)-1,0))*M523,2)</f>
        <v>78.42</v>
      </c>
      <c r="W523" s="157">
        <f ca="1">ROUND(IF(R523=0,0,IF(R523=1,X523*$W$1,IF(R523=2,X523*$W$1*buff的资质计算!$E$2,IF(R523=3,X523*$W$1*buff的资质计算!$E$3,0)))),2)</f>
        <v>15.75</v>
      </c>
      <c r="X523" s="157">
        <f ca="1" t="shared" si="91"/>
        <v>52.5</v>
      </c>
      <c r="Y523" s="157">
        <f ca="1" t="shared" si="85"/>
        <v>52.5</v>
      </c>
      <c r="Z523" s="304">
        <f ca="1" t="shared" si="92"/>
        <v>26.25</v>
      </c>
      <c r="AA523" s="304">
        <f ca="1">OFFSET(卡牌辅助配置表!$AD$1,MATCH(AB523,卡牌辅助配置表!AB:AB,0)-1,0)</f>
        <v>3984</v>
      </c>
      <c r="AB523" s="304">
        <f ca="1" t="shared" si="93"/>
        <v>3308</v>
      </c>
      <c r="AC523" s="153">
        <v>3</v>
      </c>
      <c r="AE523" s="153">
        <v>1</v>
      </c>
      <c r="AF523" s="153" t="str">
        <f ca="1" t="shared" si="86"/>
        <v>10180011|</v>
      </c>
      <c r="AJ523" s="205" t="str">
        <f ca="1" t="shared" si="94"/>
        <v>400023|4200|;</v>
      </c>
      <c r="AK523" s="205">
        <f ca="1">OFFSET([1]item_type!$A$1,MATCH(Q523,[1]item_type!$G:$G,0)-1,0)</f>
        <v>301018</v>
      </c>
      <c r="AL523" s="205"/>
      <c r="AM523" s="205">
        <f ca="1">IF(B523=B524,OFFSET(卡牌辅助配置表!$AE$1,MATCH(AB523,卡牌辅助配置表!AB:AB,0),0),0)</f>
        <v>4200</v>
      </c>
      <c r="AN523" s="153">
        <f ca="1" t="shared" si="95"/>
        <v>1018009</v>
      </c>
      <c r="AP523" s="153" t="str">
        <f ca="1">IF(AC523=0,0,IF(AC523=12,0,OFFSET(effect!$N$1,MATCH(K523,effect!M:M,0)-1,0)))</f>
        <v>kpsx_zise</v>
      </c>
    </row>
    <row r="524" spans="1:42">
      <c r="A524" s="153">
        <f ca="1" t="shared" si="88"/>
        <v>1018009</v>
      </c>
      <c r="B524" s="91" t="s">
        <v>661</v>
      </c>
      <c r="C524" s="186">
        <v>1</v>
      </c>
      <c r="D524" s="186">
        <v>6</v>
      </c>
      <c r="E524" s="165" t="s">
        <v>1050</v>
      </c>
      <c r="F524" s="165" t="str">
        <f>"上一招为拳法时，增加造成伤害"&amp;skill!$O$52/100&amp;"%的护甲"</f>
        <v>上一招为拳法时，增加造成伤害60%的护甲</v>
      </c>
      <c r="G524" s="186">
        <f ca="1">OFFSET(卡牌辅助配置表!$C$1,MATCH(AC524,卡牌辅助配置表!A:A,0)-1,0)</f>
        <v>3</v>
      </c>
      <c r="H524" s="186">
        <f ca="1" t="shared" si="87"/>
        <v>0</v>
      </c>
      <c r="I524" s="186"/>
      <c r="J524" s="186">
        <f ca="1">OFFSET(card_type!$F$1,MATCH(Q524,card_type!A:A,0)-1,0)</f>
        <v>3</v>
      </c>
      <c r="K524" s="243">
        <f ca="1">OFFSET(card_type!$G$1,MATCH(Q524,card_type!A:A,0)-1,0)</f>
        <v>3</v>
      </c>
      <c r="L524" s="157">
        <v>2</v>
      </c>
      <c r="M524" s="157">
        <v>2</v>
      </c>
      <c r="N524" s="153">
        <f t="shared" si="89"/>
        <v>9</v>
      </c>
      <c r="O524" s="157"/>
      <c r="P524" s="157"/>
      <c r="Q524" s="153">
        <f ca="1">OFFSET(card_type!$A$1,MATCH(card!B524,card_type!B:B,0)-1,0)</f>
        <v>1018</v>
      </c>
      <c r="R524" s="153">
        <v>1</v>
      </c>
      <c r="S524" s="157">
        <f ca="1">ROUND(IF(R524=0,0,IF(R524=1,X524*$S$1,IF(R524=2,X524*$S$1*buff的资质计算!$E$2,IF(R524=3,X524*$S$1*buff的资质计算!$E$3,0)))),0)*0</f>
        <v>0</v>
      </c>
      <c r="T524" s="153">
        <v>2</v>
      </c>
      <c r="U524" s="153">
        <f ca="1" t="shared" si="90"/>
        <v>33</v>
      </c>
      <c r="V524" s="153">
        <f ca="1">ROUND((OFFSET(卡牌辅助配置表!$O$1,MATCH(U524,卡牌辅助配置表!M:M,0)-1,0)+(N524-1)*OFFSET(卡牌辅助配置表!$P$1,MATCH(U524,卡牌辅助配置表!M:M,0)-1,0))*M524,2)</f>
        <v>83.06</v>
      </c>
      <c r="W524" s="157">
        <f ca="1">ROUND(IF(R524=0,0,IF(R524=1,X524*$W$1,IF(R524=2,X524*$W$1*buff的资质计算!$E$2,IF(R524=3,X524*$W$1*buff的资质计算!$E$3,0)))),2)</f>
        <v>15.9</v>
      </c>
      <c r="X524" s="157">
        <f ca="1" t="shared" si="91"/>
        <v>53</v>
      </c>
      <c r="Y524" s="157">
        <f ca="1" t="shared" si="85"/>
        <v>53</v>
      </c>
      <c r="Z524" s="304">
        <f ca="1" t="shared" si="92"/>
        <v>26.5</v>
      </c>
      <c r="AA524" s="304">
        <f ca="1">OFFSET(卡牌辅助配置表!$AD$1,MATCH(AB524,卡牌辅助配置表!AB:AB,0)-1,0)</f>
        <v>4482</v>
      </c>
      <c r="AB524" s="304">
        <f ca="1" t="shared" si="93"/>
        <v>3309</v>
      </c>
      <c r="AC524" s="153">
        <v>3</v>
      </c>
      <c r="AE524" s="153">
        <v>1</v>
      </c>
      <c r="AF524" s="153" t="str">
        <f ca="1" t="shared" si="86"/>
        <v>10180011|</v>
      </c>
      <c r="AJ524" s="205" t="str">
        <f ca="1" t="shared" si="94"/>
        <v>301018|15|;400023|4600|;</v>
      </c>
      <c r="AK524" s="205">
        <f ca="1">OFFSET([1]item_type!$A$1,MATCH(Q524,[1]item_type!$G:$G,0)-1,0)</f>
        <v>301018</v>
      </c>
      <c r="AL524" s="205">
        <v>15</v>
      </c>
      <c r="AM524" s="205">
        <f ca="1">IF(B524=B525,OFFSET(卡牌辅助配置表!$AE$1,MATCH(AB524,卡牌辅助配置表!AB:AB,0),0),0)</f>
        <v>4600</v>
      </c>
      <c r="AN524" s="153">
        <f ca="1" t="shared" si="95"/>
        <v>1018010</v>
      </c>
      <c r="AP524" s="153" t="str">
        <f ca="1">IF(AC524=0,0,IF(AC524=12,0,OFFSET(effect!$N$1,MATCH(K524,effect!M:M,0)-1,0)))</f>
        <v>kpsx_zise</v>
      </c>
    </row>
    <row r="525" spans="1:42">
      <c r="A525" s="153">
        <f ca="1" t="shared" si="88"/>
        <v>1018010</v>
      </c>
      <c r="B525" s="91" t="s">
        <v>661</v>
      </c>
      <c r="C525" s="186">
        <v>1</v>
      </c>
      <c r="D525" s="186">
        <v>6</v>
      </c>
      <c r="E525" s="165" t="s">
        <v>1050</v>
      </c>
      <c r="F525" s="165" t="str">
        <f>"上一招为拳法时，增加造成伤害"&amp;skill!$O$52/100&amp;"%的护甲"</f>
        <v>上一招为拳法时，增加造成伤害60%的护甲</v>
      </c>
      <c r="G525" s="186">
        <f ca="1">OFFSET(卡牌辅助配置表!$C$1,MATCH(AC525,卡牌辅助配置表!A:A,0)-1,0)</f>
        <v>3</v>
      </c>
      <c r="H525" s="186">
        <f ca="1" t="shared" si="87"/>
        <v>0</v>
      </c>
      <c r="I525" s="186"/>
      <c r="J525" s="186">
        <f ca="1">OFFSET(card_type!$F$1,MATCH(Q525,card_type!A:A,0)-1,0)</f>
        <v>3</v>
      </c>
      <c r="K525" s="243">
        <f ca="1">OFFSET(card_type!$G$1,MATCH(Q525,card_type!A:A,0)-1,0)</f>
        <v>3</v>
      </c>
      <c r="L525" s="157">
        <v>2</v>
      </c>
      <c r="M525" s="157">
        <v>2</v>
      </c>
      <c r="N525" s="153">
        <f t="shared" si="89"/>
        <v>10</v>
      </c>
      <c r="O525" s="157"/>
      <c r="P525" s="157"/>
      <c r="Q525" s="153">
        <f ca="1">OFFSET(card_type!$A$1,MATCH(card!B525,card_type!B:B,0)-1,0)</f>
        <v>1018</v>
      </c>
      <c r="R525" s="153">
        <v>1</v>
      </c>
      <c r="S525" s="157">
        <f ca="1">ROUND(IF(R525=0,0,IF(R525=1,X525*$S$1,IF(R525=2,X525*$S$1*buff的资质计算!$E$2,IF(R525=3,X525*$S$1*buff的资质计算!$E$3,0)))),0)*0</f>
        <v>0</v>
      </c>
      <c r="T525" s="153">
        <v>2</v>
      </c>
      <c r="U525" s="153">
        <f ca="1" t="shared" si="90"/>
        <v>33</v>
      </c>
      <c r="V525" s="153">
        <f ca="1">ROUND((OFFSET(卡牌辅助配置表!$O$1,MATCH(U525,卡牌辅助配置表!M:M,0)-1,0)+(N525-1)*OFFSET(卡牌辅助配置表!$P$1,MATCH(U525,卡牌辅助配置表!M:M,0)-1,0))*M525,2)</f>
        <v>87.7</v>
      </c>
      <c r="W525" s="157">
        <f ca="1">ROUND(IF(R525=0,0,IF(R525=1,X525*$W$1,IF(R525=2,X525*$W$1*buff的资质计算!$E$2,IF(R525=3,X525*$W$1*buff的资质计算!$E$3,0)))),2)</f>
        <v>16.05</v>
      </c>
      <c r="X525" s="157">
        <f ca="1" t="shared" si="91"/>
        <v>53.5</v>
      </c>
      <c r="Y525" s="157">
        <f ca="1" t="shared" si="85"/>
        <v>53.5</v>
      </c>
      <c r="Z525" s="304">
        <f ca="1" t="shared" si="92"/>
        <v>26.75</v>
      </c>
      <c r="AA525" s="304">
        <f ca="1">OFFSET(卡牌辅助配置表!$AD$1,MATCH(AB525,卡牌辅助配置表!AB:AB,0)-1,0)</f>
        <v>4980</v>
      </c>
      <c r="AB525" s="304">
        <f ca="1" t="shared" si="93"/>
        <v>3310</v>
      </c>
      <c r="AC525" s="153">
        <v>3</v>
      </c>
      <c r="AE525" s="153">
        <v>1</v>
      </c>
      <c r="AF525" s="153" t="str">
        <f ca="1" t="shared" si="86"/>
        <v>10180011|</v>
      </c>
      <c r="AJ525" s="205" t="str">
        <f ca="1" t="shared" si="94"/>
        <v>400023|5400|;</v>
      </c>
      <c r="AK525" s="205">
        <f ca="1">OFFSET([1]item_type!$A$1,MATCH(Q525,[1]item_type!$G:$G,0)-1,0)</f>
        <v>301018</v>
      </c>
      <c r="AL525" s="205"/>
      <c r="AM525" s="205">
        <f ca="1">IF(B525=B526,OFFSET(卡牌辅助配置表!$AE$1,MATCH(AB525,卡牌辅助配置表!AB:AB,0),0),0)</f>
        <v>5400</v>
      </c>
      <c r="AN525" s="153">
        <f ca="1" t="shared" si="95"/>
        <v>1018011</v>
      </c>
      <c r="AP525" s="153" t="str">
        <f ca="1">IF(AC525=0,0,IF(AC525=12,0,OFFSET(effect!$N$1,MATCH(K525,effect!M:M,0)-1,0)))</f>
        <v>kpsx_zise</v>
      </c>
    </row>
    <row r="526" spans="1:42">
      <c r="A526" s="153">
        <f ca="1" t="shared" si="88"/>
        <v>1018011</v>
      </c>
      <c r="B526" s="91" t="s">
        <v>661</v>
      </c>
      <c r="C526" s="186">
        <v>1</v>
      </c>
      <c r="D526" s="186">
        <v>6</v>
      </c>
      <c r="E526" s="165" t="s">
        <v>1050</v>
      </c>
      <c r="F526" s="165" t="str">
        <f>"上一招为拳法时，增加造成伤害"&amp;skill!$O$52/100&amp;"%的护甲"</f>
        <v>上一招为拳法时，增加造成伤害60%的护甲</v>
      </c>
      <c r="G526" s="186">
        <f ca="1">OFFSET(卡牌辅助配置表!$C$1,MATCH(AC526,卡牌辅助配置表!A:A,0)-1,0)</f>
        <v>3</v>
      </c>
      <c r="H526" s="186">
        <f ca="1" t="shared" si="87"/>
        <v>0</v>
      </c>
      <c r="I526" s="186"/>
      <c r="J526" s="186">
        <f ca="1">OFFSET(card_type!$F$1,MATCH(Q526,card_type!A:A,0)-1,0)</f>
        <v>3</v>
      </c>
      <c r="K526" s="243">
        <f ca="1">OFFSET(card_type!$G$1,MATCH(Q526,card_type!A:A,0)-1,0)</f>
        <v>3</v>
      </c>
      <c r="L526" s="157">
        <v>2</v>
      </c>
      <c r="M526" s="157">
        <v>2</v>
      </c>
      <c r="N526" s="153">
        <f t="shared" si="89"/>
        <v>11</v>
      </c>
      <c r="O526" s="157"/>
      <c r="P526" s="157"/>
      <c r="Q526" s="153">
        <f ca="1">OFFSET(card_type!$A$1,MATCH(card!B526,card_type!B:B,0)-1,0)</f>
        <v>1018</v>
      </c>
      <c r="R526" s="153">
        <v>1</v>
      </c>
      <c r="S526" s="157">
        <f ca="1">ROUND(IF(R526=0,0,IF(R526=1,X526*$S$1,IF(R526=2,X526*$S$1*buff的资质计算!$E$2,IF(R526=3,X526*$S$1*buff的资质计算!$E$3,0)))),0)*0</f>
        <v>0</v>
      </c>
      <c r="T526" s="153">
        <v>2</v>
      </c>
      <c r="U526" s="153">
        <f ca="1" t="shared" si="90"/>
        <v>33</v>
      </c>
      <c r="V526" s="153">
        <f ca="1">ROUND((OFFSET(卡牌辅助配置表!$O$1,MATCH(U526,卡牌辅助配置表!M:M,0)-1,0)+(N526-1)*OFFSET(卡牌辅助配置表!$P$1,MATCH(U526,卡牌辅助配置表!M:M,0)-1,0))*M526,2)</f>
        <v>92.34</v>
      </c>
      <c r="W526" s="157">
        <f ca="1">ROUND(IF(R526=0,0,IF(R526=1,X526*$W$1,IF(R526=2,X526*$W$1*buff的资质计算!$E$2,IF(R526=3,X526*$W$1*buff的资质计算!$E$3,0)))),2)</f>
        <v>16.2</v>
      </c>
      <c r="X526" s="157">
        <f ca="1" t="shared" si="91"/>
        <v>54</v>
      </c>
      <c r="Y526" s="157">
        <f ca="1" t="shared" si="85"/>
        <v>54</v>
      </c>
      <c r="Z526" s="304">
        <f ca="1" t="shared" si="92"/>
        <v>27</v>
      </c>
      <c r="AA526" s="304">
        <f ca="1">OFFSET(卡牌辅助配置表!$AD$1,MATCH(AB526,卡牌辅助配置表!AB:AB,0)-1,0)</f>
        <v>5727</v>
      </c>
      <c r="AB526" s="304">
        <f ca="1" t="shared" si="93"/>
        <v>3311</v>
      </c>
      <c r="AC526" s="153">
        <v>3</v>
      </c>
      <c r="AE526" s="153">
        <v>1</v>
      </c>
      <c r="AF526" s="153" t="str">
        <f ca="1" t="shared" si="86"/>
        <v>10180011|</v>
      </c>
      <c r="AJ526" s="205" t="str">
        <f ca="1" t="shared" si="94"/>
        <v>400023|6200|;</v>
      </c>
      <c r="AK526" s="205">
        <f ca="1">OFFSET([1]item_type!$A$1,MATCH(Q526,[1]item_type!$G:$G,0)-1,0)</f>
        <v>301018</v>
      </c>
      <c r="AL526" s="205"/>
      <c r="AM526" s="205">
        <f ca="1">IF(B526=B527,OFFSET(卡牌辅助配置表!$AE$1,MATCH(AB526,卡牌辅助配置表!AB:AB,0),0),0)</f>
        <v>6200</v>
      </c>
      <c r="AN526" s="153">
        <f ca="1" t="shared" si="95"/>
        <v>1018012</v>
      </c>
      <c r="AP526" s="153" t="str">
        <f ca="1">IF(AC526=0,0,IF(AC526=12,0,OFFSET(effect!$N$1,MATCH(K526,effect!M:M,0)-1,0)))</f>
        <v>kpsx_zise</v>
      </c>
    </row>
    <row r="527" spans="1:42">
      <c r="A527" s="153">
        <f ca="1" t="shared" si="88"/>
        <v>1018012</v>
      </c>
      <c r="B527" s="91" t="s">
        <v>661</v>
      </c>
      <c r="C527" s="186">
        <v>1</v>
      </c>
      <c r="D527" s="186">
        <v>6</v>
      </c>
      <c r="E527" s="165" t="s">
        <v>1050</v>
      </c>
      <c r="F527" s="165" t="str">
        <f>"上一招为拳法时，增加造成伤害"&amp;skill!$O$52/100&amp;"%的护甲"</f>
        <v>上一招为拳法时，增加造成伤害60%的护甲</v>
      </c>
      <c r="G527" s="186">
        <f ca="1">OFFSET(卡牌辅助配置表!$C$1,MATCH(AC527,卡牌辅助配置表!A:A,0)-1,0)</f>
        <v>3</v>
      </c>
      <c r="H527" s="186">
        <f ca="1" t="shared" si="87"/>
        <v>0</v>
      </c>
      <c r="I527" s="186"/>
      <c r="J527" s="186">
        <f ca="1">OFFSET(card_type!$F$1,MATCH(Q527,card_type!A:A,0)-1,0)</f>
        <v>3</v>
      </c>
      <c r="K527" s="243">
        <f ca="1">OFFSET(card_type!$G$1,MATCH(Q527,card_type!A:A,0)-1,0)</f>
        <v>3</v>
      </c>
      <c r="L527" s="157">
        <v>2</v>
      </c>
      <c r="M527" s="157">
        <v>2</v>
      </c>
      <c r="N527" s="153">
        <f t="shared" si="89"/>
        <v>12</v>
      </c>
      <c r="O527" s="157"/>
      <c r="P527" s="157"/>
      <c r="Q527" s="153">
        <f ca="1">OFFSET(card_type!$A$1,MATCH(card!B527,card_type!B:B,0)-1,0)</f>
        <v>1018</v>
      </c>
      <c r="R527" s="153">
        <v>1</v>
      </c>
      <c r="S527" s="157">
        <f ca="1">ROUND(IF(R527=0,0,IF(R527=1,X527*$S$1,IF(R527=2,X527*$S$1*buff的资质计算!$E$2,IF(R527=3,X527*$S$1*buff的资质计算!$E$3,0)))),0)*0</f>
        <v>0</v>
      </c>
      <c r="T527" s="153">
        <v>2</v>
      </c>
      <c r="U527" s="153">
        <f ca="1" t="shared" si="90"/>
        <v>33</v>
      </c>
      <c r="V527" s="153">
        <f ca="1">ROUND((OFFSET(卡牌辅助配置表!$O$1,MATCH(U527,卡牌辅助配置表!M:M,0)-1,0)+(N527-1)*OFFSET(卡牌辅助配置表!$P$1,MATCH(U527,卡牌辅助配置表!M:M,0)-1,0))*M527,2)</f>
        <v>96.98</v>
      </c>
      <c r="W527" s="157">
        <f ca="1">ROUND(IF(R527=0,0,IF(R527=1,X527*$W$1,IF(R527=2,X527*$W$1*buff的资质计算!$E$2,IF(R527=3,X527*$W$1*buff的资质计算!$E$3,0)))),2)</f>
        <v>16.35</v>
      </c>
      <c r="X527" s="157">
        <f ca="1" t="shared" si="91"/>
        <v>54.5</v>
      </c>
      <c r="Y527" s="157">
        <f ca="1" t="shared" si="85"/>
        <v>54.5</v>
      </c>
      <c r="Z527" s="304">
        <f ca="1" t="shared" si="92"/>
        <v>27.25</v>
      </c>
      <c r="AA527" s="304">
        <f ca="1">OFFSET(卡牌辅助配置表!$AD$1,MATCH(AB527,卡牌辅助配置表!AB:AB,0)-1,0)</f>
        <v>6474</v>
      </c>
      <c r="AB527" s="304">
        <f ca="1" t="shared" si="93"/>
        <v>3312</v>
      </c>
      <c r="AC527" s="153">
        <v>3</v>
      </c>
      <c r="AE527" s="153">
        <v>1</v>
      </c>
      <c r="AF527" s="153" t="str">
        <f ca="1" t="shared" si="86"/>
        <v>10180011|</v>
      </c>
      <c r="AJ527" s="205" t="str">
        <f ca="1" t="shared" si="94"/>
        <v>400023|7000|;</v>
      </c>
      <c r="AK527" s="205">
        <f ca="1">OFFSET([1]item_type!$A$1,MATCH(Q527,[1]item_type!$G:$G,0)-1,0)</f>
        <v>301018</v>
      </c>
      <c r="AL527" s="205"/>
      <c r="AM527" s="205">
        <f ca="1">IF(B527=B528,OFFSET(卡牌辅助配置表!$AE$1,MATCH(AB527,卡牌辅助配置表!AB:AB,0),0),0)</f>
        <v>7000</v>
      </c>
      <c r="AN527" s="153">
        <f ca="1" t="shared" si="95"/>
        <v>1018013</v>
      </c>
      <c r="AP527" s="153" t="str">
        <f ca="1">IF(AC527=0,0,IF(AC527=12,0,OFFSET(effect!$N$1,MATCH(K527,effect!M:M,0)-1,0)))</f>
        <v>kpsx_zise</v>
      </c>
    </row>
    <row r="528" spans="1:42">
      <c r="A528" s="153">
        <f ca="1" t="shared" si="88"/>
        <v>1018013</v>
      </c>
      <c r="B528" s="91" t="s">
        <v>661</v>
      </c>
      <c r="C528" s="186">
        <v>1</v>
      </c>
      <c r="D528" s="186">
        <v>6</v>
      </c>
      <c r="E528" s="165" t="s">
        <v>1050</v>
      </c>
      <c r="F528" s="165" t="str">
        <f>"上一招为拳法时，增加造成伤害"&amp;skill!$O$52/100&amp;"%的护甲"</f>
        <v>上一招为拳法时，增加造成伤害60%的护甲</v>
      </c>
      <c r="G528" s="186">
        <f ca="1">OFFSET(卡牌辅助配置表!$C$1,MATCH(AC528,卡牌辅助配置表!A:A,0)-1,0)</f>
        <v>3</v>
      </c>
      <c r="H528" s="186">
        <f ca="1" t="shared" si="87"/>
        <v>0</v>
      </c>
      <c r="I528" s="186"/>
      <c r="J528" s="186">
        <f ca="1">OFFSET(card_type!$F$1,MATCH(Q528,card_type!A:A,0)-1,0)</f>
        <v>3</v>
      </c>
      <c r="K528" s="243">
        <f ca="1">OFFSET(card_type!$G$1,MATCH(Q528,card_type!A:A,0)-1,0)</f>
        <v>3</v>
      </c>
      <c r="L528" s="157">
        <v>2</v>
      </c>
      <c r="M528" s="157">
        <v>2</v>
      </c>
      <c r="N528" s="153">
        <f t="shared" si="89"/>
        <v>13</v>
      </c>
      <c r="O528" s="157"/>
      <c r="P528" s="157"/>
      <c r="Q528" s="153">
        <f ca="1">OFFSET(card_type!$A$1,MATCH(card!B528,card_type!B:B,0)-1,0)</f>
        <v>1018</v>
      </c>
      <c r="R528" s="153">
        <v>1</v>
      </c>
      <c r="S528" s="157">
        <f ca="1">ROUND(IF(R528=0,0,IF(R528=1,X528*$S$1,IF(R528=2,X528*$S$1*buff的资质计算!$E$2,IF(R528=3,X528*$S$1*buff的资质计算!$E$3,0)))),0)*0</f>
        <v>0</v>
      </c>
      <c r="T528" s="153">
        <v>2</v>
      </c>
      <c r="U528" s="153">
        <f ca="1" t="shared" si="90"/>
        <v>33</v>
      </c>
      <c r="V528" s="153">
        <f ca="1">ROUND((OFFSET(卡牌辅助配置表!$O$1,MATCH(U528,卡牌辅助配置表!M:M,0)-1,0)+(N528-1)*OFFSET(卡牌辅助配置表!$P$1,MATCH(U528,卡牌辅助配置表!M:M,0)-1,0))*M528,2)</f>
        <v>101.62</v>
      </c>
      <c r="W528" s="157">
        <f ca="1">ROUND(IF(R528=0,0,IF(R528=1,X528*$W$1,IF(R528=2,X528*$W$1*buff的资质计算!$E$2,IF(R528=3,X528*$W$1*buff的资质计算!$E$3,0)))),2)</f>
        <v>16.5</v>
      </c>
      <c r="X528" s="157">
        <f ca="1" t="shared" si="91"/>
        <v>55</v>
      </c>
      <c r="Y528" s="157">
        <f ca="1" t="shared" ref="Y528:Y591" si="96">X528+H528</f>
        <v>55</v>
      </c>
      <c r="Z528" s="304">
        <f ca="1" t="shared" si="92"/>
        <v>27.5</v>
      </c>
      <c r="AA528" s="304">
        <f ca="1">OFFSET(卡牌辅助配置表!$AD$1,MATCH(AB528,卡牌辅助配置表!AB:AB,0)-1,0)</f>
        <v>7221</v>
      </c>
      <c r="AB528" s="304">
        <f ca="1" t="shared" si="93"/>
        <v>3313</v>
      </c>
      <c r="AC528" s="153">
        <v>3</v>
      </c>
      <c r="AE528" s="153">
        <v>1</v>
      </c>
      <c r="AF528" s="153" t="str">
        <f ca="1" t="shared" ref="AF528:AF591" si="97">((Q528*1000+1)*10+1)&amp;$AF$1</f>
        <v>10180011|</v>
      </c>
      <c r="AJ528" s="205" t="str">
        <f ca="1" t="shared" si="94"/>
        <v>400023|7800|;</v>
      </c>
      <c r="AK528" s="205">
        <f ca="1">OFFSET([1]item_type!$A$1,MATCH(Q528,[1]item_type!$G:$G,0)-1,0)</f>
        <v>301018</v>
      </c>
      <c r="AL528" s="205"/>
      <c r="AM528" s="205">
        <f ca="1">IF(B528=B529,OFFSET(卡牌辅助配置表!$AE$1,MATCH(AB528,卡牌辅助配置表!AB:AB,0),0),0)</f>
        <v>7800</v>
      </c>
      <c r="AN528" s="153">
        <f ca="1" t="shared" si="95"/>
        <v>1018014</v>
      </c>
      <c r="AP528" s="153" t="str">
        <f ca="1">IF(AC528=0,0,IF(AC528=12,0,OFFSET(effect!$N$1,MATCH(K528,effect!M:M,0)-1,0)))</f>
        <v>kpsx_zise</v>
      </c>
    </row>
    <row r="529" spans="1:42">
      <c r="A529" s="153">
        <f ca="1" t="shared" si="88"/>
        <v>1018014</v>
      </c>
      <c r="B529" s="91" t="s">
        <v>661</v>
      </c>
      <c r="C529" s="186">
        <v>1</v>
      </c>
      <c r="D529" s="186">
        <v>6</v>
      </c>
      <c r="E529" s="165" t="s">
        <v>1050</v>
      </c>
      <c r="F529" s="165" t="str">
        <f>"上一招为拳法时，增加造成伤害"&amp;skill!$O$52/100&amp;"%的护甲"</f>
        <v>上一招为拳法时，增加造成伤害60%的护甲</v>
      </c>
      <c r="G529" s="186">
        <f ca="1">OFFSET(卡牌辅助配置表!$C$1,MATCH(AC529,卡牌辅助配置表!A:A,0)-1,0)</f>
        <v>3</v>
      </c>
      <c r="H529" s="186">
        <f ca="1" t="shared" si="87"/>
        <v>0</v>
      </c>
      <c r="I529" s="186"/>
      <c r="J529" s="186">
        <f ca="1">OFFSET(card_type!$F$1,MATCH(Q529,card_type!A:A,0)-1,0)</f>
        <v>3</v>
      </c>
      <c r="K529" s="243">
        <f ca="1">OFFSET(card_type!$G$1,MATCH(Q529,card_type!A:A,0)-1,0)</f>
        <v>3</v>
      </c>
      <c r="L529" s="157">
        <v>2</v>
      </c>
      <c r="M529" s="157">
        <v>2</v>
      </c>
      <c r="N529" s="153">
        <f t="shared" si="89"/>
        <v>14</v>
      </c>
      <c r="O529" s="157"/>
      <c r="P529" s="157"/>
      <c r="Q529" s="153">
        <f ca="1">OFFSET(card_type!$A$1,MATCH(card!B529,card_type!B:B,0)-1,0)</f>
        <v>1018</v>
      </c>
      <c r="R529" s="153">
        <v>1</v>
      </c>
      <c r="S529" s="157">
        <f ca="1">ROUND(IF(R529=0,0,IF(R529=1,X529*$S$1,IF(R529=2,X529*$S$1*buff的资质计算!$E$2,IF(R529=3,X529*$S$1*buff的资质计算!$E$3,0)))),0)*0</f>
        <v>0</v>
      </c>
      <c r="T529" s="153">
        <v>2</v>
      </c>
      <c r="U529" s="153">
        <f ca="1" t="shared" si="90"/>
        <v>33</v>
      </c>
      <c r="V529" s="153">
        <f ca="1">ROUND((OFFSET(卡牌辅助配置表!$O$1,MATCH(U529,卡牌辅助配置表!M:M,0)-1,0)+(N529-1)*OFFSET(卡牌辅助配置表!$P$1,MATCH(U529,卡牌辅助配置表!M:M,0)-1,0))*M529,2)</f>
        <v>106.26</v>
      </c>
      <c r="W529" s="157">
        <f ca="1">ROUND(IF(R529=0,0,IF(R529=1,X529*$W$1,IF(R529=2,X529*$W$1*buff的资质计算!$E$2,IF(R529=3,X529*$W$1*buff的资质计算!$E$3,0)))),2)</f>
        <v>16.65</v>
      </c>
      <c r="X529" s="157">
        <f ca="1" t="shared" si="91"/>
        <v>55.5</v>
      </c>
      <c r="Y529" s="157">
        <f ca="1" t="shared" si="96"/>
        <v>55.5</v>
      </c>
      <c r="Z529" s="304">
        <f ca="1" t="shared" si="92"/>
        <v>27.75</v>
      </c>
      <c r="AA529" s="304">
        <f ca="1">OFFSET(卡牌辅助配置表!$AD$1,MATCH(AB529,卡牌辅助配置表!AB:AB,0)-1,0)</f>
        <v>7968</v>
      </c>
      <c r="AB529" s="304">
        <f ca="1" t="shared" si="93"/>
        <v>3314</v>
      </c>
      <c r="AC529" s="153">
        <v>3</v>
      </c>
      <c r="AE529" s="153">
        <v>1</v>
      </c>
      <c r="AF529" s="153" t="str">
        <f ca="1" t="shared" si="97"/>
        <v>10180011|</v>
      </c>
      <c r="AJ529" s="205" t="str">
        <f ca="1" t="shared" si="94"/>
        <v>400023|8600|;</v>
      </c>
      <c r="AK529" s="205">
        <f ca="1">OFFSET([1]item_type!$A$1,MATCH(Q529,[1]item_type!$G:$G,0)-1,0)</f>
        <v>301018</v>
      </c>
      <c r="AL529" s="205"/>
      <c r="AM529" s="205">
        <f ca="1">IF(B529=B530,OFFSET(卡牌辅助配置表!$AE$1,MATCH(AB529,卡牌辅助配置表!AB:AB,0),0),0)</f>
        <v>8600</v>
      </c>
      <c r="AN529" s="153">
        <f ca="1" t="shared" si="95"/>
        <v>1018015</v>
      </c>
      <c r="AP529" s="153" t="str">
        <f ca="1">IF(AC529=0,0,IF(AC529=12,0,OFFSET(effect!$N$1,MATCH(K529,effect!M:M,0)-1,0)))</f>
        <v>kpsx_zise</v>
      </c>
    </row>
    <row r="530" spans="1:42">
      <c r="A530" s="153">
        <f ca="1" t="shared" si="88"/>
        <v>1018015</v>
      </c>
      <c r="B530" s="91" t="s">
        <v>661</v>
      </c>
      <c r="C530" s="186">
        <v>1</v>
      </c>
      <c r="D530" s="186">
        <v>6</v>
      </c>
      <c r="E530" s="165" t="s">
        <v>1050</v>
      </c>
      <c r="F530" s="165" t="str">
        <f>"上一招为拳法时，增加造成伤害"&amp;skill!$O$52/100&amp;"%的护甲"</f>
        <v>上一招为拳法时，增加造成伤害60%的护甲</v>
      </c>
      <c r="G530" s="186">
        <f ca="1">OFFSET(卡牌辅助配置表!$C$1,MATCH(AC530,卡牌辅助配置表!A:A,0)-1,0)</f>
        <v>3</v>
      </c>
      <c r="H530" s="186">
        <f ca="1" t="shared" si="87"/>
        <v>0</v>
      </c>
      <c r="I530" s="186"/>
      <c r="J530" s="186">
        <f ca="1">OFFSET(card_type!$F$1,MATCH(Q530,card_type!A:A,0)-1,0)</f>
        <v>3</v>
      </c>
      <c r="K530" s="243">
        <f ca="1">OFFSET(card_type!$G$1,MATCH(Q530,card_type!A:A,0)-1,0)</f>
        <v>3</v>
      </c>
      <c r="L530" s="157">
        <v>2</v>
      </c>
      <c r="M530" s="157">
        <v>2</v>
      </c>
      <c r="N530" s="153">
        <f t="shared" si="89"/>
        <v>15</v>
      </c>
      <c r="O530" s="157"/>
      <c r="P530" s="157"/>
      <c r="Q530" s="153">
        <f ca="1">OFFSET(card_type!$A$1,MATCH(card!B530,card_type!B:B,0)-1,0)</f>
        <v>1018</v>
      </c>
      <c r="R530" s="153">
        <v>1</v>
      </c>
      <c r="S530" s="157">
        <f ca="1">ROUND(IF(R530=0,0,IF(R530=1,X530*$S$1,IF(R530=2,X530*$S$1*buff的资质计算!$E$2,IF(R530=3,X530*$S$1*buff的资质计算!$E$3,0)))),0)*0</f>
        <v>0</v>
      </c>
      <c r="T530" s="153">
        <v>2</v>
      </c>
      <c r="U530" s="153">
        <f ca="1" t="shared" si="90"/>
        <v>33</v>
      </c>
      <c r="V530" s="153">
        <f ca="1">ROUND((OFFSET(卡牌辅助配置表!$O$1,MATCH(U530,卡牌辅助配置表!M:M,0)-1,0)+(N530-1)*OFFSET(卡牌辅助配置表!$P$1,MATCH(U530,卡牌辅助配置表!M:M,0)-1,0))*M530,2)</f>
        <v>110.9</v>
      </c>
      <c r="W530" s="157">
        <f ca="1">ROUND(IF(R530=0,0,IF(R530=1,X530*$W$1,IF(R530=2,X530*$W$1*buff的资质计算!$E$2,IF(R530=3,X530*$W$1*buff的资质计算!$E$3,0)))),2)</f>
        <v>16.8</v>
      </c>
      <c r="X530" s="157">
        <f ca="1" t="shared" si="91"/>
        <v>56</v>
      </c>
      <c r="Y530" s="157">
        <f ca="1" t="shared" si="96"/>
        <v>56</v>
      </c>
      <c r="Z530" s="304">
        <f ca="1" t="shared" si="92"/>
        <v>28</v>
      </c>
      <c r="AA530" s="304">
        <f ca="1">OFFSET(卡牌辅助配置表!$AD$1,MATCH(AB530,卡牌辅助配置表!AB:AB,0)-1,0)</f>
        <v>8715</v>
      </c>
      <c r="AB530" s="304">
        <f ca="1" t="shared" si="93"/>
        <v>3315</v>
      </c>
      <c r="AC530" s="153">
        <v>3</v>
      </c>
      <c r="AE530" s="153">
        <v>1</v>
      </c>
      <c r="AF530" s="153" t="str">
        <f ca="1" t="shared" si="97"/>
        <v>10180011|</v>
      </c>
      <c r="AJ530" s="205" t="str">
        <f ca="1" t="shared" si="94"/>
        <v>400023|9400|;</v>
      </c>
      <c r="AK530" s="205">
        <f ca="1">OFFSET([1]item_type!$A$1,MATCH(Q530,[1]item_type!$G:$G,0)-1,0)</f>
        <v>301018</v>
      </c>
      <c r="AL530" s="205"/>
      <c r="AM530" s="205">
        <f ca="1">IF(B530=B531,OFFSET(卡牌辅助配置表!$AE$1,MATCH(AB530,卡牌辅助配置表!AB:AB,0),0),0)</f>
        <v>9400</v>
      </c>
      <c r="AN530" s="153">
        <f ca="1" t="shared" si="95"/>
        <v>1018016</v>
      </c>
      <c r="AP530" s="153" t="str">
        <f ca="1">IF(AC530=0,0,IF(AC530=12,0,OFFSET(effect!$N$1,MATCH(K530,effect!M:M,0)-1,0)))</f>
        <v>kpsx_zise</v>
      </c>
    </row>
    <row r="531" spans="1:42">
      <c r="A531" s="153">
        <f ca="1" t="shared" si="88"/>
        <v>1018016</v>
      </c>
      <c r="B531" s="91" t="s">
        <v>661</v>
      </c>
      <c r="C531" s="186">
        <v>1</v>
      </c>
      <c r="D531" s="186">
        <v>6</v>
      </c>
      <c r="E531" s="165" t="s">
        <v>1050</v>
      </c>
      <c r="F531" s="165" t="str">
        <f>"上一招为拳法时，增加造成伤害"&amp;skill!$O$52/100&amp;"%的护甲"</f>
        <v>上一招为拳法时，增加造成伤害60%的护甲</v>
      </c>
      <c r="G531" s="186">
        <f ca="1">OFFSET(卡牌辅助配置表!$C$1,MATCH(AC531,卡牌辅助配置表!A:A,0)-1,0)</f>
        <v>3</v>
      </c>
      <c r="H531" s="186">
        <f ca="1" t="shared" si="87"/>
        <v>0</v>
      </c>
      <c r="I531" s="186"/>
      <c r="J531" s="186">
        <f ca="1">OFFSET(card_type!$F$1,MATCH(Q531,card_type!A:A,0)-1,0)</f>
        <v>3</v>
      </c>
      <c r="K531" s="243">
        <f ca="1">OFFSET(card_type!$G$1,MATCH(Q531,card_type!A:A,0)-1,0)</f>
        <v>3</v>
      </c>
      <c r="L531" s="157">
        <v>2</v>
      </c>
      <c r="M531" s="157">
        <v>2</v>
      </c>
      <c r="N531" s="153">
        <f t="shared" si="89"/>
        <v>16</v>
      </c>
      <c r="O531" s="157"/>
      <c r="P531" s="157"/>
      <c r="Q531" s="153">
        <f ca="1">OFFSET(card_type!$A$1,MATCH(card!B531,card_type!B:B,0)-1,0)</f>
        <v>1018</v>
      </c>
      <c r="R531" s="153">
        <v>1</v>
      </c>
      <c r="S531" s="157">
        <f ca="1">ROUND(IF(R531=0,0,IF(R531=1,X531*$S$1,IF(R531=2,X531*$S$1*buff的资质计算!$E$2,IF(R531=3,X531*$S$1*buff的资质计算!$E$3,0)))),0)*0</f>
        <v>0</v>
      </c>
      <c r="T531" s="153">
        <v>2</v>
      </c>
      <c r="U531" s="153">
        <f ca="1" t="shared" si="90"/>
        <v>33</v>
      </c>
      <c r="V531" s="153">
        <f ca="1">ROUND((OFFSET(卡牌辅助配置表!$O$1,MATCH(U531,卡牌辅助配置表!M:M,0)-1,0)+(N531-1)*OFFSET(卡牌辅助配置表!$P$1,MATCH(U531,卡牌辅助配置表!M:M,0)-1,0))*M531,2)</f>
        <v>115.54</v>
      </c>
      <c r="W531" s="157">
        <f ca="1">ROUND(IF(R531=0,0,IF(R531=1,X531*$W$1,IF(R531=2,X531*$W$1*buff的资质计算!$E$2,IF(R531=3,X531*$W$1*buff的资质计算!$E$3,0)))),2)</f>
        <v>16.95</v>
      </c>
      <c r="X531" s="157">
        <f ca="1" t="shared" si="91"/>
        <v>56.5</v>
      </c>
      <c r="Y531" s="157">
        <f ca="1" t="shared" si="96"/>
        <v>56.5</v>
      </c>
      <c r="Z531" s="304">
        <f ca="1" t="shared" si="92"/>
        <v>28.25</v>
      </c>
      <c r="AA531" s="304">
        <f ca="1">OFFSET(卡牌辅助配置表!$AD$1,MATCH(AB531,卡牌辅助配置表!AB:AB,0)-1,0)</f>
        <v>9462</v>
      </c>
      <c r="AB531" s="304">
        <f ca="1" t="shared" si="93"/>
        <v>3316</v>
      </c>
      <c r="AC531" s="153">
        <v>3</v>
      </c>
      <c r="AE531" s="153">
        <v>1</v>
      </c>
      <c r="AF531" s="153" t="str">
        <f ca="1" t="shared" si="97"/>
        <v>10180011|</v>
      </c>
      <c r="AJ531" s="205" t="str">
        <f ca="1" t="shared" si="94"/>
        <v>400023|10200|;</v>
      </c>
      <c r="AK531" s="205">
        <f ca="1">OFFSET([1]item_type!$A$1,MATCH(Q531,[1]item_type!$G:$G,0)-1,0)</f>
        <v>301018</v>
      </c>
      <c r="AL531" s="205"/>
      <c r="AM531" s="205">
        <f ca="1">IF(B531=B532,OFFSET(卡牌辅助配置表!$AE$1,MATCH(AB531,卡牌辅助配置表!AB:AB,0),0),0)</f>
        <v>10200</v>
      </c>
      <c r="AN531" s="153">
        <f ca="1" t="shared" si="95"/>
        <v>1018017</v>
      </c>
      <c r="AP531" s="153" t="str">
        <f ca="1">IF(AC531=0,0,IF(AC531=12,0,OFFSET(effect!$N$1,MATCH(K531,effect!M:M,0)-1,0)))</f>
        <v>kpsx_zise</v>
      </c>
    </row>
    <row r="532" spans="1:42">
      <c r="A532" s="153">
        <f ca="1" t="shared" si="88"/>
        <v>1018017</v>
      </c>
      <c r="B532" s="91" t="s">
        <v>661</v>
      </c>
      <c r="C532" s="186">
        <v>1</v>
      </c>
      <c r="D532" s="186">
        <v>6</v>
      </c>
      <c r="E532" s="165" t="s">
        <v>1050</v>
      </c>
      <c r="F532" s="165" t="str">
        <f>"上一招为拳法时，增加造成伤害"&amp;skill!$O$52/100&amp;"%的护甲"</f>
        <v>上一招为拳法时，增加造成伤害60%的护甲</v>
      </c>
      <c r="G532" s="186">
        <f ca="1">OFFSET(卡牌辅助配置表!$C$1,MATCH(AC532,卡牌辅助配置表!A:A,0)-1,0)</f>
        <v>3</v>
      </c>
      <c r="H532" s="186">
        <f ca="1" t="shared" si="87"/>
        <v>0</v>
      </c>
      <c r="I532" s="186"/>
      <c r="J532" s="186">
        <f ca="1">OFFSET(card_type!$F$1,MATCH(Q532,card_type!A:A,0)-1,0)</f>
        <v>3</v>
      </c>
      <c r="K532" s="243">
        <f ca="1">OFFSET(card_type!$G$1,MATCH(Q532,card_type!A:A,0)-1,0)</f>
        <v>3</v>
      </c>
      <c r="L532" s="157">
        <v>2</v>
      </c>
      <c r="M532" s="157">
        <v>2</v>
      </c>
      <c r="N532" s="153">
        <f t="shared" si="89"/>
        <v>17</v>
      </c>
      <c r="O532" s="157"/>
      <c r="P532" s="157"/>
      <c r="Q532" s="153">
        <f ca="1">OFFSET(card_type!$A$1,MATCH(card!B532,card_type!B:B,0)-1,0)</f>
        <v>1018</v>
      </c>
      <c r="R532" s="153">
        <v>1</v>
      </c>
      <c r="S532" s="157">
        <f ca="1">ROUND(IF(R532=0,0,IF(R532=1,X532*$S$1,IF(R532=2,X532*$S$1*buff的资质计算!$E$2,IF(R532=3,X532*$S$1*buff的资质计算!$E$3,0)))),0)*0</f>
        <v>0</v>
      </c>
      <c r="T532" s="153">
        <v>2</v>
      </c>
      <c r="U532" s="153">
        <f ca="1" t="shared" si="90"/>
        <v>33</v>
      </c>
      <c r="V532" s="153">
        <f ca="1">ROUND((OFFSET(卡牌辅助配置表!$O$1,MATCH(U532,卡牌辅助配置表!M:M,0)-1,0)+(N532-1)*OFFSET(卡牌辅助配置表!$P$1,MATCH(U532,卡牌辅助配置表!M:M,0)-1,0))*M532,2)</f>
        <v>120.18</v>
      </c>
      <c r="W532" s="157">
        <f ca="1">ROUND(IF(R532=0,0,IF(R532=1,X532*$W$1,IF(R532=2,X532*$W$1*buff的资质计算!$E$2,IF(R532=3,X532*$W$1*buff的资质计算!$E$3,0)))),2)</f>
        <v>17.1</v>
      </c>
      <c r="X532" s="157">
        <f ca="1" t="shared" si="91"/>
        <v>57</v>
      </c>
      <c r="Y532" s="157">
        <f ca="1" t="shared" si="96"/>
        <v>57</v>
      </c>
      <c r="Z532" s="304">
        <f ca="1" t="shared" si="92"/>
        <v>28.5</v>
      </c>
      <c r="AA532" s="304">
        <f ca="1">OFFSET(卡牌辅助配置表!$AD$1,MATCH(AB532,卡牌辅助配置表!AB:AB,0)-1,0)</f>
        <v>10209</v>
      </c>
      <c r="AB532" s="304">
        <f ca="1" t="shared" si="93"/>
        <v>3317</v>
      </c>
      <c r="AC532" s="153">
        <v>3</v>
      </c>
      <c r="AE532" s="153">
        <v>1</v>
      </c>
      <c r="AF532" s="153" t="str">
        <f ca="1" t="shared" si="97"/>
        <v>10180011|</v>
      </c>
      <c r="AJ532" s="205" t="str">
        <f ca="1" t="shared" si="94"/>
        <v>400023|11000|;</v>
      </c>
      <c r="AK532" s="205">
        <f ca="1">OFFSET([1]item_type!$A$1,MATCH(Q532,[1]item_type!$G:$G,0)-1,0)</f>
        <v>301018</v>
      </c>
      <c r="AL532" s="205"/>
      <c r="AM532" s="205">
        <f ca="1">IF(B532=B533,OFFSET(卡牌辅助配置表!$AE$1,MATCH(AB532,卡牌辅助配置表!AB:AB,0),0),0)</f>
        <v>11000</v>
      </c>
      <c r="AN532" s="153">
        <f ca="1" t="shared" si="95"/>
        <v>1018018</v>
      </c>
      <c r="AP532" s="153" t="str">
        <f ca="1">IF(AC532=0,0,IF(AC532=12,0,OFFSET(effect!$N$1,MATCH(K532,effect!M:M,0)-1,0)))</f>
        <v>kpsx_zise</v>
      </c>
    </row>
    <row r="533" spans="1:42">
      <c r="A533" s="153">
        <f ca="1" t="shared" si="88"/>
        <v>1018018</v>
      </c>
      <c r="B533" s="91" t="s">
        <v>661</v>
      </c>
      <c r="C533" s="186">
        <v>1</v>
      </c>
      <c r="D533" s="186">
        <v>6</v>
      </c>
      <c r="E533" s="165" t="s">
        <v>1050</v>
      </c>
      <c r="F533" s="165" t="str">
        <f>"上一招为拳法时，增加造成伤害"&amp;skill!$O$52/100&amp;"%的护甲"</f>
        <v>上一招为拳法时，增加造成伤害60%的护甲</v>
      </c>
      <c r="G533" s="186">
        <f ca="1">OFFSET(卡牌辅助配置表!$C$1,MATCH(AC533,卡牌辅助配置表!A:A,0)-1,0)</f>
        <v>3</v>
      </c>
      <c r="H533" s="186">
        <f ca="1" t="shared" si="87"/>
        <v>0</v>
      </c>
      <c r="I533" s="186"/>
      <c r="J533" s="186">
        <f ca="1">OFFSET(card_type!$F$1,MATCH(Q533,card_type!A:A,0)-1,0)</f>
        <v>3</v>
      </c>
      <c r="K533" s="243">
        <f ca="1">OFFSET(card_type!$G$1,MATCH(Q533,card_type!A:A,0)-1,0)</f>
        <v>3</v>
      </c>
      <c r="L533" s="157">
        <v>2</v>
      </c>
      <c r="M533" s="157">
        <v>2</v>
      </c>
      <c r="N533" s="153">
        <f t="shared" si="89"/>
        <v>18</v>
      </c>
      <c r="O533" s="157"/>
      <c r="P533" s="157"/>
      <c r="Q533" s="153">
        <f ca="1">OFFSET(card_type!$A$1,MATCH(card!B533,card_type!B:B,0)-1,0)</f>
        <v>1018</v>
      </c>
      <c r="R533" s="153">
        <v>1</v>
      </c>
      <c r="S533" s="157">
        <f ca="1">ROUND(IF(R533=0,0,IF(R533=1,X533*$S$1,IF(R533=2,X533*$S$1*buff的资质计算!$E$2,IF(R533=3,X533*$S$1*buff的资质计算!$E$3,0)))),0)*0</f>
        <v>0</v>
      </c>
      <c r="T533" s="153">
        <v>2</v>
      </c>
      <c r="U533" s="153">
        <f ca="1" t="shared" si="90"/>
        <v>33</v>
      </c>
      <c r="V533" s="153">
        <f ca="1">ROUND((OFFSET(卡牌辅助配置表!$O$1,MATCH(U533,卡牌辅助配置表!M:M,0)-1,0)+(N533-1)*OFFSET(卡牌辅助配置表!$P$1,MATCH(U533,卡牌辅助配置表!M:M,0)-1,0))*M533,2)</f>
        <v>124.82</v>
      </c>
      <c r="W533" s="157">
        <f ca="1">ROUND(IF(R533=0,0,IF(R533=1,X533*$W$1,IF(R533=2,X533*$W$1*buff的资质计算!$E$2,IF(R533=3,X533*$W$1*buff的资质计算!$E$3,0)))),2)</f>
        <v>17.25</v>
      </c>
      <c r="X533" s="157">
        <f ca="1" t="shared" si="91"/>
        <v>57.5</v>
      </c>
      <c r="Y533" s="157">
        <f ca="1" t="shared" si="96"/>
        <v>57.5</v>
      </c>
      <c r="Z533" s="304">
        <f ca="1" t="shared" si="92"/>
        <v>28.75</v>
      </c>
      <c r="AA533" s="304">
        <f ca="1">OFFSET(卡牌辅助配置表!$AD$1,MATCH(AB533,卡牌辅助配置表!AB:AB,0)-1,0)</f>
        <v>10956</v>
      </c>
      <c r="AB533" s="304">
        <f ca="1" t="shared" si="93"/>
        <v>3318</v>
      </c>
      <c r="AC533" s="153">
        <v>3</v>
      </c>
      <c r="AE533" s="153">
        <v>1</v>
      </c>
      <c r="AF533" s="153" t="str">
        <f ca="1" t="shared" si="97"/>
        <v>10180011|</v>
      </c>
      <c r="AJ533" s="205" t="str">
        <f ca="1" t="shared" si="94"/>
        <v>400023|11800|;</v>
      </c>
      <c r="AK533" s="205">
        <f ca="1">OFFSET([1]item_type!$A$1,MATCH(Q533,[1]item_type!$G:$G,0)-1,0)</f>
        <v>301018</v>
      </c>
      <c r="AL533" s="205"/>
      <c r="AM533" s="205">
        <f ca="1">IF(B533=B534,OFFSET(卡牌辅助配置表!$AE$1,MATCH(AB533,卡牌辅助配置表!AB:AB,0),0),0)</f>
        <v>11800</v>
      </c>
      <c r="AN533" s="153">
        <f ca="1" t="shared" si="95"/>
        <v>1018019</v>
      </c>
      <c r="AP533" s="153" t="str">
        <f ca="1">IF(AC533=0,0,IF(AC533=12,0,OFFSET(effect!$N$1,MATCH(K533,effect!M:M,0)-1,0)))</f>
        <v>kpsx_zise</v>
      </c>
    </row>
    <row r="534" spans="1:42">
      <c r="A534" s="153">
        <f ca="1" t="shared" si="88"/>
        <v>1018019</v>
      </c>
      <c r="B534" s="91" t="s">
        <v>661</v>
      </c>
      <c r="C534" s="186">
        <v>1</v>
      </c>
      <c r="D534" s="186">
        <v>6</v>
      </c>
      <c r="E534" s="165" t="s">
        <v>1050</v>
      </c>
      <c r="F534" s="165" t="str">
        <f>"上一招为拳法时，增加造成伤害"&amp;skill!$O$52/100&amp;"%的护甲"</f>
        <v>上一招为拳法时，增加造成伤害60%的护甲</v>
      </c>
      <c r="G534" s="186">
        <f ca="1">OFFSET(卡牌辅助配置表!$C$1,MATCH(AC534,卡牌辅助配置表!A:A,0)-1,0)</f>
        <v>3</v>
      </c>
      <c r="H534" s="186">
        <f ca="1" t="shared" si="87"/>
        <v>0</v>
      </c>
      <c r="I534" s="186"/>
      <c r="J534" s="186">
        <f ca="1">OFFSET(card_type!$F$1,MATCH(Q534,card_type!A:A,0)-1,0)</f>
        <v>3</v>
      </c>
      <c r="K534" s="243">
        <f ca="1">OFFSET(card_type!$G$1,MATCH(Q534,card_type!A:A,0)-1,0)</f>
        <v>3</v>
      </c>
      <c r="L534" s="157">
        <v>2</v>
      </c>
      <c r="M534" s="157">
        <v>2</v>
      </c>
      <c r="N534" s="153">
        <f t="shared" si="89"/>
        <v>19</v>
      </c>
      <c r="O534" s="157"/>
      <c r="P534" s="157"/>
      <c r="Q534" s="153">
        <f ca="1">OFFSET(card_type!$A$1,MATCH(card!B534,card_type!B:B,0)-1,0)</f>
        <v>1018</v>
      </c>
      <c r="R534" s="153">
        <v>1</v>
      </c>
      <c r="S534" s="157">
        <f ca="1">ROUND(IF(R534=0,0,IF(R534=1,X534*$S$1,IF(R534=2,X534*$S$1*buff的资质计算!$E$2,IF(R534=3,X534*$S$1*buff的资质计算!$E$3,0)))),0)*0</f>
        <v>0</v>
      </c>
      <c r="T534" s="153">
        <v>2</v>
      </c>
      <c r="U534" s="153">
        <f ca="1" t="shared" si="90"/>
        <v>33</v>
      </c>
      <c r="V534" s="153">
        <f ca="1">ROUND((OFFSET(卡牌辅助配置表!$O$1,MATCH(U534,卡牌辅助配置表!M:M,0)-1,0)+(N534-1)*OFFSET(卡牌辅助配置表!$P$1,MATCH(U534,卡牌辅助配置表!M:M,0)-1,0))*M534,2)</f>
        <v>129.46</v>
      </c>
      <c r="W534" s="157">
        <f ca="1">ROUND(IF(R534=0,0,IF(R534=1,X534*$W$1,IF(R534=2,X534*$W$1*buff的资质计算!$E$2,IF(R534=3,X534*$W$1*buff的资质计算!$E$3,0)))),2)</f>
        <v>17.4</v>
      </c>
      <c r="X534" s="157">
        <f ca="1" t="shared" si="91"/>
        <v>58</v>
      </c>
      <c r="Y534" s="157">
        <f ca="1" t="shared" si="96"/>
        <v>58</v>
      </c>
      <c r="Z534" s="304">
        <f ca="1" t="shared" si="92"/>
        <v>29</v>
      </c>
      <c r="AA534" s="304">
        <f ca="1">OFFSET(卡牌辅助配置表!$AD$1,MATCH(AB534,卡牌辅助配置表!AB:AB,0)-1,0)</f>
        <v>11703</v>
      </c>
      <c r="AB534" s="304">
        <f ca="1" t="shared" si="93"/>
        <v>3319</v>
      </c>
      <c r="AC534" s="153">
        <v>3</v>
      </c>
      <c r="AE534" s="153">
        <v>1</v>
      </c>
      <c r="AF534" s="153" t="str">
        <f ca="1" t="shared" si="97"/>
        <v>10180011|</v>
      </c>
      <c r="AJ534" s="205" t="str">
        <f ca="1" t="shared" si="94"/>
        <v>301018|20|;400023|12600|;</v>
      </c>
      <c r="AK534" s="205">
        <f ca="1">OFFSET([1]item_type!$A$1,MATCH(Q534,[1]item_type!$G:$G,0)-1,0)</f>
        <v>301018</v>
      </c>
      <c r="AL534" s="205">
        <v>20</v>
      </c>
      <c r="AM534" s="205">
        <f ca="1">IF(B534=B535,OFFSET(卡牌辅助配置表!$AE$1,MATCH(AB534,卡牌辅助配置表!AB:AB,0),0),0)</f>
        <v>12600</v>
      </c>
      <c r="AN534" s="153">
        <f ca="1" t="shared" si="95"/>
        <v>1018020</v>
      </c>
      <c r="AP534" s="153" t="str">
        <f ca="1">IF(AC534=0,0,IF(AC534=12,0,OFFSET(effect!$N$1,MATCH(K534,effect!M:M,0)-1,0)))</f>
        <v>kpsx_zise</v>
      </c>
    </row>
    <row r="535" spans="1:42">
      <c r="A535" s="153">
        <f ca="1" t="shared" si="88"/>
        <v>1018020</v>
      </c>
      <c r="B535" s="91" t="s">
        <v>661</v>
      </c>
      <c r="C535" s="186">
        <v>1</v>
      </c>
      <c r="D535" s="186">
        <v>6</v>
      </c>
      <c r="E535" s="165" t="s">
        <v>1050</v>
      </c>
      <c r="F535" s="165" t="str">
        <f>"上一招为拳法时，增加造成伤害"&amp;skill!$O$52/100&amp;"%的护甲"</f>
        <v>上一招为拳法时，增加造成伤害60%的护甲</v>
      </c>
      <c r="G535" s="186">
        <f ca="1">OFFSET(卡牌辅助配置表!$C$1,MATCH(AC535,卡牌辅助配置表!A:A,0)-1,0)</f>
        <v>3</v>
      </c>
      <c r="H535" s="186">
        <f ca="1" t="shared" si="87"/>
        <v>0</v>
      </c>
      <c r="I535" s="186"/>
      <c r="J535" s="186">
        <f ca="1">OFFSET(card_type!$F$1,MATCH(Q535,card_type!A:A,0)-1,0)</f>
        <v>3</v>
      </c>
      <c r="K535" s="243">
        <f ca="1">OFFSET(card_type!$G$1,MATCH(Q535,card_type!A:A,0)-1,0)</f>
        <v>3</v>
      </c>
      <c r="L535" s="157">
        <v>2</v>
      </c>
      <c r="M535" s="157">
        <v>2</v>
      </c>
      <c r="N535" s="153">
        <f t="shared" si="89"/>
        <v>20</v>
      </c>
      <c r="O535" s="157"/>
      <c r="P535" s="157"/>
      <c r="Q535" s="153">
        <f ca="1">OFFSET(card_type!$A$1,MATCH(card!B535,card_type!B:B,0)-1,0)</f>
        <v>1018</v>
      </c>
      <c r="R535" s="153">
        <v>1</v>
      </c>
      <c r="S535" s="157">
        <f ca="1">ROUND(IF(R535=0,0,IF(R535=1,X535*$S$1,IF(R535=2,X535*$S$1*buff的资质计算!$E$2,IF(R535=3,X535*$S$1*buff的资质计算!$E$3,0)))),0)*0</f>
        <v>0</v>
      </c>
      <c r="T535" s="153">
        <v>2</v>
      </c>
      <c r="U535" s="153">
        <f ca="1" t="shared" si="90"/>
        <v>33</v>
      </c>
      <c r="V535" s="153">
        <f ca="1">ROUND((OFFSET(卡牌辅助配置表!$O$1,MATCH(U535,卡牌辅助配置表!M:M,0)-1,0)+(N535-1)*OFFSET(卡牌辅助配置表!$P$1,MATCH(U535,卡牌辅助配置表!M:M,0)-1,0))*M535,2)</f>
        <v>134.1</v>
      </c>
      <c r="W535" s="157">
        <f ca="1">ROUND(IF(R535=0,0,IF(R535=1,X535*$W$1,IF(R535=2,X535*$W$1*buff的资质计算!$E$2,IF(R535=3,X535*$W$1*buff的资质计算!$E$3,0)))),2)</f>
        <v>17.55</v>
      </c>
      <c r="X535" s="157">
        <f ca="1" t="shared" si="91"/>
        <v>58.5</v>
      </c>
      <c r="Y535" s="157">
        <f ca="1" t="shared" si="96"/>
        <v>58.5</v>
      </c>
      <c r="Z535" s="304">
        <f ca="1" t="shared" si="92"/>
        <v>29.25</v>
      </c>
      <c r="AA535" s="304">
        <f ca="1">OFFSET(卡牌辅助配置表!$AD$1,MATCH(AB535,卡牌辅助配置表!AB:AB,0)-1,0)</f>
        <v>12450</v>
      </c>
      <c r="AB535" s="304">
        <f ca="1" t="shared" si="93"/>
        <v>3320</v>
      </c>
      <c r="AC535" s="153">
        <v>3</v>
      </c>
      <c r="AE535" s="153">
        <v>1</v>
      </c>
      <c r="AF535" s="153" t="str">
        <f ca="1" t="shared" si="97"/>
        <v>10180011|</v>
      </c>
      <c r="AJ535" s="205" t="str">
        <f ca="1" t="shared" si="94"/>
        <v>400023|14200|;</v>
      </c>
      <c r="AK535" s="205">
        <f ca="1">OFFSET([1]item_type!$A$1,MATCH(Q535,[1]item_type!$G:$G,0)-1,0)</f>
        <v>301018</v>
      </c>
      <c r="AL535" s="205"/>
      <c r="AM535" s="205">
        <f ca="1">IF(B535=B536,OFFSET(卡牌辅助配置表!$AE$1,MATCH(AB535,卡牌辅助配置表!AB:AB,0),0),0)</f>
        <v>14200</v>
      </c>
      <c r="AN535" s="153">
        <f ca="1" t="shared" si="95"/>
        <v>1018021</v>
      </c>
      <c r="AP535" s="153" t="str">
        <f ca="1">IF(AC535=0,0,IF(AC535=12,0,OFFSET(effect!$N$1,MATCH(K535,effect!M:M,0)-1,0)))</f>
        <v>kpsx_zise</v>
      </c>
    </row>
    <row r="536" spans="1:42">
      <c r="A536" s="153">
        <f ca="1" t="shared" si="88"/>
        <v>1018021</v>
      </c>
      <c r="B536" s="91" t="s">
        <v>661</v>
      </c>
      <c r="C536" s="186">
        <v>1</v>
      </c>
      <c r="D536" s="186">
        <v>6</v>
      </c>
      <c r="E536" s="165" t="s">
        <v>1050</v>
      </c>
      <c r="F536" s="165" t="str">
        <f>"上一招为拳法时，增加造成伤害"&amp;skill!$O$52/100&amp;"%的护甲"</f>
        <v>上一招为拳法时，增加造成伤害60%的护甲</v>
      </c>
      <c r="G536" s="186">
        <f ca="1">OFFSET(卡牌辅助配置表!$C$1,MATCH(AC536,卡牌辅助配置表!A:A,0)-1,0)</f>
        <v>3</v>
      </c>
      <c r="H536" s="186">
        <f ca="1" t="shared" si="87"/>
        <v>0</v>
      </c>
      <c r="I536" s="186"/>
      <c r="J536" s="186">
        <f ca="1">OFFSET(card_type!$F$1,MATCH(Q536,card_type!A:A,0)-1,0)</f>
        <v>3</v>
      </c>
      <c r="K536" s="243">
        <f ca="1">OFFSET(card_type!$G$1,MATCH(Q536,card_type!A:A,0)-1,0)</f>
        <v>3</v>
      </c>
      <c r="L536" s="157">
        <v>2</v>
      </c>
      <c r="M536" s="157">
        <v>2</v>
      </c>
      <c r="N536" s="153">
        <f t="shared" si="89"/>
        <v>21</v>
      </c>
      <c r="O536" s="157"/>
      <c r="P536" s="157"/>
      <c r="Q536" s="153">
        <f ca="1">OFFSET(card_type!$A$1,MATCH(card!B536,card_type!B:B,0)-1,0)</f>
        <v>1018</v>
      </c>
      <c r="R536" s="153">
        <v>1</v>
      </c>
      <c r="S536" s="157">
        <f ca="1">ROUND(IF(R536=0,0,IF(R536=1,X536*$S$1,IF(R536=2,X536*$S$1*buff的资质计算!$E$2,IF(R536=3,X536*$S$1*buff的资质计算!$E$3,0)))),0)*0</f>
        <v>0</v>
      </c>
      <c r="T536" s="153">
        <v>2</v>
      </c>
      <c r="U536" s="153">
        <f ca="1" t="shared" si="90"/>
        <v>33</v>
      </c>
      <c r="V536" s="153">
        <f ca="1">ROUND((OFFSET(卡牌辅助配置表!$O$1,MATCH(U536,卡牌辅助配置表!M:M,0)-1,0)+(N536-1)*OFFSET(卡牌辅助配置表!$P$1,MATCH(U536,卡牌辅助配置表!M:M,0)-1,0))*M536,2)</f>
        <v>138.74</v>
      </c>
      <c r="W536" s="157">
        <f ca="1">ROUND(IF(R536=0,0,IF(R536=1,X536*$W$1,IF(R536=2,X536*$W$1*buff的资质计算!$E$2,IF(R536=3,X536*$W$1*buff的资质计算!$E$3,0)))),2)</f>
        <v>17.7</v>
      </c>
      <c r="X536" s="157">
        <f ca="1" t="shared" si="91"/>
        <v>59</v>
      </c>
      <c r="Y536" s="157">
        <f ca="1" t="shared" si="96"/>
        <v>59</v>
      </c>
      <c r="Z536" s="304">
        <f ca="1" t="shared" si="92"/>
        <v>29.5</v>
      </c>
      <c r="AA536" s="304">
        <f ca="1">OFFSET(卡牌辅助配置表!$AD$1,MATCH(AB536,卡牌辅助配置表!AB:AB,0)-1,0)</f>
        <v>13446</v>
      </c>
      <c r="AB536" s="304">
        <f ca="1" t="shared" si="93"/>
        <v>3321</v>
      </c>
      <c r="AC536" s="153">
        <v>3</v>
      </c>
      <c r="AE536" s="153">
        <v>1</v>
      </c>
      <c r="AF536" s="153" t="str">
        <f ca="1" t="shared" si="97"/>
        <v>10180011|</v>
      </c>
      <c r="AJ536" s="205" t="str">
        <f ca="1" t="shared" si="94"/>
        <v>400023|15800|;</v>
      </c>
      <c r="AK536" s="205">
        <f ca="1">OFFSET([1]item_type!$A$1,MATCH(Q536,[1]item_type!$G:$G,0)-1,0)</f>
        <v>301018</v>
      </c>
      <c r="AL536" s="205"/>
      <c r="AM536" s="205">
        <f ca="1">IF(B536=B537,OFFSET(卡牌辅助配置表!$AE$1,MATCH(AB536,卡牌辅助配置表!AB:AB,0),0),0)</f>
        <v>15800</v>
      </c>
      <c r="AN536" s="153">
        <f ca="1" t="shared" si="95"/>
        <v>1018022</v>
      </c>
      <c r="AP536" s="153" t="str">
        <f ca="1">IF(AC536=0,0,IF(AC536=12,0,OFFSET(effect!$N$1,MATCH(K536,effect!M:M,0)-1,0)))</f>
        <v>kpsx_zise</v>
      </c>
    </row>
    <row r="537" spans="1:42">
      <c r="A537" s="153">
        <f ca="1" t="shared" si="88"/>
        <v>1018022</v>
      </c>
      <c r="B537" s="91" t="s">
        <v>661</v>
      </c>
      <c r="C537" s="186">
        <v>1</v>
      </c>
      <c r="D537" s="186">
        <v>6</v>
      </c>
      <c r="E537" s="165" t="s">
        <v>1050</v>
      </c>
      <c r="F537" s="165" t="str">
        <f>"上一招为拳法时，增加造成伤害"&amp;skill!$O$52/100&amp;"%的护甲"</f>
        <v>上一招为拳法时，增加造成伤害60%的护甲</v>
      </c>
      <c r="G537" s="186">
        <f ca="1">OFFSET(卡牌辅助配置表!$C$1,MATCH(AC537,卡牌辅助配置表!A:A,0)-1,0)</f>
        <v>3</v>
      </c>
      <c r="H537" s="186">
        <f ca="1" t="shared" si="87"/>
        <v>0</v>
      </c>
      <c r="I537" s="186"/>
      <c r="J537" s="186">
        <f ca="1">OFFSET(card_type!$F$1,MATCH(Q537,card_type!A:A,0)-1,0)</f>
        <v>3</v>
      </c>
      <c r="K537" s="243">
        <f ca="1">OFFSET(card_type!$G$1,MATCH(Q537,card_type!A:A,0)-1,0)</f>
        <v>3</v>
      </c>
      <c r="L537" s="157">
        <v>2</v>
      </c>
      <c r="M537" s="157">
        <v>2</v>
      </c>
      <c r="N537" s="153">
        <f t="shared" si="89"/>
        <v>22</v>
      </c>
      <c r="O537" s="157"/>
      <c r="P537" s="157"/>
      <c r="Q537" s="153">
        <f ca="1">OFFSET(card_type!$A$1,MATCH(card!B537,card_type!B:B,0)-1,0)</f>
        <v>1018</v>
      </c>
      <c r="R537" s="153">
        <v>1</v>
      </c>
      <c r="S537" s="157">
        <f ca="1">ROUND(IF(R537=0,0,IF(R537=1,X537*$S$1,IF(R537=2,X537*$S$1*buff的资质计算!$E$2,IF(R537=3,X537*$S$1*buff的资质计算!$E$3,0)))),0)*0</f>
        <v>0</v>
      </c>
      <c r="T537" s="153">
        <v>2</v>
      </c>
      <c r="U537" s="153">
        <f ca="1" t="shared" si="90"/>
        <v>33</v>
      </c>
      <c r="V537" s="153">
        <f ca="1">ROUND((OFFSET(卡牌辅助配置表!$O$1,MATCH(U537,卡牌辅助配置表!M:M,0)-1,0)+(N537-1)*OFFSET(卡牌辅助配置表!$P$1,MATCH(U537,卡牌辅助配置表!M:M,0)-1,0))*M537,2)</f>
        <v>143.38</v>
      </c>
      <c r="W537" s="157">
        <f ca="1">ROUND(IF(R537=0,0,IF(R537=1,X537*$W$1,IF(R537=2,X537*$W$1*buff的资质计算!$E$2,IF(R537=3,X537*$W$1*buff的资质计算!$E$3,0)))),2)</f>
        <v>17.85</v>
      </c>
      <c r="X537" s="157">
        <f ca="1" t="shared" si="91"/>
        <v>59.5</v>
      </c>
      <c r="Y537" s="157">
        <f ca="1" t="shared" si="96"/>
        <v>59.5</v>
      </c>
      <c r="Z537" s="304">
        <f ca="1" t="shared" si="92"/>
        <v>29.75</v>
      </c>
      <c r="AA537" s="304">
        <f ca="1">OFFSET(卡牌辅助配置表!$AD$1,MATCH(AB537,卡牌辅助配置表!AB:AB,0)-1,0)</f>
        <v>14442</v>
      </c>
      <c r="AB537" s="304">
        <f ca="1" t="shared" si="93"/>
        <v>3322</v>
      </c>
      <c r="AC537" s="153">
        <v>3</v>
      </c>
      <c r="AE537" s="153">
        <v>1</v>
      </c>
      <c r="AF537" s="153" t="str">
        <f ca="1" t="shared" si="97"/>
        <v>10180011|</v>
      </c>
      <c r="AJ537" s="205" t="str">
        <f ca="1" t="shared" si="94"/>
        <v>400023|17400|;</v>
      </c>
      <c r="AK537" s="205">
        <f ca="1">OFFSET([1]item_type!$A$1,MATCH(Q537,[1]item_type!$G:$G,0)-1,0)</f>
        <v>301018</v>
      </c>
      <c r="AL537" s="205"/>
      <c r="AM537" s="205">
        <f ca="1">IF(B537=B538,OFFSET(卡牌辅助配置表!$AE$1,MATCH(AB537,卡牌辅助配置表!AB:AB,0),0),0)</f>
        <v>17400</v>
      </c>
      <c r="AN537" s="153">
        <f ca="1" t="shared" si="95"/>
        <v>1018023</v>
      </c>
      <c r="AP537" s="153" t="str">
        <f ca="1">IF(AC537=0,0,IF(AC537=12,0,OFFSET(effect!$N$1,MATCH(K537,effect!M:M,0)-1,0)))</f>
        <v>kpsx_zise</v>
      </c>
    </row>
    <row r="538" spans="1:42">
      <c r="A538" s="153">
        <f ca="1" t="shared" si="88"/>
        <v>1018023</v>
      </c>
      <c r="B538" s="91" t="s">
        <v>661</v>
      </c>
      <c r="C538" s="186">
        <v>1</v>
      </c>
      <c r="D538" s="186">
        <v>6</v>
      </c>
      <c r="E538" s="165" t="s">
        <v>1050</v>
      </c>
      <c r="F538" s="165" t="str">
        <f>"上一招为拳法时，增加造成伤害"&amp;skill!$O$52/100&amp;"%的护甲"</f>
        <v>上一招为拳法时，增加造成伤害60%的护甲</v>
      </c>
      <c r="G538" s="186">
        <f ca="1">OFFSET(卡牌辅助配置表!$C$1,MATCH(AC538,卡牌辅助配置表!A:A,0)-1,0)</f>
        <v>3</v>
      </c>
      <c r="H538" s="186">
        <f ca="1" t="shared" si="87"/>
        <v>0</v>
      </c>
      <c r="I538" s="186"/>
      <c r="J538" s="186">
        <f ca="1">OFFSET(card_type!$F$1,MATCH(Q538,card_type!A:A,0)-1,0)</f>
        <v>3</v>
      </c>
      <c r="K538" s="243">
        <f ca="1">OFFSET(card_type!$G$1,MATCH(Q538,card_type!A:A,0)-1,0)</f>
        <v>3</v>
      </c>
      <c r="L538" s="157">
        <v>2</v>
      </c>
      <c r="M538" s="157">
        <v>2</v>
      </c>
      <c r="N538" s="153">
        <f t="shared" si="89"/>
        <v>23</v>
      </c>
      <c r="O538" s="157"/>
      <c r="P538" s="157"/>
      <c r="Q538" s="153">
        <f ca="1">OFFSET(card_type!$A$1,MATCH(card!B538,card_type!B:B,0)-1,0)</f>
        <v>1018</v>
      </c>
      <c r="R538" s="153">
        <v>1</v>
      </c>
      <c r="S538" s="157">
        <f ca="1">ROUND(IF(R538=0,0,IF(R538=1,X538*$S$1,IF(R538=2,X538*$S$1*buff的资质计算!$E$2,IF(R538=3,X538*$S$1*buff的资质计算!$E$3,0)))),0)*0</f>
        <v>0</v>
      </c>
      <c r="T538" s="153">
        <v>2</v>
      </c>
      <c r="U538" s="153">
        <f ca="1" t="shared" si="90"/>
        <v>33</v>
      </c>
      <c r="V538" s="153">
        <f ca="1">ROUND((OFFSET(卡牌辅助配置表!$O$1,MATCH(U538,卡牌辅助配置表!M:M,0)-1,0)+(N538-1)*OFFSET(卡牌辅助配置表!$P$1,MATCH(U538,卡牌辅助配置表!M:M,0)-1,0))*M538,2)</f>
        <v>148.02</v>
      </c>
      <c r="W538" s="157">
        <f ca="1">ROUND(IF(R538=0,0,IF(R538=1,X538*$W$1,IF(R538=2,X538*$W$1*buff的资质计算!$E$2,IF(R538=3,X538*$W$1*buff的资质计算!$E$3,0)))),2)</f>
        <v>18</v>
      </c>
      <c r="X538" s="157">
        <f ca="1" t="shared" si="91"/>
        <v>60</v>
      </c>
      <c r="Y538" s="157">
        <f ca="1" t="shared" si="96"/>
        <v>60</v>
      </c>
      <c r="Z538" s="304">
        <f ca="1" t="shared" si="92"/>
        <v>30</v>
      </c>
      <c r="AA538" s="304">
        <f ca="1">OFFSET(卡牌辅助配置表!$AD$1,MATCH(AB538,卡牌辅助配置表!AB:AB,0)-1,0)</f>
        <v>15438</v>
      </c>
      <c r="AB538" s="304">
        <f ca="1" t="shared" si="93"/>
        <v>3323</v>
      </c>
      <c r="AC538" s="153">
        <v>3</v>
      </c>
      <c r="AE538" s="153">
        <v>1</v>
      </c>
      <c r="AF538" s="153" t="str">
        <f ca="1" t="shared" si="97"/>
        <v>10180011|</v>
      </c>
      <c r="AJ538" s="205" t="str">
        <f ca="1" t="shared" si="94"/>
        <v>400023|19000|;</v>
      </c>
      <c r="AK538" s="205">
        <f ca="1">OFFSET([1]item_type!$A$1,MATCH(Q538,[1]item_type!$G:$G,0)-1,0)</f>
        <v>301018</v>
      </c>
      <c r="AL538" s="205"/>
      <c r="AM538" s="205">
        <f ca="1">IF(B538=B539,OFFSET(卡牌辅助配置表!$AE$1,MATCH(AB538,卡牌辅助配置表!AB:AB,0),0),0)</f>
        <v>19000</v>
      </c>
      <c r="AN538" s="153">
        <f ca="1" t="shared" si="95"/>
        <v>1018024</v>
      </c>
      <c r="AP538" s="153" t="str">
        <f ca="1">IF(AC538=0,0,IF(AC538=12,0,OFFSET(effect!$N$1,MATCH(K538,effect!M:M,0)-1,0)))</f>
        <v>kpsx_zise</v>
      </c>
    </row>
    <row r="539" spans="1:42">
      <c r="A539" s="153">
        <f ca="1" t="shared" si="88"/>
        <v>1018024</v>
      </c>
      <c r="B539" s="91" t="s">
        <v>661</v>
      </c>
      <c r="C539" s="186">
        <v>1</v>
      </c>
      <c r="D539" s="186">
        <v>6</v>
      </c>
      <c r="E539" s="165" t="s">
        <v>1050</v>
      </c>
      <c r="F539" s="165" t="str">
        <f>"上一招为拳法时，增加造成伤害"&amp;skill!$O$52/100&amp;"%的护甲"</f>
        <v>上一招为拳法时，增加造成伤害60%的护甲</v>
      </c>
      <c r="G539" s="186">
        <f ca="1">OFFSET(卡牌辅助配置表!$C$1,MATCH(AC539,卡牌辅助配置表!A:A,0)-1,0)</f>
        <v>3</v>
      </c>
      <c r="H539" s="186">
        <f ca="1" t="shared" si="87"/>
        <v>0</v>
      </c>
      <c r="I539" s="186"/>
      <c r="J539" s="186">
        <f ca="1">OFFSET(card_type!$F$1,MATCH(Q539,card_type!A:A,0)-1,0)</f>
        <v>3</v>
      </c>
      <c r="K539" s="243">
        <f ca="1">OFFSET(card_type!$G$1,MATCH(Q539,card_type!A:A,0)-1,0)</f>
        <v>3</v>
      </c>
      <c r="L539" s="157">
        <v>2</v>
      </c>
      <c r="M539" s="157">
        <v>2</v>
      </c>
      <c r="N539" s="153">
        <f t="shared" si="89"/>
        <v>24</v>
      </c>
      <c r="O539" s="157"/>
      <c r="P539" s="157"/>
      <c r="Q539" s="153">
        <f ca="1">OFFSET(card_type!$A$1,MATCH(card!B539,card_type!B:B,0)-1,0)</f>
        <v>1018</v>
      </c>
      <c r="R539" s="153">
        <v>1</v>
      </c>
      <c r="S539" s="157">
        <f ca="1">ROUND(IF(R539=0,0,IF(R539=1,X539*$S$1,IF(R539=2,X539*$S$1*buff的资质计算!$E$2,IF(R539=3,X539*$S$1*buff的资质计算!$E$3,0)))),0)*0</f>
        <v>0</v>
      </c>
      <c r="T539" s="153">
        <v>2</v>
      </c>
      <c r="U539" s="153">
        <f ca="1" t="shared" si="90"/>
        <v>33</v>
      </c>
      <c r="V539" s="153">
        <f ca="1">ROUND((OFFSET(卡牌辅助配置表!$O$1,MATCH(U539,卡牌辅助配置表!M:M,0)-1,0)+(N539-1)*OFFSET(卡牌辅助配置表!$P$1,MATCH(U539,卡牌辅助配置表!M:M,0)-1,0))*M539,2)</f>
        <v>152.66</v>
      </c>
      <c r="W539" s="157">
        <f ca="1">ROUND(IF(R539=0,0,IF(R539=1,X539*$W$1,IF(R539=2,X539*$W$1*buff的资质计算!$E$2,IF(R539=3,X539*$W$1*buff的资质计算!$E$3,0)))),2)</f>
        <v>18.15</v>
      </c>
      <c r="X539" s="157">
        <f ca="1" t="shared" si="91"/>
        <v>60.5</v>
      </c>
      <c r="Y539" s="157">
        <f ca="1" t="shared" si="96"/>
        <v>60.5</v>
      </c>
      <c r="Z539" s="304">
        <f ca="1" t="shared" si="92"/>
        <v>30.25</v>
      </c>
      <c r="AA539" s="304">
        <f ca="1">OFFSET(卡牌辅助配置表!$AD$1,MATCH(AB539,卡牌辅助配置表!AB:AB,0)-1,0)</f>
        <v>16434</v>
      </c>
      <c r="AB539" s="304">
        <f ca="1" t="shared" si="93"/>
        <v>3324</v>
      </c>
      <c r="AC539" s="153">
        <v>3</v>
      </c>
      <c r="AE539" s="153">
        <v>1</v>
      </c>
      <c r="AF539" s="153" t="str">
        <f ca="1" t="shared" si="97"/>
        <v>10180011|</v>
      </c>
      <c r="AJ539" s="205" t="str">
        <f ca="1" t="shared" si="94"/>
        <v>400023|20600|;</v>
      </c>
      <c r="AK539" s="205">
        <f ca="1">OFFSET([1]item_type!$A$1,MATCH(Q539,[1]item_type!$G:$G,0)-1,0)</f>
        <v>301018</v>
      </c>
      <c r="AL539" s="205"/>
      <c r="AM539" s="205">
        <f ca="1">IF(B539=B540,OFFSET(卡牌辅助配置表!$AE$1,MATCH(AB539,卡牌辅助配置表!AB:AB,0),0),0)</f>
        <v>20600</v>
      </c>
      <c r="AN539" s="153">
        <f ca="1" t="shared" si="95"/>
        <v>1018025</v>
      </c>
      <c r="AP539" s="153" t="str">
        <f ca="1">IF(AC539=0,0,IF(AC539=12,0,OFFSET(effect!$N$1,MATCH(K539,effect!M:M,0)-1,0)))</f>
        <v>kpsx_zise</v>
      </c>
    </row>
    <row r="540" spans="1:42">
      <c r="A540" s="153">
        <f ca="1" t="shared" si="88"/>
        <v>1018025</v>
      </c>
      <c r="B540" s="91" t="s">
        <v>661</v>
      </c>
      <c r="C540" s="186">
        <v>1</v>
      </c>
      <c r="D540" s="186">
        <v>6</v>
      </c>
      <c r="E540" s="165" t="s">
        <v>1050</v>
      </c>
      <c r="F540" s="165" t="str">
        <f>"上一招为拳法时，增加造成伤害"&amp;skill!$O$52/100&amp;"%的护甲"</f>
        <v>上一招为拳法时，增加造成伤害60%的护甲</v>
      </c>
      <c r="G540" s="186">
        <f ca="1">OFFSET(卡牌辅助配置表!$C$1,MATCH(AC540,卡牌辅助配置表!A:A,0)-1,0)</f>
        <v>3</v>
      </c>
      <c r="H540" s="186">
        <f ca="1" t="shared" si="87"/>
        <v>0</v>
      </c>
      <c r="I540" s="186"/>
      <c r="J540" s="186">
        <f ca="1">OFFSET(card_type!$F$1,MATCH(Q540,card_type!A:A,0)-1,0)</f>
        <v>3</v>
      </c>
      <c r="K540" s="243">
        <f ca="1">OFFSET(card_type!$G$1,MATCH(Q540,card_type!A:A,0)-1,0)</f>
        <v>3</v>
      </c>
      <c r="L540" s="157">
        <v>2</v>
      </c>
      <c r="M540" s="157">
        <v>2</v>
      </c>
      <c r="N540" s="153">
        <f t="shared" si="89"/>
        <v>25</v>
      </c>
      <c r="O540" s="157"/>
      <c r="P540" s="157"/>
      <c r="Q540" s="153">
        <f ca="1">OFFSET(card_type!$A$1,MATCH(card!B540,card_type!B:B,0)-1,0)</f>
        <v>1018</v>
      </c>
      <c r="R540" s="153">
        <v>1</v>
      </c>
      <c r="S540" s="157">
        <f ca="1">ROUND(IF(R540=0,0,IF(R540=1,X540*$S$1,IF(R540=2,X540*$S$1*buff的资质计算!$E$2,IF(R540=3,X540*$S$1*buff的资质计算!$E$3,0)))),0)*0</f>
        <v>0</v>
      </c>
      <c r="T540" s="153">
        <v>2</v>
      </c>
      <c r="U540" s="153">
        <f ca="1" t="shared" si="90"/>
        <v>33</v>
      </c>
      <c r="V540" s="153">
        <f ca="1">ROUND((OFFSET(卡牌辅助配置表!$O$1,MATCH(U540,卡牌辅助配置表!M:M,0)-1,0)+(N540-1)*OFFSET(卡牌辅助配置表!$P$1,MATCH(U540,卡牌辅助配置表!M:M,0)-1,0))*M540,2)</f>
        <v>157.3</v>
      </c>
      <c r="W540" s="157">
        <f ca="1">ROUND(IF(R540=0,0,IF(R540=1,X540*$W$1,IF(R540=2,X540*$W$1*buff的资质计算!$E$2,IF(R540=3,X540*$W$1*buff的资质计算!$E$3,0)))),2)</f>
        <v>18.3</v>
      </c>
      <c r="X540" s="157">
        <f ca="1" t="shared" si="91"/>
        <v>61</v>
      </c>
      <c r="Y540" s="157">
        <f ca="1" t="shared" si="96"/>
        <v>61</v>
      </c>
      <c r="Z540" s="304">
        <f ca="1" t="shared" si="92"/>
        <v>30.5</v>
      </c>
      <c r="AA540" s="304">
        <f ca="1">OFFSET(卡牌辅助配置表!$AD$1,MATCH(AB540,卡牌辅助配置表!AB:AB,0)-1,0)</f>
        <v>17430</v>
      </c>
      <c r="AB540" s="304">
        <f ca="1" t="shared" si="93"/>
        <v>3325</v>
      </c>
      <c r="AC540" s="153">
        <v>3</v>
      </c>
      <c r="AE540" s="153">
        <v>1</v>
      </c>
      <c r="AF540" s="153" t="str">
        <f ca="1" t="shared" si="97"/>
        <v>10180011|</v>
      </c>
      <c r="AJ540" s="205" t="str">
        <f ca="1" t="shared" si="94"/>
        <v>400023|22200|;</v>
      </c>
      <c r="AK540" s="205">
        <f ca="1">OFFSET([1]item_type!$A$1,MATCH(Q540,[1]item_type!$G:$G,0)-1,0)</f>
        <v>301018</v>
      </c>
      <c r="AL540" s="205"/>
      <c r="AM540" s="205">
        <f ca="1">IF(B540=B541,OFFSET(卡牌辅助配置表!$AE$1,MATCH(AB540,卡牌辅助配置表!AB:AB,0),0),0)</f>
        <v>22200</v>
      </c>
      <c r="AN540" s="153">
        <f ca="1" t="shared" si="95"/>
        <v>1018026</v>
      </c>
      <c r="AP540" s="153" t="str">
        <f ca="1">IF(AC540=0,0,IF(AC540=12,0,OFFSET(effect!$N$1,MATCH(K540,effect!M:M,0)-1,0)))</f>
        <v>kpsx_zise</v>
      </c>
    </row>
    <row r="541" spans="1:42">
      <c r="A541" s="153">
        <f ca="1" t="shared" si="88"/>
        <v>1018026</v>
      </c>
      <c r="B541" s="91" t="s">
        <v>661</v>
      </c>
      <c r="C541" s="186">
        <v>1</v>
      </c>
      <c r="D541" s="186">
        <v>6</v>
      </c>
      <c r="E541" s="165" t="s">
        <v>1050</v>
      </c>
      <c r="F541" s="165" t="str">
        <f>"上一招为拳法时，增加造成伤害"&amp;skill!$O$52/100&amp;"%的护甲"</f>
        <v>上一招为拳法时，增加造成伤害60%的护甲</v>
      </c>
      <c r="G541" s="186">
        <f ca="1">OFFSET(卡牌辅助配置表!$C$1,MATCH(AC541,卡牌辅助配置表!A:A,0)-1,0)</f>
        <v>3</v>
      </c>
      <c r="H541" s="186">
        <f ca="1" t="shared" si="87"/>
        <v>0</v>
      </c>
      <c r="I541" s="186"/>
      <c r="J541" s="186">
        <f ca="1">OFFSET(card_type!$F$1,MATCH(Q541,card_type!A:A,0)-1,0)</f>
        <v>3</v>
      </c>
      <c r="K541" s="243">
        <f ca="1">OFFSET(card_type!$G$1,MATCH(Q541,card_type!A:A,0)-1,0)</f>
        <v>3</v>
      </c>
      <c r="L541" s="157">
        <v>2</v>
      </c>
      <c r="M541" s="157">
        <v>2</v>
      </c>
      <c r="N541" s="153">
        <f t="shared" si="89"/>
        <v>26</v>
      </c>
      <c r="O541" s="157"/>
      <c r="P541" s="157"/>
      <c r="Q541" s="153">
        <f ca="1">OFFSET(card_type!$A$1,MATCH(card!B541,card_type!B:B,0)-1,0)</f>
        <v>1018</v>
      </c>
      <c r="R541" s="153">
        <v>1</v>
      </c>
      <c r="S541" s="157">
        <f ca="1">ROUND(IF(R541=0,0,IF(R541=1,X541*$S$1,IF(R541=2,X541*$S$1*buff的资质计算!$E$2,IF(R541=3,X541*$S$1*buff的资质计算!$E$3,0)))),0)*0</f>
        <v>0</v>
      </c>
      <c r="T541" s="153">
        <v>2</v>
      </c>
      <c r="U541" s="153">
        <f ca="1" t="shared" si="90"/>
        <v>33</v>
      </c>
      <c r="V541" s="153">
        <f ca="1">ROUND((OFFSET(卡牌辅助配置表!$O$1,MATCH(U541,卡牌辅助配置表!M:M,0)-1,0)+(N541-1)*OFFSET(卡牌辅助配置表!$P$1,MATCH(U541,卡牌辅助配置表!M:M,0)-1,0))*M541,2)</f>
        <v>161.94</v>
      </c>
      <c r="W541" s="157">
        <f ca="1">ROUND(IF(R541=0,0,IF(R541=1,X541*$W$1,IF(R541=2,X541*$W$1*buff的资质计算!$E$2,IF(R541=3,X541*$W$1*buff的资质计算!$E$3,0)))),2)</f>
        <v>18.45</v>
      </c>
      <c r="X541" s="157">
        <f ca="1" t="shared" si="91"/>
        <v>61.5</v>
      </c>
      <c r="Y541" s="157">
        <f ca="1" t="shared" si="96"/>
        <v>61.5</v>
      </c>
      <c r="Z541" s="304">
        <f ca="1" t="shared" si="92"/>
        <v>30.75</v>
      </c>
      <c r="AA541" s="304">
        <f ca="1">OFFSET(卡牌辅助配置表!$AD$1,MATCH(AB541,卡牌辅助配置表!AB:AB,0)-1,0)</f>
        <v>18426</v>
      </c>
      <c r="AB541" s="304">
        <f ca="1" t="shared" si="93"/>
        <v>3326</v>
      </c>
      <c r="AC541" s="153">
        <v>3</v>
      </c>
      <c r="AE541" s="153">
        <v>1</v>
      </c>
      <c r="AF541" s="153" t="str">
        <f ca="1" t="shared" si="97"/>
        <v>10180011|</v>
      </c>
      <c r="AJ541" s="205" t="str">
        <f ca="1" t="shared" si="94"/>
        <v>400023|23800|;</v>
      </c>
      <c r="AK541" s="205">
        <f ca="1">OFFSET([1]item_type!$A$1,MATCH(Q541,[1]item_type!$G:$G,0)-1,0)</f>
        <v>301018</v>
      </c>
      <c r="AL541" s="205"/>
      <c r="AM541" s="205">
        <f ca="1">IF(B541=B542,OFFSET(卡牌辅助配置表!$AE$1,MATCH(AB541,卡牌辅助配置表!AB:AB,0),0),0)</f>
        <v>23800</v>
      </c>
      <c r="AN541" s="153">
        <f ca="1" t="shared" si="95"/>
        <v>1018027</v>
      </c>
      <c r="AP541" s="153" t="str">
        <f ca="1">IF(AC541=0,0,IF(AC541=12,0,OFFSET(effect!$N$1,MATCH(K541,effect!M:M,0)-1,0)))</f>
        <v>kpsx_zise</v>
      </c>
    </row>
    <row r="542" spans="1:42">
      <c r="A542" s="153">
        <f ca="1" t="shared" si="88"/>
        <v>1018027</v>
      </c>
      <c r="B542" s="91" t="s">
        <v>661</v>
      </c>
      <c r="C542" s="186">
        <v>1</v>
      </c>
      <c r="D542" s="186">
        <v>6</v>
      </c>
      <c r="E542" s="165" t="s">
        <v>1050</v>
      </c>
      <c r="F542" s="165" t="str">
        <f>"上一招为拳法时，增加造成伤害"&amp;skill!$O$52/100&amp;"%的护甲"</f>
        <v>上一招为拳法时，增加造成伤害60%的护甲</v>
      </c>
      <c r="G542" s="186">
        <f ca="1">OFFSET(卡牌辅助配置表!$C$1,MATCH(AC542,卡牌辅助配置表!A:A,0)-1,0)</f>
        <v>3</v>
      </c>
      <c r="H542" s="186">
        <f ca="1" t="shared" si="87"/>
        <v>0</v>
      </c>
      <c r="I542" s="186"/>
      <c r="J542" s="186">
        <f ca="1">OFFSET(card_type!$F$1,MATCH(Q542,card_type!A:A,0)-1,0)</f>
        <v>3</v>
      </c>
      <c r="K542" s="243">
        <f ca="1">OFFSET(card_type!$G$1,MATCH(Q542,card_type!A:A,0)-1,0)</f>
        <v>3</v>
      </c>
      <c r="L542" s="157">
        <v>2</v>
      </c>
      <c r="M542" s="157">
        <v>2</v>
      </c>
      <c r="N542" s="153">
        <f t="shared" si="89"/>
        <v>27</v>
      </c>
      <c r="O542" s="157"/>
      <c r="P542" s="157"/>
      <c r="Q542" s="153">
        <f ca="1">OFFSET(card_type!$A$1,MATCH(card!B542,card_type!B:B,0)-1,0)</f>
        <v>1018</v>
      </c>
      <c r="R542" s="153">
        <v>1</v>
      </c>
      <c r="S542" s="157">
        <f ca="1">ROUND(IF(R542=0,0,IF(R542=1,X542*$S$1,IF(R542=2,X542*$S$1*buff的资质计算!$E$2,IF(R542=3,X542*$S$1*buff的资质计算!$E$3,0)))),0)*0</f>
        <v>0</v>
      </c>
      <c r="T542" s="153">
        <v>2</v>
      </c>
      <c r="U542" s="153">
        <f ca="1" t="shared" si="90"/>
        <v>33</v>
      </c>
      <c r="V542" s="153">
        <f ca="1">ROUND((OFFSET(卡牌辅助配置表!$O$1,MATCH(U542,卡牌辅助配置表!M:M,0)-1,0)+(N542-1)*OFFSET(卡牌辅助配置表!$P$1,MATCH(U542,卡牌辅助配置表!M:M,0)-1,0))*M542,2)</f>
        <v>166.58</v>
      </c>
      <c r="W542" s="157">
        <f ca="1">ROUND(IF(R542=0,0,IF(R542=1,X542*$W$1,IF(R542=2,X542*$W$1*buff的资质计算!$E$2,IF(R542=3,X542*$W$1*buff的资质计算!$E$3,0)))),2)</f>
        <v>18.6</v>
      </c>
      <c r="X542" s="157">
        <f ca="1" t="shared" si="91"/>
        <v>62</v>
      </c>
      <c r="Y542" s="157">
        <f ca="1" t="shared" si="96"/>
        <v>62</v>
      </c>
      <c r="Z542" s="304">
        <f ca="1" t="shared" si="92"/>
        <v>31</v>
      </c>
      <c r="AA542" s="304">
        <f ca="1">OFFSET(卡牌辅助配置表!$AD$1,MATCH(AB542,卡牌辅助配置表!AB:AB,0)-1,0)</f>
        <v>19422</v>
      </c>
      <c r="AB542" s="304">
        <f ca="1" t="shared" si="93"/>
        <v>3327</v>
      </c>
      <c r="AC542" s="153">
        <v>3</v>
      </c>
      <c r="AE542" s="153">
        <v>1</v>
      </c>
      <c r="AF542" s="153" t="str">
        <f ca="1" t="shared" si="97"/>
        <v>10180011|</v>
      </c>
      <c r="AJ542" s="205" t="str">
        <f ca="1" t="shared" si="94"/>
        <v>400023|25400|;</v>
      </c>
      <c r="AK542" s="205">
        <f ca="1">OFFSET([1]item_type!$A$1,MATCH(Q542,[1]item_type!$G:$G,0)-1,0)</f>
        <v>301018</v>
      </c>
      <c r="AL542" s="205"/>
      <c r="AM542" s="205">
        <f ca="1">IF(B542=B543,OFFSET(卡牌辅助配置表!$AE$1,MATCH(AB542,卡牌辅助配置表!AB:AB,0),0),0)</f>
        <v>25400</v>
      </c>
      <c r="AN542" s="153">
        <f ca="1" t="shared" si="95"/>
        <v>1018028</v>
      </c>
      <c r="AP542" s="153" t="str">
        <f ca="1">IF(AC542=0,0,IF(AC542=12,0,OFFSET(effect!$N$1,MATCH(K542,effect!M:M,0)-1,0)))</f>
        <v>kpsx_zise</v>
      </c>
    </row>
    <row r="543" spans="1:42">
      <c r="A543" s="153">
        <f ca="1" t="shared" si="88"/>
        <v>1018028</v>
      </c>
      <c r="B543" s="91" t="s">
        <v>661</v>
      </c>
      <c r="C543" s="186">
        <v>1</v>
      </c>
      <c r="D543" s="186">
        <v>6</v>
      </c>
      <c r="E543" s="165" t="s">
        <v>1050</v>
      </c>
      <c r="F543" s="165" t="str">
        <f>"上一招为拳法时，增加造成伤害"&amp;skill!$O$52/100&amp;"%的护甲"</f>
        <v>上一招为拳法时，增加造成伤害60%的护甲</v>
      </c>
      <c r="G543" s="186">
        <f ca="1">OFFSET(卡牌辅助配置表!$C$1,MATCH(AC543,卡牌辅助配置表!A:A,0)-1,0)</f>
        <v>3</v>
      </c>
      <c r="H543" s="186">
        <f ca="1" t="shared" si="87"/>
        <v>0</v>
      </c>
      <c r="I543" s="186"/>
      <c r="J543" s="186">
        <f ca="1">OFFSET(card_type!$F$1,MATCH(Q543,card_type!A:A,0)-1,0)</f>
        <v>3</v>
      </c>
      <c r="K543" s="243">
        <f ca="1">OFFSET(card_type!$G$1,MATCH(Q543,card_type!A:A,0)-1,0)</f>
        <v>3</v>
      </c>
      <c r="L543" s="157">
        <v>2</v>
      </c>
      <c r="M543" s="157">
        <v>2</v>
      </c>
      <c r="N543" s="153">
        <f t="shared" si="89"/>
        <v>28</v>
      </c>
      <c r="O543" s="157"/>
      <c r="P543" s="157"/>
      <c r="Q543" s="153">
        <f ca="1">OFFSET(card_type!$A$1,MATCH(card!B543,card_type!B:B,0)-1,0)</f>
        <v>1018</v>
      </c>
      <c r="R543" s="153">
        <v>1</v>
      </c>
      <c r="S543" s="157">
        <f ca="1">ROUND(IF(R543=0,0,IF(R543=1,X543*$S$1,IF(R543=2,X543*$S$1*buff的资质计算!$E$2,IF(R543=3,X543*$S$1*buff的资质计算!$E$3,0)))),0)*0</f>
        <v>0</v>
      </c>
      <c r="T543" s="153">
        <v>2</v>
      </c>
      <c r="U543" s="153">
        <f ca="1" t="shared" si="90"/>
        <v>33</v>
      </c>
      <c r="V543" s="153">
        <f ca="1">ROUND((OFFSET(卡牌辅助配置表!$O$1,MATCH(U543,卡牌辅助配置表!M:M,0)-1,0)+(N543-1)*OFFSET(卡牌辅助配置表!$P$1,MATCH(U543,卡牌辅助配置表!M:M,0)-1,0))*M543,2)</f>
        <v>171.22</v>
      </c>
      <c r="W543" s="157">
        <f ca="1">ROUND(IF(R543=0,0,IF(R543=1,X543*$W$1,IF(R543=2,X543*$W$1*buff的资质计算!$E$2,IF(R543=3,X543*$W$1*buff的资质计算!$E$3,0)))),2)</f>
        <v>18.75</v>
      </c>
      <c r="X543" s="157">
        <f ca="1" t="shared" si="91"/>
        <v>62.5</v>
      </c>
      <c r="Y543" s="157">
        <f ca="1" t="shared" si="96"/>
        <v>62.5</v>
      </c>
      <c r="Z543" s="304">
        <f ca="1" t="shared" si="92"/>
        <v>31.25</v>
      </c>
      <c r="AA543" s="304">
        <f ca="1">OFFSET(卡牌辅助配置表!$AD$1,MATCH(AB543,卡牌辅助配置表!AB:AB,0)-1,0)</f>
        <v>20418</v>
      </c>
      <c r="AB543" s="304">
        <f ca="1" t="shared" si="93"/>
        <v>3328</v>
      </c>
      <c r="AC543" s="153">
        <v>3</v>
      </c>
      <c r="AE543" s="153">
        <v>1</v>
      </c>
      <c r="AF543" s="153" t="str">
        <f ca="1" t="shared" si="97"/>
        <v>10180011|</v>
      </c>
      <c r="AJ543" s="205" t="str">
        <f ca="1" t="shared" si="94"/>
        <v>400023|27000|;</v>
      </c>
      <c r="AK543" s="205">
        <f ca="1">OFFSET([1]item_type!$A$1,MATCH(Q543,[1]item_type!$G:$G,0)-1,0)</f>
        <v>301018</v>
      </c>
      <c r="AL543" s="205"/>
      <c r="AM543" s="205">
        <f ca="1">IF(B543=B544,OFFSET(卡牌辅助配置表!$AE$1,MATCH(AB543,卡牌辅助配置表!AB:AB,0),0),0)</f>
        <v>27000</v>
      </c>
      <c r="AN543" s="153">
        <f ca="1" t="shared" si="95"/>
        <v>1018029</v>
      </c>
      <c r="AP543" s="153" t="str">
        <f ca="1">IF(AC543=0,0,IF(AC543=12,0,OFFSET(effect!$N$1,MATCH(K543,effect!M:M,0)-1,0)))</f>
        <v>kpsx_zise</v>
      </c>
    </row>
    <row r="544" spans="1:42">
      <c r="A544" s="153">
        <f ca="1" t="shared" si="88"/>
        <v>1018029</v>
      </c>
      <c r="B544" s="91" t="s">
        <v>661</v>
      </c>
      <c r="C544" s="186">
        <v>1</v>
      </c>
      <c r="D544" s="186">
        <v>6</v>
      </c>
      <c r="E544" s="165" t="s">
        <v>1050</v>
      </c>
      <c r="F544" s="165" t="str">
        <f>"上一招为拳法时，增加造成伤害"&amp;skill!$O$52/100&amp;"%的护甲"</f>
        <v>上一招为拳法时，增加造成伤害60%的护甲</v>
      </c>
      <c r="G544" s="186">
        <f ca="1">OFFSET(卡牌辅助配置表!$C$1,MATCH(AC544,卡牌辅助配置表!A:A,0)-1,0)</f>
        <v>3</v>
      </c>
      <c r="H544" s="186">
        <f ca="1" t="shared" si="87"/>
        <v>0</v>
      </c>
      <c r="I544" s="186"/>
      <c r="J544" s="186">
        <f ca="1">OFFSET(card_type!$F$1,MATCH(Q544,card_type!A:A,0)-1,0)</f>
        <v>3</v>
      </c>
      <c r="K544" s="243">
        <f ca="1">OFFSET(card_type!$G$1,MATCH(Q544,card_type!A:A,0)-1,0)</f>
        <v>3</v>
      </c>
      <c r="L544" s="157">
        <v>2</v>
      </c>
      <c r="M544" s="157">
        <v>2</v>
      </c>
      <c r="N544" s="153">
        <f t="shared" si="89"/>
        <v>29</v>
      </c>
      <c r="O544" s="157"/>
      <c r="P544" s="157"/>
      <c r="Q544" s="153">
        <f ca="1">OFFSET(card_type!$A$1,MATCH(card!B544,card_type!B:B,0)-1,0)</f>
        <v>1018</v>
      </c>
      <c r="R544" s="153">
        <v>1</v>
      </c>
      <c r="S544" s="157">
        <f ca="1">ROUND(IF(R544=0,0,IF(R544=1,X544*$S$1,IF(R544=2,X544*$S$1*buff的资质计算!$E$2,IF(R544=3,X544*$S$1*buff的资质计算!$E$3,0)))),0)*0</f>
        <v>0</v>
      </c>
      <c r="T544" s="153">
        <v>2</v>
      </c>
      <c r="U544" s="153">
        <f ca="1" t="shared" si="90"/>
        <v>33</v>
      </c>
      <c r="V544" s="153">
        <f ca="1">ROUND((OFFSET(卡牌辅助配置表!$O$1,MATCH(U544,卡牌辅助配置表!M:M,0)-1,0)+(N544-1)*OFFSET(卡牌辅助配置表!$P$1,MATCH(U544,卡牌辅助配置表!M:M,0)-1,0))*M544,2)</f>
        <v>175.86</v>
      </c>
      <c r="W544" s="157">
        <f ca="1">ROUND(IF(R544=0,0,IF(R544=1,X544*$W$1,IF(R544=2,X544*$W$1*buff的资质计算!$E$2,IF(R544=3,X544*$W$1*buff的资质计算!$E$3,0)))),2)</f>
        <v>18.9</v>
      </c>
      <c r="X544" s="157">
        <f ca="1" t="shared" si="91"/>
        <v>63</v>
      </c>
      <c r="Y544" s="157">
        <f ca="1" t="shared" si="96"/>
        <v>63</v>
      </c>
      <c r="Z544" s="304">
        <f ca="1" t="shared" si="92"/>
        <v>31.5</v>
      </c>
      <c r="AA544" s="304">
        <f ca="1">OFFSET(卡牌辅助配置表!$AD$1,MATCH(AB544,卡牌辅助配置表!AB:AB,0)-1,0)</f>
        <v>21414</v>
      </c>
      <c r="AB544" s="304">
        <f ca="1" t="shared" si="93"/>
        <v>3329</v>
      </c>
      <c r="AC544" s="153">
        <v>3</v>
      </c>
      <c r="AE544" s="153">
        <v>1</v>
      </c>
      <c r="AF544" s="153" t="str">
        <f ca="1" t="shared" si="97"/>
        <v>10180011|</v>
      </c>
      <c r="AJ544" s="205" t="str">
        <f ca="1" t="shared" si="94"/>
        <v>301018|30|;400023|28600|;</v>
      </c>
      <c r="AK544" s="205">
        <f ca="1">OFFSET([1]item_type!$A$1,MATCH(Q544,[1]item_type!$G:$G,0)-1,0)</f>
        <v>301018</v>
      </c>
      <c r="AL544" s="205">
        <v>30</v>
      </c>
      <c r="AM544" s="205">
        <f ca="1">IF(B544=B545,OFFSET(卡牌辅助配置表!$AE$1,MATCH(AB544,卡牌辅助配置表!AB:AB,0),0),0)</f>
        <v>28600</v>
      </c>
      <c r="AN544" s="153">
        <f ca="1" t="shared" si="95"/>
        <v>1018030</v>
      </c>
      <c r="AP544" s="153" t="str">
        <f ca="1">IF(AC544=0,0,IF(AC544=12,0,OFFSET(effect!$N$1,MATCH(K544,effect!M:M,0)-1,0)))</f>
        <v>kpsx_zise</v>
      </c>
    </row>
    <row r="545" spans="1:42">
      <c r="A545" s="153">
        <f ca="1" t="shared" si="88"/>
        <v>1018030</v>
      </c>
      <c r="B545" s="91" t="s">
        <v>661</v>
      </c>
      <c r="C545" s="186">
        <v>1</v>
      </c>
      <c r="D545" s="186">
        <v>6</v>
      </c>
      <c r="E545" s="165" t="s">
        <v>1050</v>
      </c>
      <c r="F545" s="165" t="str">
        <f>"上一招为拳法时，增加造成伤害"&amp;skill!$O$52/100&amp;"%的护甲"</f>
        <v>上一招为拳法时，增加造成伤害60%的护甲</v>
      </c>
      <c r="G545" s="186">
        <f ca="1">OFFSET(卡牌辅助配置表!$C$1,MATCH(AC545,卡牌辅助配置表!A:A,0)-1,0)</f>
        <v>3</v>
      </c>
      <c r="H545" s="186">
        <f ca="1" t="shared" si="87"/>
        <v>0</v>
      </c>
      <c r="I545" s="186"/>
      <c r="J545" s="186">
        <f ca="1">OFFSET(card_type!$F$1,MATCH(Q545,card_type!A:A,0)-1,0)</f>
        <v>3</v>
      </c>
      <c r="K545" s="243">
        <f ca="1">OFFSET(card_type!$G$1,MATCH(Q545,card_type!A:A,0)-1,0)</f>
        <v>3</v>
      </c>
      <c r="L545" s="157">
        <v>2</v>
      </c>
      <c r="M545" s="157">
        <v>2</v>
      </c>
      <c r="N545" s="153">
        <f t="shared" si="89"/>
        <v>30</v>
      </c>
      <c r="O545" s="157"/>
      <c r="P545" s="157"/>
      <c r="Q545" s="153">
        <f ca="1">OFFSET(card_type!$A$1,MATCH(card!B545,card_type!B:B,0)-1,0)</f>
        <v>1018</v>
      </c>
      <c r="R545" s="153">
        <v>1</v>
      </c>
      <c r="S545" s="157">
        <f ca="1">ROUND(IF(R545=0,0,IF(R545=1,X545*$S$1,IF(R545=2,X545*$S$1*buff的资质计算!$E$2,IF(R545=3,X545*$S$1*buff的资质计算!$E$3,0)))),0)*0</f>
        <v>0</v>
      </c>
      <c r="T545" s="153">
        <v>2</v>
      </c>
      <c r="U545" s="153">
        <f ca="1" t="shared" si="90"/>
        <v>33</v>
      </c>
      <c r="V545" s="153">
        <f ca="1">ROUND((OFFSET(卡牌辅助配置表!$O$1,MATCH(U545,卡牌辅助配置表!M:M,0)-1,0)+(N545-1)*OFFSET(卡牌辅助配置表!$P$1,MATCH(U545,卡牌辅助配置表!M:M,0)-1,0))*M545,2)</f>
        <v>180.5</v>
      </c>
      <c r="W545" s="157">
        <f ca="1">ROUND(IF(R545=0,0,IF(R545=1,X545*$W$1,IF(R545=2,X545*$W$1*buff的资质计算!$E$2,IF(R545=3,X545*$W$1*buff的资质计算!$E$3,0)))),2)</f>
        <v>19.05</v>
      </c>
      <c r="X545" s="157">
        <f ca="1" t="shared" si="91"/>
        <v>63.5</v>
      </c>
      <c r="Y545" s="157">
        <f ca="1" t="shared" si="96"/>
        <v>63.5</v>
      </c>
      <c r="Z545" s="304">
        <f ca="1" t="shared" si="92"/>
        <v>31.75</v>
      </c>
      <c r="AA545" s="304">
        <f ca="1">OFFSET(卡牌辅助配置表!$AD$1,MATCH(AB545,卡牌辅助配置表!AB:AB,0)-1,0)</f>
        <v>22410</v>
      </c>
      <c r="AB545" s="304">
        <f ca="1" t="shared" si="93"/>
        <v>3330</v>
      </c>
      <c r="AC545" s="153">
        <v>3</v>
      </c>
      <c r="AE545" s="153">
        <v>1</v>
      </c>
      <c r="AF545" s="153" t="str">
        <f ca="1" t="shared" si="97"/>
        <v>10180011|</v>
      </c>
      <c r="AJ545" s="205">
        <f ca="1" t="shared" si="94"/>
        <v>0</v>
      </c>
      <c r="AK545" s="205">
        <f ca="1">OFFSET([1]item_type!$A$1,MATCH(Q545,[1]item_type!$G:$G,0)-1,0)</f>
        <v>301018</v>
      </c>
      <c r="AL545" s="205"/>
      <c r="AM545" s="205">
        <f ca="1">IF(B545=B546,OFFSET(卡牌辅助配置表!$AE$1,MATCH(AB545,卡牌辅助配置表!AB:AB,0),0),0)</f>
        <v>0</v>
      </c>
      <c r="AN545" s="153">
        <f ca="1" t="shared" si="95"/>
        <v>0</v>
      </c>
      <c r="AP545" s="153" t="str">
        <f ca="1">IF(AC545=0,0,IF(AC545=12,0,OFFSET(effect!$N$1,MATCH(K545,effect!M:M,0)-1,0)))</f>
        <v>kpsx_zise</v>
      </c>
    </row>
    <row r="546" spans="1:42">
      <c r="A546" s="153">
        <f ca="1" t="shared" si="88"/>
        <v>1019001</v>
      </c>
      <c r="B546" s="91" t="s">
        <v>522</v>
      </c>
      <c r="C546" s="186">
        <v>1</v>
      </c>
      <c r="D546" s="186">
        <v>5</v>
      </c>
      <c r="E546" s="165" t="s">
        <v>1050</v>
      </c>
      <c r="F546" s="165" t="str">
        <f>"额外造成当前护甲"&amp;skill!$O$53%&amp;"%的伤害"</f>
        <v>额外造成当前护甲150%的伤害</v>
      </c>
      <c r="G546" s="186">
        <f ca="1">OFFSET(卡牌辅助配置表!$C$1,MATCH(AC546,卡牌辅助配置表!A:A,0)-1,0)</f>
        <v>0</v>
      </c>
      <c r="H546" s="186">
        <v>6</v>
      </c>
      <c r="I546" s="186"/>
      <c r="J546" s="186">
        <f ca="1">OFFSET(card_type!$F$1,MATCH(Q546,card_type!A:A,0)-1,0)</f>
        <v>2</v>
      </c>
      <c r="K546" s="243">
        <f ca="1">OFFSET(card_type!$G$1,MATCH(Q546,card_type!A:A,0)-1,0)</f>
        <v>4</v>
      </c>
      <c r="L546" s="157">
        <v>2</v>
      </c>
      <c r="M546" s="157">
        <v>2</v>
      </c>
      <c r="N546" s="153">
        <f t="shared" si="89"/>
        <v>1</v>
      </c>
      <c r="O546" s="157"/>
      <c r="P546" s="157"/>
      <c r="Q546" s="153">
        <f ca="1">OFFSET(card_type!$A$1,MATCH(card!B546,card_type!B:B,0)-1,0)</f>
        <v>1019</v>
      </c>
      <c r="R546" s="153">
        <v>1</v>
      </c>
      <c r="S546" s="157">
        <f ca="1">ROUND(IF(R546=0,0,IF(R546=1,X546*$S$1,IF(R546=2,X546*$S$1*buff的资质计算!$E$2,IF(R546=3,X546*$S$1*buff的资质计算!$E$3,0)))),0)*0</f>
        <v>0</v>
      </c>
      <c r="T546" s="153">
        <v>1</v>
      </c>
      <c r="U546" s="153">
        <f ca="1" t="shared" si="90"/>
        <v>24</v>
      </c>
      <c r="V546" s="153">
        <f ca="1">ROUND((OFFSET(卡牌辅助配置表!$O$1,MATCH(U546,卡牌辅助配置表!M:M,0)-1,0)+(N546-1)*OFFSET(卡牌辅助配置表!$P$1,MATCH(U546,卡牌辅助配置表!M:M,0)-1,0))*M546,2)</f>
        <v>50.4</v>
      </c>
      <c r="W546" s="157">
        <f ca="1">ROUND(IF(R546=0,0,IF(R546=1,X546*$W$1,IF(R546=2,X546*$W$1*buff的资质计算!$E$2,IF(R546=3,X546*$W$1*buff的资质计算!$E$3,0)))),2)</f>
        <v>13.2</v>
      </c>
      <c r="X546" s="157">
        <f ca="1" t="shared" si="91"/>
        <v>44</v>
      </c>
      <c r="Y546" s="157">
        <f ca="1" t="shared" si="96"/>
        <v>50</v>
      </c>
      <c r="Z546" s="304">
        <f ca="1" t="shared" si="92"/>
        <v>25</v>
      </c>
      <c r="AA546" s="304">
        <f ca="1">OFFSET(卡牌辅助配置表!$AD$1,MATCH(AB546,卡牌辅助配置表!AB:AB,0)-1,0)</f>
        <v>352</v>
      </c>
      <c r="AB546" s="304">
        <f ca="1" t="shared" si="93"/>
        <v>2401</v>
      </c>
      <c r="AC546" s="153">
        <v>12</v>
      </c>
      <c r="AF546" s="153" t="str">
        <f ca="1" t="shared" si="97"/>
        <v>10190011|</v>
      </c>
      <c r="AJ546" s="205" t="str">
        <f ca="1" t="shared" si="94"/>
        <v>400023|2100|;</v>
      </c>
      <c r="AK546" s="205">
        <f ca="1">OFFSET([1]item_type!$A$1,MATCH(Q546,[1]item_type!$G:$G,0)-1,0)</f>
        <v>301019</v>
      </c>
      <c r="AL546" s="205"/>
      <c r="AM546" s="205">
        <f ca="1">IF(B546=B547,OFFSET(卡牌辅助配置表!$AE$1,MATCH(AB546,卡牌辅助配置表!AB:AB,0),0),0)</f>
        <v>2100</v>
      </c>
      <c r="AN546" s="153">
        <f ca="1" t="shared" si="95"/>
        <v>1019002</v>
      </c>
      <c r="AP546" s="153">
        <f ca="1">IF(AC546=0,0,IF(AC546=12,0,OFFSET(effect!$N$1,MATCH(K546,effect!M:M,0)-1,0)))</f>
        <v>0</v>
      </c>
    </row>
    <row r="547" spans="1:42">
      <c r="A547" s="153">
        <f ca="1" t="shared" si="88"/>
        <v>1019002</v>
      </c>
      <c r="B547" s="91" t="s">
        <v>522</v>
      </c>
      <c r="C547" s="186">
        <v>1</v>
      </c>
      <c r="D547" s="186">
        <v>5</v>
      </c>
      <c r="E547" s="165" t="s">
        <v>1050</v>
      </c>
      <c r="F547" s="165" t="str">
        <f>"额外造成当前护甲"&amp;skill!$O$53%&amp;"%的伤害"</f>
        <v>额外造成当前护甲150%的伤害</v>
      </c>
      <c r="G547" s="186">
        <f ca="1">OFFSET(卡牌辅助配置表!$C$1,MATCH(AC547,卡牌辅助配置表!A:A,0)-1,0)</f>
        <v>0</v>
      </c>
      <c r="H547" s="186">
        <v>6</v>
      </c>
      <c r="I547" s="186"/>
      <c r="J547" s="186">
        <f ca="1">OFFSET(card_type!$F$1,MATCH(Q547,card_type!A:A,0)-1,0)</f>
        <v>2</v>
      </c>
      <c r="K547" s="243">
        <f ca="1">OFFSET(card_type!$G$1,MATCH(Q547,card_type!A:A,0)-1,0)</f>
        <v>4</v>
      </c>
      <c r="L547" s="157">
        <v>2</v>
      </c>
      <c r="M547" s="157">
        <v>2</v>
      </c>
      <c r="N547" s="153">
        <f t="shared" si="89"/>
        <v>2</v>
      </c>
      <c r="O547" s="157"/>
      <c r="P547" s="157"/>
      <c r="Q547" s="153">
        <f ca="1">OFFSET(card_type!$A$1,MATCH(card!B547,card_type!B:B,0)-1,0)</f>
        <v>1019</v>
      </c>
      <c r="R547" s="153">
        <v>1</v>
      </c>
      <c r="S547" s="157">
        <f ca="1">ROUND(IF(R547=0,0,IF(R547=1,X547*$S$1,IF(R547=2,X547*$S$1*buff的资质计算!$E$2,IF(R547=3,X547*$S$1*buff的资质计算!$E$3,0)))),0)*0</f>
        <v>0</v>
      </c>
      <c r="T547" s="153">
        <v>1</v>
      </c>
      <c r="U547" s="153">
        <f ca="1" t="shared" si="90"/>
        <v>24</v>
      </c>
      <c r="V547" s="153">
        <f ca="1">ROUND((OFFSET(卡牌辅助配置表!$O$1,MATCH(U547,卡牌辅助配置表!M:M,0)-1,0)+(N547-1)*OFFSET(卡牌辅助配置表!$P$1,MATCH(U547,卡牌辅助配置表!M:M,0)-1,0))*M547,2)</f>
        <v>53.76</v>
      </c>
      <c r="W547" s="157">
        <f ca="1">ROUND(IF(R547=0,0,IF(R547=1,X547*$W$1,IF(R547=2,X547*$W$1*buff的资质计算!$E$2,IF(R547=3,X547*$W$1*buff的资质计算!$E$3,0)))),2)</f>
        <v>13.35</v>
      </c>
      <c r="X547" s="157">
        <f ca="1" t="shared" si="91"/>
        <v>44.5</v>
      </c>
      <c r="Y547" s="157">
        <f ca="1" t="shared" si="96"/>
        <v>50.5</v>
      </c>
      <c r="Z547" s="304">
        <f ca="1" t="shared" si="92"/>
        <v>25.25</v>
      </c>
      <c r="AA547" s="304">
        <f ca="1">OFFSET(卡牌辅助配置表!$AD$1,MATCH(AB547,卡牌辅助配置表!AB:AB,0)-1,0)</f>
        <v>704</v>
      </c>
      <c r="AB547" s="304">
        <f ca="1" t="shared" si="93"/>
        <v>2402</v>
      </c>
      <c r="AC547" s="153">
        <v>12</v>
      </c>
      <c r="AF547" s="153" t="str">
        <f ca="1" t="shared" si="97"/>
        <v>10190011|</v>
      </c>
      <c r="AJ547" s="205" t="str">
        <f ca="1" t="shared" si="94"/>
        <v>400023|2700|;</v>
      </c>
      <c r="AK547" s="205">
        <f ca="1">OFFSET([1]item_type!$A$1,MATCH(Q547,[1]item_type!$G:$G,0)-1,0)</f>
        <v>301019</v>
      </c>
      <c r="AL547" s="205"/>
      <c r="AM547" s="205">
        <f ca="1">IF(B547=B548,OFFSET(卡牌辅助配置表!$AE$1,MATCH(AB547,卡牌辅助配置表!AB:AB,0),0),0)</f>
        <v>2700</v>
      </c>
      <c r="AN547" s="153">
        <f ca="1" t="shared" si="95"/>
        <v>1019003</v>
      </c>
      <c r="AP547" s="153">
        <f ca="1">IF(AC547=0,0,IF(AC547=12,0,OFFSET(effect!$N$1,MATCH(K547,effect!M:M,0)-1,0)))</f>
        <v>0</v>
      </c>
    </row>
    <row r="548" spans="1:42">
      <c r="A548" s="153">
        <f ca="1" t="shared" si="88"/>
        <v>1019003</v>
      </c>
      <c r="B548" s="91" t="s">
        <v>522</v>
      </c>
      <c r="C548" s="186">
        <v>1</v>
      </c>
      <c r="D548" s="186">
        <v>5</v>
      </c>
      <c r="E548" s="165" t="s">
        <v>1050</v>
      </c>
      <c r="F548" s="165" t="str">
        <f>"额外造成当前护甲"&amp;skill!$O$53%&amp;"%的伤害"</f>
        <v>额外造成当前护甲150%的伤害</v>
      </c>
      <c r="G548" s="186">
        <f ca="1">OFFSET(卡牌辅助配置表!$C$1,MATCH(AC548,卡牌辅助配置表!A:A,0)-1,0)</f>
        <v>0</v>
      </c>
      <c r="H548" s="186">
        <v>6</v>
      </c>
      <c r="I548" s="186"/>
      <c r="J548" s="186">
        <f ca="1">OFFSET(card_type!$F$1,MATCH(Q548,card_type!A:A,0)-1,0)</f>
        <v>2</v>
      </c>
      <c r="K548" s="243">
        <f ca="1">OFFSET(card_type!$G$1,MATCH(Q548,card_type!A:A,0)-1,0)</f>
        <v>4</v>
      </c>
      <c r="L548" s="157">
        <v>2</v>
      </c>
      <c r="M548" s="157">
        <v>2</v>
      </c>
      <c r="N548" s="153">
        <f t="shared" si="89"/>
        <v>3</v>
      </c>
      <c r="O548" s="157"/>
      <c r="P548" s="157"/>
      <c r="Q548" s="153">
        <f ca="1">OFFSET(card_type!$A$1,MATCH(card!B548,card_type!B:B,0)-1,0)</f>
        <v>1019</v>
      </c>
      <c r="R548" s="153">
        <v>1</v>
      </c>
      <c r="S548" s="157">
        <f ca="1">ROUND(IF(R548=0,0,IF(R548=1,X548*$S$1,IF(R548=2,X548*$S$1*buff的资质计算!$E$2,IF(R548=3,X548*$S$1*buff的资质计算!$E$3,0)))),0)*0</f>
        <v>0</v>
      </c>
      <c r="T548" s="153">
        <v>1</v>
      </c>
      <c r="U548" s="153">
        <f ca="1" t="shared" si="90"/>
        <v>24</v>
      </c>
      <c r="V548" s="153">
        <f ca="1">ROUND((OFFSET(卡牌辅助配置表!$O$1,MATCH(U548,卡牌辅助配置表!M:M,0)-1,0)+(N548-1)*OFFSET(卡牌辅助配置表!$P$1,MATCH(U548,卡牌辅助配置表!M:M,0)-1,0))*M548,2)</f>
        <v>57.12</v>
      </c>
      <c r="W548" s="157">
        <f ca="1">ROUND(IF(R548=0,0,IF(R548=1,X548*$W$1,IF(R548=2,X548*$W$1*buff的资质计算!$E$2,IF(R548=3,X548*$W$1*buff的资质计算!$E$3,0)))),2)</f>
        <v>13.5</v>
      </c>
      <c r="X548" s="157">
        <f ca="1" t="shared" si="91"/>
        <v>45</v>
      </c>
      <c r="Y548" s="157">
        <f ca="1" t="shared" si="96"/>
        <v>51</v>
      </c>
      <c r="Z548" s="304">
        <f ca="1" t="shared" si="92"/>
        <v>25.5</v>
      </c>
      <c r="AA548" s="304">
        <f ca="1">OFFSET(卡牌辅助配置表!$AD$1,MATCH(AB548,卡牌辅助配置表!AB:AB,0)-1,0)</f>
        <v>1056</v>
      </c>
      <c r="AB548" s="304">
        <f ca="1" t="shared" si="93"/>
        <v>2403</v>
      </c>
      <c r="AC548" s="153">
        <v>12</v>
      </c>
      <c r="AF548" s="153" t="str">
        <f ca="1" t="shared" si="97"/>
        <v>10190011|</v>
      </c>
      <c r="AJ548" s="205" t="str">
        <f ca="1" t="shared" si="94"/>
        <v>400023|3300|;</v>
      </c>
      <c r="AK548" s="205">
        <f ca="1">OFFSET([1]item_type!$A$1,MATCH(Q548,[1]item_type!$G:$G,0)-1,0)</f>
        <v>301019</v>
      </c>
      <c r="AL548" s="205"/>
      <c r="AM548" s="205">
        <f ca="1">IF(B548=B549,OFFSET(卡牌辅助配置表!$AE$1,MATCH(AB548,卡牌辅助配置表!AB:AB,0),0),0)</f>
        <v>3300</v>
      </c>
      <c r="AN548" s="153">
        <f ca="1" t="shared" si="95"/>
        <v>1019004</v>
      </c>
      <c r="AP548" s="153">
        <f ca="1">IF(AC548=0,0,IF(AC548=12,0,OFFSET(effect!$N$1,MATCH(K548,effect!M:M,0)-1,0)))</f>
        <v>0</v>
      </c>
    </row>
    <row r="549" spans="1:42">
      <c r="A549" s="153">
        <f ca="1" t="shared" si="88"/>
        <v>1019004</v>
      </c>
      <c r="B549" s="91" t="s">
        <v>522</v>
      </c>
      <c r="C549" s="186">
        <v>1</v>
      </c>
      <c r="D549" s="186">
        <v>5</v>
      </c>
      <c r="E549" s="165" t="s">
        <v>1050</v>
      </c>
      <c r="F549" s="165" t="str">
        <f>"额外造成当前护甲"&amp;skill!$O$53%&amp;"%的伤害"</f>
        <v>额外造成当前护甲150%的伤害</v>
      </c>
      <c r="G549" s="186">
        <f ca="1">OFFSET(卡牌辅助配置表!$C$1,MATCH(AC549,卡牌辅助配置表!A:A,0)-1,0)</f>
        <v>0</v>
      </c>
      <c r="H549" s="186">
        <v>6</v>
      </c>
      <c r="I549" s="186"/>
      <c r="J549" s="186">
        <f ca="1">OFFSET(card_type!$F$1,MATCH(Q549,card_type!A:A,0)-1,0)</f>
        <v>2</v>
      </c>
      <c r="K549" s="243">
        <f ca="1">OFFSET(card_type!$G$1,MATCH(Q549,card_type!A:A,0)-1,0)</f>
        <v>4</v>
      </c>
      <c r="L549" s="157">
        <v>2</v>
      </c>
      <c r="M549" s="157">
        <v>2</v>
      </c>
      <c r="N549" s="153">
        <f t="shared" si="89"/>
        <v>4</v>
      </c>
      <c r="O549" s="157"/>
      <c r="P549" s="157"/>
      <c r="Q549" s="153">
        <f ca="1">OFFSET(card_type!$A$1,MATCH(card!B549,card_type!B:B,0)-1,0)</f>
        <v>1019</v>
      </c>
      <c r="R549" s="153">
        <v>1</v>
      </c>
      <c r="S549" s="157">
        <f ca="1">ROUND(IF(R549=0,0,IF(R549=1,X549*$S$1,IF(R549=2,X549*$S$1*buff的资质计算!$E$2,IF(R549=3,X549*$S$1*buff的资质计算!$E$3,0)))),0)*0</f>
        <v>0</v>
      </c>
      <c r="T549" s="153">
        <v>1</v>
      </c>
      <c r="U549" s="153">
        <f ca="1" t="shared" si="90"/>
        <v>24</v>
      </c>
      <c r="V549" s="153">
        <f ca="1">ROUND((OFFSET(卡牌辅助配置表!$O$1,MATCH(U549,卡牌辅助配置表!M:M,0)-1,0)+(N549-1)*OFFSET(卡牌辅助配置表!$P$1,MATCH(U549,卡牌辅助配置表!M:M,0)-1,0))*M549,2)</f>
        <v>60.48</v>
      </c>
      <c r="W549" s="157">
        <f ca="1">ROUND(IF(R549=0,0,IF(R549=1,X549*$W$1,IF(R549=2,X549*$W$1*buff的资质计算!$E$2,IF(R549=3,X549*$W$1*buff的资质计算!$E$3,0)))),2)</f>
        <v>13.65</v>
      </c>
      <c r="X549" s="157">
        <f ca="1" t="shared" si="91"/>
        <v>45.5</v>
      </c>
      <c r="Y549" s="157">
        <f ca="1" t="shared" si="96"/>
        <v>51.5</v>
      </c>
      <c r="Z549" s="304">
        <f ca="1" t="shared" si="92"/>
        <v>25.75</v>
      </c>
      <c r="AA549" s="304">
        <f ca="1">OFFSET(卡牌辅助配置表!$AD$1,MATCH(AB549,卡牌辅助配置表!AB:AB,0)-1,0)</f>
        <v>1408</v>
      </c>
      <c r="AB549" s="304">
        <f ca="1" t="shared" si="93"/>
        <v>2404</v>
      </c>
      <c r="AC549" s="153">
        <v>12</v>
      </c>
      <c r="AF549" s="153" t="str">
        <f ca="1" t="shared" si="97"/>
        <v>10190011|</v>
      </c>
      <c r="AJ549" s="205" t="str">
        <f ca="1" t="shared" si="94"/>
        <v>400023|3900|;</v>
      </c>
      <c r="AK549" s="205">
        <f ca="1">OFFSET([1]item_type!$A$1,MATCH(Q549,[1]item_type!$G:$G,0)-1,0)</f>
        <v>301019</v>
      </c>
      <c r="AL549" s="205"/>
      <c r="AM549" s="205">
        <f ca="1">IF(B549=B550,OFFSET(卡牌辅助配置表!$AE$1,MATCH(AB549,卡牌辅助配置表!AB:AB,0),0),0)</f>
        <v>3900</v>
      </c>
      <c r="AN549" s="153">
        <f ca="1" t="shared" si="95"/>
        <v>1019005</v>
      </c>
      <c r="AP549" s="153">
        <f ca="1">IF(AC549=0,0,IF(AC549=12,0,OFFSET(effect!$N$1,MATCH(K549,effect!M:M,0)-1,0)))</f>
        <v>0</v>
      </c>
    </row>
    <row r="550" spans="1:42">
      <c r="A550" s="153">
        <f ca="1" t="shared" si="88"/>
        <v>1019005</v>
      </c>
      <c r="B550" s="91" t="s">
        <v>522</v>
      </c>
      <c r="C550" s="186">
        <v>1</v>
      </c>
      <c r="D550" s="186">
        <v>5</v>
      </c>
      <c r="E550" s="165" t="s">
        <v>1050</v>
      </c>
      <c r="F550" s="165" t="str">
        <f>"额外造成当前护甲"&amp;skill!$O$53%&amp;"%的伤害"</f>
        <v>额外造成当前护甲150%的伤害</v>
      </c>
      <c r="G550" s="186">
        <f ca="1">OFFSET(卡牌辅助配置表!$C$1,MATCH(AC550,卡牌辅助配置表!A:A,0)-1,0)</f>
        <v>0</v>
      </c>
      <c r="H550" s="186">
        <v>6</v>
      </c>
      <c r="I550" s="186"/>
      <c r="J550" s="186">
        <f ca="1">OFFSET(card_type!$F$1,MATCH(Q550,card_type!A:A,0)-1,0)</f>
        <v>2</v>
      </c>
      <c r="K550" s="243">
        <f ca="1">OFFSET(card_type!$G$1,MATCH(Q550,card_type!A:A,0)-1,0)</f>
        <v>4</v>
      </c>
      <c r="L550" s="157">
        <v>2</v>
      </c>
      <c r="M550" s="157">
        <v>2</v>
      </c>
      <c r="N550" s="153">
        <f t="shared" si="89"/>
        <v>5</v>
      </c>
      <c r="O550" s="157"/>
      <c r="P550" s="157"/>
      <c r="Q550" s="153">
        <f ca="1">OFFSET(card_type!$A$1,MATCH(card!B550,card_type!B:B,0)-1,0)</f>
        <v>1019</v>
      </c>
      <c r="R550" s="153">
        <v>1</v>
      </c>
      <c r="S550" s="157">
        <f ca="1">ROUND(IF(R550=0,0,IF(R550=1,X550*$S$1,IF(R550=2,X550*$S$1*buff的资质计算!$E$2,IF(R550=3,X550*$S$1*buff的资质计算!$E$3,0)))),0)*0</f>
        <v>0</v>
      </c>
      <c r="T550" s="153">
        <v>1</v>
      </c>
      <c r="U550" s="153">
        <f ca="1" t="shared" si="90"/>
        <v>24</v>
      </c>
      <c r="V550" s="153">
        <f ca="1">ROUND((OFFSET(卡牌辅助配置表!$O$1,MATCH(U550,卡牌辅助配置表!M:M,0)-1,0)+(N550-1)*OFFSET(卡牌辅助配置表!$P$1,MATCH(U550,卡牌辅助配置表!M:M,0)-1,0))*M550,2)</f>
        <v>63.84</v>
      </c>
      <c r="W550" s="157">
        <f ca="1">ROUND(IF(R550=0,0,IF(R550=1,X550*$W$1,IF(R550=2,X550*$W$1*buff的资质计算!$E$2,IF(R550=3,X550*$W$1*buff的资质计算!$E$3,0)))),2)</f>
        <v>13.8</v>
      </c>
      <c r="X550" s="157">
        <f ca="1" t="shared" si="91"/>
        <v>46</v>
      </c>
      <c r="Y550" s="157">
        <f ca="1" t="shared" si="96"/>
        <v>52</v>
      </c>
      <c r="Z550" s="304">
        <f ca="1" t="shared" si="92"/>
        <v>26</v>
      </c>
      <c r="AA550" s="304">
        <f ca="1">OFFSET(卡牌辅助配置表!$AD$1,MATCH(AB550,卡牌辅助配置表!AB:AB,0)-1,0)</f>
        <v>1760</v>
      </c>
      <c r="AB550" s="304">
        <f ca="1" t="shared" si="93"/>
        <v>2405</v>
      </c>
      <c r="AC550" s="153">
        <v>12</v>
      </c>
      <c r="AF550" s="153" t="str">
        <f ca="1" t="shared" si="97"/>
        <v>10190011|</v>
      </c>
      <c r="AJ550" s="205" t="str">
        <f ca="1" t="shared" si="94"/>
        <v>400023|4500|;</v>
      </c>
      <c r="AK550" s="205">
        <f ca="1">OFFSET([1]item_type!$A$1,MATCH(Q550,[1]item_type!$G:$G,0)-1,0)</f>
        <v>301019</v>
      </c>
      <c r="AL550" s="205"/>
      <c r="AM550" s="205">
        <f ca="1">IF(B550=B551,OFFSET(卡牌辅助配置表!$AE$1,MATCH(AB550,卡牌辅助配置表!AB:AB,0),0),0)</f>
        <v>4500</v>
      </c>
      <c r="AN550" s="153">
        <f ca="1" t="shared" si="95"/>
        <v>1019006</v>
      </c>
      <c r="AP550" s="153">
        <f ca="1">IF(AC550=0,0,IF(AC550=12,0,OFFSET(effect!$N$1,MATCH(K550,effect!M:M,0)-1,0)))</f>
        <v>0</v>
      </c>
    </row>
    <row r="551" spans="1:42">
      <c r="A551" s="153">
        <f ca="1" t="shared" si="88"/>
        <v>1019006</v>
      </c>
      <c r="B551" s="91" t="s">
        <v>522</v>
      </c>
      <c r="C551" s="186">
        <v>1</v>
      </c>
      <c r="D551" s="186">
        <v>5</v>
      </c>
      <c r="E551" s="165" t="s">
        <v>1050</v>
      </c>
      <c r="F551" s="165" t="str">
        <f>"额外造成当前护甲"&amp;skill!$O$53%&amp;"%的伤害"</f>
        <v>额外造成当前护甲150%的伤害</v>
      </c>
      <c r="G551" s="186">
        <f ca="1">OFFSET(卡牌辅助配置表!$C$1,MATCH(AC551,卡牌辅助配置表!A:A,0)-1,0)</f>
        <v>0</v>
      </c>
      <c r="H551" s="186">
        <v>6</v>
      </c>
      <c r="I551" s="186"/>
      <c r="J551" s="186">
        <f ca="1">OFFSET(card_type!$F$1,MATCH(Q551,card_type!A:A,0)-1,0)</f>
        <v>2</v>
      </c>
      <c r="K551" s="243">
        <f ca="1">OFFSET(card_type!$G$1,MATCH(Q551,card_type!A:A,0)-1,0)</f>
        <v>4</v>
      </c>
      <c r="L551" s="157">
        <v>2</v>
      </c>
      <c r="M551" s="157">
        <v>2</v>
      </c>
      <c r="N551" s="153">
        <f t="shared" si="89"/>
        <v>6</v>
      </c>
      <c r="O551" s="157"/>
      <c r="P551" s="157"/>
      <c r="Q551" s="153">
        <f ca="1">OFFSET(card_type!$A$1,MATCH(card!B551,card_type!B:B,0)-1,0)</f>
        <v>1019</v>
      </c>
      <c r="R551" s="153">
        <v>1</v>
      </c>
      <c r="S551" s="157">
        <f ca="1">ROUND(IF(R551=0,0,IF(R551=1,X551*$S$1,IF(R551=2,X551*$S$1*buff的资质计算!$E$2,IF(R551=3,X551*$S$1*buff的资质计算!$E$3,0)))),0)*0</f>
        <v>0</v>
      </c>
      <c r="T551" s="153">
        <v>1</v>
      </c>
      <c r="U551" s="153">
        <f ca="1" t="shared" si="90"/>
        <v>24</v>
      </c>
      <c r="V551" s="153">
        <f ca="1">ROUND((OFFSET(卡牌辅助配置表!$O$1,MATCH(U551,卡牌辅助配置表!M:M,0)-1,0)+(N551-1)*OFFSET(卡牌辅助配置表!$P$1,MATCH(U551,卡牌辅助配置表!M:M,0)-1,0))*M551,2)</f>
        <v>67.2</v>
      </c>
      <c r="W551" s="157">
        <f ca="1">ROUND(IF(R551=0,0,IF(R551=1,X551*$W$1,IF(R551=2,X551*$W$1*buff的资质计算!$E$2,IF(R551=3,X551*$W$1*buff的资质计算!$E$3,0)))),2)</f>
        <v>13.95</v>
      </c>
      <c r="X551" s="157">
        <f ca="1" t="shared" si="91"/>
        <v>46.5</v>
      </c>
      <c r="Y551" s="157">
        <f ca="1" t="shared" si="96"/>
        <v>52.5</v>
      </c>
      <c r="Z551" s="304">
        <f ca="1" t="shared" si="92"/>
        <v>26.25</v>
      </c>
      <c r="AA551" s="304">
        <f ca="1">OFFSET(卡牌辅助配置表!$AD$1,MATCH(AB551,卡牌辅助配置表!AB:AB,0)-1,0)</f>
        <v>2112</v>
      </c>
      <c r="AB551" s="304">
        <f ca="1" t="shared" si="93"/>
        <v>2406</v>
      </c>
      <c r="AC551" s="153">
        <v>12</v>
      </c>
      <c r="AF551" s="153" t="str">
        <f ca="1" t="shared" si="97"/>
        <v>10190011|</v>
      </c>
      <c r="AJ551" s="205" t="str">
        <f ca="1" t="shared" si="94"/>
        <v>400023|5100|;</v>
      </c>
      <c r="AK551" s="205">
        <f ca="1">OFFSET([1]item_type!$A$1,MATCH(Q551,[1]item_type!$G:$G,0)-1,0)</f>
        <v>301019</v>
      </c>
      <c r="AL551" s="205"/>
      <c r="AM551" s="205">
        <f ca="1">IF(B551=B552,OFFSET(卡牌辅助配置表!$AE$1,MATCH(AB551,卡牌辅助配置表!AB:AB,0),0),0)</f>
        <v>5100</v>
      </c>
      <c r="AN551" s="153">
        <f ca="1" t="shared" si="95"/>
        <v>1019007</v>
      </c>
      <c r="AP551" s="153">
        <f ca="1">IF(AC551=0,0,IF(AC551=12,0,OFFSET(effect!$N$1,MATCH(K551,effect!M:M,0)-1,0)))</f>
        <v>0</v>
      </c>
    </row>
    <row r="552" spans="1:42">
      <c r="A552" s="153">
        <f ca="1" t="shared" si="88"/>
        <v>1019007</v>
      </c>
      <c r="B552" s="91" t="s">
        <v>522</v>
      </c>
      <c r="C552" s="186">
        <v>1</v>
      </c>
      <c r="D552" s="186">
        <v>5</v>
      </c>
      <c r="E552" s="165" t="s">
        <v>1050</v>
      </c>
      <c r="F552" s="165" t="str">
        <f>"额外造成当前护甲"&amp;skill!$O$53%&amp;"%的伤害"</f>
        <v>额外造成当前护甲150%的伤害</v>
      </c>
      <c r="G552" s="186">
        <f ca="1">OFFSET(卡牌辅助配置表!$C$1,MATCH(AC552,卡牌辅助配置表!A:A,0)-1,0)</f>
        <v>0</v>
      </c>
      <c r="H552" s="186">
        <v>6</v>
      </c>
      <c r="I552" s="186"/>
      <c r="J552" s="186">
        <f ca="1">OFFSET(card_type!$F$1,MATCH(Q552,card_type!A:A,0)-1,0)</f>
        <v>2</v>
      </c>
      <c r="K552" s="243">
        <f ca="1">OFFSET(card_type!$G$1,MATCH(Q552,card_type!A:A,0)-1,0)</f>
        <v>4</v>
      </c>
      <c r="L552" s="157">
        <v>2</v>
      </c>
      <c r="M552" s="157">
        <v>2</v>
      </c>
      <c r="N552" s="153">
        <f t="shared" si="89"/>
        <v>7</v>
      </c>
      <c r="O552" s="157"/>
      <c r="P552" s="157"/>
      <c r="Q552" s="153">
        <f ca="1">OFFSET(card_type!$A$1,MATCH(card!B552,card_type!B:B,0)-1,0)</f>
        <v>1019</v>
      </c>
      <c r="R552" s="153">
        <v>1</v>
      </c>
      <c r="S552" s="157">
        <f ca="1">ROUND(IF(R552=0,0,IF(R552=1,X552*$S$1,IF(R552=2,X552*$S$1*buff的资质计算!$E$2,IF(R552=3,X552*$S$1*buff的资质计算!$E$3,0)))),0)*0</f>
        <v>0</v>
      </c>
      <c r="T552" s="153">
        <v>1</v>
      </c>
      <c r="U552" s="153">
        <f ca="1" t="shared" si="90"/>
        <v>24</v>
      </c>
      <c r="V552" s="153">
        <f ca="1">ROUND((OFFSET(卡牌辅助配置表!$O$1,MATCH(U552,卡牌辅助配置表!M:M,0)-1,0)+(N552-1)*OFFSET(卡牌辅助配置表!$P$1,MATCH(U552,卡牌辅助配置表!M:M,0)-1,0))*M552,2)</f>
        <v>70.56</v>
      </c>
      <c r="W552" s="157">
        <f ca="1">ROUND(IF(R552=0,0,IF(R552=1,X552*$W$1,IF(R552=2,X552*$W$1*buff的资质计算!$E$2,IF(R552=3,X552*$W$1*buff的资质计算!$E$3,0)))),2)</f>
        <v>14.1</v>
      </c>
      <c r="X552" s="157">
        <f ca="1" t="shared" si="91"/>
        <v>47</v>
      </c>
      <c r="Y552" s="157">
        <f ca="1" t="shared" si="96"/>
        <v>53</v>
      </c>
      <c r="Z552" s="304">
        <f ca="1" t="shared" si="92"/>
        <v>26.5</v>
      </c>
      <c r="AA552" s="304">
        <f ca="1">OFFSET(卡牌辅助配置表!$AD$1,MATCH(AB552,卡牌辅助配置表!AB:AB,0)-1,0)</f>
        <v>2464</v>
      </c>
      <c r="AB552" s="304">
        <f ca="1" t="shared" si="93"/>
        <v>2407</v>
      </c>
      <c r="AC552" s="153">
        <v>12</v>
      </c>
      <c r="AF552" s="153" t="str">
        <f ca="1" t="shared" si="97"/>
        <v>10190011|</v>
      </c>
      <c r="AJ552" s="205" t="str">
        <f ca="1" t="shared" si="94"/>
        <v>400023|5700|;</v>
      </c>
      <c r="AK552" s="205">
        <f ca="1">OFFSET([1]item_type!$A$1,MATCH(Q552,[1]item_type!$G:$G,0)-1,0)</f>
        <v>301019</v>
      </c>
      <c r="AL552" s="205"/>
      <c r="AM552" s="205">
        <f ca="1">IF(B552=B553,OFFSET(卡牌辅助配置表!$AE$1,MATCH(AB552,卡牌辅助配置表!AB:AB,0),0),0)</f>
        <v>5700</v>
      </c>
      <c r="AN552" s="153">
        <f ca="1" t="shared" si="95"/>
        <v>1019008</v>
      </c>
      <c r="AP552" s="153">
        <f ca="1">IF(AC552=0,0,IF(AC552=12,0,OFFSET(effect!$N$1,MATCH(K552,effect!M:M,0)-1,0)))</f>
        <v>0</v>
      </c>
    </row>
    <row r="553" spans="1:42">
      <c r="A553" s="153">
        <f ca="1" t="shared" si="88"/>
        <v>1019008</v>
      </c>
      <c r="B553" s="91" t="s">
        <v>522</v>
      </c>
      <c r="C553" s="186">
        <v>1</v>
      </c>
      <c r="D553" s="186">
        <v>5</v>
      </c>
      <c r="E553" s="165" t="s">
        <v>1050</v>
      </c>
      <c r="F553" s="165" t="str">
        <f>"额外造成当前护甲"&amp;skill!$O$53%&amp;"%的伤害"</f>
        <v>额外造成当前护甲150%的伤害</v>
      </c>
      <c r="G553" s="186">
        <f ca="1">OFFSET(卡牌辅助配置表!$C$1,MATCH(AC553,卡牌辅助配置表!A:A,0)-1,0)</f>
        <v>0</v>
      </c>
      <c r="H553" s="186">
        <v>6</v>
      </c>
      <c r="I553" s="186"/>
      <c r="J553" s="186">
        <f ca="1">OFFSET(card_type!$F$1,MATCH(Q553,card_type!A:A,0)-1,0)</f>
        <v>2</v>
      </c>
      <c r="K553" s="243">
        <f ca="1">OFFSET(card_type!$G$1,MATCH(Q553,card_type!A:A,0)-1,0)</f>
        <v>4</v>
      </c>
      <c r="L553" s="157">
        <v>2</v>
      </c>
      <c r="M553" s="157">
        <v>2</v>
      </c>
      <c r="N553" s="153">
        <f t="shared" si="89"/>
        <v>8</v>
      </c>
      <c r="O553" s="157"/>
      <c r="P553" s="157"/>
      <c r="Q553" s="153">
        <f ca="1">OFFSET(card_type!$A$1,MATCH(card!B553,card_type!B:B,0)-1,0)</f>
        <v>1019</v>
      </c>
      <c r="R553" s="153">
        <v>1</v>
      </c>
      <c r="S553" s="157">
        <f ca="1">ROUND(IF(R553=0,0,IF(R553=1,X553*$S$1,IF(R553=2,X553*$S$1*buff的资质计算!$E$2,IF(R553=3,X553*$S$1*buff的资质计算!$E$3,0)))),0)*0</f>
        <v>0</v>
      </c>
      <c r="T553" s="153">
        <v>1</v>
      </c>
      <c r="U553" s="153">
        <f ca="1" t="shared" si="90"/>
        <v>24</v>
      </c>
      <c r="V553" s="153">
        <f ca="1">ROUND((OFFSET(卡牌辅助配置表!$O$1,MATCH(U553,卡牌辅助配置表!M:M,0)-1,0)+(N553-1)*OFFSET(卡牌辅助配置表!$P$1,MATCH(U553,卡牌辅助配置表!M:M,0)-1,0))*M553,2)</f>
        <v>73.92</v>
      </c>
      <c r="W553" s="157">
        <f ca="1">ROUND(IF(R553=0,0,IF(R553=1,X553*$W$1,IF(R553=2,X553*$W$1*buff的资质计算!$E$2,IF(R553=3,X553*$W$1*buff的资质计算!$E$3,0)))),2)</f>
        <v>14.25</v>
      </c>
      <c r="X553" s="157">
        <f ca="1" t="shared" si="91"/>
        <v>47.5</v>
      </c>
      <c r="Y553" s="157">
        <f ca="1" t="shared" si="96"/>
        <v>53.5</v>
      </c>
      <c r="Z553" s="304">
        <f ca="1" t="shared" si="92"/>
        <v>26.75</v>
      </c>
      <c r="AA553" s="304">
        <f ca="1">OFFSET(卡牌辅助配置表!$AD$1,MATCH(AB553,卡牌辅助配置表!AB:AB,0)-1,0)</f>
        <v>2816</v>
      </c>
      <c r="AB553" s="304">
        <f ca="1" t="shared" si="93"/>
        <v>2408</v>
      </c>
      <c r="AC553" s="153">
        <v>12</v>
      </c>
      <c r="AF553" s="153" t="str">
        <f ca="1" t="shared" si="97"/>
        <v>10190011|</v>
      </c>
      <c r="AJ553" s="205" t="str">
        <f ca="1" t="shared" si="94"/>
        <v>400023|6300|;</v>
      </c>
      <c r="AK553" s="205">
        <f ca="1">OFFSET([1]item_type!$A$1,MATCH(Q553,[1]item_type!$G:$G,0)-1,0)</f>
        <v>301019</v>
      </c>
      <c r="AL553" s="205"/>
      <c r="AM553" s="205">
        <f ca="1">IF(B553=B554,OFFSET(卡牌辅助配置表!$AE$1,MATCH(AB553,卡牌辅助配置表!AB:AB,0),0),0)</f>
        <v>6300</v>
      </c>
      <c r="AN553" s="153">
        <f ca="1" t="shared" si="95"/>
        <v>1019009</v>
      </c>
      <c r="AP553" s="153">
        <f ca="1">IF(AC553=0,0,IF(AC553=12,0,OFFSET(effect!$N$1,MATCH(K553,effect!M:M,0)-1,0)))</f>
        <v>0</v>
      </c>
    </row>
    <row r="554" spans="1:42">
      <c r="A554" s="153">
        <f ca="1" t="shared" si="88"/>
        <v>1019009</v>
      </c>
      <c r="B554" s="91" t="s">
        <v>522</v>
      </c>
      <c r="C554" s="186">
        <v>1</v>
      </c>
      <c r="D554" s="186">
        <v>5</v>
      </c>
      <c r="E554" s="165" t="s">
        <v>1050</v>
      </c>
      <c r="F554" s="165" t="str">
        <f>"额外造成当前护甲"&amp;skill!$O$53%&amp;"%的伤害"</f>
        <v>额外造成当前护甲150%的伤害</v>
      </c>
      <c r="G554" s="186">
        <f ca="1">OFFSET(卡牌辅助配置表!$C$1,MATCH(AC554,卡牌辅助配置表!A:A,0)-1,0)</f>
        <v>0</v>
      </c>
      <c r="H554" s="186">
        <v>6</v>
      </c>
      <c r="I554" s="186"/>
      <c r="J554" s="186">
        <f ca="1">OFFSET(card_type!$F$1,MATCH(Q554,card_type!A:A,0)-1,0)</f>
        <v>2</v>
      </c>
      <c r="K554" s="243">
        <f ca="1">OFFSET(card_type!$G$1,MATCH(Q554,card_type!A:A,0)-1,0)</f>
        <v>4</v>
      </c>
      <c r="L554" s="157">
        <v>2</v>
      </c>
      <c r="M554" s="157">
        <v>2</v>
      </c>
      <c r="N554" s="153">
        <f t="shared" si="89"/>
        <v>9</v>
      </c>
      <c r="O554" s="157"/>
      <c r="P554" s="157"/>
      <c r="Q554" s="153">
        <f ca="1">OFFSET(card_type!$A$1,MATCH(card!B554,card_type!B:B,0)-1,0)</f>
        <v>1019</v>
      </c>
      <c r="R554" s="153">
        <v>1</v>
      </c>
      <c r="S554" s="157">
        <f ca="1">ROUND(IF(R554=0,0,IF(R554=1,X554*$S$1,IF(R554=2,X554*$S$1*buff的资质计算!$E$2,IF(R554=3,X554*$S$1*buff的资质计算!$E$3,0)))),0)*0</f>
        <v>0</v>
      </c>
      <c r="T554" s="153">
        <v>1</v>
      </c>
      <c r="U554" s="153">
        <f ca="1" t="shared" si="90"/>
        <v>24</v>
      </c>
      <c r="V554" s="153">
        <f ca="1">ROUND((OFFSET(卡牌辅助配置表!$O$1,MATCH(U554,卡牌辅助配置表!M:M,0)-1,0)+(N554-1)*OFFSET(卡牌辅助配置表!$P$1,MATCH(U554,卡牌辅助配置表!M:M,0)-1,0))*M554,2)</f>
        <v>77.28</v>
      </c>
      <c r="W554" s="157">
        <f ca="1">ROUND(IF(R554=0,0,IF(R554=1,X554*$W$1,IF(R554=2,X554*$W$1*buff的资质计算!$E$2,IF(R554=3,X554*$W$1*buff的资质计算!$E$3,0)))),2)</f>
        <v>14.4</v>
      </c>
      <c r="X554" s="157">
        <f ca="1" t="shared" si="91"/>
        <v>48</v>
      </c>
      <c r="Y554" s="157">
        <f ca="1" t="shared" si="96"/>
        <v>54</v>
      </c>
      <c r="Z554" s="304">
        <f ca="1" t="shared" si="92"/>
        <v>27</v>
      </c>
      <c r="AA554" s="304">
        <f ca="1">OFFSET(卡牌辅助配置表!$AD$1,MATCH(AB554,卡牌辅助配置表!AB:AB,0)-1,0)</f>
        <v>3168</v>
      </c>
      <c r="AB554" s="304">
        <f ca="1" t="shared" si="93"/>
        <v>2409</v>
      </c>
      <c r="AC554" s="153">
        <v>12</v>
      </c>
      <c r="AF554" s="153" t="str">
        <f ca="1" t="shared" si="97"/>
        <v>10190011|</v>
      </c>
      <c r="AJ554" s="205" t="str">
        <f ca="1" t="shared" si="94"/>
        <v>301019|15|;400023|6900|;</v>
      </c>
      <c r="AK554" s="205">
        <f ca="1">OFFSET([1]item_type!$A$1,MATCH(Q554,[1]item_type!$G:$G,0)-1,0)</f>
        <v>301019</v>
      </c>
      <c r="AL554" s="205">
        <v>15</v>
      </c>
      <c r="AM554" s="205">
        <f ca="1">IF(B554=B555,OFFSET(卡牌辅助配置表!$AE$1,MATCH(AB554,卡牌辅助配置表!AB:AB,0),0),0)</f>
        <v>6900</v>
      </c>
      <c r="AN554" s="153">
        <f ca="1" t="shared" si="95"/>
        <v>1019010</v>
      </c>
      <c r="AP554" s="153">
        <f ca="1">IF(AC554=0,0,IF(AC554=12,0,OFFSET(effect!$N$1,MATCH(K554,effect!M:M,0)-1,0)))</f>
        <v>0</v>
      </c>
    </row>
    <row r="555" spans="1:42">
      <c r="A555" s="153">
        <f ca="1" t="shared" si="88"/>
        <v>1019010</v>
      </c>
      <c r="B555" s="91" t="s">
        <v>522</v>
      </c>
      <c r="C555" s="186">
        <v>1</v>
      </c>
      <c r="D555" s="186">
        <v>5</v>
      </c>
      <c r="E555" s="165" t="s">
        <v>1050</v>
      </c>
      <c r="F555" s="165" t="str">
        <f>"额外造成当前护甲"&amp;skill!$O$53%&amp;"%的伤害"</f>
        <v>额外造成当前护甲150%的伤害</v>
      </c>
      <c r="G555" s="186">
        <f ca="1">OFFSET(卡牌辅助配置表!$C$1,MATCH(AC555,卡牌辅助配置表!A:A,0)-1,0)</f>
        <v>0</v>
      </c>
      <c r="H555" s="186">
        <v>6</v>
      </c>
      <c r="I555" s="186"/>
      <c r="J555" s="186">
        <f ca="1">OFFSET(card_type!$F$1,MATCH(Q555,card_type!A:A,0)-1,0)</f>
        <v>2</v>
      </c>
      <c r="K555" s="243">
        <f ca="1">OFFSET(card_type!$G$1,MATCH(Q555,card_type!A:A,0)-1,0)</f>
        <v>4</v>
      </c>
      <c r="L555" s="157">
        <v>2</v>
      </c>
      <c r="M555" s="157">
        <v>2</v>
      </c>
      <c r="N555" s="153">
        <f t="shared" si="89"/>
        <v>10</v>
      </c>
      <c r="O555" s="157"/>
      <c r="P555" s="157"/>
      <c r="Q555" s="153">
        <f ca="1">OFFSET(card_type!$A$1,MATCH(card!B555,card_type!B:B,0)-1,0)</f>
        <v>1019</v>
      </c>
      <c r="R555" s="153">
        <v>1</v>
      </c>
      <c r="S555" s="157">
        <f ca="1">ROUND(IF(R555=0,0,IF(R555=1,X555*$S$1,IF(R555=2,X555*$S$1*buff的资质计算!$E$2,IF(R555=3,X555*$S$1*buff的资质计算!$E$3,0)))),0)*0</f>
        <v>0</v>
      </c>
      <c r="T555" s="153">
        <v>1</v>
      </c>
      <c r="U555" s="153">
        <f ca="1" t="shared" si="90"/>
        <v>24</v>
      </c>
      <c r="V555" s="153">
        <f ca="1">ROUND((OFFSET(卡牌辅助配置表!$O$1,MATCH(U555,卡牌辅助配置表!M:M,0)-1,0)+(N555-1)*OFFSET(卡牌辅助配置表!$P$1,MATCH(U555,卡牌辅助配置表!M:M,0)-1,0))*M555,2)</f>
        <v>80.64</v>
      </c>
      <c r="W555" s="157">
        <f ca="1">ROUND(IF(R555=0,0,IF(R555=1,X555*$W$1,IF(R555=2,X555*$W$1*buff的资质计算!$E$2,IF(R555=3,X555*$W$1*buff的资质计算!$E$3,0)))),2)</f>
        <v>14.55</v>
      </c>
      <c r="X555" s="157">
        <f ca="1" t="shared" si="91"/>
        <v>48.5</v>
      </c>
      <c r="Y555" s="157">
        <f ca="1" t="shared" si="96"/>
        <v>54.5</v>
      </c>
      <c r="Z555" s="304">
        <f ca="1" t="shared" si="92"/>
        <v>27.25</v>
      </c>
      <c r="AA555" s="304">
        <f ca="1">OFFSET(卡牌辅助配置表!$AD$1,MATCH(AB555,卡牌辅助配置表!AB:AB,0)-1,0)</f>
        <v>3520</v>
      </c>
      <c r="AB555" s="304">
        <f ca="1" t="shared" si="93"/>
        <v>2410</v>
      </c>
      <c r="AC555" s="153">
        <v>12</v>
      </c>
      <c r="AF555" s="153" t="str">
        <f ca="1" t="shared" si="97"/>
        <v>10190011|</v>
      </c>
      <c r="AJ555" s="205" t="str">
        <f ca="1" t="shared" si="94"/>
        <v>400023|8100|;</v>
      </c>
      <c r="AK555" s="205">
        <f ca="1">OFFSET([1]item_type!$A$1,MATCH(Q555,[1]item_type!$G:$G,0)-1,0)</f>
        <v>301019</v>
      </c>
      <c r="AL555" s="205"/>
      <c r="AM555" s="205">
        <f ca="1">IF(B555=B556,OFFSET(卡牌辅助配置表!$AE$1,MATCH(AB555,卡牌辅助配置表!AB:AB,0),0),0)</f>
        <v>8100</v>
      </c>
      <c r="AN555" s="153">
        <f ca="1" t="shared" si="95"/>
        <v>1019011</v>
      </c>
      <c r="AP555" s="153">
        <f ca="1">IF(AC555=0,0,IF(AC555=12,0,OFFSET(effect!$N$1,MATCH(K555,effect!M:M,0)-1,0)))</f>
        <v>0</v>
      </c>
    </row>
    <row r="556" spans="1:42">
      <c r="A556" s="153">
        <f ca="1" t="shared" si="88"/>
        <v>1019011</v>
      </c>
      <c r="B556" s="91" t="s">
        <v>522</v>
      </c>
      <c r="C556" s="186">
        <v>1</v>
      </c>
      <c r="D556" s="186">
        <v>5</v>
      </c>
      <c r="E556" s="165" t="s">
        <v>1050</v>
      </c>
      <c r="F556" s="165" t="str">
        <f>"额外造成当前护甲"&amp;skill!$O$53%&amp;"%的伤害"</f>
        <v>额外造成当前护甲150%的伤害</v>
      </c>
      <c r="G556" s="186">
        <f ca="1">OFFSET(卡牌辅助配置表!$C$1,MATCH(AC556,卡牌辅助配置表!A:A,0)-1,0)</f>
        <v>0</v>
      </c>
      <c r="H556" s="186">
        <v>6</v>
      </c>
      <c r="I556" s="186"/>
      <c r="J556" s="186">
        <f ca="1">OFFSET(card_type!$F$1,MATCH(Q556,card_type!A:A,0)-1,0)</f>
        <v>2</v>
      </c>
      <c r="K556" s="243">
        <f ca="1">OFFSET(card_type!$G$1,MATCH(Q556,card_type!A:A,0)-1,0)</f>
        <v>4</v>
      </c>
      <c r="L556" s="157">
        <v>2</v>
      </c>
      <c r="M556" s="157">
        <v>2</v>
      </c>
      <c r="N556" s="153">
        <f t="shared" si="89"/>
        <v>11</v>
      </c>
      <c r="O556" s="157"/>
      <c r="P556" s="157"/>
      <c r="Q556" s="153">
        <f ca="1">OFFSET(card_type!$A$1,MATCH(card!B556,card_type!B:B,0)-1,0)</f>
        <v>1019</v>
      </c>
      <c r="R556" s="153">
        <v>1</v>
      </c>
      <c r="S556" s="157">
        <f ca="1">ROUND(IF(R556=0,0,IF(R556=1,X556*$S$1,IF(R556=2,X556*$S$1*buff的资质计算!$E$2,IF(R556=3,X556*$S$1*buff的资质计算!$E$3,0)))),0)*0</f>
        <v>0</v>
      </c>
      <c r="T556" s="153">
        <v>1</v>
      </c>
      <c r="U556" s="153">
        <f ca="1" t="shared" si="90"/>
        <v>24</v>
      </c>
      <c r="V556" s="153">
        <f ca="1">ROUND((OFFSET(卡牌辅助配置表!$O$1,MATCH(U556,卡牌辅助配置表!M:M,0)-1,0)+(N556-1)*OFFSET(卡牌辅助配置表!$P$1,MATCH(U556,卡牌辅助配置表!M:M,0)-1,0))*M556,2)</f>
        <v>84</v>
      </c>
      <c r="W556" s="157">
        <f ca="1">ROUND(IF(R556=0,0,IF(R556=1,X556*$W$1,IF(R556=2,X556*$W$1*buff的资质计算!$E$2,IF(R556=3,X556*$W$1*buff的资质计算!$E$3,0)))),2)</f>
        <v>14.7</v>
      </c>
      <c r="X556" s="157">
        <f ca="1" t="shared" si="91"/>
        <v>49</v>
      </c>
      <c r="Y556" s="157">
        <f ca="1" t="shared" si="96"/>
        <v>55</v>
      </c>
      <c r="Z556" s="304">
        <f ca="1" t="shared" si="92"/>
        <v>27.5</v>
      </c>
      <c r="AA556" s="304">
        <f ca="1">OFFSET(卡牌辅助配置表!$AD$1,MATCH(AB556,卡牌辅助配置表!AB:AB,0)-1,0)</f>
        <v>4049</v>
      </c>
      <c r="AB556" s="304">
        <f ca="1" t="shared" si="93"/>
        <v>2411</v>
      </c>
      <c r="AC556" s="153">
        <v>12</v>
      </c>
      <c r="AF556" s="153" t="str">
        <f ca="1" t="shared" si="97"/>
        <v>10190011|</v>
      </c>
      <c r="AJ556" s="205" t="str">
        <f ca="1" t="shared" si="94"/>
        <v>400023|9300|;</v>
      </c>
      <c r="AK556" s="205">
        <f ca="1">OFFSET([1]item_type!$A$1,MATCH(Q556,[1]item_type!$G:$G,0)-1,0)</f>
        <v>301019</v>
      </c>
      <c r="AL556" s="205"/>
      <c r="AM556" s="205">
        <f ca="1">IF(B556=B557,OFFSET(卡牌辅助配置表!$AE$1,MATCH(AB556,卡牌辅助配置表!AB:AB,0),0),0)</f>
        <v>9300</v>
      </c>
      <c r="AN556" s="153">
        <f ca="1" t="shared" si="95"/>
        <v>1019012</v>
      </c>
      <c r="AP556" s="153">
        <f ca="1">IF(AC556=0,0,IF(AC556=12,0,OFFSET(effect!$N$1,MATCH(K556,effect!M:M,0)-1,0)))</f>
        <v>0</v>
      </c>
    </row>
    <row r="557" spans="1:42">
      <c r="A557" s="153">
        <f ca="1" t="shared" si="88"/>
        <v>1019012</v>
      </c>
      <c r="B557" s="91" t="s">
        <v>522</v>
      </c>
      <c r="C557" s="186">
        <v>1</v>
      </c>
      <c r="D557" s="186">
        <v>5</v>
      </c>
      <c r="E557" s="165" t="s">
        <v>1050</v>
      </c>
      <c r="F557" s="165" t="str">
        <f>"额外造成当前护甲"&amp;skill!$O$53%&amp;"%的伤害"</f>
        <v>额外造成当前护甲150%的伤害</v>
      </c>
      <c r="G557" s="186">
        <f ca="1">OFFSET(卡牌辅助配置表!$C$1,MATCH(AC557,卡牌辅助配置表!A:A,0)-1,0)</f>
        <v>0</v>
      </c>
      <c r="H557" s="186">
        <v>6</v>
      </c>
      <c r="I557" s="186"/>
      <c r="J557" s="186">
        <f ca="1">OFFSET(card_type!$F$1,MATCH(Q557,card_type!A:A,0)-1,0)</f>
        <v>2</v>
      </c>
      <c r="K557" s="243">
        <f ca="1">OFFSET(card_type!$G$1,MATCH(Q557,card_type!A:A,0)-1,0)</f>
        <v>4</v>
      </c>
      <c r="L557" s="157">
        <v>2</v>
      </c>
      <c r="M557" s="157">
        <v>2</v>
      </c>
      <c r="N557" s="153">
        <f t="shared" si="89"/>
        <v>12</v>
      </c>
      <c r="O557" s="157"/>
      <c r="P557" s="157"/>
      <c r="Q557" s="153">
        <f ca="1">OFFSET(card_type!$A$1,MATCH(card!B557,card_type!B:B,0)-1,0)</f>
        <v>1019</v>
      </c>
      <c r="R557" s="153">
        <v>1</v>
      </c>
      <c r="S557" s="157">
        <f ca="1">ROUND(IF(R557=0,0,IF(R557=1,X557*$S$1,IF(R557=2,X557*$S$1*buff的资质计算!$E$2,IF(R557=3,X557*$S$1*buff的资质计算!$E$3,0)))),0)*0</f>
        <v>0</v>
      </c>
      <c r="T557" s="153">
        <v>1</v>
      </c>
      <c r="U557" s="153">
        <f ca="1" t="shared" si="90"/>
        <v>24</v>
      </c>
      <c r="V557" s="153">
        <f ca="1">ROUND((OFFSET(卡牌辅助配置表!$O$1,MATCH(U557,卡牌辅助配置表!M:M,0)-1,0)+(N557-1)*OFFSET(卡牌辅助配置表!$P$1,MATCH(U557,卡牌辅助配置表!M:M,0)-1,0))*M557,2)</f>
        <v>87.36</v>
      </c>
      <c r="W557" s="157">
        <f ca="1">ROUND(IF(R557=0,0,IF(R557=1,X557*$W$1,IF(R557=2,X557*$W$1*buff的资质计算!$E$2,IF(R557=3,X557*$W$1*buff的资质计算!$E$3,0)))),2)</f>
        <v>14.85</v>
      </c>
      <c r="X557" s="157">
        <f ca="1" t="shared" si="91"/>
        <v>49.5</v>
      </c>
      <c r="Y557" s="157">
        <f ca="1" t="shared" si="96"/>
        <v>55.5</v>
      </c>
      <c r="Z557" s="304">
        <f ca="1" t="shared" si="92"/>
        <v>27.75</v>
      </c>
      <c r="AA557" s="304">
        <f ca="1">OFFSET(卡牌辅助配置表!$AD$1,MATCH(AB557,卡牌辅助配置表!AB:AB,0)-1,0)</f>
        <v>4578</v>
      </c>
      <c r="AB557" s="304">
        <f ca="1" t="shared" si="93"/>
        <v>2412</v>
      </c>
      <c r="AC557" s="153">
        <v>12</v>
      </c>
      <c r="AF557" s="153" t="str">
        <f ca="1" t="shared" si="97"/>
        <v>10190011|</v>
      </c>
      <c r="AJ557" s="205" t="str">
        <f ca="1" t="shared" si="94"/>
        <v>400023|10500|;</v>
      </c>
      <c r="AK557" s="205">
        <f ca="1">OFFSET([1]item_type!$A$1,MATCH(Q557,[1]item_type!$G:$G,0)-1,0)</f>
        <v>301019</v>
      </c>
      <c r="AL557" s="205"/>
      <c r="AM557" s="205">
        <f ca="1">IF(B557=B558,OFFSET(卡牌辅助配置表!$AE$1,MATCH(AB557,卡牌辅助配置表!AB:AB,0),0),0)</f>
        <v>10500</v>
      </c>
      <c r="AN557" s="153">
        <f ca="1" t="shared" si="95"/>
        <v>1019013</v>
      </c>
      <c r="AP557" s="153">
        <f ca="1">IF(AC557=0,0,IF(AC557=12,0,OFFSET(effect!$N$1,MATCH(K557,effect!M:M,0)-1,0)))</f>
        <v>0</v>
      </c>
    </row>
    <row r="558" spans="1:42">
      <c r="A558" s="153">
        <f ca="1" t="shared" si="88"/>
        <v>1019013</v>
      </c>
      <c r="B558" s="91" t="s">
        <v>522</v>
      </c>
      <c r="C558" s="186">
        <v>1</v>
      </c>
      <c r="D558" s="186">
        <v>5</v>
      </c>
      <c r="E558" s="165" t="s">
        <v>1050</v>
      </c>
      <c r="F558" s="165" t="str">
        <f>"额外造成当前护甲"&amp;skill!$O$53%&amp;"%的伤害"</f>
        <v>额外造成当前护甲150%的伤害</v>
      </c>
      <c r="G558" s="186">
        <f ca="1">OFFSET(卡牌辅助配置表!$C$1,MATCH(AC558,卡牌辅助配置表!A:A,0)-1,0)</f>
        <v>0</v>
      </c>
      <c r="H558" s="186">
        <v>6</v>
      </c>
      <c r="I558" s="186"/>
      <c r="J558" s="186">
        <f ca="1">OFFSET(card_type!$F$1,MATCH(Q558,card_type!A:A,0)-1,0)</f>
        <v>2</v>
      </c>
      <c r="K558" s="243">
        <f ca="1">OFFSET(card_type!$G$1,MATCH(Q558,card_type!A:A,0)-1,0)</f>
        <v>4</v>
      </c>
      <c r="L558" s="157">
        <v>2</v>
      </c>
      <c r="M558" s="157">
        <v>2</v>
      </c>
      <c r="N558" s="153">
        <f t="shared" si="89"/>
        <v>13</v>
      </c>
      <c r="O558" s="157"/>
      <c r="P558" s="157"/>
      <c r="Q558" s="153">
        <f ca="1">OFFSET(card_type!$A$1,MATCH(card!B558,card_type!B:B,0)-1,0)</f>
        <v>1019</v>
      </c>
      <c r="R558" s="153">
        <v>1</v>
      </c>
      <c r="S558" s="157">
        <f ca="1">ROUND(IF(R558=0,0,IF(R558=1,X558*$S$1,IF(R558=2,X558*$S$1*buff的资质计算!$E$2,IF(R558=3,X558*$S$1*buff的资质计算!$E$3,0)))),0)*0</f>
        <v>0</v>
      </c>
      <c r="T558" s="153">
        <v>1</v>
      </c>
      <c r="U558" s="153">
        <f ca="1" t="shared" si="90"/>
        <v>24</v>
      </c>
      <c r="V558" s="153">
        <f ca="1">ROUND((OFFSET(卡牌辅助配置表!$O$1,MATCH(U558,卡牌辅助配置表!M:M,0)-1,0)+(N558-1)*OFFSET(卡牌辅助配置表!$P$1,MATCH(U558,卡牌辅助配置表!M:M,0)-1,0))*M558,2)</f>
        <v>90.72</v>
      </c>
      <c r="W558" s="157">
        <f ca="1">ROUND(IF(R558=0,0,IF(R558=1,X558*$W$1,IF(R558=2,X558*$W$1*buff的资质计算!$E$2,IF(R558=3,X558*$W$1*buff的资质计算!$E$3,0)))),2)</f>
        <v>15</v>
      </c>
      <c r="X558" s="157">
        <f ca="1" t="shared" si="91"/>
        <v>50</v>
      </c>
      <c r="Y558" s="157">
        <f ca="1" t="shared" si="96"/>
        <v>56</v>
      </c>
      <c r="Z558" s="304">
        <f ca="1" t="shared" si="92"/>
        <v>28</v>
      </c>
      <c r="AA558" s="304">
        <f ca="1">OFFSET(卡牌辅助配置表!$AD$1,MATCH(AB558,卡牌辅助配置表!AB:AB,0)-1,0)</f>
        <v>5107</v>
      </c>
      <c r="AB558" s="304">
        <f ca="1" t="shared" si="93"/>
        <v>2413</v>
      </c>
      <c r="AC558" s="153">
        <v>12</v>
      </c>
      <c r="AF558" s="153" t="str">
        <f ca="1" t="shared" si="97"/>
        <v>10190011|</v>
      </c>
      <c r="AJ558" s="205" t="str">
        <f ca="1" t="shared" si="94"/>
        <v>400023|11700|;</v>
      </c>
      <c r="AK558" s="205">
        <f ca="1">OFFSET([1]item_type!$A$1,MATCH(Q558,[1]item_type!$G:$G,0)-1,0)</f>
        <v>301019</v>
      </c>
      <c r="AL558" s="205"/>
      <c r="AM558" s="205">
        <f ca="1">IF(B558=B559,OFFSET(卡牌辅助配置表!$AE$1,MATCH(AB558,卡牌辅助配置表!AB:AB,0),0),0)</f>
        <v>11700</v>
      </c>
      <c r="AN558" s="153">
        <f ca="1" t="shared" si="95"/>
        <v>1019014</v>
      </c>
      <c r="AP558" s="153">
        <f ca="1">IF(AC558=0,0,IF(AC558=12,0,OFFSET(effect!$N$1,MATCH(K558,effect!M:M,0)-1,0)))</f>
        <v>0</v>
      </c>
    </row>
    <row r="559" spans="1:42">
      <c r="A559" s="153">
        <f ca="1" t="shared" si="88"/>
        <v>1019014</v>
      </c>
      <c r="B559" s="91" t="s">
        <v>522</v>
      </c>
      <c r="C559" s="186">
        <v>1</v>
      </c>
      <c r="D559" s="186">
        <v>5</v>
      </c>
      <c r="E559" s="165" t="s">
        <v>1050</v>
      </c>
      <c r="F559" s="165" t="str">
        <f>"额外造成当前护甲"&amp;skill!$O$53%&amp;"%的伤害"</f>
        <v>额外造成当前护甲150%的伤害</v>
      </c>
      <c r="G559" s="186">
        <f ca="1">OFFSET(卡牌辅助配置表!$C$1,MATCH(AC559,卡牌辅助配置表!A:A,0)-1,0)</f>
        <v>0</v>
      </c>
      <c r="H559" s="186">
        <v>6</v>
      </c>
      <c r="I559" s="186"/>
      <c r="J559" s="186">
        <f ca="1">OFFSET(card_type!$F$1,MATCH(Q559,card_type!A:A,0)-1,0)</f>
        <v>2</v>
      </c>
      <c r="K559" s="243">
        <f ca="1">OFFSET(card_type!$G$1,MATCH(Q559,card_type!A:A,0)-1,0)</f>
        <v>4</v>
      </c>
      <c r="L559" s="157">
        <v>2</v>
      </c>
      <c r="M559" s="157">
        <v>2</v>
      </c>
      <c r="N559" s="153">
        <f t="shared" si="89"/>
        <v>14</v>
      </c>
      <c r="O559" s="157"/>
      <c r="P559" s="157"/>
      <c r="Q559" s="153">
        <f ca="1">OFFSET(card_type!$A$1,MATCH(card!B559,card_type!B:B,0)-1,0)</f>
        <v>1019</v>
      </c>
      <c r="R559" s="153">
        <v>1</v>
      </c>
      <c r="S559" s="157">
        <f ca="1">ROUND(IF(R559=0,0,IF(R559=1,X559*$S$1,IF(R559=2,X559*$S$1*buff的资质计算!$E$2,IF(R559=3,X559*$S$1*buff的资质计算!$E$3,0)))),0)*0</f>
        <v>0</v>
      </c>
      <c r="T559" s="153">
        <v>1</v>
      </c>
      <c r="U559" s="153">
        <f ca="1" t="shared" si="90"/>
        <v>24</v>
      </c>
      <c r="V559" s="153">
        <f ca="1">ROUND((OFFSET(卡牌辅助配置表!$O$1,MATCH(U559,卡牌辅助配置表!M:M,0)-1,0)+(N559-1)*OFFSET(卡牌辅助配置表!$P$1,MATCH(U559,卡牌辅助配置表!M:M,0)-1,0))*M559,2)</f>
        <v>94.08</v>
      </c>
      <c r="W559" s="157">
        <f ca="1">ROUND(IF(R559=0,0,IF(R559=1,X559*$W$1,IF(R559=2,X559*$W$1*buff的资质计算!$E$2,IF(R559=3,X559*$W$1*buff的资质计算!$E$3,0)))),2)</f>
        <v>15.15</v>
      </c>
      <c r="X559" s="157">
        <f ca="1" t="shared" si="91"/>
        <v>50.5</v>
      </c>
      <c r="Y559" s="157">
        <f ca="1" t="shared" si="96"/>
        <v>56.5</v>
      </c>
      <c r="Z559" s="304">
        <f ca="1" t="shared" si="92"/>
        <v>28.25</v>
      </c>
      <c r="AA559" s="304">
        <f ca="1">OFFSET(卡牌辅助配置表!$AD$1,MATCH(AB559,卡牌辅助配置表!AB:AB,0)-1,0)</f>
        <v>5636</v>
      </c>
      <c r="AB559" s="304">
        <f ca="1" t="shared" si="93"/>
        <v>2414</v>
      </c>
      <c r="AC559" s="153">
        <v>12</v>
      </c>
      <c r="AF559" s="153" t="str">
        <f ca="1" t="shared" si="97"/>
        <v>10190011|</v>
      </c>
      <c r="AJ559" s="205" t="str">
        <f ca="1" t="shared" si="94"/>
        <v>400023|12900|;</v>
      </c>
      <c r="AK559" s="205">
        <f ca="1">OFFSET([1]item_type!$A$1,MATCH(Q559,[1]item_type!$G:$G,0)-1,0)</f>
        <v>301019</v>
      </c>
      <c r="AL559" s="205"/>
      <c r="AM559" s="205">
        <f ca="1">IF(B559=B560,OFFSET(卡牌辅助配置表!$AE$1,MATCH(AB559,卡牌辅助配置表!AB:AB,0),0),0)</f>
        <v>12900</v>
      </c>
      <c r="AN559" s="153">
        <f ca="1" t="shared" si="95"/>
        <v>1019015</v>
      </c>
      <c r="AP559" s="153">
        <f ca="1">IF(AC559=0,0,IF(AC559=12,0,OFFSET(effect!$N$1,MATCH(K559,effect!M:M,0)-1,0)))</f>
        <v>0</v>
      </c>
    </row>
    <row r="560" spans="1:42">
      <c r="A560" s="153">
        <f ca="1" t="shared" si="88"/>
        <v>1019015</v>
      </c>
      <c r="B560" s="91" t="s">
        <v>522</v>
      </c>
      <c r="C560" s="186">
        <v>1</v>
      </c>
      <c r="D560" s="186">
        <v>5</v>
      </c>
      <c r="E560" s="165" t="s">
        <v>1050</v>
      </c>
      <c r="F560" s="165" t="str">
        <f>"额外造成当前护甲"&amp;skill!$O$53%&amp;"%的伤害"</f>
        <v>额外造成当前护甲150%的伤害</v>
      </c>
      <c r="G560" s="186">
        <f ca="1">OFFSET(卡牌辅助配置表!$C$1,MATCH(AC560,卡牌辅助配置表!A:A,0)-1,0)</f>
        <v>0</v>
      </c>
      <c r="H560" s="186">
        <v>6</v>
      </c>
      <c r="I560" s="186"/>
      <c r="J560" s="186">
        <f ca="1">OFFSET(card_type!$F$1,MATCH(Q560,card_type!A:A,0)-1,0)</f>
        <v>2</v>
      </c>
      <c r="K560" s="243">
        <f ca="1">OFFSET(card_type!$G$1,MATCH(Q560,card_type!A:A,0)-1,0)</f>
        <v>4</v>
      </c>
      <c r="L560" s="157">
        <v>2</v>
      </c>
      <c r="M560" s="157">
        <v>2</v>
      </c>
      <c r="N560" s="153">
        <f t="shared" si="89"/>
        <v>15</v>
      </c>
      <c r="O560" s="157"/>
      <c r="P560" s="157"/>
      <c r="Q560" s="153">
        <f ca="1">OFFSET(card_type!$A$1,MATCH(card!B560,card_type!B:B,0)-1,0)</f>
        <v>1019</v>
      </c>
      <c r="R560" s="153">
        <v>1</v>
      </c>
      <c r="S560" s="157">
        <f ca="1">ROUND(IF(R560=0,0,IF(R560=1,X560*$S$1,IF(R560=2,X560*$S$1*buff的资质计算!$E$2,IF(R560=3,X560*$S$1*buff的资质计算!$E$3,0)))),0)*0</f>
        <v>0</v>
      </c>
      <c r="T560" s="153">
        <v>1</v>
      </c>
      <c r="U560" s="153">
        <f ca="1" t="shared" si="90"/>
        <v>24</v>
      </c>
      <c r="V560" s="153">
        <f ca="1">ROUND((OFFSET(卡牌辅助配置表!$O$1,MATCH(U560,卡牌辅助配置表!M:M,0)-1,0)+(N560-1)*OFFSET(卡牌辅助配置表!$P$1,MATCH(U560,卡牌辅助配置表!M:M,0)-1,0))*M560,2)</f>
        <v>97.44</v>
      </c>
      <c r="W560" s="157">
        <f ca="1">ROUND(IF(R560=0,0,IF(R560=1,X560*$W$1,IF(R560=2,X560*$W$1*buff的资质计算!$E$2,IF(R560=3,X560*$W$1*buff的资质计算!$E$3,0)))),2)</f>
        <v>15.3</v>
      </c>
      <c r="X560" s="157">
        <f ca="1" t="shared" si="91"/>
        <v>51</v>
      </c>
      <c r="Y560" s="157">
        <f ca="1" t="shared" si="96"/>
        <v>57</v>
      </c>
      <c r="Z560" s="304">
        <f ca="1" t="shared" si="92"/>
        <v>28.5</v>
      </c>
      <c r="AA560" s="304">
        <f ca="1">OFFSET(卡牌辅助配置表!$AD$1,MATCH(AB560,卡牌辅助配置表!AB:AB,0)-1,0)</f>
        <v>6165</v>
      </c>
      <c r="AB560" s="304">
        <f ca="1" t="shared" si="93"/>
        <v>2415</v>
      </c>
      <c r="AC560" s="153">
        <v>12</v>
      </c>
      <c r="AF560" s="153" t="str">
        <f ca="1" t="shared" si="97"/>
        <v>10190011|</v>
      </c>
      <c r="AJ560" s="205" t="str">
        <f ca="1" t="shared" si="94"/>
        <v>400023|14100|;</v>
      </c>
      <c r="AK560" s="205">
        <f ca="1">OFFSET([1]item_type!$A$1,MATCH(Q560,[1]item_type!$G:$G,0)-1,0)</f>
        <v>301019</v>
      </c>
      <c r="AL560" s="205"/>
      <c r="AM560" s="205">
        <f ca="1">IF(B560=B561,OFFSET(卡牌辅助配置表!$AE$1,MATCH(AB560,卡牌辅助配置表!AB:AB,0),0),0)</f>
        <v>14100</v>
      </c>
      <c r="AN560" s="153">
        <f ca="1" t="shared" si="95"/>
        <v>1019016</v>
      </c>
      <c r="AP560" s="153">
        <f ca="1">IF(AC560=0,0,IF(AC560=12,0,OFFSET(effect!$N$1,MATCH(K560,effect!M:M,0)-1,0)))</f>
        <v>0</v>
      </c>
    </row>
    <row r="561" spans="1:42">
      <c r="A561" s="153">
        <f ca="1" t="shared" si="88"/>
        <v>1019016</v>
      </c>
      <c r="B561" s="91" t="s">
        <v>522</v>
      </c>
      <c r="C561" s="186">
        <v>1</v>
      </c>
      <c r="D561" s="186">
        <v>5</v>
      </c>
      <c r="E561" s="165" t="s">
        <v>1050</v>
      </c>
      <c r="F561" s="165" t="str">
        <f>"额外造成当前护甲"&amp;skill!$O$53%&amp;"%的伤害"</f>
        <v>额外造成当前护甲150%的伤害</v>
      </c>
      <c r="G561" s="186">
        <f ca="1">OFFSET(卡牌辅助配置表!$C$1,MATCH(AC561,卡牌辅助配置表!A:A,0)-1,0)</f>
        <v>0</v>
      </c>
      <c r="H561" s="186">
        <v>6</v>
      </c>
      <c r="I561" s="186"/>
      <c r="J561" s="186">
        <f ca="1">OFFSET(card_type!$F$1,MATCH(Q561,card_type!A:A,0)-1,0)</f>
        <v>2</v>
      </c>
      <c r="K561" s="243">
        <f ca="1">OFFSET(card_type!$G$1,MATCH(Q561,card_type!A:A,0)-1,0)</f>
        <v>4</v>
      </c>
      <c r="L561" s="157">
        <v>2</v>
      </c>
      <c r="M561" s="157">
        <v>2</v>
      </c>
      <c r="N561" s="153">
        <f t="shared" si="89"/>
        <v>16</v>
      </c>
      <c r="O561" s="157"/>
      <c r="P561" s="157"/>
      <c r="Q561" s="153">
        <f ca="1">OFFSET(card_type!$A$1,MATCH(card!B561,card_type!B:B,0)-1,0)</f>
        <v>1019</v>
      </c>
      <c r="R561" s="153">
        <v>1</v>
      </c>
      <c r="S561" s="157">
        <f ca="1">ROUND(IF(R561=0,0,IF(R561=1,X561*$S$1,IF(R561=2,X561*$S$1*buff的资质计算!$E$2,IF(R561=3,X561*$S$1*buff的资质计算!$E$3,0)))),0)*0</f>
        <v>0</v>
      </c>
      <c r="T561" s="153">
        <v>1</v>
      </c>
      <c r="U561" s="153">
        <f ca="1" t="shared" si="90"/>
        <v>24</v>
      </c>
      <c r="V561" s="153">
        <f ca="1">ROUND((OFFSET(卡牌辅助配置表!$O$1,MATCH(U561,卡牌辅助配置表!M:M,0)-1,0)+(N561-1)*OFFSET(卡牌辅助配置表!$P$1,MATCH(U561,卡牌辅助配置表!M:M,0)-1,0))*M561,2)</f>
        <v>100.8</v>
      </c>
      <c r="W561" s="157">
        <f ca="1">ROUND(IF(R561=0,0,IF(R561=1,X561*$W$1,IF(R561=2,X561*$W$1*buff的资质计算!$E$2,IF(R561=3,X561*$W$1*buff的资质计算!$E$3,0)))),2)</f>
        <v>15.45</v>
      </c>
      <c r="X561" s="157">
        <f ca="1" t="shared" si="91"/>
        <v>51.5</v>
      </c>
      <c r="Y561" s="157">
        <f ca="1" t="shared" si="96"/>
        <v>57.5</v>
      </c>
      <c r="Z561" s="304">
        <f ca="1" t="shared" si="92"/>
        <v>28.75</v>
      </c>
      <c r="AA561" s="304">
        <f ca="1">OFFSET(卡牌辅助配置表!$AD$1,MATCH(AB561,卡牌辅助配置表!AB:AB,0)-1,0)</f>
        <v>6694</v>
      </c>
      <c r="AB561" s="304">
        <f ca="1" t="shared" si="93"/>
        <v>2416</v>
      </c>
      <c r="AC561" s="153">
        <v>12</v>
      </c>
      <c r="AF561" s="153" t="str">
        <f ca="1" t="shared" si="97"/>
        <v>10190011|</v>
      </c>
      <c r="AJ561" s="205" t="str">
        <f ca="1" t="shared" si="94"/>
        <v>400023|15300|;</v>
      </c>
      <c r="AK561" s="205">
        <f ca="1">OFFSET([1]item_type!$A$1,MATCH(Q561,[1]item_type!$G:$G,0)-1,0)</f>
        <v>301019</v>
      </c>
      <c r="AL561" s="205"/>
      <c r="AM561" s="205">
        <f ca="1">IF(B561=B562,OFFSET(卡牌辅助配置表!$AE$1,MATCH(AB561,卡牌辅助配置表!AB:AB,0),0),0)</f>
        <v>15300</v>
      </c>
      <c r="AN561" s="153">
        <f ca="1" t="shared" si="95"/>
        <v>1019017</v>
      </c>
      <c r="AP561" s="153">
        <f ca="1">IF(AC561=0,0,IF(AC561=12,0,OFFSET(effect!$N$1,MATCH(K561,effect!M:M,0)-1,0)))</f>
        <v>0</v>
      </c>
    </row>
    <row r="562" spans="1:42">
      <c r="A562" s="153">
        <f ca="1" t="shared" si="88"/>
        <v>1019017</v>
      </c>
      <c r="B562" s="91" t="s">
        <v>522</v>
      </c>
      <c r="C562" s="186">
        <v>1</v>
      </c>
      <c r="D562" s="186">
        <v>5</v>
      </c>
      <c r="E562" s="165" t="s">
        <v>1050</v>
      </c>
      <c r="F562" s="165" t="str">
        <f>"额外造成当前护甲"&amp;skill!$O$53%&amp;"%的伤害"</f>
        <v>额外造成当前护甲150%的伤害</v>
      </c>
      <c r="G562" s="186">
        <f ca="1">OFFSET(卡牌辅助配置表!$C$1,MATCH(AC562,卡牌辅助配置表!A:A,0)-1,0)</f>
        <v>0</v>
      </c>
      <c r="H562" s="186">
        <v>6</v>
      </c>
      <c r="I562" s="186"/>
      <c r="J562" s="186">
        <f ca="1">OFFSET(card_type!$F$1,MATCH(Q562,card_type!A:A,0)-1,0)</f>
        <v>2</v>
      </c>
      <c r="K562" s="243">
        <f ca="1">OFFSET(card_type!$G$1,MATCH(Q562,card_type!A:A,0)-1,0)</f>
        <v>4</v>
      </c>
      <c r="L562" s="157">
        <v>2</v>
      </c>
      <c r="M562" s="157">
        <v>2</v>
      </c>
      <c r="N562" s="153">
        <f t="shared" si="89"/>
        <v>17</v>
      </c>
      <c r="O562" s="157"/>
      <c r="P562" s="157"/>
      <c r="Q562" s="153">
        <f ca="1">OFFSET(card_type!$A$1,MATCH(card!B562,card_type!B:B,0)-1,0)</f>
        <v>1019</v>
      </c>
      <c r="R562" s="153">
        <v>1</v>
      </c>
      <c r="S562" s="157">
        <f ca="1">ROUND(IF(R562=0,0,IF(R562=1,X562*$S$1,IF(R562=2,X562*$S$1*buff的资质计算!$E$2,IF(R562=3,X562*$S$1*buff的资质计算!$E$3,0)))),0)*0</f>
        <v>0</v>
      </c>
      <c r="T562" s="153">
        <v>1</v>
      </c>
      <c r="U562" s="153">
        <f ca="1" t="shared" si="90"/>
        <v>24</v>
      </c>
      <c r="V562" s="153">
        <f ca="1">ROUND((OFFSET(卡牌辅助配置表!$O$1,MATCH(U562,卡牌辅助配置表!M:M,0)-1,0)+(N562-1)*OFFSET(卡牌辅助配置表!$P$1,MATCH(U562,卡牌辅助配置表!M:M,0)-1,0))*M562,2)</f>
        <v>104.16</v>
      </c>
      <c r="W562" s="157">
        <f ca="1">ROUND(IF(R562=0,0,IF(R562=1,X562*$W$1,IF(R562=2,X562*$W$1*buff的资质计算!$E$2,IF(R562=3,X562*$W$1*buff的资质计算!$E$3,0)))),2)</f>
        <v>15.6</v>
      </c>
      <c r="X562" s="157">
        <f ca="1" t="shared" si="91"/>
        <v>52</v>
      </c>
      <c r="Y562" s="157">
        <f ca="1" t="shared" si="96"/>
        <v>58</v>
      </c>
      <c r="Z562" s="304">
        <f ca="1" t="shared" si="92"/>
        <v>29</v>
      </c>
      <c r="AA562" s="304">
        <f ca="1">OFFSET(卡牌辅助配置表!$AD$1,MATCH(AB562,卡牌辅助配置表!AB:AB,0)-1,0)</f>
        <v>7223</v>
      </c>
      <c r="AB562" s="304">
        <f ca="1" t="shared" si="93"/>
        <v>2417</v>
      </c>
      <c r="AC562" s="153">
        <v>12</v>
      </c>
      <c r="AF562" s="153" t="str">
        <f ca="1" t="shared" si="97"/>
        <v>10190011|</v>
      </c>
      <c r="AJ562" s="205" t="str">
        <f ca="1" t="shared" si="94"/>
        <v>400023|16500|;</v>
      </c>
      <c r="AK562" s="205">
        <f ca="1">OFFSET([1]item_type!$A$1,MATCH(Q562,[1]item_type!$G:$G,0)-1,0)</f>
        <v>301019</v>
      </c>
      <c r="AL562" s="205"/>
      <c r="AM562" s="205">
        <f ca="1">IF(B562=B563,OFFSET(卡牌辅助配置表!$AE$1,MATCH(AB562,卡牌辅助配置表!AB:AB,0),0),0)</f>
        <v>16500</v>
      </c>
      <c r="AN562" s="153">
        <f ca="1" t="shared" si="95"/>
        <v>1019018</v>
      </c>
      <c r="AP562" s="153">
        <f ca="1">IF(AC562=0,0,IF(AC562=12,0,OFFSET(effect!$N$1,MATCH(K562,effect!M:M,0)-1,0)))</f>
        <v>0</v>
      </c>
    </row>
    <row r="563" spans="1:42">
      <c r="A563" s="153">
        <f ca="1" t="shared" si="88"/>
        <v>1019018</v>
      </c>
      <c r="B563" s="91" t="s">
        <v>522</v>
      </c>
      <c r="C563" s="186">
        <v>1</v>
      </c>
      <c r="D563" s="186">
        <v>5</v>
      </c>
      <c r="E563" s="165" t="s">
        <v>1050</v>
      </c>
      <c r="F563" s="165" t="str">
        <f>"额外造成当前护甲"&amp;skill!$O$53%&amp;"%的伤害"</f>
        <v>额外造成当前护甲150%的伤害</v>
      </c>
      <c r="G563" s="186">
        <f ca="1">OFFSET(卡牌辅助配置表!$C$1,MATCH(AC563,卡牌辅助配置表!A:A,0)-1,0)</f>
        <v>0</v>
      </c>
      <c r="H563" s="186">
        <v>6</v>
      </c>
      <c r="I563" s="186"/>
      <c r="J563" s="186">
        <f ca="1">OFFSET(card_type!$F$1,MATCH(Q563,card_type!A:A,0)-1,0)</f>
        <v>2</v>
      </c>
      <c r="K563" s="243">
        <f ca="1">OFFSET(card_type!$G$1,MATCH(Q563,card_type!A:A,0)-1,0)</f>
        <v>4</v>
      </c>
      <c r="L563" s="157">
        <v>2</v>
      </c>
      <c r="M563" s="157">
        <v>2</v>
      </c>
      <c r="N563" s="153">
        <f t="shared" si="89"/>
        <v>18</v>
      </c>
      <c r="O563" s="157"/>
      <c r="P563" s="157"/>
      <c r="Q563" s="153">
        <f ca="1">OFFSET(card_type!$A$1,MATCH(card!B563,card_type!B:B,0)-1,0)</f>
        <v>1019</v>
      </c>
      <c r="R563" s="153">
        <v>1</v>
      </c>
      <c r="S563" s="157">
        <f ca="1">ROUND(IF(R563=0,0,IF(R563=1,X563*$S$1,IF(R563=2,X563*$S$1*buff的资质计算!$E$2,IF(R563=3,X563*$S$1*buff的资质计算!$E$3,0)))),0)*0</f>
        <v>0</v>
      </c>
      <c r="T563" s="153">
        <v>1</v>
      </c>
      <c r="U563" s="153">
        <f ca="1" t="shared" si="90"/>
        <v>24</v>
      </c>
      <c r="V563" s="153">
        <f ca="1">ROUND((OFFSET(卡牌辅助配置表!$O$1,MATCH(U563,卡牌辅助配置表!M:M,0)-1,0)+(N563-1)*OFFSET(卡牌辅助配置表!$P$1,MATCH(U563,卡牌辅助配置表!M:M,0)-1,0))*M563,2)</f>
        <v>107.52</v>
      </c>
      <c r="W563" s="157">
        <f ca="1">ROUND(IF(R563=0,0,IF(R563=1,X563*$W$1,IF(R563=2,X563*$W$1*buff的资质计算!$E$2,IF(R563=3,X563*$W$1*buff的资质计算!$E$3,0)))),2)</f>
        <v>15.75</v>
      </c>
      <c r="X563" s="157">
        <f ca="1" t="shared" si="91"/>
        <v>52.5</v>
      </c>
      <c r="Y563" s="157">
        <f ca="1" t="shared" si="96"/>
        <v>58.5</v>
      </c>
      <c r="Z563" s="304">
        <f ca="1" t="shared" si="92"/>
        <v>29.25</v>
      </c>
      <c r="AA563" s="304">
        <f ca="1">OFFSET(卡牌辅助配置表!$AD$1,MATCH(AB563,卡牌辅助配置表!AB:AB,0)-1,0)</f>
        <v>7752</v>
      </c>
      <c r="AB563" s="304">
        <f ca="1" t="shared" si="93"/>
        <v>2418</v>
      </c>
      <c r="AC563" s="153">
        <v>12</v>
      </c>
      <c r="AF563" s="153" t="str">
        <f ca="1" t="shared" si="97"/>
        <v>10190011|</v>
      </c>
      <c r="AJ563" s="205" t="str">
        <f ca="1" t="shared" si="94"/>
        <v>400023|17700|;</v>
      </c>
      <c r="AK563" s="205">
        <f ca="1">OFFSET([1]item_type!$A$1,MATCH(Q563,[1]item_type!$G:$G,0)-1,0)</f>
        <v>301019</v>
      </c>
      <c r="AL563" s="205"/>
      <c r="AM563" s="205">
        <f ca="1">IF(B563=B564,OFFSET(卡牌辅助配置表!$AE$1,MATCH(AB563,卡牌辅助配置表!AB:AB,0),0),0)</f>
        <v>17700</v>
      </c>
      <c r="AN563" s="153">
        <f ca="1" t="shared" si="95"/>
        <v>1019019</v>
      </c>
      <c r="AP563" s="153">
        <f ca="1">IF(AC563=0,0,IF(AC563=12,0,OFFSET(effect!$N$1,MATCH(K563,effect!M:M,0)-1,0)))</f>
        <v>0</v>
      </c>
    </row>
    <row r="564" spans="1:42">
      <c r="A564" s="153">
        <f ca="1" t="shared" si="88"/>
        <v>1019019</v>
      </c>
      <c r="B564" s="91" t="s">
        <v>522</v>
      </c>
      <c r="C564" s="186">
        <v>1</v>
      </c>
      <c r="D564" s="186">
        <v>5</v>
      </c>
      <c r="E564" s="165" t="s">
        <v>1050</v>
      </c>
      <c r="F564" s="165" t="str">
        <f>"额外造成当前护甲"&amp;skill!$O$53%&amp;"%的伤害"</f>
        <v>额外造成当前护甲150%的伤害</v>
      </c>
      <c r="G564" s="186">
        <f ca="1">OFFSET(卡牌辅助配置表!$C$1,MATCH(AC564,卡牌辅助配置表!A:A,0)-1,0)</f>
        <v>0</v>
      </c>
      <c r="H564" s="186">
        <v>6</v>
      </c>
      <c r="I564" s="186"/>
      <c r="J564" s="186">
        <f ca="1">OFFSET(card_type!$F$1,MATCH(Q564,card_type!A:A,0)-1,0)</f>
        <v>2</v>
      </c>
      <c r="K564" s="243">
        <f ca="1">OFFSET(card_type!$G$1,MATCH(Q564,card_type!A:A,0)-1,0)</f>
        <v>4</v>
      </c>
      <c r="L564" s="157">
        <v>2</v>
      </c>
      <c r="M564" s="157">
        <v>2</v>
      </c>
      <c r="N564" s="153">
        <f t="shared" si="89"/>
        <v>19</v>
      </c>
      <c r="O564" s="157"/>
      <c r="P564" s="157"/>
      <c r="Q564" s="153">
        <f ca="1">OFFSET(card_type!$A$1,MATCH(card!B564,card_type!B:B,0)-1,0)</f>
        <v>1019</v>
      </c>
      <c r="R564" s="153">
        <v>1</v>
      </c>
      <c r="S564" s="157">
        <f ca="1">ROUND(IF(R564=0,0,IF(R564=1,X564*$S$1,IF(R564=2,X564*$S$1*buff的资质计算!$E$2,IF(R564=3,X564*$S$1*buff的资质计算!$E$3,0)))),0)*0</f>
        <v>0</v>
      </c>
      <c r="T564" s="153">
        <v>1</v>
      </c>
      <c r="U564" s="153">
        <f ca="1" t="shared" si="90"/>
        <v>24</v>
      </c>
      <c r="V564" s="153">
        <f ca="1">ROUND((OFFSET(卡牌辅助配置表!$O$1,MATCH(U564,卡牌辅助配置表!M:M,0)-1,0)+(N564-1)*OFFSET(卡牌辅助配置表!$P$1,MATCH(U564,卡牌辅助配置表!M:M,0)-1,0))*M564,2)</f>
        <v>110.88</v>
      </c>
      <c r="W564" s="157">
        <f ca="1">ROUND(IF(R564=0,0,IF(R564=1,X564*$W$1,IF(R564=2,X564*$W$1*buff的资质计算!$E$2,IF(R564=3,X564*$W$1*buff的资质计算!$E$3,0)))),2)</f>
        <v>15.9</v>
      </c>
      <c r="X564" s="157">
        <f ca="1" t="shared" si="91"/>
        <v>53</v>
      </c>
      <c r="Y564" s="157">
        <f ca="1" t="shared" si="96"/>
        <v>59</v>
      </c>
      <c r="Z564" s="304">
        <f ca="1" t="shared" si="92"/>
        <v>29.5</v>
      </c>
      <c r="AA564" s="304">
        <f ca="1">OFFSET(卡牌辅助配置表!$AD$1,MATCH(AB564,卡牌辅助配置表!AB:AB,0)-1,0)</f>
        <v>8281</v>
      </c>
      <c r="AB564" s="304">
        <f ca="1" t="shared" si="93"/>
        <v>2419</v>
      </c>
      <c r="AC564" s="153">
        <v>12</v>
      </c>
      <c r="AF564" s="153" t="str">
        <f ca="1" t="shared" si="97"/>
        <v>10190011|</v>
      </c>
      <c r="AJ564" s="205" t="str">
        <f ca="1" t="shared" si="94"/>
        <v>301019|20|;400023|18900|;</v>
      </c>
      <c r="AK564" s="205">
        <f ca="1">OFFSET([1]item_type!$A$1,MATCH(Q564,[1]item_type!$G:$G,0)-1,0)</f>
        <v>301019</v>
      </c>
      <c r="AL564" s="205">
        <v>20</v>
      </c>
      <c r="AM564" s="205">
        <f ca="1">IF(B564=B565,OFFSET(卡牌辅助配置表!$AE$1,MATCH(AB564,卡牌辅助配置表!AB:AB,0),0),0)</f>
        <v>18900</v>
      </c>
      <c r="AN564" s="153">
        <f ca="1" t="shared" si="95"/>
        <v>1019020</v>
      </c>
      <c r="AP564" s="153">
        <f ca="1">IF(AC564=0,0,IF(AC564=12,0,OFFSET(effect!$N$1,MATCH(K564,effect!M:M,0)-1,0)))</f>
        <v>0</v>
      </c>
    </row>
    <row r="565" spans="1:42">
      <c r="A565" s="153">
        <f ca="1" t="shared" si="88"/>
        <v>1019020</v>
      </c>
      <c r="B565" s="91" t="s">
        <v>522</v>
      </c>
      <c r="C565" s="186">
        <v>1</v>
      </c>
      <c r="D565" s="186">
        <v>5</v>
      </c>
      <c r="E565" s="165" t="s">
        <v>1050</v>
      </c>
      <c r="F565" s="165" t="str">
        <f>"额外造成当前护甲"&amp;skill!$O$53%&amp;"%的伤害"</f>
        <v>额外造成当前护甲150%的伤害</v>
      </c>
      <c r="G565" s="186">
        <f ca="1">OFFSET(卡牌辅助配置表!$C$1,MATCH(AC565,卡牌辅助配置表!A:A,0)-1,0)</f>
        <v>0</v>
      </c>
      <c r="H565" s="186">
        <v>6</v>
      </c>
      <c r="I565" s="186"/>
      <c r="J565" s="186">
        <f ca="1">OFFSET(card_type!$F$1,MATCH(Q565,card_type!A:A,0)-1,0)</f>
        <v>2</v>
      </c>
      <c r="K565" s="243">
        <f ca="1">OFFSET(card_type!$G$1,MATCH(Q565,card_type!A:A,0)-1,0)</f>
        <v>4</v>
      </c>
      <c r="L565" s="157">
        <v>2</v>
      </c>
      <c r="M565" s="157">
        <v>2</v>
      </c>
      <c r="N565" s="153">
        <f t="shared" si="89"/>
        <v>20</v>
      </c>
      <c r="O565" s="157"/>
      <c r="P565" s="157"/>
      <c r="Q565" s="153">
        <f ca="1">OFFSET(card_type!$A$1,MATCH(card!B565,card_type!B:B,0)-1,0)</f>
        <v>1019</v>
      </c>
      <c r="R565" s="153">
        <v>1</v>
      </c>
      <c r="S565" s="157">
        <f ca="1">ROUND(IF(R565=0,0,IF(R565=1,X565*$S$1,IF(R565=2,X565*$S$1*buff的资质计算!$E$2,IF(R565=3,X565*$S$1*buff的资质计算!$E$3,0)))),0)*0</f>
        <v>0</v>
      </c>
      <c r="T565" s="153">
        <v>1</v>
      </c>
      <c r="U565" s="153">
        <f ca="1" t="shared" si="90"/>
        <v>24</v>
      </c>
      <c r="V565" s="153">
        <f ca="1">ROUND((OFFSET(卡牌辅助配置表!$O$1,MATCH(U565,卡牌辅助配置表!M:M,0)-1,0)+(N565-1)*OFFSET(卡牌辅助配置表!$P$1,MATCH(U565,卡牌辅助配置表!M:M,0)-1,0))*M565,2)</f>
        <v>114.24</v>
      </c>
      <c r="W565" s="157">
        <f ca="1">ROUND(IF(R565=0,0,IF(R565=1,X565*$W$1,IF(R565=2,X565*$W$1*buff的资质计算!$E$2,IF(R565=3,X565*$W$1*buff的资质计算!$E$3,0)))),2)</f>
        <v>16.05</v>
      </c>
      <c r="X565" s="157">
        <f ca="1" t="shared" si="91"/>
        <v>53.5</v>
      </c>
      <c r="Y565" s="157">
        <f ca="1" t="shared" si="96"/>
        <v>59.5</v>
      </c>
      <c r="Z565" s="304">
        <f ca="1" t="shared" si="92"/>
        <v>29.75</v>
      </c>
      <c r="AA565" s="304">
        <f ca="1">OFFSET(卡牌辅助配置表!$AD$1,MATCH(AB565,卡牌辅助配置表!AB:AB,0)-1,0)</f>
        <v>8810</v>
      </c>
      <c r="AB565" s="304">
        <f ca="1" t="shared" si="93"/>
        <v>2420</v>
      </c>
      <c r="AC565" s="153">
        <v>12</v>
      </c>
      <c r="AF565" s="153" t="str">
        <f ca="1" t="shared" si="97"/>
        <v>10190011|</v>
      </c>
      <c r="AJ565" s="205" t="str">
        <f ca="1" t="shared" si="94"/>
        <v>400023|21300|;</v>
      </c>
      <c r="AK565" s="205">
        <f ca="1">OFFSET([1]item_type!$A$1,MATCH(Q565,[1]item_type!$G:$G,0)-1,0)</f>
        <v>301019</v>
      </c>
      <c r="AL565" s="205"/>
      <c r="AM565" s="205">
        <f ca="1">IF(B565=B566,OFFSET(卡牌辅助配置表!$AE$1,MATCH(AB565,卡牌辅助配置表!AB:AB,0),0),0)</f>
        <v>21300</v>
      </c>
      <c r="AN565" s="153">
        <f ca="1" t="shared" si="95"/>
        <v>1019021</v>
      </c>
      <c r="AP565" s="153">
        <f ca="1">IF(AC565=0,0,IF(AC565=12,0,OFFSET(effect!$N$1,MATCH(K565,effect!M:M,0)-1,0)))</f>
        <v>0</v>
      </c>
    </row>
    <row r="566" spans="1:42">
      <c r="A566" s="153">
        <f ca="1" t="shared" si="88"/>
        <v>1019021</v>
      </c>
      <c r="B566" s="91" t="s">
        <v>522</v>
      </c>
      <c r="C566" s="186">
        <v>1</v>
      </c>
      <c r="D566" s="186">
        <v>5</v>
      </c>
      <c r="E566" s="165" t="s">
        <v>1050</v>
      </c>
      <c r="F566" s="165" t="str">
        <f>"额外造成当前护甲"&amp;skill!$O$53%&amp;"%的伤害"</f>
        <v>额外造成当前护甲150%的伤害</v>
      </c>
      <c r="G566" s="186">
        <f ca="1">OFFSET(卡牌辅助配置表!$C$1,MATCH(AC566,卡牌辅助配置表!A:A,0)-1,0)</f>
        <v>0</v>
      </c>
      <c r="H566" s="186">
        <v>6</v>
      </c>
      <c r="I566" s="186"/>
      <c r="J566" s="186">
        <f ca="1">OFFSET(card_type!$F$1,MATCH(Q566,card_type!A:A,0)-1,0)</f>
        <v>2</v>
      </c>
      <c r="K566" s="243">
        <f ca="1">OFFSET(card_type!$G$1,MATCH(Q566,card_type!A:A,0)-1,0)</f>
        <v>4</v>
      </c>
      <c r="L566" s="157">
        <v>2</v>
      </c>
      <c r="M566" s="157">
        <v>2</v>
      </c>
      <c r="N566" s="153">
        <f t="shared" si="89"/>
        <v>21</v>
      </c>
      <c r="O566" s="157"/>
      <c r="P566" s="157"/>
      <c r="Q566" s="153">
        <f ca="1">OFFSET(card_type!$A$1,MATCH(card!B566,card_type!B:B,0)-1,0)</f>
        <v>1019</v>
      </c>
      <c r="R566" s="153">
        <v>1</v>
      </c>
      <c r="S566" s="157">
        <f ca="1">ROUND(IF(R566=0,0,IF(R566=1,X566*$S$1,IF(R566=2,X566*$S$1*buff的资质计算!$E$2,IF(R566=3,X566*$S$1*buff的资质计算!$E$3,0)))),0)*0</f>
        <v>0</v>
      </c>
      <c r="T566" s="153">
        <v>1</v>
      </c>
      <c r="U566" s="153">
        <f ca="1" t="shared" si="90"/>
        <v>24</v>
      </c>
      <c r="V566" s="153">
        <f ca="1">ROUND((OFFSET(卡牌辅助配置表!$O$1,MATCH(U566,卡牌辅助配置表!M:M,0)-1,0)+(N566-1)*OFFSET(卡牌辅助配置表!$P$1,MATCH(U566,卡牌辅助配置表!M:M,0)-1,0))*M566,2)</f>
        <v>117.6</v>
      </c>
      <c r="W566" s="157">
        <f ca="1">ROUND(IF(R566=0,0,IF(R566=1,X566*$W$1,IF(R566=2,X566*$W$1*buff的资质计算!$E$2,IF(R566=3,X566*$W$1*buff的资质计算!$E$3,0)))),2)</f>
        <v>16.2</v>
      </c>
      <c r="X566" s="157">
        <f ca="1" t="shared" si="91"/>
        <v>54</v>
      </c>
      <c r="Y566" s="157">
        <f ca="1" t="shared" si="96"/>
        <v>60</v>
      </c>
      <c r="Z566" s="304">
        <f ca="1" t="shared" si="92"/>
        <v>30</v>
      </c>
      <c r="AA566" s="304">
        <f ca="1">OFFSET(卡牌辅助配置表!$AD$1,MATCH(AB566,卡牌辅助配置表!AB:AB,0)-1,0)</f>
        <v>9515</v>
      </c>
      <c r="AB566" s="304">
        <f ca="1" t="shared" si="93"/>
        <v>2421</v>
      </c>
      <c r="AC566" s="153">
        <v>12</v>
      </c>
      <c r="AF566" s="153" t="str">
        <f ca="1" t="shared" si="97"/>
        <v>10190011|</v>
      </c>
      <c r="AJ566" s="205" t="str">
        <f ca="1" t="shared" si="94"/>
        <v>400023|23700|;</v>
      </c>
      <c r="AK566" s="205">
        <f ca="1">OFFSET([1]item_type!$A$1,MATCH(Q566,[1]item_type!$G:$G,0)-1,0)</f>
        <v>301019</v>
      </c>
      <c r="AL566" s="205"/>
      <c r="AM566" s="205">
        <f ca="1">IF(B566=B567,OFFSET(卡牌辅助配置表!$AE$1,MATCH(AB566,卡牌辅助配置表!AB:AB,0),0),0)</f>
        <v>23700</v>
      </c>
      <c r="AN566" s="153">
        <f ca="1" t="shared" si="95"/>
        <v>1019022</v>
      </c>
      <c r="AP566" s="153">
        <f ca="1">IF(AC566=0,0,IF(AC566=12,0,OFFSET(effect!$N$1,MATCH(K566,effect!M:M,0)-1,0)))</f>
        <v>0</v>
      </c>
    </row>
    <row r="567" spans="1:42">
      <c r="A567" s="153">
        <f ca="1" t="shared" si="88"/>
        <v>1019022</v>
      </c>
      <c r="B567" s="91" t="s">
        <v>522</v>
      </c>
      <c r="C567" s="186">
        <v>1</v>
      </c>
      <c r="D567" s="186">
        <v>5</v>
      </c>
      <c r="E567" s="165" t="s">
        <v>1050</v>
      </c>
      <c r="F567" s="165" t="str">
        <f>"额外造成当前护甲"&amp;skill!$O$53%&amp;"%的伤害"</f>
        <v>额外造成当前护甲150%的伤害</v>
      </c>
      <c r="G567" s="186">
        <f ca="1">OFFSET(卡牌辅助配置表!$C$1,MATCH(AC567,卡牌辅助配置表!A:A,0)-1,0)</f>
        <v>0</v>
      </c>
      <c r="H567" s="186">
        <v>6</v>
      </c>
      <c r="I567" s="186"/>
      <c r="J567" s="186">
        <f ca="1">OFFSET(card_type!$F$1,MATCH(Q567,card_type!A:A,0)-1,0)</f>
        <v>2</v>
      </c>
      <c r="K567" s="243">
        <f ca="1">OFFSET(card_type!$G$1,MATCH(Q567,card_type!A:A,0)-1,0)</f>
        <v>4</v>
      </c>
      <c r="L567" s="157">
        <v>2</v>
      </c>
      <c r="M567" s="157">
        <v>2</v>
      </c>
      <c r="N567" s="153">
        <f t="shared" si="89"/>
        <v>22</v>
      </c>
      <c r="O567" s="157"/>
      <c r="P567" s="157"/>
      <c r="Q567" s="153">
        <f ca="1">OFFSET(card_type!$A$1,MATCH(card!B567,card_type!B:B,0)-1,0)</f>
        <v>1019</v>
      </c>
      <c r="R567" s="153">
        <v>1</v>
      </c>
      <c r="S567" s="157">
        <f ca="1">ROUND(IF(R567=0,0,IF(R567=1,X567*$S$1,IF(R567=2,X567*$S$1*buff的资质计算!$E$2,IF(R567=3,X567*$S$1*buff的资质计算!$E$3,0)))),0)*0</f>
        <v>0</v>
      </c>
      <c r="T567" s="153">
        <v>1</v>
      </c>
      <c r="U567" s="153">
        <f ca="1" t="shared" si="90"/>
        <v>24</v>
      </c>
      <c r="V567" s="153">
        <f ca="1">ROUND((OFFSET(卡牌辅助配置表!$O$1,MATCH(U567,卡牌辅助配置表!M:M,0)-1,0)+(N567-1)*OFFSET(卡牌辅助配置表!$P$1,MATCH(U567,卡牌辅助配置表!M:M,0)-1,0))*M567,2)</f>
        <v>120.96</v>
      </c>
      <c r="W567" s="157">
        <f ca="1">ROUND(IF(R567=0,0,IF(R567=1,X567*$W$1,IF(R567=2,X567*$W$1*buff的资质计算!$E$2,IF(R567=3,X567*$W$1*buff的资质计算!$E$3,0)))),2)</f>
        <v>16.35</v>
      </c>
      <c r="X567" s="157">
        <f ca="1" t="shared" si="91"/>
        <v>54.5</v>
      </c>
      <c r="Y567" s="157">
        <f ca="1" t="shared" si="96"/>
        <v>60.5</v>
      </c>
      <c r="Z567" s="304">
        <f ca="1" t="shared" si="92"/>
        <v>30.25</v>
      </c>
      <c r="AA567" s="304">
        <f ca="1">OFFSET(卡牌辅助配置表!$AD$1,MATCH(AB567,卡牌辅助配置表!AB:AB,0)-1,0)</f>
        <v>10220</v>
      </c>
      <c r="AB567" s="304">
        <f ca="1" t="shared" si="93"/>
        <v>2422</v>
      </c>
      <c r="AC567" s="153">
        <v>12</v>
      </c>
      <c r="AF567" s="153" t="str">
        <f ca="1" t="shared" si="97"/>
        <v>10190011|</v>
      </c>
      <c r="AJ567" s="205" t="str">
        <f ca="1" t="shared" si="94"/>
        <v>400023|26100|;</v>
      </c>
      <c r="AK567" s="205">
        <f ca="1">OFFSET([1]item_type!$A$1,MATCH(Q567,[1]item_type!$G:$G,0)-1,0)</f>
        <v>301019</v>
      </c>
      <c r="AL567" s="205"/>
      <c r="AM567" s="205">
        <f ca="1">IF(B567=B568,OFFSET(卡牌辅助配置表!$AE$1,MATCH(AB567,卡牌辅助配置表!AB:AB,0),0),0)</f>
        <v>26100</v>
      </c>
      <c r="AN567" s="153">
        <f ca="1" t="shared" si="95"/>
        <v>1019023</v>
      </c>
      <c r="AP567" s="153">
        <f ca="1">IF(AC567=0,0,IF(AC567=12,0,OFFSET(effect!$N$1,MATCH(K567,effect!M:M,0)-1,0)))</f>
        <v>0</v>
      </c>
    </row>
    <row r="568" spans="1:42">
      <c r="A568" s="153">
        <f ca="1" t="shared" si="88"/>
        <v>1019023</v>
      </c>
      <c r="B568" s="91" t="s">
        <v>522</v>
      </c>
      <c r="C568" s="186">
        <v>1</v>
      </c>
      <c r="D568" s="186">
        <v>5</v>
      </c>
      <c r="E568" s="165" t="s">
        <v>1050</v>
      </c>
      <c r="F568" s="165" t="str">
        <f>"额外造成当前护甲"&amp;skill!$O$53%&amp;"%的伤害"</f>
        <v>额外造成当前护甲150%的伤害</v>
      </c>
      <c r="G568" s="186">
        <f ca="1">OFFSET(卡牌辅助配置表!$C$1,MATCH(AC568,卡牌辅助配置表!A:A,0)-1,0)</f>
        <v>0</v>
      </c>
      <c r="H568" s="186">
        <v>6</v>
      </c>
      <c r="I568" s="186"/>
      <c r="J568" s="186">
        <f ca="1">OFFSET(card_type!$F$1,MATCH(Q568,card_type!A:A,0)-1,0)</f>
        <v>2</v>
      </c>
      <c r="K568" s="243">
        <f ca="1">OFFSET(card_type!$G$1,MATCH(Q568,card_type!A:A,0)-1,0)</f>
        <v>4</v>
      </c>
      <c r="L568" s="157">
        <v>2</v>
      </c>
      <c r="M568" s="157">
        <v>2</v>
      </c>
      <c r="N568" s="153">
        <f t="shared" si="89"/>
        <v>23</v>
      </c>
      <c r="O568" s="157"/>
      <c r="P568" s="157"/>
      <c r="Q568" s="153">
        <f ca="1">OFFSET(card_type!$A$1,MATCH(card!B568,card_type!B:B,0)-1,0)</f>
        <v>1019</v>
      </c>
      <c r="R568" s="153">
        <v>1</v>
      </c>
      <c r="S568" s="157">
        <f ca="1">ROUND(IF(R568=0,0,IF(R568=1,X568*$S$1,IF(R568=2,X568*$S$1*buff的资质计算!$E$2,IF(R568=3,X568*$S$1*buff的资质计算!$E$3,0)))),0)*0</f>
        <v>0</v>
      </c>
      <c r="T568" s="153">
        <v>1</v>
      </c>
      <c r="U568" s="153">
        <f ca="1" t="shared" si="90"/>
        <v>24</v>
      </c>
      <c r="V568" s="153">
        <f ca="1">ROUND((OFFSET(卡牌辅助配置表!$O$1,MATCH(U568,卡牌辅助配置表!M:M,0)-1,0)+(N568-1)*OFFSET(卡牌辅助配置表!$P$1,MATCH(U568,卡牌辅助配置表!M:M,0)-1,0))*M568,2)</f>
        <v>124.32</v>
      </c>
      <c r="W568" s="157">
        <f ca="1">ROUND(IF(R568=0,0,IF(R568=1,X568*$W$1,IF(R568=2,X568*$W$1*buff的资质计算!$E$2,IF(R568=3,X568*$W$1*buff的资质计算!$E$3,0)))),2)</f>
        <v>16.5</v>
      </c>
      <c r="X568" s="157">
        <f ca="1" t="shared" si="91"/>
        <v>55</v>
      </c>
      <c r="Y568" s="157">
        <f ca="1" t="shared" si="96"/>
        <v>61</v>
      </c>
      <c r="Z568" s="304">
        <f ca="1" t="shared" si="92"/>
        <v>30.5</v>
      </c>
      <c r="AA568" s="304">
        <f ca="1">OFFSET(卡牌辅助配置表!$AD$1,MATCH(AB568,卡牌辅助配置表!AB:AB,0)-1,0)</f>
        <v>10925</v>
      </c>
      <c r="AB568" s="304">
        <f ca="1" t="shared" si="93"/>
        <v>2423</v>
      </c>
      <c r="AC568" s="153">
        <v>12</v>
      </c>
      <c r="AF568" s="153" t="str">
        <f ca="1" t="shared" si="97"/>
        <v>10190011|</v>
      </c>
      <c r="AJ568" s="205" t="str">
        <f ca="1" t="shared" si="94"/>
        <v>400023|28500|;</v>
      </c>
      <c r="AK568" s="205">
        <f ca="1">OFFSET([1]item_type!$A$1,MATCH(Q568,[1]item_type!$G:$G,0)-1,0)</f>
        <v>301019</v>
      </c>
      <c r="AL568" s="205"/>
      <c r="AM568" s="205">
        <f ca="1">IF(B568=B569,OFFSET(卡牌辅助配置表!$AE$1,MATCH(AB568,卡牌辅助配置表!AB:AB,0),0),0)</f>
        <v>28500</v>
      </c>
      <c r="AN568" s="153">
        <f ca="1" t="shared" si="95"/>
        <v>1019024</v>
      </c>
      <c r="AP568" s="153">
        <f ca="1">IF(AC568=0,0,IF(AC568=12,0,OFFSET(effect!$N$1,MATCH(K568,effect!M:M,0)-1,0)))</f>
        <v>0</v>
      </c>
    </row>
    <row r="569" spans="1:42">
      <c r="A569" s="153">
        <f ca="1" t="shared" si="88"/>
        <v>1019024</v>
      </c>
      <c r="B569" s="91" t="s">
        <v>522</v>
      </c>
      <c r="C569" s="186">
        <v>1</v>
      </c>
      <c r="D569" s="186">
        <v>5</v>
      </c>
      <c r="E569" s="165" t="s">
        <v>1050</v>
      </c>
      <c r="F569" s="165" t="str">
        <f>"额外造成当前护甲"&amp;skill!$O$53%&amp;"%的伤害"</f>
        <v>额外造成当前护甲150%的伤害</v>
      </c>
      <c r="G569" s="186">
        <f ca="1">OFFSET(卡牌辅助配置表!$C$1,MATCH(AC569,卡牌辅助配置表!A:A,0)-1,0)</f>
        <v>0</v>
      </c>
      <c r="H569" s="186">
        <v>6</v>
      </c>
      <c r="I569" s="186"/>
      <c r="J569" s="186">
        <f ca="1">OFFSET(card_type!$F$1,MATCH(Q569,card_type!A:A,0)-1,0)</f>
        <v>2</v>
      </c>
      <c r="K569" s="243">
        <f ca="1">OFFSET(card_type!$G$1,MATCH(Q569,card_type!A:A,0)-1,0)</f>
        <v>4</v>
      </c>
      <c r="L569" s="157">
        <v>2</v>
      </c>
      <c r="M569" s="157">
        <v>2</v>
      </c>
      <c r="N569" s="153">
        <f t="shared" si="89"/>
        <v>24</v>
      </c>
      <c r="O569" s="157"/>
      <c r="P569" s="157"/>
      <c r="Q569" s="153">
        <f ca="1">OFFSET(card_type!$A$1,MATCH(card!B569,card_type!B:B,0)-1,0)</f>
        <v>1019</v>
      </c>
      <c r="R569" s="153">
        <v>1</v>
      </c>
      <c r="S569" s="157">
        <f ca="1">ROUND(IF(R569=0,0,IF(R569=1,X569*$S$1,IF(R569=2,X569*$S$1*buff的资质计算!$E$2,IF(R569=3,X569*$S$1*buff的资质计算!$E$3,0)))),0)*0</f>
        <v>0</v>
      </c>
      <c r="T569" s="153">
        <v>1</v>
      </c>
      <c r="U569" s="153">
        <f ca="1" t="shared" si="90"/>
        <v>24</v>
      </c>
      <c r="V569" s="153">
        <f ca="1">ROUND((OFFSET(卡牌辅助配置表!$O$1,MATCH(U569,卡牌辅助配置表!M:M,0)-1,0)+(N569-1)*OFFSET(卡牌辅助配置表!$P$1,MATCH(U569,卡牌辅助配置表!M:M,0)-1,0))*M569,2)</f>
        <v>127.68</v>
      </c>
      <c r="W569" s="157">
        <f ca="1">ROUND(IF(R569=0,0,IF(R569=1,X569*$W$1,IF(R569=2,X569*$W$1*buff的资质计算!$E$2,IF(R569=3,X569*$W$1*buff的资质计算!$E$3,0)))),2)</f>
        <v>16.65</v>
      </c>
      <c r="X569" s="157">
        <f ca="1" t="shared" si="91"/>
        <v>55.5</v>
      </c>
      <c r="Y569" s="157">
        <f ca="1" t="shared" si="96"/>
        <v>61.5</v>
      </c>
      <c r="Z569" s="304">
        <f ca="1" t="shared" si="92"/>
        <v>30.75</v>
      </c>
      <c r="AA569" s="304">
        <f ca="1">OFFSET(卡牌辅助配置表!$AD$1,MATCH(AB569,卡牌辅助配置表!AB:AB,0)-1,0)</f>
        <v>11630</v>
      </c>
      <c r="AB569" s="304">
        <f ca="1" t="shared" si="93"/>
        <v>2424</v>
      </c>
      <c r="AC569" s="153">
        <v>12</v>
      </c>
      <c r="AF569" s="153" t="str">
        <f ca="1" t="shared" si="97"/>
        <v>10190011|</v>
      </c>
      <c r="AJ569" s="205" t="str">
        <f ca="1" t="shared" si="94"/>
        <v>400023|30900|;</v>
      </c>
      <c r="AK569" s="205">
        <f ca="1">OFFSET([1]item_type!$A$1,MATCH(Q569,[1]item_type!$G:$G,0)-1,0)</f>
        <v>301019</v>
      </c>
      <c r="AL569" s="205"/>
      <c r="AM569" s="205">
        <f ca="1">IF(B569=B570,OFFSET(卡牌辅助配置表!$AE$1,MATCH(AB569,卡牌辅助配置表!AB:AB,0),0),0)</f>
        <v>30900</v>
      </c>
      <c r="AN569" s="153">
        <f ca="1" t="shared" si="95"/>
        <v>1019025</v>
      </c>
      <c r="AP569" s="153">
        <f ca="1">IF(AC569=0,0,IF(AC569=12,0,OFFSET(effect!$N$1,MATCH(K569,effect!M:M,0)-1,0)))</f>
        <v>0</v>
      </c>
    </row>
    <row r="570" spans="1:42">
      <c r="A570" s="153">
        <f ca="1" t="shared" si="88"/>
        <v>1019025</v>
      </c>
      <c r="B570" s="91" t="s">
        <v>522</v>
      </c>
      <c r="C570" s="186">
        <v>1</v>
      </c>
      <c r="D570" s="186">
        <v>5</v>
      </c>
      <c r="E570" s="165" t="s">
        <v>1050</v>
      </c>
      <c r="F570" s="165" t="str">
        <f>"额外造成当前护甲"&amp;skill!$O$53%&amp;"%的伤害"</f>
        <v>额外造成当前护甲150%的伤害</v>
      </c>
      <c r="G570" s="186">
        <f ca="1">OFFSET(卡牌辅助配置表!$C$1,MATCH(AC570,卡牌辅助配置表!A:A,0)-1,0)</f>
        <v>0</v>
      </c>
      <c r="H570" s="186">
        <v>6</v>
      </c>
      <c r="I570" s="186"/>
      <c r="J570" s="186">
        <f ca="1">OFFSET(card_type!$F$1,MATCH(Q570,card_type!A:A,0)-1,0)</f>
        <v>2</v>
      </c>
      <c r="K570" s="243">
        <f ca="1">OFFSET(card_type!$G$1,MATCH(Q570,card_type!A:A,0)-1,0)</f>
        <v>4</v>
      </c>
      <c r="L570" s="157">
        <v>2</v>
      </c>
      <c r="M570" s="157">
        <v>2</v>
      </c>
      <c r="N570" s="153">
        <f t="shared" si="89"/>
        <v>25</v>
      </c>
      <c r="O570" s="157"/>
      <c r="P570" s="157"/>
      <c r="Q570" s="153">
        <f ca="1">OFFSET(card_type!$A$1,MATCH(card!B570,card_type!B:B,0)-1,0)</f>
        <v>1019</v>
      </c>
      <c r="R570" s="153">
        <v>1</v>
      </c>
      <c r="S570" s="157">
        <f ca="1">ROUND(IF(R570=0,0,IF(R570=1,X570*$S$1,IF(R570=2,X570*$S$1*buff的资质计算!$E$2,IF(R570=3,X570*$S$1*buff的资质计算!$E$3,0)))),0)*0</f>
        <v>0</v>
      </c>
      <c r="T570" s="153">
        <v>1</v>
      </c>
      <c r="U570" s="153">
        <f ca="1" t="shared" si="90"/>
        <v>24</v>
      </c>
      <c r="V570" s="153">
        <f ca="1">ROUND((OFFSET(卡牌辅助配置表!$O$1,MATCH(U570,卡牌辅助配置表!M:M,0)-1,0)+(N570-1)*OFFSET(卡牌辅助配置表!$P$1,MATCH(U570,卡牌辅助配置表!M:M,0)-1,0))*M570,2)</f>
        <v>131.04</v>
      </c>
      <c r="W570" s="157">
        <f ca="1">ROUND(IF(R570=0,0,IF(R570=1,X570*$W$1,IF(R570=2,X570*$W$1*buff的资质计算!$E$2,IF(R570=3,X570*$W$1*buff的资质计算!$E$3,0)))),2)</f>
        <v>16.8</v>
      </c>
      <c r="X570" s="157">
        <f ca="1" t="shared" si="91"/>
        <v>56</v>
      </c>
      <c r="Y570" s="157">
        <f ca="1" t="shared" si="96"/>
        <v>62</v>
      </c>
      <c r="Z570" s="304">
        <f ca="1" t="shared" si="92"/>
        <v>31</v>
      </c>
      <c r="AA570" s="304">
        <f ca="1">OFFSET(卡牌辅助配置表!$AD$1,MATCH(AB570,卡牌辅助配置表!AB:AB,0)-1,0)</f>
        <v>12335</v>
      </c>
      <c r="AB570" s="304">
        <f ca="1" t="shared" si="93"/>
        <v>2425</v>
      </c>
      <c r="AC570" s="153">
        <v>12</v>
      </c>
      <c r="AF570" s="153" t="str">
        <f ca="1" t="shared" si="97"/>
        <v>10190011|</v>
      </c>
      <c r="AJ570" s="205" t="str">
        <f ca="1" t="shared" si="94"/>
        <v>400023|33300|;</v>
      </c>
      <c r="AK570" s="205">
        <f ca="1">OFFSET([1]item_type!$A$1,MATCH(Q570,[1]item_type!$G:$G,0)-1,0)</f>
        <v>301019</v>
      </c>
      <c r="AL570" s="205"/>
      <c r="AM570" s="205">
        <f ca="1">IF(B570=B571,OFFSET(卡牌辅助配置表!$AE$1,MATCH(AB570,卡牌辅助配置表!AB:AB,0),0),0)</f>
        <v>33300</v>
      </c>
      <c r="AN570" s="153">
        <f ca="1" t="shared" si="95"/>
        <v>1019026</v>
      </c>
      <c r="AP570" s="153">
        <f ca="1">IF(AC570=0,0,IF(AC570=12,0,OFFSET(effect!$N$1,MATCH(K570,effect!M:M,0)-1,0)))</f>
        <v>0</v>
      </c>
    </row>
    <row r="571" spans="1:42">
      <c r="A571" s="153">
        <f ca="1" t="shared" si="88"/>
        <v>1019026</v>
      </c>
      <c r="B571" s="91" t="s">
        <v>522</v>
      </c>
      <c r="C571" s="186">
        <v>1</v>
      </c>
      <c r="D571" s="186">
        <v>5</v>
      </c>
      <c r="E571" s="165" t="s">
        <v>1050</v>
      </c>
      <c r="F571" s="165" t="str">
        <f>"额外造成当前护甲"&amp;skill!$O$53%&amp;"%的伤害"</f>
        <v>额外造成当前护甲150%的伤害</v>
      </c>
      <c r="G571" s="186">
        <f ca="1">OFFSET(卡牌辅助配置表!$C$1,MATCH(AC571,卡牌辅助配置表!A:A,0)-1,0)</f>
        <v>0</v>
      </c>
      <c r="H571" s="186">
        <v>6</v>
      </c>
      <c r="I571" s="186"/>
      <c r="J571" s="186">
        <f ca="1">OFFSET(card_type!$F$1,MATCH(Q571,card_type!A:A,0)-1,0)</f>
        <v>2</v>
      </c>
      <c r="K571" s="243">
        <f ca="1">OFFSET(card_type!$G$1,MATCH(Q571,card_type!A:A,0)-1,0)</f>
        <v>4</v>
      </c>
      <c r="L571" s="157">
        <v>2</v>
      </c>
      <c r="M571" s="157">
        <v>2</v>
      </c>
      <c r="N571" s="153">
        <f t="shared" si="89"/>
        <v>26</v>
      </c>
      <c r="O571" s="157"/>
      <c r="P571" s="157"/>
      <c r="Q571" s="153">
        <f ca="1">OFFSET(card_type!$A$1,MATCH(card!B571,card_type!B:B,0)-1,0)</f>
        <v>1019</v>
      </c>
      <c r="R571" s="153">
        <v>1</v>
      </c>
      <c r="S571" s="157">
        <f ca="1">ROUND(IF(R571=0,0,IF(R571=1,X571*$S$1,IF(R571=2,X571*$S$1*buff的资质计算!$E$2,IF(R571=3,X571*$S$1*buff的资质计算!$E$3,0)))),0)*0</f>
        <v>0</v>
      </c>
      <c r="T571" s="153">
        <v>1</v>
      </c>
      <c r="U571" s="153">
        <f ca="1" t="shared" si="90"/>
        <v>24</v>
      </c>
      <c r="V571" s="153">
        <f ca="1">ROUND((OFFSET(卡牌辅助配置表!$O$1,MATCH(U571,卡牌辅助配置表!M:M,0)-1,0)+(N571-1)*OFFSET(卡牌辅助配置表!$P$1,MATCH(U571,卡牌辅助配置表!M:M,0)-1,0))*M571,2)</f>
        <v>134.4</v>
      </c>
      <c r="W571" s="157">
        <f ca="1">ROUND(IF(R571=0,0,IF(R571=1,X571*$W$1,IF(R571=2,X571*$W$1*buff的资质计算!$E$2,IF(R571=3,X571*$W$1*buff的资质计算!$E$3,0)))),2)</f>
        <v>16.95</v>
      </c>
      <c r="X571" s="157">
        <f ca="1" t="shared" si="91"/>
        <v>56.5</v>
      </c>
      <c r="Y571" s="157">
        <f ca="1" t="shared" si="96"/>
        <v>62.5</v>
      </c>
      <c r="Z571" s="304">
        <f ca="1" t="shared" si="92"/>
        <v>31.25</v>
      </c>
      <c r="AA571" s="304">
        <f ca="1">OFFSET(卡牌辅助配置表!$AD$1,MATCH(AB571,卡牌辅助配置表!AB:AB,0)-1,0)</f>
        <v>13040</v>
      </c>
      <c r="AB571" s="304">
        <f ca="1" t="shared" si="93"/>
        <v>2426</v>
      </c>
      <c r="AC571" s="153">
        <v>12</v>
      </c>
      <c r="AF571" s="153" t="str">
        <f ca="1" t="shared" si="97"/>
        <v>10190011|</v>
      </c>
      <c r="AJ571" s="205" t="str">
        <f ca="1" t="shared" si="94"/>
        <v>400023|35700|;</v>
      </c>
      <c r="AK571" s="205">
        <f ca="1">OFFSET([1]item_type!$A$1,MATCH(Q571,[1]item_type!$G:$G,0)-1,0)</f>
        <v>301019</v>
      </c>
      <c r="AL571" s="205"/>
      <c r="AM571" s="205">
        <f ca="1">IF(B571=B572,OFFSET(卡牌辅助配置表!$AE$1,MATCH(AB571,卡牌辅助配置表!AB:AB,0),0),0)</f>
        <v>35700</v>
      </c>
      <c r="AN571" s="153">
        <f ca="1" t="shared" si="95"/>
        <v>1019027</v>
      </c>
      <c r="AP571" s="153">
        <f ca="1">IF(AC571=0,0,IF(AC571=12,0,OFFSET(effect!$N$1,MATCH(K571,effect!M:M,0)-1,0)))</f>
        <v>0</v>
      </c>
    </row>
    <row r="572" spans="1:42">
      <c r="A572" s="153">
        <f ca="1" t="shared" si="88"/>
        <v>1019027</v>
      </c>
      <c r="B572" s="91" t="s">
        <v>522</v>
      </c>
      <c r="C572" s="186">
        <v>1</v>
      </c>
      <c r="D572" s="186">
        <v>5</v>
      </c>
      <c r="E572" s="165" t="s">
        <v>1050</v>
      </c>
      <c r="F572" s="165" t="str">
        <f>"额外造成当前护甲"&amp;skill!$O$53%&amp;"%的伤害"</f>
        <v>额外造成当前护甲150%的伤害</v>
      </c>
      <c r="G572" s="186">
        <f ca="1">OFFSET(卡牌辅助配置表!$C$1,MATCH(AC572,卡牌辅助配置表!A:A,0)-1,0)</f>
        <v>0</v>
      </c>
      <c r="H572" s="186">
        <v>6</v>
      </c>
      <c r="I572" s="186"/>
      <c r="J572" s="186">
        <f ca="1">OFFSET(card_type!$F$1,MATCH(Q572,card_type!A:A,0)-1,0)</f>
        <v>2</v>
      </c>
      <c r="K572" s="243">
        <f ca="1">OFFSET(card_type!$G$1,MATCH(Q572,card_type!A:A,0)-1,0)</f>
        <v>4</v>
      </c>
      <c r="L572" s="157">
        <v>2</v>
      </c>
      <c r="M572" s="157">
        <v>2</v>
      </c>
      <c r="N572" s="153">
        <f t="shared" si="89"/>
        <v>27</v>
      </c>
      <c r="O572" s="157"/>
      <c r="P572" s="157"/>
      <c r="Q572" s="153">
        <f ca="1">OFFSET(card_type!$A$1,MATCH(card!B572,card_type!B:B,0)-1,0)</f>
        <v>1019</v>
      </c>
      <c r="R572" s="153">
        <v>1</v>
      </c>
      <c r="S572" s="157">
        <f ca="1">ROUND(IF(R572=0,0,IF(R572=1,X572*$S$1,IF(R572=2,X572*$S$1*buff的资质计算!$E$2,IF(R572=3,X572*$S$1*buff的资质计算!$E$3,0)))),0)*0</f>
        <v>0</v>
      </c>
      <c r="T572" s="153">
        <v>1</v>
      </c>
      <c r="U572" s="153">
        <f ca="1" t="shared" si="90"/>
        <v>24</v>
      </c>
      <c r="V572" s="153">
        <f ca="1">ROUND((OFFSET(卡牌辅助配置表!$O$1,MATCH(U572,卡牌辅助配置表!M:M,0)-1,0)+(N572-1)*OFFSET(卡牌辅助配置表!$P$1,MATCH(U572,卡牌辅助配置表!M:M,0)-1,0))*M572,2)</f>
        <v>137.76</v>
      </c>
      <c r="W572" s="157">
        <f ca="1">ROUND(IF(R572=0,0,IF(R572=1,X572*$W$1,IF(R572=2,X572*$W$1*buff的资质计算!$E$2,IF(R572=3,X572*$W$1*buff的资质计算!$E$3,0)))),2)</f>
        <v>17.1</v>
      </c>
      <c r="X572" s="157">
        <f ca="1" t="shared" si="91"/>
        <v>57</v>
      </c>
      <c r="Y572" s="157">
        <f ca="1" t="shared" si="96"/>
        <v>63</v>
      </c>
      <c r="Z572" s="304">
        <f ca="1" t="shared" si="92"/>
        <v>31.5</v>
      </c>
      <c r="AA572" s="304">
        <f ca="1">OFFSET(卡牌辅助配置表!$AD$1,MATCH(AB572,卡牌辅助配置表!AB:AB,0)-1,0)</f>
        <v>13745</v>
      </c>
      <c r="AB572" s="304">
        <f ca="1" t="shared" si="93"/>
        <v>2427</v>
      </c>
      <c r="AC572" s="153">
        <v>12</v>
      </c>
      <c r="AF572" s="153" t="str">
        <f ca="1" t="shared" si="97"/>
        <v>10190011|</v>
      </c>
      <c r="AJ572" s="205" t="str">
        <f ca="1" t="shared" si="94"/>
        <v>400023|38100|;</v>
      </c>
      <c r="AK572" s="205">
        <f ca="1">OFFSET([1]item_type!$A$1,MATCH(Q572,[1]item_type!$G:$G,0)-1,0)</f>
        <v>301019</v>
      </c>
      <c r="AL572" s="205"/>
      <c r="AM572" s="205">
        <f ca="1">IF(B572=B573,OFFSET(卡牌辅助配置表!$AE$1,MATCH(AB572,卡牌辅助配置表!AB:AB,0),0),0)</f>
        <v>38100</v>
      </c>
      <c r="AN572" s="153">
        <f ca="1" t="shared" si="95"/>
        <v>1019028</v>
      </c>
      <c r="AP572" s="153">
        <f ca="1">IF(AC572=0,0,IF(AC572=12,0,OFFSET(effect!$N$1,MATCH(K572,effect!M:M,0)-1,0)))</f>
        <v>0</v>
      </c>
    </row>
    <row r="573" spans="1:42">
      <c r="A573" s="153">
        <f ca="1" t="shared" si="88"/>
        <v>1019028</v>
      </c>
      <c r="B573" s="91" t="s">
        <v>522</v>
      </c>
      <c r="C573" s="186">
        <v>1</v>
      </c>
      <c r="D573" s="186">
        <v>5</v>
      </c>
      <c r="E573" s="165" t="s">
        <v>1050</v>
      </c>
      <c r="F573" s="165" t="str">
        <f>"额外造成当前护甲"&amp;skill!$O$53%&amp;"%的伤害"</f>
        <v>额外造成当前护甲150%的伤害</v>
      </c>
      <c r="G573" s="186">
        <f ca="1">OFFSET(卡牌辅助配置表!$C$1,MATCH(AC573,卡牌辅助配置表!A:A,0)-1,0)</f>
        <v>0</v>
      </c>
      <c r="H573" s="186">
        <v>6</v>
      </c>
      <c r="I573" s="186"/>
      <c r="J573" s="186">
        <f ca="1">OFFSET(card_type!$F$1,MATCH(Q573,card_type!A:A,0)-1,0)</f>
        <v>2</v>
      </c>
      <c r="K573" s="243">
        <f ca="1">OFFSET(card_type!$G$1,MATCH(Q573,card_type!A:A,0)-1,0)</f>
        <v>4</v>
      </c>
      <c r="L573" s="157">
        <v>2</v>
      </c>
      <c r="M573" s="157">
        <v>2</v>
      </c>
      <c r="N573" s="153">
        <f t="shared" si="89"/>
        <v>28</v>
      </c>
      <c r="O573" s="157"/>
      <c r="P573" s="157"/>
      <c r="Q573" s="153">
        <f ca="1">OFFSET(card_type!$A$1,MATCH(card!B573,card_type!B:B,0)-1,0)</f>
        <v>1019</v>
      </c>
      <c r="R573" s="153">
        <v>1</v>
      </c>
      <c r="S573" s="157">
        <f ca="1">ROUND(IF(R573=0,0,IF(R573=1,X573*$S$1,IF(R573=2,X573*$S$1*buff的资质计算!$E$2,IF(R573=3,X573*$S$1*buff的资质计算!$E$3,0)))),0)*0</f>
        <v>0</v>
      </c>
      <c r="T573" s="153">
        <v>1</v>
      </c>
      <c r="U573" s="153">
        <f ca="1" t="shared" si="90"/>
        <v>24</v>
      </c>
      <c r="V573" s="153">
        <f ca="1">ROUND((OFFSET(卡牌辅助配置表!$O$1,MATCH(U573,卡牌辅助配置表!M:M,0)-1,0)+(N573-1)*OFFSET(卡牌辅助配置表!$P$1,MATCH(U573,卡牌辅助配置表!M:M,0)-1,0))*M573,2)</f>
        <v>141.12</v>
      </c>
      <c r="W573" s="157">
        <f ca="1">ROUND(IF(R573=0,0,IF(R573=1,X573*$W$1,IF(R573=2,X573*$W$1*buff的资质计算!$E$2,IF(R573=3,X573*$W$1*buff的资质计算!$E$3,0)))),2)</f>
        <v>17.25</v>
      </c>
      <c r="X573" s="157">
        <f ca="1" t="shared" si="91"/>
        <v>57.5</v>
      </c>
      <c r="Y573" s="157">
        <f ca="1" t="shared" si="96"/>
        <v>63.5</v>
      </c>
      <c r="Z573" s="304">
        <f ca="1" t="shared" si="92"/>
        <v>31.75</v>
      </c>
      <c r="AA573" s="304">
        <f ca="1">OFFSET(卡牌辅助配置表!$AD$1,MATCH(AB573,卡牌辅助配置表!AB:AB,0)-1,0)</f>
        <v>14450</v>
      </c>
      <c r="AB573" s="304">
        <f ca="1" t="shared" si="93"/>
        <v>2428</v>
      </c>
      <c r="AC573" s="153">
        <v>12</v>
      </c>
      <c r="AF573" s="153" t="str">
        <f ca="1" t="shared" si="97"/>
        <v>10190011|</v>
      </c>
      <c r="AJ573" s="205" t="str">
        <f ca="1" t="shared" si="94"/>
        <v>400023|40500|;</v>
      </c>
      <c r="AK573" s="205">
        <f ca="1">OFFSET([1]item_type!$A$1,MATCH(Q573,[1]item_type!$G:$G,0)-1,0)</f>
        <v>301019</v>
      </c>
      <c r="AL573" s="205"/>
      <c r="AM573" s="205">
        <f ca="1">IF(B573=B574,OFFSET(卡牌辅助配置表!$AE$1,MATCH(AB573,卡牌辅助配置表!AB:AB,0),0),0)</f>
        <v>40500</v>
      </c>
      <c r="AN573" s="153">
        <f ca="1" t="shared" si="95"/>
        <v>1019029</v>
      </c>
      <c r="AP573" s="153">
        <f ca="1">IF(AC573=0,0,IF(AC573=12,0,OFFSET(effect!$N$1,MATCH(K573,effect!M:M,0)-1,0)))</f>
        <v>0</v>
      </c>
    </row>
    <row r="574" spans="1:42">
      <c r="A574" s="153">
        <f ca="1" t="shared" si="88"/>
        <v>1019029</v>
      </c>
      <c r="B574" s="91" t="s">
        <v>522</v>
      </c>
      <c r="C574" s="186">
        <v>1</v>
      </c>
      <c r="D574" s="186">
        <v>5</v>
      </c>
      <c r="E574" s="165" t="s">
        <v>1050</v>
      </c>
      <c r="F574" s="165" t="str">
        <f>"额外造成当前护甲"&amp;skill!$O$53%&amp;"%的伤害"</f>
        <v>额外造成当前护甲150%的伤害</v>
      </c>
      <c r="G574" s="186">
        <f ca="1">OFFSET(卡牌辅助配置表!$C$1,MATCH(AC574,卡牌辅助配置表!A:A,0)-1,0)</f>
        <v>0</v>
      </c>
      <c r="H574" s="186">
        <v>6</v>
      </c>
      <c r="I574" s="186"/>
      <c r="J574" s="186">
        <f ca="1">OFFSET(card_type!$F$1,MATCH(Q574,card_type!A:A,0)-1,0)</f>
        <v>2</v>
      </c>
      <c r="K574" s="243">
        <f ca="1">OFFSET(card_type!$G$1,MATCH(Q574,card_type!A:A,0)-1,0)</f>
        <v>4</v>
      </c>
      <c r="L574" s="157">
        <v>2</v>
      </c>
      <c r="M574" s="157">
        <v>2</v>
      </c>
      <c r="N574" s="153">
        <f t="shared" si="89"/>
        <v>29</v>
      </c>
      <c r="O574" s="157"/>
      <c r="P574" s="157"/>
      <c r="Q574" s="153">
        <f ca="1">OFFSET(card_type!$A$1,MATCH(card!B574,card_type!B:B,0)-1,0)</f>
        <v>1019</v>
      </c>
      <c r="R574" s="153">
        <v>1</v>
      </c>
      <c r="S574" s="157">
        <f ca="1">ROUND(IF(R574=0,0,IF(R574=1,X574*$S$1,IF(R574=2,X574*$S$1*buff的资质计算!$E$2,IF(R574=3,X574*$S$1*buff的资质计算!$E$3,0)))),0)*0</f>
        <v>0</v>
      </c>
      <c r="T574" s="153">
        <v>1</v>
      </c>
      <c r="U574" s="153">
        <f ca="1" t="shared" si="90"/>
        <v>24</v>
      </c>
      <c r="V574" s="153">
        <f ca="1">ROUND((OFFSET(卡牌辅助配置表!$O$1,MATCH(U574,卡牌辅助配置表!M:M,0)-1,0)+(N574-1)*OFFSET(卡牌辅助配置表!$P$1,MATCH(U574,卡牌辅助配置表!M:M,0)-1,0))*M574,2)</f>
        <v>144.48</v>
      </c>
      <c r="W574" s="157">
        <f ca="1">ROUND(IF(R574=0,0,IF(R574=1,X574*$W$1,IF(R574=2,X574*$W$1*buff的资质计算!$E$2,IF(R574=3,X574*$W$1*buff的资质计算!$E$3,0)))),2)</f>
        <v>17.4</v>
      </c>
      <c r="X574" s="157">
        <f ca="1" t="shared" si="91"/>
        <v>58</v>
      </c>
      <c r="Y574" s="157">
        <f ca="1" t="shared" si="96"/>
        <v>64</v>
      </c>
      <c r="Z574" s="304">
        <f ca="1" t="shared" si="92"/>
        <v>32</v>
      </c>
      <c r="AA574" s="304">
        <f ca="1">OFFSET(卡牌辅助配置表!$AD$1,MATCH(AB574,卡牌辅助配置表!AB:AB,0)-1,0)</f>
        <v>15155</v>
      </c>
      <c r="AB574" s="304">
        <f ca="1" t="shared" si="93"/>
        <v>2429</v>
      </c>
      <c r="AC574" s="153">
        <v>12</v>
      </c>
      <c r="AF574" s="153" t="str">
        <f ca="1" t="shared" si="97"/>
        <v>10190011|</v>
      </c>
      <c r="AJ574" s="205" t="str">
        <f ca="1" t="shared" si="94"/>
        <v>301019|30|;400023|42900|;</v>
      </c>
      <c r="AK574" s="205">
        <f ca="1">OFFSET([1]item_type!$A$1,MATCH(Q574,[1]item_type!$G:$G,0)-1,0)</f>
        <v>301019</v>
      </c>
      <c r="AL574" s="205">
        <v>30</v>
      </c>
      <c r="AM574" s="205">
        <f ca="1">IF(B574=B575,OFFSET(卡牌辅助配置表!$AE$1,MATCH(AB574,卡牌辅助配置表!AB:AB,0),0),0)</f>
        <v>42900</v>
      </c>
      <c r="AN574" s="153">
        <f ca="1" t="shared" si="95"/>
        <v>1019030</v>
      </c>
      <c r="AP574" s="153">
        <f ca="1">IF(AC574=0,0,IF(AC574=12,0,OFFSET(effect!$N$1,MATCH(K574,effect!M:M,0)-1,0)))</f>
        <v>0</v>
      </c>
    </row>
    <row r="575" spans="1:42">
      <c r="A575" s="153">
        <f ca="1" t="shared" si="88"/>
        <v>1019030</v>
      </c>
      <c r="B575" s="91" t="s">
        <v>522</v>
      </c>
      <c r="C575" s="186">
        <v>1</v>
      </c>
      <c r="D575" s="186">
        <v>5</v>
      </c>
      <c r="E575" s="165" t="s">
        <v>1050</v>
      </c>
      <c r="F575" s="165" t="str">
        <f>"额外造成当前护甲"&amp;skill!$O$53%&amp;"%的伤害"</f>
        <v>额外造成当前护甲150%的伤害</v>
      </c>
      <c r="G575" s="186">
        <f ca="1">OFFSET(卡牌辅助配置表!$C$1,MATCH(AC575,卡牌辅助配置表!A:A,0)-1,0)</f>
        <v>0</v>
      </c>
      <c r="H575" s="186">
        <v>6</v>
      </c>
      <c r="I575" s="186"/>
      <c r="J575" s="186">
        <f ca="1">OFFSET(card_type!$F$1,MATCH(Q575,card_type!A:A,0)-1,0)</f>
        <v>2</v>
      </c>
      <c r="K575" s="243">
        <f ca="1">OFFSET(card_type!$G$1,MATCH(Q575,card_type!A:A,0)-1,0)</f>
        <v>4</v>
      </c>
      <c r="L575" s="157">
        <v>2</v>
      </c>
      <c r="M575" s="157">
        <v>2</v>
      </c>
      <c r="N575" s="153">
        <f t="shared" si="89"/>
        <v>30</v>
      </c>
      <c r="O575" s="157"/>
      <c r="P575" s="157"/>
      <c r="Q575" s="153">
        <f ca="1">OFFSET(card_type!$A$1,MATCH(card!B575,card_type!B:B,0)-1,0)</f>
        <v>1019</v>
      </c>
      <c r="R575" s="153">
        <v>1</v>
      </c>
      <c r="S575" s="157">
        <f ca="1">ROUND(IF(R575=0,0,IF(R575=1,X575*$S$1,IF(R575=2,X575*$S$1*buff的资质计算!$E$2,IF(R575=3,X575*$S$1*buff的资质计算!$E$3,0)))),0)*0</f>
        <v>0</v>
      </c>
      <c r="T575" s="153">
        <v>1</v>
      </c>
      <c r="U575" s="153">
        <f ca="1" t="shared" si="90"/>
        <v>24</v>
      </c>
      <c r="V575" s="153">
        <f ca="1">ROUND((OFFSET(卡牌辅助配置表!$O$1,MATCH(U575,卡牌辅助配置表!M:M,0)-1,0)+(N575-1)*OFFSET(卡牌辅助配置表!$P$1,MATCH(U575,卡牌辅助配置表!M:M,0)-1,0))*M575,2)</f>
        <v>147.84</v>
      </c>
      <c r="W575" s="157">
        <f ca="1">ROUND(IF(R575=0,0,IF(R575=1,X575*$W$1,IF(R575=2,X575*$W$1*buff的资质计算!$E$2,IF(R575=3,X575*$W$1*buff的资质计算!$E$3,0)))),2)</f>
        <v>17.55</v>
      </c>
      <c r="X575" s="157">
        <f ca="1" t="shared" si="91"/>
        <v>58.5</v>
      </c>
      <c r="Y575" s="157">
        <f ca="1" t="shared" si="96"/>
        <v>64.5</v>
      </c>
      <c r="Z575" s="304">
        <f ca="1" t="shared" si="92"/>
        <v>32.25</v>
      </c>
      <c r="AA575" s="304">
        <f ca="1">OFFSET(卡牌辅助配置表!$AD$1,MATCH(AB575,卡牌辅助配置表!AB:AB,0)-1,0)</f>
        <v>15860</v>
      </c>
      <c r="AB575" s="304">
        <f ca="1" t="shared" si="93"/>
        <v>2430</v>
      </c>
      <c r="AC575" s="153">
        <v>12</v>
      </c>
      <c r="AF575" s="153" t="str">
        <f ca="1" t="shared" si="97"/>
        <v>10190011|</v>
      </c>
      <c r="AJ575" s="205">
        <f ca="1" t="shared" si="94"/>
        <v>0</v>
      </c>
      <c r="AK575" s="205">
        <f ca="1">OFFSET([1]item_type!$A$1,MATCH(Q575,[1]item_type!$G:$G,0)-1,0)</f>
        <v>301019</v>
      </c>
      <c r="AL575" s="205"/>
      <c r="AM575" s="205">
        <f ca="1">IF(B575=B576,OFFSET(卡牌辅助配置表!$AE$1,MATCH(AB575,卡牌辅助配置表!AB:AB,0),0),0)</f>
        <v>0</v>
      </c>
      <c r="AN575" s="153">
        <f ca="1" t="shared" si="95"/>
        <v>0</v>
      </c>
      <c r="AP575" s="153">
        <f ca="1">IF(AC575=0,0,IF(AC575=12,0,OFFSET(effect!$N$1,MATCH(K575,effect!M:M,0)-1,0)))</f>
        <v>0</v>
      </c>
    </row>
    <row r="576" spans="1:42">
      <c r="A576" s="153">
        <f ca="1" t="shared" si="88"/>
        <v>1020001</v>
      </c>
      <c r="B576" s="91" t="s">
        <v>461</v>
      </c>
      <c r="C576" s="186">
        <v>1</v>
      </c>
      <c r="D576" s="186">
        <v>4</v>
      </c>
      <c r="E576" s="165" t="s">
        <v>1050</v>
      </c>
      <c r="F576" s="165" t="str">
        <f>"血量低于50%时，获得"&amp;skill!$O$54/100&amp;"%吸血效果"</f>
        <v>血量低于50%时，获得80%吸血效果</v>
      </c>
      <c r="G576" s="186">
        <f ca="1">OFFSET(卡牌辅助配置表!$C$1,MATCH(AC576,卡牌辅助配置表!A:A,0)-1,0)</f>
        <v>6</v>
      </c>
      <c r="H576" s="186">
        <f ca="1">OFFSET(skill!$Q$1,MATCH(B576,skill!B:B,0)-1,0)</f>
        <v>0.888888888888889</v>
      </c>
      <c r="I576" s="186"/>
      <c r="J576" s="186">
        <f ca="1">OFFSET(card_type!$F$1,MATCH(Q576,card_type!A:A,0)-1,0)</f>
        <v>3</v>
      </c>
      <c r="K576" s="243">
        <f ca="1">OFFSET(card_type!$G$1,MATCH(Q576,card_type!A:A,0)-1,0)</f>
        <v>4</v>
      </c>
      <c r="L576" s="157">
        <v>2</v>
      </c>
      <c r="M576" s="157">
        <v>2</v>
      </c>
      <c r="N576" s="153">
        <f t="shared" si="89"/>
        <v>1</v>
      </c>
      <c r="O576" s="157"/>
      <c r="P576" s="157"/>
      <c r="Q576" s="153">
        <f ca="1">OFFSET(card_type!$A$1,MATCH(card!B576,card_type!B:B,0)-1,0)</f>
        <v>1020</v>
      </c>
      <c r="R576" s="153">
        <v>1</v>
      </c>
      <c r="S576" s="157">
        <f ca="1">ROUND(IF(R576=0,0,IF(R576=1,X576*$S$1,IF(R576=2,X576*$S$1*buff的资质计算!$E$2,IF(R576=3,X576*$S$1*buff的资质计算!$E$3,0)))),0)*0</f>
        <v>0</v>
      </c>
      <c r="T576" s="153">
        <v>1</v>
      </c>
      <c r="U576" s="153">
        <f ca="1" t="shared" si="90"/>
        <v>34</v>
      </c>
      <c r="V576" s="153">
        <f ca="1">ROUND((OFFSET(卡牌辅助配置表!$O$1,MATCH(U576,卡牌辅助配置表!M:M,0)-1,0)+(N576-1)*OFFSET(卡牌辅助配置表!$P$1,MATCH(U576,卡牌辅助配置表!M:M,0)-1,0))*M576,2)</f>
        <v>68.9</v>
      </c>
      <c r="W576" s="157">
        <f ca="1">ROUND(IF(R576=0,0,IF(R576=1,X576*$W$1,IF(R576=2,X576*$W$1*buff的资质计算!$E$2,IF(R576=3,X576*$W$1*buff的资质计算!$E$3,0)))),2)</f>
        <v>18</v>
      </c>
      <c r="X576" s="157">
        <f ca="1" t="shared" si="91"/>
        <v>60</v>
      </c>
      <c r="Y576" s="157">
        <f ca="1" t="shared" si="96"/>
        <v>60.8888888888889</v>
      </c>
      <c r="Z576" s="304">
        <f ca="1" t="shared" si="92"/>
        <v>30.4444444444444</v>
      </c>
      <c r="AA576" s="304">
        <f ca="1">OFFSET(卡牌辅助配置表!$AD$1,MATCH(AB576,卡牌辅助配置表!AB:AB,0)-1,0)</f>
        <v>830</v>
      </c>
      <c r="AB576" s="304">
        <f ca="1" t="shared" si="93"/>
        <v>3401</v>
      </c>
      <c r="AC576" s="153">
        <v>11</v>
      </c>
      <c r="AE576" s="153">
        <v>5000</v>
      </c>
      <c r="AF576" s="153" t="str">
        <f ca="1" t="shared" si="97"/>
        <v>10200011|</v>
      </c>
      <c r="AH576" s="153">
        <v>2</v>
      </c>
      <c r="AJ576" s="205" t="str">
        <f ca="1" t="shared" si="94"/>
        <v>400023|2100|;</v>
      </c>
      <c r="AK576" s="205">
        <f ca="1">OFFSET([1]item_type!$A$1,MATCH(Q576,[1]item_type!$G:$G,0)-1,0)</f>
        <v>301020</v>
      </c>
      <c r="AL576" s="205"/>
      <c r="AM576" s="205">
        <f ca="1">IF(B576=B577,OFFSET(卡牌辅助配置表!$AE$1,MATCH(AB576,卡牌辅助配置表!AB:AB,0),0),0)</f>
        <v>2100</v>
      </c>
      <c r="AN576" s="153">
        <f ca="1" t="shared" si="95"/>
        <v>1020002</v>
      </c>
      <c r="AP576" s="153" t="str">
        <f ca="1">IF(AC576=0,0,IF(AC576=12,0,OFFSET(effect!$N$1,MATCH(K576,effect!M:M,0)-1,0)))</f>
        <v>kpsx_huangse</v>
      </c>
    </row>
    <row r="577" spans="1:42">
      <c r="A577" s="153">
        <f ca="1" t="shared" si="88"/>
        <v>1020002</v>
      </c>
      <c r="B577" s="91" t="s">
        <v>461</v>
      </c>
      <c r="C577" s="186">
        <v>1</v>
      </c>
      <c r="D577" s="186">
        <v>4</v>
      </c>
      <c r="E577" s="165" t="s">
        <v>1050</v>
      </c>
      <c r="F577" s="165" t="str">
        <f>"血量低于50%时，获得"&amp;skill!$O$54/100&amp;"%吸血效果"</f>
        <v>血量低于50%时，获得80%吸血效果</v>
      </c>
      <c r="G577" s="186">
        <f ca="1">OFFSET(卡牌辅助配置表!$C$1,MATCH(AC577,卡牌辅助配置表!A:A,0)-1,0)</f>
        <v>6</v>
      </c>
      <c r="H577" s="186">
        <f ca="1">OFFSET(skill!$Q$1,MATCH(B577,skill!B:B,0)-1,0)</f>
        <v>0.888888888888889</v>
      </c>
      <c r="I577" s="186"/>
      <c r="J577" s="186">
        <f ca="1">OFFSET(card_type!$F$1,MATCH(Q577,card_type!A:A,0)-1,0)</f>
        <v>3</v>
      </c>
      <c r="K577" s="243">
        <f ca="1">OFFSET(card_type!$G$1,MATCH(Q577,card_type!A:A,0)-1,0)</f>
        <v>4</v>
      </c>
      <c r="L577" s="157">
        <v>2</v>
      </c>
      <c r="M577" s="157">
        <v>2</v>
      </c>
      <c r="N577" s="153">
        <f t="shared" si="89"/>
        <v>2</v>
      </c>
      <c r="O577" s="157"/>
      <c r="P577" s="157"/>
      <c r="Q577" s="153">
        <f ca="1">OFFSET(card_type!$A$1,MATCH(card!B577,card_type!B:B,0)-1,0)</f>
        <v>1020</v>
      </c>
      <c r="R577" s="153">
        <v>1</v>
      </c>
      <c r="S577" s="157">
        <f ca="1">ROUND(IF(R577=0,0,IF(R577=1,X577*$S$1,IF(R577=2,X577*$S$1*buff的资质计算!$E$2,IF(R577=3,X577*$S$1*buff的资质计算!$E$3,0)))),0)*0</f>
        <v>0</v>
      </c>
      <c r="T577" s="153">
        <v>1</v>
      </c>
      <c r="U577" s="153">
        <f ca="1" t="shared" si="90"/>
        <v>34</v>
      </c>
      <c r="V577" s="153">
        <f ca="1">ROUND((OFFSET(卡牌辅助配置表!$O$1,MATCH(U577,卡牌辅助配置表!M:M,0)-1,0)+(N577-1)*OFFSET(卡牌辅助配置表!$P$1,MATCH(U577,卡牌辅助配置表!M:M,0)-1,0))*M577,2)</f>
        <v>75.86</v>
      </c>
      <c r="W577" s="157">
        <f ca="1">ROUND(IF(R577=0,0,IF(R577=1,X577*$W$1,IF(R577=2,X577*$W$1*buff的资质计算!$E$2,IF(R577=3,X577*$W$1*buff的资质计算!$E$3,0)))),2)</f>
        <v>18.15</v>
      </c>
      <c r="X577" s="157">
        <f ca="1" t="shared" si="91"/>
        <v>60.5</v>
      </c>
      <c r="Y577" s="157">
        <f ca="1" t="shared" si="96"/>
        <v>61.3888888888889</v>
      </c>
      <c r="Z577" s="304">
        <f ca="1" t="shared" si="92"/>
        <v>30.6944444444444</v>
      </c>
      <c r="AA577" s="304">
        <f ca="1">OFFSET(卡牌辅助配置表!$AD$1,MATCH(AB577,卡牌辅助配置表!AB:AB,0)-1,0)</f>
        <v>1660</v>
      </c>
      <c r="AB577" s="304">
        <f ca="1" t="shared" si="93"/>
        <v>3402</v>
      </c>
      <c r="AC577" s="153">
        <v>11</v>
      </c>
      <c r="AE577" s="153">
        <v>5000</v>
      </c>
      <c r="AF577" s="153" t="str">
        <f ca="1" t="shared" si="97"/>
        <v>10200011|</v>
      </c>
      <c r="AH577" s="153">
        <v>2</v>
      </c>
      <c r="AJ577" s="205" t="str">
        <f ca="1" t="shared" si="94"/>
        <v>400023|2700|;</v>
      </c>
      <c r="AK577" s="205">
        <f ca="1">OFFSET([1]item_type!$A$1,MATCH(Q577,[1]item_type!$G:$G,0)-1,0)</f>
        <v>301020</v>
      </c>
      <c r="AL577" s="205"/>
      <c r="AM577" s="205">
        <f ca="1">IF(B577=B578,OFFSET(卡牌辅助配置表!$AE$1,MATCH(AB577,卡牌辅助配置表!AB:AB,0),0),0)</f>
        <v>2700</v>
      </c>
      <c r="AN577" s="153">
        <f ca="1" t="shared" si="95"/>
        <v>1020003</v>
      </c>
      <c r="AP577" s="153" t="str">
        <f ca="1">IF(AC577=0,0,IF(AC577=12,0,OFFSET(effect!$N$1,MATCH(K577,effect!M:M,0)-1,0)))</f>
        <v>kpsx_huangse</v>
      </c>
    </row>
    <row r="578" spans="1:42">
      <c r="A578" s="153">
        <f ca="1" t="shared" si="88"/>
        <v>1020003</v>
      </c>
      <c r="B578" s="91" t="s">
        <v>461</v>
      </c>
      <c r="C578" s="186">
        <v>1</v>
      </c>
      <c r="D578" s="186">
        <v>4</v>
      </c>
      <c r="E578" s="165" t="s">
        <v>1050</v>
      </c>
      <c r="F578" s="165" t="str">
        <f>"血量低于50%时，获得"&amp;skill!$O$54/100&amp;"%吸血效果"</f>
        <v>血量低于50%时，获得80%吸血效果</v>
      </c>
      <c r="G578" s="186">
        <f ca="1">OFFSET(卡牌辅助配置表!$C$1,MATCH(AC578,卡牌辅助配置表!A:A,0)-1,0)</f>
        <v>6</v>
      </c>
      <c r="H578" s="186">
        <f ca="1">OFFSET(skill!$Q$1,MATCH(B578,skill!B:B,0)-1,0)</f>
        <v>0.888888888888889</v>
      </c>
      <c r="I578" s="186"/>
      <c r="J578" s="186">
        <f ca="1">OFFSET(card_type!$F$1,MATCH(Q578,card_type!A:A,0)-1,0)</f>
        <v>3</v>
      </c>
      <c r="K578" s="243">
        <f ca="1">OFFSET(card_type!$G$1,MATCH(Q578,card_type!A:A,0)-1,0)</f>
        <v>4</v>
      </c>
      <c r="L578" s="157">
        <v>2</v>
      </c>
      <c r="M578" s="157">
        <v>2</v>
      </c>
      <c r="N578" s="153">
        <f t="shared" si="89"/>
        <v>3</v>
      </c>
      <c r="O578" s="157"/>
      <c r="P578" s="157"/>
      <c r="Q578" s="153">
        <f ca="1">OFFSET(card_type!$A$1,MATCH(card!B578,card_type!B:B,0)-1,0)</f>
        <v>1020</v>
      </c>
      <c r="R578" s="153">
        <v>1</v>
      </c>
      <c r="S578" s="157">
        <f ca="1">ROUND(IF(R578=0,0,IF(R578=1,X578*$S$1,IF(R578=2,X578*$S$1*buff的资质计算!$E$2,IF(R578=3,X578*$S$1*buff的资质计算!$E$3,0)))),0)*0</f>
        <v>0</v>
      </c>
      <c r="T578" s="153">
        <v>1</v>
      </c>
      <c r="U578" s="153">
        <f ca="1" t="shared" si="90"/>
        <v>34</v>
      </c>
      <c r="V578" s="153">
        <f ca="1">ROUND((OFFSET(卡牌辅助配置表!$O$1,MATCH(U578,卡牌辅助配置表!M:M,0)-1,0)+(N578-1)*OFFSET(卡牌辅助配置表!$P$1,MATCH(U578,卡牌辅助配置表!M:M,0)-1,0))*M578,2)</f>
        <v>82.82</v>
      </c>
      <c r="W578" s="157">
        <f ca="1">ROUND(IF(R578=0,0,IF(R578=1,X578*$W$1,IF(R578=2,X578*$W$1*buff的资质计算!$E$2,IF(R578=3,X578*$W$1*buff的资质计算!$E$3,0)))),2)</f>
        <v>18.3</v>
      </c>
      <c r="X578" s="157">
        <f ca="1" t="shared" si="91"/>
        <v>61</v>
      </c>
      <c r="Y578" s="157">
        <f ca="1" t="shared" si="96"/>
        <v>61.8888888888889</v>
      </c>
      <c r="Z578" s="304">
        <f ca="1" t="shared" si="92"/>
        <v>30.9444444444444</v>
      </c>
      <c r="AA578" s="304">
        <f ca="1">OFFSET(卡牌辅助配置表!$AD$1,MATCH(AB578,卡牌辅助配置表!AB:AB,0)-1,0)</f>
        <v>2490</v>
      </c>
      <c r="AB578" s="304">
        <f ca="1" t="shared" si="93"/>
        <v>3403</v>
      </c>
      <c r="AC578" s="153">
        <v>11</v>
      </c>
      <c r="AE578" s="153">
        <v>5000</v>
      </c>
      <c r="AF578" s="153" t="str">
        <f ca="1" t="shared" si="97"/>
        <v>10200011|</v>
      </c>
      <c r="AH578" s="153">
        <v>2</v>
      </c>
      <c r="AJ578" s="205" t="str">
        <f ca="1" t="shared" si="94"/>
        <v>400023|3300|;</v>
      </c>
      <c r="AK578" s="205">
        <f ca="1">OFFSET([1]item_type!$A$1,MATCH(Q578,[1]item_type!$G:$G,0)-1,0)</f>
        <v>301020</v>
      </c>
      <c r="AL578" s="205"/>
      <c r="AM578" s="205">
        <f ca="1">IF(B578=B579,OFFSET(卡牌辅助配置表!$AE$1,MATCH(AB578,卡牌辅助配置表!AB:AB,0),0),0)</f>
        <v>3300</v>
      </c>
      <c r="AN578" s="153">
        <f ca="1" t="shared" si="95"/>
        <v>1020004</v>
      </c>
      <c r="AP578" s="153" t="str">
        <f ca="1">IF(AC578=0,0,IF(AC578=12,0,OFFSET(effect!$N$1,MATCH(K578,effect!M:M,0)-1,0)))</f>
        <v>kpsx_huangse</v>
      </c>
    </row>
    <row r="579" spans="1:42">
      <c r="A579" s="153">
        <f ca="1" t="shared" si="88"/>
        <v>1020004</v>
      </c>
      <c r="B579" s="91" t="s">
        <v>461</v>
      </c>
      <c r="C579" s="186">
        <v>1</v>
      </c>
      <c r="D579" s="186">
        <v>4</v>
      </c>
      <c r="E579" s="165" t="s">
        <v>1050</v>
      </c>
      <c r="F579" s="165" t="str">
        <f>"血量低于50%时，获得"&amp;skill!$O$54/100&amp;"%吸血效果"</f>
        <v>血量低于50%时，获得80%吸血效果</v>
      </c>
      <c r="G579" s="186">
        <f ca="1">OFFSET(卡牌辅助配置表!$C$1,MATCH(AC579,卡牌辅助配置表!A:A,0)-1,0)</f>
        <v>6</v>
      </c>
      <c r="H579" s="186">
        <f ca="1">OFFSET(skill!$Q$1,MATCH(B579,skill!B:B,0)-1,0)</f>
        <v>0.888888888888889</v>
      </c>
      <c r="I579" s="186"/>
      <c r="J579" s="186">
        <f ca="1">OFFSET(card_type!$F$1,MATCH(Q579,card_type!A:A,0)-1,0)</f>
        <v>3</v>
      </c>
      <c r="K579" s="243">
        <f ca="1">OFFSET(card_type!$G$1,MATCH(Q579,card_type!A:A,0)-1,0)</f>
        <v>4</v>
      </c>
      <c r="L579" s="157">
        <v>2</v>
      </c>
      <c r="M579" s="157">
        <v>2</v>
      </c>
      <c r="N579" s="153">
        <f t="shared" si="89"/>
        <v>4</v>
      </c>
      <c r="O579" s="157"/>
      <c r="P579" s="157"/>
      <c r="Q579" s="153">
        <f ca="1">OFFSET(card_type!$A$1,MATCH(card!B579,card_type!B:B,0)-1,0)</f>
        <v>1020</v>
      </c>
      <c r="R579" s="153">
        <v>1</v>
      </c>
      <c r="S579" s="157">
        <f ca="1">ROUND(IF(R579=0,0,IF(R579=1,X579*$S$1,IF(R579=2,X579*$S$1*buff的资质计算!$E$2,IF(R579=3,X579*$S$1*buff的资质计算!$E$3,0)))),0)*0</f>
        <v>0</v>
      </c>
      <c r="T579" s="153">
        <v>1</v>
      </c>
      <c r="U579" s="153">
        <f ca="1" t="shared" si="90"/>
        <v>34</v>
      </c>
      <c r="V579" s="153">
        <f ca="1">ROUND((OFFSET(卡牌辅助配置表!$O$1,MATCH(U579,卡牌辅助配置表!M:M,0)-1,0)+(N579-1)*OFFSET(卡牌辅助配置表!$P$1,MATCH(U579,卡牌辅助配置表!M:M,0)-1,0))*M579,2)</f>
        <v>89.78</v>
      </c>
      <c r="W579" s="157">
        <f ca="1">ROUND(IF(R579=0,0,IF(R579=1,X579*$W$1,IF(R579=2,X579*$W$1*buff的资质计算!$E$2,IF(R579=3,X579*$W$1*buff的资质计算!$E$3,0)))),2)</f>
        <v>18.45</v>
      </c>
      <c r="X579" s="157">
        <f ca="1" t="shared" si="91"/>
        <v>61.5</v>
      </c>
      <c r="Y579" s="157">
        <f ca="1" t="shared" si="96"/>
        <v>62.3888888888889</v>
      </c>
      <c r="Z579" s="304">
        <f ca="1" t="shared" si="92"/>
        <v>31.1944444444444</v>
      </c>
      <c r="AA579" s="304">
        <f ca="1">OFFSET(卡牌辅助配置表!$AD$1,MATCH(AB579,卡牌辅助配置表!AB:AB,0)-1,0)</f>
        <v>3320</v>
      </c>
      <c r="AB579" s="304">
        <f ca="1" t="shared" si="93"/>
        <v>3404</v>
      </c>
      <c r="AC579" s="153">
        <v>11</v>
      </c>
      <c r="AE579" s="153">
        <v>5000</v>
      </c>
      <c r="AF579" s="153" t="str">
        <f ca="1" t="shared" si="97"/>
        <v>10200011|</v>
      </c>
      <c r="AH579" s="153">
        <v>2</v>
      </c>
      <c r="AJ579" s="205" t="str">
        <f ca="1" t="shared" si="94"/>
        <v>400023|3900|;</v>
      </c>
      <c r="AK579" s="205">
        <f ca="1">OFFSET([1]item_type!$A$1,MATCH(Q579,[1]item_type!$G:$G,0)-1,0)</f>
        <v>301020</v>
      </c>
      <c r="AL579" s="205"/>
      <c r="AM579" s="205">
        <f ca="1">IF(B579=B580,OFFSET(卡牌辅助配置表!$AE$1,MATCH(AB579,卡牌辅助配置表!AB:AB,0),0),0)</f>
        <v>3900</v>
      </c>
      <c r="AN579" s="153">
        <f ca="1" t="shared" si="95"/>
        <v>1020005</v>
      </c>
      <c r="AP579" s="153" t="str">
        <f ca="1">IF(AC579=0,0,IF(AC579=12,0,OFFSET(effect!$N$1,MATCH(K579,effect!M:M,0)-1,0)))</f>
        <v>kpsx_huangse</v>
      </c>
    </row>
    <row r="580" spans="1:42">
      <c r="A580" s="153">
        <f ca="1" t="shared" si="88"/>
        <v>1020005</v>
      </c>
      <c r="B580" s="91" t="s">
        <v>461</v>
      </c>
      <c r="C580" s="186">
        <v>1</v>
      </c>
      <c r="D580" s="186">
        <v>4</v>
      </c>
      <c r="E580" s="165" t="s">
        <v>1050</v>
      </c>
      <c r="F580" s="165" t="str">
        <f>"血量低于50%时，获得"&amp;skill!$O$54/100&amp;"%吸血效果"</f>
        <v>血量低于50%时，获得80%吸血效果</v>
      </c>
      <c r="G580" s="186">
        <f ca="1">OFFSET(卡牌辅助配置表!$C$1,MATCH(AC580,卡牌辅助配置表!A:A,0)-1,0)</f>
        <v>6</v>
      </c>
      <c r="H580" s="186">
        <f ca="1">OFFSET(skill!$Q$1,MATCH(B580,skill!B:B,0)-1,0)</f>
        <v>0.888888888888889</v>
      </c>
      <c r="I580" s="186"/>
      <c r="J580" s="186">
        <f ca="1">OFFSET(card_type!$F$1,MATCH(Q580,card_type!A:A,0)-1,0)</f>
        <v>3</v>
      </c>
      <c r="K580" s="243">
        <f ca="1">OFFSET(card_type!$G$1,MATCH(Q580,card_type!A:A,0)-1,0)</f>
        <v>4</v>
      </c>
      <c r="L580" s="157">
        <v>2</v>
      </c>
      <c r="M580" s="157">
        <v>2</v>
      </c>
      <c r="N580" s="153">
        <f t="shared" si="89"/>
        <v>5</v>
      </c>
      <c r="O580" s="157"/>
      <c r="P580" s="157"/>
      <c r="Q580" s="153">
        <f ca="1">OFFSET(card_type!$A$1,MATCH(card!B580,card_type!B:B,0)-1,0)</f>
        <v>1020</v>
      </c>
      <c r="R580" s="153">
        <v>1</v>
      </c>
      <c r="S580" s="157">
        <f ca="1">ROUND(IF(R580=0,0,IF(R580=1,X580*$S$1,IF(R580=2,X580*$S$1*buff的资质计算!$E$2,IF(R580=3,X580*$S$1*buff的资质计算!$E$3,0)))),0)*0</f>
        <v>0</v>
      </c>
      <c r="T580" s="153">
        <v>1</v>
      </c>
      <c r="U580" s="153">
        <f ca="1" t="shared" si="90"/>
        <v>34</v>
      </c>
      <c r="V580" s="153">
        <f ca="1">ROUND((OFFSET(卡牌辅助配置表!$O$1,MATCH(U580,卡牌辅助配置表!M:M,0)-1,0)+(N580-1)*OFFSET(卡牌辅助配置表!$P$1,MATCH(U580,卡牌辅助配置表!M:M,0)-1,0))*M580,2)</f>
        <v>96.74</v>
      </c>
      <c r="W580" s="157">
        <f ca="1">ROUND(IF(R580=0,0,IF(R580=1,X580*$W$1,IF(R580=2,X580*$W$1*buff的资质计算!$E$2,IF(R580=3,X580*$W$1*buff的资质计算!$E$3,0)))),2)</f>
        <v>18.6</v>
      </c>
      <c r="X580" s="157">
        <f ca="1" t="shared" si="91"/>
        <v>62</v>
      </c>
      <c r="Y580" s="157">
        <f ca="1" t="shared" si="96"/>
        <v>62.8888888888889</v>
      </c>
      <c r="Z580" s="304">
        <f ca="1" t="shared" si="92"/>
        <v>31.4444444444444</v>
      </c>
      <c r="AA580" s="304">
        <f ca="1">OFFSET(卡牌辅助配置表!$AD$1,MATCH(AB580,卡牌辅助配置表!AB:AB,0)-1,0)</f>
        <v>4150</v>
      </c>
      <c r="AB580" s="304">
        <f ca="1" t="shared" si="93"/>
        <v>3405</v>
      </c>
      <c r="AC580" s="153">
        <v>11</v>
      </c>
      <c r="AE580" s="153">
        <v>5000</v>
      </c>
      <c r="AF580" s="153" t="str">
        <f ca="1" t="shared" si="97"/>
        <v>10200011|</v>
      </c>
      <c r="AH580" s="153">
        <v>2</v>
      </c>
      <c r="AJ580" s="205" t="str">
        <f ca="1" t="shared" si="94"/>
        <v>400023|4500|;</v>
      </c>
      <c r="AK580" s="205">
        <f ca="1">OFFSET([1]item_type!$A$1,MATCH(Q580,[1]item_type!$G:$G,0)-1,0)</f>
        <v>301020</v>
      </c>
      <c r="AL580" s="205"/>
      <c r="AM580" s="205">
        <f ca="1">IF(B580=B581,OFFSET(卡牌辅助配置表!$AE$1,MATCH(AB580,卡牌辅助配置表!AB:AB,0),0),0)</f>
        <v>4500</v>
      </c>
      <c r="AN580" s="153">
        <f ca="1" t="shared" si="95"/>
        <v>1020006</v>
      </c>
      <c r="AP580" s="153" t="str">
        <f ca="1">IF(AC580=0,0,IF(AC580=12,0,OFFSET(effect!$N$1,MATCH(K580,effect!M:M,0)-1,0)))</f>
        <v>kpsx_huangse</v>
      </c>
    </row>
    <row r="581" spans="1:42">
      <c r="A581" s="153">
        <f ca="1" t="shared" si="88"/>
        <v>1020006</v>
      </c>
      <c r="B581" s="91" t="s">
        <v>461</v>
      </c>
      <c r="C581" s="186">
        <v>1</v>
      </c>
      <c r="D581" s="186">
        <v>4</v>
      </c>
      <c r="E581" s="165" t="s">
        <v>1050</v>
      </c>
      <c r="F581" s="165" t="str">
        <f>"血量低于50%时，获得"&amp;skill!$O$54/100&amp;"%吸血效果"</f>
        <v>血量低于50%时，获得80%吸血效果</v>
      </c>
      <c r="G581" s="186">
        <f ca="1">OFFSET(卡牌辅助配置表!$C$1,MATCH(AC581,卡牌辅助配置表!A:A,0)-1,0)</f>
        <v>6</v>
      </c>
      <c r="H581" s="186">
        <f ca="1">OFFSET(skill!$Q$1,MATCH(B581,skill!B:B,0)-1,0)</f>
        <v>0.888888888888889</v>
      </c>
      <c r="I581" s="186"/>
      <c r="J581" s="186">
        <f ca="1">OFFSET(card_type!$F$1,MATCH(Q581,card_type!A:A,0)-1,0)</f>
        <v>3</v>
      </c>
      <c r="K581" s="243">
        <f ca="1">OFFSET(card_type!$G$1,MATCH(Q581,card_type!A:A,0)-1,0)</f>
        <v>4</v>
      </c>
      <c r="L581" s="157">
        <v>2</v>
      </c>
      <c r="M581" s="157">
        <v>2</v>
      </c>
      <c r="N581" s="153">
        <f t="shared" si="89"/>
        <v>6</v>
      </c>
      <c r="O581" s="157"/>
      <c r="P581" s="157"/>
      <c r="Q581" s="153">
        <f ca="1">OFFSET(card_type!$A$1,MATCH(card!B581,card_type!B:B,0)-1,0)</f>
        <v>1020</v>
      </c>
      <c r="R581" s="153">
        <v>1</v>
      </c>
      <c r="S581" s="157">
        <f ca="1">ROUND(IF(R581=0,0,IF(R581=1,X581*$S$1,IF(R581=2,X581*$S$1*buff的资质计算!$E$2,IF(R581=3,X581*$S$1*buff的资质计算!$E$3,0)))),0)*0</f>
        <v>0</v>
      </c>
      <c r="T581" s="153">
        <v>1</v>
      </c>
      <c r="U581" s="153">
        <f ca="1" t="shared" si="90"/>
        <v>34</v>
      </c>
      <c r="V581" s="153">
        <f ca="1">ROUND((OFFSET(卡牌辅助配置表!$O$1,MATCH(U581,卡牌辅助配置表!M:M,0)-1,0)+(N581-1)*OFFSET(卡牌辅助配置表!$P$1,MATCH(U581,卡牌辅助配置表!M:M,0)-1,0))*M581,2)</f>
        <v>103.7</v>
      </c>
      <c r="W581" s="157">
        <f ca="1">ROUND(IF(R581=0,0,IF(R581=1,X581*$W$1,IF(R581=2,X581*$W$1*buff的资质计算!$E$2,IF(R581=3,X581*$W$1*buff的资质计算!$E$3,0)))),2)</f>
        <v>18.75</v>
      </c>
      <c r="X581" s="157">
        <f ca="1" t="shared" si="91"/>
        <v>62.5</v>
      </c>
      <c r="Y581" s="157">
        <f ca="1" t="shared" si="96"/>
        <v>63.3888888888889</v>
      </c>
      <c r="Z581" s="304">
        <f ca="1" t="shared" si="92"/>
        <v>31.6944444444444</v>
      </c>
      <c r="AA581" s="304">
        <f ca="1">OFFSET(卡牌辅助配置表!$AD$1,MATCH(AB581,卡牌辅助配置表!AB:AB,0)-1,0)</f>
        <v>4980</v>
      </c>
      <c r="AB581" s="304">
        <f ca="1" t="shared" si="93"/>
        <v>3406</v>
      </c>
      <c r="AC581" s="153">
        <v>11</v>
      </c>
      <c r="AE581" s="153">
        <v>5000</v>
      </c>
      <c r="AF581" s="153" t="str">
        <f ca="1" t="shared" si="97"/>
        <v>10200011|</v>
      </c>
      <c r="AH581" s="153">
        <v>2</v>
      </c>
      <c r="AJ581" s="205" t="str">
        <f ca="1" t="shared" si="94"/>
        <v>400023|5100|;</v>
      </c>
      <c r="AK581" s="205">
        <f ca="1">OFFSET([1]item_type!$A$1,MATCH(Q581,[1]item_type!$G:$G,0)-1,0)</f>
        <v>301020</v>
      </c>
      <c r="AL581" s="205"/>
      <c r="AM581" s="205">
        <f ca="1">IF(B581=B582,OFFSET(卡牌辅助配置表!$AE$1,MATCH(AB581,卡牌辅助配置表!AB:AB,0),0),0)</f>
        <v>5100</v>
      </c>
      <c r="AN581" s="153">
        <f ca="1" t="shared" si="95"/>
        <v>1020007</v>
      </c>
      <c r="AP581" s="153" t="str">
        <f ca="1">IF(AC581=0,0,IF(AC581=12,0,OFFSET(effect!$N$1,MATCH(K581,effect!M:M,0)-1,0)))</f>
        <v>kpsx_huangse</v>
      </c>
    </row>
    <row r="582" spans="1:42">
      <c r="A582" s="153">
        <f ca="1" t="shared" ref="A582:A645" si="98">Q582*1000+N582</f>
        <v>1020007</v>
      </c>
      <c r="B582" s="91" t="s">
        <v>461</v>
      </c>
      <c r="C582" s="186">
        <v>1</v>
      </c>
      <c r="D582" s="186">
        <v>4</v>
      </c>
      <c r="E582" s="165" t="s">
        <v>1050</v>
      </c>
      <c r="F582" s="165" t="str">
        <f>"血量低于50%时，获得"&amp;skill!$O$54/100&amp;"%吸血效果"</f>
        <v>血量低于50%时，获得80%吸血效果</v>
      </c>
      <c r="G582" s="186">
        <f ca="1">OFFSET(卡牌辅助配置表!$C$1,MATCH(AC582,卡牌辅助配置表!A:A,0)-1,0)</f>
        <v>6</v>
      </c>
      <c r="H582" s="186">
        <f ca="1">OFFSET(skill!$Q$1,MATCH(B582,skill!B:B,0)-1,0)</f>
        <v>0.888888888888889</v>
      </c>
      <c r="I582" s="186"/>
      <c r="J582" s="186">
        <f ca="1">OFFSET(card_type!$F$1,MATCH(Q582,card_type!A:A,0)-1,0)</f>
        <v>3</v>
      </c>
      <c r="K582" s="243">
        <f ca="1">OFFSET(card_type!$G$1,MATCH(Q582,card_type!A:A,0)-1,0)</f>
        <v>4</v>
      </c>
      <c r="L582" s="157">
        <v>2</v>
      </c>
      <c r="M582" s="157">
        <v>2</v>
      </c>
      <c r="N582" s="153">
        <f t="shared" ref="N582:N645" si="99">IF(B581=B582,N581+1,1)</f>
        <v>7</v>
      </c>
      <c r="O582" s="157"/>
      <c r="P582" s="157"/>
      <c r="Q582" s="153">
        <f ca="1">OFFSET(card_type!$A$1,MATCH(card!B582,card_type!B:B,0)-1,0)</f>
        <v>1020</v>
      </c>
      <c r="R582" s="153">
        <v>1</v>
      </c>
      <c r="S582" s="157">
        <f ca="1">ROUND(IF(R582=0,0,IF(R582=1,X582*$S$1,IF(R582=2,X582*$S$1*buff的资质计算!$E$2,IF(R582=3,X582*$S$1*buff的资质计算!$E$3,0)))),0)*0</f>
        <v>0</v>
      </c>
      <c r="T582" s="153">
        <v>1</v>
      </c>
      <c r="U582" s="153">
        <f ca="1" t="shared" ref="U582:U645" si="100">J582*10+K582</f>
        <v>34</v>
      </c>
      <c r="V582" s="153">
        <f ca="1">ROUND((OFFSET(卡牌辅助配置表!$O$1,MATCH(U582,卡牌辅助配置表!M:M,0)-1,0)+(N582-1)*OFFSET(卡牌辅助配置表!$P$1,MATCH(U582,卡牌辅助配置表!M:M,0)-1,0))*M582,2)</f>
        <v>110.66</v>
      </c>
      <c r="W582" s="157">
        <f ca="1">ROUND(IF(R582=0,0,IF(R582=1,X582*$W$1,IF(R582=2,X582*$W$1*buff的资质计算!$E$2,IF(R582=3,X582*$W$1*buff的资质计算!$E$3,0)))),2)</f>
        <v>18.9</v>
      </c>
      <c r="X582" s="157">
        <f ca="1" t="shared" ref="X582:X645" si="101">M582*($M$1+(J582-1)*$J$1+(K582-1)*$K$1)+G582+$J$1*(N582-1)/$N$1</f>
        <v>63</v>
      </c>
      <c r="Y582" s="157">
        <f ca="1" t="shared" si="96"/>
        <v>63.8888888888889</v>
      </c>
      <c r="Z582" s="304">
        <f ca="1" t="shared" ref="Z582:Z645" si="102">Y582/M582</f>
        <v>31.9444444444444</v>
      </c>
      <c r="AA582" s="304">
        <f ca="1">OFFSET(卡牌辅助配置表!$AD$1,MATCH(AB582,卡牌辅助配置表!AB:AB,0)-1,0)</f>
        <v>5810</v>
      </c>
      <c r="AB582" s="304">
        <f ca="1" t="shared" ref="AB582:AB645" si="103">J582*1000+K582*100+N582</f>
        <v>3407</v>
      </c>
      <c r="AC582" s="153">
        <v>11</v>
      </c>
      <c r="AE582" s="153">
        <v>5000</v>
      </c>
      <c r="AF582" s="153" t="str">
        <f ca="1" t="shared" si="97"/>
        <v>10200011|</v>
      </c>
      <c r="AH582" s="153">
        <v>2</v>
      </c>
      <c r="AJ582" s="205" t="str">
        <f ca="1" t="shared" ref="AJ582:AJ645" si="104">IF(AN582=0,0,IF(AL582=0,$AM$1&amp;$AF$1&amp;AM582&amp;$AF$1&amp;$AJ$1,AK582&amp;$AF$1&amp;AL582&amp;$AF$1&amp;$AJ$1&amp;$AM$1&amp;$AF$1&amp;AM582&amp;$AF$1&amp;$AJ$1))</f>
        <v>400023|5700|;</v>
      </c>
      <c r="AK582" s="205">
        <f ca="1">OFFSET([1]item_type!$A$1,MATCH(Q582,[1]item_type!$G:$G,0)-1,0)</f>
        <v>301020</v>
      </c>
      <c r="AL582" s="205"/>
      <c r="AM582" s="205">
        <f ca="1">IF(B582=B583,OFFSET(卡牌辅助配置表!$AE$1,MATCH(AB582,卡牌辅助配置表!AB:AB,0),0),0)</f>
        <v>5700</v>
      </c>
      <c r="AN582" s="153">
        <f ca="1" t="shared" ref="AN582:AN645" si="105">IF(B582=B583,A582+1,0)</f>
        <v>1020008</v>
      </c>
      <c r="AP582" s="153" t="str">
        <f ca="1">IF(AC582=0,0,IF(AC582=12,0,OFFSET(effect!$N$1,MATCH(K582,effect!M:M,0)-1,0)))</f>
        <v>kpsx_huangse</v>
      </c>
    </row>
    <row r="583" spans="1:42">
      <c r="A583" s="153">
        <f ca="1" t="shared" si="98"/>
        <v>1020008</v>
      </c>
      <c r="B583" s="91" t="s">
        <v>461</v>
      </c>
      <c r="C583" s="186">
        <v>1</v>
      </c>
      <c r="D583" s="186">
        <v>4</v>
      </c>
      <c r="E583" s="165" t="s">
        <v>1050</v>
      </c>
      <c r="F583" s="165" t="str">
        <f>"血量低于50%时，获得"&amp;skill!$O$54/100&amp;"%吸血效果"</f>
        <v>血量低于50%时，获得80%吸血效果</v>
      </c>
      <c r="G583" s="186">
        <f ca="1">OFFSET(卡牌辅助配置表!$C$1,MATCH(AC583,卡牌辅助配置表!A:A,0)-1,0)</f>
        <v>6</v>
      </c>
      <c r="H583" s="186">
        <f ca="1">OFFSET(skill!$Q$1,MATCH(B583,skill!B:B,0)-1,0)</f>
        <v>0.888888888888889</v>
      </c>
      <c r="I583" s="186"/>
      <c r="J583" s="186">
        <f ca="1">OFFSET(card_type!$F$1,MATCH(Q583,card_type!A:A,0)-1,0)</f>
        <v>3</v>
      </c>
      <c r="K583" s="243">
        <f ca="1">OFFSET(card_type!$G$1,MATCH(Q583,card_type!A:A,0)-1,0)</f>
        <v>4</v>
      </c>
      <c r="L583" s="157">
        <v>2</v>
      </c>
      <c r="M583" s="157">
        <v>2</v>
      </c>
      <c r="N583" s="153">
        <f t="shared" si="99"/>
        <v>8</v>
      </c>
      <c r="O583" s="157"/>
      <c r="P583" s="157"/>
      <c r="Q583" s="153">
        <f ca="1">OFFSET(card_type!$A$1,MATCH(card!B583,card_type!B:B,0)-1,0)</f>
        <v>1020</v>
      </c>
      <c r="R583" s="153">
        <v>1</v>
      </c>
      <c r="S583" s="157">
        <f ca="1">ROUND(IF(R583=0,0,IF(R583=1,X583*$S$1,IF(R583=2,X583*$S$1*buff的资质计算!$E$2,IF(R583=3,X583*$S$1*buff的资质计算!$E$3,0)))),0)*0</f>
        <v>0</v>
      </c>
      <c r="T583" s="153">
        <v>1</v>
      </c>
      <c r="U583" s="153">
        <f ca="1" t="shared" si="100"/>
        <v>34</v>
      </c>
      <c r="V583" s="153">
        <f ca="1">ROUND((OFFSET(卡牌辅助配置表!$O$1,MATCH(U583,卡牌辅助配置表!M:M,0)-1,0)+(N583-1)*OFFSET(卡牌辅助配置表!$P$1,MATCH(U583,卡牌辅助配置表!M:M,0)-1,0))*M583,2)</f>
        <v>117.62</v>
      </c>
      <c r="W583" s="157">
        <f ca="1">ROUND(IF(R583=0,0,IF(R583=1,X583*$W$1,IF(R583=2,X583*$W$1*buff的资质计算!$E$2,IF(R583=3,X583*$W$1*buff的资质计算!$E$3,0)))),2)</f>
        <v>19.05</v>
      </c>
      <c r="X583" s="157">
        <f ca="1" t="shared" si="101"/>
        <v>63.5</v>
      </c>
      <c r="Y583" s="157">
        <f ca="1" t="shared" si="96"/>
        <v>64.3888888888889</v>
      </c>
      <c r="Z583" s="304">
        <f ca="1" t="shared" si="102"/>
        <v>32.1944444444444</v>
      </c>
      <c r="AA583" s="304">
        <f ca="1">OFFSET(卡牌辅助配置表!$AD$1,MATCH(AB583,卡牌辅助配置表!AB:AB,0)-1,0)</f>
        <v>6640</v>
      </c>
      <c r="AB583" s="304">
        <f ca="1" t="shared" si="103"/>
        <v>3408</v>
      </c>
      <c r="AC583" s="153">
        <v>11</v>
      </c>
      <c r="AE583" s="153">
        <v>5000</v>
      </c>
      <c r="AF583" s="153" t="str">
        <f ca="1" t="shared" si="97"/>
        <v>10200011|</v>
      </c>
      <c r="AH583" s="153">
        <v>2</v>
      </c>
      <c r="AJ583" s="205" t="str">
        <f ca="1" t="shared" si="104"/>
        <v>400023|6300|;</v>
      </c>
      <c r="AK583" s="205">
        <f ca="1">OFFSET([1]item_type!$A$1,MATCH(Q583,[1]item_type!$G:$G,0)-1,0)</f>
        <v>301020</v>
      </c>
      <c r="AL583" s="205"/>
      <c r="AM583" s="205">
        <f ca="1">IF(B583=B584,OFFSET(卡牌辅助配置表!$AE$1,MATCH(AB583,卡牌辅助配置表!AB:AB,0),0),0)</f>
        <v>6300</v>
      </c>
      <c r="AN583" s="153">
        <f ca="1" t="shared" si="105"/>
        <v>1020009</v>
      </c>
      <c r="AP583" s="153" t="str">
        <f ca="1">IF(AC583=0,0,IF(AC583=12,0,OFFSET(effect!$N$1,MATCH(K583,effect!M:M,0)-1,0)))</f>
        <v>kpsx_huangse</v>
      </c>
    </row>
    <row r="584" spans="1:42">
      <c r="A584" s="153">
        <f ca="1" t="shared" si="98"/>
        <v>1020009</v>
      </c>
      <c r="B584" s="91" t="s">
        <v>461</v>
      </c>
      <c r="C584" s="186">
        <v>1</v>
      </c>
      <c r="D584" s="186">
        <v>4</v>
      </c>
      <c r="E584" s="165" t="s">
        <v>1050</v>
      </c>
      <c r="F584" s="165" t="str">
        <f>"血量低于50%时，获得"&amp;skill!$O$54/100&amp;"%吸血效果"</f>
        <v>血量低于50%时，获得80%吸血效果</v>
      </c>
      <c r="G584" s="186">
        <f ca="1">OFFSET(卡牌辅助配置表!$C$1,MATCH(AC584,卡牌辅助配置表!A:A,0)-1,0)</f>
        <v>6</v>
      </c>
      <c r="H584" s="186">
        <f ca="1">OFFSET(skill!$Q$1,MATCH(B584,skill!B:B,0)-1,0)</f>
        <v>0.888888888888889</v>
      </c>
      <c r="I584" s="186"/>
      <c r="J584" s="186">
        <f ca="1">OFFSET(card_type!$F$1,MATCH(Q584,card_type!A:A,0)-1,0)</f>
        <v>3</v>
      </c>
      <c r="K584" s="243">
        <f ca="1">OFFSET(card_type!$G$1,MATCH(Q584,card_type!A:A,0)-1,0)</f>
        <v>4</v>
      </c>
      <c r="L584" s="157">
        <v>2</v>
      </c>
      <c r="M584" s="157">
        <v>2</v>
      </c>
      <c r="N584" s="153">
        <f t="shared" si="99"/>
        <v>9</v>
      </c>
      <c r="O584" s="157"/>
      <c r="P584" s="157"/>
      <c r="Q584" s="153">
        <f ca="1">OFFSET(card_type!$A$1,MATCH(card!B584,card_type!B:B,0)-1,0)</f>
        <v>1020</v>
      </c>
      <c r="R584" s="153">
        <v>1</v>
      </c>
      <c r="S584" s="157">
        <f ca="1">ROUND(IF(R584=0,0,IF(R584=1,X584*$S$1,IF(R584=2,X584*$S$1*buff的资质计算!$E$2,IF(R584=3,X584*$S$1*buff的资质计算!$E$3,0)))),0)*0</f>
        <v>0</v>
      </c>
      <c r="T584" s="153">
        <v>1</v>
      </c>
      <c r="U584" s="153">
        <f ca="1" t="shared" si="100"/>
        <v>34</v>
      </c>
      <c r="V584" s="153">
        <f ca="1">ROUND((OFFSET(卡牌辅助配置表!$O$1,MATCH(U584,卡牌辅助配置表!M:M,0)-1,0)+(N584-1)*OFFSET(卡牌辅助配置表!$P$1,MATCH(U584,卡牌辅助配置表!M:M,0)-1,0))*M584,2)</f>
        <v>124.58</v>
      </c>
      <c r="W584" s="157">
        <f ca="1">ROUND(IF(R584=0,0,IF(R584=1,X584*$W$1,IF(R584=2,X584*$W$1*buff的资质计算!$E$2,IF(R584=3,X584*$W$1*buff的资质计算!$E$3,0)))),2)</f>
        <v>19.2</v>
      </c>
      <c r="X584" s="157">
        <f ca="1" t="shared" si="101"/>
        <v>64</v>
      </c>
      <c r="Y584" s="157">
        <f ca="1" t="shared" si="96"/>
        <v>64.8888888888889</v>
      </c>
      <c r="Z584" s="304">
        <f ca="1" t="shared" si="102"/>
        <v>32.4444444444444</v>
      </c>
      <c r="AA584" s="304">
        <f ca="1">OFFSET(卡牌辅助配置表!$AD$1,MATCH(AB584,卡牌辅助配置表!AB:AB,0)-1,0)</f>
        <v>7470</v>
      </c>
      <c r="AB584" s="304">
        <f ca="1" t="shared" si="103"/>
        <v>3409</v>
      </c>
      <c r="AC584" s="153">
        <v>11</v>
      </c>
      <c r="AE584" s="153">
        <v>5000</v>
      </c>
      <c r="AF584" s="153" t="str">
        <f ca="1" t="shared" si="97"/>
        <v>10200011|</v>
      </c>
      <c r="AH584" s="153">
        <v>2</v>
      </c>
      <c r="AJ584" s="205" t="str">
        <f ca="1" t="shared" si="104"/>
        <v>301020|15|;400023|6900|;</v>
      </c>
      <c r="AK584" s="205">
        <f ca="1">OFFSET([1]item_type!$A$1,MATCH(Q584,[1]item_type!$G:$G,0)-1,0)</f>
        <v>301020</v>
      </c>
      <c r="AL584" s="205">
        <v>15</v>
      </c>
      <c r="AM584" s="205">
        <f ca="1">IF(B584=B585,OFFSET(卡牌辅助配置表!$AE$1,MATCH(AB584,卡牌辅助配置表!AB:AB,0),0),0)</f>
        <v>6900</v>
      </c>
      <c r="AN584" s="153">
        <f ca="1" t="shared" si="105"/>
        <v>1020010</v>
      </c>
      <c r="AP584" s="153" t="str">
        <f ca="1">IF(AC584=0,0,IF(AC584=12,0,OFFSET(effect!$N$1,MATCH(K584,effect!M:M,0)-1,0)))</f>
        <v>kpsx_huangse</v>
      </c>
    </row>
    <row r="585" spans="1:42">
      <c r="A585" s="153">
        <f ca="1" t="shared" si="98"/>
        <v>1020010</v>
      </c>
      <c r="B585" s="91" t="s">
        <v>461</v>
      </c>
      <c r="C585" s="186">
        <v>1</v>
      </c>
      <c r="D585" s="186">
        <v>4</v>
      </c>
      <c r="E585" s="165" t="s">
        <v>1050</v>
      </c>
      <c r="F585" s="165" t="str">
        <f>"血量低于50%时，获得"&amp;skill!$O$54/100&amp;"%吸血效果"</f>
        <v>血量低于50%时，获得80%吸血效果</v>
      </c>
      <c r="G585" s="186">
        <f ca="1">OFFSET(卡牌辅助配置表!$C$1,MATCH(AC585,卡牌辅助配置表!A:A,0)-1,0)</f>
        <v>6</v>
      </c>
      <c r="H585" s="186">
        <f ca="1">OFFSET(skill!$Q$1,MATCH(B585,skill!B:B,0)-1,0)</f>
        <v>0.888888888888889</v>
      </c>
      <c r="I585" s="186"/>
      <c r="J585" s="186">
        <f ca="1">OFFSET(card_type!$F$1,MATCH(Q585,card_type!A:A,0)-1,0)</f>
        <v>3</v>
      </c>
      <c r="K585" s="243">
        <f ca="1">OFFSET(card_type!$G$1,MATCH(Q585,card_type!A:A,0)-1,0)</f>
        <v>4</v>
      </c>
      <c r="L585" s="157">
        <v>2</v>
      </c>
      <c r="M585" s="157">
        <v>2</v>
      </c>
      <c r="N585" s="153">
        <f t="shared" si="99"/>
        <v>10</v>
      </c>
      <c r="O585" s="157"/>
      <c r="P585" s="157"/>
      <c r="Q585" s="153">
        <f ca="1">OFFSET(card_type!$A$1,MATCH(card!B585,card_type!B:B,0)-1,0)</f>
        <v>1020</v>
      </c>
      <c r="R585" s="153">
        <v>1</v>
      </c>
      <c r="S585" s="157">
        <f ca="1">ROUND(IF(R585=0,0,IF(R585=1,X585*$S$1,IF(R585=2,X585*$S$1*buff的资质计算!$E$2,IF(R585=3,X585*$S$1*buff的资质计算!$E$3,0)))),0)*0</f>
        <v>0</v>
      </c>
      <c r="T585" s="153">
        <v>1</v>
      </c>
      <c r="U585" s="153">
        <f ca="1" t="shared" si="100"/>
        <v>34</v>
      </c>
      <c r="V585" s="153">
        <f ca="1">ROUND((OFFSET(卡牌辅助配置表!$O$1,MATCH(U585,卡牌辅助配置表!M:M,0)-1,0)+(N585-1)*OFFSET(卡牌辅助配置表!$P$1,MATCH(U585,卡牌辅助配置表!M:M,0)-1,0))*M585,2)</f>
        <v>131.54</v>
      </c>
      <c r="W585" s="157">
        <f ca="1">ROUND(IF(R585=0,0,IF(R585=1,X585*$W$1,IF(R585=2,X585*$W$1*buff的资质计算!$E$2,IF(R585=3,X585*$W$1*buff的资质计算!$E$3,0)))),2)</f>
        <v>19.35</v>
      </c>
      <c r="X585" s="157">
        <f ca="1" t="shared" si="101"/>
        <v>64.5</v>
      </c>
      <c r="Y585" s="157">
        <f ca="1" t="shared" si="96"/>
        <v>65.3888888888889</v>
      </c>
      <c r="Z585" s="304">
        <f ca="1" t="shared" si="102"/>
        <v>32.6944444444444</v>
      </c>
      <c r="AA585" s="304">
        <f ca="1">OFFSET(卡牌辅助配置表!$AD$1,MATCH(AB585,卡牌辅助配置表!AB:AB,0)-1,0)</f>
        <v>8300</v>
      </c>
      <c r="AB585" s="304">
        <f ca="1" t="shared" si="103"/>
        <v>3410</v>
      </c>
      <c r="AC585" s="153">
        <v>11</v>
      </c>
      <c r="AE585" s="153">
        <v>5000</v>
      </c>
      <c r="AF585" s="153" t="str">
        <f ca="1" t="shared" si="97"/>
        <v>10200011|</v>
      </c>
      <c r="AH585" s="153">
        <v>2</v>
      </c>
      <c r="AJ585" s="205" t="str">
        <f ca="1" t="shared" si="104"/>
        <v>400023|8100|;</v>
      </c>
      <c r="AK585" s="205">
        <f ca="1">OFFSET([1]item_type!$A$1,MATCH(Q585,[1]item_type!$G:$G,0)-1,0)</f>
        <v>301020</v>
      </c>
      <c r="AL585" s="205"/>
      <c r="AM585" s="205">
        <f ca="1">IF(B585=B586,OFFSET(卡牌辅助配置表!$AE$1,MATCH(AB585,卡牌辅助配置表!AB:AB,0),0),0)</f>
        <v>8100</v>
      </c>
      <c r="AN585" s="153">
        <f ca="1" t="shared" si="105"/>
        <v>1020011</v>
      </c>
      <c r="AP585" s="153" t="str">
        <f ca="1">IF(AC585=0,0,IF(AC585=12,0,OFFSET(effect!$N$1,MATCH(K585,effect!M:M,0)-1,0)))</f>
        <v>kpsx_huangse</v>
      </c>
    </row>
    <row r="586" spans="1:42">
      <c r="A586" s="153">
        <f ca="1" t="shared" si="98"/>
        <v>1020011</v>
      </c>
      <c r="B586" s="91" t="s">
        <v>461</v>
      </c>
      <c r="C586" s="186">
        <v>1</v>
      </c>
      <c r="D586" s="186">
        <v>4</v>
      </c>
      <c r="E586" s="165" t="s">
        <v>1050</v>
      </c>
      <c r="F586" s="165" t="str">
        <f>"血量低于50%时，获得"&amp;skill!$O$54/100&amp;"%吸血效果"</f>
        <v>血量低于50%时，获得80%吸血效果</v>
      </c>
      <c r="G586" s="186">
        <f ca="1">OFFSET(卡牌辅助配置表!$C$1,MATCH(AC586,卡牌辅助配置表!A:A,0)-1,0)</f>
        <v>6</v>
      </c>
      <c r="H586" s="186">
        <f ca="1">OFFSET(skill!$Q$1,MATCH(B586,skill!B:B,0)-1,0)</f>
        <v>0.888888888888889</v>
      </c>
      <c r="I586" s="186"/>
      <c r="J586" s="186">
        <f ca="1">OFFSET(card_type!$F$1,MATCH(Q586,card_type!A:A,0)-1,0)</f>
        <v>3</v>
      </c>
      <c r="K586" s="243">
        <f ca="1">OFFSET(card_type!$G$1,MATCH(Q586,card_type!A:A,0)-1,0)</f>
        <v>4</v>
      </c>
      <c r="L586" s="157">
        <v>2</v>
      </c>
      <c r="M586" s="157">
        <v>2</v>
      </c>
      <c r="N586" s="153">
        <f t="shared" si="99"/>
        <v>11</v>
      </c>
      <c r="O586" s="157"/>
      <c r="P586" s="157"/>
      <c r="Q586" s="153">
        <f ca="1">OFFSET(card_type!$A$1,MATCH(card!B586,card_type!B:B,0)-1,0)</f>
        <v>1020</v>
      </c>
      <c r="R586" s="153">
        <v>1</v>
      </c>
      <c r="S586" s="157">
        <f ca="1">ROUND(IF(R586=0,0,IF(R586=1,X586*$S$1,IF(R586=2,X586*$S$1*buff的资质计算!$E$2,IF(R586=3,X586*$S$1*buff的资质计算!$E$3,0)))),0)*0</f>
        <v>0</v>
      </c>
      <c r="T586" s="153">
        <v>1</v>
      </c>
      <c r="U586" s="153">
        <f ca="1" t="shared" si="100"/>
        <v>34</v>
      </c>
      <c r="V586" s="153">
        <f ca="1">ROUND((OFFSET(卡牌辅助配置表!$O$1,MATCH(U586,卡牌辅助配置表!M:M,0)-1,0)+(N586-1)*OFFSET(卡牌辅助配置表!$P$1,MATCH(U586,卡牌辅助配置表!M:M,0)-1,0))*M586,2)</f>
        <v>138.5</v>
      </c>
      <c r="W586" s="157">
        <f ca="1">ROUND(IF(R586=0,0,IF(R586=1,X586*$W$1,IF(R586=2,X586*$W$1*buff的资质计算!$E$2,IF(R586=3,X586*$W$1*buff的资质计算!$E$3,0)))),2)</f>
        <v>19.5</v>
      </c>
      <c r="X586" s="157">
        <f ca="1" t="shared" si="101"/>
        <v>65</v>
      </c>
      <c r="Y586" s="157">
        <f ca="1" t="shared" si="96"/>
        <v>65.8888888888889</v>
      </c>
      <c r="Z586" s="304">
        <f ca="1" t="shared" si="102"/>
        <v>32.9444444444444</v>
      </c>
      <c r="AA586" s="304">
        <f ca="1">OFFSET(卡牌辅助配置表!$AD$1,MATCH(AB586,卡牌辅助配置表!AB:AB,0)-1,0)</f>
        <v>9545</v>
      </c>
      <c r="AB586" s="304">
        <f ca="1" t="shared" si="103"/>
        <v>3411</v>
      </c>
      <c r="AC586" s="153">
        <v>11</v>
      </c>
      <c r="AE586" s="153">
        <v>5000</v>
      </c>
      <c r="AF586" s="153" t="str">
        <f ca="1" t="shared" si="97"/>
        <v>10200011|</v>
      </c>
      <c r="AH586" s="153">
        <v>2</v>
      </c>
      <c r="AJ586" s="205" t="str">
        <f ca="1" t="shared" si="104"/>
        <v>400023|9300|;</v>
      </c>
      <c r="AK586" s="205">
        <f ca="1">OFFSET([1]item_type!$A$1,MATCH(Q586,[1]item_type!$G:$G,0)-1,0)</f>
        <v>301020</v>
      </c>
      <c r="AL586" s="205"/>
      <c r="AM586" s="205">
        <f ca="1">IF(B586=B587,OFFSET(卡牌辅助配置表!$AE$1,MATCH(AB586,卡牌辅助配置表!AB:AB,0),0),0)</f>
        <v>9300</v>
      </c>
      <c r="AN586" s="153">
        <f ca="1" t="shared" si="105"/>
        <v>1020012</v>
      </c>
      <c r="AP586" s="153" t="str">
        <f ca="1">IF(AC586=0,0,IF(AC586=12,0,OFFSET(effect!$N$1,MATCH(K586,effect!M:M,0)-1,0)))</f>
        <v>kpsx_huangse</v>
      </c>
    </row>
    <row r="587" spans="1:42">
      <c r="A587" s="153">
        <f ca="1" t="shared" si="98"/>
        <v>1020012</v>
      </c>
      <c r="B587" s="91" t="s">
        <v>461</v>
      </c>
      <c r="C587" s="186">
        <v>1</v>
      </c>
      <c r="D587" s="186">
        <v>4</v>
      </c>
      <c r="E587" s="165" t="s">
        <v>1050</v>
      </c>
      <c r="F587" s="165" t="str">
        <f>"血量低于50%时，获得"&amp;skill!$O$54/100&amp;"%吸血效果"</f>
        <v>血量低于50%时，获得80%吸血效果</v>
      </c>
      <c r="G587" s="186">
        <f ca="1">OFFSET(卡牌辅助配置表!$C$1,MATCH(AC587,卡牌辅助配置表!A:A,0)-1,0)</f>
        <v>6</v>
      </c>
      <c r="H587" s="186">
        <f ca="1">OFFSET(skill!$Q$1,MATCH(B587,skill!B:B,0)-1,0)</f>
        <v>0.888888888888889</v>
      </c>
      <c r="I587" s="186"/>
      <c r="J587" s="186">
        <f ca="1">OFFSET(card_type!$F$1,MATCH(Q587,card_type!A:A,0)-1,0)</f>
        <v>3</v>
      </c>
      <c r="K587" s="243">
        <f ca="1">OFFSET(card_type!$G$1,MATCH(Q587,card_type!A:A,0)-1,0)</f>
        <v>4</v>
      </c>
      <c r="L587" s="157">
        <v>2</v>
      </c>
      <c r="M587" s="157">
        <v>2</v>
      </c>
      <c r="N587" s="153">
        <f t="shared" si="99"/>
        <v>12</v>
      </c>
      <c r="O587" s="157"/>
      <c r="P587" s="157"/>
      <c r="Q587" s="153">
        <f ca="1">OFFSET(card_type!$A$1,MATCH(card!B587,card_type!B:B,0)-1,0)</f>
        <v>1020</v>
      </c>
      <c r="R587" s="153">
        <v>1</v>
      </c>
      <c r="S587" s="157">
        <f ca="1">ROUND(IF(R587=0,0,IF(R587=1,X587*$S$1,IF(R587=2,X587*$S$1*buff的资质计算!$E$2,IF(R587=3,X587*$S$1*buff的资质计算!$E$3,0)))),0)*0</f>
        <v>0</v>
      </c>
      <c r="T587" s="153">
        <v>1</v>
      </c>
      <c r="U587" s="153">
        <f ca="1" t="shared" si="100"/>
        <v>34</v>
      </c>
      <c r="V587" s="153">
        <f ca="1">ROUND((OFFSET(卡牌辅助配置表!$O$1,MATCH(U587,卡牌辅助配置表!M:M,0)-1,0)+(N587-1)*OFFSET(卡牌辅助配置表!$P$1,MATCH(U587,卡牌辅助配置表!M:M,0)-1,0))*M587,2)</f>
        <v>145.46</v>
      </c>
      <c r="W587" s="157">
        <f ca="1">ROUND(IF(R587=0,0,IF(R587=1,X587*$W$1,IF(R587=2,X587*$W$1*buff的资质计算!$E$2,IF(R587=3,X587*$W$1*buff的资质计算!$E$3,0)))),2)</f>
        <v>19.65</v>
      </c>
      <c r="X587" s="157">
        <f ca="1" t="shared" si="101"/>
        <v>65.5</v>
      </c>
      <c r="Y587" s="157">
        <f ca="1" t="shared" si="96"/>
        <v>66.3888888888889</v>
      </c>
      <c r="Z587" s="304">
        <f ca="1" t="shared" si="102"/>
        <v>33.1944444444444</v>
      </c>
      <c r="AA587" s="304">
        <f ca="1">OFFSET(卡牌辅助配置表!$AD$1,MATCH(AB587,卡牌辅助配置表!AB:AB,0)-1,0)</f>
        <v>10790</v>
      </c>
      <c r="AB587" s="304">
        <f ca="1" t="shared" si="103"/>
        <v>3412</v>
      </c>
      <c r="AC587" s="153">
        <v>11</v>
      </c>
      <c r="AE587" s="153">
        <v>5000</v>
      </c>
      <c r="AF587" s="153" t="str">
        <f ca="1" t="shared" si="97"/>
        <v>10200011|</v>
      </c>
      <c r="AH587" s="153">
        <v>2</v>
      </c>
      <c r="AJ587" s="205" t="str">
        <f ca="1" t="shared" si="104"/>
        <v>400023|10500|;</v>
      </c>
      <c r="AK587" s="205">
        <f ca="1">OFFSET([1]item_type!$A$1,MATCH(Q587,[1]item_type!$G:$G,0)-1,0)</f>
        <v>301020</v>
      </c>
      <c r="AL587" s="205"/>
      <c r="AM587" s="205">
        <f ca="1">IF(B587=B588,OFFSET(卡牌辅助配置表!$AE$1,MATCH(AB587,卡牌辅助配置表!AB:AB,0),0),0)</f>
        <v>10500</v>
      </c>
      <c r="AN587" s="153">
        <f ca="1" t="shared" si="105"/>
        <v>1020013</v>
      </c>
      <c r="AP587" s="153" t="str">
        <f ca="1">IF(AC587=0,0,IF(AC587=12,0,OFFSET(effect!$N$1,MATCH(K587,effect!M:M,0)-1,0)))</f>
        <v>kpsx_huangse</v>
      </c>
    </row>
    <row r="588" spans="1:42">
      <c r="A588" s="153">
        <f ca="1" t="shared" si="98"/>
        <v>1020013</v>
      </c>
      <c r="B588" s="91" t="s">
        <v>461</v>
      </c>
      <c r="C588" s="186">
        <v>1</v>
      </c>
      <c r="D588" s="186">
        <v>4</v>
      </c>
      <c r="E588" s="165" t="s">
        <v>1050</v>
      </c>
      <c r="F588" s="165" t="str">
        <f>"血量低于50%时，获得"&amp;skill!$O$54/100&amp;"%吸血效果"</f>
        <v>血量低于50%时，获得80%吸血效果</v>
      </c>
      <c r="G588" s="186">
        <f ca="1">OFFSET(卡牌辅助配置表!$C$1,MATCH(AC588,卡牌辅助配置表!A:A,0)-1,0)</f>
        <v>6</v>
      </c>
      <c r="H588" s="186">
        <f ca="1">OFFSET(skill!$Q$1,MATCH(B588,skill!B:B,0)-1,0)</f>
        <v>0.888888888888889</v>
      </c>
      <c r="I588" s="186"/>
      <c r="J588" s="186">
        <f ca="1">OFFSET(card_type!$F$1,MATCH(Q588,card_type!A:A,0)-1,0)</f>
        <v>3</v>
      </c>
      <c r="K588" s="243">
        <f ca="1">OFFSET(card_type!$G$1,MATCH(Q588,card_type!A:A,0)-1,0)</f>
        <v>4</v>
      </c>
      <c r="L588" s="157">
        <v>2</v>
      </c>
      <c r="M588" s="157">
        <v>2</v>
      </c>
      <c r="N588" s="153">
        <f t="shared" si="99"/>
        <v>13</v>
      </c>
      <c r="O588" s="157"/>
      <c r="P588" s="157"/>
      <c r="Q588" s="153">
        <f ca="1">OFFSET(card_type!$A$1,MATCH(card!B588,card_type!B:B,0)-1,0)</f>
        <v>1020</v>
      </c>
      <c r="R588" s="153">
        <v>1</v>
      </c>
      <c r="S588" s="157">
        <f ca="1">ROUND(IF(R588=0,0,IF(R588=1,X588*$S$1,IF(R588=2,X588*$S$1*buff的资质计算!$E$2,IF(R588=3,X588*$S$1*buff的资质计算!$E$3,0)))),0)*0</f>
        <v>0</v>
      </c>
      <c r="T588" s="153">
        <v>1</v>
      </c>
      <c r="U588" s="153">
        <f ca="1" t="shared" si="100"/>
        <v>34</v>
      </c>
      <c r="V588" s="153">
        <f ca="1">ROUND((OFFSET(卡牌辅助配置表!$O$1,MATCH(U588,卡牌辅助配置表!M:M,0)-1,0)+(N588-1)*OFFSET(卡牌辅助配置表!$P$1,MATCH(U588,卡牌辅助配置表!M:M,0)-1,0))*M588,2)</f>
        <v>152.42</v>
      </c>
      <c r="W588" s="157">
        <f ca="1">ROUND(IF(R588=0,0,IF(R588=1,X588*$W$1,IF(R588=2,X588*$W$1*buff的资质计算!$E$2,IF(R588=3,X588*$W$1*buff的资质计算!$E$3,0)))),2)</f>
        <v>19.8</v>
      </c>
      <c r="X588" s="157">
        <f ca="1" t="shared" si="101"/>
        <v>66</v>
      </c>
      <c r="Y588" s="157">
        <f ca="1" t="shared" si="96"/>
        <v>66.8888888888889</v>
      </c>
      <c r="Z588" s="304">
        <f ca="1" t="shared" si="102"/>
        <v>33.4444444444444</v>
      </c>
      <c r="AA588" s="304">
        <f ca="1">OFFSET(卡牌辅助配置表!$AD$1,MATCH(AB588,卡牌辅助配置表!AB:AB,0)-1,0)</f>
        <v>12035</v>
      </c>
      <c r="AB588" s="304">
        <f ca="1" t="shared" si="103"/>
        <v>3413</v>
      </c>
      <c r="AC588" s="153">
        <v>11</v>
      </c>
      <c r="AE588" s="153">
        <v>5000</v>
      </c>
      <c r="AF588" s="153" t="str">
        <f ca="1" t="shared" si="97"/>
        <v>10200011|</v>
      </c>
      <c r="AH588" s="153">
        <v>2</v>
      </c>
      <c r="AJ588" s="205" t="str">
        <f ca="1" t="shared" si="104"/>
        <v>400023|11700|;</v>
      </c>
      <c r="AK588" s="205">
        <f ca="1">OFFSET([1]item_type!$A$1,MATCH(Q588,[1]item_type!$G:$G,0)-1,0)</f>
        <v>301020</v>
      </c>
      <c r="AL588" s="205"/>
      <c r="AM588" s="205">
        <f ca="1">IF(B588=B589,OFFSET(卡牌辅助配置表!$AE$1,MATCH(AB588,卡牌辅助配置表!AB:AB,0),0),0)</f>
        <v>11700</v>
      </c>
      <c r="AN588" s="153">
        <f ca="1" t="shared" si="105"/>
        <v>1020014</v>
      </c>
      <c r="AP588" s="153" t="str">
        <f ca="1">IF(AC588=0,0,IF(AC588=12,0,OFFSET(effect!$N$1,MATCH(K588,effect!M:M,0)-1,0)))</f>
        <v>kpsx_huangse</v>
      </c>
    </row>
    <row r="589" spans="1:42">
      <c r="A589" s="153">
        <f ca="1" t="shared" si="98"/>
        <v>1020014</v>
      </c>
      <c r="B589" s="91" t="s">
        <v>461</v>
      </c>
      <c r="C589" s="186">
        <v>1</v>
      </c>
      <c r="D589" s="186">
        <v>4</v>
      </c>
      <c r="E589" s="165" t="s">
        <v>1050</v>
      </c>
      <c r="F589" s="165" t="str">
        <f>"血量低于50%时，获得"&amp;skill!$O$54/100&amp;"%吸血效果"</f>
        <v>血量低于50%时，获得80%吸血效果</v>
      </c>
      <c r="G589" s="186">
        <f ca="1">OFFSET(卡牌辅助配置表!$C$1,MATCH(AC589,卡牌辅助配置表!A:A,0)-1,0)</f>
        <v>6</v>
      </c>
      <c r="H589" s="186">
        <f ca="1">OFFSET(skill!$Q$1,MATCH(B589,skill!B:B,0)-1,0)</f>
        <v>0.888888888888889</v>
      </c>
      <c r="I589" s="186"/>
      <c r="J589" s="186">
        <f ca="1">OFFSET(card_type!$F$1,MATCH(Q589,card_type!A:A,0)-1,0)</f>
        <v>3</v>
      </c>
      <c r="K589" s="243">
        <f ca="1">OFFSET(card_type!$G$1,MATCH(Q589,card_type!A:A,0)-1,0)</f>
        <v>4</v>
      </c>
      <c r="L589" s="157">
        <v>2</v>
      </c>
      <c r="M589" s="157">
        <v>2</v>
      </c>
      <c r="N589" s="153">
        <f t="shared" si="99"/>
        <v>14</v>
      </c>
      <c r="O589" s="157"/>
      <c r="P589" s="157"/>
      <c r="Q589" s="153">
        <f ca="1">OFFSET(card_type!$A$1,MATCH(card!B589,card_type!B:B,0)-1,0)</f>
        <v>1020</v>
      </c>
      <c r="R589" s="153">
        <v>1</v>
      </c>
      <c r="S589" s="157">
        <f ca="1">ROUND(IF(R589=0,0,IF(R589=1,X589*$S$1,IF(R589=2,X589*$S$1*buff的资质计算!$E$2,IF(R589=3,X589*$S$1*buff的资质计算!$E$3,0)))),0)*0</f>
        <v>0</v>
      </c>
      <c r="T589" s="153">
        <v>1</v>
      </c>
      <c r="U589" s="153">
        <f ca="1" t="shared" si="100"/>
        <v>34</v>
      </c>
      <c r="V589" s="153">
        <f ca="1">ROUND((OFFSET(卡牌辅助配置表!$O$1,MATCH(U589,卡牌辅助配置表!M:M,0)-1,0)+(N589-1)*OFFSET(卡牌辅助配置表!$P$1,MATCH(U589,卡牌辅助配置表!M:M,0)-1,0))*M589,2)</f>
        <v>159.38</v>
      </c>
      <c r="W589" s="157">
        <f ca="1">ROUND(IF(R589=0,0,IF(R589=1,X589*$W$1,IF(R589=2,X589*$W$1*buff的资质计算!$E$2,IF(R589=3,X589*$W$1*buff的资质计算!$E$3,0)))),2)</f>
        <v>19.95</v>
      </c>
      <c r="X589" s="157">
        <f ca="1" t="shared" si="101"/>
        <v>66.5</v>
      </c>
      <c r="Y589" s="157">
        <f ca="1" t="shared" si="96"/>
        <v>67.3888888888889</v>
      </c>
      <c r="Z589" s="304">
        <f ca="1" t="shared" si="102"/>
        <v>33.6944444444444</v>
      </c>
      <c r="AA589" s="304">
        <f ca="1">OFFSET(卡牌辅助配置表!$AD$1,MATCH(AB589,卡牌辅助配置表!AB:AB,0)-1,0)</f>
        <v>13280</v>
      </c>
      <c r="AB589" s="304">
        <f ca="1" t="shared" si="103"/>
        <v>3414</v>
      </c>
      <c r="AC589" s="153">
        <v>11</v>
      </c>
      <c r="AE589" s="153">
        <v>5000</v>
      </c>
      <c r="AF589" s="153" t="str">
        <f ca="1" t="shared" si="97"/>
        <v>10200011|</v>
      </c>
      <c r="AH589" s="153">
        <v>2</v>
      </c>
      <c r="AJ589" s="205" t="str">
        <f ca="1" t="shared" si="104"/>
        <v>400023|12900|;</v>
      </c>
      <c r="AK589" s="205">
        <f ca="1">OFFSET([1]item_type!$A$1,MATCH(Q589,[1]item_type!$G:$G,0)-1,0)</f>
        <v>301020</v>
      </c>
      <c r="AL589" s="205"/>
      <c r="AM589" s="205">
        <f ca="1">IF(B589=B590,OFFSET(卡牌辅助配置表!$AE$1,MATCH(AB589,卡牌辅助配置表!AB:AB,0),0),0)</f>
        <v>12900</v>
      </c>
      <c r="AN589" s="153">
        <f ca="1" t="shared" si="105"/>
        <v>1020015</v>
      </c>
      <c r="AP589" s="153" t="str">
        <f ca="1">IF(AC589=0,0,IF(AC589=12,0,OFFSET(effect!$N$1,MATCH(K589,effect!M:M,0)-1,0)))</f>
        <v>kpsx_huangse</v>
      </c>
    </row>
    <row r="590" spans="1:42">
      <c r="A590" s="153">
        <f ca="1" t="shared" si="98"/>
        <v>1020015</v>
      </c>
      <c r="B590" s="91" t="s">
        <v>461</v>
      </c>
      <c r="C590" s="186">
        <v>1</v>
      </c>
      <c r="D590" s="186">
        <v>4</v>
      </c>
      <c r="E590" s="165" t="s">
        <v>1050</v>
      </c>
      <c r="F590" s="165" t="str">
        <f>"血量低于50%时，获得"&amp;skill!$O$54/100&amp;"%吸血效果"</f>
        <v>血量低于50%时，获得80%吸血效果</v>
      </c>
      <c r="G590" s="186">
        <f ca="1">OFFSET(卡牌辅助配置表!$C$1,MATCH(AC590,卡牌辅助配置表!A:A,0)-1,0)</f>
        <v>6</v>
      </c>
      <c r="H590" s="186">
        <f ca="1">OFFSET(skill!$Q$1,MATCH(B590,skill!B:B,0)-1,0)</f>
        <v>0.888888888888889</v>
      </c>
      <c r="I590" s="186"/>
      <c r="J590" s="186">
        <f ca="1">OFFSET(card_type!$F$1,MATCH(Q590,card_type!A:A,0)-1,0)</f>
        <v>3</v>
      </c>
      <c r="K590" s="243">
        <f ca="1">OFFSET(card_type!$G$1,MATCH(Q590,card_type!A:A,0)-1,0)</f>
        <v>4</v>
      </c>
      <c r="L590" s="157">
        <v>2</v>
      </c>
      <c r="M590" s="157">
        <v>2</v>
      </c>
      <c r="N590" s="153">
        <f t="shared" si="99"/>
        <v>15</v>
      </c>
      <c r="O590" s="157"/>
      <c r="P590" s="157"/>
      <c r="Q590" s="153">
        <f ca="1">OFFSET(card_type!$A$1,MATCH(card!B590,card_type!B:B,0)-1,0)</f>
        <v>1020</v>
      </c>
      <c r="R590" s="153">
        <v>1</v>
      </c>
      <c r="S590" s="157">
        <f ca="1">ROUND(IF(R590=0,0,IF(R590=1,X590*$S$1,IF(R590=2,X590*$S$1*buff的资质计算!$E$2,IF(R590=3,X590*$S$1*buff的资质计算!$E$3,0)))),0)*0</f>
        <v>0</v>
      </c>
      <c r="T590" s="153">
        <v>1</v>
      </c>
      <c r="U590" s="153">
        <f ca="1" t="shared" si="100"/>
        <v>34</v>
      </c>
      <c r="V590" s="153">
        <f ca="1">ROUND((OFFSET(卡牌辅助配置表!$O$1,MATCH(U590,卡牌辅助配置表!M:M,0)-1,0)+(N590-1)*OFFSET(卡牌辅助配置表!$P$1,MATCH(U590,卡牌辅助配置表!M:M,0)-1,0))*M590,2)</f>
        <v>166.34</v>
      </c>
      <c r="W590" s="157">
        <f ca="1">ROUND(IF(R590=0,0,IF(R590=1,X590*$W$1,IF(R590=2,X590*$W$1*buff的资质计算!$E$2,IF(R590=3,X590*$W$1*buff的资质计算!$E$3,0)))),2)</f>
        <v>20.1</v>
      </c>
      <c r="X590" s="157">
        <f ca="1" t="shared" si="101"/>
        <v>67</v>
      </c>
      <c r="Y590" s="157">
        <f ca="1" t="shared" si="96"/>
        <v>67.8888888888889</v>
      </c>
      <c r="Z590" s="304">
        <f ca="1" t="shared" si="102"/>
        <v>33.9444444444444</v>
      </c>
      <c r="AA590" s="304">
        <f ca="1">OFFSET(卡牌辅助配置表!$AD$1,MATCH(AB590,卡牌辅助配置表!AB:AB,0)-1,0)</f>
        <v>14525</v>
      </c>
      <c r="AB590" s="304">
        <f ca="1" t="shared" si="103"/>
        <v>3415</v>
      </c>
      <c r="AC590" s="153">
        <v>11</v>
      </c>
      <c r="AE590" s="153">
        <v>5000</v>
      </c>
      <c r="AF590" s="153" t="str">
        <f ca="1" t="shared" si="97"/>
        <v>10200011|</v>
      </c>
      <c r="AH590" s="153">
        <v>2</v>
      </c>
      <c r="AJ590" s="205" t="str">
        <f ca="1" t="shared" si="104"/>
        <v>400023|14100|;</v>
      </c>
      <c r="AK590" s="205">
        <f ca="1">OFFSET([1]item_type!$A$1,MATCH(Q590,[1]item_type!$G:$G,0)-1,0)</f>
        <v>301020</v>
      </c>
      <c r="AL590" s="205"/>
      <c r="AM590" s="205">
        <f ca="1">IF(B590=B591,OFFSET(卡牌辅助配置表!$AE$1,MATCH(AB590,卡牌辅助配置表!AB:AB,0),0),0)</f>
        <v>14100</v>
      </c>
      <c r="AN590" s="153">
        <f ca="1" t="shared" si="105"/>
        <v>1020016</v>
      </c>
      <c r="AP590" s="153" t="str">
        <f ca="1">IF(AC590=0,0,IF(AC590=12,0,OFFSET(effect!$N$1,MATCH(K590,effect!M:M,0)-1,0)))</f>
        <v>kpsx_huangse</v>
      </c>
    </row>
    <row r="591" spans="1:42">
      <c r="A591" s="153">
        <f ca="1" t="shared" si="98"/>
        <v>1020016</v>
      </c>
      <c r="B591" s="91" t="s">
        <v>461</v>
      </c>
      <c r="C591" s="186">
        <v>1</v>
      </c>
      <c r="D591" s="186">
        <v>4</v>
      </c>
      <c r="E591" s="165" t="s">
        <v>1050</v>
      </c>
      <c r="F591" s="165" t="str">
        <f>"血量低于50%时，获得"&amp;skill!$O$54/100&amp;"%吸血效果"</f>
        <v>血量低于50%时，获得80%吸血效果</v>
      </c>
      <c r="G591" s="186">
        <f ca="1">OFFSET(卡牌辅助配置表!$C$1,MATCH(AC591,卡牌辅助配置表!A:A,0)-1,0)</f>
        <v>6</v>
      </c>
      <c r="H591" s="186">
        <f ca="1">OFFSET(skill!$Q$1,MATCH(B591,skill!B:B,0)-1,0)</f>
        <v>0.888888888888889</v>
      </c>
      <c r="I591" s="186"/>
      <c r="J591" s="186">
        <f ca="1">OFFSET(card_type!$F$1,MATCH(Q591,card_type!A:A,0)-1,0)</f>
        <v>3</v>
      </c>
      <c r="K591" s="243">
        <f ca="1">OFFSET(card_type!$G$1,MATCH(Q591,card_type!A:A,0)-1,0)</f>
        <v>4</v>
      </c>
      <c r="L591" s="157">
        <v>2</v>
      </c>
      <c r="M591" s="157">
        <v>2</v>
      </c>
      <c r="N591" s="153">
        <f t="shared" si="99"/>
        <v>16</v>
      </c>
      <c r="O591" s="157"/>
      <c r="P591" s="157"/>
      <c r="Q591" s="153">
        <f ca="1">OFFSET(card_type!$A$1,MATCH(card!B591,card_type!B:B,0)-1,0)</f>
        <v>1020</v>
      </c>
      <c r="R591" s="153">
        <v>1</v>
      </c>
      <c r="S591" s="157">
        <f ca="1">ROUND(IF(R591=0,0,IF(R591=1,X591*$S$1,IF(R591=2,X591*$S$1*buff的资质计算!$E$2,IF(R591=3,X591*$S$1*buff的资质计算!$E$3,0)))),0)*0</f>
        <v>0</v>
      </c>
      <c r="T591" s="153">
        <v>1</v>
      </c>
      <c r="U591" s="153">
        <f ca="1" t="shared" si="100"/>
        <v>34</v>
      </c>
      <c r="V591" s="153">
        <f ca="1">ROUND((OFFSET(卡牌辅助配置表!$O$1,MATCH(U591,卡牌辅助配置表!M:M,0)-1,0)+(N591-1)*OFFSET(卡牌辅助配置表!$P$1,MATCH(U591,卡牌辅助配置表!M:M,0)-1,0))*M591,2)</f>
        <v>173.3</v>
      </c>
      <c r="W591" s="157">
        <f ca="1">ROUND(IF(R591=0,0,IF(R591=1,X591*$W$1,IF(R591=2,X591*$W$1*buff的资质计算!$E$2,IF(R591=3,X591*$W$1*buff的资质计算!$E$3,0)))),2)</f>
        <v>20.25</v>
      </c>
      <c r="X591" s="157">
        <f ca="1" t="shared" si="101"/>
        <v>67.5</v>
      </c>
      <c r="Y591" s="157">
        <f ca="1" t="shared" si="96"/>
        <v>68.3888888888889</v>
      </c>
      <c r="Z591" s="304">
        <f ca="1" t="shared" si="102"/>
        <v>34.1944444444444</v>
      </c>
      <c r="AA591" s="304">
        <f ca="1">OFFSET(卡牌辅助配置表!$AD$1,MATCH(AB591,卡牌辅助配置表!AB:AB,0)-1,0)</f>
        <v>15770</v>
      </c>
      <c r="AB591" s="304">
        <f ca="1" t="shared" si="103"/>
        <v>3416</v>
      </c>
      <c r="AC591" s="153">
        <v>11</v>
      </c>
      <c r="AE591" s="153">
        <v>5000</v>
      </c>
      <c r="AF591" s="153" t="str">
        <f ca="1" t="shared" si="97"/>
        <v>10200011|</v>
      </c>
      <c r="AH591" s="153">
        <v>2</v>
      </c>
      <c r="AJ591" s="205" t="str">
        <f ca="1" t="shared" si="104"/>
        <v>400023|15300|;</v>
      </c>
      <c r="AK591" s="205">
        <f ca="1">OFFSET([1]item_type!$A$1,MATCH(Q591,[1]item_type!$G:$G,0)-1,0)</f>
        <v>301020</v>
      </c>
      <c r="AL591" s="205"/>
      <c r="AM591" s="205">
        <f ca="1">IF(B591=B592,OFFSET(卡牌辅助配置表!$AE$1,MATCH(AB591,卡牌辅助配置表!AB:AB,0),0),0)</f>
        <v>15300</v>
      </c>
      <c r="AN591" s="153">
        <f ca="1" t="shared" si="105"/>
        <v>1020017</v>
      </c>
      <c r="AP591" s="153" t="str">
        <f ca="1">IF(AC591=0,0,IF(AC591=12,0,OFFSET(effect!$N$1,MATCH(K591,effect!M:M,0)-1,0)))</f>
        <v>kpsx_huangse</v>
      </c>
    </row>
    <row r="592" spans="1:42">
      <c r="A592" s="153">
        <f ca="1" t="shared" si="98"/>
        <v>1020017</v>
      </c>
      <c r="B592" s="91" t="s">
        <v>461</v>
      </c>
      <c r="C592" s="186">
        <v>1</v>
      </c>
      <c r="D592" s="186">
        <v>4</v>
      </c>
      <c r="E592" s="165" t="s">
        <v>1050</v>
      </c>
      <c r="F592" s="165" t="str">
        <f>"血量低于50%时，获得"&amp;skill!$O$54/100&amp;"%吸血效果"</f>
        <v>血量低于50%时，获得80%吸血效果</v>
      </c>
      <c r="G592" s="186">
        <f ca="1">OFFSET(卡牌辅助配置表!$C$1,MATCH(AC592,卡牌辅助配置表!A:A,0)-1,0)</f>
        <v>6</v>
      </c>
      <c r="H592" s="186">
        <f ca="1">OFFSET(skill!$Q$1,MATCH(B592,skill!B:B,0)-1,0)</f>
        <v>0.888888888888889</v>
      </c>
      <c r="I592" s="186"/>
      <c r="J592" s="186">
        <f ca="1">OFFSET(card_type!$F$1,MATCH(Q592,card_type!A:A,0)-1,0)</f>
        <v>3</v>
      </c>
      <c r="K592" s="243">
        <f ca="1">OFFSET(card_type!$G$1,MATCH(Q592,card_type!A:A,0)-1,0)</f>
        <v>4</v>
      </c>
      <c r="L592" s="157">
        <v>2</v>
      </c>
      <c r="M592" s="157">
        <v>2</v>
      </c>
      <c r="N592" s="153">
        <f t="shared" si="99"/>
        <v>17</v>
      </c>
      <c r="O592" s="157"/>
      <c r="P592" s="157"/>
      <c r="Q592" s="153">
        <f ca="1">OFFSET(card_type!$A$1,MATCH(card!B592,card_type!B:B,0)-1,0)</f>
        <v>1020</v>
      </c>
      <c r="R592" s="153">
        <v>1</v>
      </c>
      <c r="S592" s="157">
        <f ca="1">ROUND(IF(R592=0,0,IF(R592=1,X592*$S$1,IF(R592=2,X592*$S$1*buff的资质计算!$E$2,IF(R592=3,X592*$S$1*buff的资质计算!$E$3,0)))),0)*0</f>
        <v>0</v>
      </c>
      <c r="T592" s="153">
        <v>1</v>
      </c>
      <c r="U592" s="153">
        <f ca="1" t="shared" si="100"/>
        <v>34</v>
      </c>
      <c r="V592" s="153">
        <f ca="1">ROUND((OFFSET(卡牌辅助配置表!$O$1,MATCH(U592,卡牌辅助配置表!M:M,0)-1,0)+(N592-1)*OFFSET(卡牌辅助配置表!$P$1,MATCH(U592,卡牌辅助配置表!M:M,0)-1,0))*M592,2)</f>
        <v>180.26</v>
      </c>
      <c r="W592" s="157">
        <f ca="1">ROUND(IF(R592=0,0,IF(R592=1,X592*$W$1,IF(R592=2,X592*$W$1*buff的资质计算!$E$2,IF(R592=3,X592*$W$1*buff的资质计算!$E$3,0)))),2)</f>
        <v>20.4</v>
      </c>
      <c r="X592" s="157">
        <f ca="1" t="shared" si="101"/>
        <v>68</v>
      </c>
      <c r="Y592" s="157">
        <f ca="1" t="shared" ref="Y592:Y655" si="106">X592+H592</f>
        <v>68.8888888888889</v>
      </c>
      <c r="Z592" s="304">
        <f ca="1" t="shared" si="102"/>
        <v>34.4444444444444</v>
      </c>
      <c r="AA592" s="304">
        <f ca="1">OFFSET(卡牌辅助配置表!$AD$1,MATCH(AB592,卡牌辅助配置表!AB:AB,0)-1,0)</f>
        <v>17015</v>
      </c>
      <c r="AB592" s="304">
        <f ca="1" t="shared" si="103"/>
        <v>3417</v>
      </c>
      <c r="AC592" s="153">
        <v>11</v>
      </c>
      <c r="AE592" s="153">
        <v>5000</v>
      </c>
      <c r="AF592" s="153" t="str">
        <f ca="1" t="shared" ref="AF592:AF655" si="107">((Q592*1000+1)*10+1)&amp;$AF$1</f>
        <v>10200011|</v>
      </c>
      <c r="AH592" s="153">
        <v>2</v>
      </c>
      <c r="AJ592" s="205" t="str">
        <f ca="1" t="shared" si="104"/>
        <v>400023|16500|;</v>
      </c>
      <c r="AK592" s="205">
        <f ca="1">OFFSET([1]item_type!$A$1,MATCH(Q592,[1]item_type!$G:$G,0)-1,0)</f>
        <v>301020</v>
      </c>
      <c r="AL592" s="205"/>
      <c r="AM592" s="205">
        <f ca="1">IF(B592=B593,OFFSET(卡牌辅助配置表!$AE$1,MATCH(AB592,卡牌辅助配置表!AB:AB,0),0),0)</f>
        <v>16500</v>
      </c>
      <c r="AN592" s="153">
        <f ca="1" t="shared" si="105"/>
        <v>1020018</v>
      </c>
      <c r="AP592" s="153" t="str">
        <f ca="1">IF(AC592=0,0,IF(AC592=12,0,OFFSET(effect!$N$1,MATCH(K592,effect!M:M,0)-1,0)))</f>
        <v>kpsx_huangse</v>
      </c>
    </row>
    <row r="593" spans="1:42">
      <c r="A593" s="153">
        <f ca="1" t="shared" si="98"/>
        <v>1020018</v>
      </c>
      <c r="B593" s="91" t="s">
        <v>461</v>
      </c>
      <c r="C593" s="186">
        <v>1</v>
      </c>
      <c r="D593" s="186">
        <v>4</v>
      </c>
      <c r="E593" s="165" t="s">
        <v>1050</v>
      </c>
      <c r="F593" s="165" t="str">
        <f>"血量低于50%时，获得"&amp;skill!$O$54/100&amp;"%吸血效果"</f>
        <v>血量低于50%时，获得80%吸血效果</v>
      </c>
      <c r="G593" s="186">
        <f ca="1">OFFSET(卡牌辅助配置表!$C$1,MATCH(AC593,卡牌辅助配置表!A:A,0)-1,0)</f>
        <v>6</v>
      </c>
      <c r="H593" s="186">
        <f ca="1">OFFSET(skill!$Q$1,MATCH(B593,skill!B:B,0)-1,0)</f>
        <v>0.888888888888889</v>
      </c>
      <c r="I593" s="186"/>
      <c r="J593" s="186">
        <f ca="1">OFFSET(card_type!$F$1,MATCH(Q593,card_type!A:A,0)-1,0)</f>
        <v>3</v>
      </c>
      <c r="K593" s="243">
        <f ca="1">OFFSET(card_type!$G$1,MATCH(Q593,card_type!A:A,0)-1,0)</f>
        <v>4</v>
      </c>
      <c r="L593" s="157">
        <v>2</v>
      </c>
      <c r="M593" s="157">
        <v>2</v>
      </c>
      <c r="N593" s="153">
        <f t="shared" si="99"/>
        <v>18</v>
      </c>
      <c r="O593" s="157"/>
      <c r="P593" s="157"/>
      <c r="Q593" s="153">
        <f ca="1">OFFSET(card_type!$A$1,MATCH(card!B593,card_type!B:B,0)-1,0)</f>
        <v>1020</v>
      </c>
      <c r="R593" s="153">
        <v>1</v>
      </c>
      <c r="S593" s="157">
        <f ca="1">ROUND(IF(R593=0,0,IF(R593=1,X593*$S$1,IF(R593=2,X593*$S$1*buff的资质计算!$E$2,IF(R593=3,X593*$S$1*buff的资质计算!$E$3,0)))),0)*0</f>
        <v>0</v>
      </c>
      <c r="T593" s="153">
        <v>1</v>
      </c>
      <c r="U593" s="153">
        <f ca="1" t="shared" si="100"/>
        <v>34</v>
      </c>
      <c r="V593" s="153">
        <f ca="1">ROUND((OFFSET(卡牌辅助配置表!$O$1,MATCH(U593,卡牌辅助配置表!M:M,0)-1,0)+(N593-1)*OFFSET(卡牌辅助配置表!$P$1,MATCH(U593,卡牌辅助配置表!M:M,0)-1,0))*M593,2)</f>
        <v>187.22</v>
      </c>
      <c r="W593" s="157">
        <f ca="1">ROUND(IF(R593=0,0,IF(R593=1,X593*$W$1,IF(R593=2,X593*$W$1*buff的资质计算!$E$2,IF(R593=3,X593*$W$1*buff的资质计算!$E$3,0)))),2)</f>
        <v>20.55</v>
      </c>
      <c r="X593" s="157">
        <f ca="1" t="shared" si="101"/>
        <v>68.5</v>
      </c>
      <c r="Y593" s="157">
        <f ca="1" t="shared" si="106"/>
        <v>69.3888888888889</v>
      </c>
      <c r="Z593" s="304">
        <f ca="1" t="shared" si="102"/>
        <v>34.6944444444444</v>
      </c>
      <c r="AA593" s="304">
        <f ca="1">OFFSET(卡牌辅助配置表!$AD$1,MATCH(AB593,卡牌辅助配置表!AB:AB,0)-1,0)</f>
        <v>18260</v>
      </c>
      <c r="AB593" s="304">
        <f ca="1" t="shared" si="103"/>
        <v>3418</v>
      </c>
      <c r="AC593" s="153">
        <v>11</v>
      </c>
      <c r="AE593" s="153">
        <v>5000</v>
      </c>
      <c r="AF593" s="153" t="str">
        <f ca="1" t="shared" si="107"/>
        <v>10200011|</v>
      </c>
      <c r="AH593" s="153">
        <v>2</v>
      </c>
      <c r="AJ593" s="205" t="str">
        <f ca="1" t="shared" si="104"/>
        <v>400023|17700|;</v>
      </c>
      <c r="AK593" s="205">
        <f ca="1">OFFSET([1]item_type!$A$1,MATCH(Q593,[1]item_type!$G:$G,0)-1,0)</f>
        <v>301020</v>
      </c>
      <c r="AL593" s="205"/>
      <c r="AM593" s="205">
        <f ca="1">IF(B593=B594,OFFSET(卡牌辅助配置表!$AE$1,MATCH(AB593,卡牌辅助配置表!AB:AB,0),0),0)</f>
        <v>17700</v>
      </c>
      <c r="AN593" s="153">
        <f ca="1" t="shared" si="105"/>
        <v>1020019</v>
      </c>
      <c r="AP593" s="153" t="str">
        <f ca="1">IF(AC593=0,0,IF(AC593=12,0,OFFSET(effect!$N$1,MATCH(K593,effect!M:M,0)-1,0)))</f>
        <v>kpsx_huangse</v>
      </c>
    </row>
    <row r="594" spans="1:42">
      <c r="A594" s="153">
        <f ca="1" t="shared" si="98"/>
        <v>1020019</v>
      </c>
      <c r="B594" s="91" t="s">
        <v>461</v>
      </c>
      <c r="C594" s="186">
        <v>1</v>
      </c>
      <c r="D594" s="186">
        <v>4</v>
      </c>
      <c r="E594" s="165" t="s">
        <v>1050</v>
      </c>
      <c r="F594" s="165" t="str">
        <f>"血量低于50%时，获得"&amp;skill!$O$54/100&amp;"%吸血效果"</f>
        <v>血量低于50%时，获得80%吸血效果</v>
      </c>
      <c r="G594" s="186">
        <f ca="1">OFFSET(卡牌辅助配置表!$C$1,MATCH(AC594,卡牌辅助配置表!A:A,0)-1,0)</f>
        <v>6</v>
      </c>
      <c r="H594" s="186">
        <f ca="1">OFFSET(skill!$Q$1,MATCH(B594,skill!B:B,0)-1,0)</f>
        <v>0.888888888888889</v>
      </c>
      <c r="I594" s="186"/>
      <c r="J594" s="186">
        <f ca="1">OFFSET(card_type!$F$1,MATCH(Q594,card_type!A:A,0)-1,0)</f>
        <v>3</v>
      </c>
      <c r="K594" s="243">
        <f ca="1">OFFSET(card_type!$G$1,MATCH(Q594,card_type!A:A,0)-1,0)</f>
        <v>4</v>
      </c>
      <c r="L594" s="157">
        <v>2</v>
      </c>
      <c r="M594" s="157">
        <v>2</v>
      </c>
      <c r="N594" s="153">
        <f t="shared" si="99"/>
        <v>19</v>
      </c>
      <c r="O594" s="157"/>
      <c r="P594" s="157"/>
      <c r="Q594" s="153">
        <f ca="1">OFFSET(card_type!$A$1,MATCH(card!B594,card_type!B:B,0)-1,0)</f>
        <v>1020</v>
      </c>
      <c r="R594" s="153">
        <v>1</v>
      </c>
      <c r="S594" s="157">
        <f ca="1">ROUND(IF(R594=0,0,IF(R594=1,X594*$S$1,IF(R594=2,X594*$S$1*buff的资质计算!$E$2,IF(R594=3,X594*$S$1*buff的资质计算!$E$3,0)))),0)*0</f>
        <v>0</v>
      </c>
      <c r="T594" s="153">
        <v>1</v>
      </c>
      <c r="U594" s="153">
        <f ca="1" t="shared" si="100"/>
        <v>34</v>
      </c>
      <c r="V594" s="153">
        <f ca="1">ROUND((OFFSET(卡牌辅助配置表!$O$1,MATCH(U594,卡牌辅助配置表!M:M,0)-1,0)+(N594-1)*OFFSET(卡牌辅助配置表!$P$1,MATCH(U594,卡牌辅助配置表!M:M,0)-1,0))*M594,2)</f>
        <v>194.18</v>
      </c>
      <c r="W594" s="157">
        <f ca="1">ROUND(IF(R594=0,0,IF(R594=1,X594*$W$1,IF(R594=2,X594*$W$1*buff的资质计算!$E$2,IF(R594=3,X594*$W$1*buff的资质计算!$E$3,0)))),2)</f>
        <v>20.7</v>
      </c>
      <c r="X594" s="157">
        <f ca="1" t="shared" si="101"/>
        <v>69</v>
      </c>
      <c r="Y594" s="157">
        <f ca="1" t="shared" si="106"/>
        <v>69.8888888888889</v>
      </c>
      <c r="Z594" s="304">
        <f ca="1" t="shared" si="102"/>
        <v>34.9444444444444</v>
      </c>
      <c r="AA594" s="304">
        <f ca="1">OFFSET(卡牌辅助配置表!$AD$1,MATCH(AB594,卡牌辅助配置表!AB:AB,0)-1,0)</f>
        <v>19505</v>
      </c>
      <c r="AB594" s="304">
        <f ca="1" t="shared" si="103"/>
        <v>3419</v>
      </c>
      <c r="AC594" s="153">
        <v>11</v>
      </c>
      <c r="AE594" s="153">
        <v>5000</v>
      </c>
      <c r="AF594" s="153" t="str">
        <f ca="1" t="shared" si="107"/>
        <v>10200011|</v>
      </c>
      <c r="AH594" s="153">
        <v>2</v>
      </c>
      <c r="AJ594" s="205" t="str">
        <f ca="1" t="shared" si="104"/>
        <v>301020|20|;400023|18900|;</v>
      </c>
      <c r="AK594" s="205">
        <f ca="1">OFFSET([1]item_type!$A$1,MATCH(Q594,[1]item_type!$G:$G,0)-1,0)</f>
        <v>301020</v>
      </c>
      <c r="AL594" s="205">
        <v>20</v>
      </c>
      <c r="AM594" s="205">
        <f ca="1">IF(B594=B595,OFFSET(卡牌辅助配置表!$AE$1,MATCH(AB594,卡牌辅助配置表!AB:AB,0),0),0)</f>
        <v>18900</v>
      </c>
      <c r="AN594" s="153">
        <f ca="1" t="shared" si="105"/>
        <v>1020020</v>
      </c>
      <c r="AP594" s="153" t="str">
        <f ca="1">IF(AC594=0,0,IF(AC594=12,0,OFFSET(effect!$N$1,MATCH(K594,effect!M:M,0)-1,0)))</f>
        <v>kpsx_huangse</v>
      </c>
    </row>
    <row r="595" spans="1:42">
      <c r="A595" s="153">
        <f ca="1" t="shared" si="98"/>
        <v>1020020</v>
      </c>
      <c r="B595" s="91" t="s">
        <v>461</v>
      </c>
      <c r="C595" s="186">
        <v>1</v>
      </c>
      <c r="D595" s="186">
        <v>4</v>
      </c>
      <c r="E595" s="165" t="s">
        <v>1050</v>
      </c>
      <c r="F595" s="165" t="str">
        <f>"血量低于50%时，获得"&amp;skill!$O$54/100&amp;"%吸血效果"</f>
        <v>血量低于50%时，获得80%吸血效果</v>
      </c>
      <c r="G595" s="186">
        <f ca="1">OFFSET(卡牌辅助配置表!$C$1,MATCH(AC595,卡牌辅助配置表!A:A,0)-1,0)</f>
        <v>6</v>
      </c>
      <c r="H595" s="186">
        <f ca="1">OFFSET(skill!$Q$1,MATCH(B595,skill!B:B,0)-1,0)</f>
        <v>0.888888888888889</v>
      </c>
      <c r="I595" s="186"/>
      <c r="J595" s="186">
        <f ca="1">OFFSET(card_type!$F$1,MATCH(Q595,card_type!A:A,0)-1,0)</f>
        <v>3</v>
      </c>
      <c r="K595" s="243">
        <f ca="1">OFFSET(card_type!$G$1,MATCH(Q595,card_type!A:A,0)-1,0)</f>
        <v>4</v>
      </c>
      <c r="L595" s="157">
        <v>2</v>
      </c>
      <c r="M595" s="157">
        <v>2</v>
      </c>
      <c r="N595" s="153">
        <f t="shared" si="99"/>
        <v>20</v>
      </c>
      <c r="O595" s="157"/>
      <c r="P595" s="157"/>
      <c r="Q595" s="153">
        <f ca="1">OFFSET(card_type!$A$1,MATCH(card!B595,card_type!B:B,0)-1,0)</f>
        <v>1020</v>
      </c>
      <c r="R595" s="153">
        <v>1</v>
      </c>
      <c r="S595" s="157">
        <f ca="1">ROUND(IF(R595=0,0,IF(R595=1,X595*$S$1,IF(R595=2,X595*$S$1*buff的资质计算!$E$2,IF(R595=3,X595*$S$1*buff的资质计算!$E$3,0)))),0)*0</f>
        <v>0</v>
      </c>
      <c r="T595" s="153">
        <v>1</v>
      </c>
      <c r="U595" s="153">
        <f ca="1" t="shared" si="100"/>
        <v>34</v>
      </c>
      <c r="V595" s="153">
        <f ca="1">ROUND((OFFSET(卡牌辅助配置表!$O$1,MATCH(U595,卡牌辅助配置表!M:M,0)-1,0)+(N595-1)*OFFSET(卡牌辅助配置表!$P$1,MATCH(U595,卡牌辅助配置表!M:M,0)-1,0))*M595,2)</f>
        <v>201.14</v>
      </c>
      <c r="W595" s="157">
        <f ca="1">ROUND(IF(R595=0,0,IF(R595=1,X595*$W$1,IF(R595=2,X595*$W$1*buff的资质计算!$E$2,IF(R595=3,X595*$W$1*buff的资质计算!$E$3,0)))),2)</f>
        <v>20.85</v>
      </c>
      <c r="X595" s="157">
        <f ca="1" t="shared" si="101"/>
        <v>69.5</v>
      </c>
      <c r="Y595" s="157">
        <f ca="1" t="shared" si="106"/>
        <v>70.3888888888889</v>
      </c>
      <c r="Z595" s="304">
        <f ca="1" t="shared" si="102"/>
        <v>35.1944444444444</v>
      </c>
      <c r="AA595" s="304">
        <f ca="1">OFFSET(卡牌辅助配置表!$AD$1,MATCH(AB595,卡牌辅助配置表!AB:AB,0)-1,0)</f>
        <v>20750</v>
      </c>
      <c r="AB595" s="304">
        <f ca="1" t="shared" si="103"/>
        <v>3420</v>
      </c>
      <c r="AC595" s="153">
        <v>11</v>
      </c>
      <c r="AE595" s="153">
        <v>5000</v>
      </c>
      <c r="AF595" s="153" t="str">
        <f ca="1" t="shared" si="107"/>
        <v>10200011|</v>
      </c>
      <c r="AH595" s="153">
        <v>2</v>
      </c>
      <c r="AJ595" s="205" t="str">
        <f ca="1" t="shared" si="104"/>
        <v>400023|21300|;</v>
      </c>
      <c r="AK595" s="205">
        <f ca="1">OFFSET([1]item_type!$A$1,MATCH(Q595,[1]item_type!$G:$G,0)-1,0)</f>
        <v>301020</v>
      </c>
      <c r="AL595" s="205"/>
      <c r="AM595" s="205">
        <f ca="1">IF(B595=B596,OFFSET(卡牌辅助配置表!$AE$1,MATCH(AB595,卡牌辅助配置表!AB:AB,0),0),0)</f>
        <v>21300</v>
      </c>
      <c r="AN595" s="153">
        <f ca="1" t="shared" si="105"/>
        <v>1020021</v>
      </c>
      <c r="AP595" s="153" t="str">
        <f ca="1">IF(AC595=0,0,IF(AC595=12,0,OFFSET(effect!$N$1,MATCH(K595,effect!M:M,0)-1,0)))</f>
        <v>kpsx_huangse</v>
      </c>
    </row>
    <row r="596" spans="1:42">
      <c r="A596" s="153">
        <f ca="1" t="shared" si="98"/>
        <v>1020021</v>
      </c>
      <c r="B596" s="91" t="s">
        <v>461</v>
      </c>
      <c r="C596" s="186">
        <v>1</v>
      </c>
      <c r="D596" s="186">
        <v>4</v>
      </c>
      <c r="E596" s="165" t="s">
        <v>1050</v>
      </c>
      <c r="F596" s="165" t="str">
        <f>"血量低于50%时，获得"&amp;skill!$O$54/100&amp;"%吸血效果"</f>
        <v>血量低于50%时，获得80%吸血效果</v>
      </c>
      <c r="G596" s="186">
        <f ca="1">OFFSET(卡牌辅助配置表!$C$1,MATCH(AC596,卡牌辅助配置表!A:A,0)-1,0)</f>
        <v>6</v>
      </c>
      <c r="H596" s="186">
        <f ca="1">OFFSET(skill!$Q$1,MATCH(B596,skill!B:B,0)-1,0)</f>
        <v>0.888888888888889</v>
      </c>
      <c r="I596" s="186"/>
      <c r="J596" s="186">
        <f ca="1">OFFSET(card_type!$F$1,MATCH(Q596,card_type!A:A,0)-1,0)</f>
        <v>3</v>
      </c>
      <c r="K596" s="243">
        <f ca="1">OFFSET(card_type!$G$1,MATCH(Q596,card_type!A:A,0)-1,0)</f>
        <v>4</v>
      </c>
      <c r="L596" s="157">
        <v>2</v>
      </c>
      <c r="M596" s="157">
        <v>2</v>
      </c>
      <c r="N596" s="153">
        <f t="shared" si="99"/>
        <v>21</v>
      </c>
      <c r="O596" s="157"/>
      <c r="P596" s="157"/>
      <c r="Q596" s="153">
        <f ca="1">OFFSET(card_type!$A$1,MATCH(card!B596,card_type!B:B,0)-1,0)</f>
        <v>1020</v>
      </c>
      <c r="R596" s="153">
        <v>1</v>
      </c>
      <c r="S596" s="157">
        <f ca="1">ROUND(IF(R596=0,0,IF(R596=1,X596*$S$1,IF(R596=2,X596*$S$1*buff的资质计算!$E$2,IF(R596=3,X596*$S$1*buff的资质计算!$E$3,0)))),0)*0</f>
        <v>0</v>
      </c>
      <c r="T596" s="153">
        <v>1</v>
      </c>
      <c r="U596" s="153">
        <f ca="1" t="shared" si="100"/>
        <v>34</v>
      </c>
      <c r="V596" s="153">
        <f ca="1">ROUND((OFFSET(卡牌辅助配置表!$O$1,MATCH(U596,卡牌辅助配置表!M:M,0)-1,0)+(N596-1)*OFFSET(卡牌辅助配置表!$P$1,MATCH(U596,卡牌辅助配置表!M:M,0)-1,0))*M596,2)</f>
        <v>208.1</v>
      </c>
      <c r="W596" s="157">
        <f ca="1">ROUND(IF(R596=0,0,IF(R596=1,X596*$W$1,IF(R596=2,X596*$W$1*buff的资质计算!$E$2,IF(R596=3,X596*$W$1*buff的资质计算!$E$3,0)))),2)</f>
        <v>21</v>
      </c>
      <c r="X596" s="157">
        <f ca="1" t="shared" si="101"/>
        <v>70</v>
      </c>
      <c r="Y596" s="157">
        <f ca="1" t="shared" si="106"/>
        <v>70.8888888888889</v>
      </c>
      <c r="Z596" s="304">
        <f ca="1" t="shared" si="102"/>
        <v>35.4444444444444</v>
      </c>
      <c r="AA596" s="304">
        <f ca="1">OFFSET(卡牌辅助配置表!$AD$1,MATCH(AB596,卡牌辅助配置表!AB:AB,0)-1,0)</f>
        <v>22410</v>
      </c>
      <c r="AB596" s="304">
        <f ca="1" t="shared" si="103"/>
        <v>3421</v>
      </c>
      <c r="AC596" s="153">
        <v>11</v>
      </c>
      <c r="AE596" s="153">
        <v>5000</v>
      </c>
      <c r="AF596" s="153" t="str">
        <f ca="1" t="shared" si="107"/>
        <v>10200011|</v>
      </c>
      <c r="AH596" s="153">
        <v>2</v>
      </c>
      <c r="AJ596" s="205" t="str">
        <f ca="1" t="shared" si="104"/>
        <v>400023|23700|;</v>
      </c>
      <c r="AK596" s="205">
        <f ca="1">OFFSET([1]item_type!$A$1,MATCH(Q596,[1]item_type!$G:$G,0)-1,0)</f>
        <v>301020</v>
      </c>
      <c r="AL596" s="205"/>
      <c r="AM596" s="205">
        <f ca="1">IF(B596=B597,OFFSET(卡牌辅助配置表!$AE$1,MATCH(AB596,卡牌辅助配置表!AB:AB,0),0),0)</f>
        <v>23700</v>
      </c>
      <c r="AN596" s="153">
        <f ca="1" t="shared" si="105"/>
        <v>1020022</v>
      </c>
      <c r="AP596" s="153" t="str">
        <f ca="1">IF(AC596=0,0,IF(AC596=12,0,OFFSET(effect!$N$1,MATCH(K596,effect!M:M,0)-1,0)))</f>
        <v>kpsx_huangse</v>
      </c>
    </row>
    <row r="597" spans="1:42">
      <c r="A597" s="153">
        <f ca="1" t="shared" si="98"/>
        <v>1020022</v>
      </c>
      <c r="B597" s="91" t="s">
        <v>461</v>
      </c>
      <c r="C597" s="186">
        <v>1</v>
      </c>
      <c r="D597" s="186">
        <v>4</v>
      </c>
      <c r="E597" s="165" t="s">
        <v>1050</v>
      </c>
      <c r="F597" s="165" t="str">
        <f>"血量低于50%时，获得"&amp;skill!$O$54/100&amp;"%吸血效果"</f>
        <v>血量低于50%时，获得80%吸血效果</v>
      </c>
      <c r="G597" s="186">
        <f ca="1">OFFSET(卡牌辅助配置表!$C$1,MATCH(AC597,卡牌辅助配置表!A:A,0)-1,0)</f>
        <v>6</v>
      </c>
      <c r="H597" s="186">
        <f ca="1">OFFSET(skill!$Q$1,MATCH(B597,skill!B:B,0)-1,0)</f>
        <v>0.888888888888889</v>
      </c>
      <c r="I597" s="186"/>
      <c r="J597" s="186">
        <f ca="1">OFFSET(card_type!$F$1,MATCH(Q597,card_type!A:A,0)-1,0)</f>
        <v>3</v>
      </c>
      <c r="K597" s="243">
        <f ca="1">OFFSET(card_type!$G$1,MATCH(Q597,card_type!A:A,0)-1,0)</f>
        <v>4</v>
      </c>
      <c r="L597" s="157">
        <v>2</v>
      </c>
      <c r="M597" s="157">
        <v>2</v>
      </c>
      <c r="N597" s="153">
        <f t="shared" si="99"/>
        <v>22</v>
      </c>
      <c r="O597" s="157"/>
      <c r="P597" s="157"/>
      <c r="Q597" s="153">
        <f ca="1">OFFSET(card_type!$A$1,MATCH(card!B597,card_type!B:B,0)-1,0)</f>
        <v>1020</v>
      </c>
      <c r="R597" s="153">
        <v>1</v>
      </c>
      <c r="S597" s="157">
        <f ca="1">ROUND(IF(R597=0,0,IF(R597=1,X597*$S$1,IF(R597=2,X597*$S$1*buff的资质计算!$E$2,IF(R597=3,X597*$S$1*buff的资质计算!$E$3,0)))),0)*0</f>
        <v>0</v>
      </c>
      <c r="T597" s="153">
        <v>1</v>
      </c>
      <c r="U597" s="153">
        <f ca="1" t="shared" si="100"/>
        <v>34</v>
      </c>
      <c r="V597" s="153">
        <f ca="1">ROUND((OFFSET(卡牌辅助配置表!$O$1,MATCH(U597,卡牌辅助配置表!M:M,0)-1,0)+(N597-1)*OFFSET(卡牌辅助配置表!$P$1,MATCH(U597,卡牌辅助配置表!M:M,0)-1,0))*M597,2)</f>
        <v>215.06</v>
      </c>
      <c r="W597" s="157">
        <f ca="1">ROUND(IF(R597=0,0,IF(R597=1,X597*$W$1,IF(R597=2,X597*$W$1*buff的资质计算!$E$2,IF(R597=3,X597*$W$1*buff的资质计算!$E$3,0)))),2)</f>
        <v>21.15</v>
      </c>
      <c r="X597" s="157">
        <f ca="1" t="shared" si="101"/>
        <v>70.5</v>
      </c>
      <c r="Y597" s="157">
        <f ca="1" t="shared" si="106"/>
        <v>71.3888888888889</v>
      </c>
      <c r="Z597" s="304">
        <f ca="1" t="shared" si="102"/>
        <v>35.6944444444444</v>
      </c>
      <c r="AA597" s="304">
        <f ca="1">OFFSET(卡牌辅助配置表!$AD$1,MATCH(AB597,卡牌辅助配置表!AB:AB,0)-1,0)</f>
        <v>24070</v>
      </c>
      <c r="AB597" s="304">
        <f ca="1" t="shared" si="103"/>
        <v>3422</v>
      </c>
      <c r="AC597" s="153">
        <v>11</v>
      </c>
      <c r="AE597" s="153">
        <v>5000</v>
      </c>
      <c r="AF597" s="153" t="str">
        <f ca="1" t="shared" si="107"/>
        <v>10200011|</v>
      </c>
      <c r="AH597" s="153">
        <v>2</v>
      </c>
      <c r="AJ597" s="205" t="str">
        <f ca="1" t="shared" si="104"/>
        <v>400023|26100|;</v>
      </c>
      <c r="AK597" s="205">
        <f ca="1">OFFSET([1]item_type!$A$1,MATCH(Q597,[1]item_type!$G:$G,0)-1,0)</f>
        <v>301020</v>
      </c>
      <c r="AL597" s="205"/>
      <c r="AM597" s="205">
        <f ca="1">IF(B597=B598,OFFSET(卡牌辅助配置表!$AE$1,MATCH(AB597,卡牌辅助配置表!AB:AB,0),0),0)</f>
        <v>26100</v>
      </c>
      <c r="AN597" s="153">
        <f ca="1" t="shared" si="105"/>
        <v>1020023</v>
      </c>
      <c r="AP597" s="153" t="str">
        <f ca="1">IF(AC597=0,0,IF(AC597=12,0,OFFSET(effect!$N$1,MATCH(K597,effect!M:M,0)-1,0)))</f>
        <v>kpsx_huangse</v>
      </c>
    </row>
    <row r="598" spans="1:42">
      <c r="A598" s="153">
        <f ca="1" t="shared" si="98"/>
        <v>1020023</v>
      </c>
      <c r="B598" s="91" t="s">
        <v>461</v>
      </c>
      <c r="C598" s="186">
        <v>1</v>
      </c>
      <c r="D598" s="186">
        <v>4</v>
      </c>
      <c r="E598" s="165" t="s">
        <v>1050</v>
      </c>
      <c r="F598" s="165" t="str">
        <f>"血量低于50%时，获得"&amp;skill!$O$54/100&amp;"%吸血效果"</f>
        <v>血量低于50%时，获得80%吸血效果</v>
      </c>
      <c r="G598" s="186">
        <f ca="1">OFFSET(卡牌辅助配置表!$C$1,MATCH(AC598,卡牌辅助配置表!A:A,0)-1,0)</f>
        <v>6</v>
      </c>
      <c r="H598" s="186">
        <f ca="1">OFFSET(skill!$Q$1,MATCH(B598,skill!B:B,0)-1,0)</f>
        <v>0.888888888888889</v>
      </c>
      <c r="I598" s="186"/>
      <c r="J598" s="186">
        <f ca="1">OFFSET(card_type!$F$1,MATCH(Q598,card_type!A:A,0)-1,0)</f>
        <v>3</v>
      </c>
      <c r="K598" s="243">
        <f ca="1">OFFSET(card_type!$G$1,MATCH(Q598,card_type!A:A,0)-1,0)</f>
        <v>4</v>
      </c>
      <c r="L598" s="157">
        <v>2</v>
      </c>
      <c r="M598" s="157">
        <v>2</v>
      </c>
      <c r="N598" s="153">
        <f t="shared" si="99"/>
        <v>23</v>
      </c>
      <c r="O598" s="157"/>
      <c r="P598" s="157"/>
      <c r="Q598" s="153">
        <f ca="1">OFFSET(card_type!$A$1,MATCH(card!B598,card_type!B:B,0)-1,0)</f>
        <v>1020</v>
      </c>
      <c r="R598" s="153">
        <v>1</v>
      </c>
      <c r="S598" s="157">
        <f ca="1">ROUND(IF(R598=0,0,IF(R598=1,X598*$S$1,IF(R598=2,X598*$S$1*buff的资质计算!$E$2,IF(R598=3,X598*$S$1*buff的资质计算!$E$3,0)))),0)*0</f>
        <v>0</v>
      </c>
      <c r="T598" s="153">
        <v>1</v>
      </c>
      <c r="U598" s="153">
        <f ca="1" t="shared" si="100"/>
        <v>34</v>
      </c>
      <c r="V598" s="153">
        <f ca="1">ROUND((OFFSET(卡牌辅助配置表!$O$1,MATCH(U598,卡牌辅助配置表!M:M,0)-1,0)+(N598-1)*OFFSET(卡牌辅助配置表!$P$1,MATCH(U598,卡牌辅助配置表!M:M,0)-1,0))*M598,2)</f>
        <v>222.02</v>
      </c>
      <c r="W598" s="157">
        <f ca="1">ROUND(IF(R598=0,0,IF(R598=1,X598*$W$1,IF(R598=2,X598*$W$1*buff的资质计算!$E$2,IF(R598=3,X598*$W$1*buff的资质计算!$E$3,0)))),2)</f>
        <v>21.3</v>
      </c>
      <c r="X598" s="157">
        <f ca="1" t="shared" si="101"/>
        <v>71</v>
      </c>
      <c r="Y598" s="157">
        <f ca="1" t="shared" si="106"/>
        <v>71.8888888888889</v>
      </c>
      <c r="Z598" s="304">
        <f ca="1" t="shared" si="102"/>
        <v>35.9444444444444</v>
      </c>
      <c r="AA598" s="304">
        <f ca="1">OFFSET(卡牌辅助配置表!$AD$1,MATCH(AB598,卡牌辅助配置表!AB:AB,0)-1,0)</f>
        <v>25730</v>
      </c>
      <c r="AB598" s="304">
        <f ca="1" t="shared" si="103"/>
        <v>3423</v>
      </c>
      <c r="AC598" s="153">
        <v>11</v>
      </c>
      <c r="AE598" s="153">
        <v>5000</v>
      </c>
      <c r="AF598" s="153" t="str">
        <f ca="1" t="shared" si="107"/>
        <v>10200011|</v>
      </c>
      <c r="AH598" s="153">
        <v>2</v>
      </c>
      <c r="AJ598" s="205" t="str">
        <f ca="1" t="shared" si="104"/>
        <v>400023|28500|;</v>
      </c>
      <c r="AK598" s="205">
        <f ca="1">OFFSET([1]item_type!$A$1,MATCH(Q598,[1]item_type!$G:$G,0)-1,0)</f>
        <v>301020</v>
      </c>
      <c r="AL598" s="205"/>
      <c r="AM598" s="205">
        <f ca="1">IF(B598=B599,OFFSET(卡牌辅助配置表!$AE$1,MATCH(AB598,卡牌辅助配置表!AB:AB,0),0),0)</f>
        <v>28500</v>
      </c>
      <c r="AN598" s="153">
        <f ca="1" t="shared" si="105"/>
        <v>1020024</v>
      </c>
      <c r="AP598" s="153" t="str">
        <f ca="1">IF(AC598=0,0,IF(AC598=12,0,OFFSET(effect!$N$1,MATCH(K598,effect!M:M,0)-1,0)))</f>
        <v>kpsx_huangse</v>
      </c>
    </row>
    <row r="599" spans="1:42">
      <c r="A599" s="153">
        <f ca="1" t="shared" si="98"/>
        <v>1020024</v>
      </c>
      <c r="B599" s="91" t="s">
        <v>461</v>
      </c>
      <c r="C599" s="186">
        <v>1</v>
      </c>
      <c r="D599" s="186">
        <v>4</v>
      </c>
      <c r="E599" s="165" t="s">
        <v>1050</v>
      </c>
      <c r="F599" s="165" t="str">
        <f>"血量低于50%时，获得"&amp;skill!$O$54/100&amp;"%吸血效果"</f>
        <v>血量低于50%时，获得80%吸血效果</v>
      </c>
      <c r="G599" s="186">
        <f ca="1">OFFSET(卡牌辅助配置表!$C$1,MATCH(AC599,卡牌辅助配置表!A:A,0)-1,0)</f>
        <v>6</v>
      </c>
      <c r="H599" s="186">
        <f ca="1">OFFSET(skill!$Q$1,MATCH(B599,skill!B:B,0)-1,0)</f>
        <v>0.888888888888889</v>
      </c>
      <c r="I599" s="186"/>
      <c r="J599" s="186">
        <f ca="1">OFFSET(card_type!$F$1,MATCH(Q599,card_type!A:A,0)-1,0)</f>
        <v>3</v>
      </c>
      <c r="K599" s="243">
        <f ca="1">OFFSET(card_type!$G$1,MATCH(Q599,card_type!A:A,0)-1,0)</f>
        <v>4</v>
      </c>
      <c r="L599" s="157">
        <v>2</v>
      </c>
      <c r="M599" s="157">
        <v>2</v>
      </c>
      <c r="N599" s="153">
        <f t="shared" si="99"/>
        <v>24</v>
      </c>
      <c r="O599" s="157"/>
      <c r="P599" s="157"/>
      <c r="Q599" s="153">
        <f ca="1">OFFSET(card_type!$A$1,MATCH(card!B599,card_type!B:B,0)-1,0)</f>
        <v>1020</v>
      </c>
      <c r="R599" s="153">
        <v>1</v>
      </c>
      <c r="S599" s="157">
        <f ca="1">ROUND(IF(R599=0,0,IF(R599=1,X599*$S$1,IF(R599=2,X599*$S$1*buff的资质计算!$E$2,IF(R599=3,X599*$S$1*buff的资质计算!$E$3,0)))),0)*0</f>
        <v>0</v>
      </c>
      <c r="T599" s="153">
        <v>1</v>
      </c>
      <c r="U599" s="153">
        <f ca="1" t="shared" si="100"/>
        <v>34</v>
      </c>
      <c r="V599" s="153">
        <f ca="1">ROUND((OFFSET(卡牌辅助配置表!$O$1,MATCH(U599,卡牌辅助配置表!M:M,0)-1,0)+(N599-1)*OFFSET(卡牌辅助配置表!$P$1,MATCH(U599,卡牌辅助配置表!M:M,0)-1,0))*M599,2)</f>
        <v>228.98</v>
      </c>
      <c r="W599" s="157">
        <f ca="1">ROUND(IF(R599=0,0,IF(R599=1,X599*$W$1,IF(R599=2,X599*$W$1*buff的资质计算!$E$2,IF(R599=3,X599*$W$1*buff的资质计算!$E$3,0)))),2)</f>
        <v>21.45</v>
      </c>
      <c r="X599" s="157">
        <f ca="1" t="shared" si="101"/>
        <v>71.5</v>
      </c>
      <c r="Y599" s="157">
        <f ca="1" t="shared" si="106"/>
        <v>72.3888888888889</v>
      </c>
      <c r="Z599" s="304">
        <f ca="1" t="shared" si="102"/>
        <v>36.1944444444444</v>
      </c>
      <c r="AA599" s="304">
        <f ca="1">OFFSET(卡牌辅助配置表!$AD$1,MATCH(AB599,卡牌辅助配置表!AB:AB,0)-1,0)</f>
        <v>27390</v>
      </c>
      <c r="AB599" s="304">
        <f ca="1" t="shared" si="103"/>
        <v>3424</v>
      </c>
      <c r="AC599" s="153">
        <v>11</v>
      </c>
      <c r="AE599" s="153">
        <v>5000</v>
      </c>
      <c r="AF599" s="153" t="str">
        <f ca="1" t="shared" si="107"/>
        <v>10200011|</v>
      </c>
      <c r="AH599" s="153">
        <v>2</v>
      </c>
      <c r="AJ599" s="205" t="str">
        <f ca="1" t="shared" si="104"/>
        <v>400023|30900|;</v>
      </c>
      <c r="AK599" s="205">
        <f ca="1">OFFSET([1]item_type!$A$1,MATCH(Q599,[1]item_type!$G:$G,0)-1,0)</f>
        <v>301020</v>
      </c>
      <c r="AL599" s="205"/>
      <c r="AM599" s="205">
        <f ca="1">IF(B599=B600,OFFSET(卡牌辅助配置表!$AE$1,MATCH(AB599,卡牌辅助配置表!AB:AB,0),0),0)</f>
        <v>30900</v>
      </c>
      <c r="AN599" s="153">
        <f ca="1" t="shared" si="105"/>
        <v>1020025</v>
      </c>
      <c r="AP599" s="153" t="str">
        <f ca="1">IF(AC599=0,0,IF(AC599=12,0,OFFSET(effect!$N$1,MATCH(K599,effect!M:M,0)-1,0)))</f>
        <v>kpsx_huangse</v>
      </c>
    </row>
    <row r="600" spans="1:42">
      <c r="A600" s="153">
        <f ca="1" t="shared" si="98"/>
        <v>1020025</v>
      </c>
      <c r="B600" s="91" t="s">
        <v>461</v>
      </c>
      <c r="C600" s="186">
        <v>1</v>
      </c>
      <c r="D600" s="186">
        <v>4</v>
      </c>
      <c r="E600" s="165" t="s">
        <v>1050</v>
      </c>
      <c r="F600" s="165" t="str">
        <f>"血量低于50%时，获得"&amp;skill!$O$54/100&amp;"%吸血效果"</f>
        <v>血量低于50%时，获得80%吸血效果</v>
      </c>
      <c r="G600" s="186">
        <f ca="1">OFFSET(卡牌辅助配置表!$C$1,MATCH(AC600,卡牌辅助配置表!A:A,0)-1,0)</f>
        <v>6</v>
      </c>
      <c r="H600" s="186">
        <f ca="1">OFFSET(skill!$Q$1,MATCH(B600,skill!B:B,0)-1,0)</f>
        <v>0.888888888888889</v>
      </c>
      <c r="I600" s="186"/>
      <c r="J600" s="186">
        <f ca="1">OFFSET(card_type!$F$1,MATCH(Q600,card_type!A:A,0)-1,0)</f>
        <v>3</v>
      </c>
      <c r="K600" s="243">
        <f ca="1">OFFSET(card_type!$G$1,MATCH(Q600,card_type!A:A,0)-1,0)</f>
        <v>4</v>
      </c>
      <c r="L600" s="157">
        <v>2</v>
      </c>
      <c r="M600" s="157">
        <v>2</v>
      </c>
      <c r="N600" s="153">
        <f t="shared" si="99"/>
        <v>25</v>
      </c>
      <c r="O600" s="157"/>
      <c r="P600" s="157"/>
      <c r="Q600" s="153">
        <f ca="1">OFFSET(card_type!$A$1,MATCH(card!B600,card_type!B:B,0)-1,0)</f>
        <v>1020</v>
      </c>
      <c r="R600" s="153">
        <v>1</v>
      </c>
      <c r="S600" s="157">
        <f ca="1">ROUND(IF(R600=0,0,IF(R600=1,X600*$S$1,IF(R600=2,X600*$S$1*buff的资质计算!$E$2,IF(R600=3,X600*$S$1*buff的资质计算!$E$3,0)))),0)*0</f>
        <v>0</v>
      </c>
      <c r="T600" s="153">
        <v>1</v>
      </c>
      <c r="U600" s="153">
        <f ca="1" t="shared" si="100"/>
        <v>34</v>
      </c>
      <c r="V600" s="153">
        <f ca="1">ROUND((OFFSET(卡牌辅助配置表!$O$1,MATCH(U600,卡牌辅助配置表!M:M,0)-1,0)+(N600-1)*OFFSET(卡牌辅助配置表!$P$1,MATCH(U600,卡牌辅助配置表!M:M,0)-1,0))*M600,2)</f>
        <v>235.94</v>
      </c>
      <c r="W600" s="157">
        <f ca="1">ROUND(IF(R600=0,0,IF(R600=1,X600*$W$1,IF(R600=2,X600*$W$1*buff的资质计算!$E$2,IF(R600=3,X600*$W$1*buff的资质计算!$E$3,0)))),2)</f>
        <v>21.6</v>
      </c>
      <c r="X600" s="157">
        <f ca="1" t="shared" si="101"/>
        <v>72</v>
      </c>
      <c r="Y600" s="157">
        <f ca="1" t="shared" si="106"/>
        <v>72.8888888888889</v>
      </c>
      <c r="Z600" s="304">
        <f ca="1" t="shared" si="102"/>
        <v>36.4444444444444</v>
      </c>
      <c r="AA600" s="304">
        <f ca="1">OFFSET(卡牌辅助配置表!$AD$1,MATCH(AB600,卡牌辅助配置表!AB:AB,0)-1,0)</f>
        <v>29050</v>
      </c>
      <c r="AB600" s="304">
        <f ca="1" t="shared" si="103"/>
        <v>3425</v>
      </c>
      <c r="AC600" s="153">
        <v>11</v>
      </c>
      <c r="AE600" s="153">
        <v>5000</v>
      </c>
      <c r="AF600" s="153" t="str">
        <f ca="1" t="shared" si="107"/>
        <v>10200011|</v>
      </c>
      <c r="AH600" s="153">
        <v>2</v>
      </c>
      <c r="AJ600" s="205" t="str">
        <f ca="1" t="shared" si="104"/>
        <v>400023|33300|;</v>
      </c>
      <c r="AK600" s="205">
        <f ca="1">OFFSET([1]item_type!$A$1,MATCH(Q600,[1]item_type!$G:$G,0)-1,0)</f>
        <v>301020</v>
      </c>
      <c r="AL600" s="205"/>
      <c r="AM600" s="205">
        <f ca="1">IF(B600=B601,OFFSET(卡牌辅助配置表!$AE$1,MATCH(AB600,卡牌辅助配置表!AB:AB,0),0),0)</f>
        <v>33300</v>
      </c>
      <c r="AN600" s="153">
        <f ca="1" t="shared" si="105"/>
        <v>1020026</v>
      </c>
      <c r="AP600" s="153" t="str">
        <f ca="1">IF(AC600=0,0,IF(AC600=12,0,OFFSET(effect!$N$1,MATCH(K600,effect!M:M,0)-1,0)))</f>
        <v>kpsx_huangse</v>
      </c>
    </row>
    <row r="601" spans="1:42">
      <c r="A601" s="153">
        <f ca="1" t="shared" si="98"/>
        <v>1020026</v>
      </c>
      <c r="B601" s="91" t="s">
        <v>461</v>
      </c>
      <c r="C601" s="186">
        <v>1</v>
      </c>
      <c r="D601" s="186">
        <v>4</v>
      </c>
      <c r="E601" s="165" t="s">
        <v>1050</v>
      </c>
      <c r="F601" s="165" t="str">
        <f>"血量低于50%时，获得"&amp;skill!$O$54/100&amp;"%吸血效果"</f>
        <v>血量低于50%时，获得80%吸血效果</v>
      </c>
      <c r="G601" s="186">
        <f ca="1">OFFSET(卡牌辅助配置表!$C$1,MATCH(AC601,卡牌辅助配置表!A:A,0)-1,0)</f>
        <v>6</v>
      </c>
      <c r="H601" s="186">
        <f ca="1">OFFSET(skill!$Q$1,MATCH(B601,skill!B:B,0)-1,0)</f>
        <v>0.888888888888889</v>
      </c>
      <c r="I601" s="186"/>
      <c r="J601" s="186">
        <f ca="1">OFFSET(card_type!$F$1,MATCH(Q601,card_type!A:A,0)-1,0)</f>
        <v>3</v>
      </c>
      <c r="K601" s="243">
        <f ca="1">OFFSET(card_type!$G$1,MATCH(Q601,card_type!A:A,0)-1,0)</f>
        <v>4</v>
      </c>
      <c r="L601" s="157">
        <v>2</v>
      </c>
      <c r="M601" s="157">
        <v>2</v>
      </c>
      <c r="N601" s="153">
        <f t="shared" si="99"/>
        <v>26</v>
      </c>
      <c r="O601" s="157"/>
      <c r="P601" s="157"/>
      <c r="Q601" s="153">
        <f ca="1">OFFSET(card_type!$A$1,MATCH(card!B601,card_type!B:B,0)-1,0)</f>
        <v>1020</v>
      </c>
      <c r="R601" s="153">
        <v>1</v>
      </c>
      <c r="S601" s="157">
        <f ca="1">ROUND(IF(R601=0,0,IF(R601=1,X601*$S$1,IF(R601=2,X601*$S$1*buff的资质计算!$E$2,IF(R601=3,X601*$S$1*buff的资质计算!$E$3,0)))),0)*0</f>
        <v>0</v>
      </c>
      <c r="T601" s="153">
        <v>1</v>
      </c>
      <c r="U601" s="153">
        <f ca="1" t="shared" si="100"/>
        <v>34</v>
      </c>
      <c r="V601" s="153">
        <f ca="1">ROUND((OFFSET(卡牌辅助配置表!$O$1,MATCH(U601,卡牌辅助配置表!M:M,0)-1,0)+(N601-1)*OFFSET(卡牌辅助配置表!$P$1,MATCH(U601,卡牌辅助配置表!M:M,0)-1,0))*M601,2)</f>
        <v>242.9</v>
      </c>
      <c r="W601" s="157">
        <f ca="1">ROUND(IF(R601=0,0,IF(R601=1,X601*$W$1,IF(R601=2,X601*$W$1*buff的资质计算!$E$2,IF(R601=3,X601*$W$1*buff的资质计算!$E$3,0)))),2)</f>
        <v>21.75</v>
      </c>
      <c r="X601" s="157">
        <f ca="1" t="shared" si="101"/>
        <v>72.5</v>
      </c>
      <c r="Y601" s="157">
        <f ca="1" t="shared" si="106"/>
        <v>73.3888888888889</v>
      </c>
      <c r="Z601" s="304">
        <f ca="1" t="shared" si="102"/>
        <v>36.6944444444444</v>
      </c>
      <c r="AA601" s="304">
        <f ca="1">OFFSET(卡牌辅助配置表!$AD$1,MATCH(AB601,卡牌辅助配置表!AB:AB,0)-1,0)</f>
        <v>30710</v>
      </c>
      <c r="AB601" s="304">
        <f ca="1" t="shared" si="103"/>
        <v>3426</v>
      </c>
      <c r="AC601" s="153">
        <v>11</v>
      </c>
      <c r="AE601" s="153">
        <v>5000</v>
      </c>
      <c r="AF601" s="153" t="str">
        <f ca="1" t="shared" si="107"/>
        <v>10200011|</v>
      </c>
      <c r="AH601" s="153">
        <v>2</v>
      </c>
      <c r="AJ601" s="205" t="str">
        <f ca="1" t="shared" si="104"/>
        <v>400023|35700|;</v>
      </c>
      <c r="AK601" s="205">
        <f ca="1">OFFSET([1]item_type!$A$1,MATCH(Q601,[1]item_type!$G:$G,0)-1,0)</f>
        <v>301020</v>
      </c>
      <c r="AL601" s="205"/>
      <c r="AM601" s="205">
        <f ca="1">IF(B601=B602,OFFSET(卡牌辅助配置表!$AE$1,MATCH(AB601,卡牌辅助配置表!AB:AB,0),0),0)</f>
        <v>35700</v>
      </c>
      <c r="AN601" s="153">
        <f ca="1" t="shared" si="105"/>
        <v>1020027</v>
      </c>
      <c r="AP601" s="153" t="str">
        <f ca="1">IF(AC601=0,0,IF(AC601=12,0,OFFSET(effect!$N$1,MATCH(K601,effect!M:M,0)-1,0)))</f>
        <v>kpsx_huangse</v>
      </c>
    </row>
    <row r="602" spans="1:42">
      <c r="A602" s="153">
        <f ca="1" t="shared" si="98"/>
        <v>1020027</v>
      </c>
      <c r="B602" s="91" t="s">
        <v>461</v>
      </c>
      <c r="C602" s="186">
        <v>1</v>
      </c>
      <c r="D602" s="186">
        <v>4</v>
      </c>
      <c r="E602" s="165" t="s">
        <v>1050</v>
      </c>
      <c r="F602" s="165" t="str">
        <f>"血量低于50%时，获得"&amp;skill!$O$54/100&amp;"%吸血效果"</f>
        <v>血量低于50%时，获得80%吸血效果</v>
      </c>
      <c r="G602" s="186">
        <f ca="1">OFFSET(卡牌辅助配置表!$C$1,MATCH(AC602,卡牌辅助配置表!A:A,0)-1,0)</f>
        <v>6</v>
      </c>
      <c r="H602" s="186">
        <f ca="1">OFFSET(skill!$Q$1,MATCH(B602,skill!B:B,0)-1,0)</f>
        <v>0.888888888888889</v>
      </c>
      <c r="I602" s="186"/>
      <c r="J602" s="186">
        <f ca="1">OFFSET(card_type!$F$1,MATCH(Q602,card_type!A:A,0)-1,0)</f>
        <v>3</v>
      </c>
      <c r="K602" s="243">
        <f ca="1">OFFSET(card_type!$G$1,MATCH(Q602,card_type!A:A,0)-1,0)</f>
        <v>4</v>
      </c>
      <c r="L602" s="157">
        <v>2</v>
      </c>
      <c r="M602" s="157">
        <v>2</v>
      </c>
      <c r="N602" s="153">
        <f t="shared" si="99"/>
        <v>27</v>
      </c>
      <c r="O602" s="157"/>
      <c r="P602" s="157"/>
      <c r="Q602" s="153">
        <f ca="1">OFFSET(card_type!$A$1,MATCH(card!B602,card_type!B:B,0)-1,0)</f>
        <v>1020</v>
      </c>
      <c r="R602" s="153">
        <v>1</v>
      </c>
      <c r="S602" s="157">
        <f ca="1">ROUND(IF(R602=0,0,IF(R602=1,X602*$S$1,IF(R602=2,X602*$S$1*buff的资质计算!$E$2,IF(R602=3,X602*$S$1*buff的资质计算!$E$3,0)))),0)*0</f>
        <v>0</v>
      </c>
      <c r="T602" s="153">
        <v>1</v>
      </c>
      <c r="U602" s="153">
        <f ca="1" t="shared" si="100"/>
        <v>34</v>
      </c>
      <c r="V602" s="153">
        <f ca="1">ROUND((OFFSET(卡牌辅助配置表!$O$1,MATCH(U602,卡牌辅助配置表!M:M,0)-1,0)+(N602-1)*OFFSET(卡牌辅助配置表!$P$1,MATCH(U602,卡牌辅助配置表!M:M,0)-1,0))*M602,2)</f>
        <v>249.86</v>
      </c>
      <c r="W602" s="157">
        <f ca="1">ROUND(IF(R602=0,0,IF(R602=1,X602*$W$1,IF(R602=2,X602*$W$1*buff的资质计算!$E$2,IF(R602=3,X602*$W$1*buff的资质计算!$E$3,0)))),2)</f>
        <v>21.9</v>
      </c>
      <c r="X602" s="157">
        <f ca="1" t="shared" si="101"/>
        <v>73</v>
      </c>
      <c r="Y602" s="157">
        <f ca="1" t="shared" si="106"/>
        <v>73.8888888888889</v>
      </c>
      <c r="Z602" s="304">
        <f ca="1" t="shared" si="102"/>
        <v>36.9444444444444</v>
      </c>
      <c r="AA602" s="304">
        <f ca="1">OFFSET(卡牌辅助配置表!$AD$1,MATCH(AB602,卡牌辅助配置表!AB:AB,0)-1,0)</f>
        <v>32370</v>
      </c>
      <c r="AB602" s="304">
        <f ca="1" t="shared" si="103"/>
        <v>3427</v>
      </c>
      <c r="AC602" s="153">
        <v>11</v>
      </c>
      <c r="AE602" s="153">
        <v>5000</v>
      </c>
      <c r="AF602" s="153" t="str">
        <f ca="1" t="shared" si="107"/>
        <v>10200011|</v>
      </c>
      <c r="AH602" s="153">
        <v>2</v>
      </c>
      <c r="AJ602" s="205" t="str">
        <f ca="1" t="shared" si="104"/>
        <v>400023|38100|;</v>
      </c>
      <c r="AK602" s="205">
        <f ca="1">OFFSET([1]item_type!$A$1,MATCH(Q602,[1]item_type!$G:$G,0)-1,0)</f>
        <v>301020</v>
      </c>
      <c r="AL602" s="205"/>
      <c r="AM602" s="205">
        <f ca="1">IF(B602=B603,OFFSET(卡牌辅助配置表!$AE$1,MATCH(AB602,卡牌辅助配置表!AB:AB,0),0),0)</f>
        <v>38100</v>
      </c>
      <c r="AN602" s="153">
        <f ca="1" t="shared" si="105"/>
        <v>1020028</v>
      </c>
      <c r="AP602" s="153" t="str">
        <f ca="1">IF(AC602=0,0,IF(AC602=12,0,OFFSET(effect!$N$1,MATCH(K602,effect!M:M,0)-1,0)))</f>
        <v>kpsx_huangse</v>
      </c>
    </row>
    <row r="603" spans="1:42">
      <c r="A603" s="153">
        <f ca="1" t="shared" si="98"/>
        <v>1020028</v>
      </c>
      <c r="B603" s="91" t="s">
        <v>461</v>
      </c>
      <c r="C603" s="186">
        <v>1</v>
      </c>
      <c r="D603" s="186">
        <v>4</v>
      </c>
      <c r="E603" s="165" t="s">
        <v>1050</v>
      </c>
      <c r="F603" s="165" t="str">
        <f>"血量低于50%时，获得"&amp;skill!$O$54/100&amp;"%吸血效果"</f>
        <v>血量低于50%时，获得80%吸血效果</v>
      </c>
      <c r="G603" s="186">
        <f ca="1">OFFSET(卡牌辅助配置表!$C$1,MATCH(AC603,卡牌辅助配置表!A:A,0)-1,0)</f>
        <v>6</v>
      </c>
      <c r="H603" s="186">
        <f ca="1">OFFSET(skill!$Q$1,MATCH(B603,skill!B:B,0)-1,0)</f>
        <v>0.888888888888889</v>
      </c>
      <c r="I603" s="186"/>
      <c r="J603" s="186">
        <f ca="1">OFFSET(card_type!$F$1,MATCH(Q603,card_type!A:A,0)-1,0)</f>
        <v>3</v>
      </c>
      <c r="K603" s="243">
        <f ca="1">OFFSET(card_type!$G$1,MATCH(Q603,card_type!A:A,0)-1,0)</f>
        <v>4</v>
      </c>
      <c r="L603" s="157">
        <v>2</v>
      </c>
      <c r="M603" s="157">
        <v>2</v>
      </c>
      <c r="N603" s="153">
        <f t="shared" si="99"/>
        <v>28</v>
      </c>
      <c r="O603" s="157"/>
      <c r="P603" s="157"/>
      <c r="Q603" s="153">
        <f ca="1">OFFSET(card_type!$A$1,MATCH(card!B603,card_type!B:B,0)-1,0)</f>
        <v>1020</v>
      </c>
      <c r="R603" s="153">
        <v>1</v>
      </c>
      <c r="S603" s="157">
        <f ca="1">ROUND(IF(R603=0,0,IF(R603=1,X603*$S$1,IF(R603=2,X603*$S$1*buff的资质计算!$E$2,IF(R603=3,X603*$S$1*buff的资质计算!$E$3,0)))),0)*0</f>
        <v>0</v>
      </c>
      <c r="T603" s="153">
        <v>1</v>
      </c>
      <c r="U603" s="153">
        <f ca="1" t="shared" si="100"/>
        <v>34</v>
      </c>
      <c r="V603" s="153">
        <f ca="1">ROUND((OFFSET(卡牌辅助配置表!$O$1,MATCH(U603,卡牌辅助配置表!M:M,0)-1,0)+(N603-1)*OFFSET(卡牌辅助配置表!$P$1,MATCH(U603,卡牌辅助配置表!M:M,0)-1,0))*M603,2)</f>
        <v>256.82</v>
      </c>
      <c r="W603" s="157">
        <f ca="1">ROUND(IF(R603=0,0,IF(R603=1,X603*$W$1,IF(R603=2,X603*$W$1*buff的资质计算!$E$2,IF(R603=3,X603*$W$1*buff的资质计算!$E$3,0)))),2)</f>
        <v>22.05</v>
      </c>
      <c r="X603" s="157">
        <f ca="1" t="shared" si="101"/>
        <v>73.5</v>
      </c>
      <c r="Y603" s="157">
        <f ca="1" t="shared" si="106"/>
        <v>74.3888888888889</v>
      </c>
      <c r="Z603" s="304">
        <f ca="1" t="shared" si="102"/>
        <v>37.1944444444444</v>
      </c>
      <c r="AA603" s="304">
        <f ca="1">OFFSET(卡牌辅助配置表!$AD$1,MATCH(AB603,卡牌辅助配置表!AB:AB,0)-1,0)</f>
        <v>34030</v>
      </c>
      <c r="AB603" s="304">
        <f ca="1" t="shared" si="103"/>
        <v>3428</v>
      </c>
      <c r="AC603" s="153">
        <v>11</v>
      </c>
      <c r="AE603" s="153">
        <v>5000</v>
      </c>
      <c r="AF603" s="153" t="str">
        <f ca="1" t="shared" si="107"/>
        <v>10200011|</v>
      </c>
      <c r="AH603" s="153">
        <v>2</v>
      </c>
      <c r="AJ603" s="205" t="str">
        <f ca="1" t="shared" si="104"/>
        <v>400023|40500|;</v>
      </c>
      <c r="AK603" s="205">
        <f ca="1">OFFSET([1]item_type!$A$1,MATCH(Q603,[1]item_type!$G:$G,0)-1,0)</f>
        <v>301020</v>
      </c>
      <c r="AL603" s="205"/>
      <c r="AM603" s="205">
        <f ca="1">IF(B603=B604,OFFSET(卡牌辅助配置表!$AE$1,MATCH(AB603,卡牌辅助配置表!AB:AB,0),0),0)</f>
        <v>40500</v>
      </c>
      <c r="AN603" s="153">
        <f ca="1" t="shared" si="105"/>
        <v>1020029</v>
      </c>
      <c r="AP603" s="153" t="str">
        <f ca="1">IF(AC603=0,0,IF(AC603=12,0,OFFSET(effect!$N$1,MATCH(K603,effect!M:M,0)-1,0)))</f>
        <v>kpsx_huangse</v>
      </c>
    </row>
    <row r="604" spans="1:42">
      <c r="A604" s="153">
        <f ca="1" t="shared" si="98"/>
        <v>1020029</v>
      </c>
      <c r="B604" s="91" t="s">
        <v>461</v>
      </c>
      <c r="C604" s="186">
        <v>1</v>
      </c>
      <c r="D604" s="186">
        <v>4</v>
      </c>
      <c r="E604" s="165" t="s">
        <v>1050</v>
      </c>
      <c r="F604" s="165" t="str">
        <f>"血量低于50%时，获得"&amp;skill!$O$54/100&amp;"%吸血效果"</f>
        <v>血量低于50%时，获得80%吸血效果</v>
      </c>
      <c r="G604" s="186">
        <f ca="1">OFFSET(卡牌辅助配置表!$C$1,MATCH(AC604,卡牌辅助配置表!A:A,0)-1,0)</f>
        <v>6</v>
      </c>
      <c r="H604" s="186">
        <f ca="1">OFFSET(skill!$Q$1,MATCH(B604,skill!B:B,0)-1,0)</f>
        <v>0.888888888888889</v>
      </c>
      <c r="I604" s="186"/>
      <c r="J604" s="186">
        <f ca="1">OFFSET(card_type!$F$1,MATCH(Q604,card_type!A:A,0)-1,0)</f>
        <v>3</v>
      </c>
      <c r="K604" s="243">
        <f ca="1">OFFSET(card_type!$G$1,MATCH(Q604,card_type!A:A,0)-1,0)</f>
        <v>4</v>
      </c>
      <c r="L604" s="157">
        <v>2</v>
      </c>
      <c r="M604" s="157">
        <v>2</v>
      </c>
      <c r="N604" s="153">
        <f t="shared" si="99"/>
        <v>29</v>
      </c>
      <c r="O604" s="157"/>
      <c r="P604" s="157"/>
      <c r="Q604" s="153">
        <f ca="1">OFFSET(card_type!$A$1,MATCH(card!B604,card_type!B:B,0)-1,0)</f>
        <v>1020</v>
      </c>
      <c r="R604" s="153">
        <v>1</v>
      </c>
      <c r="S604" s="157">
        <f ca="1">ROUND(IF(R604=0,0,IF(R604=1,X604*$S$1,IF(R604=2,X604*$S$1*buff的资质计算!$E$2,IF(R604=3,X604*$S$1*buff的资质计算!$E$3,0)))),0)*0</f>
        <v>0</v>
      </c>
      <c r="T604" s="153">
        <v>1</v>
      </c>
      <c r="U604" s="153">
        <f ca="1" t="shared" si="100"/>
        <v>34</v>
      </c>
      <c r="V604" s="153">
        <f ca="1">ROUND((OFFSET(卡牌辅助配置表!$O$1,MATCH(U604,卡牌辅助配置表!M:M,0)-1,0)+(N604-1)*OFFSET(卡牌辅助配置表!$P$1,MATCH(U604,卡牌辅助配置表!M:M,0)-1,0))*M604,2)</f>
        <v>263.78</v>
      </c>
      <c r="W604" s="157">
        <f ca="1">ROUND(IF(R604=0,0,IF(R604=1,X604*$W$1,IF(R604=2,X604*$W$1*buff的资质计算!$E$2,IF(R604=3,X604*$W$1*buff的资质计算!$E$3,0)))),2)</f>
        <v>22.2</v>
      </c>
      <c r="X604" s="157">
        <f ca="1" t="shared" si="101"/>
        <v>74</v>
      </c>
      <c r="Y604" s="157">
        <f ca="1" t="shared" si="106"/>
        <v>74.8888888888889</v>
      </c>
      <c r="Z604" s="304">
        <f ca="1" t="shared" si="102"/>
        <v>37.4444444444444</v>
      </c>
      <c r="AA604" s="304">
        <f ca="1">OFFSET(卡牌辅助配置表!$AD$1,MATCH(AB604,卡牌辅助配置表!AB:AB,0)-1,0)</f>
        <v>35690</v>
      </c>
      <c r="AB604" s="304">
        <f ca="1" t="shared" si="103"/>
        <v>3429</v>
      </c>
      <c r="AC604" s="153">
        <v>11</v>
      </c>
      <c r="AE604" s="153">
        <v>5000</v>
      </c>
      <c r="AF604" s="153" t="str">
        <f ca="1" t="shared" si="107"/>
        <v>10200011|</v>
      </c>
      <c r="AH604" s="153">
        <v>2</v>
      </c>
      <c r="AJ604" s="205" t="str">
        <f ca="1" t="shared" si="104"/>
        <v>301020|30|;400023|42900|;</v>
      </c>
      <c r="AK604" s="205">
        <f ca="1">OFFSET([1]item_type!$A$1,MATCH(Q604,[1]item_type!$G:$G,0)-1,0)</f>
        <v>301020</v>
      </c>
      <c r="AL604" s="205">
        <v>30</v>
      </c>
      <c r="AM604" s="205">
        <f ca="1">IF(B604=B605,OFFSET(卡牌辅助配置表!$AE$1,MATCH(AB604,卡牌辅助配置表!AB:AB,0),0),0)</f>
        <v>42900</v>
      </c>
      <c r="AN604" s="153">
        <f ca="1" t="shared" si="105"/>
        <v>1020030</v>
      </c>
      <c r="AP604" s="153" t="str">
        <f ca="1">IF(AC604=0,0,IF(AC604=12,0,OFFSET(effect!$N$1,MATCH(K604,effect!M:M,0)-1,0)))</f>
        <v>kpsx_huangse</v>
      </c>
    </row>
    <row r="605" spans="1:42">
      <c r="A605" s="153">
        <f ca="1" t="shared" si="98"/>
        <v>1020030</v>
      </c>
      <c r="B605" s="91" t="s">
        <v>461</v>
      </c>
      <c r="C605" s="186">
        <v>1</v>
      </c>
      <c r="D605" s="186">
        <v>4</v>
      </c>
      <c r="E605" s="165" t="s">
        <v>1050</v>
      </c>
      <c r="F605" s="165" t="str">
        <f>"血量低于50%时，获得"&amp;skill!$O$54/100&amp;"%吸血效果"</f>
        <v>血量低于50%时，获得80%吸血效果</v>
      </c>
      <c r="G605" s="186">
        <f ca="1">OFFSET(卡牌辅助配置表!$C$1,MATCH(AC605,卡牌辅助配置表!A:A,0)-1,0)</f>
        <v>6</v>
      </c>
      <c r="H605" s="186">
        <f ca="1">OFFSET(skill!$Q$1,MATCH(B605,skill!B:B,0)-1,0)</f>
        <v>0.888888888888889</v>
      </c>
      <c r="I605" s="186"/>
      <c r="J605" s="186">
        <f ca="1">OFFSET(card_type!$F$1,MATCH(Q605,card_type!A:A,0)-1,0)</f>
        <v>3</v>
      </c>
      <c r="K605" s="243">
        <f ca="1">OFFSET(card_type!$G$1,MATCH(Q605,card_type!A:A,0)-1,0)</f>
        <v>4</v>
      </c>
      <c r="L605" s="157">
        <v>2</v>
      </c>
      <c r="M605" s="157">
        <v>2</v>
      </c>
      <c r="N605" s="153">
        <f t="shared" si="99"/>
        <v>30</v>
      </c>
      <c r="O605" s="157"/>
      <c r="P605" s="157"/>
      <c r="Q605" s="153">
        <f ca="1">OFFSET(card_type!$A$1,MATCH(card!B605,card_type!B:B,0)-1,0)</f>
        <v>1020</v>
      </c>
      <c r="R605" s="153">
        <v>1</v>
      </c>
      <c r="S605" s="157">
        <f ca="1">ROUND(IF(R605=0,0,IF(R605=1,X605*$S$1,IF(R605=2,X605*$S$1*buff的资质计算!$E$2,IF(R605=3,X605*$S$1*buff的资质计算!$E$3,0)))),0)*0</f>
        <v>0</v>
      </c>
      <c r="T605" s="153">
        <v>1</v>
      </c>
      <c r="U605" s="153">
        <f ca="1" t="shared" si="100"/>
        <v>34</v>
      </c>
      <c r="V605" s="153">
        <f ca="1">ROUND((OFFSET(卡牌辅助配置表!$O$1,MATCH(U605,卡牌辅助配置表!M:M,0)-1,0)+(N605-1)*OFFSET(卡牌辅助配置表!$P$1,MATCH(U605,卡牌辅助配置表!M:M,0)-1,0))*M605,2)</f>
        <v>270.74</v>
      </c>
      <c r="W605" s="157">
        <f ca="1">ROUND(IF(R605=0,0,IF(R605=1,X605*$W$1,IF(R605=2,X605*$W$1*buff的资质计算!$E$2,IF(R605=3,X605*$W$1*buff的资质计算!$E$3,0)))),2)</f>
        <v>22.35</v>
      </c>
      <c r="X605" s="157">
        <f ca="1" t="shared" si="101"/>
        <v>74.5</v>
      </c>
      <c r="Y605" s="157">
        <f ca="1" t="shared" si="106"/>
        <v>75.3888888888889</v>
      </c>
      <c r="Z605" s="304">
        <f ca="1" t="shared" si="102"/>
        <v>37.6944444444444</v>
      </c>
      <c r="AA605" s="304">
        <f ca="1">OFFSET(卡牌辅助配置表!$AD$1,MATCH(AB605,卡牌辅助配置表!AB:AB,0)-1,0)</f>
        <v>37350</v>
      </c>
      <c r="AB605" s="304">
        <f ca="1" t="shared" si="103"/>
        <v>3430</v>
      </c>
      <c r="AC605" s="153">
        <v>11</v>
      </c>
      <c r="AE605" s="153">
        <v>5000</v>
      </c>
      <c r="AF605" s="153" t="str">
        <f ca="1" t="shared" si="107"/>
        <v>10200011|</v>
      </c>
      <c r="AH605" s="153">
        <v>2</v>
      </c>
      <c r="AJ605" s="205">
        <f ca="1" t="shared" si="104"/>
        <v>0</v>
      </c>
      <c r="AK605" s="205">
        <f ca="1">OFFSET([1]item_type!$A$1,MATCH(Q605,[1]item_type!$G:$G,0)-1,0)</f>
        <v>301020</v>
      </c>
      <c r="AL605" s="205"/>
      <c r="AM605" s="205">
        <f ca="1">IF(B605=B606,OFFSET(卡牌辅助配置表!$AE$1,MATCH(AB605,卡牌辅助配置表!AB:AB,0),0),0)</f>
        <v>0</v>
      </c>
      <c r="AN605" s="153">
        <f ca="1" t="shared" si="105"/>
        <v>0</v>
      </c>
      <c r="AP605" s="153" t="str">
        <f ca="1">IF(AC605=0,0,IF(AC605=12,0,OFFSET(effect!$N$1,MATCH(K605,effect!M:M,0)-1,0)))</f>
        <v>kpsx_huangse</v>
      </c>
    </row>
    <row r="606" spans="1:42">
      <c r="A606" s="153">
        <f ca="1" t="shared" si="98"/>
        <v>1401001</v>
      </c>
      <c r="B606" s="152" t="s">
        <v>306</v>
      </c>
      <c r="C606" s="186">
        <v>1</v>
      </c>
      <c r="D606" s="186">
        <v>4</v>
      </c>
      <c r="E606" s="165" t="s">
        <v>1050</v>
      </c>
      <c r="F606" s="165" t="str">
        <f>"血量低于50%时，伤害增加"&amp;skill!$O$55/100&amp;"%"</f>
        <v>血量低于50%时，伤害增加50%</v>
      </c>
      <c r="G606" s="186">
        <f ca="1">OFFSET(卡牌辅助配置表!$C$1,MATCH(AC606,卡牌辅助配置表!A:A,0)-1,0)</f>
        <v>6</v>
      </c>
      <c r="H606" s="186">
        <f ca="1" t="shared" ref="H606:H665" si="108">IF(R606=0,Y606,0)</f>
        <v>0</v>
      </c>
      <c r="I606" s="186"/>
      <c r="J606" s="186">
        <f ca="1">OFFSET(card_type!$F$1,MATCH(Q606,card_type!A:A,0)-1,0)</f>
        <v>4</v>
      </c>
      <c r="K606" s="243">
        <f ca="1">OFFSET(card_type!$G$1,MATCH(Q606,card_type!A:A,0)-1,0)</f>
        <v>2</v>
      </c>
      <c r="L606" s="157">
        <v>2</v>
      </c>
      <c r="M606" s="157">
        <v>2</v>
      </c>
      <c r="N606" s="153">
        <f t="shared" si="99"/>
        <v>1</v>
      </c>
      <c r="O606" s="157"/>
      <c r="P606" s="157"/>
      <c r="Q606" s="153">
        <f ca="1">OFFSET(card_type!$A$1,MATCH(card!B606,card_type!B:B,0)-1,0)</f>
        <v>1401</v>
      </c>
      <c r="R606" s="153">
        <v>1</v>
      </c>
      <c r="S606" s="157">
        <f ca="1">ROUND(IF(R606=0,0,IF(R606=1,X606*$S$1,IF(R606=2,X606*$S$1*buff的资质计算!$E$2,IF(R606=3,X606*$S$1*buff的资质计算!$E$3,0)))),0)*0</f>
        <v>0</v>
      </c>
      <c r="T606" s="153">
        <v>5</v>
      </c>
      <c r="U606" s="153">
        <f ca="1" t="shared" si="100"/>
        <v>42</v>
      </c>
      <c r="V606" s="153">
        <f ca="1">ROUND((OFFSET(卡牌辅助配置表!$O$1,MATCH(U606,卡牌辅助配置表!M:M,0)-1,0)+(N606-1)*OFFSET(卡牌辅助配置表!$P$1,MATCH(U606,卡牌辅助配置表!M:M,0)-1,0))*M606,2)</f>
        <v>44.25</v>
      </c>
      <c r="W606" s="157">
        <f ca="1">ROUND(IF(R606=0,0,IF(R606=1,X606*$W$1,IF(R606=2,X606*$W$1*buff的资质计算!$E$2,IF(R606=3,X606*$W$1*buff的资质计算!$E$3,0)))),2)</f>
        <v>16.2</v>
      </c>
      <c r="X606" s="157">
        <f ca="1" t="shared" si="101"/>
        <v>54</v>
      </c>
      <c r="Y606" s="157">
        <f ca="1" t="shared" si="106"/>
        <v>54</v>
      </c>
      <c r="Z606" s="304">
        <f ca="1" t="shared" si="102"/>
        <v>27</v>
      </c>
      <c r="AA606" s="304">
        <f ca="1">OFFSET(卡牌辅助配置表!$AD$1,MATCH(AB606,卡牌辅助配置表!AB:AB,0)-1,0)</f>
        <v>460</v>
      </c>
      <c r="AB606" s="304">
        <f ca="1" t="shared" si="103"/>
        <v>4201</v>
      </c>
      <c r="AC606" s="153">
        <v>11</v>
      </c>
      <c r="AE606" s="153">
        <v>5000</v>
      </c>
      <c r="AF606" s="153" t="str">
        <f ca="1" t="shared" si="107"/>
        <v>14010011|</v>
      </c>
      <c r="AJ606" s="205" t="str">
        <f ca="1" t="shared" si="104"/>
        <v>400023|1050|;</v>
      </c>
      <c r="AK606" s="205">
        <f ca="1">OFFSET([1]item_type!$A$1,MATCH(Q606,[1]item_type!$G:$G,0)-1,0)</f>
        <v>301401</v>
      </c>
      <c r="AL606" s="205"/>
      <c r="AM606" s="205">
        <f ca="1">IF(B606=B607,OFFSET(卡牌辅助配置表!$AE$1,MATCH(AB606,卡牌辅助配置表!AB:AB,0),0),0)</f>
        <v>1050</v>
      </c>
      <c r="AN606" s="153">
        <f ca="1" t="shared" si="105"/>
        <v>1401002</v>
      </c>
      <c r="AP606" s="153" t="str">
        <f ca="1">IF(AC606=0,0,IF(AC606=12,0,OFFSET(effect!$N$1,MATCH(K606,effect!M:M,0)-1,0)))</f>
        <v>kpsx_pt</v>
      </c>
    </row>
    <row r="607" spans="1:42">
      <c r="A607" s="153">
        <f ca="1" t="shared" si="98"/>
        <v>1401002</v>
      </c>
      <c r="B607" s="91" t="s">
        <v>306</v>
      </c>
      <c r="C607" s="186">
        <v>1</v>
      </c>
      <c r="D607" s="186">
        <v>4</v>
      </c>
      <c r="E607" s="165" t="s">
        <v>1050</v>
      </c>
      <c r="F607" s="165" t="str">
        <f>"血量低于50%时，伤害增加"&amp;skill!$O$55/100&amp;"%"</f>
        <v>血量低于50%时，伤害增加50%</v>
      </c>
      <c r="G607" s="186">
        <f ca="1">OFFSET(卡牌辅助配置表!$C$1,MATCH(AC607,卡牌辅助配置表!A:A,0)-1,0)</f>
        <v>6</v>
      </c>
      <c r="H607" s="186">
        <f ca="1" t="shared" si="108"/>
        <v>0</v>
      </c>
      <c r="I607" s="186"/>
      <c r="J607" s="186">
        <f ca="1">OFFSET(card_type!$F$1,MATCH(Q607,card_type!A:A,0)-1,0)</f>
        <v>4</v>
      </c>
      <c r="K607" s="243">
        <f ca="1">OFFSET(card_type!$G$1,MATCH(Q607,card_type!A:A,0)-1,0)</f>
        <v>2</v>
      </c>
      <c r="L607" s="157">
        <v>2</v>
      </c>
      <c r="M607" s="157">
        <v>2</v>
      </c>
      <c r="N607" s="153">
        <f t="shared" si="99"/>
        <v>2</v>
      </c>
      <c r="O607" s="157"/>
      <c r="P607" s="157"/>
      <c r="Q607" s="153">
        <f ca="1">OFFSET(card_type!$A$1,MATCH(card!B607,card_type!B:B,0)-1,0)</f>
        <v>1401</v>
      </c>
      <c r="R607" s="153">
        <v>1</v>
      </c>
      <c r="S607" s="157">
        <f ca="1">ROUND(IF(R607=0,0,IF(R607=1,X607*$S$1,IF(R607=2,X607*$S$1*buff的资质计算!$E$2,IF(R607=3,X607*$S$1*buff的资质计算!$E$3,0)))),0)*0</f>
        <v>0</v>
      </c>
      <c r="T607" s="153">
        <v>5</v>
      </c>
      <c r="U607" s="153">
        <f ca="1" t="shared" si="100"/>
        <v>42</v>
      </c>
      <c r="V607" s="153">
        <f ca="1">ROUND((OFFSET(卡牌辅助配置表!$O$1,MATCH(U607,卡牌辅助配置表!M:M,0)-1,0)+(N607-1)*OFFSET(卡牌辅助配置表!$P$1,MATCH(U607,卡牌辅助配置表!M:M,0)-1,0))*M607,2)</f>
        <v>51.55</v>
      </c>
      <c r="W607" s="157">
        <f ca="1">ROUND(IF(R607=0,0,IF(R607=1,X607*$W$1,IF(R607=2,X607*$W$1*buff的资质计算!$E$2,IF(R607=3,X607*$W$1*buff的资质计算!$E$3,0)))),2)</f>
        <v>16.35</v>
      </c>
      <c r="X607" s="157">
        <f ca="1" t="shared" si="101"/>
        <v>54.5</v>
      </c>
      <c r="Y607" s="157">
        <f ca="1" t="shared" si="106"/>
        <v>54.5</v>
      </c>
      <c r="Z607" s="304">
        <f ca="1" t="shared" si="102"/>
        <v>27.25</v>
      </c>
      <c r="AA607" s="304">
        <f ca="1">OFFSET(卡牌辅助配置表!$AD$1,MATCH(AB607,卡牌辅助配置表!AB:AB,0)-1,0)</f>
        <v>920</v>
      </c>
      <c r="AB607" s="304">
        <f ca="1" t="shared" si="103"/>
        <v>4202</v>
      </c>
      <c r="AC607" s="153">
        <v>11</v>
      </c>
      <c r="AE607" s="153">
        <v>5000</v>
      </c>
      <c r="AF607" s="153" t="str">
        <f ca="1" t="shared" si="107"/>
        <v>14010011|</v>
      </c>
      <c r="AJ607" s="205" t="str">
        <f ca="1" t="shared" si="104"/>
        <v>400023|1350|;</v>
      </c>
      <c r="AK607" s="205">
        <f ca="1">OFFSET([1]item_type!$A$1,MATCH(Q607,[1]item_type!$G:$G,0)-1,0)</f>
        <v>301401</v>
      </c>
      <c r="AL607" s="205"/>
      <c r="AM607" s="205">
        <f ca="1">IF(B607=B608,OFFSET(卡牌辅助配置表!$AE$1,MATCH(AB607,卡牌辅助配置表!AB:AB,0),0),0)</f>
        <v>1350</v>
      </c>
      <c r="AN607" s="153">
        <f ca="1" t="shared" si="105"/>
        <v>1401003</v>
      </c>
      <c r="AP607" s="153" t="str">
        <f ca="1">IF(AC607=0,0,IF(AC607=12,0,OFFSET(effect!$N$1,MATCH(K607,effect!M:M,0)-1,0)))</f>
        <v>kpsx_pt</v>
      </c>
    </row>
    <row r="608" spans="1:42">
      <c r="A608" s="153">
        <f ca="1" t="shared" si="98"/>
        <v>1401003</v>
      </c>
      <c r="B608" s="91" t="s">
        <v>306</v>
      </c>
      <c r="C608" s="186">
        <v>1</v>
      </c>
      <c r="D608" s="186">
        <v>4</v>
      </c>
      <c r="E608" s="165" t="s">
        <v>1050</v>
      </c>
      <c r="F608" s="165" t="str">
        <f>"血量低于50%时，伤害增加"&amp;skill!$O$55/100&amp;"%"</f>
        <v>血量低于50%时，伤害增加50%</v>
      </c>
      <c r="G608" s="186">
        <f ca="1">OFFSET(卡牌辅助配置表!$C$1,MATCH(AC608,卡牌辅助配置表!A:A,0)-1,0)</f>
        <v>6</v>
      </c>
      <c r="H608" s="186">
        <f ca="1" t="shared" si="108"/>
        <v>0</v>
      </c>
      <c r="I608" s="186"/>
      <c r="J608" s="186">
        <f ca="1">OFFSET(card_type!$F$1,MATCH(Q608,card_type!A:A,0)-1,0)</f>
        <v>4</v>
      </c>
      <c r="K608" s="243">
        <f ca="1">OFFSET(card_type!$G$1,MATCH(Q608,card_type!A:A,0)-1,0)</f>
        <v>2</v>
      </c>
      <c r="L608" s="157">
        <v>2</v>
      </c>
      <c r="M608" s="157">
        <v>2</v>
      </c>
      <c r="N608" s="153">
        <f t="shared" si="99"/>
        <v>3</v>
      </c>
      <c r="O608" s="157"/>
      <c r="P608" s="157"/>
      <c r="Q608" s="153">
        <f ca="1">OFFSET(card_type!$A$1,MATCH(card!B608,card_type!B:B,0)-1,0)</f>
        <v>1401</v>
      </c>
      <c r="R608" s="153">
        <v>1</v>
      </c>
      <c r="S608" s="157">
        <f ca="1">ROUND(IF(R608=0,0,IF(R608=1,X608*$S$1,IF(R608=2,X608*$S$1*buff的资质计算!$E$2,IF(R608=3,X608*$S$1*buff的资质计算!$E$3,0)))),0)*0</f>
        <v>0</v>
      </c>
      <c r="T608" s="153">
        <v>5</v>
      </c>
      <c r="U608" s="153">
        <f ca="1" t="shared" si="100"/>
        <v>42</v>
      </c>
      <c r="V608" s="153">
        <f ca="1">ROUND((OFFSET(卡牌辅助配置表!$O$1,MATCH(U608,卡牌辅助配置表!M:M,0)-1,0)+(N608-1)*OFFSET(卡牌辅助配置表!$P$1,MATCH(U608,卡牌辅助配置表!M:M,0)-1,0))*M608,2)</f>
        <v>58.85</v>
      </c>
      <c r="W608" s="157">
        <f ca="1">ROUND(IF(R608=0,0,IF(R608=1,X608*$W$1,IF(R608=2,X608*$W$1*buff的资质计算!$E$2,IF(R608=3,X608*$W$1*buff的资质计算!$E$3,0)))),2)</f>
        <v>16.5</v>
      </c>
      <c r="X608" s="157">
        <f ca="1" t="shared" si="101"/>
        <v>55</v>
      </c>
      <c r="Y608" s="157">
        <f ca="1" t="shared" si="106"/>
        <v>55</v>
      </c>
      <c r="Z608" s="304">
        <f ca="1" t="shared" si="102"/>
        <v>27.5</v>
      </c>
      <c r="AA608" s="304">
        <f ca="1">OFFSET(卡牌辅助配置表!$AD$1,MATCH(AB608,卡牌辅助配置表!AB:AB,0)-1,0)</f>
        <v>1380</v>
      </c>
      <c r="AB608" s="304">
        <f ca="1" t="shared" si="103"/>
        <v>4203</v>
      </c>
      <c r="AC608" s="153">
        <v>11</v>
      </c>
      <c r="AE608" s="153">
        <v>5000</v>
      </c>
      <c r="AF608" s="153" t="str">
        <f ca="1" t="shared" si="107"/>
        <v>14010011|</v>
      </c>
      <c r="AJ608" s="205" t="str">
        <f ca="1" t="shared" si="104"/>
        <v>400023|1650|;</v>
      </c>
      <c r="AK608" s="205">
        <f ca="1">OFFSET([1]item_type!$A$1,MATCH(Q608,[1]item_type!$G:$G,0)-1,0)</f>
        <v>301401</v>
      </c>
      <c r="AL608" s="205"/>
      <c r="AM608" s="205">
        <f ca="1">IF(B608=B609,OFFSET(卡牌辅助配置表!$AE$1,MATCH(AB608,卡牌辅助配置表!AB:AB,0),0),0)</f>
        <v>1650</v>
      </c>
      <c r="AN608" s="153">
        <f ca="1" t="shared" si="105"/>
        <v>1401004</v>
      </c>
      <c r="AP608" s="153" t="str">
        <f ca="1">IF(AC608=0,0,IF(AC608=12,0,OFFSET(effect!$N$1,MATCH(K608,effect!M:M,0)-1,0)))</f>
        <v>kpsx_pt</v>
      </c>
    </row>
    <row r="609" spans="1:42">
      <c r="A609" s="153">
        <f ca="1" t="shared" si="98"/>
        <v>1401004</v>
      </c>
      <c r="B609" s="91" t="s">
        <v>306</v>
      </c>
      <c r="C609" s="186">
        <v>1</v>
      </c>
      <c r="D609" s="186">
        <v>4</v>
      </c>
      <c r="E609" s="165" t="s">
        <v>1050</v>
      </c>
      <c r="F609" s="165" t="str">
        <f>"血量低于50%时，伤害增加"&amp;skill!$O$55/100&amp;"%"</f>
        <v>血量低于50%时，伤害增加50%</v>
      </c>
      <c r="G609" s="186">
        <f ca="1">OFFSET(卡牌辅助配置表!$C$1,MATCH(AC609,卡牌辅助配置表!A:A,0)-1,0)</f>
        <v>6</v>
      </c>
      <c r="H609" s="186">
        <f ca="1" t="shared" si="108"/>
        <v>0</v>
      </c>
      <c r="I609" s="186"/>
      <c r="J609" s="186">
        <f ca="1">OFFSET(card_type!$F$1,MATCH(Q609,card_type!A:A,0)-1,0)</f>
        <v>4</v>
      </c>
      <c r="K609" s="243">
        <f ca="1">OFFSET(card_type!$G$1,MATCH(Q609,card_type!A:A,0)-1,0)</f>
        <v>2</v>
      </c>
      <c r="L609" s="157">
        <v>2</v>
      </c>
      <c r="M609" s="157">
        <v>2</v>
      </c>
      <c r="N609" s="153">
        <f t="shared" si="99"/>
        <v>4</v>
      </c>
      <c r="O609" s="157"/>
      <c r="P609" s="157"/>
      <c r="Q609" s="153">
        <f ca="1">OFFSET(card_type!$A$1,MATCH(card!B609,card_type!B:B,0)-1,0)</f>
        <v>1401</v>
      </c>
      <c r="R609" s="153">
        <v>1</v>
      </c>
      <c r="S609" s="157">
        <f ca="1">ROUND(IF(R609=0,0,IF(R609=1,X609*$S$1,IF(R609=2,X609*$S$1*buff的资质计算!$E$2,IF(R609=3,X609*$S$1*buff的资质计算!$E$3,0)))),0)*0</f>
        <v>0</v>
      </c>
      <c r="T609" s="153">
        <v>5</v>
      </c>
      <c r="U609" s="153">
        <f ca="1" t="shared" si="100"/>
        <v>42</v>
      </c>
      <c r="V609" s="153">
        <f ca="1">ROUND((OFFSET(卡牌辅助配置表!$O$1,MATCH(U609,卡牌辅助配置表!M:M,0)-1,0)+(N609-1)*OFFSET(卡牌辅助配置表!$P$1,MATCH(U609,卡牌辅助配置表!M:M,0)-1,0))*M609,2)</f>
        <v>66.15</v>
      </c>
      <c r="W609" s="157">
        <f ca="1">ROUND(IF(R609=0,0,IF(R609=1,X609*$W$1,IF(R609=2,X609*$W$1*buff的资质计算!$E$2,IF(R609=3,X609*$W$1*buff的资质计算!$E$3,0)))),2)</f>
        <v>16.65</v>
      </c>
      <c r="X609" s="157">
        <f ca="1" t="shared" si="101"/>
        <v>55.5</v>
      </c>
      <c r="Y609" s="157">
        <f ca="1" t="shared" si="106"/>
        <v>55.5</v>
      </c>
      <c r="Z609" s="304">
        <f ca="1" t="shared" si="102"/>
        <v>27.75</v>
      </c>
      <c r="AA609" s="304">
        <f ca="1">OFFSET(卡牌辅助配置表!$AD$1,MATCH(AB609,卡牌辅助配置表!AB:AB,0)-1,0)</f>
        <v>1840</v>
      </c>
      <c r="AB609" s="304">
        <f ca="1" t="shared" si="103"/>
        <v>4204</v>
      </c>
      <c r="AC609" s="153">
        <v>11</v>
      </c>
      <c r="AE609" s="153">
        <v>5000</v>
      </c>
      <c r="AF609" s="153" t="str">
        <f ca="1" t="shared" si="107"/>
        <v>14010011|</v>
      </c>
      <c r="AJ609" s="205" t="str">
        <f ca="1" t="shared" si="104"/>
        <v>400023|1950|;</v>
      </c>
      <c r="AK609" s="205">
        <f ca="1">OFFSET([1]item_type!$A$1,MATCH(Q609,[1]item_type!$G:$G,0)-1,0)</f>
        <v>301401</v>
      </c>
      <c r="AL609" s="205"/>
      <c r="AM609" s="205">
        <f ca="1">IF(B609=B610,OFFSET(卡牌辅助配置表!$AE$1,MATCH(AB609,卡牌辅助配置表!AB:AB,0),0),0)</f>
        <v>1950</v>
      </c>
      <c r="AN609" s="153">
        <f ca="1" t="shared" si="105"/>
        <v>1401005</v>
      </c>
      <c r="AP609" s="153" t="str">
        <f ca="1">IF(AC609=0,0,IF(AC609=12,0,OFFSET(effect!$N$1,MATCH(K609,effect!M:M,0)-1,0)))</f>
        <v>kpsx_pt</v>
      </c>
    </row>
    <row r="610" spans="1:42">
      <c r="A610" s="153">
        <f ca="1" t="shared" si="98"/>
        <v>1401005</v>
      </c>
      <c r="B610" s="91" t="s">
        <v>306</v>
      </c>
      <c r="C610" s="186">
        <v>1</v>
      </c>
      <c r="D610" s="186">
        <v>4</v>
      </c>
      <c r="E610" s="165" t="s">
        <v>1050</v>
      </c>
      <c r="F610" s="165" t="str">
        <f>"血量低于50%时，伤害增加"&amp;skill!$O$55/100&amp;"%"</f>
        <v>血量低于50%时，伤害增加50%</v>
      </c>
      <c r="G610" s="186">
        <f ca="1">OFFSET(卡牌辅助配置表!$C$1,MATCH(AC610,卡牌辅助配置表!A:A,0)-1,0)</f>
        <v>6</v>
      </c>
      <c r="H610" s="186">
        <f ca="1" t="shared" si="108"/>
        <v>0</v>
      </c>
      <c r="I610" s="186"/>
      <c r="J610" s="186">
        <f ca="1">OFFSET(card_type!$F$1,MATCH(Q610,card_type!A:A,0)-1,0)</f>
        <v>4</v>
      </c>
      <c r="K610" s="243">
        <f ca="1">OFFSET(card_type!$G$1,MATCH(Q610,card_type!A:A,0)-1,0)</f>
        <v>2</v>
      </c>
      <c r="L610" s="157">
        <v>2</v>
      </c>
      <c r="M610" s="157">
        <v>2</v>
      </c>
      <c r="N610" s="153">
        <f t="shared" si="99"/>
        <v>5</v>
      </c>
      <c r="O610" s="157"/>
      <c r="P610" s="157"/>
      <c r="Q610" s="153">
        <f ca="1">OFFSET(card_type!$A$1,MATCH(card!B610,card_type!B:B,0)-1,0)</f>
        <v>1401</v>
      </c>
      <c r="R610" s="153">
        <v>1</v>
      </c>
      <c r="S610" s="157">
        <f ca="1">ROUND(IF(R610=0,0,IF(R610=1,X610*$S$1,IF(R610=2,X610*$S$1*buff的资质计算!$E$2,IF(R610=3,X610*$S$1*buff的资质计算!$E$3,0)))),0)*0</f>
        <v>0</v>
      </c>
      <c r="T610" s="153">
        <v>5</v>
      </c>
      <c r="U610" s="153">
        <f ca="1" t="shared" si="100"/>
        <v>42</v>
      </c>
      <c r="V610" s="153">
        <f ca="1">ROUND((OFFSET(卡牌辅助配置表!$O$1,MATCH(U610,卡牌辅助配置表!M:M,0)-1,0)+(N610-1)*OFFSET(卡牌辅助配置表!$P$1,MATCH(U610,卡牌辅助配置表!M:M,0)-1,0))*M610,2)</f>
        <v>73.45</v>
      </c>
      <c r="W610" s="157">
        <f ca="1">ROUND(IF(R610=0,0,IF(R610=1,X610*$W$1,IF(R610=2,X610*$W$1*buff的资质计算!$E$2,IF(R610=3,X610*$W$1*buff的资质计算!$E$3,0)))),2)</f>
        <v>16.8</v>
      </c>
      <c r="X610" s="157">
        <f ca="1" t="shared" si="101"/>
        <v>56</v>
      </c>
      <c r="Y610" s="157">
        <f ca="1" t="shared" si="106"/>
        <v>56</v>
      </c>
      <c r="Z610" s="304">
        <f ca="1" t="shared" si="102"/>
        <v>28</v>
      </c>
      <c r="AA610" s="304">
        <f ca="1">OFFSET(卡牌辅助配置表!$AD$1,MATCH(AB610,卡牌辅助配置表!AB:AB,0)-1,0)</f>
        <v>2300</v>
      </c>
      <c r="AB610" s="304">
        <f ca="1" t="shared" si="103"/>
        <v>4205</v>
      </c>
      <c r="AC610" s="153">
        <v>11</v>
      </c>
      <c r="AE610" s="153">
        <v>5000</v>
      </c>
      <c r="AF610" s="153" t="str">
        <f ca="1" t="shared" si="107"/>
        <v>14010011|</v>
      </c>
      <c r="AJ610" s="205" t="str">
        <f ca="1" t="shared" si="104"/>
        <v>400023|2250|;</v>
      </c>
      <c r="AK610" s="205">
        <f ca="1">OFFSET([1]item_type!$A$1,MATCH(Q610,[1]item_type!$G:$G,0)-1,0)</f>
        <v>301401</v>
      </c>
      <c r="AL610" s="205"/>
      <c r="AM610" s="205">
        <f ca="1">IF(B610=B611,OFFSET(卡牌辅助配置表!$AE$1,MATCH(AB610,卡牌辅助配置表!AB:AB,0),0),0)</f>
        <v>2250</v>
      </c>
      <c r="AN610" s="153">
        <f ca="1" t="shared" si="105"/>
        <v>1401006</v>
      </c>
      <c r="AP610" s="153" t="str">
        <f ca="1">IF(AC610=0,0,IF(AC610=12,0,OFFSET(effect!$N$1,MATCH(K610,effect!M:M,0)-1,0)))</f>
        <v>kpsx_pt</v>
      </c>
    </row>
    <row r="611" spans="1:42">
      <c r="A611" s="153">
        <f ca="1" t="shared" si="98"/>
        <v>1401006</v>
      </c>
      <c r="B611" s="91" t="s">
        <v>306</v>
      </c>
      <c r="C611" s="186">
        <v>1</v>
      </c>
      <c r="D611" s="186">
        <v>4</v>
      </c>
      <c r="E611" s="165" t="s">
        <v>1050</v>
      </c>
      <c r="F611" s="165" t="str">
        <f>"血量低于50%时，伤害增加"&amp;skill!$O$55/100&amp;"%"</f>
        <v>血量低于50%时，伤害增加50%</v>
      </c>
      <c r="G611" s="186">
        <f ca="1">OFFSET(卡牌辅助配置表!$C$1,MATCH(AC611,卡牌辅助配置表!A:A,0)-1,0)</f>
        <v>6</v>
      </c>
      <c r="H611" s="186">
        <f ca="1" t="shared" si="108"/>
        <v>0</v>
      </c>
      <c r="I611" s="186"/>
      <c r="J611" s="186">
        <f ca="1">OFFSET(card_type!$F$1,MATCH(Q611,card_type!A:A,0)-1,0)</f>
        <v>4</v>
      </c>
      <c r="K611" s="243">
        <f ca="1">OFFSET(card_type!$G$1,MATCH(Q611,card_type!A:A,0)-1,0)</f>
        <v>2</v>
      </c>
      <c r="L611" s="157">
        <v>2</v>
      </c>
      <c r="M611" s="157">
        <v>2</v>
      </c>
      <c r="N611" s="153">
        <f t="shared" si="99"/>
        <v>6</v>
      </c>
      <c r="O611" s="157"/>
      <c r="P611" s="157"/>
      <c r="Q611" s="153">
        <f ca="1">OFFSET(card_type!$A$1,MATCH(card!B611,card_type!B:B,0)-1,0)</f>
        <v>1401</v>
      </c>
      <c r="R611" s="153">
        <v>1</v>
      </c>
      <c r="S611" s="157">
        <f ca="1">ROUND(IF(R611=0,0,IF(R611=1,X611*$S$1,IF(R611=2,X611*$S$1*buff的资质计算!$E$2,IF(R611=3,X611*$S$1*buff的资质计算!$E$3,0)))),0)*0</f>
        <v>0</v>
      </c>
      <c r="T611" s="153">
        <v>5</v>
      </c>
      <c r="U611" s="153">
        <f ca="1" t="shared" si="100"/>
        <v>42</v>
      </c>
      <c r="V611" s="153">
        <f ca="1">ROUND((OFFSET(卡牌辅助配置表!$O$1,MATCH(U611,卡牌辅助配置表!M:M,0)-1,0)+(N611-1)*OFFSET(卡牌辅助配置表!$P$1,MATCH(U611,卡牌辅助配置表!M:M,0)-1,0))*M611,2)</f>
        <v>80.75</v>
      </c>
      <c r="W611" s="157">
        <f ca="1">ROUND(IF(R611=0,0,IF(R611=1,X611*$W$1,IF(R611=2,X611*$W$1*buff的资质计算!$E$2,IF(R611=3,X611*$W$1*buff的资质计算!$E$3,0)))),2)</f>
        <v>16.95</v>
      </c>
      <c r="X611" s="157">
        <f ca="1" t="shared" si="101"/>
        <v>56.5</v>
      </c>
      <c r="Y611" s="157">
        <f ca="1" t="shared" si="106"/>
        <v>56.5</v>
      </c>
      <c r="Z611" s="304">
        <f ca="1" t="shared" si="102"/>
        <v>28.25</v>
      </c>
      <c r="AA611" s="304">
        <f ca="1">OFFSET(卡牌辅助配置表!$AD$1,MATCH(AB611,卡牌辅助配置表!AB:AB,0)-1,0)</f>
        <v>2760</v>
      </c>
      <c r="AB611" s="304">
        <f ca="1" t="shared" si="103"/>
        <v>4206</v>
      </c>
      <c r="AC611" s="153">
        <v>11</v>
      </c>
      <c r="AE611" s="153">
        <v>5000</v>
      </c>
      <c r="AF611" s="153" t="str">
        <f ca="1" t="shared" si="107"/>
        <v>14010011|</v>
      </c>
      <c r="AJ611" s="205" t="str">
        <f ca="1" t="shared" si="104"/>
        <v>400023|2550|;</v>
      </c>
      <c r="AK611" s="205">
        <f ca="1">OFFSET([1]item_type!$A$1,MATCH(Q611,[1]item_type!$G:$G,0)-1,0)</f>
        <v>301401</v>
      </c>
      <c r="AL611" s="205"/>
      <c r="AM611" s="205">
        <f ca="1">IF(B611=B612,OFFSET(卡牌辅助配置表!$AE$1,MATCH(AB611,卡牌辅助配置表!AB:AB,0),0),0)</f>
        <v>2550</v>
      </c>
      <c r="AN611" s="153">
        <f ca="1" t="shared" si="105"/>
        <v>1401007</v>
      </c>
      <c r="AP611" s="153" t="str">
        <f ca="1">IF(AC611=0,0,IF(AC611=12,0,OFFSET(effect!$N$1,MATCH(K611,effect!M:M,0)-1,0)))</f>
        <v>kpsx_pt</v>
      </c>
    </row>
    <row r="612" spans="1:42">
      <c r="A612" s="153">
        <f ca="1" t="shared" si="98"/>
        <v>1401007</v>
      </c>
      <c r="B612" s="91" t="s">
        <v>306</v>
      </c>
      <c r="C612" s="186">
        <v>1</v>
      </c>
      <c r="D612" s="186">
        <v>4</v>
      </c>
      <c r="E612" s="165" t="s">
        <v>1050</v>
      </c>
      <c r="F612" s="165" t="str">
        <f>"血量低于50%时，伤害增加"&amp;skill!$O$55/100&amp;"%"</f>
        <v>血量低于50%时，伤害增加50%</v>
      </c>
      <c r="G612" s="186">
        <f ca="1">OFFSET(卡牌辅助配置表!$C$1,MATCH(AC612,卡牌辅助配置表!A:A,0)-1,0)</f>
        <v>6</v>
      </c>
      <c r="H612" s="186">
        <f ca="1" t="shared" si="108"/>
        <v>0</v>
      </c>
      <c r="I612" s="186"/>
      <c r="J612" s="186">
        <f ca="1">OFFSET(card_type!$F$1,MATCH(Q612,card_type!A:A,0)-1,0)</f>
        <v>4</v>
      </c>
      <c r="K612" s="243">
        <f ca="1">OFFSET(card_type!$G$1,MATCH(Q612,card_type!A:A,0)-1,0)</f>
        <v>2</v>
      </c>
      <c r="L612" s="157">
        <v>2</v>
      </c>
      <c r="M612" s="157">
        <v>2</v>
      </c>
      <c r="N612" s="153">
        <f t="shared" si="99"/>
        <v>7</v>
      </c>
      <c r="O612" s="157"/>
      <c r="P612" s="157"/>
      <c r="Q612" s="153">
        <f ca="1">OFFSET(card_type!$A$1,MATCH(card!B612,card_type!B:B,0)-1,0)</f>
        <v>1401</v>
      </c>
      <c r="R612" s="153">
        <v>1</v>
      </c>
      <c r="S612" s="157">
        <f ca="1">ROUND(IF(R612=0,0,IF(R612=1,X612*$S$1,IF(R612=2,X612*$S$1*buff的资质计算!$E$2,IF(R612=3,X612*$S$1*buff的资质计算!$E$3,0)))),0)*0</f>
        <v>0</v>
      </c>
      <c r="T612" s="153">
        <v>5</v>
      </c>
      <c r="U612" s="153">
        <f ca="1" t="shared" si="100"/>
        <v>42</v>
      </c>
      <c r="V612" s="153">
        <f ca="1">ROUND((OFFSET(卡牌辅助配置表!$O$1,MATCH(U612,卡牌辅助配置表!M:M,0)-1,0)+(N612-1)*OFFSET(卡牌辅助配置表!$P$1,MATCH(U612,卡牌辅助配置表!M:M,0)-1,0))*M612,2)</f>
        <v>88.05</v>
      </c>
      <c r="W612" s="157">
        <f ca="1">ROUND(IF(R612=0,0,IF(R612=1,X612*$W$1,IF(R612=2,X612*$W$1*buff的资质计算!$E$2,IF(R612=3,X612*$W$1*buff的资质计算!$E$3,0)))),2)</f>
        <v>17.1</v>
      </c>
      <c r="X612" s="157">
        <f ca="1" t="shared" si="101"/>
        <v>57</v>
      </c>
      <c r="Y612" s="157">
        <f ca="1" t="shared" si="106"/>
        <v>57</v>
      </c>
      <c r="Z612" s="304">
        <f ca="1" t="shared" si="102"/>
        <v>28.5</v>
      </c>
      <c r="AA612" s="304">
        <f ca="1">OFFSET(卡牌辅助配置表!$AD$1,MATCH(AB612,卡牌辅助配置表!AB:AB,0)-1,0)</f>
        <v>3220</v>
      </c>
      <c r="AB612" s="304">
        <f ca="1" t="shared" si="103"/>
        <v>4207</v>
      </c>
      <c r="AC612" s="153">
        <v>11</v>
      </c>
      <c r="AE612" s="153">
        <v>5000</v>
      </c>
      <c r="AF612" s="153" t="str">
        <f ca="1" t="shared" si="107"/>
        <v>14010011|</v>
      </c>
      <c r="AJ612" s="205" t="str">
        <f ca="1" t="shared" si="104"/>
        <v>400023|2850|;</v>
      </c>
      <c r="AK612" s="205">
        <f ca="1">OFFSET([1]item_type!$A$1,MATCH(Q612,[1]item_type!$G:$G,0)-1,0)</f>
        <v>301401</v>
      </c>
      <c r="AL612" s="205"/>
      <c r="AM612" s="205">
        <f ca="1">IF(B612=B613,OFFSET(卡牌辅助配置表!$AE$1,MATCH(AB612,卡牌辅助配置表!AB:AB,0),0),0)</f>
        <v>2850</v>
      </c>
      <c r="AN612" s="153">
        <f ca="1" t="shared" si="105"/>
        <v>1401008</v>
      </c>
      <c r="AP612" s="153" t="str">
        <f ca="1">IF(AC612=0,0,IF(AC612=12,0,OFFSET(effect!$N$1,MATCH(K612,effect!M:M,0)-1,0)))</f>
        <v>kpsx_pt</v>
      </c>
    </row>
    <row r="613" spans="1:42">
      <c r="A613" s="153">
        <f ca="1" t="shared" si="98"/>
        <v>1401008</v>
      </c>
      <c r="B613" s="91" t="s">
        <v>306</v>
      </c>
      <c r="C613" s="186">
        <v>1</v>
      </c>
      <c r="D613" s="186">
        <v>4</v>
      </c>
      <c r="E613" s="165" t="s">
        <v>1050</v>
      </c>
      <c r="F613" s="165" t="str">
        <f>"血量低于50%时，伤害增加"&amp;skill!$O$55/100&amp;"%"</f>
        <v>血量低于50%时，伤害增加50%</v>
      </c>
      <c r="G613" s="186">
        <f ca="1">OFFSET(卡牌辅助配置表!$C$1,MATCH(AC613,卡牌辅助配置表!A:A,0)-1,0)</f>
        <v>6</v>
      </c>
      <c r="H613" s="186">
        <f ca="1" t="shared" si="108"/>
        <v>0</v>
      </c>
      <c r="I613" s="186"/>
      <c r="J613" s="186">
        <f ca="1">OFFSET(card_type!$F$1,MATCH(Q613,card_type!A:A,0)-1,0)</f>
        <v>4</v>
      </c>
      <c r="K613" s="243">
        <f ca="1">OFFSET(card_type!$G$1,MATCH(Q613,card_type!A:A,0)-1,0)</f>
        <v>2</v>
      </c>
      <c r="L613" s="157">
        <v>2</v>
      </c>
      <c r="M613" s="157">
        <v>2</v>
      </c>
      <c r="N613" s="153">
        <f t="shared" si="99"/>
        <v>8</v>
      </c>
      <c r="O613" s="157"/>
      <c r="P613" s="157"/>
      <c r="Q613" s="153">
        <f ca="1">OFFSET(card_type!$A$1,MATCH(card!B613,card_type!B:B,0)-1,0)</f>
        <v>1401</v>
      </c>
      <c r="R613" s="153">
        <v>1</v>
      </c>
      <c r="S613" s="157">
        <f ca="1">ROUND(IF(R613=0,0,IF(R613=1,X613*$S$1,IF(R613=2,X613*$S$1*buff的资质计算!$E$2,IF(R613=3,X613*$S$1*buff的资质计算!$E$3,0)))),0)*0</f>
        <v>0</v>
      </c>
      <c r="T613" s="153">
        <v>5</v>
      </c>
      <c r="U613" s="153">
        <f ca="1" t="shared" si="100"/>
        <v>42</v>
      </c>
      <c r="V613" s="153">
        <f ca="1">ROUND((OFFSET(卡牌辅助配置表!$O$1,MATCH(U613,卡牌辅助配置表!M:M,0)-1,0)+(N613-1)*OFFSET(卡牌辅助配置表!$P$1,MATCH(U613,卡牌辅助配置表!M:M,0)-1,0))*M613,2)</f>
        <v>95.35</v>
      </c>
      <c r="W613" s="157">
        <f ca="1">ROUND(IF(R613=0,0,IF(R613=1,X613*$W$1,IF(R613=2,X613*$W$1*buff的资质计算!$E$2,IF(R613=3,X613*$W$1*buff的资质计算!$E$3,0)))),2)</f>
        <v>17.25</v>
      </c>
      <c r="X613" s="157">
        <f ca="1" t="shared" si="101"/>
        <v>57.5</v>
      </c>
      <c r="Y613" s="157">
        <f ca="1" t="shared" si="106"/>
        <v>57.5</v>
      </c>
      <c r="Z613" s="304">
        <f ca="1" t="shared" si="102"/>
        <v>28.75</v>
      </c>
      <c r="AA613" s="304">
        <f ca="1">OFFSET(卡牌辅助配置表!$AD$1,MATCH(AB613,卡牌辅助配置表!AB:AB,0)-1,0)</f>
        <v>3680</v>
      </c>
      <c r="AB613" s="304">
        <f ca="1" t="shared" si="103"/>
        <v>4208</v>
      </c>
      <c r="AC613" s="153">
        <v>11</v>
      </c>
      <c r="AE613" s="153">
        <v>5000</v>
      </c>
      <c r="AF613" s="153" t="str">
        <f ca="1" t="shared" si="107"/>
        <v>14010011|</v>
      </c>
      <c r="AJ613" s="205" t="str">
        <f ca="1" t="shared" si="104"/>
        <v>400023|3150|;</v>
      </c>
      <c r="AK613" s="205">
        <f ca="1">OFFSET([1]item_type!$A$1,MATCH(Q613,[1]item_type!$G:$G,0)-1,0)</f>
        <v>301401</v>
      </c>
      <c r="AL613" s="205"/>
      <c r="AM613" s="205">
        <f ca="1">IF(B613=B614,OFFSET(卡牌辅助配置表!$AE$1,MATCH(AB613,卡牌辅助配置表!AB:AB,0),0),0)</f>
        <v>3150</v>
      </c>
      <c r="AN613" s="153">
        <f ca="1" t="shared" si="105"/>
        <v>1401009</v>
      </c>
      <c r="AP613" s="153" t="str">
        <f ca="1">IF(AC613=0,0,IF(AC613=12,0,OFFSET(effect!$N$1,MATCH(K613,effect!M:M,0)-1,0)))</f>
        <v>kpsx_pt</v>
      </c>
    </row>
    <row r="614" spans="1:42">
      <c r="A614" s="153">
        <f ca="1" t="shared" si="98"/>
        <v>1401009</v>
      </c>
      <c r="B614" s="91" t="s">
        <v>306</v>
      </c>
      <c r="C614" s="186">
        <v>1</v>
      </c>
      <c r="D614" s="186">
        <v>4</v>
      </c>
      <c r="E614" s="165" t="s">
        <v>1050</v>
      </c>
      <c r="F614" s="165" t="str">
        <f>"血量低于50%时，伤害增加"&amp;skill!$O$55/100&amp;"%"</f>
        <v>血量低于50%时，伤害增加50%</v>
      </c>
      <c r="G614" s="186">
        <f ca="1">OFFSET(卡牌辅助配置表!$C$1,MATCH(AC614,卡牌辅助配置表!A:A,0)-1,0)</f>
        <v>6</v>
      </c>
      <c r="H614" s="186">
        <f ca="1" t="shared" si="108"/>
        <v>0</v>
      </c>
      <c r="I614" s="186"/>
      <c r="J614" s="186">
        <f ca="1">OFFSET(card_type!$F$1,MATCH(Q614,card_type!A:A,0)-1,0)</f>
        <v>4</v>
      </c>
      <c r="K614" s="243">
        <f ca="1">OFFSET(card_type!$G$1,MATCH(Q614,card_type!A:A,0)-1,0)</f>
        <v>2</v>
      </c>
      <c r="L614" s="157">
        <v>2</v>
      </c>
      <c r="M614" s="157">
        <v>2</v>
      </c>
      <c r="N614" s="153">
        <f t="shared" si="99"/>
        <v>9</v>
      </c>
      <c r="O614" s="157"/>
      <c r="P614" s="157"/>
      <c r="Q614" s="153">
        <f ca="1">OFFSET(card_type!$A$1,MATCH(card!B614,card_type!B:B,0)-1,0)</f>
        <v>1401</v>
      </c>
      <c r="R614" s="153">
        <v>1</v>
      </c>
      <c r="S614" s="157">
        <f ca="1">ROUND(IF(R614=0,0,IF(R614=1,X614*$S$1,IF(R614=2,X614*$S$1*buff的资质计算!$E$2,IF(R614=3,X614*$S$1*buff的资质计算!$E$3,0)))),0)*0</f>
        <v>0</v>
      </c>
      <c r="T614" s="153">
        <v>5</v>
      </c>
      <c r="U614" s="153">
        <f ca="1" t="shared" si="100"/>
        <v>42</v>
      </c>
      <c r="V614" s="153">
        <f ca="1">ROUND((OFFSET(卡牌辅助配置表!$O$1,MATCH(U614,卡牌辅助配置表!M:M,0)-1,0)+(N614-1)*OFFSET(卡牌辅助配置表!$P$1,MATCH(U614,卡牌辅助配置表!M:M,0)-1,0))*M614,2)</f>
        <v>102.65</v>
      </c>
      <c r="W614" s="157">
        <f ca="1">ROUND(IF(R614=0,0,IF(R614=1,X614*$W$1,IF(R614=2,X614*$W$1*buff的资质计算!$E$2,IF(R614=3,X614*$W$1*buff的资质计算!$E$3,0)))),2)</f>
        <v>17.4</v>
      </c>
      <c r="X614" s="157">
        <f ca="1" t="shared" si="101"/>
        <v>58</v>
      </c>
      <c r="Y614" s="157">
        <f ca="1" t="shared" si="106"/>
        <v>58</v>
      </c>
      <c r="Z614" s="304">
        <f ca="1" t="shared" si="102"/>
        <v>29</v>
      </c>
      <c r="AA614" s="304">
        <f ca="1">OFFSET(卡牌辅助配置表!$AD$1,MATCH(AB614,卡牌辅助配置表!AB:AB,0)-1,0)</f>
        <v>4140</v>
      </c>
      <c r="AB614" s="304">
        <f ca="1" t="shared" si="103"/>
        <v>4209</v>
      </c>
      <c r="AC614" s="153">
        <v>11</v>
      </c>
      <c r="AE614" s="153">
        <v>5000</v>
      </c>
      <c r="AF614" s="153" t="str">
        <f ca="1" t="shared" si="107"/>
        <v>14010011|</v>
      </c>
      <c r="AJ614" s="205" t="str">
        <f ca="1" t="shared" si="104"/>
        <v>301401|15|;400023|3450|;</v>
      </c>
      <c r="AK614" s="205">
        <f ca="1">OFFSET([1]item_type!$A$1,MATCH(Q614,[1]item_type!$G:$G,0)-1,0)</f>
        <v>301401</v>
      </c>
      <c r="AL614" s="205">
        <v>15</v>
      </c>
      <c r="AM614" s="205">
        <f ca="1">IF(B614=B615,OFFSET(卡牌辅助配置表!$AE$1,MATCH(AB614,卡牌辅助配置表!AB:AB,0),0),0)</f>
        <v>3450</v>
      </c>
      <c r="AN614" s="153">
        <f ca="1" t="shared" si="105"/>
        <v>1401010</v>
      </c>
      <c r="AP614" s="153" t="str">
        <f ca="1">IF(AC614=0,0,IF(AC614=12,0,OFFSET(effect!$N$1,MATCH(K614,effect!M:M,0)-1,0)))</f>
        <v>kpsx_pt</v>
      </c>
    </row>
    <row r="615" spans="1:42">
      <c r="A615" s="153">
        <f ca="1" t="shared" si="98"/>
        <v>1401010</v>
      </c>
      <c r="B615" s="91" t="s">
        <v>306</v>
      </c>
      <c r="C615" s="186">
        <v>1</v>
      </c>
      <c r="D615" s="186">
        <v>4</v>
      </c>
      <c r="E615" s="165" t="s">
        <v>1050</v>
      </c>
      <c r="F615" s="165" t="str">
        <f>"血量低于50%时，伤害增加"&amp;skill!$O$55/100&amp;"%"</f>
        <v>血量低于50%时，伤害增加50%</v>
      </c>
      <c r="G615" s="186">
        <f ca="1">OFFSET(卡牌辅助配置表!$C$1,MATCH(AC615,卡牌辅助配置表!A:A,0)-1,0)</f>
        <v>6</v>
      </c>
      <c r="H615" s="186">
        <f ca="1" t="shared" si="108"/>
        <v>0</v>
      </c>
      <c r="I615" s="186"/>
      <c r="J615" s="186">
        <f ca="1">OFFSET(card_type!$F$1,MATCH(Q615,card_type!A:A,0)-1,0)</f>
        <v>4</v>
      </c>
      <c r="K615" s="243">
        <f ca="1">OFFSET(card_type!$G$1,MATCH(Q615,card_type!A:A,0)-1,0)</f>
        <v>2</v>
      </c>
      <c r="L615" s="157">
        <v>2</v>
      </c>
      <c r="M615" s="157">
        <v>2</v>
      </c>
      <c r="N615" s="153">
        <f t="shared" si="99"/>
        <v>10</v>
      </c>
      <c r="O615" s="157"/>
      <c r="P615" s="157"/>
      <c r="Q615" s="153">
        <f ca="1">OFFSET(card_type!$A$1,MATCH(card!B615,card_type!B:B,0)-1,0)</f>
        <v>1401</v>
      </c>
      <c r="R615" s="153">
        <v>1</v>
      </c>
      <c r="S615" s="157">
        <f ca="1">ROUND(IF(R615=0,0,IF(R615=1,X615*$S$1,IF(R615=2,X615*$S$1*buff的资质计算!$E$2,IF(R615=3,X615*$S$1*buff的资质计算!$E$3,0)))),0)*0</f>
        <v>0</v>
      </c>
      <c r="T615" s="153">
        <v>5</v>
      </c>
      <c r="U615" s="153">
        <f ca="1" t="shared" si="100"/>
        <v>42</v>
      </c>
      <c r="V615" s="153">
        <f ca="1">ROUND((OFFSET(卡牌辅助配置表!$O$1,MATCH(U615,卡牌辅助配置表!M:M,0)-1,0)+(N615-1)*OFFSET(卡牌辅助配置表!$P$1,MATCH(U615,卡牌辅助配置表!M:M,0)-1,0))*M615,2)</f>
        <v>109.95</v>
      </c>
      <c r="W615" s="157">
        <f ca="1">ROUND(IF(R615=0,0,IF(R615=1,X615*$W$1,IF(R615=2,X615*$W$1*buff的资质计算!$E$2,IF(R615=3,X615*$W$1*buff的资质计算!$E$3,0)))),2)</f>
        <v>17.55</v>
      </c>
      <c r="X615" s="157">
        <f ca="1" t="shared" si="101"/>
        <v>58.5</v>
      </c>
      <c r="Y615" s="157">
        <f ca="1" t="shared" si="106"/>
        <v>58.5</v>
      </c>
      <c r="Z615" s="304">
        <f ca="1" t="shared" si="102"/>
        <v>29.25</v>
      </c>
      <c r="AA615" s="304">
        <f ca="1">OFFSET(卡牌辅助配置表!$AD$1,MATCH(AB615,卡牌辅助配置表!AB:AB,0)-1,0)</f>
        <v>4600</v>
      </c>
      <c r="AB615" s="304">
        <f ca="1" t="shared" si="103"/>
        <v>4210</v>
      </c>
      <c r="AC615" s="153">
        <v>11</v>
      </c>
      <c r="AE615" s="153">
        <v>5000</v>
      </c>
      <c r="AF615" s="153" t="str">
        <f ca="1" t="shared" si="107"/>
        <v>14010011|</v>
      </c>
      <c r="AJ615" s="205" t="str">
        <f ca="1" t="shared" si="104"/>
        <v>400023|4050|;</v>
      </c>
      <c r="AK615" s="205">
        <f ca="1">OFFSET([1]item_type!$A$1,MATCH(Q615,[1]item_type!$G:$G,0)-1,0)</f>
        <v>301401</v>
      </c>
      <c r="AL615" s="205"/>
      <c r="AM615" s="205">
        <f ca="1">IF(B615=B616,OFFSET(卡牌辅助配置表!$AE$1,MATCH(AB615,卡牌辅助配置表!AB:AB,0),0),0)</f>
        <v>4050</v>
      </c>
      <c r="AN615" s="153">
        <f ca="1" t="shared" si="105"/>
        <v>1401011</v>
      </c>
      <c r="AP615" s="153" t="str">
        <f ca="1">IF(AC615=0,0,IF(AC615=12,0,OFFSET(effect!$N$1,MATCH(K615,effect!M:M,0)-1,0)))</f>
        <v>kpsx_pt</v>
      </c>
    </row>
    <row r="616" spans="1:42">
      <c r="A616" s="153">
        <f ca="1" t="shared" si="98"/>
        <v>1401011</v>
      </c>
      <c r="B616" s="91" t="s">
        <v>306</v>
      </c>
      <c r="C616" s="186">
        <v>1</v>
      </c>
      <c r="D616" s="186">
        <v>4</v>
      </c>
      <c r="E616" s="165" t="s">
        <v>1050</v>
      </c>
      <c r="F616" s="165" t="str">
        <f>"血量低于50%时，伤害增加"&amp;skill!$O$55/100&amp;"%"</f>
        <v>血量低于50%时，伤害增加50%</v>
      </c>
      <c r="G616" s="186">
        <f ca="1">OFFSET(卡牌辅助配置表!$C$1,MATCH(AC616,卡牌辅助配置表!A:A,0)-1,0)</f>
        <v>6</v>
      </c>
      <c r="H616" s="186">
        <f ca="1" t="shared" si="108"/>
        <v>0</v>
      </c>
      <c r="I616" s="186"/>
      <c r="J616" s="186">
        <f ca="1">OFFSET(card_type!$F$1,MATCH(Q616,card_type!A:A,0)-1,0)</f>
        <v>4</v>
      </c>
      <c r="K616" s="243">
        <f ca="1">OFFSET(card_type!$G$1,MATCH(Q616,card_type!A:A,0)-1,0)</f>
        <v>2</v>
      </c>
      <c r="L616" s="157">
        <v>2</v>
      </c>
      <c r="M616" s="157">
        <v>2</v>
      </c>
      <c r="N616" s="153">
        <f t="shared" si="99"/>
        <v>11</v>
      </c>
      <c r="O616" s="157"/>
      <c r="P616" s="157"/>
      <c r="Q616" s="153">
        <f ca="1">OFFSET(card_type!$A$1,MATCH(card!B616,card_type!B:B,0)-1,0)</f>
        <v>1401</v>
      </c>
      <c r="R616" s="153">
        <v>1</v>
      </c>
      <c r="S616" s="157">
        <f ca="1">ROUND(IF(R616=0,0,IF(R616=1,X616*$S$1,IF(R616=2,X616*$S$1*buff的资质计算!$E$2,IF(R616=3,X616*$S$1*buff的资质计算!$E$3,0)))),0)*0</f>
        <v>0</v>
      </c>
      <c r="T616" s="153">
        <v>5</v>
      </c>
      <c r="U616" s="153">
        <f ca="1" t="shared" si="100"/>
        <v>42</v>
      </c>
      <c r="V616" s="153">
        <f ca="1">ROUND((OFFSET(卡牌辅助配置表!$O$1,MATCH(U616,卡牌辅助配置表!M:M,0)-1,0)+(N616-1)*OFFSET(卡牌辅助配置表!$P$1,MATCH(U616,卡牌辅助配置表!M:M,0)-1,0))*M616,2)</f>
        <v>117.25</v>
      </c>
      <c r="W616" s="157">
        <f ca="1">ROUND(IF(R616=0,0,IF(R616=1,X616*$W$1,IF(R616=2,X616*$W$1*buff的资质计算!$E$2,IF(R616=3,X616*$W$1*buff的资质计算!$E$3,0)))),2)</f>
        <v>17.7</v>
      </c>
      <c r="X616" s="157">
        <f ca="1" t="shared" si="101"/>
        <v>59</v>
      </c>
      <c r="Y616" s="157">
        <f ca="1" t="shared" si="106"/>
        <v>59</v>
      </c>
      <c r="Z616" s="304">
        <f ca="1" t="shared" si="102"/>
        <v>29.5</v>
      </c>
      <c r="AA616" s="304">
        <f ca="1">OFFSET(卡牌辅助配置表!$AD$1,MATCH(AB616,卡牌辅助配置表!AB:AB,0)-1,0)</f>
        <v>5290</v>
      </c>
      <c r="AB616" s="304">
        <f ca="1" t="shared" si="103"/>
        <v>4211</v>
      </c>
      <c r="AC616" s="153">
        <v>11</v>
      </c>
      <c r="AE616" s="153">
        <v>5000</v>
      </c>
      <c r="AF616" s="153" t="str">
        <f ca="1" t="shared" si="107"/>
        <v>14010011|</v>
      </c>
      <c r="AJ616" s="205" t="str">
        <f ca="1" t="shared" si="104"/>
        <v>400023|4650|;</v>
      </c>
      <c r="AK616" s="205">
        <f ca="1">OFFSET([1]item_type!$A$1,MATCH(Q616,[1]item_type!$G:$G,0)-1,0)</f>
        <v>301401</v>
      </c>
      <c r="AL616" s="205"/>
      <c r="AM616" s="205">
        <f ca="1">IF(B616=B617,OFFSET(卡牌辅助配置表!$AE$1,MATCH(AB616,卡牌辅助配置表!AB:AB,0),0),0)</f>
        <v>4650</v>
      </c>
      <c r="AN616" s="153">
        <f ca="1" t="shared" si="105"/>
        <v>1401012</v>
      </c>
      <c r="AP616" s="153" t="str">
        <f ca="1">IF(AC616=0,0,IF(AC616=12,0,OFFSET(effect!$N$1,MATCH(K616,effect!M:M,0)-1,0)))</f>
        <v>kpsx_pt</v>
      </c>
    </row>
    <row r="617" spans="1:42">
      <c r="A617" s="153">
        <f ca="1" t="shared" si="98"/>
        <v>1401012</v>
      </c>
      <c r="B617" s="91" t="s">
        <v>306</v>
      </c>
      <c r="C617" s="186">
        <v>1</v>
      </c>
      <c r="D617" s="186">
        <v>4</v>
      </c>
      <c r="E617" s="165" t="s">
        <v>1050</v>
      </c>
      <c r="F617" s="165" t="str">
        <f>"血量低于50%时，伤害增加"&amp;skill!$O$55/100&amp;"%"</f>
        <v>血量低于50%时，伤害增加50%</v>
      </c>
      <c r="G617" s="186">
        <f ca="1">OFFSET(卡牌辅助配置表!$C$1,MATCH(AC617,卡牌辅助配置表!A:A,0)-1,0)</f>
        <v>6</v>
      </c>
      <c r="H617" s="186">
        <f ca="1" t="shared" si="108"/>
        <v>0</v>
      </c>
      <c r="I617" s="186"/>
      <c r="J617" s="186">
        <f ca="1">OFFSET(card_type!$F$1,MATCH(Q617,card_type!A:A,0)-1,0)</f>
        <v>4</v>
      </c>
      <c r="K617" s="243">
        <f ca="1">OFFSET(card_type!$G$1,MATCH(Q617,card_type!A:A,0)-1,0)</f>
        <v>2</v>
      </c>
      <c r="L617" s="157">
        <v>2</v>
      </c>
      <c r="M617" s="157">
        <v>2</v>
      </c>
      <c r="N617" s="153">
        <f t="shared" si="99"/>
        <v>12</v>
      </c>
      <c r="O617" s="157"/>
      <c r="P617" s="157"/>
      <c r="Q617" s="153">
        <f ca="1">OFFSET(card_type!$A$1,MATCH(card!B617,card_type!B:B,0)-1,0)</f>
        <v>1401</v>
      </c>
      <c r="R617" s="153">
        <v>1</v>
      </c>
      <c r="S617" s="157">
        <f ca="1">ROUND(IF(R617=0,0,IF(R617=1,X617*$S$1,IF(R617=2,X617*$S$1*buff的资质计算!$E$2,IF(R617=3,X617*$S$1*buff的资质计算!$E$3,0)))),0)*0</f>
        <v>0</v>
      </c>
      <c r="T617" s="153">
        <v>5</v>
      </c>
      <c r="U617" s="153">
        <f ca="1" t="shared" si="100"/>
        <v>42</v>
      </c>
      <c r="V617" s="153">
        <f ca="1">ROUND((OFFSET(卡牌辅助配置表!$O$1,MATCH(U617,卡牌辅助配置表!M:M,0)-1,0)+(N617-1)*OFFSET(卡牌辅助配置表!$P$1,MATCH(U617,卡牌辅助配置表!M:M,0)-1,0))*M617,2)</f>
        <v>124.55</v>
      </c>
      <c r="W617" s="157">
        <f ca="1">ROUND(IF(R617=0,0,IF(R617=1,X617*$W$1,IF(R617=2,X617*$W$1*buff的资质计算!$E$2,IF(R617=3,X617*$W$1*buff的资质计算!$E$3,0)))),2)</f>
        <v>17.85</v>
      </c>
      <c r="X617" s="157">
        <f ca="1" t="shared" si="101"/>
        <v>59.5</v>
      </c>
      <c r="Y617" s="157">
        <f ca="1" t="shared" si="106"/>
        <v>59.5</v>
      </c>
      <c r="Z617" s="304">
        <f ca="1" t="shared" si="102"/>
        <v>29.75</v>
      </c>
      <c r="AA617" s="304">
        <f ca="1">OFFSET(卡牌辅助配置表!$AD$1,MATCH(AB617,卡牌辅助配置表!AB:AB,0)-1,0)</f>
        <v>5980</v>
      </c>
      <c r="AB617" s="304">
        <f ca="1" t="shared" si="103"/>
        <v>4212</v>
      </c>
      <c r="AC617" s="153">
        <v>11</v>
      </c>
      <c r="AE617" s="153">
        <v>5000</v>
      </c>
      <c r="AF617" s="153" t="str">
        <f ca="1" t="shared" si="107"/>
        <v>14010011|</v>
      </c>
      <c r="AJ617" s="205" t="str">
        <f ca="1" t="shared" si="104"/>
        <v>400023|5250|;</v>
      </c>
      <c r="AK617" s="205">
        <f ca="1">OFFSET([1]item_type!$A$1,MATCH(Q617,[1]item_type!$G:$G,0)-1,0)</f>
        <v>301401</v>
      </c>
      <c r="AL617" s="205"/>
      <c r="AM617" s="205">
        <f ca="1">IF(B617=B618,OFFSET(卡牌辅助配置表!$AE$1,MATCH(AB617,卡牌辅助配置表!AB:AB,0),0),0)</f>
        <v>5250</v>
      </c>
      <c r="AN617" s="153">
        <f ca="1" t="shared" si="105"/>
        <v>1401013</v>
      </c>
      <c r="AP617" s="153" t="str">
        <f ca="1">IF(AC617=0,0,IF(AC617=12,0,OFFSET(effect!$N$1,MATCH(K617,effect!M:M,0)-1,0)))</f>
        <v>kpsx_pt</v>
      </c>
    </row>
    <row r="618" spans="1:42">
      <c r="A618" s="153">
        <f ca="1" t="shared" si="98"/>
        <v>1401013</v>
      </c>
      <c r="B618" s="91" t="s">
        <v>306</v>
      </c>
      <c r="C618" s="186">
        <v>1</v>
      </c>
      <c r="D618" s="186">
        <v>4</v>
      </c>
      <c r="E618" s="165" t="s">
        <v>1050</v>
      </c>
      <c r="F618" s="165" t="str">
        <f>"血量低于50%时，伤害增加"&amp;skill!$O$55/100&amp;"%"</f>
        <v>血量低于50%时，伤害增加50%</v>
      </c>
      <c r="G618" s="186">
        <f ca="1">OFFSET(卡牌辅助配置表!$C$1,MATCH(AC618,卡牌辅助配置表!A:A,0)-1,0)</f>
        <v>6</v>
      </c>
      <c r="H618" s="186">
        <f ca="1" t="shared" si="108"/>
        <v>0</v>
      </c>
      <c r="I618" s="186"/>
      <c r="J618" s="186">
        <f ca="1">OFFSET(card_type!$F$1,MATCH(Q618,card_type!A:A,0)-1,0)</f>
        <v>4</v>
      </c>
      <c r="K618" s="243">
        <f ca="1">OFFSET(card_type!$G$1,MATCH(Q618,card_type!A:A,0)-1,0)</f>
        <v>2</v>
      </c>
      <c r="L618" s="157">
        <v>2</v>
      </c>
      <c r="M618" s="157">
        <v>2</v>
      </c>
      <c r="N618" s="153">
        <f t="shared" si="99"/>
        <v>13</v>
      </c>
      <c r="O618" s="157"/>
      <c r="P618" s="157"/>
      <c r="Q618" s="153">
        <f ca="1">OFFSET(card_type!$A$1,MATCH(card!B618,card_type!B:B,0)-1,0)</f>
        <v>1401</v>
      </c>
      <c r="R618" s="153">
        <v>1</v>
      </c>
      <c r="S618" s="157">
        <f ca="1">ROUND(IF(R618=0,0,IF(R618=1,X618*$S$1,IF(R618=2,X618*$S$1*buff的资质计算!$E$2,IF(R618=3,X618*$S$1*buff的资质计算!$E$3,0)))),0)*0</f>
        <v>0</v>
      </c>
      <c r="T618" s="153">
        <v>5</v>
      </c>
      <c r="U618" s="153">
        <f ca="1" t="shared" si="100"/>
        <v>42</v>
      </c>
      <c r="V618" s="153">
        <f ca="1">ROUND((OFFSET(卡牌辅助配置表!$O$1,MATCH(U618,卡牌辅助配置表!M:M,0)-1,0)+(N618-1)*OFFSET(卡牌辅助配置表!$P$1,MATCH(U618,卡牌辅助配置表!M:M,0)-1,0))*M618,2)</f>
        <v>131.85</v>
      </c>
      <c r="W618" s="157">
        <f ca="1">ROUND(IF(R618=0,0,IF(R618=1,X618*$W$1,IF(R618=2,X618*$W$1*buff的资质计算!$E$2,IF(R618=3,X618*$W$1*buff的资质计算!$E$3,0)))),2)</f>
        <v>18</v>
      </c>
      <c r="X618" s="157">
        <f ca="1" t="shared" si="101"/>
        <v>60</v>
      </c>
      <c r="Y618" s="157">
        <f ca="1" t="shared" si="106"/>
        <v>60</v>
      </c>
      <c r="Z618" s="304">
        <f ca="1" t="shared" si="102"/>
        <v>30</v>
      </c>
      <c r="AA618" s="304">
        <f ca="1">OFFSET(卡牌辅助配置表!$AD$1,MATCH(AB618,卡牌辅助配置表!AB:AB,0)-1,0)</f>
        <v>6670</v>
      </c>
      <c r="AB618" s="304">
        <f ca="1" t="shared" si="103"/>
        <v>4213</v>
      </c>
      <c r="AC618" s="153">
        <v>11</v>
      </c>
      <c r="AE618" s="153">
        <v>5000</v>
      </c>
      <c r="AF618" s="153" t="str">
        <f ca="1" t="shared" si="107"/>
        <v>14010011|</v>
      </c>
      <c r="AJ618" s="205" t="str">
        <f ca="1" t="shared" si="104"/>
        <v>400023|5850|;</v>
      </c>
      <c r="AK618" s="205">
        <f ca="1">OFFSET([1]item_type!$A$1,MATCH(Q618,[1]item_type!$G:$G,0)-1,0)</f>
        <v>301401</v>
      </c>
      <c r="AL618" s="205"/>
      <c r="AM618" s="205">
        <f ca="1">IF(B618=B619,OFFSET(卡牌辅助配置表!$AE$1,MATCH(AB618,卡牌辅助配置表!AB:AB,0),0),0)</f>
        <v>5850</v>
      </c>
      <c r="AN618" s="153">
        <f ca="1" t="shared" si="105"/>
        <v>1401014</v>
      </c>
      <c r="AP618" s="153" t="str">
        <f ca="1">IF(AC618=0,0,IF(AC618=12,0,OFFSET(effect!$N$1,MATCH(K618,effect!M:M,0)-1,0)))</f>
        <v>kpsx_pt</v>
      </c>
    </row>
    <row r="619" spans="1:42">
      <c r="A619" s="153">
        <f ca="1" t="shared" si="98"/>
        <v>1401014</v>
      </c>
      <c r="B619" s="91" t="s">
        <v>306</v>
      </c>
      <c r="C619" s="186">
        <v>1</v>
      </c>
      <c r="D619" s="186">
        <v>4</v>
      </c>
      <c r="E619" s="165" t="s">
        <v>1050</v>
      </c>
      <c r="F619" s="165" t="str">
        <f>"血量低于50%时，伤害增加"&amp;skill!$O$55/100&amp;"%"</f>
        <v>血量低于50%时，伤害增加50%</v>
      </c>
      <c r="G619" s="186">
        <f ca="1">OFFSET(卡牌辅助配置表!$C$1,MATCH(AC619,卡牌辅助配置表!A:A,0)-1,0)</f>
        <v>6</v>
      </c>
      <c r="H619" s="186">
        <f ca="1" t="shared" si="108"/>
        <v>0</v>
      </c>
      <c r="I619" s="186"/>
      <c r="J619" s="186">
        <f ca="1">OFFSET(card_type!$F$1,MATCH(Q619,card_type!A:A,0)-1,0)</f>
        <v>4</v>
      </c>
      <c r="K619" s="243">
        <f ca="1">OFFSET(card_type!$G$1,MATCH(Q619,card_type!A:A,0)-1,0)</f>
        <v>2</v>
      </c>
      <c r="L619" s="157">
        <v>2</v>
      </c>
      <c r="M619" s="157">
        <v>2</v>
      </c>
      <c r="N619" s="153">
        <f t="shared" si="99"/>
        <v>14</v>
      </c>
      <c r="O619" s="157"/>
      <c r="P619" s="157"/>
      <c r="Q619" s="153">
        <f ca="1">OFFSET(card_type!$A$1,MATCH(card!B619,card_type!B:B,0)-1,0)</f>
        <v>1401</v>
      </c>
      <c r="R619" s="153">
        <v>1</v>
      </c>
      <c r="S619" s="157">
        <f ca="1">ROUND(IF(R619=0,0,IF(R619=1,X619*$S$1,IF(R619=2,X619*$S$1*buff的资质计算!$E$2,IF(R619=3,X619*$S$1*buff的资质计算!$E$3,0)))),0)*0</f>
        <v>0</v>
      </c>
      <c r="T619" s="153">
        <v>5</v>
      </c>
      <c r="U619" s="153">
        <f ca="1" t="shared" si="100"/>
        <v>42</v>
      </c>
      <c r="V619" s="153">
        <f ca="1">ROUND((OFFSET(卡牌辅助配置表!$O$1,MATCH(U619,卡牌辅助配置表!M:M,0)-1,0)+(N619-1)*OFFSET(卡牌辅助配置表!$P$1,MATCH(U619,卡牌辅助配置表!M:M,0)-1,0))*M619,2)</f>
        <v>139.15</v>
      </c>
      <c r="W619" s="157">
        <f ca="1">ROUND(IF(R619=0,0,IF(R619=1,X619*$W$1,IF(R619=2,X619*$W$1*buff的资质计算!$E$2,IF(R619=3,X619*$W$1*buff的资质计算!$E$3,0)))),2)</f>
        <v>18.15</v>
      </c>
      <c r="X619" s="157">
        <f ca="1" t="shared" si="101"/>
        <v>60.5</v>
      </c>
      <c r="Y619" s="157">
        <f ca="1" t="shared" si="106"/>
        <v>60.5</v>
      </c>
      <c r="Z619" s="304">
        <f ca="1" t="shared" si="102"/>
        <v>30.25</v>
      </c>
      <c r="AA619" s="304">
        <f ca="1">OFFSET(卡牌辅助配置表!$AD$1,MATCH(AB619,卡牌辅助配置表!AB:AB,0)-1,0)</f>
        <v>7360</v>
      </c>
      <c r="AB619" s="304">
        <f ca="1" t="shared" si="103"/>
        <v>4214</v>
      </c>
      <c r="AC619" s="153">
        <v>11</v>
      </c>
      <c r="AE619" s="153">
        <v>5000</v>
      </c>
      <c r="AF619" s="153" t="str">
        <f ca="1" t="shared" si="107"/>
        <v>14010011|</v>
      </c>
      <c r="AJ619" s="205" t="str">
        <f ca="1" t="shared" si="104"/>
        <v>400023|6450|;</v>
      </c>
      <c r="AK619" s="205">
        <f ca="1">OFFSET([1]item_type!$A$1,MATCH(Q619,[1]item_type!$G:$G,0)-1,0)</f>
        <v>301401</v>
      </c>
      <c r="AL619" s="205"/>
      <c r="AM619" s="205">
        <f ca="1">IF(B619=B620,OFFSET(卡牌辅助配置表!$AE$1,MATCH(AB619,卡牌辅助配置表!AB:AB,0),0),0)</f>
        <v>6450</v>
      </c>
      <c r="AN619" s="153">
        <f ca="1" t="shared" si="105"/>
        <v>1401015</v>
      </c>
      <c r="AP619" s="153" t="str">
        <f ca="1">IF(AC619=0,0,IF(AC619=12,0,OFFSET(effect!$N$1,MATCH(K619,effect!M:M,0)-1,0)))</f>
        <v>kpsx_pt</v>
      </c>
    </row>
    <row r="620" spans="1:42">
      <c r="A620" s="153">
        <f ca="1" t="shared" si="98"/>
        <v>1401015</v>
      </c>
      <c r="B620" s="91" t="s">
        <v>306</v>
      </c>
      <c r="C620" s="186">
        <v>1</v>
      </c>
      <c r="D620" s="186">
        <v>4</v>
      </c>
      <c r="E620" s="165" t="s">
        <v>1050</v>
      </c>
      <c r="F620" s="165" t="str">
        <f>"血量低于50%时，伤害增加"&amp;skill!$O$55/100&amp;"%"</f>
        <v>血量低于50%时，伤害增加50%</v>
      </c>
      <c r="G620" s="186">
        <f ca="1">OFFSET(卡牌辅助配置表!$C$1,MATCH(AC620,卡牌辅助配置表!A:A,0)-1,0)</f>
        <v>6</v>
      </c>
      <c r="H620" s="186">
        <f ca="1" t="shared" si="108"/>
        <v>0</v>
      </c>
      <c r="I620" s="186"/>
      <c r="J620" s="186">
        <f ca="1">OFFSET(card_type!$F$1,MATCH(Q620,card_type!A:A,0)-1,0)</f>
        <v>4</v>
      </c>
      <c r="K620" s="243">
        <f ca="1">OFFSET(card_type!$G$1,MATCH(Q620,card_type!A:A,0)-1,0)</f>
        <v>2</v>
      </c>
      <c r="L620" s="157">
        <v>2</v>
      </c>
      <c r="M620" s="157">
        <v>2</v>
      </c>
      <c r="N620" s="153">
        <f t="shared" si="99"/>
        <v>15</v>
      </c>
      <c r="O620" s="157"/>
      <c r="P620" s="157"/>
      <c r="Q620" s="153">
        <f ca="1">OFFSET(card_type!$A$1,MATCH(card!B620,card_type!B:B,0)-1,0)</f>
        <v>1401</v>
      </c>
      <c r="R620" s="153">
        <v>1</v>
      </c>
      <c r="S620" s="157">
        <f ca="1">ROUND(IF(R620=0,0,IF(R620=1,X620*$S$1,IF(R620=2,X620*$S$1*buff的资质计算!$E$2,IF(R620=3,X620*$S$1*buff的资质计算!$E$3,0)))),0)*0</f>
        <v>0</v>
      </c>
      <c r="T620" s="153">
        <v>5</v>
      </c>
      <c r="U620" s="153">
        <f ca="1" t="shared" si="100"/>
        <v>42</v>
      </c>
      <c r="V620" s="153">
        <f ca="1">ROUND((OFFSET(卡牌辅助配置表!$O$1,MATCH(U620,卡牌辅助配置表!M:M,0)-1,0)+(N620-1)*OFFSET(卡牌辅助配置表!$P$1,MATCH(U620,卡牌辅助配置表!M:M,0)-1,0))*M620,2)</f>
        <v>146.45</v>
      </c>
      <c r="W620" s="157">
        <f ca="1">ROUND(IF(R620=0,0,IF(R620=1,X620*$W$1,IF(R620=2,X620*$W$1*buff的资质计算!$E$2,IF(R620=3,X620*$W$1*buff的资质计算!$E$3,0)))),2)</f>
        <v>18.3</v>
      </c>
      <c r="X620" s="157">
        <f ca="1" t="shared" si="101"/>
        <v>61</v>
      </c>
      <c r="Y620" s="157">
        <f ca="1" t="shared" si="106"/>
        <v>61</v>
      </c>
      <c r="Z620" s="304">
        <f ca="1" t="shared" si="102"/>
        <v>30.5</v>
      </c>
      <c r="AA620" s="304">
        <f ca="1">OFFSET(卡牌辅助配置表!$AD$1,MATCH(AB620,卡牌辅助配置表!AB:AB,0)-1,0)</f>
        <v>8050</v>
      </c>
      <c r="AB620" s="304">
        <f ca="1" t="shared" si="103"/>
        <v>4215</v>
      </c>
      <c r="AC620" s="153">
        <v>11</v>
      </c>
      <c r="AE620" s="153">
        <v>5000</v>
      </c>
      <c r="AF620" s="153" t="str">
        <f ca="1" t="shared" si="107"/>
        <v>14010011|</v>
      </c>
      <c r="AJ620" s="205" t="str">
        <f ca="1" t="shared" si="104"/>
        <v>400023|7050|;</v>
      </c>
      <c r="AK620" s="205">
        <f ca="1">OFFSET([1]item_type!$A$1,MATCH(Q620,[1]item_type!$G:$G,0)-1,0)</f>
        <v>301401</v>
      </c>
      <c r="AL620" s="205"/>
      <c r="AM620" s="205">
        <f ca="1">IF(B620=B621,OFFSET(卡牌辅助配置表!$AE$1,MATCH(AB620,卡牌辅助配置表!AB:AB,0),0),0)</f>
        <v>7050</v>
      </c>
      <c r="AN620" s="153">
        <f ca="1" t="shared" si="105"/>
        <v>1401016</v>
      </c>
      <c r="AP620" s="153" t="str">
        <f ca="1">IF(AC620=0,0,IF(AC620=12,0,OFFSET(effect!$N$1,MATCH(K620,effect!M:M,0)-1,0)))</f>
        <v>kpsx_pt</v>
      </c>
    </row>
    <row r="621" spans="1:42">
      <c r="A621" s="153">
        <f ca="1" t="shared" si="98"/>
        <v>1401016</v>
      </c>
      <c r="B621" s="91" t="s">
        <v>306</v>
      </c>
      <c r="C621" s="186">
        <v>1</v>
      </c>
      <c r="D621" s="186">
        <v>4</v>
      </c>
      <c r="E621" s="165" t="s">
        <v>1050</v>
      </c>
      <c r="F621" s="165" t="str">
        <f>"血量低于50%时，伤害增加"&amp;skill!$O$55/100&amp;"%"</f>
        <v>血量低于50%时，伤害增加50%</v>
      </c>
      <c r="G621" s="186">
        <f ca="1">OFFSET(卡牌辅助配置表!$C$1,MATCH(AC621,卡牌辅助配置表!A:A,0)-1,0)</f>
        <v>6</v>
      </c>
      <c r="H621" s="186">
        <f ca="1" t="shared" si="108"/>
        <v>0</v>
      </c>
      <c r="I621" s="186"/>
      <c r="J621" s="186">
        <f ca="1">OFFSET(card_type!$F$1,MATCH(Q621,card_type!A:A,0)-1,0)</f>
        <v>4</v>
      </c>
      <c r="K621" s="243">
        <f ca="1">OFFSET(card_type!$G$1,MATCH(Q621,card_type!A:A,0)-1,0)</f>
        <v>2</v>
      </c>
      <c r="L621" s="157">
        <v>2</v>
      </c>
      <c r="M621" s="157">
        <v>2</v>
      </c>
      <c r="N621" s="153">
        <f t="shared" si="99"/>
        <v>16</v>
      </c>
      <c r="O621" s="157"/>
      <c r="P621" s="157"/>
      <c r="Q621" s="153">
        <f ca="1">OFFSET(card_type!$A$1,MATCH(card!B621,card_type!B:B,0)-1,0)</f>
        <v>1401</v>
      </c>
      <c r="R621" s="153">
        <v>1</v>
      </c>
      <c r="S621" s="157">
        <f ca="1">ROUND(IF(R621=0,0,IF(R621=1,X621*$S$1,IF(R621=2,X621*$S$1*buff的资质计算!$E$2,IF(R621=3,X621*$S$1*buff的资质计算!$E$3,0)))),0)*0</f>
        <v>0</v>
      </c>
      <c r="T621" s="153">
        <v>5</v>
      </c>
      <c r="U621" s="153">
        <f ca="1" t="shared" si="100"/>
        <v>42</v>
      </c>
      <c r="V621" s="153">
        <f ca="1">ROUND((OFFSET(卡牌辅助配置表!$O$1,MATCH(U621,卡牌辅助配置表!M:M,0)-1,0)+(N621-1)*OFFSET(卡牌辅助配置表!$P$1,MATCH(U621,卡牌辅助配置表!M:M,0)-1,0))*M621,2)</f>
        <v>153.75</v>
      </c>
      <c r="W621" s="157">
        <f ca="1">ROUND(IF(R621=0,0,IF(R621=1,X621*$W$1,IF(R621=2,X621*$W$1*buff的资质计算!$E$2,IF(R621=3,X621*$W$1*buff的资质计算!$E$3,0)))),2)</f>
        <v>18.45</v>
      </c>
      <c r="X621" s="157">
        <f ca="1" t="shared" si="101"/>
        <v>61.5</v>
      </c>
      <c r="Y621" s="157">
        <f ca="1" t="shared" si="106"/>
        <v>61.5</v>
      </c>
      <c r="Z621" s="304">
        <f ca="1" t="shared" si="102"/>
        <v>30.75</v>
      </c>
      <c r="AA621" s="304">
        <f ca="1">OFFSET(卡牌辅助配置表!$AD$1,MATCH(AB621,卡牌辅助配置表!AB:AB,0)-1,0)</f>
        <v>8740</v>
      </c>
      <c r="AB621" s="304">
        <f ca="1" t="shared" si="103"/>
        <v>4216</v>
      </c>
      <c r="AC621" s="153">
        <v>11</v>
      </c>
      <c r="AE621" s="153">
        <v>5000</v>
      </c>
      <c r="AF621" s="153" t="str">
        <f ca="1" t="shared" si="107"/>
        <v>14010011|</v>
      </c>
      <c r="AJ621" s="205" t="str">
        <f ca="1" t="shared" si="104"/>
        <v>400023|7650|;</v>
      </c>
      <c r="AK621" s="205">
        <f ca="1">OFFSET([1]item_type!$A$1,MATCH(Q621,[1]item_type!$G:$G,0)-1,0)</f>
        <v>301401</v>
      </c>
      <c r="AL621" s="205"/>
      <c r="AM621" s="205">
        <f ca="1">IF(B621=B622,OFFSET(卡牌辅助配置表!$AE$1,MATCH(AB621,卡牌辅助配置表!AB:AB,0),0),0)</f>
        <v>7650</v>
      </c>
      <c r="AN621" s="153">
        <f ca="1" t="shared" si="105"/>
        <v>1401017</v>
      </c>
      <c r="AP621" s="153" t="str">
        <f ca="1">IF(AC621=0,0,IF(AC621=12,0,OFFSET(effect!$N$1,MATCH(K621,effect!M:M,0)-1,0)))</f>
        <v>kpsx_pt</v>
      </c>
    </row>
    <row r="622" spans="1:42">
      <c r="A622" s="153">
        <f ca="1" t="shared" si="98"/>
        <v>1401017</v>
      </c>
      <c r="B622" s="91" t="s">
        <v>306</v>
      </c>
      <c r="C622" s="186">
        <v>1</v>
      </c>
      <c r="D622" s="186">
        <v>4</v>
      </c>
      <c r="E622" s="165" t="s">
        <v>1050</v>
      </c>
      <c r="F622" s="165" t="str">
        <f>"血量低于50%时，伤害增加"&amp;skill!$O$55/100&amp;"%"</f>
        <v>血量低于50%时，伤害增加50%</v>
      </c>
      <c r="G622" s="186">
        <f ca="1">OFFSET(卡牌辅助配置表!$C$1,MATCH(AC622,卡牌辅助配置表!A:A,0)-1,0)</f>
        <v>6</v>
      </c>
      <c r="H622" s="186">
        <f ca="1" t="shared" si="108"/>
        <v>0</v>
      </c>
      <c r="I622" s="186"/>
      <c r="J622" s="186">
        <f ca="1">OFFSET(card_type!$F$1,MATCH(Q622,card_type!A:A,0)-1,0)</f>
        <v>4</v>
      </c>
      <c r="K622" s="243">
        <f ca="1">OFFSET(card_type!$G$1,MATCH(Q622,card_type!A:A,0)-1,0)</f>
        <v>2</v>
      </c>
      <c r="L622" s="157">
        <v>2</v>
      </c>
      <c r="M622" s="157">
        <v>2</v>
      </c>
      <c r="N622" s="153">
        <f t="shared" si="99"/>
        <v>17</v>
      </c>
      <c r="O622" s="157"/>
      <c r="P622" s="157"/>
      <c r="Q622" s="153">
        <f ca="1">OFFSET(card_type!$A$1,MATCH(card!B622,card_type!B:B,0)-1,0)</f>
        <v>1401</v>
      </c>
      <c r="R622" s="153">
        <v>1</v>
      </c>
      <c r="S622" s="157">
        <f ca="1">ROUND(IF(R622=0,0,IF(R622=1,X622*$S$1,IF(R622=2,X622*$S$1*buff的资质计算!$E$2,IF(R622=3,X622*$S$1*buff的资质计算!$E$3,0)))),0)*0</f>
        <v>0</v>
      </c>
      <c r="T622" s="153">
        <v>5</v>
      </c>
      <c r="U622" s="153">
        <f ca="1" t="shared" si="100"/>
        <v>42</v>
      </c>
      <c r="V622" s="153">
        <f ca="1">ROUND((OFFSET(卡牌辅助配置表!$O$1,MATCH(U622,卡牌辅助配置表!M:M,0)-1,0)+(N622-1)*OFFSET(卡牌辅助配置表!$P$1,MATCH(U622,卡牌辅助配置表!M:M,0)-1,0))*M622,2)</f>
        <v>161.05</v>
      </c>
      <c r="W622" s="157">
        <f ca="1">ROUND(IF(R622=0,0,IF(R622=1,X622*$W$1,IF(R622=2,X622*$W$1*buff的资质计算!$E$2,IF(R622=3,X622*$W$1*buff的资质计算!$E$3,0)))),2)</f>
        <v>18.6</v>
      </c>
      <c r="X622" s="157">
        <f ca="1" t="shared" si="101"/>
        <v>62</v>
      </c>
      <c r="Y622" s="157">
        <f ca="1" t="shared" si="106"/>
        <v>62</v>
      </c>
      <c r="Z622" s="304">
        <f ca="1" t="shared" si="102"/>
        <v>31</v>
      </c>
      <c r="AA622" s="304">
        <f ca="1">OFFSET(卡牌辅助配置表!$AD$1,MATCH(AB622,卡牌辅助配置表!AB:AB,0)-1,0)</f>
        <v>9430</v>
      </c>
      <c r="AB622" s="304">
        <f ca="1" t="shared" si="103"/>
        <v>4217</v>
      </c>
      <c r="AC622" s="153">
        <v>11</v>
      </c>
      <c r="AE622" s="153">
        <v>5000</v>
      </c>
      <c r="AF622" s="153" t="str">
        <f ca="1" t="shared" si="107"/>
        <v>14010011|</v>
      </c>
      <c r="AJ622" s="205" t="str">
        <f ca="1" t="shared" si="104"/>
        <v>400023|8250|;</v>
      </c>
      <c r="AK622" s="205">
        <f ca="1">OFFSET([1]item_type!$A$1,MATCH(Q622,[1]item_type!$G:$G,0)-1,0)</f>
        <v>301401</v>
      </c>
      <c r="AL622" s="205"/>
      <c r="AM622" s="205">
        <f ca="1">IF(B622=B623,OFFSET(卡牌辅助配置表!$AE$1,MATCH(AB622,卡牌辅助配置表!AB:AB,0),0),0)</f>
        <v>8250</v>
      </c>
      <c r="AN622" s="153">
        <f ca="1" t="shared" si="105"/>
        <v>1401018</v>
      </c>
      <c r="AP622" s="153" t="str">
        <f ca="1">IF(AC622=0,0,IF(AC622=12,0,OFFSET(effect!$N$1,MATCH(K622,effect!M:M,0)-1,0)))</f>
        <v>kpsx_pt</v>
      </c>
    </row>
    <row r="623" spans="1:42">
      <c r="A623" s="153">
        <f ca="1" t="shared" si="98"/>
        <v>1401018</v>
      </c>
      <c r="B623" s="91" t="s">
        <v>306</v>
      </c>
      <c r="C623" s="186">
        <v>1</v>
      </c>
      <c r="D623" s="186">
        <v>4</v>
      </c>
      <c r="E623" s="165" t="s">
        <v>1050</v>
      </c>
      <c r="F623" s="165" t="str">
        <f>"血量低于50%时，伤害增加"&amp;skill!$O$55/100&amp;"%"</f>
        <v>血量低于50%时，伤害增加50%</v>
      </c>
      <c r="G623" s="186">
        <f ca="1">OFFSET(卡牌辅助配置表!$C$1,MATCH(AC623,卡牌辅助配置表!A:A,0)-1,0)</f>
        <v>6</v>
      </c>
      <c r="H623" s="186">
        <f ca="1" t="shared" si="108"/>
        <v>0</v>
      </c>
      <c r="I623" s="186"/>
      <c r="J623" s="186">
        <f ca="1">OFFSET(card_type!$F$1,MATCH(Q623,card_type!A:A,0)-1,0)</f>
        <v>4</v>
      </c>
      <c r="K623" s="243">
        <f ca="1">OFFSET(card_type!$G$1,MATCH(Q623,card_type!A:A,0)-1,0)</f>
        <v>2</v>
      </c>
      <c r="L623" s="157">
        <v>2</v>
      </c>
      <c r="M623" s="157">
        <v>2</v>
      </c>
      <c r="N623" s="153">
        <f t="shared" si="99"/>
        <v>18</v>
      </c>
      <c r="O623" s="157"/>
      <c r="P623" s="157"/>
      <c r="Q623" s="153">
        <f ca="1">OFFSET(card_type!$A$1,MATCH(card!B623,card_type!B:B,0)-1,0)</f>
        <v>1401</v>
      </c>
      <c r="R623" s="153">
        <v>1</v>
      </c>
      <c r="S623" s="157">
        <f ca="1">ROUND(IF(R623=0,0,IF(R623=1,X623*$S$1,IF(R623=2,X623*$S$1*buff的资质计算!$E$2,IF(R623=3,X623*$S$1*buff的资质计算!$E$3,0)))),0)*0</f>
        <v>0</v>
      </c>
      <c r="T623" s="153">
        <v>5</v>
      </c>
      <c r="U623" s="153">
        <f ca="1" t="shared" si="100"/>
        <v>42</v>
      </c>
      <c r="V623" s="153">
        <f ca="1">ROUND((OFFSET(卡牌辅助配置表!$O$1,MATCH(U623,卡牌辅助配置表!M:M,0)-1,0)+(N623-1)*OFFSET(卡牌辅助配置表!$P$1,MATCH(U623,卡牌辅助配置表!M:M,0)-1,0))*M623,2)</f>
        <v>168.35</v>
      </c>
      <c r="W623" s="157">
        <f ca="1">ROUND(IF(R623=0,0,IF(R623=1,X623*$W$1,IF(R623=2,X623*$W$1*buff的资质计算!$E$2,IF(R623=3,X623*$W$1*buff的资质计算!$E$3,0)))),2)</f>
        <v>18.75</v>
      </c>
      <c r="X623" s="157">
        <f ca="1" t="shared" si="101"/>
        <v>62.5</v>
      </c>
      <c r="Y623" s="157">
        <f ca="1" t="shared" si="106"/>
        <v>62.5</v>
      </c>
      <c r="Z623" s="304">
        <f ca="1" t="shared" si="102"/>
        <v>31.25</v>
      </c>
      <c r="AA623" s="304">
        <f ca="1">OFFSET(卡牌辅助配置表!$AD$1,MATCH(AB623,卡牌辅助配置表!AB:AB,0)-1,0)</f>
        <v>10120</v>
      </c>
      <c r="AB623" s="304">
        <f ca="1" t="shared" si="103"/>
        <v>4218</v>
      </c>
      <c r="AC623" s="153">
        <v>11</v>
      </c>
      <c r="AE623" s="153">
        <v>5000</v>
      </c>
      <c r="AF623" s="153" t="str">
        <f ca="1" t="shared" si="107"/>
        <v>14010011|</v>
      </c>
      <c r="AJ623" s="205" t="str">
        <f ca="1" t="shared" si="104"/>
        <v>400023|8850|;</v>
      </c>
      <c r="AK623" s="205">
        <f ca="1">OFFSET([1]item_type!$A$1,MATCH(Q623,[1]item_type!$G:$G,0)-1,0)</f>
        <v>301401</v>
      </c>
      <c r="AL623" s="205"/>
      <c r="AM623" s="205">
        <f ca="1">IF(B623=B624,OFFSET(卡牌辅助配置表!$AE$1,MATCH(AB623,卡牌辅助配置表!AB:AB,0),0),0)</f>
        <v>8850</v>
      </c>
      <c r="AN623" s="153">
        <f ca="1" t="shared" si="105"/>
        <v>1401019</v>
      </c>
      <c r="AP623" s="153" t="str">
        <f ca="1">IF(AC623=0,0,IF(AC623=12,0,OFFSET(effect!$N$1,MATCH(K623,effect!M:M,0)-1,0)))</f>
        <v>kpsx_pt</v>
      </c>
    </row>
    <row r="624" spans="1:42">
      <c r="A624" s="153">
        <f ca="1" t="shared" si="98"/>
        <v>1401019</v>
      </c>
      <c r="B624" s="91" t="s">
        <v>306</v>
      </c>
      <c r="C624" s="186">
        <v>1</v>
      </c>
      <c r="D624" s="186">
        <v>4</v>
      </c>
      <c r="E624" s="165" t="s">
        <v>1050</v>
      </c>
      <c r="F624" s="165" t="str">
        <f>"血量低于50%时，伤害增加"&amp;skill!$O$55/100&amp;"%"</f>
        <v>血量低于50%时，伤害增加50%</v>
      </c>
      <c r="G624" s="186">
        <f ca="1">OFFSET(卡牌辅助配置表!$C$1,MATCH(AC624,卡牌辅助配置表!A:A,0)-1,0)</f>
        <v>6</v>
      </c>
      <c r="H624" s="186">
        <f ca="1" t="shared" si="108"/>
        <v>0</v>
      </c>
      <c r="I624" s="186"/>
      <c r="J624" s="186">
        <f ca="1">OFFSET(card_type!$F$1,MATCH(Q624,card_type!A:A,0)-1,0)</f>
        <v>4</v>
      </c>
      <c r="K624" s="243">
        <f ca="1">OFFSET(card_type!$G$1,MATCH(Q624,card_type!A:A,0)-1,0)</f>
        <v>2</v>
      </c>
      <c r="L624" s="157">
        <v>2</v>
      </c>
      <c r="M624" s="157">
        <v>2</v>
      </c>
      <c r="N624" s="153">
        <f t="shared" si="99"/>
        <v>19</v>
      </c>
      <c r="O624" s="157"/>
      <c r="P624" s="157"/>
      <c r="Q624" s="153">
        <f ca="1">OFFSET(card_type!$A$1,MATCH(card!B624,card_type!B:B,0)-1,0)</f>
        <v>1401</v>
      </c>
      <c r="R624" s="153">
        <v>1</v>
      </c>
      <c r="S624" s="157">
        <f ca="1">ROUND(IF(R624=0,0,IF(R624=1,X624*$S$1,IF(R624=2,X624*$S$1*buff的资质计算!$E$2,IF(R624=3,X624*$S$1*buff的资质计算!$E$3,0)))),0)*0</f>
        <v>0</v>
      </c>
      <c r="T624" s="153">
        <v>5</v>
      </c>
      <c r="U624" s="153">
        <f ca="1" t="shared" si="100"/>
        <v>42</v>
      </c>
      <c r="V624" s="153">
        <f ca="1">ROUND((OFFSET(卡牌辅助配置表!$O$1,MATCH(U624,卡牌辅助配置表!M:M,0)-1,0)+(N624-1)*OFFSET(卡牌辅助配置表!$P$1,MATCH(U624,卡牌辅助配置表!M:M,0)-1,0))*M624,2)</f>
        <v>175.65</v>
      </c>
      <c r="W624" s="157">
        <f ca="1">ROUND(IF(R624=0,0,IF(R624=1,X624*$W$1,IF(R624=2,X624*$W$1*buff的资质计算!$E$2,IF(R624=3,X624*$W$1*buff的资质计算!$E$3,0)))),2)</f>
        <v>18.9</v>
      </c>
      <c r="X624" s="157">
        <f ca="1" t="shared" si="101"/>
        <v>63</v>
      </c>
      <c r="Y624" s="157">
        <f ca="1" t="shared" si="106"/>
        <v>63</v>
      </c>
      <c r="Z624" s="304">
        <f ca="1" t="shared" si="102"/>
        <v>31.5</v>
      </c>
      <c r="AA624" s="304">
        <f ca="1">OFFSET(卡牌辅助配置表!$AD$1,MATCH(AB624,卡牌辅助配置表!AB:AB,0)-1,0)</f>
        <v>10810</v>
      </c>
      <c r="AB624" s="304">
        <f ca="1" t="shared" si="103"/>
        <v>4219</v>
      </c>
      <c r="AC624" s="153">
        <v>11</v>
      </c>
      <c r="AE624" s="153">
        <v>5000</v>
      </c>
      <c r="AF624" s="153" t="str">
        <f ca="1" t="shared" si="107"/>
        <v>14010011|</v>
      </c>
      <c r="AJ624" s="205" t="str">
        <f ca="1" t="shared" si="104"/>
        <v>301401|20|;400023|9450|;</v>
      </c>
      <c r="AK624" s="205">
        <f ca="1">OFFSET([1]item_type!$A$1,MATCH(Q624,[1]item_type!$G:$G,0)-1,0)</f>
        <v>301401</v>
      </c>
      <c r="AL624" s="205">
        <v>20</v>
      </c>
      <c r="AM624" s="205">
        <f ca="1">IF(B624=B625,OFFSET(卡牌辅助配置表!$AE$1,MATCH(AB624,卡牌辅助配置表!AB:AB,0),0),0)</f>
        <v>9450</v>
      </c>
      <c r="AN624" s="153">
        <f ca="1" t="shared" si="105"/>
        <v>1401020</v>
      </c>
      <c r="AP624" s="153" t="str">
        <f ca="1">IF(AC624=0,0,IF(AC624=12,0,OFFSET(effect!$N$1,MATCH(K624,effect!M:M,0)-1,0)))</f>
        <v>kpsx_pt</v>
      </c>
    </row>
    <row r="625" spans="1:42">
      <c r="A625" s="153">
        <f ca="1" t="shared" si="98"/>
        <v>1401020</v>
      </c>
      <c r="B625" s="91" t="s">
        <v>306</v>
      </c>
      <c r="C625" s="186">
        <v>1</v>
      </c>
      <c r="D625" s="186">
        <v>4</v>
      </c>
      <c r="E625" s="165" t="s">
        <v>1050</v>
      </c>
      <c r="F625" s="165" t="str">
        <f>"血量低于50%时，伤害增加"&amp;skill!$O$55/100&amp;"%"</f>
        <v>血量低于50%时，伤害增加50%</v>
      </c>
      <c r="G625" s="186">
        <f ca="1">OFFSET(卡牌辅助配置表!$C$1,MATCH(AC625,卡牌辅助配置表!A:A,0)-1,0)</f>
        <v>6</v>
      </c>
      <c r="H625" s="186">
        <f ca="1" t="shared" si="108"/>
        <v>0</v>
      </c>
      <c r="I625" s="186"/>
      <c r="J625" s="186">
        <f ca="1">OFFSET(card_type!$F$1,MATCH(Q625,card_type!A:A,0)-1,0)</f>
        <v>4</v>
      </c>
      <c r="K625" s="243">
        <f ca="1">OFFSET(card_type!$G$1,MATCH(Q625,card_type!A:A,0)-1,0)</f>
        <v>2</v>
      </c>
      <c r="L625" s="157">
        <v>2</v>
      </c>
      <c r="M625" s="157">
        <v>2</v>
      </c>
      <c r="N625" s="153">
        <f t="shared" si="99"/>
        <v>20</v>
      </c>
      <c r="O625" s="157"/>
      <c r="P625" s="157"/>
      <c r="Q625" s="153">
        <f ca="1">OFFSET(card_type!$A$1,MATCH(card!B625,card_type!B:B,0)-1,0)</f>
        <v>1401</v>
      </c>
      <c r="R625" s="153">
        <v>1</v>
      </c>
      <c r="S625" s="157">
        <f ca="1">ROUND(IF(R625=0,0,IF(R625=1,X625*$S$1,IF(R625=2,X625*$S$1*buff的资质计算!$E$2,IF(R625=3,X625*$S$1*buff的资质计算!$E$3,0)))),0)*0</f>
        <v>0</v>
      </c>
      <c r="T625" s="153">
        <v>5</v>
      </c>
      <c r="U625" s="153">
        <f ca="1" t="shared" si="100"/>
        <v>42</v>
      </c>
      <c r="V625" s="153">
        <f ca="1">ROUND((OFFSET(卡牌辅助配置表!$O$1,MATCH(U625,卡牌辅助配置表!M:M,0)-1,0)+(N625-1)*OFFSET(卡牌辅助配置表!$P$1,MATCH(U625,卡牌辅助配置表!M:M,0)-1,0))*M625,2)</f>
        <v>182.95</v>
      </c>
      <c r="W625" s="157">
        <f ca="1">ROUND(IF(R625=0,0,IF(R625=1,X625*$W$1,IF(R625=2,X625*$W$1*buff的资质计算!$E$2,IF(R625=3,X625*$W$1*buff的资质计算!$E$3,0)))),2)</f>
        <v>19.05</v>
      </c>
      <c r="X625" s="157">
        <f ca="1" t="shared" si="101"/>
        <v>63.5</v>
      </c>
      <c r="Y625" s="157">
        <f ca="1" t="shared" si="106"/>
        <v>63.5</v>
      </c>
      <c r="Z625" s="304">
        <f ca="1" t="shared" si="102"/>
        <v>31.75</v>
      </c>
      <c r="AA625" s="304">
        <f ca="1">OFFSET(卡牌辅助配置表!$AD$1,MATCH(AB625,卡牌辅助配置表!AB:AB,0)-1,0)</f>
        <v>11500</v>
      </c>
      <c r="AB625" s="304">
        <f ca="1" t="shared" si="103"/>
        <v>4220</v>
      </c>
      <c r="AC625" s="153">
        <v>11</v>
      </c>
      <c r="AE625" s="153">
        <v>5000</v>
      </c>
      <c r="AF625" s="153" t="str">
        <f ca="1" t="shared" si="107"/>
        <v>14010011|</v>
      </c>
      <c r="AJ625" s="205" t="str">
        <f ca="1" t="shared" si="104"/>
        <v>400023|10650|;</v>
      </c>
      <c r="AK625" s="205">
        <f ca="1">OFFSET([1]item_type!$A$1,MATCH(Q625,[1]item_type!$G:$G,0)-1,0)</f>
        <v>301401</v>
      </c>
      <c r="AL625" s="205"/>
      <c r="AM625" s="205">
        <f ca="1">IF(B625=B626,OFFSET(卡牌辅助配置表!$AE$1,MATCH(AB625,卡牌辅助配置表!AB:AB,0),0),0)</f>
        <v>10650</v>
      </c>
      <c r="AN625" s="153">
        <f ca="1" t="shared" si="105"/>
        <v>1401021</v>
      </c>
      <c r="AP625" s="153" t="str">
        <f ca="1">IF(AC625=0,0,IF(AC625=12,0,OFFSET(effect!$N$1,MATCH(K625,effect!M:M,0)-1,0)))</f>
        <v>kpsx_pt</v>
      </c>
    </row>
    <row r="626" spans="1:42">
      <c r="A626" s="153">
        <f ca="1" t="shared" si="98"/>
        <v>1401021</v>
      </c>
      <c r="B626" s="91" t="s">
        <v>306</v>
      </c>
      <c r="C626" s="186">
        <v>1</v>
      </c>
      <c r="D626" s="186">
        <v>4</v>
      </c>
      <c r="E626" s="165" t="s">
        <v>1050</v>
      </c>
      <c r="F626" s="165" t="str">
        <f>"血量低于50%时，伤害增加"&amp;skill!$O$55/100&amp;"%"</f>
        <v>血量低于50%时，伤害增加50%</v>
      </c>
      <c r="G626" s="186">
        <f ca="1">OFFSET(卡牌辅助配置表!$C$1,MATCH(AC626,卡牌辅助配置表!A:A,0)-1,0)</f>
        <v>6</v>
      </c>
      <c r="H626" s="186">
        <f ca="1" t="shared" si="108"/>
        <v>0</v>
      </c>
      <c r="I626" s="186"/>
      <c r="J626" s="186">
        <f ca="1">OFFSET(card_type!$F$1,MATCH(Q626,card_type!A:A,0)-1,0)</f>
        <v>4</v>
      </c>
      <c r="K626" s="243">
        <f ca="1">OFFSET(card_type!$G$1,MATCH(Q626,card_type!A:A,0)-1,0)</f>
        <v>2</v>
      </c>
      <c r="L626" s="157">
        <v>2</v>
      </c>
      <c r="M626" s="157">
        <v>2</v>
      </c>
      <c r="N626" s="153">
        <f t="shared" si="99"/>
        <v>21</v>
      </c>
      <c r="O626" s="157"/>
      <c r="P626" s="157"/>
      <c r="Q626" s="153">
        <f ca="1">OFFSET(card_type!$A$1,MATCH(card!B626,card_type!B:B,0)-1,0)</f>
        <v>1401</v>
      </c>
      <c r="R626" s="153">
        <v>1</v>
      </c>
      <c r="S626" s="157">
        <f ca="1">ROUND(IF(R626=0,0,IF(R626=1,X626*$S$1,IF(R626=2,X626*$S$1*buff的资质计算!$E$2,IF(R626=3,X626*$S$1*buff的资质计算!$E$3,0)))),0)*0</f>
        <v>0</v>
      </c>
      <c r="T626" s="153">
        <v>5</v>
      </c>
      <c r="U626" s="153">
        <f ca="1" t="shared" si="100"/>
        <v>42</v>
      </c>
      <c r="V626" s="153">
        <f ca="1">ROUND((OFFSET(卡牌辅助配置表!$O$1,MATCH(U626,卡牌辅助配置表!M:M,0)-1,0)+(N626-1)*OFFSET(卡牌辅助配置表!$P$1,MATCH(U626,卡牌辅助配置表!M:M,0)-1,0))*M626,2)</f>
        <v>190.25</v>
      </c>
      <c r="W626" s="157">
        <f ca="1">ROUND(IF(R626=0,0,IF(R626=1,X626*$W$1,IF(R626=2,X626*$W$1*buff的资质计算!$E$2,IF(R626=3,X626*$W$1*buff的资质计算!$E$3,0)))),2)</f>
        <v>19.2</v>
      </c>
      <c r="X626" s="157">
        <f ca="1" t="shared" si="101"/>
        <v>64</v>
      </c>
      <c r="Y626" s="157">
        <f ca="1" t="shared" si="106"/>
        <v>64</v>
      </c>
      <c r="Z626" s="304">
        <f ca="1" t="shared" si="102"/>
        <v>32</v>
      </c>
      <c r="AA626" s="304">
        <f ca="1">OFFSET(卡牌辅助配置表!$AD$1,MATCH(AB626,卡牌辅助配置表!AB:AB,0)-1,0)</f>
        <v>12420</v>
      </c>
      <c r="AB626" s="304">
        <f ca="1" t="shared" si="103"/>
        <v>4221</v>
      </c>
      <c r="AC626" s="153">
        <v>11</v>
      </c>
      <c r="AE626" s="153">
        <v>5000</v>
      </c>
      <c r="AF626" s="153" t="str">
        <f ca="1" t="shared" si="107"/>
        <v>14010011|</v>
      </c>
      <c r="AJ626" s="205" t="str">
        <f ca="1" t="shared" si="104"/>
        <v>400023|11850|;</v>
      </c>
      <c r="AK626" s="205">
        <f ca="1">OFFSET([1]item_type!$A$1,MATCH(Q626,[1]item_type!$G:$G,0)-1,0)</f>
        <v>301401</v>
      </c>
      <c r="AL626" s="205"/>
      <c r="AM626" s="205">
        <f ca="1">IF(B626=B627,OFFSET(卡牌辅助配置表!$AE$1,MATCH(AB626,卡牌辅助配置表!AB:AB,0),0),0)</f>
        <v>11850</v>
      </c>
      <c r="AN626" s="153">
        <f ca="1" t="shared" si="105"/>
        <v>1401022</v>
      </c>
      <c r="AP626" s="153" t="str">
        <f ca="1">IF(AC626=0,0,IF(AC626=12,0,OFFSET(effect!$N$1,MATCH(K626,effect!M:M,0)-1,0)))</f>
        <v>kpsx_pt</v>
      </c>
    </row>
    <row r="627" spans="1:42">
      <c r="A627" s="153">
        <f ca="1" t="shared" si="98"/>
        <v>1401022</v>
      </c>
      <c r="B627" s="91" t="s">
        <v>306</v>
      </c>
      <c r="C627" s="186">
        <v>1</v>
      </c>
      <c r="D627" s="186">
        <v>4</v>
      </c>
      <c r="E627" s="165" t="s">
        <v>1050</v>
      </c>
      <c r="F627" s="165" t="str">
        <f>"血量低于50%时，伤害增加"&amp;skill!$O$55/100&amp;"%"</f>
        <v>血量低于50%时，伤害增加50%</v>
      </c>
      <c r="G627" s="186">
        <f ca="1">OFFSET(卡牌辅助配置表!$C$1,MATCH(AC627,卡牌辅助配置表!A:A,0)-1,0)</f>
        <v>6</v>
      </c>
      <c r="H627" s="186">
        <f ca="1" t="shared" si="108"/>
        <v>0</v>
      </c>
      <c r="I627" s="186"/>
      <c r="J627" s="186">
        <f ca="1">OFFSET(card_type!$F$1,MATCH(Q627,card_type!A:A,0)-1,0)</f>
        <v>4</v>
      </c>
      <c r="K627" s="243">
        <f ca="1">OFFSET(card_type!$G$1,MATCH(Q627,card_type!A:A,0)-1,0)</f>
        <v>2</v>
      </c>
      <c r="L627" s="157">
        <v>2</v>
      </c>
      <c r="M627" s="157">
        <v>2</v>
      </c>
      <c r="N627" s="153">
        <f t="shared" si="99"/>
        <v>22</v>
      </c>
      <c r="O627" s="157"/>
      <c r="P627" s="157"/>
      <c r="Q627" s="153">
        <f ca="1">OFFSET(card_type!$A$1,MATCH(card!B627,card_type!B:B,0)-1,0)</f>
        <v>1401</v>
      </c>
      <c r="R627" s="153">
        <v>1</v>
      </c>
      <c r="S627" s="157">
        <f ca="1">ROUND(IF(R627=0,0,IF(R627=1,X627*$S$1,IF(R627=2,X627*$S$1*buff的资质计算!$E$2,IF(R627=3,X627*$S$1*buff的资质计算!$E$3,0)))),0)*0</f>
        <v>0</v>
      </c>
      <c r="T627" s="153">
        <v>5</v>
      </c>
      <c r="U627" s="153">
        <f ca="1" t="shared" si="100"/>
        <v>42</v>
      </c>
      <c r="V627" s="153">
        <f ca="1">ROUND((OFFSET(卡牌辅助配置表!$O$1,MATCH(U627,卡牌辅助配置表!M:M,0)-1,0)+(N627-1)*OFFSET(卡牌辅助配置表!$P$1,MATCH(U627,卡牌辅助配置表!M:M,0)-1,0))*M627,2)</f>
        <v>197.55</v>
      </c>
      <c r="W627" s="157">
        <f ca="1">ROUND(IF(R627=0,0,IF(R627=1,X627*$W$1,IF(R627=2,X627*$W$1*buff的资质计算!$E$2,IF(R627=3,X627*$W$1*buff的资质计算!$E$3,0)))),2)</f>
        <v>19.35</v>
      </c>
      <c r="X627" s="157">
        <f ca="1" t="shared" si="101"/>
        <v>64.5</v>
      </c>
      <c r="Y627" s="157">
        <f ca="1" t="shared" si="106"/>
        <v>64.5</v>
      </c>
      <c r="Z627" s="304">
        <f ca="1" t="shared" si="102"/>
        <v>32.25</v>
      </c>
      <c r="AA627" s="304">
        <f ca="1">OFFSET(卡牌辅助配置表!$AD$1,MATCH(AB627,卡牌辅助配置表!AB:AB,0)-1,0)</f>
        <v>13340</v>
      </c>
      <c r="AB627" s="304">
        <f ca="1" t="shared" si="103"/>
        <v>4222</v>
      </c>
      <c r="AC627" s="153">
        <v>11</v>
      </c>
      <c r="AE627" s="153">
        <v>5000</v>
      </c>
      <c r="AF627" s="153" t="str">
        <f ca="1" t="shared" si="107"/>
        <v>14010011|</v>
      </c>
      <c r="AJ627" s="205" t="str">
        <f ca="1" t="shared" si="104"/>
        <v>400023|13050|;</v>
      </c>
      <c r="AK627" s="205">
        <f ca="1">OFFSET([1]item_type!$A$1,MATCH(Q627,[1]item_type!$G:$G,0)-1,0)</f>
        <v>301401</v>
      </c>
      <c r="AL627" s="205"/>
      <c r="AM627" s="205">
        <f ca="1">IF(B627=B628,OFFSET(卡牌辅助配置表!$AE$1,MATCH(AB627,卡牌辅助配置表!AB:AB,0),0),0)</f>
        <v>13050</v>
      </c>
      <c r="AN627" s="153">
        <f ca="1" t="shared" si="105"/>
        <v>1401023</v>
      </c>
      <c r="AP627" s="153" t="str">
        <f ca="1">IF(AC627=0,0,IF(AC627=12,0,OFFSET(effect!$N$1,MATCH(K627,effect!M:M,0)-1,0)))</f>
        <v>kpsx_pt</v>
      </c>
    </row>
    <row r="628" spans="1:42">
      <c r="A628" s="153">
        <f ca="1" t="shared" si="98"/>
        <v>1401023</v>
      </c>
      <c r="B628" s="91" t="s">
        <v>306</v>
      </c>
      <c r="C628" s="186">
        <v>1</v>
      </c>
      <c r="D628" s="186">
        <v>4</v>
      </c>
      <c r="E628" s="165" t="s">
        <v>1050</v>
      </c>
      <c r="F628" s="165" t="str">
        <f>"血量低于50%时，伤害增加"&amp;skill!$O$55/100&amp;"%"</f>
        <v>血量低于50%时，伤害增加50%</v>
      </c>
      <c r="G628" s="186">
        <f ca="1">OFFSET(卡牌辅助配置表!$C$1,MATCH(AC628,卡牌辅助配置表!A:A,0)-1,0)</f>
        <v>6</v>
      </c>
      <c r="H628" s="186">
        <f ca="1" t="shared" si="108"/>
        <v>0</v>
      </c>
      <c r="I628" s="186"/>
      <c r="J628" s="186">
        <f ca="1">OFFSET(card_type!$F$1,MATCH(Q628,card_type!A:A,0)-1,0)</f>
        <v>4</v>
      </c>
      <c r="K628" s="243">
        <f ca="1">OFFSET(card_type!$G$1,MATCH(Q628,card_type!A:A,0)-1,0)</f>
        <v>2</v>
      </c>
      <c r="L628" s="157">
        <v>2</v>
      </c>
      <c r="M628" s="157">
        <v>2</v>
      </c>
      <c r="N628" s="153">
        <f t="shared" si="99"/>
        <v>23</v>
      </c>
      <c r="O628" s="157"/>
      <c r="P628" s="157"/>
      <c r="Q628" s="153">
        <f ca="1">OFFSET(card_type!$A$1,MATCH(card!B628,card_type!B:B,0)-1,0)</f>
        <v>1401</v>
      </c>
      <c r="R628" s="153">
        <v>1</v>
      </c>
      <c r="S628" s="157">
        <f ca="1">ROUND(IF(R628=0,0,IF(R628=1,X628*$S$1,IF(R628=2,X628*$S$1*buff的资质计算!$E$2,IF(R628=3,X628*$S$1*buff的资质计算!$E$3,0)))),0)*0</f>
        <v>0</v>
      </c>
      <c r="T628" s="153">
        <v>5</v>
      </c>
      <c r="U628" s="153">
        <f ca="1" t="shared" si="100"/>
        <v>42</v>
      </c>
      <c r="V628" s="153">
        <f ca="1">ROUND((OFFSET(卡牌辅助配置表!$O$1,MATCH(U628,卡牌辅助配置表!M:M,0)-1,0)+(N628-1)*OFFSET(卡牌辅助配置表!$P$1,MATCH(U628,卡牌辅助配置表!M:M,0)-1,0))*M628,2)</f>
        <v>204.85</v>
      </c>
      <c r="W628" s="157">
        <f ca="1">ROUND(IF(R628=0,0,IF(R628=1,X628*$W$1,IF(R628=2,X628*$W$1*buff的资质计算!$E$2,IF(R628=3,X628*$W$1*buff的资质计算!$E$3,0)))),2)</f>
        <v>19.5</v>
      </c>
      <c r="X628" s="157">
        <f ca="1" t="shared" si="101"/>
        <v>65</v>
      </c>
      <c r="Y628" s="157">
        <f ca="1" t="shared" si="106"/>
        <v>65</v>
      </c>
      <c r="Z628" s="304">
        <f ca="1" t="shared" si="102"/>
        <v>32.5</v>
      </c>
      <c r="AA628" s="304">
        <f ca="1">OFFSET(卡牌辅助配置表!$AD$1,MATCH(AB628,卡牌辅助配置表!AB:AB,0)-1,0)</f>
        <v>14260</v>
      </c>
      <c r="AB628" s="304">
        <f ca="1" t="shared" si="103"/>
        <v>4223</v>
      </c>
      <c r="AC628" s="153">
        <v>11</v>
      </c>
      <c r="AE628" s="153">
        <v>5000</v>
      </c>
      <c r="AF628" s="153" t="str">
        <f ca="1" t="shared" si="107"/>
        <v>14010011|</v>
      </c>
      <c r="AJ628" s="205" t="str">
        <f ca="1" t="shared" si="104"/>
        <v>400023|14250|;</v>
      </c>
      <c r="AK628" s="205">
        <f ca="1">OFFSET([1]item_type!$A$1,MATCH(Q628,[1]item_type!$G:$G,0)-1,0)</f>
        <v>301401</v>
      </c>
      <c r="AL628" s="205"/>
      <c r="AM628" s="205">
        <f ca="1">IF(B628=B629,OFFSET(卡牌辅助配置表!$AE$1,MATCH(AB628,卡牌辅助配置表!AB:AB,0),0),0)</f>
        <v>14250</v>
      </c>
      <c r="AN628" s="153">
        <f ca="1" t="shared" si="105"/>
        <v>1401024</v>
      </c>
      <c r="AP628" s="153" t="str">
        <f ca="1">IF(AC628=0,0,IF(AC628=12,0,OFFSET(effect!$N$1,MATCH(K628,effect!M:M,0)-1,0)))</f>
        <v>kpsx_pt</v>
      </c>
    </row>
    <row r="629" spans="1:42">
      <c r="A629" s="153">
        <f ca="1" t="shared" si="98"/>
        <v>1401024</v>
      </c>
      <c r="B629" s="91" t="s">
        <v>306</v>
      </c>
      <c r="C629" s="186">
        <v>1</v>
      </c>
      <c r="D629" s="186">
        <v>4</v>
      </c>
      <c r="E629" s="165" t="s">
        <v>1050</v>
      </c>
      <c r="F629" s="165" t="str">
        <f>"血量低于50%时，伤害增加"&amp;skill!$O$55/100&amp;"%"</f>
        <v>血量低于50%时，伤害增加50%</v>
      </c>
      <c r="G629" s="186">
        <f ca="1">OFFSET(卡牌辅助配置表!$C$1,MATCH(AC629,卡牌辅助配置表!A:A,0)-1,0)</f>
        <v>6</v>
      </c>
      <c r="H629" s="186">
        <f ca="1" t="shared" si="108"/>
        <v>0</v>
      </c>
      <c r="I629" s="186"/>
      <c r="J629" s="186">
        <f ca="1">OFFSET(card_type!$F$1,MATCH(Q629,card_type!A:A,0)-1,0)</f>
        <v>4</v>
      </c>
      <c r="K629" s="243">
        <f ca="1">OFFSET(card_type!$G$1,MATCH(Q629,card_type!A:A,0)-1,0)</f>
        <v>2</v>
      </c>
      <c r="L629" s="157">
        <v>2</v>
      </c>
      <c r="M629" s="157">
        <v>2</v>
      </c>
      <c r="N629" s="153">
        <f t="shared" si="99"/>
        <v>24</v>
      </c>
      <c r="O629" s="157"/>
      <c r="P629" s="157"/>
      <c r="Q629" s="153">
        <f ca="1">OFFSET(card_type!$A$1,MATCH(card!B629,card_type!B:B,0)-1,0)</f>
        <v>1401</v>
      </c>
      <c r="R629" s="153">
        <v>1</v>
      </c>
      <c r="S629" s="157">
        <f ca="1">ROUND(IF(R629=0,0,IF(R629=1,X629*$S$1,IF(R629=2,X629*$S$1*buff的资质计算!$E$2,IF(R629=3,X629*$S$1*buff的资质计算!$E$3,0)))),0)*0</f>
        <v>0</v>
      </c>
      <c r="T629" s="153">
        <v>5</v>
      </c>
      <c r="U629" s="153">
        <f ca="1" t="shared" si="100"/>
        <v>42</v>
      </c>
      <c r="V629" s="153">
        <f ca="1">ROUND((OFFSET(卡牌辅助配置表!$O$1,MATCH(U629,卡牌辅助配置表!M:M,0)-1,0)+(N629-1)*OFFSET(卡牌辅助配置表!$P$1,MATCH(U629,卡牌辅助配置表!M:M,0)-1,0))*M629,2)</f>
        <v>212.15</v>
      </c>
      <c r="W629" s="157">
        <f ca="1">ROUND(IF(R629=0,0,IF(R629=1,X629*$W$1,IF(R629=2,X629*$W$1*buff的资质计算!$E$2,IF(R629=3,X629*$W$1*buff的资质计算!$E$3,0)))),2)</f>
        <v>19.65</v>
      </c>
      <c r="X629" s="157">
        <f ca="1" t="shared" si="101"/>
        <v>65.5</v>
      </c>
      <c r="Y629" s="157">
        <f ca="1" t="shared" si="106"/>
        <v>65.5</v>
      </c>
      <c r="Z629" s="304">
        <f ca="1" t="shared" si="102"/>
        <v>32.75</v>
      </c>
      <c r="AA629" s="304">
        <f ca="1">OFFSET(卡牌辅助配置表!$AD$1,MATCH(AB629,卡牌辅助配置表!AB:AB,0)-1,0)</f>
        <v>15180</v>
      </c>
      <c r="AB629" s="304">
        <f ca="1" t="shared" si="103"/>
        <v>4224</v>
      </c>
      <c r="AC629" s="153">
        <v>11</v>
      </c>
      <c r="AE629" s="153">
        <v>5000</v>
      </c>
      <c r="AF629" s="153" t="str">
        <f ca="1" t="shared" si="107"/>
        <v>14010011|</v>
      </c>
      <c r="AJ629" s="205" t="str">
        <f ca="1" t="shared" si="104"/>
        <v>400023|15450|;</v>
      </c>
      <c r="AK629" s="205">
        <f ca="1">OFFSET([1]item_type!$A$1,MATCH(Q629,[1]item_type!$G:$G,0)-1,0)</f>
        <v>301401</v>
      </c>
      <c r="AL629" s="205"/>
      <c r="AM629" s="205">
        <f ca="1">IF(B629=B630,OFFSET(卡牌辅助配置表!$AE$1,MATCH(AB629,卡牌辅助配置表!AB:AB,0),0),0)</f>
        <v>15450</v>
      </c>
      <c r="AN629" s="153">
        <f ca="1" t="shared" si="105"/>
        <v>1401025</v>
      </c>
      <c r="AP629" s="153" t="str">
        <f ca="1">IF(AC629=0,0,IF(AC629=12,0,OFFSET(effect!$N$1,MATCH(K629,effect!M:M,0)-1,0)))</f>
        <v>kpsx_pt</v>
      </c>
    </row>
    <row r="630" spans="1:42">
      <c r="A630" s="153">
        <f ca="1" t="shared" si="98"/>
        <v>1401025</v>
      </c>
      <c r="B630" s="91" t="s">
        <v>306</v>
      </c>
      <c r="C630" s="186">
        <v>1</v>
      </c>
      <c r="D630" s="186">
        <v>4</v>
      </c>
      <c r="E630" s="165" t="s">
        <v>1050</v>
      </c>
      <c r="F630" s="165" t="str">
        <f>"血量低于50%时，伤害增加"&amp;skill!$O$55/100&amp;"%"</f>
        <v>血量低于50%时，伤害增加50%</v>
      </c>
      <c r="G630" s="186">
        <f ca="1">OFFSET(卡牌辅助配置表!$C$1,MATCH(AC630,卡牌辅助配置表!A:A,0)-1,0)</f>
        <v>6</v>
      </c>
      <c r="H630" s="186">
        <f ca="1" t="shared" si="108"/>
        <v>0</v>
      </c>
      <c r="I630" s="186"/>
      <c r="J630" s="186">
        <f ca="1">OFFSET(card_type!$F$1,MATCH(Q630,card_type!A:A,0)-1,0)</f>
        <v>4</v>
      </c>
      <c r="K630" s="243">
        <f ca="1">OFFSET(card_type!$G$1,MATCH(Q630,card_type!A:A,0)-1,0)</f>
        <v>2</v>
      </c>
      <c r="L630" s="157">
        <v>2</v>
      </c>
      <c r="M630" s="157">
        <v>2</v>
      </c>
      <c r="N630" s="153">
        <f t="shared" si="99"/>
        <v>25</v>
      </c>
      <c r="O630" s="157"/>
      <c r="P630" s="157"/>
      <c r="Q630" s="153">
        <f ca="1">OFFSET(card_type!$A$1,MATCH(card!B630,card_type!B:B,0)-1,0)</f>
        <v>1401</v>
      </c>
      <c r="R630" s="153">
        <v>1</v>
      </c>
      <c r="S630" s="157">
        <f ca="1">ROUND(IF(R630=0,0,IF(R630=1,X630*$S$1,IF(R630=2,X630*$S$1*buff的资质计算!$E$2,IF(R630=3,X630*$S$1*buff的资质计算!$E$3,0)))),0)*0</f>
        <v>0</v>
      </c>
      <c r="T630" s="153">
        <v>5</v>
      </c>
      <c r="U630" s="153">
        <f ca="1" t="shared" si="100"/>
        <v>42</v>
      </c>
      <c r="V630" s="153">
        <f ca="1">ROUND((OFFSET(卡牌辅助配置表!$O$1,MATCH(U630,卡牌辅助配置表!M:M,0)-1,0)+(N630-1)*OFFSET(卡牌辅助配置表!$P$1,MATCH(U630,卡牌辅助配置表!M:M,0)-1,0))*M630,2)</f>
        <v>219.45</v>
      </c>
      <c r="W630" s="157">
        <f ca="1">ROUND(IF(R630=0,0,IF(R630=1,X630*$W$1,IF(R630=2,X630*$W$1*buff的资质计算!$E$2,IF(R630=3,X630*$W$1*buff的资质计算!$E$3,0)))),2)</f>
        <v>19.8</v>
      </c>
      <c r="X630" s="157">
        <f ca="1" t="shared" si="101"/>
        <v>66</v>
      </c>
      <c r="Y630" s="157">
        <f ca="1" t="shared" si="106"/>
        <v>66</v>
      </c>
      <c r="Z630" s="304">
        <f ca="1" t="shared" si="102"/>
        <v>33</v>
      </c>
      <c r="AA630" s="304">
        <f ca="1">OFFSET(卡牌辅助配置表!$AD$1,MATCH(AB630,卡牌辅助配置表!AB:AB,0)-1,0)</f>
        <v>16100</v>
      </c>
      <c r="AB630" s="304">
        <f ca="1" t="shared" si="103"/>
        <v>4225</v>
      </c>
      <c r="AC630" s="153">
        <v>11</v>
      </c>
      <c r="AE630" s="153">
        <v>5000</v>
      </c>
      <c r="AF630" s="153" t="str">
        <f ca="1" t="shared" si="107"/>
        <v>14010011|</v>
      </c>
      <c r="AJ630" s="205" t="str">
        <f ca="1" t="shared" si="104"/>
        <v>400023|16650|;</v>
      </c>
      <c r="AK630" s="205">
        <f ca="1">OFFSET([1]item_type!$A$1,MATCH(Q630,[1]item_type!$G:$G,0)-1,0)</f>
        <v>301401</v>
      </c>
      <c r="AL630" s="205"/>
      <c r="AM630" s="205">
        <f ca="1">IF(B630=B631,OFFSET(卡牌辅助配置表!$AE$1,MATCH(AB630,卡牌辅助配置表!AB:AB,0),0),0)</f>
        <v>16650</v>
      </c>
      <c r="AN630" s="153">
        <f ca="1" t="shared" si="105"/>
        <v>1401026</v>
      </c>
      <c r="AP630" s="153" t="str">
        <f ca="1">IF(AC630=0,0,IF(AC630=12,0,OFFSET(effect!$N$1,MATCH(K630,effect!M:M,0)-1,0)))</f>
        <v>kpsx_pt</v>
      </c>
    </row>
    <row r="631" spans="1:42">
      <c r="A631" s="153">
        <f ca="1" t="shared" si="98"/>
        <v>1401026</v>
      </c>
      <c r="B631" s="91" t="s">
        <v>306</v>
      </c>
      <c r="C631" s="186">
        <v>1</v>
      </c>
      <c r="D631" s="186">
        <v>4</v>
      </c>
      <c r="E631" s="165" t="s">
        <v>1050</v>
      </c>
      <c r="F631" s="165" t="str">
        <f>"血量低于50%时，伤害增加"&amp;skill!$O$55/100&amp;"%"</f>
        <v>血量低于50%时，伤害增加50%</v>
      </c>
      <c r="G631" s="186">
        <f ca="1">OFFSET(卡牌辅助配置表!$C$1,MATCH(AC631,卡牌辅助配置表!A:A,0)-1,0)</f>
        <v>6</v>
      </c>
      <c r="H631" s="186">
        <f ca="1" t="shared" si="108"/>
        <v>0</v>
      </c>
      <c r="I631" s="186"/>
      <c r="J631" s="186">
        <f ca="1">OFFSET(card_type!$F$1,MATCH(Q631,card_type!A:A,0)-1,0)</f>
        <v>4</v>
      </c>
      <c r="K631" s="243">
        <f ca="1">OFFSET(card_type!$G$1,MATCH(Q631,card_type!A:A,0)-1,0)</f>
        <v>2</v>
      </c>
      <c r="L631" s="157">
        <v>2</v>
      </c>
      <c r="M631" s="157">
        <v>2</v>
      </c>
      <c r="N631" s="153">
        <f t="shared" si="99"/>
        <v>26</v>
      </c>
      <c r="O631" s="157"/>
      <c r="P631" s="157"/>
      <c r="Q631" s="153">
        <f ca="1">OFFSET(card_type!$A$1,MATCH(card!B631,card_type!B:B,0)-1,0)</f>
        <v>1401</v>
      </c>
      <c r="R631" s="153">
        <v>1</v>
      </c>
      <c r="S631" s="157">
        <f ca="1">ROUND(IF(R631=0,0,IF(R631=1,X631*$S$1,IF(R631=2,X631*$S$1*buff的资质计算!$E$2,IF(R631=3,X631*$S$1*buff的资质计算!$E$3,0)))),0)*0</f>
        <v>0</v>
      </c>
      <c r="T631" s="153">
        <v>5</v>
      </c>
      <c r="U631" s="153">
        <f ca="1" t="shared" si="100"/>
        <v>42</v>
      </c>
      <c r="V631" s="153">
        <f ca="1">ROUND((OFFSET(卡牌辅助配置表!$O$1,MATCH(U631,卡牌辅助配置表!M:M,0)-1,0)+(N631-1)*OFFSET(卡牌辅助配置表!$P$1,MATCH(U631,卡牌辅助配置表!M:M,0)-1,0))*M631,2)</f>
        <v>226.75</v>
      </c>
      <c r="W631" s="157">
        <f ca="1">ROUND(IF(R631=0,0,IF(R631=1,X631*$W$1,IF(R631=2,X631*$W$1*buff的资质计算!$E$2,IF(R631=3,X631*$W$1*buff的资质计算!$E$3,0)))),2)</f>
        <v>19.95</v>
      </c>
      <c r="X631" s="157">
        <f ca="1" t="shared" si="101"/>
        <v>66.5</v>
      </c>
      <c r="Y631" s="157">
        <f ca="1" t="shared" si="106"/>
        <v>66.5</v>
      </c>
      <c r="Z631" s="304">
        <f ca="1" t="shared" si="102"/>
        <v>33.25</v>
      </c>
      <c r="AA631" s="304">
        <f ca="1">OFFSET(卡牌辅助配置表!$AD$1,MATCH(AB631,卡牌辅助配置表!AB:AB,0)-1,0)</f>
        <v>17020</v>
      </c>
      <c r="AB631" s="304">
        <f ca="1" t="shared" si="103"/>
        <v>4226</v>
      </c>
      <c r="AC631" s="153">
        <v>11</v>
      </c>
      <c r="AE631" s="153">
        <v>5000</v>
      </c>
      <c r="AF631" s="153" t="str">
        <f ca="1" t="shared" si="107"/>
        <v>14010011|</v>
      </c>
      <c r="AJ631" s="205" t="str">
        <f ca="1" t="shared" si="104"/>
        <v>400023|17850|;</v>
      </c>
      <c r="AK631" s="205">
        <f ca="1">OFFSET([1]item_type!$A$1,MATCH(Q631,[1]item_type!$G:$G,0)-1,0)</f>
        <v>301401</v>
      </c>
      <c r="AL631" s="205"/>
      <c r="AM631" s="205">
        <f ca="1">IF(B631=B632,OFFSET(卡牌辅助配置表!$AE$1,MATCH(AB631,卡牌辅助配置表!AB:AB,0),0),0)</f>
        <v>17850</v>
      </c>
      <c r="AN631" s="153">
        <f ca="1" t="shared" si="105"/>
        <v>1401027</v>
      </c>
      <c r="AP631" s="153" t="str">
        <f ca="1">IF(AC631=0,0,IF(AC631=12,0,OFFSET(effect!$N$1,MATCH(K631,effect!M:M,0)-1,0)))</f>
        <v>kpsx_pt</v>
      </c>
    </row>
    <row r="632" spans="1:42">
      <c r="A632" s="153">
        <f ca="1" t="shared" si="98"/>
        <v>1401027</v>
      </c>
      <c r="B632" s="91" t="s">
        <v>306</v>
      </c>
      <c r="C632" s="186">
        <v>1</v>
      </c>
      <c r="D632" s="186">
        <v>4</v>
      </c>
      <c r="E632" s="165" t="s">
        <v>1050</v>
      </c>
      <c r="F632" s="165" t="str">
        <f>"血量低于50%时，伤害增加"&amp;skill!$O$55/100&amp;"%"</f>
        <v>血量低于50%时，伤害增加50%</v>
      </c>
      <c r="G632" s="186">
        <f ca="1">OFFSET(卡牌辅助配置表!$C$1,MATCH(AC632,卡牌辅助配置表!A:A,0)-1,0)</f>
        <v>6</v>
      </c>
      <c r="H632" s="186">
        <f ca="1" t="shared" si="108"/>
        <v>0</v>
      </c>
      <c r="I632" s="186"/>
      <c r="J632" s="186">
        <f ca="1">OFFSET(card_type!$F$1,MATCH(Q632,card_type!A:A,0)-1,0)</f>
        <v>4</v>
      </c>
      <c r="K632" s="243">
        <f ca="1">OFFSET(card_type!$G$1,MATCH(Q632,card_type!A:A,0)-1,0)</f>
        <v>2</v>
      </c>
      <c r="L632" s="157">
        <v>2</v>
      </c>
      <c r="M632" s="157">
        <v>2</v>
      </c>
      <c r="N632" s="153">
        <f t="shared" si="99"/>
        <v>27</v>
      </c>
      <c r="O632" s="157"/>
      <c r="P632" s="157"/>
      <c r="Q632" s="153">
        <f ca="1">OFFSET(card_type!$A$1,MATCH(card!B632,card_type!B:B,0)-1,0)</f>
        <v>1401</v>
      </c>
      <c r="R632" s="153">
        <v>1</v>
      </c>
      <c r="S632" s="157">
        <f ca="1">ROUND(IF(R632=0,0,IF(R632=1,X632*$S$1,IF(R632=2,X632*$S$1*buff的资质计算!$E$2,IF(R632=3,X632*$S$1*buff的资质计算!$E$3,0)))),0)*0</f>
        <v>0</v>
      </c>
      <c r="T632" s="153">
        <v>5</v>
      </c>
      <c r="U632" s="153">
        <f ca="1" t="shared" si="100"/>
        <v>42</v>
      </c>
      <c r="V632" s="153">
        <f ca="1">ROUND((OFFSET(卡牌辅助配置表!$O$1,MATCH(U632,卡牌辅助配置表!M:M,0)-1,0)+(N632-1)*OFFSET(卡牌辅助配置表!$P$1,MATCH(U632,卡牌辅助配置表!M:M,0)-1,0))*M632,2)</f>
        <v>234.05</v>
      </c>
      <c r="W632" s="157">
        <f ca="1">ROUND(IF(R632=0,0,IF(R632=1,X632*$W$1,IF(R632=2,X632*$W$1*buff的资质计算!$E$2,IF(R632=3,X632*$W$1*buff的资质计算!$E$3,0)))),2)</f>
        <v>20.1</v>
      </c>
      <c r="X632" s="157">
        <f ca="1" t="shared" si="101"/>
        <v>67</v>
      </c>
      <c r="Y632" s="157">
        <f ca="1" t="shared" si="106"/>
        <v>67</v>
      </c>
      <c r="Z632" s="304">
        <f ca="1" t="shared" si="102"/>
        <v>33.5</v>
      </c>
      <c r="AA632" s="304">
        <f ca="1">OFFSET(卡牌辅助配置表!$AD$1,MATCH(AB632,卡牌辅助配置表!AB:AB,0)-1,0)</f>
        <v>17940</v>
      </c>
      <c r="AB632" s="304">
        <f ca="1" t="shared" si="103"/>
        <v>4227</v>
      </c>
      <c r="AC632" s="153">
        <v>11</v>
      </c>
      <c r="AE632" s="153">
        <v>5000</v>
      </c>
      <c r="AF632" s="153" t="str">
        <f ca="1" t="shared" si="107"/>
        <v>14010011|</v>
      </c>
      <c r="AJ632" s="205" t="str">
        <f ca="1" t="shared" si="104"/>
        <v>400023|19050|;</v>
      </c>
      <c r="AK632" s="205">
        <f ca="1">OFFSET([1]item_type!$A$1,MATCH(Q632,[1]item_type!$G:$G,0)-1,0)</f>
        <v>301401</v>
      </c>
      <c r="AL632" s="205"/>
      <c r="AM632" s="205">
        <f ca="1">IF(B632=B633,OFFSET(卡牌辅助配置表!$AE$1,MATCH(AB632,卡牌辅助配置表!AB:AB,0),0),0)</f>
        <v>19050</v>
      </c>
      <c r="AN632" s="153">
        <f ca="1" t="shared" si="105"/>
        <v>1401028</v>
      </c>
      <c r="AP632" s="153" t="str">
        <f ca="1">IF(AC632=0,0,IF(AC632=12,0,OFFSET(effect!$N$1,MATCH(K632,effect!M:M,0)-1,0)))</f>
        <v>kpsx_pt</v>
      </c>
    </row>
    <row r="633" spans="1:42">
      <c r="A633" s="153">
        <f ca="1" t="shared" si="98"/>
        <v>1401028</v>
      </c>
      <c r="B633" s="91" t="s">
        <v>306</v>
      </c>
      <c r="C633" s="186">
        <v>1</v>
      </c>
      <c r="D633" s="186">
        <v>4</v>
      </c>
      <c r="E633" s="165" t="s">
        <v>1050</v>
      </c>
      <c r="F633" s="165" t="str">
        <f>"血量低于50%时，伤害增加"&amp;skill!$O$55/100&amp;"%"</f>
        <v>血量低于50%时，伤害增加50%</v>
      </c>
      <c r="G633" s="186">
        <f ca="1">OFFSET(卡牌辅助配置表!$C$1,MATCH(AC633,卡牌辅助配置表!A:A,0)-1,0)</f>
        <v>6</v>
      </c>
      <c r="H633" s="186">
        <f ca="1" t="shared" si="108"/>
        <v>0</v>
      </c>
      <c r="I633" s="186"/>
      <c r="J633" s="186">
        <f ca="1">OFFSET(card_type!$F$1,MATCH(Q633,card_type!A:A,0)-1,0)</f>
        <v>4</v>
      </c>
      <c r="K633" s="243">
        <f ca="1">OFFSET(card_type!$G$1,MATCH(Q633,card_type!A:A,0)-1,0)</f>
        <v>2</v>
      </c>
      <c r="L633" s="157">
        <v>2</v>
      </c>
      <c r="M633" s="157">
        <v>2</v>
      </c>
      <c r="N633" s="153">
        <f t="shared" si="99"/>
        <v>28</v>
      </c>
      <c r="O633" s="157"/>
      <c r="P633" s="157"/>
      <c r="Q633" s="153">
        <f ca="1">OFFSET(card_type!$A$1,MATCH(card!B633,card_type!B:B,0)-1,0)</f>
        <v>1401</v>
      </c>
      <c r="R633" s="153">
        <v>1</v>
      </c>
      <c r="S633" s="157">
        <f ca="1">ROUND(IF(R633=0,0,IF(R633=1,X633*$S$1,IF(R633=2,X633*$S$1*buff的资质计算!$E$2,IF(R633=3,X633*$S$1*buff的资质计算!$E$3,0)))),0)*0</f>
        <v>0</v>
      </c>
      <c r="T633" s="153">
        <v>5</v>
      </c>
      <c r="U633" s="153">
        <f ca="1" t="shared" si="100"/>
        <v>42</v>
      </c>
      <c r="V633" s="153">
        <f ca="1">ROUND((OFFSET(卡牌辅助配置表!$O$1,MATCH(U633,卡牌辅助配置表!M:M,0)-1,0)+(N633-1)*OFFSET(卡牌辅助配置表!$P$1,MATCH(U633,卡牌辅助配置表!M:M,0)-1,0))*M633,2)</f>
        <v>241.35</v>
      </c>
      <c r="W633" s="157">
        <f ca="1">ROUND(IF(R633=0,0,IF(R633=1,X633*$W$1,IF(R633=2,X633*$W$1*buff的资质计算!$E$2,IF(R633=3,X633*$W$1*buff的资质计算!$E$3,0)))),2)</f>
        <v>20.25</v>
      </c>
      <c r="X633" s="157">
        <f ca="1" t="shared" si="101"/>
        <v>67.5</v>
      </c>
      <c r="Y633" s="157">
        <f ca="1" t="shared" si="106"/>
        <v>67.5</v>
      </c>
      <c r="Z633" s="304">
        <f ca="1" t="shared" si="102"/>
        <v>33.75</v>
      </c>
      <c r="AA633" s="304">
        <f ca="1">OFFSET(卡牌辅助配置表!$AD$1,MATCH(AB633,卡牌辅助配置表!AB:AB,0)-1,0)</f>
        <v>18860</v>
      </c>
      <c r="AB633" s="304">
        <f ca="1" t="shared" si="103"/>
        <v>4228</v>
      </c>
      <c r="AC633" s="153">
        <v>11</v>
      </c>
      <c r="AE633" s="153">
        <v>5000</v>
      </c>
      <c r="AF633" s="153" t="str">
        <f ca="1" t="shared" si="107"/>
        <v>14010011|</v>
      </c>
      <c r="AJ633" s="205" t="str">
        <f ca="1" t="shared" si="104"/>
        <v>400023|20250|;</v>
      </c>
      <c r="AK633" s="205">
        <f ca="1">OFFSET([1]item_type!$A$1,MATCH(Q633,[1]item_type!$G:$G,0)-1,0)</f>
        <v>301401</v>
      </c>
      <c r="AL633" s="205"/>
      <c r="AM633" s="205">
        <f ca="1">IF(B633=B634,OFFSET(卡牌辅助配置表!$AE$1,MATCH(AB633,卡牌辅助配置表!AB:AB,0),0),0)</f>
        <v>20250</v>
      </c>
      <c r="AN633" s="153">
        <f ca="1" t="shared" si="105"/>
        <v>1401029</v>
      </c>
      <c r="AP633" s="153" t="str">
        <f ca="1">IF(AC633=0,0,IF(AC633=12,0,OFFSET(effect!$N$1,MATCH(K633,effect!M:M,0)-1,0)))</f>
        <v>kpsx_pt</v>
      </c>
    </row>
    <row r="634" spans="1:42">
      <c r="A634" s="153">
        <f ca="1" t="shared" si="98"/>
        <v>1401029</v>
      </c>
      <c r="B634" s="91" t="s">
        <v>306</v>
      </c>
      <c r="C634" s="186">
        <v>1</v>
      </c>
      <c r="D634" s="186">
        <v>4</v>
      </c>
      <c r="E634" s="165" t="s">
        <v>1050</v>
      </c>
      <c r="F634" s="165" t="str">
        <f>"血量低于50%时，伤害增加"&amp;skill!$O$55/100&amp;"%"</f>
        <v>血量低于50%时，伤害增加50%</v>
      </c>
      <c r="G634" s="186">
        <f ca="1">OFFSET(卡牌辅助配置表!$C$1,MATCH(AC634,卡牌辅助配置表!A:A,0)-1,0)</f>
        <v>6</v>
      </c>
      <c r="H634" s="186">
        <f ca="1" t="shared" si="108"/>
        <v>0</v>
      </c>
      <c r="I634" s="186"/>
      <c r="J634" s="186">
        <f ca="1">OFFSET(card_type!$F$1,MATCH(Q634,card_type!A:A,0)-1,0)</f>
        <v>4</v>
      </c>
      <c r="K634" s="243">
        <f ca="1">OFFSET(card_type!$G$1,MATCH(Q634,card_type!A:A,0)-1,0)</f>
        <v>2</v>
      </c>
      <c r="L634" s="157">
        <v>2</v>
      </c>
      <c r="M634" s="157">
        <v>2</v>
      </c>
      <c r="N634" s="153">
        <f t="shared" si="99"/>
        <v>29</v>
      </c>
      <c r="O634" s="157"/>
      <c r="P634" s="157"/>
      <c r="Q634" s="153">
        <f ca="1">OFFSET(card_type!$A$1,MATCH(card!B634,card_type!B:B,0)-1,0)</f>
        <v>1401</v>
      </c>
      <c r="R634" s="153">
        <v>1</v>
      </c>
      <c r="S634" s="157">
        <f ca="1">ROUND(IF(R634=0,0,IF(R634=1,X634*$S$1,IF(R634=2,X634*$S$1*buff的资质计算!$E$2,IF(R634=3,X634*$S$1*buff的资质计算!$E$3,0)))),0)*0</f>
        <v>0</v>
      </c>
      <c r="T634" s="153">
        <v>5</v>
      </c>
      <c r="U634" s="153">
        <f ca="1" t="shared" si="100"/>
        <v>42</v>
      </c>
      <c r="V634" s="153">
        <f ca="1">ROUND((OFFSET(卡牌辅助配置表!$O$1,MATCH(U634,卡牌辅助配置表!M:M,0)-1,0)+(N634-1)*OFFSET(卡牌辅助配置表!$P$1,MATCH(U634,卡牌辅助配置表!M:M,0)-1,0))*M634,2)</f>
        <v>248.65</v>
      </c>
      <c r="W634" s="157">
        <f ca="1">ROUND(IF(R634=0,0,IF(R634=1,X634*$W$1,IF(R634=2,X634*$W$1*buff的资质计算!$E$2,IF(R634=3,X634*$W$1*buff的资质计算!$E$3,0)))),2)</f>
        <v>20.4</v>
      </c>
      <c r="X634" s="157">
        <f ca="1" t="shared" si="101"/>
        <v>68</v>
      </c>
      <c r="Y634" s="157">
        <f ca="1" t="shared" si="106"/>
        <v>68</v>
      </c>
      <c r="Z634" s="304">
        <f ca="1" t="shared" si="102"/>
        <v>34</v>
      </c>
      <c r="AA634" s="304">
        <f ca="1">OFFSET(卡牌辅助配置表!$AD$1,MATCH(AB634,卡牌辅助配置表!AB:AB,0)-1,0)</f>
        <v>19780</v>
      </c>
      <c r="AB634" s="304">
        <f ca="1" t="shared" si="103"/>
        <v>4229</v>
      </c>
      <c r="AC634" s="153">
        <v>11</v>
      </c>
      <c r="AE634" s="153">
        <v>5000</v>
      </c>
      <c r="AF634" s="153" t="str">
        <f ca="1" t="shared" si="107"/>
        <v>14010011|</v>
      </c>
      <c r="AJ634" s="205" t="str">
        <f ca="1" t="shared" si="104"/>
        <v>301401|30|;400023|21450|;</v>
      </c>
      <c r="AK634" s="205">
        <f ca="1">OFFSET([1]item_type!$A$1,MATCH(Q634,[1]item_type!$G:$G,0)-1,0)</f>
        <v>301401</v>
      </c>
      <c r="AL634" s="205">
        <v>30</v>
      </c>
      <c r="AM634" s="205">
        <f ca="1">IF(B634=B635,OFFSET(卡牌辅助配置表!$AE$1,MATCH(AB634,卡牌辅助配置表!AB:AB,0),0),0)</f>
        <v>21450</v>
      </c>
      <c r="AN634" s="153">
        <f ca="1" t="shared" si="105"/>
        <v>1401030</v>
      </c>
      <c r="AP634" s="153" t="str">
        <f ca="1">IF(AC634=0,0,IF(AC634=12,0,OFFSET(effect!$N$1,MATCH(K634,effect!M:M,0)-1,0)))</f>
        <v>kpsx_pt</v>
      </c>
    </row>
    <row r="635" spans="1:42">
      <c r="A635" s="153">
        <f ca="1" t="shared" si="98"/>
        <v>1401030</v>
      </c>
      <c r="B635" s="91" t="s">
        <v>306</v>
      </c>
      <c r="C635" s="186">
        <v>1</v>
      </c>
      <c r="D635" s="186">
        <v>4</v>
      </c>
      <c r="E635" s="165" t="s">
        <v>1050</v>
      </c>
      <c r="F635" s="165" t="str">
        <f>"血量低于50%时，伤害增加"&amp;skill!$O$55/100&amp;"%"</f>
        <v>血量低于50%时，伤害增加50%</v>
      </c>
      <c r="G635" s="186">
        <f ca="1">OFFSET(卡牌辅助配置表!$C$1,MATCH(AC635,卡牌辅助配置表!A:A,0)-1,0)</f>
        <v>6</v>
      </c>
      <c r="H635" s="186">
        <f ca="1" t="shared" si="108"/>
        <v>0</v>
      </c>
      <c r="I635" s="186"/>
      <c r="J635" s="186">
        <f ca="1">OFFSET(card_type!$F$1,MATCH(Q635,card_type!A:A,0)-1,0)</f>
        <v>4</v>
      </c>
      <c r="K635" s="243">
        <f ca="1">OFFSET(card_type!$G$1,MATCH(Q635,card_type!A:A,0)-1,0)</f>
        <v>2</v>
      </c>
      <c r="L635" s="157">
        <v>2</v>
      </c>
      <c r="M635" s="157">
        <v>2</v>
      </c>
      <c r="N635" s="153">
        <f t="shared" si="99"/>
        <v>30</v>
      </c>
      <c r="O635" s="157"/>
      <c r="P635" s="157"/>
      <c r="Q635" s="153">
        <f ca="1">OFFSET(card_type!$A$1,MATCH(card!B635,card_type!B:B,0)-1,0)</f>
        <v>1401</v>
      </c>
      <c r="R635" s="153">
        <v>1</v>
      </c>
      <c r="S635" s="157">
        <f ca="1">ROUND(IF(R635=0,0,IF(R635=1,X635*$S$1,IF(R635=2,X635*$S$1*buff的资质计算!$E$2,IF(R635=3,X635*$S$1*buff的资质计算!$E$3,0)))),0)*0</f>
        <v>0</v>
      </c>
      <c r="T635" s="153">
        <v>5</v>
      </c>
      <c r="U635" s="153">
        <f ca="1" t="shared" si="100"/>
        <v>42</v>
      </c>
      <c r="V635" s="153">
        <f ca="1">ROUND((OFFSET(卡牌辅助配置表!$O$1,MATCH(U635,卡牌辅助配置表!M:M,0)-1,0)+(N635-1)*OFFSET(卡牌辅助配置表!$P$1,MATCH(U635,卡牌辅助配置表!M:M,0)-1,0))*M635,2)</f>
        <v>255.95</v>
      </c>
      <c r="W635" s="157">
        <f ca="1">ROUND(IF(R635=0,0,IF(R635=1,X635*$W$1,IF(R635=2,X635*$W$1*buff的资质计算!$E$2,IF(R635=3,X635*$W$1*buff的资质计算!$E$3,0)))),2)</f>
        <v>20.55</v>
      </c>
      <c r="X635" s="157">
        <f ca="1" t="shared" si="101"/>
        <v>68.5</v>
      </c>
      <c r="Y635" s="157">
        <f ca="1" t="shared" si="106"/>
        <v>68.5</v>
      </c>
      <c r="Z635" s="304">
        <f ca="1" t="shared" si="102"/>
        <v>34.25</v>
      </c>
      <c r="AA635" s="304">
        <f ca="1">OFFSET(卡牌辅助配置表!$AD$1,MATCH(AB635,卡牌辅助配置表!AB:AB,0)-1,0)</f>
        <v>20700</v>
      </c>
      <c r="AB635" s="304">
        <f ca="1" t="shared" si="103"/>
        <v>4230</v>
      </c>
      <c r="AC635" s="153">
        <v>11</v>
      </c>
      <c r="AE635" s="153">
        <v>5000</v>
      </c>
      <c r="AF635" s="153" t="str">
        <f ca="1" t="shared" si="107"/>
        <v>14010011|</v>
      </c>
      <c r="AJ635" s="205">
        <f ca="1" t="shared" si="104"/>
        <v>0</v>
      </c>
      <c r="AK635" s="205">
        <f ca="1">OFFSET([1]item_type!$A$1,MATCH(Q635,[1]item_type!$G:$G,0)-1,0)</f>
        <v>301401</v>
      </c>
      <c r="AL635" s="205"/>
      <c r="AM635" s="205">
        <f ca="1">IF(B635=B636,OFFSET(卡牌辅助配置表!$AE$1,MATCH(AB635,卡牌辅助配置表!AB:AB,0),0),0)</f>
        <v>0</v>
      </c>
      <c r="AN635" s="153">
        <f ca="1" t="shared" si="105"/>
        <v>0</v>
      </c>
      <c r="AP635" s="153" t="str">
        <f ca="1">IF(AC635=0,0,IF(AC635=12,0,OFFSET(effect!$N$1,MATCH(K635,effect!M:M,0)-1,0)))</f>
        <v>kpsx_pt</v>
      </c>
    </row>
    <row r="636" spans="1:42">
      <c r="A636" s="153">
        <f ca="1" t="shared" si="98"/>
        <v>1402001</v>
      </c>
      <c r="B636" s="152" t="s">
        <v>677</v>
      </c>
      <c r="C636" s="186">
        <v>1</v>
      </c>
      <c r="D636" s="186">
        <v>4</v>
      </c>
      <c r="E636" s="165" t="s">
        <v>1050</v>
      </c>
      <c r="F636" s="179" t="s">
        <v>1055</v>
      </c>
      <c r="G636" s="186">
        <f ca="1">OFFSET(卡牌辅助配置表!$C$1,MATCH(AC636,卡牌辅助配置表!A:A,0)-1,0)</f>
        <v>0</v>
      </c>
      <c r="H636" s="186">
        <f ca="1" t="shared" si="108"/>
        <v>0</v>
      </c>
      <c r="I636" s="186"/>
      <c r="J636" s="186">
        <f ca="1">OFFSET(card_type!$F$1,MATCH(Q636,card_type!A:A,0)-1,0)</f>
        <v>4</v>
      </c>
      <c r="K636" s="243">
        <f ca="1">OFFSET(card_type!$G$1,MATCH(Q636,card_type!A:A,0)-1,0)</f>
        <v>2</v>
      </c>
      <c r="L636" s="157">
        <v>2</v>
      </c>
      <c r="M636" s="157">
        <v>2</v>
      </c>
      <c r="N636" s="153">
        <f t="shared" si="99"/>
        <v>1</v>
      </c>
      <c r="O636" s="157"/>
      <c r="P636" s="157"/>
      <c r="Q636" s="153">
        <f ca="1">OFFSET(card_type!$A$1,MATCH(card!B636,card_type!B:B,0)-1,0)</f>
        <v>1402</v>
      </c>
      <c r="R636" s="153">
        <v>1</v>
      </c>
      <c r="S636" s="157">
        <f ca="1">ROUND(IF(R636=0,0,IF(R636=1,X636*$S$1,IF(R636=2,X636*$S$1*buff的资质计算!$E$2,IF(R636=3,X636*$S$1*buff的资质计算!$E$3,0)))),0)*0</f>
        <v>0</v>
      </c>
      <c r="T636" s="153">
        <v>5</v>
      </c>
      <c r="U636" s="153">
        <f ca="1" t="shared" si="100"/>
        <v>42</v>
      </c>
      <c r="V636" s="153">
        <f ca="1">ROUND((OFFSET(卡牌辅助配置表!$O$1,MATCH(U636,卡牌辅助配置表!M:M,0)-1,0)+(N636-1)*OFFSET(卡牌辅助配置表!$P$1,MATCH(U636,卡牌辅助配置表!M:M,0)-1,0))*M636,2)</f>
        <v>44.25</v>
      </c>
      <c r="W636" s="157">
        <f ca="1">ROUND(IF(R636=0,0,IF(R636=1,X636*$W$1,IF(R636=2,X636*$W$1*buff的资质计算!$E$2,IF(R636=3,X636*$W$1*buff的资质计算!$E$3,0)))),2)</f>
        <v>14.4</v>
      </c>
      <c r="X636" s="157">
        <f ca="1" t="shared" si="101"/>
        <v>48</v>
      </c>
      <c r="Y636" s="157">
        <f ca="1" t="shared" si="106"/>
        <v>48</v>
      </c>
      <c r="Z636" s="304">
        <f ca="1" t="shared" si="102"/>
        <v>24</v>
      </c>
      <c r="AA636" s="304">
        <f ca="1">OFFSET(卡牌辅助配置表!$AD$1,MATCH(AB636,卡牌辅助配置表!AB:AB,0)-1,0)</f>
        <v>460</v>
      </c>
      <c r="AB636" s="304">
        <f ca="1" t="shared" si="103"/>
        <v>4201</v>
      </c>
      <c r="AC636" s="153">
        <v>12</v>
      </c>
      <c r="AF636" s="153" t="str">
        <f ca="1" t="shared" si="107"/>
        <v>14020011|</v>
      </c>
      <c r="AJ636" s="205" t="str">
        <f ca="1" t="shared" si="104"/>
        <v>400023|1050|;</v>
      </c>
      <c r="AK636" s="205">
        <f ca="1">OFFSET([1]item_type!$A$1,MATCH(Q636,[1]item_type!$G:$G,0)-1,0)</f>
        <v>301402</v>
      </c>
      <c r="AL636" s="205"/>
      <c r="AM636" s="205">
        <f ca="1">IF(B636=B637,OFFSET(卡牌辅助配置表!$AE$1,MATCH(AB636,卡牌辅助配置表!AB:AB,0),0),0)</f>
        <v>1050</v>
      </c>
      <c r="AN636" s="153">
        <f ca="1" t="shared" si="105"/>
        <v>1402002</v>
      </c>
      <c r="AP636" s="153">
        <f ca="1">IF(AC636=0,0,IF(AC636=12,0,OFFSET(effect!$N$1,MATCH(K636,effect!M:M,0)-1,0)))</f>
        <v>0</v>
      </c>
    </row>
    <row r="637" spans="1:42">
      <c r="A637" s="153">
        <f ca="1" t="shared" si="98"/>
        <v>1402002</v>
      </c>
      <c r="B637" s="91" t="s">
        <v>677</v>
      </c>
      <c r="C637" s="186">
        <v>1</v>
      </c>
      <c r="D637" s="186">
        <v>4</v>
      </c>
      <c r="E637" s="165" t="s">
        <v>1050</v>
      </c>
      <c r="F637" s="179" t="s">
        <v>1055</v>
      </c>
      <c r="G637" s="186">
        <f ca="1">OFFSET(卡牌辅助配置表!$C$1,MATCH(AC637,卡牌辅助配置表!A:A,0)-1,0)</f>
        <v>0</v>
      </c>
      <c r="H637" s="186">
        <f ca="1" t="shared" si="108"/>
        <v>0</v>
      </c>
      <c r="I637" s="186"/>
      <c r="J637" s="186">
        <f ca="1">OFFSET(card_type!$F$1,MATCH(Q637,card_type!A:A,0)-1,0)</f>
        <v>4</v>
      </c>
      <c r="K637" s="243">
        <f ca="1">OFFSET(card_type!$G$1,MATCH(Q637,card_type!A:A,0)-1,0)</f>
        <v>2</v>
      </c>
      <c r="L637" s="157">
        <v>2</v>
      </c>
      <c r="M637" s="157">
        <v>2</v>
      </c>
      <c r="N637" s="153">
        <f t="shared" si="99"/>
        <v>2</v>
      </c>
      <c r="O637" s="157"/>
      <c r="P637" s="157"/>
      <c r="Q637" s="153">
        <f ca="1">OFFSET(card_type!$A$1,MATCH(card!B637,card_type!B:B,0)-1,0)</f>
        <v>1402</v>
      </c>
      <c r="R637" s="153">
        <v>1</v>
      </c>
      <c r="S637" s="157">
        <f ca="1">ROUND(IF(R637=0,0,IF(R637=1,X637*$S$1,IF(R637=2,X637*$S$1*buff的资质计算!$E$2,IF(R637=3,X637*$S$1*buff的资质计算!$E$3,0)))),0)*0</f>
        <v>0</v>
      </c>
      <c r="T637" s="153">
        <v>5</v>
      </c>
      <c r="U637" s="153">
        <f ca="1" t="shared" si="100"/>
        <v>42</v>
      </c>
      <c r="V637" s="153">
        <f ca="1">ROUND((OFFSET(卡牌辅助配置表!$O$1,MATCH(U637,卡牌辅助配置表!M:M,0)-1,0)+(N637-1)*OFFSET(卡牌辅助配置表!$P$1,MATCH(U637,卡牌辅助配置表!M:M,0)-1,0))*M637,2)</f>
        <v>51.55</v>
      </c>
      <c r="W637" s="157">
        <f ca="1">ROUND(IF(R637=0,0,IF(R637=1,X637*$W$1,IF(R637=2,X637*$W$1*buff的资质计算!$E$2,IF(R637=3,X637*$W$1*buff的资质计算!$E$3,0)))),2)</f>
        <v>14.55</v>
      </c>
      <c r="X637" s="157">
        <f ca="1" t="shared" si="101"/>
        <v>48.5</v>
      </c>
      <c r="Y637" s="157">
        <f ca="1" t="shared" si="106"/>
        <v>48.5</v>
      </c>
      <c r="Z637" s="304">
        <f ca="1" t="shared" si="102"/>
        <v>24.25</v>
      </c>
      <c r="AA637" s="304">
        <f ca="1">OFFSET(卡牌辅助配置表!$AD$1,MATCH(AB637,卡牌辅助配置表!AB:AB,0)-1,0)</f>
        <v>920</v>
      </c>
      <c r="AB637" s="304">
        <f ca="1" t="shared" si="103"/>
        <v>4202</v>
      </c>
      <c r="AC637" s="153">
        <v>12</v>
      </c>
      <c r="AF637" s="153" t="str">
        <f ca="1" t="shared" si="107"/>
        <v>14020011|</v>
      </c>
      <c r="AJ637" s="205" t="str">
        <f ca="1" t="shared" si="104"/>
        <v>400023|1350|;</v>
      </c>
      <c r="AK637" s="205">
        <f ca="1">OFFSET([1]item_type!$A$1,MATCH(Q637,[1]item_type!$G:$G,0)-1,0)</f>
        <v>301402</v>
      </c>
      <c r="AL637" s="205"/>
      <c r="AM637" s="205">
        <f ca="1">IF(B637=B638,OFFSET(卡牌辅助配置表!$AE$1,MATCH(AB637,卡牌辅助配置表!AB:AB,0),0),0)</f>
        <v>1350</v>
      </c>
      <c r="AN637" s="153">
        <f ca="1" t="shared" si="105"/>
        <v>1402003</v>
      </c>
      <c r="AP637" s="153">
        <f ca="1">IF(AC637=0,0,IF(AC637=12,0,OFFSET(effect!$N$1,MATCH(K637,effect!M:M,0)-1,0)))</f>
        <v>0</v>
      </c>
    </row>
    <row r="638" spans="1:42">
      <c r="A638" s="153">
        <f ca="1" t="shared" si="98"/>
        <v>1402003</v>
      </c>
      <c r="B638" s="91" t="s">
        <v>677</v>
      </c>
      <c r="C638" s="186">
        <v>1</v>
      </c>
      <c r="D638" s="186">
        <v>4</v>
      </c>
      <c r="E638" s="165" t="s">
        <v>1050</v>
      </c>
      <c r="F638" s="179" t="s">
        <v>1055</v>
      </c>
      <c r="G638" s="186">
        <f ca="1">OFFSET(卡牌辅助配置表!$C$1,MATCH(AC638,卡牌辅助配置表!A:A,0)-1,0)</f>
        <v>0</v>
      </c>
      <c r="H638" s="186">
        <f ca="1" t="shared" si="108"/>
        <v>0</v>
      </c>
      <c r="I638" s="186"/>
      <c r="J638" s="186">
        <f ca="1">OFFSET(card_type!$F$1,MATCH(Q638,card_type!A:A,0)-1,0)</f>
        <v>4</v>
      </c>
      <c r="K638" s="243">
        <f ca="1">OFFSET(card_type!$G$1,MATCH(Q638,card_type!A:A,0)-1,0)</f>
        <v>2</v>
      </c>
      <c r="L638" s="157">
        <v>2</v>
      </c>
      <c r="M638" s="157">
        <v>2</v>
      </c>
      <c r="N638" s="153">
        <f t="shared" si="99"/>
        <v>3</v>
      </c>
      <c r="O638" s="157"/>
      <c r="P638" s="157"/>
      <c r="Q638" s="153">
        <f ca="1">OFFSET(card_type!$A$1,MATCH(card!B638,card_type!B:B,0)-1,0)</f>
        <v>1402</v>
      </c>
      <c r="R638" s="153">
        <v>1</v>
      </c>
      <c r="S638" s="157">
        <f ca="1">ROUND(IF(R638=0,0,IF(R638=1,X638*$S$1,IF(R638=2,X638*$S$1*buff的资质计算!$E$2,IF(R638=3,X638*$S$1*buff的资质计算!$E$3,0)))),0)*0</f>
        <v>0</v>
      </c>
      <c r="T638" s="153">
        <v>5</v>
      </c>
      <c r="U638" s="153">
        <f ca="1" t="shared" si="100"/>
        <v>42</v>
      </c>
      <c r="V638" s="153">
        <f ca="1">ROUND((OFFSET(卡牌辅助配置表!$O$1,MATCH(U638,卡牌辅助配置表!M:M,0)-1,0)+(N638-1)*OFFSET(卡牌辅助配置表!$P$1,MATCH(U638,卡牌辅助配置表!M:M,0)-1,0))*M638,2)</f>
        <v>58.85</v>
      </c>
      <c r="W638" s="157">
        <f ca="1">ROUND(IF(R638=0,0,IF(R638=1,X638*$W$1,IF(R638=2,X638*$W$1*buff的资质计算!$E$2,IF(R638=3,X638*$W$1*buff的资质计算!$E$3,0)))),2)</f>
        <v>14.7</v>
      </c>
      <c r="X638" s="157">
        <f ca="1" t="shared" si="101"/>
        <v>49</v>
      </c>
      <c r="Y638" s="157">
        <f ca="1" t="shared" si="106"/>
        <v>49</v>
      </c>
      <c r="Z638" s="304">
        <f ca="1" t="shared" si="102"/>
        <v>24.5</v>
      </c>
      <c r="AA638" s="304">
        <f ca="1">OFFSET(卡牌辅助配置表!$AD$1,MATCH(AB638,卡牌辅助配置表!AB:AB,0)-1,0)</f>
        <v>1380</v>
      </c>
      <c r="AB638" s="304">
        <f ca="1" t="shared" si="103"/>
        <v>4203</v>
      </c>
      <c r="AC638" s="153">
        <v>12</v>
      </c>
      <c r="AF638" s="153" t="str">
        <f ca="1" t="shared" si="107"/>
        <v>14020011|</v>
      </c>
      <c r="AJ638" s="205" t="str">
        <f ca="1" t="shared" si="104"/>
        <v>400023|1650|;</v>
      </c>
      <c r="AK638" s="205">
        <f ca="1">OFFSET([1]item_type!$A$1,MATCH(Q638,[1]item_type!$G:$G,0)-1,0)</f>
        <v>301402</v>
      </c>
      <c r="AL638" s="205"/>
      <c r="AM638" s="205">
        <f ca="1">IF(B638=B639,OFFSET(卡牌辅助配置表!$AE$1,MATCH(AB638,卡牌辅助配置表!AB:AB,0),0),0)</f>
        <v>1650</v>
      </c>
      <c r="AN638" s="153">
        <f ca="1" t="shared" si="105"/>
        <v>1402004</v>
      </c>
      <c r="AP638" s="153">
        <f ca="1">IF(AC638=0,0,IF(AC638=12,0,OFFSET(effect!$N$1,MATCH(K638,effect!M:M,0)-1,0)))</f>
        <v>0</v>
      </c>
    </row>
    <row r="639" spans="1:42">
      <c r="A639" s="153">
        <f ca="1" t="shared" si="98"/>
        <v>1402004</v>
      </c>
      <c r="B639" s="91" t="s">
        <v>677</v>
      </c>
      <c r="C639" s="186">
        <v>1</v>
      </c>
      <c r="D639" s="186">
        <v>4</v>
      </c>
      <c r="E639" s="165" t="s">
        <v>1050</v>
      </c>
      <c r="F639" s="179" t="s">
        <v>1055</v>
      </c>
      <c r="G639" s="186">
        <f ca="1">OFFSET(卡牌辅助配置表!$C$1,MATCH(AC639,卡牌辅助配置表!A:A,0)-1,0)</f>
        <v>0</v>
      </c>
      <c r="H639" s="186">
        <f ca="1" t="shared" si="108"/>
        <v>0</v>
      </c>
      <c r="I639" s="186"/>
      <c r="J639" s="186">
        <f ca="1">OFFSET(card_type!$F$1,MATCH(Q639,card_type!A:A,0)-1,0)</f>
        <v>4</v>
      </c>
      <c r="K639" s="243">
        <f ca="1">OFFSET(card_type!$G$1,MATCH(Q639,card_type!A:A,0)-1,0)</f>
        <v>2</v>
      </c>
      <c r="L639" s="157">
        <v>2</v>
      </c>
      <c r="M639" s="157">
        <v>2</v>
      </c>
      <c r="N639" s="153">
        <f t="shared" si="99"/>
        <v>4</v>
      </c>
      <c r="O639" s="157"/>
      <c r="P639" s="157"/>
      <c r="Q639" s="153">
        <f ca="1">OFFSET(card_type!$A$1,MATCH(card!B639,card_type!B:B,0)-1,0)</f>
        <v>1402</v>
      </c>
      <c r="R639" s="153">
        <v>1</v>
      </c>
      <c r="S639" s="157">
        <f ca="1">ROUND(IF(R639=0,0,IF(R639=1,X639*$S$1,IF(R639=2,X639*$S$1*buff的资质计算!$E$2,IF(R639=3,X639*$S$1*buff的资质计算!$E$3,0)))),0)*0</f>
        <v>0</v>
      </c>
      <c r="T639" s="153">
        <v>5</v>
      </c>
      <c r="U639" s="153">
        <f ca="1" t="shared" si="100"/>
        <v>42</v>
      </c>
      <c r="V639" s="153">
        <f ca="1">ROUND((OFFSET(卡牌辅助配置表!$O$1,MATCH(U639,卡牌辅助配置表!M:M,0)-1,0)+(N639-1)*OFFSET(卡牌辅助配置表!$P$1,MATCH(U639,卡牌辅助配置表!M:M,0)-1,0))*M639,2)</f>
        <v>66.15</v>
      </c>
      <c r="W639" s="157">
        <f ca="1">ROUND(IF(R639=0,0,IF(R639=1,X639*$W$1,IF(R639=2,X639*$W$1*buff的资质计算!$E$2,IF(R639=3,X639*$W$1*buff的资质计算!$E$3,0)))),2)</f>
        <v>14.85</v>
      </c>
      <c r="X639" s="157">
        <f ca="1" t="shared" si="101"/>
        <v>49.5</v>
      </c>
      <c r="Y639" s="157">
        <f ca="1" t="shared" si="106"/>
        <v>49.5</v>
      </c>
      <c r="Z639" s="304">
        <f ca="1" t="shared" si="102"/>
        <v>24.75</v>
      </c>
      <c r="AA639" s="304">
        <f ca="1">OFFSET(卡牌辅助配置表!$AD$1,MATCH(AB639,卡牌辅助配置表!AB:AB,0)-1,0)</f>
        <v>1840</v>
      </c>
      <c r="AB639" s="304">
        <f ca="1" t="shared" si="103"/>
        <v>4204</v>
      </c>
      <c r="AC639" s="153">
        <v>12</v>
      </c>
      <c r="AF639" s="153" t="str">
        <f ca="1" t="shared" si="107"/>
        <v>14020011|</v>
      </c>
      <c r="AJ639" s="205" t="str">
        <f ca="1" t="shared" si="104"/>
        <v>400023|1950|;</v>
      </c>
      <c r="AK639" s="205">
        <f ca="1">OFFSET([1]item_type!$A$1,MATCH(Q639,[1]item_type!$G:$G,0)-1,0)</f>
        <v>301402</v>
      </c>
      <c r="AL639" s="205"/>
      <c r="AM639" s="205">
        <f ca="1">IF(B639=B640,OFFSET(卡牌辅助配置表!$AE$1,MATCH(AB639,卡牌辅助配置表!AB:AB,0),0),0)</f>
        <v>1950</v>
      </c>
      <c r="AN639" s="153">
        <f ca="1" t="shared" si="105"/>
        <v>1402005</v>
      </c>
      <c r="AP639" s="153">
        <f ca="1">IF(AC639=0,0,IF(AC639=12,0,OFFSET(effect!$N$1,MATCH(K639,effect!M:M,0)-1,0)))</f>
        <v>0</v>
      </c>
    </row>
    <row r="640" spans="1:42">
      <c r="A640" s="153">
        <f ca="1" t="shared" si="98"/>
        <v>1402005</v>
      </c>
      <c r="B640" s="91" t="s">
        <v>677</v>
      </c>
      <c r="C640" s="186">
        <v>1</v>
      </c>
      <c r="D640" s="186">
        <v>4</v>
      </c>
      <c r="E640" s="165" t="s">
        <v>1050</v>
      </c>
      <c r="F640" s="179" t="s">
        <v>1055</v>
      </c>
      <c r="G640" s="186">
        <f ca="1">OFFSET(卡牌辅助配置表!$C$1,MATCH(AC640,卡牌辅助配置表!A:A,0)-1,0)</f>
        <v>0</v>
      </c>
      <c r="H640" s="186">
        <f ca="1" t="shared" si="108"/>
        <v>0</v>
      </c>
      <c r="I640" s="186"/>
      <c r="J640" s="186">
        <f ca="1">OFFSET(card_type!$F$1,MATCH(Q640,card_type!A:A,0)-1,0)</f>
        <v>4</v>
      </c>
      <c r="K640" s="243">
        <f ca="1">OFFSET(card_type!$G$1,MATCH(Q640,card_type!A:A,0)-1,0)</f>
        <v>2</v>
      </c>
      <c r="L640" s="157">
        <v>2</v>
      </c>
      <c r="M640" s="157">
        <v>2</v>
      </c>
      <c r="N640" s="153">
        <f t="shared" si="99"/>
        <v>5</v>
      </c>
      <c r="O640" s="157"/>
      <c r="P640" s="157"/>
      <c r="Q640" s="153">
        <f ca="1">OFFSET(card_type!$A$1,MATCH(card!B640,card_type!B:B,0)-1,0)</f>
        <v>1402</v>
      </c>
      <c r="R640" s="153">
        <v>1</v>
      </c>
      <c r="S640" s="157">
        <f ca="1">ROUND(IF(R640=0,0,IF(R640=1,X640*$S$1,IF(R640=2,X640*$S$1*buff的资质计算!$E$2,IF(R640=3,X640*$S$1*buff的资质计算!$E$3,0)))),0)*0</f>
        <v>0</v>
      </c>
      <c r="T640" s="153">
        <v>5</v>
      </c>
      <c r="U640" s="153">
        <f ca="1" t="shared" si="100"/>
        <v>42</v>
      </c>
      <c r="V640" s="153">
        <f ca="1">ROUND((OFFSET(卡牌辅助配置表!$O$1,MATCH(U640,卡牌辅助配置表!M:M,0)-1,0)+(N640-1)*OFFSET(卡牌辅助配置表!$P$1,MATCH(U640,卡牌辅助配置表!M:M,0)-1,0))*M640,2)</f>
        <v>73.45</v>
      </c>
      <c r="W640" s="157">
        <f ca="1">ROUND(IF(R640=0,0,IF(R640=1,X640*$W$1,IF(R640=2,X640*$W$1*buff的资质计算!$E$2,IF(R640=3,X640*$W$1*buff的资质计算!$E$3,0)))),2)</f>
        <v>15</v>
      </c>
      <c r="X640" s="157">
        <f ca="1" t="shared" si="101"/>
        <v>50</v>
      </c>
      <c r="Y640" s="157">
        <f ca="1" t="shared" si="106"/>
        <v>50</v>
      </c>
      <c r="Z640" s="304">
        <f ca="1" t="shared" si="102"/>
        <v>25</v>
      </c>
      <c r="AA640" s="304">
        <f ca="1">OFFSET(卡牌辅助配置表!$AD$1,MATCH(AB640,卡牌辅助配置表!AB:AB,0)-1,0)</f>
        <v>2300</v>
      </c>
      <c r="AB640" s="304">
        <f ca="1" t="shared" si="103"/>
        <v>4205</v>
      </c>
      <c r="AC640" s="153">
        <v>12</v>
      </c>
      <c r="AF640" s="153" t="str">
        <f ca="1" t="shared" si="107"/>
        <v>14020011|</v>
      </c>
      <c r="AJ640" s="205" t="str">
        <f ca="1" t="shared" si="104"/>
        <v>400023|2250|;</v>
      </c>
      <c r="AK640" s="205">
        <f ca="1">OFFSET([1]item_type!$A$1,MATCH(Q640,[1]item_type!$G:$G,0)-1,0)</f>
        <v>301402</v>
      </c>
      <c r="AL640" s="205"/>
      <c r="AM640" s="205">
        <f ca="1">IF(B640=B641,OFFSET(卡牌辅助配置表!$AE$1,MATCH(AB640,卡牌辅助配置表!AB:AB,0),0),0)</f>
        <v>2250</v>
      </c>
      <c r="AN640" s="153">
        <f ca="1" t="shared" si="105"/>
        <v>1402006</v>
      </c>
      <c r="AP640" s="153">
        <f ca="1">IF(AC640=0,0,IF(AC640=12,0,OFFSET(effect!$N$1,MATCH(K640,effect!M:M,0)-1,0)))</f>
        <v>0</v>
      </c>
    </row>
    <row r="641" spans="1:42">
      <c r="A641" s="153">
        <f ca="1" t="shared" si="98"/>
        <v>1402006</v>
      </c>
      <c r="B641" s="91" t="s">
        <v>677</v>
      </c>
      <c r="C641" s="186">
        <v>1</v>
      </c>
      <c r="D641" s="186">
        <v>4</v>
      </c>
      <c r="E641" s="165" t="s">
        <v>1050</v>
      </c>
      <c r="F641" s="179" t="s">
        <v>1055</v>
      </c>
      <c r="G641" s="186">
        <f ca="1">OFFSET(卡牌辅助配置表!$C$1,MATCH(AC641,卡牌辅助配置表!A:A,0)-1,0)</f>
        <v>0</v>
      </c>
      <c r="H641" s="186">
        <f ca="1" t="shared" si="108"/>
        <v>0</v>
      </c>
      <c r="I641" s="186"/>
      <c r="J641" s="186">
        <f ca="1">OFFSET(card_type!$F$1,MATCH(Q641,card_type!A:A,0)-1,0)</f>
        <v>4</v>
      </c>
      <c r="K641" s="243">
        <f ca="1">OFFSET(card_type!$G$1,MATCH(Q641,card_type!A:A,0)-1,0)</f>
        <v>2</v>
      </c>
      <c r="L641" s="157">
        <v>2</v>
      </c>
      <c r="M641" s="157">
        <v>2</v>
      </c>
      <c r="N641" s="153">
        <f t="shared" si="99"/>
        <v>6</v>
      </c>
      <c r="O641" s="157"/>
      <c r="P641" s="157"/>
      <c r="Q641" s="153">
        <f ca="1">OFFSET(card_type!$A$1,MATCH(card!B641,card_type!B:B,0)-1,0)</f>
        <v>1402</v>
      </c>
      <c r="R641" s="153">
        <v>1</v>
      </c>
      <c r="S641" s="157">
        <f ca="1">ROUND(IF(R641=0,0,IF(R641=1,X641*$S$1,IF(R641=2,X641*$S$1*buff的资质计算!$E$2,IF(R641=3,X641*$S$1*buff的资质计算!$E$3,0)))),0)*0</f>
        <v>0</v>
      </c>
      <c r="T641" s="153">
        <v>5</v>
      </c>
      <c r="U641" s="153">
        <f ca="1" t="shared" si="100"/>
        <v>42</v>
      </c>
      <c r="V641" s="153">
        <f ca="1">ROUND((OFFSET(卡牌辅助配置表!$O$1,MATCH(U641,卡牌辅助配置表!M:M,0)-1,0)+(N641-1)*OFFSET(卡牌辅助配置表!$P$1,MATCH(U641,卡牌辅助配置表!M:M,0)-1,0))*M641,2)</f>
        <v>80.75</v>
      </c>
      <c r="W641" s="157">
        <f ca="1">ROUND(IF(R641=0,0,IF(R641=1,X641*$W$1,IF(R641=2,X641*$W$1*buff的资质计算!$E$2,IF(R641=3,X641*$W$1*buff的资质计算!$E$3,0)))),2)</f>
        <v>15.15</v>
      </c>
      <c r="X641" s="157">
        <f ca="1" t="shared" si="101"/>
        <v>50.5</v>
      </c>
      <c r="Y641" s="157">
        <f ca="1" t="shared" si="106"/>
        <v>50.5</v>
      </c>
      <c r="Z641" s="304">
        <f ca="1" t="shared" si="102"/>
        <v>25.25</v>
      </c>
      <c r="AA641" s="304">
        <f ca="1">OFFSET(卡牌辅助配置表!$AD$1,MATCH(AB641,卡牌辅助配置表!AB:AB,0)-1,0)</f>
        <v>2760</v>
      </c>
      <c r="AB641" s="304">
        <f ca="1" t="shared" si="103"/>
        <v>4206</v>
      </c>
      <c r="AC641" s="153">
        <v>12</v>
      </c>
      <c r="AF641" s="153" t="str">
        <f ca="1" t="shared" si="107"/>
        <v>14020011|</v>
      </c>
      <c r="AJ641" s="205" t="str">
        <f ca="1" t="shared" si="104"/>
        <v>400023|2550|;</v>
      </c>
      <c r="AK641" s="205">
        <f ca="1">OFFSET([1]item_type!$A$1,MATCH(Q641,[1]item_type!$G:$G,0)-1,0)</f>
        <v>301402</v>
      </c>
      <c r="AL641" s="205"/>
      <c r="AM641" s="205">
        <f ca="1">IF(B641=B642,OFFSET(卡牌辅助配置表!$AE$1,MATCH(AB641,卡牌辅助配置表!AB:AB,0),0),0)</f>
        <v>2550</v>
      </c>
      <c r="AN641" s="153">
        <f ca="1" t="shared" si="105"/>
        <v>1402007</v>
      </c>
      <c r="AP641" s="153">
        <f ca="1">IF(AC641=0,0,IF(AC641=12,0,OFFSET(effect!$N$1,MATCH(K641,effect!M:M,0)-1,0)))</f>
        <v>0</v>
      </c>
    </row>
    <row r="642" spans="1:42">
      <c r="A642" s="153">
        <f ca="1" t="shared" si="98"/>
        <v>1402007</v>
      </c>
      <c r="B642" s="91" t="s">
        <v>677</v>
      </c>
      <c r="C642" s="186">
        <v>1</v>
      </c>
      <c r="D642" s="186">
        <v>4</v>
      </c>
      <c r="E642" s="165" t="s">
        <v>1050</v>
      </c>
      <c r="F642" s="179" t="s">
        <v>1055</v>
      </c>
      <c r="G642" s="186">
        <f ca="1">OFFSET(卡牌辅助配置表!$C$1,MATCH(AC642,卡牌辅助配置表!A:A,0)-1,0)</f>
        <v>0</v>
      </c>
      <c r="H642" s="186">
        <f ca="1" t="shared" si="108"/>
        <v>0</v>
      </c>
      <c r="I642" s="186"/>
      <c r="J642" s="186">
        <f ca="1">OFFSET(card_type!$F$1,MATCH(Q642,card_type!A:A,0)-1,0)</f>
        <v>4</v>
      </c>
      <c r="K642" s="243">
        <f ca="1">OFFSET(card_type!$G$1,MATCH(Q642,card_type!A:A,0)-1,0)</f>
        <v>2</v>
      </c>
      <c r="L642" s="157">
        <v>2</v>
      </c>
      <c r="M642" s="157">
        <v>2</v>
      </c>
      <c r="N642" s="153">
        <f t="shared" si="99"/>
        <v>7</v>
      </c>
      <c r="O642" s="157"/>
      <c r="P642" s="157"/>
      <c r="Q642" s="153">
        <f ca="1">OFFSET(card_type!$A$1,MATCH(card!B642,card_type!B:B,0)-1,0)</f>
        <v>1402</v>
      </c>
      <c r="R642" s="153">
        <v>1</v>
      </c>
      <c r="S642" s="157">
        <f ca="1">ROUND(IF(R642=0,0,IF(R642=1,X642*$S$1,IF(R642=2,X642*$S$1*buff的资质计算!$E$2,IF(R642=3,X642*$S$1*buff的资质计算!$E$3,0)))),0)*0</f>
        <v>0</v>
      </c>
      <c r="T642" s="153">
        <v>5</v>
      </c>
      <c r="U642" s="153">
        <f ca="1" t="shared" si="100"/>
        <v>42</v>
      </c>
      <c r="V642" s="153">
        <f ca="1">ROUND((OFFSET(卡牌辅助配置表!$O$1,MATCH(U642,卡牌辅助配置表!M:M,0)-1,0)+(N642-1)*OFFSET(卡牌辅助配置表!$P$1,MATCH(U642,卡牌辅助配置表!M:M,0)-1,0))*M642,2)</f>
        <v>88.05</v>
      </c>
      <c r="W642" s="157">
        <f ca="1">ROUND(IF(R642=0,0,IF(R642=1,X642*$W$1,IF(R642=2,X642*$W$1*buff的资质计算!$E$2,IF(R642=3,X642*$W$1*buff的资质计算!$E$3,0)))),2)</f>
        <v>15.3</v>
      </c>
      <c r="X642" s="157">
        <f ca="1" t="shared" si="101"/>
        <v>51</v>
      </c>
      <c r="Y642" s="157">
        <f ca="1" t="shared" si="106"/>
        <v>51</v>
      </c>
      <c r="Z642" s="304">
        <f ca="1" t="shared" si="102"/>
        <v>25.5</v>
      </c>
      <c r="AA642" s="304">
        <f ca="1">OFFSET(卡牌辅助配置表!$AD$1,MATCH(AB642,卡牌辅助配置表!AB:AB,0)-1,0)</f>
        <v>3220</v>
      </c>
      <c r="AB642" s="304">
        <f ca="1" t="shared" si="103"/>
        <v>4207</v>
      </c>
      <c r="AC642" s="153">
        <v>12</v>
      </c>
      <c r="AF642" s="153" t="str">
        <f ca="1" t="shared" si="107"/>
        <v>14020011|</v>
      </c>
      <c r="AJ642" s="205" t="str">
        <f ca="1" t="shared" si="104"/>
        <v>400023|2850|;</v>
      </c>
      <c r="AK642" s="205">
        <f ca="1">OFFSET([1]item_type!$A$1,MATCH(Q642,[1]item_type!$G:$G,0)-1,0)</f>
        <v>301402</v>
      </c>
      <c r="AL642" s="205"/>
      <c r="AM642" s="205">
        <f ca="1">IF(B642=B643,OFFSET(卡牌辅助配置表!$AE$1,MATCH(AB642,卡牌辅助配置表!AB:AB,0),0),0)</f>
        <v>2850</v>
      </c>
      <c r="AN642" s="153">
        <f ca="1" t="shared" si="105"/>
        <v>1402008</v>
      </c>
      <c r="AP642" s="153">
        <f ca="1">IF(AC642=0,0,IF(AC642=12,0,OFFSET(effect!$N$1,MATCH(K642,effect!M:M,0)-1,0)))</f>
        <v>0</v>
      </c>
    </row>
    <row r="643" spans="1:42">
      <c r="A643" s="153">
        <f ca="1" t="shared" si="98"/>
        <v>1402008</v>
      </c>
      <c r="B643" s="91" t="s">
        <v>677</v>
      </c>
      <c r="C643" s="186">
        <v>1</v>
      </c>
      <c r="D643" s="186">
        <v>4</v>
      </c>
      <c r="E643" s="165" t="s">
        <v>1050</v>
      </c>
      <c r="F643" s="179" t="s">
        <v>1055</v>
      </c>
      <c r="G643" s="186">
        <f ca="1">OFFSET(卡牌辅助配置表!$C$1,MATCH(AC643,卡牌辅助配置表!A:A,0)-1,0)</f>
        <v>0</v>
      </c>
      <c r="H643" s="186">
        <f ca="1" t="shared" si="108"/>
        <v>0</v>
      </c>
      <c r="I643" s="186"/>
      <c r="J643" s="186">
        <f ca="1">OFFSET(card_type!$F$1,MATCH(Q643,card_type!A:A,0)-1,0)</f>
        <v>4</v>
      </c>
      <c r="K643" s="243">
        <f ca="1">OFFSET(card_type!$G$1,MATCH(Q643,card_type!A:A,0)-1,0)</f>
        <v>2</v>
      </c>
      <c r="L643" s="157">
        <v>2</v>
      </c>
      <c r="M643" s="157">
        <v>2</v>
      </c>
      <c r="N643" s="153">
        <f t="shared" si="99"/>
        <v>8</v>
      </c>
      <c r="O643" s="157"/>
      <c r="P643" s="157"/>
      <c r="Q643" s="153">
        <f ca="1">OFFSET(card_type!$A$1,MATCH(card!B643,card_type!B:B,0)-1,0)</f>
        <v>1402</v>
      </c>
      <c r="R643" s="153">
        <v>1</v>
      </c>
      <c r="S643" s="157">
        <f ca="1">ROUND(IF(R643=0,0,IF(R643=1,X643*$S$1,IF(R643=2,X643*$S$1*buff的资质计算!$E$2,IF(R643=3,X643*$S$1*buff的资质计算!$E$3,0)))),0)*0</f>
        <v>0</v>
      </c>
      <c r="T643" s="153">
        <v>5</v>
      </c>
      <c r="U643" s="153">
        <f ca="1" t="shared" si="100"/>
        <v>42</v>
      </c>
      <c r="V643" s="153">
        <f ca="1">ROUND((OFFSET(卡牌辅助配置表!$O$1,MATCH(U643,卡牌辅助配置表!M:M,0)-1,0)+(N643-1)*OFFSET(卡牌辅助配置表!$P$1,MATCH(U643,卡牌辅助配置表!M:M,0)-1,0))*M643,2)</f>
        <v>95.35</v>
      </c>
      <c r="W643" s="157">
        <f ca="1">ROUND(IF(R643=0,0,IF(R643=1,X643*$W$1,IF(R643=2,X643*$W$1*buff的资质计算!$E$2,IF(R643=3,X643*$W$1*buff的资质计算!$E$3,0)))),2)</f>
        <v>15.45</v>
      </c>
      <c r="X643" s="157">
        <f ca="1" t="shared" si="101"/>
        <v>51.5</v>
      </c>
      <c r="Y643" s="157">
        <f ca="1" t="shared" si="106"/>
        <v>51.5</v>
      </c>
      <c r="Z643" s="304">
        <f ca="1" t="shared" si="102"/>
        <v>25.75</v>
      </c>
      <c r="AA643" s="304">
        <f ca="1">OFFSET(卡牌辅助配置表!$AD$1,MATCH(AB643,卡牌辅助配置表!AB:AB,0)-1,0)</f>
        <v>3680</v>
      </c>
      <c r="AB643" s="304">
        <f ca="1" t="shared" si="103"/>
        <v>4208</v>
      </c>
      <c r="AC643" s="153">
        <v>12</v>
      </c>
      <c r="AF643" s="153" t="str">
        <f ca="1" t="shared" si="107"/>
        <v>14020011|</v>
      </c>
      <c r="AJ643" s="205" t="str">
        <f ca="1" t="shared" si="104"/>
        <v>400023|3150|;</v>
      </c>
      <c r="AK643" s="205">
        <f ca="1">OFFSET([1]item_type!$A$1,MATCH(Q643,[1]item_type!$G:$G,0)-1,0)</f>
        <v>301402</v>
      </c>
      <c r="AL643" s="205"/>
      <c r="AM643" s="205">
        <f ca="1">IF(B643=B644,OFFSET(卡牌辅助配置表!$AE$1,MATCH(AB643,卡牌辅助配置表!AB:AB,0),0),0)</f>
        <v>3150</v>
      </c>
      <c r="AN643" s="153">
        <f ca="1" t="shared" si="105"/>
        <v>1402009</v>
      </c>
      <c r="AP643" s="153">
        <f ca="1">IF(AC643=0,0,IF(AC643=12,0,OFFSET(effect!$N$1,MATCH(K643,effect!M:M,0)-1,0)))</f>
        <v>0</v>
      </c>
    </row>
    <row r="644" spans="1:42">
      <c r="A644" s="153">
        <f ca="1" t="shared" si="98"/>
        <v>1402009</v>
      </c>
      <c r="B644" s="91" t="s">
        <v>677</v>
      </c>
      <c r="C644" s="186">
        <v>1</v>
      </c>
      <c r="D644" s="186">
        <v>4</v>
      </c>
      <c r="E644" s="165" t="s">
        <v>1050</v>
      </c>
      <c r="F644" s="179" t="s">
        <v>1055</v>
      </c>
      <c r="G644" s="186">
        <f ca="1">OFFSET(卡牌辅助配置表!$C$1,MATCH(AC644,卡牌辅助配置表!A:A,0)-1,0)</f>
        <v>0</v>
      </c>
      <c r="H644" s="186">
        <f ca="1" t="shared" si="108"/>
        <v>0</v>
      </c>
      <c r="I644" s="186"/>
      <c r="J644" s="186">
        <f ca="1">OFFSET(card_type!$F$1,MATCH(Q644,card_type!A:A,0)-1,0)</f>
        <v>4</v>
      </c>
      <c r="K644" s="243">
        <f ca="1">OFFSET(card_type!$G$1,MATCH(Q644,card_type!A:A,0)-1,0)</f>
        <v>2</v>
      </c>
      <c r="L644" s="157">
        <v>2</v>
      </c>
      <c r="M644" s="157">
        <v>2</v>
      </c>
      <c r="N644" s="153">
        <f t="shared" si="99"/>
        <v>9</v>
      </c>
      <c r="O644" s="157"/>
      <c r="P644" s="157"/>
      <c r="Q644" s="153">
        <f ca="1">OFFSET(card_type!$A$1,MATCH(card!B644,card_type!B:B,0)-1,0)</f>
        <v>1402</v>
      </c>
      <c r="R644" s="153">
        <v>1</v>
      </c>
      <c r="S644" s="157">
        <f ca="1">ROUND(IF(R644=0,0,IF(R644=1,X644*$S$1,IF(R644=2,X644*$S$1*buff的资质计算!$E$2,IF(R644=3,X644*$S$1*buff的资质计算!$E$3,0)))),0)*0</f>
        <v>0</v>
      </c>
      <c r="T644" s="153">
        <v>5</v>
      </c>
      <c r="U644" s="153">
        <f ca="1" t="shared" si="100"/>
        <v>42</v>
      </c>
      <c r="V644" s="153">
        <f ca="1">ROUND((OFFSET(卡牌辅助配置表!$O$1,MATCH(U644,卡牌辅助配置表!M:M,0)-1,0)+(N644-1)*OFFSET(卡牌辅助配置表!$P$1,MATCH(U644,卡牌辅助配置表!M:M,0)-1,0))*M644,2)</f>
        <v>102.65</v>
      </c>
      <c r="W644" s="157">
        <f ca="1">ROUND(IF(R644=0,0,IF(R644=1,X644*$W$1,IF(R644=2,X644*$W$1*buff的资质计算!$E$2,IF(R644=3,X644*$W$1*buff的资质计算!$E$3,0)))),2)</f>
        <v>15.6</v>
      </c>
      <c r="X644" s="157">
        <f ca="1" t="shared" si="101"/>
        <v>52</v>
      </c>
      <c r="Y644" s="157">
        <f ca="1" t="shared" si="106"/>
        <v>52</v>
      </c>
      <c r="Z644" s="304">
        <f ca="1" t="shared" si="102"/>
        <v>26</v>
      </c>
      <c r="AA644" s="304">
        <f ca="1">OFFSET(卡牌辅助配置表!$AD$1,MATCH(AB644,卡牌辅助配置表!AB:AB,0)-1,0)</f>
        <v>4140</v>
      </c>
      <c r="AB644" s="304">
        <f ca="1" t="shared" si="103"/>
        <v>4209</v>
      </c>
      <c r="AC644" s="153">
        <v>12</v>
      </c>
      <c r="AF644" s="153" t="str">
        <f ca="1" t="shared" si="107"/>
        <v>14020011|</v>
      </c>
      <c r="AJ644" s="205" t="str">
        <f ca="1" t="shared" si="104"/>
        <v>301402|15|;400023|3450|;</v>
      </c>
      <c r="AK644" s="205">
        <f ca="1">OFFSET([1]item_type!$A$1,MATCH(Q644,[1]item_type!$G:$G,0)-1,0)</f>
        <v>301402</v>
      </c>
      <c r="AL644" s="205">
        <v>15</v>
      </c>
      <c r="AM644" s="205">
        <f ca="1">IF(B644=B645,OFFSET(卡牌辅助配置表!$AE$1,MATCH(AB644,卡牌辅助配置表!AB:AB,0),0),0)</f>
        <v>3450</v>
      </c>
      <c r="AN644" s="153">
        <f ca="1" t="shared" si="105"/>
        <v>1402010</v>
      </c>
      <c r="AP644" s="153">
        <f ca="1">IF(AC644=0,0,IF(AC644=12,0,OFFSET(effect!$N$1,MATCH(K644,effect!M:M,0)-1,0)))</f>
        <v>0</v>
      </c>
    </row>
    <row r="645" spans="1:42">
      <c r="A645" s="153">
        <f ca="1" t="shared" si="98"/>
        <v>1402010</v>
      </c>
      <c r="B645" s="91" t="s">
        <v>677</v>
      </c>
      <c r="C645" s="186">
        <v>1</v>
      </c>
      <c r="D645" s="186">
        <v>4</v>
      </c>
      <c r="E645" s="165" t="s">
        <v>1050</v>
      </c>
      <c r="F645" s="179" t="s">
        <v>1055</v>
      </c>
      <c r="G645" s="186">
        <f ca="1">OFFSET(卡牌辅助配置表!$C$1,MATCH(AC645,卡牌辅助配置表!A:A,0)-1,0)</f>
        <v>0</v>
      </c>
      <c r="H645" s="186">
        <f ca="1" t="shared" si="108"/>
        <v>0</v>
      </c>
      <c r="I645" s="186"/>
      <c r="J645" s="186">
        <f ca="1">OFFSET(card_type!$F$1,MATCH(Q645,card_type!A:A,0)-1,0)</f>
        <v>4</v>
      </c>
      <c r="K645" s="243">
        <f ca="1">OFFSET(card_type!$G$1,MATCH(Q645,card_type!A:A,0)-1,0)</f>
        <v>2</v>
      </c>
      <c r="L645" s="157">
        <v>2</v>
      </c>
      <c r="M645" s="157">
        <v>2</v>
      </c>
      <c r="N645" s="153">
        <f t="shared" si="99"/>
        <v>10</v>
      </c>
      <c r="O645" s="157"/>
      <c r="P645" s="157"/>
      <c r="Q645" s="153">
        <f ca="1">OFFSET(card_type!$A$1,MATCH(card!B645,card_type!B:B,0)-1,0)</f>
        <v>1402</v>
      </c>
      <c r="R645" s="153">
        <v>1</v>
      </c>
      <c r="S645" s="157">
        <f ca="1">ROUND(IF(R645=0,0,IF(R645=1,X645*$S$1,IF(R645=2,X645*$S$1*buff的资质计算!$E$2,IF(R645=3,X645*$S$1*buff的资质计算!$E$3,0)))),0)*0</f>
        <v>0</v>
      </c>
      <c r="T645" s="153">
        <v>5</v>
      </c>
      <c r="U645" s="153">
        <f ca="1" t="shared" si="100"/>
        <v>42</v>
      </c>
      <c r="V645" s="153">
        <f ca="1">ROUND((OFFSET(卡牌辅助配置表!$O$1,MATCH(U645,卡牌辅助配置表!M:M,0)-1,0)+(N645-1)*OFFSET(卡牌辅助配置表!$P$1,MATCH(U645,卡牌辅助配置表!M:M,0)-1,0))*M645,2)</f>
        <v>109.95</v>
      </c>
      <c r="W645" s="157">
        <f ca="1">ROUND(IF(R645=0,0,IF(R645=1,X645*$W$1,IF(R645=2,X645*$W$1*buff的资质计算!$E$2,IF(R645=3,X645*$W$1*buff的资质计算!$E$3,0)))),2)</f>
        <v>15.75</v>
      </c>
      <c r="X645" s="157">
        <f ca="1" t="shared" si="101"/>
        <v>52.5</v>
      </c>
      <c r="Y645" s="157">
        <f ca="1" t="shared" si="106"/>
        <v>52.5</v>
      </c>
      <c r="Z645" s="304">
        <f ca="1" t="shared" si="102"/>
        <v>26.25</v>
      </c>
      <c r="AA645" s="304">
        <f ca="1">OFFSET(卡牌辅助配置表!$AD$1,MATCH(AB645,卡牌辅助配置表!AB:AB,0)-1,0)</f>
        <v>4600</v>
      </c>
      <c r="AB645" s="304">
        <f ca="1" t="shared" si="103"/>
        <v>4210</v>
      </c>
      <c r="AC645" s="153">
        <v>12</v>
      </c>
      <c r="AF645" s="153" t="str">
        <f ca="1" t="shared" si="107"/>
        <v>14020011|</v>
      </c>
      <c r="AJ645" s="205" t="str">
        <f ca="1" t="shared" si="104"/>
        <v>400023|4050|;</v>
      </c>
      <c r="AK645" s="205">
        <f ca="1">OFFSET([1]item_type!$A$1,MATCH(Q645,[1]item_type!$G:$G,0)-1,0)</f>
        <v>301402</v>
      </c>
      <c r="AL645" s="205"/>
      <c r="AM645" s="205">
        <f ca="1">IF(B645=B646,OFFSET(卡牌辅助配置表!$AE$1,MATCH(AB645,卡牌辅助配置表!AB:AB,0),0),0)</f>
        <v>4050</v>
      </c>
      <c r="AN645" s="153">
        <f ca="1" t="shared" si="105"/>
        <v>1402011</v>
      </c>
      <c r="AP645" s="153">
        <f ca="1">IF(AC645=0,0,IF(AC645=12,0,OFFSET(effect!$N$1,MATCH(K645,effect!M:M,0)-1,0)))</f>
        <v>0</v>
      </c>
    </row>
    <row r="646" spans="1:42">
      <c r="A646" s="153">
        <f ca="1" t="shared" ref="A646:A709" si="109">Q646*1000+N646</f>
        <v>1402011</v>
      </c>
      <c r="B646" s="91" t="s">
        <v>677</v>
      </c>
      <c r="C646" s="186">
        <v>1</v>
      </c>
      <c r="D646" s="186">
        <v>4</v>
      </c>
      <c r="E646" s="165" t="s">
        <v>1050</v>
      </c>
      <c r="F646" s="179" t="s">
        <v>1055</v>
      </c>
      <c r="G646" s="186">
        <f ca="1">OFFSET(卡牌辅助配置表!$C$1,MATCH(AC646,卡牌辅助配置表!A:A,0)-1,0)</f>
        <v>0</v>
      </c>
      <c r="H646" s="186">
        <f ca="1" t="shared" si="108"/>
        <v>0</v>
      </c>
      <c r="I646" s="186"/>
      <c r="J646" s="186">
        <f ca="1">OFFSET(card_type!$F$1,MATCH(Q646,card_type!A:A,0)-1,0)</f>
        <v>4</v>
      </c>
      <c r="K646" s="243">
        <f ca="1">OFFSET(card_type!$G$1,MATCH(Q646,card_type!A:A,0)-1,0)</f>
        <v>2</v>
      </c>
      <c r="L646" s="157">
        <v>2</v>
      </c>
      <c r="M646" s="157">
        <v>2</v>
      </c>
      <c r="N646" s="153">
        <f t="shared" ref="N646:N709" si="110">IF(B645=B646,N645+1,1)</f>
        <v>11</v>
      </c>
      <c r="O646" s="157"/>
      <c r="P646" s="157"/>
      <c r="Q646" s="153">
        <f ca="1">OFFSET(card_type!$A$1,MATCH(card!B646,card_type!B:B,0)-1,0)</f>
        <v>1402</v>
      </c>
      <c r="R646" s="153">
        <v>1</v>
      </c>
      <c r="S646" s="157">
        <f ca="1">ROUND(IF(R646=0,0,IF(R646=1,X646*$S$1,IF(R646=2,X646*$S$1*buff的资质计算!$E$2,IF(R646=3,X646*$S$1*buff的资质计算!$E$3,0)))),0)*0</f>
        <v>0</v>
      </c>
      <c r="T646" s="153">
        <v>5</v>
      </c>
      <c r="U646" s="153">
        <f ca="1" t="shared" ref="U646:U709" si="111">J646*10+K646</f>
        <v>42</v>
      </c>
      <c r="V646" s="153">
        <f ca="1">ROUND((OFFSET(卡牌辅助配置表!$O$1,MATCH(U646,卡牌辅助配置表!M:M,0)-1,0)+(N646-1)*OFFSET(卡牌辅助配置表!$P$1,MATCH(U646,卡牌辅助配置表!M:M,0)-1,0))*M646,2)</f>
        <v>117.25</v>
      </c>
      <c r="W646" s="157">
        <f ca="1">ROUND(IF(R646=0,0,IF(R646=1,X646*$W$1,IF(R646=2,X646*$W$1*buff的资质计算!$E$2,IF(R646=3,X646*$W$1*buff的资质计算!$E$3,0)))),2)</f>
        <v>15.9</v>
      </c>
      <c r="X646" s="157">
        <f ca="1" t="shared" ref="X646:X709" si="112">M646*($M$1+(J646-1)*$J$1+(K646-1)*$K$1)+G646+$J$1*(N646-1)/$N$1</f>
        <v>53</v>
      </c>
      <c r="Y646" s="157">
        <f ca="1" t="shared" si="106"/>
        <v>53</v>
      </c>
      <c r="Z646" s="304">
        <f ca="1" t="shared" ref="Z646:Z709" si="113">Y646/M646</f>
        <v>26.5</v>
      </c>
      <c r="AA646" s="304">
        <f ca="1">OFFSET(卡牌辅助配置表!$AD$1,MATCH(AB646,卡牌辅助配置表!AB:AB,0)-1,0)</f>
        <v>5290</v>
      </c>
      <c r="AB646" s="304">
        <f ca="1" t="shared" ref="AB646:AB709" si="114">J646*1000+K646*100+N646</f>
        <v>4211</v>
      </c>
      <c r="AC646" s="153">
        <v>12</v>
      </c>
      <c r="AF646" s="153" t="str">
        <f ca="1" t="shared" si="107"/>
        <v>14020011|</v>
      </c>
      <c r="AJ646" s="205" t="str">
        <f ca="1" t="shared" ref="AJ646:AJ709" si="115">IF(AN646=0,0,IF(AL646=0,$AM$1&amp;$AF$1&amp;AM646&amp;$AF$1&amp;$AJ$1,AK646&amp;$AF$1&amp;AL646&amp;$AF$1&amp;$AJ$1&amp;$AM$1&amp;$AF$1&amp;AM646&amp;$AF$1&amp;$AJ$1))</f>
        <v>400023|4650|;</v>
      </c>
      <c r="AK646" s="205">
        <f ca="1">OFFSET([1]item_type!$A$1,MATCH(Q646,[1]item_type!$G:$G,0)-1,0)</f>
        <v>301402</v>
      </c>
      <c r="AL646" s="205"/>
      <c r="AM646" s="205">
        <f ca="1">IF(B646=B647,OFFSET(卡牌辅助配置表!$AE$1,MATCH(AB646,卡牌辅助配置表!AB:AB,0),0),0)</f>
        <v>4650</v>
      </c>
      <c r="AN646" s="153">
        <f ca="1" t="shared" ref="AN646:AN709" si="116">IF(B646=B647,A646+1,0)</f>
        <v>1402012</v>
      </c>
      <c r="AP646" s="153">
        <f ca="1">IF(AC646=0,0,IF(AC646=12,0,OFFSET(effect!$N$1,MATCH(K646,effect!M:M,0)-1,0)))</f>
        <v>0</v>
      </c>
    </row>
    <row r="647" spans="1:42">
      <c r="A647" s="153">
        <f ca="1" t="shared" si="109"/>
        <v>1402012</v>
      </c>
      <c r="B647" s="91" t="s">
        <v>677</v>
      </c>
      <c r="C647" s="186">
        <v>1</v>
      </c>
      <c r="D647" s="186">
        <v>4</v>
      </c>
      <c r="E647" s="165" t="s">
        <v>1050</v>
      </c>
      <c r="F647" s="179" t="s">
        <v>1055</v>
      </c>
      <c r="G647" s="186">
        <f ca="1">OFFSET(卡牌辅助配置表!$C$1,MATCH(AC647,卡牌辅助配置表!A:A,0)-1,0)</f>
        <v>0</v>
      </c>
      <c r="H647" s="186">
        <f ca="1" t="shared" si="108"/>
        <v>0</v>
      </c>
      <c r="I647" s="186"/>
      <c r="J647" s="186">
        <f ca="1">OFFSET(card_type!$F$1,MATCH(Q647,card_type!A:A,0)-1,0)</f>
        <v>4</v>
      </c>
      <c r="K647" s="243">
        <f ca="1">OFFSET(card_type!$G$1,MATCH(Q647,card_type!A:A,0)-1,0)</f>
        <v>2</v>
      </c>
      <c r="L647" s="157">
        <v>2</v>
      </c>
      <c r="M647" s="157">
        <v>2</v>
      </c>
      <c r="N647" s="153">
        <f t="shared" si="110"/>
        <v>12</v>
      </c>
      <c r="O647" s="157"/>
      <c r="P647" s="157"/>
      <c r="Q647" s="153">
        <f ca="1">OFFSET(card_type!$A$1,MATCH(card!B647,card_type!B:B,0)-1,0)</f>
        <v>1402</v>
      </c>
      <c r="R647" s="153">
        <v>1</v>
      </c>
      <c r="S647" s="157">
        <f ca="1">ROUND(IF(R647=0,0,IF(R647=1,X647*$S$1,IF(R647=2,X647*$S$1*buff的资质计算!$E$2,IF(R647=3,X647*$S$1*buff的资质计算!$E$3,0)))),0)*0</f>
        <v>0</v>
      </c>
      <c r="T647" s="153">
        <v>5</v>
      </c>
      <c r="U647" s="153">
        <f ca="1" t="shared" si="111"/>
        <v>42</v>
      </c>
      <c r="V647" s="153">
        <f ca="1">ROUND((OFFSET(卡牌辅助配置表!$O$1,MATCH(U647,卡牌辅助配置表!M:M,0)-1,0)+(N647-1)*OFFSET(卡牌辅助配置表!$P$1,MATCH(U647,卡牌辅助配置表!M:M,0)-1,0))*M647,2)</f>
        <v>124.55</v>
      </c>
      <c r="W647" s="157">
        <f ca="1">ROUND(IF(R647=0,0,IF(R647=1,X647*$W$1,IF(R647=2,X647*$W$1*buff的资质计算!$E$2,IF(R647=3,X647*$W$1*buff的资质计算!$E$3,0)))),2)</f>
        <v>16.05</v>
      </c>
      <c r="X647" s="157">
        <f ca="1" t="shared" si="112"/>
        <v>53.5</v>
      </c>
      <c r="Y647" s="157">
        <f ca="1" t="shared" si="106"/>
        <v>53.5</v>
      </c>
      <c r="Z647" s="304">
        <f ca="1" t="shared" si="113"/>
        <v>26.75</v>
      </c>
      <c r="AA647" s="304">
        <f ca="1">OFFSET(卡牌辅助配置表!$AD$1,MATCH(AB647,卡牌辅助配置表!AB:AB,0)-1,0)</f>
        <v>5980</v>
      </c>
      <c r="AB647" s="304">
        <f ca="1" t="shared" si="114"/>
        <v>4212</v>
      </c>
      <c r="AC647" s="153">
        <v>12</v>
      </c>
      <c r="AF647" s="153" t="str">
        <f ca="1" t="shared" si="107"/>
        <v>14020011|</v>
      </c>
      <c r="AJ647" s="205" t="str">
        <f ca="1" t="shared" si="115"/>
        <v>400023|5250|;</v>
      </c>
      <c r="AK647" s="205">
        <f ca="1">OFFSET([1]item_type!$A$1,MATCH(Q647,[1]item_type!$G:$G,0)-1,0)</f>
        <v>301402</v>
      </c>
      <c r="AL647" s="205"/>
      <c r="AM647" s="205">
        <f ca="1">IF(B647=B648,OFFSET(卡牌辅助配置表!$AE$1,MATCH(AB647,卡牌辅助配置表!AB:AB,0),0),0)</f>
        <v>5250</v>
      </c>
      <c r="AN647" s="153">
        <f ca="1" t="shared" si="116"/>
        <v>1402013</v>
      </c>
      <c r="AP647" s="153">
        <f ca="1">IF(AC647=0,0,IF(AC647=12,0,OFFSET(effect!$N$1,MATCH(K647,effect!M:M,0)-1,0)))</f>
        <v>0</v>
      </c>
    </row>
    <row r="648" spans="1:42">
      <c r="A648" s="153">
        <f ca="1" t="shared" si="109"/>
        <v>1402013</v>
      </c>
      <c r="B648" s="91" t="s">
        <v>677</v>
      </c>
      <c r="C648" s="186">
        <v>1</v>
      </c>
      <c r="D648" s="186">
        <v>4</v>
      </c>
      <c r="E648" s="165" t="s">
        <v>1050</v>
      </c>
      <c r="F648" s="179" t="s">
        <v>1055</v>
      </c>
      <c r="G648" s="186">
        <f ca="1">OFFSET(卡牌辅助配置表!$C$1,MATCH(AC648,卡牌辅助配置表!A:A,0)-1,0)</f>
        <v>0</v>
      </c>
      <c r="H648" s="186">
        <f ca="1" t="shared" si="108"/>
        <v>0</v>
      </c>
      <c r="I648" s="186"/>
      <c r="J648" s="186">
        <f ca="1">OFFSET(card_type!$F$1,MATCH(Q648,card_type!A:A,0)-1,0)</f>
        <v>4</v>
      </c>
      <c r="K648" s="243">
        <f ca="1">OFFSET(card_type!$G$1,MATCH(Q648,card_type!A:A,0)-1,0)</f>
        <v>2</v>
      </c>
      <c r="L648" s="157">
        <v>2</v>
      </c>
      <c r="M648" s="157">
        <v>2</v>
      </c>
      <c r="N648" s="153">
        <f t="shared" si="110"/>
        <v>13</v>
      </c>
      <c r="O648" s="157"/>
      <c r="P648" s="157"/>
      <c r="Q648" s="153">
        <f ca="1">OFFSET(card_type!$A$1,MATCH(card!B648,card_type!B:B,0)-1,0)</f>
        <v>1402</v>
      </c>
      <c r="R648" s="153">
        <v>1</v>
      </c>
      <c r="S648" s="157">
        <f ca="1">ROUND(IF(R648=0,0,IF(R648=1,X648*$S$1,IF(R648=2,X648*$S$1*buff的资质计算!$E$2,IF(R648=3,X648*$S$1*buff的资质计算!$E$3,0)))),0)*0</f>
        <v>0</v>
      </c>
      <c r="T648" s="153">
        <v>5</v>
      </c>
      <c r="U648" s="153">
        <f ca="1" t="shared" si="111"/>
        <v>42</v>
      </c>
      <c r="V648" s="153">
        <f ca="1">ROUND((OFFSET(卡牌辅助配置表!$O$1,MATCH(U648,卡牌辅助配置表!M:M,0)-1,0)+(N648-1)*OFFSET(卡牌辅助配置表!$P$1,MATCH(U648,卡牌辅助配置表!M:M,0)-1,0))*M648,2)</f>
        <v>131.85</v>
      </c>
      <c r="W648" s="157">
        <f ca="1">ROUND(IF(R648=0,0,IF(R648=1,X648*$W$1,IF(R648=2,X648*$W$1*buff的资质计算!$E$2,IF(R648=3,X648*$W$1*buff的资质计算!$E$3,0)))),2)</f>
        <v>16.2</v>
      </c>
      <c r="X648" s="157">
        <f ca="1" t="shared" si="112"/>
        <v>54</v>
      </c>
      <c r="Y648" s="157">
        <f ca="1" t="shared" si="106"/>
        <v>54</v>
      </c>
      <c r="Z648" s="304">
        <f ca="1" t="shared" si="113"/>
        <v>27</v>
      </c>
      <c r="AA648" s="304">
        <f ca="1">OFFSET(卡牌辅助配置表!$AD$1,MATCH(AB648,卡牌辅助配置表!AB:AB,0)-1,0)</f>
        <v>6670</v>
      </c>
      <c r="AB648" s="304">
        <f ca="1" t="shared" si="114"/>
        <v>4213</v>
      </c>
      <c r="AC648" s="153">
        <v>12</v>
      </c>
      <c r="AF648" s="153" t="str">
        <f ca="1" t="shared" si="107"/>
        <v>14020011|</v>
      </c>
      <c r="AJ648" s="205" t="str">
        <f ca="1" t="shared" si="115"/>
        <v>400023|5850|;</v>
      </c>
      <c r="AK648" s="205">
        <f ca="1">OFFSET([1]item_type!$A$1,MATCH(Q648,[1]item_type!$G:$G,0)-1,0)</f>
        <v>301402</v>
      </c>
      <c r="AL648" s="205"/>
      <c r="AM648" s="205">
        <f ca="1">IF(B648=B649,OFFSET(卡牌辅助配置表!$AE$1,MATCH(AB648,卡牌辅助配置表!AB:AB,0),0),0)</f>
        <v>5850</v>
      </c>
      <c r="AN648" s="153">
        <f ca="1" t="shared" si="116"/>
        <v>1402014</v>
      </c>
      <c r="AP648" s="153">
        <f ca="1">IF(AC648=0,0,IF(AC648=12,0,OFFSET(effect!$N$1,MATCH(K648,effect!M:M,0)-1,0)))</f>
        <v>0</v>
      </c>
    </row>
    <row r="649" spans="1:42">
      <c r="A649" s="153">
        <f ca="1" t="shared" si="109"/>
        <v>1402014</v>
      </c>
      <c r="B649" s="91" t="s">
        <v>677</v>
      </c>
      <c r="C649" s="186">
        <v>1</v>
      </c>
      <c r="D649" s="186">
        <v>4</v>
      </c>
      <c r="E649" s="165" t="s">
        <v>1050</v>
      </c>
      <c r="F649" s="179" t="s">
        <v>1055</v>
      </c>
      <c r="G649" s="186">
        <f ca="1">OFFSET(卡牌辅助配置表!$C$1,MATCH(AC649,卡牌辅助配置表!A:A,0)-1,0)</f>
        <v>0</v>
      </c>
      <c r="H649" s="186">
        <f ca="1" t="shared" si="108"/>
        <v>0</v>
      </c>
      <c r="I649" s="186"/>
      <c r="J649" s="186">
        <f ca="1">OFFSET(card_type!$F$1,MATCH(Q649,card_type!A:A,0)-1,0)</f>
        <v>4</v>
      </c>
      <c r="K649" s="243">
        <f ca="1">OFFSET(card_type!$G$1,MATCH(Q649,card_type!A:A,0)-1,0)</f>
        <v>2</v>
      </c>
      <c r="L649" s="157">
        <v>2</v>
      </c>
      <c r="M649" s="157">
        <v>2</v>
      </c>
      <c r="N649" s="153">
        <f t="shared" si="110"/>
        <v>14</v>
      </c>
      <c r="O649" s="157"/>
      <c r="P649" s="157"/>
      <c r="Q649" s="153">
        <f ca="1">OFFSET(card_type!$A$1,MATCH(card!B649,card_type!B:B,0)-1,0)</f>
        <v>1402</v>
      </c>
      <c r="R649" s="153">
        <v>1</v>
      </c>
      <c r="S649" s="157">
        <f ca="1">ROUND(IF(R649=0,0,IF(R649=1,X649*$S$1,IF(R649=2,X649*$S$1*buff的资质计算!$E$2,IF(R649=3,X649*$S$1*buff的资质计算!$E$3,0)))),0)*0</f>
        <v>0</v>
      </c>
      <c r="T649" s="153">
        <v>5</v>
      </c>
      <c r="U649" s="153">
        <f ca="1" t="shared" si="111"/>
        <v>42</v>
      </c>
      <c r="V649" s="153">
        <f ca="1">ROUND((OFFSET(卡牌辅助配置表!$O$1,MATCH(U649,卡牌辅助配置表!M:M,0)-1,0)+(N649-1)*OFFSET(卡牌辅助配置表!$P$1,MATCH(U649,卡牌辅助配置表!M:M,0)-1,0))*M649,2)</f>
        <v>139.15</v>
      </c>
      <c r="W649" s="157">
        <f ca="1">ROUND(IF(R649=0,0,IF(R649=1,X649*$W$1,IF(R649=2,X649*$W$1*buff的资质计算!$E$2,IF(R649=3,X649*$W$1*buff的资质计算!$E$3,0)))),2)</f>
        <v>16.35</v>
      </c>
      <c r="X649" s="157">
        <f ca="1" t="shared" si="112"/>
        <v>54.5</v>
      </c>
      <c r="Y649" s="157">
        <f ca="1" t="shared" si="106"/>
        <v>54.5</v>
      </c>
      <c r="Z649" s="304">
        <f ca="1" t="shared" si="113"/>
        <v>27.25</v>
      </c>
      <c r="AA649" s="304">
        <f ca="1">OFFSET(卡牌辅助配置表!$AD$1,MATCH(AB649,卡牌辅助配置表!AB:AB,0)-1,0)</f>
        <v>7360</v>
      </c>
      <c r="AB649" s="304">
        <f ca="1" t="shared" si="114"/>
        <v>4214</v>
      </c>
      <c r="AC649" s="153">
        <v>12</v>
      </c>
      <c r="AF649" s="153" t="str">
        <f ca="1" t="shared" si="107"/>
        <v>14020011|</v>
      </c>
      <c r="AJ649" s="205" t="str">
        <f ca="1" t="shared" si="115"/>
        <v>400023|6450|;</v>
      </c>
      <c r="AK649" s="205">
        <f ca="1">OFFSET([1]item_type!$A$1,MATCH(Q649,[1]item_type!$G:$G,0)-1,0)</f>
        <v>301402</v>
      </c>
      <c r="AL649" s="205"/>
      <c r="AM649" s="205">
        <f ca="1">IF(B649=B650,OFFSET(卡牌辅助配置表!$AE$1,MATCH(AB649,卡牌辅助配置表!AB:AB,0),0),0)</f>
        <v>6450</v>
      </c>
      <c r="AN649" s="153">
        <f ca="1" t="shared" si="116"/>
        <v>1402015</v>
      </c>
      <c r="AP649" s="153">
        <f ca="1">IF(AC649=0,0,IF(AC649=12,0,OFFSET(effect!$N$1,MATCH(K649,effect!M:M,0)-1,0)))</f>
        <v>0</v>
      </c>
    </row>
    <row r="650" spans="1:42">
      <c r="A650" s="153">
        <f ca="1" t="shared" si="109"/>
        <v>1402015</v>
      </c>
      <c r="B650" s="91" t="s">
        <v>677</v>
      </c>
      <c r="C650" s="186">
        <v>1</v>
      </c>
      <c r="D650" s="186">
        <v>4</v>
      </c>
      <c r="E650" s="165" t="s">
        <v>1050</v>
      </c>
      <c r="F650" s="179" t="s">
        <v>1055</v>
      </c>
      <c r="G650" s="186">
        <f ca="1">OFFSET(卡牌辅助配置表!$C$1,MATCH(AC650,卡牌辅助配置表!A:A,0)-1,0)</f>
        <v>0</v>
      </c>
      <c r="H650" s="186">
        <f ca="1" t="shared" si="108"/>
        <v>0</v>
      </c>
      <c r="I650" s="186"/>
      <c r="J650" s="186">
        <f ca="1">OFFSET(card_type!$F$1,MATCH(Q650,card_type!A:A,0)-1,0)</f>
        <v>4</v>
      </c>
      <c r="K650" s="243">
        <f ca="1">OFFSET(card_type!$G$1,MATCH(Q650,card_type!A:A,0)-1,0)</f>
        <v>2</v>
      </c>
      <c r="L650" s="157">
        <v>2</v>
      </c>
      <c r="M650" s="157">
        <v>2</v>
      </c>
      <c r="N650" s="153">
        <f t="shared" si="110"/>
        <v>15</v>
      </c>
      <c r="O650" s="157"/>
      <c r="P650" s="157"/>
      <c r="Q650" s="153">
        <f ca="1">OFFSET(card_type!$A$1,MATCH(card!B650,card_type!B:B,0)-1,0)</f>
        <v>1402</v>
      </c>
      <c r="R650" s="153">
        <v>1</v>
      </c>
      <c r="S650" s="157">
        <f ca="1">ROUND(IF(R650=0,0,IF(R650=1,X650*$S$1,IF(R650=2,X650*$S$1*buff的资质计算!$E$2,IF(R650=3,X650*$S$1*buff的资质计算!$E$3,0)))),0)*0</f>
        <v>0</v>
      </c>
      <c r="T650" s="153">
        <v>5</v>
      </c>
      <c r="U650" s="153">
        <f ca="1" t="shared" si="111"/>
        <v>42</v>
      </c>
      <c r="V650" s="153">
        <f ca="1">ROUND((OFFSET(卡牌辅助配置表!$O$1,MATCH(U650,卡牌辅助配置表!M:M,0)-1,0)+(N650-1)*OFFSET(卡牌辅助配置表!$P$1,MATCH(U650,卡牌辅助配置表!M:M,0)-1,0))*M650,2)</f>
        <v>146.45</v>
      </c>
      <c r="W650" s="157">
        <f ca="1">ROUND(IF(R650=0,0,IF(R650=1,X650*$W$1,IF(R650=2,X650*$W$1*buff的资质计算!$E$2,IF(R650=3,X650*$W$1*buff的资质计算!$E$3,0)))),2)</f>
        <v>16.5</v>
      </c>
      <c r="X650" s="157">
        <f ca="1" t="shared" si="112"/>
        <v>55</v>
      </c>
      <c r="Y650" s="157">
        <f ca="1" t="shared" si="106"/>
        <v>55</v>
      </c>
      <c r="Z650" s="304">
        <f ca="1" t="shared" si="113"/>
        <v>27.5</v>
      </c>
      <c r="AA650" s="304">
        <f ca="1">OFFSET(卡牌辅助配置表!$AD$1,MATCH(AB650,卡牌辅助配置表!AB:AB,0)-1,0)</f>
        <v>8050</v>
      </c>
      <c r="AB650" s="304">
        <f ca="1" t="shared" si="114"/>
        <v>4215</v>
      </c>
      <c r="AC650" s="153">
        <v>12</v>
      </c>
      <c r="AF650" s="153" t="str">
        <f ca="1" t="shared" si="107"/>
        <v>14020011|</v>
      </c>
      <c r="AJ650" s="205" t="str">
        <f ca="1" t="shared" si="115"/>
        <v>400023|7050|;</v>
      </c>
      <c r="AK650" s="205">
        <f ca="1">OFFSET([1]item_type!$A$1,MATCH(Q650,[1]item_type!$G:$G,0)-1,0)</f>
        <v>301402</v>
      </c>
      <c r="AL650" s="205"/>
      <c r="AM650" s="205">
        <f ca="1">IF(B650=B651,OFFSET(卡牌辅助配置表!$AE$1,MATCH(AB650,卡牌辅助配置表!AB:AB,0),0),0)</f>
        <v>7050</v>
      </c>
      <c r="AN650" s="153">
        <f ca="1" t="shared" si="116"/>
        <v>1402016</v>
      </c>
      <c r="AP650" s="153">
        <f ca="1">IF(AC650=0,0,IF(AC650=12,0,OFFSET(effect!$N$1,MATCH(K650,effect!M:M,0)-1,0)))</f>
        <v>0</v>
      </c>
    </row>
    <row r="651" spans="1:42">
      <c r="A651" s="153">
        <f ca="1" t="shared" si="109"/>
        <v>1402016</v>
      </c>
      <c r="B651" s="91" t="s">
        <v>677</v>
      </c>
      <c r="C651" s="186">
        <v>1</v>
      </c>
      <c r="D651" s="186">
        <v>4</v>
      </c>
      <c r="E651" s="165" t="s">
        <v>1050</v>
      </c>
      <c r="F651" s="179" t="s">
        <v>1055</v>
      </c>
      <c r="G651" s="186">
        <f ca="1">OFFSET(卡牌辅助配置表!$C$1,MATCH(AC651,卡牌辅助配置表!A:A,0)-1,0)</f>
        <v>0</v>
      </c>
      <c r="H651" s="186">
        <f ca="1" t="shared" si="108"/>
        <v>0</v>
      </c>
      <c r="I651" s="186"/>
      <c r="J651" s="186">
        <f ca="1">OFFSET(card_type!$F$1,MATCH(Q651,card_type!A:A,0)-1,0)</f>
        <v>4</v>
      </c>
      <c r="K651" s="243">
        <f ca="1">OFFSET(card_type!$G$1,MATCH(Q651,card_type!A:A,0)-1,0)</f>
        <v>2</v>
      </c>
      <c r="L651" s="157">
        <v>2</v>
      </c>
      <c r="M651" s="157">
        <v>2</v>
      </c>
      <c r="N651" s="153">
        <f t="shared" si="110"/>
        <v>16</v>
      </c>
      <c r="O651" s="157"/>
      <c r="P651" s="157"/>
      <c r="Q651" s="153">
        <f ca="1">OFFSET(card_type!$A$1,MATCH(card!B651,card_type!B:B,0)-1,0)</f>
        <v>1402</v>
      </c>
      <c r="R651" s="153">
        <v>1</v>
      </c>
      <c r="S651" s="157">
        <f ca="1">ROUND(IF(R651=0,0,IF(R651=1,X651*$S$1,IF(R651=2,X651*$S$1*buff的资质计算!$E$2,IF(R651=3,X651*$S$1*buff的资质计算!$E$3,0)))),0)*0</f>
        <v>0</v>
      </c>
      <c r="T651" s="153">
        <v>5</v>
      </c>
      <c r="U651" s="153">
        <f ca="1" t="shared" si="111"/>
        <v>42</v>
      </c>
      <c r="V651" s="153">
        <f ca="1">ROUND((OFFSET(卡牌辅助配置表!$O$1,MATCH(U651,卡牌辅助配置表!M:M,0)-1,0)+(N651-1)*OFFSET(卡牌辅助配置表!$P$1,MATCH(U651,卡牌辅助配置表!M:M,0)-1,0))*M651,2)</f>
        <v>153.75</v>
      </c>
      <c r="W651" s="157">
        <f ca="1">ROUND(IF(R651=0,0,IF(R651=1,X651*$W$1,IF(R651=2,X651*$W$1*buff的资质计算!$E$2,IF(R651=3,X651*$W$1*buff的资质计算!$E$3,0)))),2)</f>
        <v>16.65</v>
      </c>
      <c r="X651" s="157">
        <f ca="1" t="shared" si="112"/>
        <v>55.5</v>
      </c>
      <c r="Y651" s="157">
        <f ca="1" t="shared" si="106"/>
        <v>55.5</v>
      </c>
      <c r="Z651" s="304">
        <f ca="1" t="shared" si="113"/>
        <v>27.75</v>
      </c>
      <c r="AA651" s="304">
        <f ca="1">OFFSET(卡牌辅助配置表!$AD$1,MATCH(AB651,卡牌辅助配置表!AB:AB,0)-1,0)</f>
        <v>8740</v>
      </c>
      <c r="AB651" s="304">
        <f ca="1" t="shared" si="114"/>
        <v>4216</v>
      </c>
      <c r="AC651" s="153">
        <v>12</v>
      </c>
      <c r="AF651" s="153" t="str">
        <f ca="1" t="shared" si="107"/>
        <v>14020011|</v>
      </c>
      <c r="AJ651" s="205" t="str">
        <f ca="1" t="shared" si="115"/>
        <v>400023|7650|;</v>
      </c>
      <c r="AK651" s="205">
        <f ca="1">OFFSET([1]item_type!$A$1,MATCH(Q651,[1]item_type!$G:$G,0)-1,0)</f>
        <v>301402</v>
      </c>
      <c r="AL651" s="205"/>
      <c r="AM651" s="205">
        <f ca="1">IF(B651=B652,OFFSET(卡牌辅助配置表!$AE$1,MATCH(AB651,卡牌辅助配置表!AB:AB,0),0),0)</f>
        <v>7650</v>
      </c>
      <c r="AN651" s="153">
        <f ca="1" t="shared" si="116"/>
        <v>1402017</v>
      </c>
      <c r="AP651" s="153">
        <f ca="1">IF(AC651=0,0,IF(AC651=12,0,OFFSET(effect!$N$1,MATCH(K651,effect!M:M,0)-1,0)))</f>
        <v>0</v>
      </c>
    </row>
    <row r="652" spans="1:42">
      <c r="A652" s="153">
        <f ca="1" t="shared" si="109"/>
        <v>1402017</v>
      </c>
      <c r="B652" s="91" t="s">
        <v>677</v>
      </c>
      <c r="C652" s="186">
        <v>1</v>
      </c>
      <c r="D652" s="186">
        <v>4</v>
      </c>
      <c r="E652" s="165" t="s">
        <v>1050</v>
      </c>
      <c r="F652" s="179" t="s">
        <v>1055</v>
      </c>
      <c r="G652" s="186">
        <f ca="1">OFFSET(卡牌辅助配置表!$C$1,MATCH(AC652,卡牌辅助配置表!A:A,0)-1,0)</f>
        <v>0</v>
      </c>
      <c r="H652" s="186">
        <f ca="1" t="shared" si="108"/>
        <v>0</v>
      </c>
      <c r="I652" s="186"/>
      <c r="J652" s="186">
        <f ca="1">OFFSET(card_type!$F$1,MATCH(Q652,card_type!A:A,0)-1,0)</f>
        <v>4</v>
      </c>
      <c r="K652" s="243">
        <f ca="1">OFFSET(card_type!$G$1,MATCH(Q652,card_type!A:A,0)-1,0)</f>
        <v>2</v>
      </c>
      <c r="L652" s="157">
        <v>2</v>
      </c>
      <c r="M652" s="157">
        <v>2</v>
      </c>
      <c r="N652" s="153">
        <f t="shared" si="110"/>
        <v>17</v>
      </c>
      <c r="O652" s="157"/>
      <c r="P652" s="157"/>
      <c r="Q652" s="153">
        <f ca="1">OFFSET(card_type!$A$1,MATCH(card!B652,card_type!B:B,0)-1,0)</f>
        <v>1402</v>
      </c>
      <c r="R652" s="153">
        <v>1</v>
      </c>
      <c r="S652" s="157">
        <f ca="1">ROUND(IF(R652=0,0,IF(R652=1,X652*$S$1,IF(R652=2,X652*$S$1*buff的资质计算!$E$2,IF(R652=3,X652*$S$1*buff的资质计算!$E$3,0)))),0)*0</f>
        <v>0</v>
      </c>
      <c r="T652" s="153">
        <v>5</v>
      </c>
      <c r="U652" s="153">
        <f ca="1" t="shared" si="111"/>
        <v>42</v>
      </c>
      <c r="V652" s="153">
        <f ca="1">ROUND((OFFSET(卡牌辅助配置表!$O$1,MATCH(U652,卡牌辅助配置表!M:M,0)-1,0)+(N652-1)*OFFSET(卡牌辅助配置表!$P$1,MATCH(U652,卡牌辅助配置表!M:M,0)-1,0))*M652,2)</f>
        <v>161.05</v>
      </c>
      <c r="W652" s="157">
        <f ca="1">ROUND(IF(R652=0,0,IF(R652=1,X652*$W$1,IF(R652=2,X652*$W$1*buff的资质计算!$E$2,IF(R652=3,X652*$W$1*buff的资质计算!$E$3,0)))),2)</f>
        <v>16.8</v>
      </c>
      <c r="X652" s="157">
        <f ca="1" t="shared" si="112"/>
        <v>56</v>
      </c>
      <c r="Y652" s="157">
        <f ca="1" t="shared" si="106"/>
        <v>56</v>
      </c>
      <c r="Z652" s="304">
        <f ca="1" t="shared" si="113"/>
        <v>28</v>
      </c>
      <c r="AA652" s="304">
        <f ca="1">OFFSET(卡牌辅助配置表!$AD$1,MATCH(AB652,卡牌辅助配置表!AB:AB,0)-1,0)</f>
        <v>9430</v>
      </c>
      <c r="AB652" s="304">
        <f ca="1" t="shared" si="114"/>
        <v>4217</v>
      </c>
      <c r="AC652" s="153">
        <v>12</v>
      </c>
      <c r="AF652" s="153" t="str">
        <f ca="1" t="shared" si="107"/>
        <v>14020011|</v>
      </c>
      <c r="AJ652" s="205" t="str">
        <f ca="1" t="shared" si="115"/>
        <v>400023|8250|;</v>
      </c>
      <c r="AK652" s="205">
        <f ca="1">OFFSET([1]item_type!$A$1,MATCH(Q652,[1]item_type!$G:$G,0)-1,0)</f>
        <v>301402</v>
      </c>
      <c r="AL652" s="205"/>
      <c r="AM652" s="205">
        <f ca="1">IF(B652=B653,OFFSET(卡牌辅助配置表!$AE$1,MATCH(AB652,卡牌辅助配置表!AB:AB,0),0),0)</f>
        <v>8250</v>
      </c>
      <c r="AN652" s="153">
        <f ca="1" t="shared" si="116"/>
        <v>1402018</v>
      </c>
      <c r="AP652" s="153">
        <f ca="1">IF(AC652=0,0,IF(AC652=12,0,OFFSET(effect!$N$1,MATCH(K652,effect!M:M,0)-1,0)))</f>
        <v>0</v>
      </c>
    </row>
    <row r="653" spans="1:42">
      <c r="A653" s="153">
        <f ca="1" t="shared" si="109"/>
        <v>1402018</v>
      </c>
      <c r="B653" s="91" t="s">
        <v>677</v>
      </c>
      <c r="C653" s="186">
        <v>1</v>
      </c>
      <c r="D653" s="186">
        <v>4</v>
      </c>
      <c r="E653" s="165" t="s">
        <v>1050</v>
      </c>
      <c r="F653" s="179" t="s">
        <v>1055</v>
      </c>
      <c r="G653" s="186">
        <f ca="1">OFFSET(卡牌辅助配置表!$C$1,MATCH(AC653,卡牌辅助配置表!A:A,0)-1,0)</f>
        <v>0</v>
      </c>
      <c r="H653" s="186">
        <f ca="1" t="shared" si="108"/>
        <v>0</v>
      </c>
      <c r="I653" s="186"/>
      <c r="J653" s="186">
        <f ca="1">OFFSET(card_type!$F$1,MATCH(Q653,card_type!A:A,0)-1,0)</f>
        <v>4</v>
      </c>
      <c r="K653" s="243">
        <f ca="1">OFFSET(card_type!$G$1,MATCH(Q653,card_type!A:A,0)-1,0)</f>
        <v>2</v>
      </c>
      <c r="L653" s="157">
        <v>2</v>
      </c>
      <c r="M653" s="157">
        <v>2</v>
      </c>
      <c r="N653" s="153">
        <f t="shared" si="110"/>
        <v>18</v>
      </c>
      <c r="O653" s="157"/>
      <c r="P653" s="157"/>
      <c r="Q653" s="153">
        <f ca="1">OFFSET(card_type!$A$1,MATCH(card!B653,card_type!B:B,0)-1,0)</f>
        <v>1402</v>
      </c>
      <c r="R653" s="153">
        <v>1</v>
      </c>
      <c r="S653" s="157">
        <f ca="1">ROUND(IF(R653=0,0,IF(R653=1,X653*$S$1,IF(R653=2,X653*$S$1*buff的资质计算!$E$2,IF(R653=3,X653*$S$1*buff的资质计算!$E$3,0)))),0)*0</f>
        <v>0</v>
      </c>
      <c r="T653" s="153">
        <v>5</v>
      </c>
      <c r="U653" s="153">
        <f ca="1" t="shared" si="111"/>
        <v>42</v>
      </c>
      <c r="V653" s="153">
        <f ca="1">ROUND((OFFSET(卡牌辅助配置表!$O$1,MATCH(U653,卡牌辅助配置表!M:M,0)-1,0)+(N653-1)*OFFSET(卡牌辅助配置表!$P$1,MATCH(U653,卡牌辅助配置表!M:M,0)-1,0))*M653,2)</f>
        <v>168.35</v>
      </c>
      <c r="W653" s="157">
        <f ca="1">ROUND(IF(R653=0,0,IF(R653=1,X653*$W$1,IF(R653=2,X653*$W$1*buff的资质计算!$E$2,IF(R653=3,X653*$W$1*buff的资质计算!$E$3,0)))),2)</f>
        <v>16.95</v>
      </c>
      <c r="X653" s="157">
        <f ca="1" t="shared" si="112"/>
        <v>56.5</v>
      </c>
      <c r="Y653" s="157">
        <f ca="1" t="shared" si="106"/>
        <v>56.5</v>
      </c>
      <c r="Z653" s="304">
        <f ca="1" t="shared" si="113"/>
        <v>28.25</v>
      </c>
      <c r="AA653" s="304">
        <f ca="1">OFFSET(卡牌辅助配置表!$AD$1,MATCH(AB653,卡牌辅助配置表!AB:AB,0)-1,0)</f>
        <v>10120</v>
      </c>
      <c r="AB653" s="304">
        <f ca="1" t="shared" si="114"/>
        <v>4218</v>
      </c>
      <c r="AC653" s="153">
        <v>12</v>
      </c>
      <c r="AF653" s="153" t="str">
        <f ca="1" t="shared" si="107"/>
        <v>14020011|</v>
      </c>
      <c r="AJ653" s="205" t="str">
        <f ca="1" t="shared" si="115"/>
        <v>400023|8850|;</v>
      </c>
      <c r="AK653" s="205">
        <f ca="1">OFFSET([1]item_type!$A$1,MATCH(Q653,[1]item_type!$G:$G,0)-1,0)</f>
        <v>301402</v>
      </c>
      <c r="AL653" s="205"/>
      <c r="AM653" s="205">
        <f ca="1">IF(B653=B654,OFFSET(卡牌辅助配置表!$AE$1,MATCH(AB653,卡牌辅助配置表!AB:AB,0),0),0)</f>
        <v>8850</v>
      </c>
      <c r="AN653" s="153">
        <f ca="1" t="shared" si="116"/>
        <v>1402019</v>
      </c>
      <c r="AP653" s="153">
        <f ca="1">IF(AC653=0,0,IF(AC653=12,0,OFFSET(effect!$N$1,MATCH(K653,effect!M:M,0)-1,0)))</f>
        <v>0</v>
      </c>
    </row>
    <row r="654" spans="1:42">
      <c r="A654" s="153">
        <f ca="1" t="shared" si="109"/>
        <v>1402019</v>
      </c>
      <c r="B654" s="91" t="s">
        <v>677</v>
      </c>
      <c r="C654" s="186">
        <v>1</v>
      </c>
      <c r="D654" s="186">
        <v>4</v>
      </c>
      <c r="E654" s="165" t="s">
        <v>1050</v>
      </c>
      <c r="F654" s="179" t="s">
        <v>1055</v>
      </c>
      <c r="G654" s="186">
        <f ca="1">OFFSET(卡牌辅助配置表!$C$1,MATCH(AC654,卡牌辅助配置表!A:A,0)-1,0)</f>
        <v>0</v>
      </c>
      <c r="H654" s="186">
        <f ca="1" t="shared" si="108"/>
        <v>0</v>
      </c>
      <c r="I654" s="186"/>
      <c r="J654" s="186">
        <f ca="1">OFFSET(card_type!$F$1,MATCH(Q654,card_type!A:A,0)-1,0)</f>
        <v>4</v>
      </c>
      <c r="K654" s="243">
        <f ca="1">OFFSET(card_type!$G$1,MATCH(Q654,card_type!A:A,0)-1,0)</f>
        <v>2</v>
      </c>
      <c r="L654" s="157">
        <v>2</v>
      </c>
      <c r="M654" s="157">
        <v>2</v>
      </c>
      <c r="N654" s="153">
        <f t="shared" si="110"/>
        <v>19</v>
      </c>
      <c r="O654" s="157"/>
      <c r="P654" s="157"/>
      <c r="Q654" s="153">
        <f ca="1">OFFSET(card_type!$A$1,MATCH(card!B654,card_type!B:B,0)-1,0)</f>
        <v>1402</v>
      </c>
      <c r="R654" s="153">
        <v>1</v>
      </c>
      <c r="S654" s="157">
        <f ca="1">ROUND(IF(R654=0,0,IF(R654=1,X654*$S$1,IF(R654=2,X654*$S$1*buff的资质计算!$E$2,IF(R654=3,X654*$S$1*buff的资质计算!$E$3,0)))),0)*0</f>
        <v>0</v>
      </c>
      <c r="T654" s="153">
        <v>5</v>
      </c>
      <c r="U654" s="153">
        <f ca="1" t="shared" si="111"/>
        <v>42</v>
      </c>
      <c r="V654" s="153">
        <f ca="1">ROUND((OFFSET(卡牌辅助配置表!$O$1,MATCH(U654,卡牌辅助配置表!M:M,0)-1,0)+(N654-1)*OFFSET(卡牌辅助配置表!$P$1,MATCH(U654,卡牌辅助配置表!M:M,0)-1,0))*M654,2)</f>
        <v>175.65</v>
      </c>
      <c r="W654" s="157">
        <f ca="1">ROUND(IF(R654=0,0,IF(R654=1,X654*$W$1,IF(R654=2,X654*$W$1*buff的资质计算!$E$2,IF(R654=3,X654*$W$1*buff的资质计算!$E$3,0)))),2)</f>
        <v>17.1</v>
      </c>
      <c r="X654" s="157">
        <f ca="1" t="shared" si="112"/>
        <v>57</v>
      </c>
      <c r="Y654" s="157">
        <f ca="1" t="shared" si="106"/>
        <v>57</v>
      </c>
      <c r="Z654" s="304">
        <f ca="1" t="shared" si="113"/>
        <v>28.5</v>
      </c>
      <c r="AA654" s="304">
        <f ca="1">OFFSET(卡牌辅助配置表!$AD$1,MATCH(AB654,卡牌辅助配置表!AB:AB,0)-1,0)</f>
        <v>10810</v>
      </c>
      <c r="AB654" s="304">
        <f ca="1" t="shared" si="114"/>
        <v>4219</v>
      </c>
      <c r="AC654" s="153">
        <v>12</v>
      </c>
      <c r="AF654" s="153" t="str">
        <f ca="1" t="shared" si="107"/>
        <v>14020011|</v>
      </c>
      <c r="AJ654" s="205" t="str">
        <f ca="1" t="shared" si="115"/>
        <v>301402|20|;400023|9450|;</v>
      </c>
      <c r="AK654" s="205">
        <f ca="1">OFFSET([1]item_type!$A$1,MATCH(Q654,[1]item_type!$G:$G,0)-1,0)</f>
        <v>301402</v>
      </c>
      <c r="AL654" s="205">
        <v>20</v>
      </c>
      <c r="AM654" s="205">
        <f ca="1">IF(B654=B655,OFFSET(卡牌辅助配置表!$AE$1,MATCH(AB654,卡牌辅助配置表!AB:AB,0),0),0)</f>
        <v>9450</v>
      </c>
      <c r="AN654" s="153">
        <f ca="1" t="shared" si="116"/>
        <v>1402020</v>
      </c>
      <c r="AP654" s="153">
        <f ca="1">IF(AC654=0,0,IF(AC654=12,0,OFFSET(effect!$N$1,MATCH(K654,effect!M:M,0)-1,0)))</f>
        <v>0</v>
      </c>
    </row>
    <row r="655" spans="1:42">
      <c r="A655" s="153">
        <f ca="1" t="shared" si="109"/>
        <v>1402020</v>
      </c>
      <c r="B655" s="91" t="s">
        <v>677</v>
      </c>
      <c r="C655" s="186">
        <v>1</v>
      </c>
      <c r="D655" s="186">
        <v>4</v>
      </c>
      <c r="E655" s="165" t="s">
        <v>1050</v>
      </c>
      <c r="F655" s="179" t="s">
        <v>1055</v>
      </c>
      <c r="G655" s="186">
        <f ca="1">OFFSET(卡牌辅助配置表!$C$1,MATCH(AC655,卡牌辅助配置表!A:A,0)-1,0)</f>
        <v>0</v>
      </c>
      <c r="H655" s="186">
        <f ca="1" t="shared" si="108"/>
        <v>0</v>
      </c>
      <c r="I655" s="186"/>
      <c r="J655" s="186">
        <f ca="1">OFFSET(card_type!$F$1,MATCH(Q655,card_type!A:A,0)-1,0)</f>
        <v>4</v>
      </c>
      <c r="K655" s="243">
        <f ca="1">OFFSET(card_type!$G$1,MATCH(Q655,card_type!A:A,0)-1,0)</f>
        <v>2</v>
      </c>
      <c r="L655" s="157">
        <v>2</v>
      </c>
      <c r="M655" s="157">
        <v>2</v>
      </c>
      <c r="N655" s="153">
        <f t="shared" si="110"/>
        <v>20</v>
      </c>
      <c r="O655" s="157"/>
      <c r="P655" s="157"/>
      <c r="Q655" s="153">
        <f ca="1">OFFSET(card_type!$A$1,MATCH(card!B655,card_type!B:B,0)-1,0)</f>
        <v>1402</v>
      </c>
      <c r="R655" s="153">
        <v>1</v>
      </c>
      <c r="S655" s="157">
        <f ca="1">ROUND(IF(R655=0,0,IF(R655=1,X655*$S$1,IF(R655=2,X655*$S$1*buff的资质计算!$E$2,IF(R655=3,X655*$S$1*buff的资质计算!$E$3,0)))),0)*0</f>
        <v>0</v>
      </c>
      <c r="T655" s="153">
        <v>5</v>
      </c>
      <c r="U655" s="153">
        <f ca="1" t="shared" si="111"/>
        <v>42</v>
      </c>
      <c r="V655" s="153">
        <f ca="1">ROUND((OFFSET(卡牌辅助配置表!$O$1,MATCH(U655,卡牌辅助配置表!M:M,0)-1,0)+(N655-1)*OFFSET(卡牌辅助配置表!$P$1,MATCH(U655,卡牌辅助配置表!M:M,0)-1,0))*M655,2)</f>
        <v>182.95</v>
      </c>
      <c r="W655" s="157">
        <f ca="1">ROUND(IF(R655=0,0,IF(R655=1,X655*$W$1,IF(R655=2,X655*$W$1*buff的资质计算!$E$2,IF(R655=3,X655*$W$1*buff的资质计算!$E$3,0)))),2)</f>
        <v>17.25</v>
      </c>
      <c r="X655" s="157">
        <f ca="1" t="shared" si="112"/>
        <v>57.5</v>
      </c>
      <c r="Y655" s="157">
        <f ca="1" t="shared" si="106"/>
        <v>57.5</v>
      </c>
      <c r="Z655" s="304">
        <f ca="1" t="shared" si="113"/>
        <v>28.75</v>
      </c>
      <c r="AA655" s="304">
        <f ca="1">OFFSET(卡牌辅助配置表!$AD$1,MATCH(AB655,卡牌辅助配置表!AB:AB,0)-1,0)</f>
        <v>11500</v>
      </c>
      <c r="AB655" s="304">
        <f ca="1" t="shared" si="114"/>
        <v>4220</v>
      </c>
      <c r="AC655" s="153">
        <v>12</v>
      </c>
      <c r="AF655" s="153" t="str">
        <f ca="1" t="shared" si="107"/>
        <v>14020011|</v>
      </c>
      <c r="AJ655" s="205" t="str">
        <f ca="1" t="shared" si="115"/>
        <v>400023|10650|;</v>
      </c>
      <c r="AK655" s="205">
        <f ca="1">OFFSET([1]item_type!$A$1,MATCH(Q655,[1]item_type!$G:$G,0)-1,0)</f>
        <v>301402</v>
      </c>
      <c r="AL655" s="205"/>
      <c r="AM655" s="205">
        <f ca="1">IF(B655=B656,OFFSET(卡牌辅助配置表!$AE$1,MATCH(AB655,卡牌辅助配置表!AB:AB,0),0),0)</f>
        <v>10650</v>
      </c>
      <c r="AN655" s="153">
        <f ca="1" t="shared" si="116"/>
        <v>1402021</v>
      </c>
      <c r="AP655" s="153">
        <f ca="1">IF(AC655=0,0,IF(AC655=12,0,OFFSET(effect!$N$1,MATCH(K655,effect!M:M,0)-1,0)))</f>
        <v>0</v>
      </c>
    </row>
    <row r="656" spans="1:42">
      <c r="A656" s="153">
        <f ca="1" t="shared" si="109"/>
        <v>1402021</v>
      </c>
      <c r="B656" s="91" t="s">
        <v>677</v>
      </c>
      <c r="C656" s="186">
        <v>1</v>
      </c>
      <c r="D656" s="186">
        <v>4</v>
      </c>
      <c r="E656" s="165" t="s">
        <v>1050</v>
      </c>
      <c r="F656" s="179" t="s">
        <v>1055</v>
      </c>
      <c r="G656" s="186">
        <f ca="1">OFFSET(卡牌辅助配置表!$C$1,MATCH(AC656,卡牌辅助配置表!A:A,0)-1,0)</f>
        <v>0</v>
      </c>
      <c r="H656" s="186">
        <f ca="1" t="shared" si="108"/>
        <v>0</v>
      </c>
      <c r="I656" s="186"/>
      <c r="J656" s="186">
        <f ca="1">OFFSET(card_type!$F$1,MATCH(Q656,card_type!A:A,0)-1,0)</f>
        <v>4</v>
      </c>
      <c r="K656" s="243">
        <f ca="1">OFFSET(card_type!$G$1,MATCH(Q656,card_type!A:A,0)-1,0)</f>
        <v>2</v>
      </c>
      <c r="L656" s="157">
        <v>2</v>
      </c>
      <c r="M656" s="157">
        <v>2</v>
      </c>
      <c r="N656" s="153">
        <f t="shared" si="110"/>
        <v>21</v>
      </c>
      <c r="O656" s="157"/>
      <c r="P656" s="157"/>
      <c r="Q656" s="153">
        <f ca="1">OFFSET(card_type!$A$1,MATCH(card!B656,card_type!B:B,0)-1,0)</f>
        <v>1402</v>
      </c>
      <c r="R656" s="153">
        <v>1</v>
      </c>
      <c r="S656" s="157">
        <f ca="1">ROUND(IF(R656=0,0,IF(R656=1,X656*$S$1,IF(R656=2,X656*$S$1*buff的资质计算!$E$2,IF(R656=3,X656*$S$1*buff的资质计算!$E$3,0)))),0)*0</f>
        <v>0</v>
      </c>
      <c r="T656" s="153">
        <v>5</v>
      </c>
      <c r="U656" s="153">
        <f ca="1" t="shared" si="111"/>
        <v>42</v>
      </c>
      <c r="V656" s="153">
        <f ca="1">ROUND((OFFSET(卡牌辅助配置表!$O$1,MATCH(U656,卡牌辅助配置表!M:M,0)-1,0)+(N656-1)*OFFSET(卡牌辅助配置表!$P$1,MATCH(U656,卡牌辅助配置表!M:M,0)-1,0))*M656,2)</f>
        <v>190.25</v>
      </c>
      <c r="W656" s="157">
        <f ca="1">ROUND(IF(R656=0,0,IF(R656=1,X656*$W$1,IF(R656=2,X656*$W$1*buff的资质计算!$E$2,IF(R656=3,X656*$W$1*buff的资质计算!$E$3,0)))),2)</f>
        <v>17.4</v>
      </c>
      <c r="X656" s="157">
        <f ca="1" t="shared" si="112"/>
        <v>58</v>
      </c>
      <c r="Y656" s="157">
        <f ca="1" t="shared" ref="Y656:Y719" si="117">X656+H656</f>
        <v>58</v>
      </c>
      <c r="Z656" s="304">
        <f ca="1" t="shared" si="113"/>
        <v>29</v>
      </c>
      <c r="AA656" s="304">
        <f ca="1">OFFSET(卡牌辅助配置表!$AD$1,MATCH(AB656,卡牌辅助配置表!AB:AB,0)-1,0)</f>
        <v>12420</v>
      </c>
      <c r="AB656" s="304">
        <f ca="1" t="shared" si="114"/>
        <v>4221</v>
      </c>
      <c r="AC656" s="153">
        <v>12</v>
      </c>
      <c r="AF656" s="153" t="str">
        <f ca="1" t="shared" ref="AF656:AF719" si="118">((Q656*1000+1)*10+1)&amp;$AF$1</f>
        <v>14020011|</v>
      </c>
      <c r="AJ656" s="205" t="str">
        <f ca="1" t="shared" si="115"/>
        <v>400023|11850|;</v>
      </c>
      <c r="AK656" s="205">
        <f ca="1">OFFSET([1]item_type!$A$1,MATCH(Q656,[1]item_type!$G:$G,0)-1,0)</f>
        <v>301402</v>
      </c>
      <c r="AL656" s="205"/>
      <c r="AM656" s="205">
        <f ca="1">IF(B656=B657,OFFSET(卡牌辅助配置表!$AE$1,MATCH(AB656,卡牌辅助配置表!AB:AB,0),0),0)</f>
        <v>11850</v>
      </c>
      <c r="AN656" s="153">
        <f ca="1" t="shared" si="116"/>
        <v>1402022</v>
      </c>
      <c r="AP656" s="153">
        <f ca="1">IF(AC656=0,0,IF(AC656=12,0,OFFSET(effect!$N$1,MATCH(K656,effect!M:M,0)-1,0)))</f>
        <v>0</v>
      </c>
    </row>
    <row r="657" spans="1:42">
      <c r="A657" s="153">
        <f ca="1" t="shared" si="109"/>
        <v>1402022</v>
      </c>
      <c r="B657" s="91" t="s">
        <v>677</v>
      </c>
      <c r="C657" s="186">
        <v>1</v>
      </c>
      <c r="D657" s="186">
        <v>4</v>
      </c>
      <c r="E657" s="165" t="s">
        <v>1050</v>
      </c>
      <c r="F657" s="179" t="s">
        <v>1055</v>
      </c>
      <c r="G657" s="186">
        <f ca="1">OFFSET(卡牌辅助配置表!$C$1,MATCH(AC657,卡牌辅助配置表!A:A,0)-1,0)</f>
        <v>0</v>
      </c>
      <c r="H657" s="186">
        <f ca="1" t="shared" si="108"/>
        <v>0</v>
      </c>
      <c r="I657" s="186"/>
      <c r="J657" s="186">
        <f ca="1">OFFSET(card_type!$F$1,MATCH(Q657,card_type!A:A,0)-1,0)</f>
        <v>4</v>
      </c>
      <c r="K657" s="243">
        <f ca="1">OFFSET(card_type!$G$1,MATCH(Q657,card_type!A:A,0)-1,0)</f>
        <v>2</v>
      </c>
      <c r="L657" s="157">
        <v>2</v>
      </c>
      <c r="M657" s="157">
        <v>2</v>
      </c>
      <c r="N657" s="153">
        <f t="shared" si="110"/>
        <v>22</v>
      </c>
      <c r="O657" s="157"/>
      <c r="P657" s="157"/>
      <c r="Q657" s="153">
        <f ca="1">OFFSET(card_type!$A$1,MATCH(card!B657,card_type!B:B,0)-1,0)</f>
        <v>1402</v>
      </c>
      <c r="R657" s="153">
        <v>1</v>
      </c>
      <c r="S657" s="157">
        <f ca="1">ROUND(IF(R657=0,0,IF(R657=1,X657*$S$1,IF(R657=2,X657*$S$1*buff的资质计算!$E$2,IF(R657=3,X657*$S$1*buff的资质计算!$E$3,0)))),0)*0</f>
        <v>0</v>
      </c>
      <c r="T657" s="153">
        <v>5</v>
      </c>
      <c r="U657" s="153">
        <f ca="1" t="shared" si="111"/>
        <v>42</v>
      </c>
      <c r="V657" s="153">
        <f ca="1">ROUND((OFFSET(卡牌辅助配置表!$O$1,MATCH(U657,卡牌辅助配置表!M:M,0)-1,0)+(N657-1)*OFFSET(卡牌辅助配置表!$P$1,MATCH(U657,卡牌辅助配置表!M:M,0)-1,0))*M657,2)</f>
        <v>197.55</v>
      </c>
      <c r="W657" s="157">
        <f ca="1">ROUND(IF(R657=0,0,IF(R657=1,X657*$W$1,IF(R657=2,X657*$W$1*buff的资质计算!$E$2,IF(R657=3,X657*$W$1*buff的资质计算!$E$3,0)))),2)</f>
        <v>17.55</v>
      </c>
      <c r="X657" s="157">
        <f ca="1" t="shared" si="112"/>
        <v>58.5</v>
      </c>
      <c r="Y657" s="157">
        <f ca="1" t="shared" si="117"/>
        <v>58.5</v>
      </c>
      <c r="Z657" s="304">
        <f ca="1" t="shared" si="113"/>
        <v>29.25</v>
      </c>
      <c r="AA657" s="304">
        <f ca="1">OFFSET(卡牌辅助配置表!$AD$1,MATCH(AB657,卡牌辅助配置表!AB:AB,0)-1,0)</f>
        <v>13340</v>
      </c>
      <c r="AB657" s="304">
        <f ca="1" t="shared" si="114"/>
        <v>4222</v>
      </c>
      <c r="AC657" s="153">
        <v>12</v>
      </c>
      <c r="AF657" s="153" t="str">
        <f ca="1" t="shared" si="118"/>
        <v>14020011|</v>
      </c>
      <c r="AJ657" s="205" t="str">
        <f ca="1" t="shared" si="115"/>
        <v>400023|13050|;</v>
      </c>
      <c r="AK657" s="205">
        <f ca="1">OFFSET([1]item_type!$A$1,MATCH(Q657,[1]item_type!$G:$G,0)-1,0)</f>
        <v>301402</v>
      </c>
      <c r="AL657" s="205"/>
      <c r="AM657" s="205">
        <f ca="1">IF(B657=B658,OFFSET(卡牌辅助配置表!$AE$1,MATCH(AB657,卡牌辅助配置表!AB:AB,0),0),0)</f>
        <v>13050</v>
      </c>
      <c r="AN657" s="153">
        <f ca="1" t="shared" si="116"/>
        <v>1402023</v>
      </c>
      <c r="AP657" s="153">
        <f ca="1">IF(AC657=0,0,IF(AC657=12,0,OFFSET(effect!$N$1,MATCH(K657,effect!M:M,0)-1,0)))</f>
        <v>0</v>
      </c>
    </row>
    <row r="658" spans="1:42">
      <c r="A658" s="153">
        <f ca="1" t="shared" si="109"/>
        <v>1402023</v>
      </c>
      <c r="B658" s="91" t="s">
        <v>677</v>
      </c>
      <c r="C658" s="186">
        <v>1</v>
      </c>
      <c r="D658" s="186">
        <v>4</v>
      </c>
      <c r="E658" s="165" t="s">
        <v>1050</v>
      </c>
      <c r="F658" s="179" t="s">
        <v>1055</v>
      </c>
      <c r="G658" s="186">
        <f ca="1">OFFSET(卡牌辅助配置表!$C$1,MATCH(AC658,卡牌辅助配置表!A:A,0)-1,0)</f>
        <v>0</v>
      </c>
      <c r="H658" s="186">
        <f ca="1" t="shared" si="108"/>
        <v>0</v>
      </c>
      <c r="I658" s="186"/>
      <c r="J658" s="186">
        <f ca="1">OFFSET(card_type!$F$1,MATCH(Q658,card_type!A:A,0)-1,0)</f>
        <v>4</v>
      </c>
      <c r="K658" s="243">
        <f ca="1">OFFSET(card_type!$G$1,MATCH(Q658,card_type!A:A,0)-1,0)</f>
        <v>2</v>
      </c>
      <c r="L658" s="157">
        <v>2</v>
      </c>
      <c r="M658" s="157">
        <v>2</v>
      </c>
      <c r="N658" s="153">
        <f t="shared" si="110"/>
        <v>23</v>
      </c>
      <c r="O658" s="157"/>
      <c r="P658" s="157"/>
      <c r="Q658" s="153">
        <f ca="1">OFFSET(card_type!$A$1,MATCH(card!B658,card_type!B:B,0)-1,0)</f>
        <v>1402</v>
      </c>
      <c r="R658" s="153">
        <v>1</v>
      </c>
      <c r="S658" s="157">
        <f ca="1">ROUND(IF(R658=0,0,IF(R658=1,X658*$S$1,IF(R658=2,X658*$S$1*buff的资质计算!$E$2,IF(R658=3,X658*$S$1*buff的资质计算!$E$3,0)))),0)*0</f>
        <v>0</v>
      </c>
      <c r="T658" s="153">
        <v>5</v>
      </c>
      <c r="U658" s="153">
        <f ca="1" t="shared" si="111"/>
        <v>42</v>
      </c>
      <c r="V658" s="153">
        <f ca="1">ROUND((OFFSET(卡牌辅助配置表!$O$1,MATCH(U658,卡牌辅助配置表!M:M,0)-1,0)+(N658-1)*OFFSET(卡牌辅助配置表!$P$1,MATCH(U658,卡牌辅助配置表!M:M,0)-1,0))*M658,2)</f>
        <v>204.85</v>
      </c>
      <c r="W658" s="157">
        <f ca="1">ROUND(IF(R658=0,0,IF(R658=1,X658*$W$1,IF(R658=2,X658*$W$1*buff的资质计算!$E$2,IF(R658=3,X658*$W$1*buff的资质计算!$E$3,0)))),2)</f>
        <v>17.7</v>
      </c>
      <c r="X658" s="157">
        <f ca="1" t="shared" si="112"/>
        <v>59</v>
      </c>
      <c r="Y658" s="157">
        <f ca="1" t="shared" si="117"/>
        <v>59</v>
      </c>
      <c r="Z658" s="304">
        <f ca="1" t="shared" si="113"/>
        <v>29.5</v>
      </c>
      <c r="AA658" s="304">
        <f ca="1">OFFSET(卡牌辅助配置表!$AD$1,MATCH(AB658,卡牌辅助配置表!AB:AB,0)-1,0)</f>
        <v>14260</v>
      </c>
      <c r="AB658" s="304">
        <f ca="1" t="shared" si="114"/>
        <v>4223</v>
      </c>
      <c r="AC658" s="153">
        <v>12</v>
      </c>
      <c r="AF658" s="153" t="str">
        <f ca="1" t="shared" si="118"/>
        <v>14020011|</v>
      </c>
      <c r="AJ658" s="205" t="str">
        <f ca="1" t="shared" si="115"/>
        <v>400023|14250|;</v>
      </c>
      <c r="AK658" s="205">
        <f ca="1">OFFSET([1]item_type!$A$1,MATCH(Q658,[1]item_type!$G:$G,0)-1,0)</f>
        <v>301402</v>
      </c>
      <c r="AL658" s="205"/>
      <c r="AM658" s="205">
        <f ca="1">IF(B658=B659,OFFSET(卡牌辅助配置表!$AE$1,MATCH(AB658,卡牌辅助配置表!AB:AB,0),0),0)</f>
        <v>14250</v>
      </c>
      <c r="AN658" s="153">
        <f ca="1" t="shared" si="116"/>
        <v>1402024</v>
      </c>
      <c r="AP658" s="153">
        <f ca="1">IF(AC658=0,0,IF(AC658=12,0,OFFSET(effect!$N$1,MATCH(K658,effect!M:M,0)-1,0)))</f>
        <v>0</v>
      </c>
    </row>
    <row r="659" spans="1:42">
      <c r="A659" s="153">
        <f ca="1" t="shared" si="109"/>
        <v>1402024</v>
      </c>
      <c r="B659" s="91" t="s">
        <v>677</v>
      </c>
      <c r="C659" s="186">
        <v>1</v>
      </c>
      <c r="D659" s="186">
        <v>4</v>
      </c>
      <c r="E659" s="165" t="s">
        <v>1050</v>
      </c>
      <c r="F659" s="179" t="s">
        <v>1055</v>
      </c>
      <c r="G659" s="186">
        <f ca="1">OFFSET(卡牌辅助配置表!$C$1,MATCH(AC659,卡牌辅助配置表!A:A,0)-1,0)</f>
        <v>0</v>
      </c>
      <c r="H659" s="186">
        <f ca="1" t="shared" si="108"/>
        <v>0</v>
      </c>
      <c r="I659" s="186"/>
      <c r="J659" s="186">
        <f ca="1">OFFSET(card_type!$F$1,MATCH(Q659,card_type!A:A,0)-1,0)</f>
        <v>4</v>
      </c>
      <c r="K659" s="243">
        <f ca="1">OFFSET(card_type!$G$1,MATCH(Q659,card_type!A:A,0)-1,0)</f>
        <v>2</v>
      </c>
      <c r="L659" s="157">
        <v>2</v>
      </c>
      <c r="M659" s="157">
        <v>2</v>
      </c>
      <c r="N659" s="153">
        <f t="shared" si="110"/>
        <v>24</v>
      </c>
      <c r="O659" s="157"/>
      <c r="P659" s="157"/>
      <c r="Q659" s="153">
        <f ca="1">OFFSET(card_type!$A$1,MATCH(card!B659,card_type!B:B,0)-1,0)</f>
        <v>1402</v>
      </c>
      <c r="R659" s="153">
        <v>1</v>
      </c>
      <c r="S659" s="157">
        <f ca="1">ROUND(IF(R659=0,0,IF(R659=1,X659*$S$1,IF(R659=2,X659*$S$1*buff的资质计算!$E$2,IF(R659=3,X659*$S$1*buff的资质计算!$E$3,0)))),0)*0</f>
        <v>0</v>
      </c>
      <c r="T659" s="153">
        <v>5</v>
      </c>
      <c r="U659" s="153">
        <f ca="1" t="shared" si="111"/>
        <v>42</v>
      </c>
      <c r="V659" s="153">
        <f ca="1">ROUND((OFFSET(卡牌辅助配置表!$O$1,MATCH(U659,卡牌辅助配置表!M:M,0)-1,0)+(N659-1)*OFFSET(卡牌辅助配置表!$P$1,MATCH(U659,卡牌辅助配置表!M:M,0)-1,0))*M659,2)</f>
        <v>212.15</v>
      </c>
      <c r="W659" s="157">
        <f ca="1">ROUND(IF(R659=0,0,IF(R659=1,X659*$W$1,IF(R659=2,X659*$W$1*buff的资质计算!$E$2,IF(R659=3,X659*$W$1*buff的资质计算!$E$3,0)))),2)</f>
        <v>17.85</v>
      </c>
      <c r="X659" s="157">
        <f ca="1" t="shared" si="112"/>
        <v>59.5</v>
      </c>
      <c r="Y659" s="157">
        <f ca="1" t="shared" si="117"/>
        <v>59.5</v>
      </c>
      <c r="Z659" s="304">
        <f ca="1" t="shared" si="113"/>
        <v>29.75</v>
      </c>
      <c r="AA659" s="304">
        <f ca="1">OFFSET(卡牌辅助配置表!$AD$1,MATCH(AB659,卡牌辅助配置表!AB:AB,0)-1,0)</f>
        <v>15180</v>
      </c>
      <c r="AB659" s="304">
        <f ca="1" t="shared" si="114"/>
        <v>4224</v>
      </c>
      <c r="AC659" s="153">
        <v>12</v>
      </c>
      <c r="AF659" s="153" t="str">
        <f ca="1" t="shared" si="118"/>
        <v>14020011|</v>
      </c>
      <c r="AJ659" s="205" t="str">
        <f ca="1" t="shared" si="115"/>
        <v>400023|15450|;</v>
      </c>
      <c r="AK659" s="205">
        <f ca="1">OFFSET([1]item_type!$A$1,MATCH(Q659,[1]item_type!$G:$G,0)-1,0)</f>
        <v>301402</v>
      </c>
      <c r="AL659" s="205"/>
      <c r="AM659" s="205">
        <f ca="1">IF(B659=B660,OFFSET(卡牌辅助配置表!$AE$1,MATCH(AB659,卡牌辅助配置表!AB:AB,0),0),0)</f>
        <v>15450</v>
      </c>
      <c r="AN659" s="153">
        <f ca="1" t="shared" si="116"/>
        <v>1402025</v>
      </c>
      <c r="AP659" s="153">
        <f ca="1">IF(AC659=0,0,IF(AC659=12,0,OFFSET(effect!$N$1,MATCH(K659,effect!M:M,0)-1,0)))</f>
        <v>0</v>
      </c>
    </row>
    <row r="660" spans="1:42">
      <c r="A660" s="153">
        <f ca="1" t="shared" si="109"/>
        <v>1402025</v>
      </c>
      <c r="B660" s="91" t="s">
        <v>677</v>
      </c>
      <c r="C660" s="186">
        <v>1</v>
      </c>
      <c r="D660" s="186">
        <v>4</v>
      </c>
      <c r="E660" s="165" t="s">
        <v>1050</v>
      </c>
      <c r="F660" s="179" t="s">
        <v>1055</v>
      </c>
      <c r="G660" s="186">
        <f ca="1">OFFSET(卡牌辅助配置表!$C$1,MATCH(AC660,卡牌辅助配置表!A:A,0)-1,0)</f>
        <v>0</v>
      </c>
      <c r="H660" s="186">
        <f ca="1" t="shared" si="108"/>
        <v>0</v>
      </c>
      <c r="I660" s="186"/>
      <c r="J660" s="186">
        <f ca="1">OFFSET(card_type!$F$1,MATCH(Q660,card_type!A:A,0)-1,0)</f>
        <v>4</v>
      </c>
      <c r="K660" s="243">
        <f ca="1">OFFSET(card_type!$G$1,MATCH(Q660,card_type!A:A,0)-1,0)</f>
        <v>2</v>
      </c>
      <c r="L660" s="157">
        <v>2</v>
      </c>
      <c r="M660" s="157">
        <v>2</v>
      </c>
      <c r="N660" s="153">
        <f t="shared" si="110"/>
        <v>25</v>
      </c>
      <c r="O660" s="157"/>
      <c r="P660" s="157"/>
      <c r="Q660" s="153">
        <f ca="1">OFFSET(card_type!$A$1,MATCH(card!B660,card_type!B:B,0)-1,0)</f>
        <v>1402</v>
      </c>
      <c r="R660" s="153">
        <v>1</v>
      </c>
      <c r="S660" s="157">
        <f ca="1">ROUND(IF(R660=0,0,IF(R660=1,X660*$S$1,IF(R660=2,X660*$S$1*buff的资质计算!$E$2,IF(R660=3,X660*$S$1*buff的资质计算!$E$3,0)))),0)*0</f>
        <v>0</v>
      </c>
      <c r="T660" s="153">
        <v>5</v>
      </c>
      <c r="U660" s="153">
        <f ca="1" t="shared" si="111"/>
        <v>42</v>
      </c>
      <c r="V660" s="153">
        <f ca="1">ROUND((OFFSET(卡牌辅助配置表!$O$1,MATCH(U660,卡牌辅助配置表!M:M,0)-1,0)+(N660-1)*OFFSET(卡牌辅助配置表!$P$1,MATCH(U660,卡牌辅助配置表!M:M,0)-1,0))*M660,2)</f>
        <v>219.45</v>
      </c>
      <c r="W660" s="157">
        <f ca="1">ROUND(IF(R660=0,0,IF(R660=1,X660*$W$1,IF(R660=2,X660*$W$1*buff的资质计算!$E$2,IF(R660=3,X660*$W$1*buff的资质计算!$E$3,0)))),2)</f>
        <v>18</v>
      </c>
      <c r="X660" s="157">
        <f ca="1" t="shared" si="112"/>
        <v>60</v>
      </c>
      <c r="Y660" s="157">
        <f ca="1" t="shared" si="117"/>
        <v>60</v>
      </c>
      <c r="Z660" s="304">
        <f ca="1" t="shared" si="113"/>
        <v>30</v>
      </c>
      <c r="AA660" s="304">
        <f ca="1">OFFSET(卡牌辅助配置表!$AD$1,MATCH(AB660,卡牌辅助配置表!AB:AB,0)-1,0)</f>
        <v>16100</v>
      </c>
      <c r="AB660" s="304">
        <f ca="1" t="shared" si="114"/>
        <v>4225</v>
      </c>
      <c r="AC660" s="153">
        <v>12</v>
      </c>
      <c r="AF660" s="153" t="str">
        <f ca="1" t="shared" si="118"/>
        <v>14020011|</v>
      </c>
      <c r="AJ660" s="205" t="str">
        <f ca="1" t="shared" si="115"/>
        <v>400023|16650|;</v>
      </c>
      <c r="AK660" s="205">
        <f ca="1">OFFSET([1]item_type!$A$1,MATCH(Q660,[1]item_type!$G:$G,0)-1,0)</f>
        <v>301402</v>
      </c>
      <c r="AL660" s="205"/>
      <c r="AM660" s="205">
        <f ca="1">IF(B660=B661,OFFSET(卡牌辅助配置表!$AE$1,MATCH(AB660,卡牌辅助配置表!AB:AB,0),0),0)</f>
        <v>16650</v>
      </c>
      <c r="AN660" s="153">
        <f ca="1" t="shared" si="116"/>
        <v>1402026</v>
      </c>
      <c r="AP660" s="153">
        <f ca="1">IF(AC660=0,0,IF(AC660=12,0,OFFSET(effect!$N$1,MATCH(K660,effect!M:M,0)-1,0)))</f>
        <v>0</v>
      </c>
    </row>
    <row r="661" spans="1:42">
      <c r="A661" s="153">
        <f ca="1" t="shared" si="109"/>
        <v>1402026</v>
      </c>
      <c r="B661" s="91" t="s">
        <v>677</v>
      </c>
      <c r="C661" s="186">
        <v>1</v>
      </c>
      <c r="D661" s="186">
        <v>4</v>
      </c>
      <c r="E661" s="165" t="s">
        <v>1050</v>
      </c>
      <c r="F661" s="179" t="s">
        <v>1055</v>
      </c>
      <c r="G661" s="186">
        <f ca="1">OFFSET(卡牌辅助配置表!$C$1,MATCH(AC661,卡牌辅助配置表!A:A,0)-1,0)</f>
        <v>0</v>
      </c>
      <c r="H661" s="186">
        <f ca="1" t="shared" si="108"/>
        <v>0</v>
      </c>
      <c r="I661" s="186"/>
      <c r="J661" s="186">
        <f ca="1">OFFSET(card_type!$F$1,MATCH(Q661,card_type!A:A,0)-1,0)</f>
        <v>4</v>
      </c>
      <c r="K661" s="243">
        <f ca="1">OFFSET(card_type!$G$1,MATCH(Q661,card_type!A:A,0)-1,0)</f>
        <v>2</v>
      </c>
      <c r="L661" s="157">
        <v>2</v>
      </c>
      <c r="M661" s="157">
        <v>2</v>
      </c>
      <c r="N661" s="153">
        <f t="shared" si="110"/>
        <v>26</v>
      </c>
      <c r="O661" s="157"/>
      <c r="P661" s="157"/>
      <c r="Q661" s="153">
        <f ca="1">OFFSET(card_type!$A$1,MATCH(card!B661,card_type!B:B,0)-1,0)</f>
        <v>1402</v>
      </c>
      <c r="R661" s="153">
        <v>1</v>
      </c>
      <c r="S661" s="157">
        <f ca="1">ROUND(IF(R661=0,0,IF(R661=1,X661*$S$1,IF(R661=2,X661*$S$1*buff的资质计算!$E$2,IF(R661=3,X661*$S$1*buff的资质计算!$E$3,0)))),0)*0</f>
        <v>0</v>
      </c>
      <c r="T661" s="153">
        <v>5</v>
      </c>
      <c r="U661" s="153">
        <f ca="1" t="shared" si="111"/>
        <v>42</v>
      </c>
      <c r="V661" s="153">
        <f ca="1">ROUND((OFFSET(卡牌辅助配置表!$O$1,MATCH(U661,卡牌辅助配置表!M:M,0)-1,0)+(N661-1)*OFFSET(卡牌辅助配置表!$P$1,MATCH(U661,卡牌辅助配置表!M:M,0)-1,0))*M661,2)</f>
        <v>226.75</v>
      </c>
      <c r="W661" s="157">
        <f ca="1">ROUND(IF(R661=0,0,IF(R661=1,X661*$W$1,IF(R661=2,X661*$W$1*buff的资质计算!$E$2,IF(R661=3,X661*$W$1*buff的资质计算!$E$3,0)))),2)</f>
        <v>18.15</v>
      </c>
      <c r="X661" s="157">
        <f ca="1" t="shared" si="112"/>
        <v>60.5</v>
      </c>
      <c r="Y661" s="157">
        <f ca="1" t="shared" si="117"/>
        <v>60.5</v>
      </c>
      <c r="Z661" s="304">
        <f ca="1" t="shared" si="113"/>
        <v>30.25</v>
      </c>
      <c r="AA661" s="304">
        <f ca="1">OFFSET(卡牌辅助配置表!$AD$1,MATCH(AB661,卡牌辅助配置表!AB:AB,0)-1,0)</f>
        <v>17020</v>
      </c>
      <c r="AB661" s="304">
        <f ca="1" t="shared" si="114"/>
        <v>4226</v>
      </c>
      <c r="AC661" s="153">
        <v>12</v>
      </c>
      <c r="AF661" s="153" t="str">
        <f ca="1" t="shared" si="118"/>
        <v>14020011|</v>
      </c>
      <c r="AJ661" s="205" t="str">
        <f ca="1" t="shared" si="115"/>
        <v>400023|17850|;</v>
      </c>
      <c r="AK661" s="205">
        <f ca="1">OFFSET([1]item_type!$A$1,MATCH(Q661,[1]item_type!$G:$G,0)-1,0)</f>
        <v>301402</v>
      </c>
      <c r="AL661" s="205"/>
      <c r="AM661" s="205">
        <f ca="1">IF(B661=B662,OFFSET(卡牌辅助配置表!$AE$1,MATCH(AB661,卡牌辅助配置表!AB:AB,0),0),0)</f>
        <v>17850</v>
      </c>
      <c r="AN661" s="153">
        <f ca="1" t="shared" si="116"/>
        <v>1402027</v>
      </c>
      <c r="AP661" s="153">
        <f ca="1">IF(AC661=0,0,IF(AC661=12,0,OFFSET(effect!$N$1,MATCH(K661,effect!M:M,0)-1,0)))</f>
        <v>0</v>
      </c>
    </row>
    <row r="662" spans="1:42">
      <c r="A662" s="153">
        <f ca="1" t="shared" si="109"/>
        <v>1402027</v>
      </c>
      <c r="B662" s="91" t="s">
        <v>677</v>
      </c>
      <c r="C662" s="186">
        <v>1</v>
      </c>
      <c r="D662" s="186">
        <v>4</v>
      </c>
      <c r="E662" s="165" t="s">
        <v>1050</v>
      </c>
      <c r="F662" s="179" t="s">
        <v>1055</v>
      </c>
      <c r="G662" s="186">
        <f ca="1">OFFSET(卡牌辅助配置表!$C$1,MATCH(AC662,卡牌辅助配置表!A:A,0)-1,0)</f>
        <v>0</v>
      </c>
      <c r="H662" s="186">
        <f ca="1" t="shared" si="108"/>
        <v>0</v>
      </c>
      <c r="I662" s="186"/>
      <c r="J662" s="186">
        <f ca="1">OFFSET(card_type!$F$1,MATCH(Q662,card_type!A:A,0)-1,0)</f>
        <v>4</v>
      </c>
      <c r="K662" s="243">
        <f ca="1">OFFSET(card_type!$G$1,MATCH(Q662,card_type!A:A,0)-1,0)</f>
        <v>2</v>
      </c>
      <c r="L662" s="157">
        <v>2</v>
      </c>
      <c r="M662" s="157">
        <v>2</v>
      </c>
      <c r="N662" s="153">
        <f t="shared" si="110"/>
        <v>27</v>
      </c>
      <c r="O662" s="157"/>
      <c r="P662" s="157"/>
      <c r="Q662" s="153">
        <f ca="1">OFFSET(card_type!$A$1,MATCH(card!B662,card_type!B:B,0)-1,0)</f>
        <v>1402</v>
      </c>
      <c r="R662" s="153">
        <v>1</v>
      </c>
      <c r="S662" s="157">
        <f ca="1">ROUND(IF(R662=0,0,IF(R662=1,X662*$S$1,IF(R662=2,X662*$S$1*buff的资质计算!$E$2,IF(R662=3,X662*$S$1*buff的资质计算!$E$3,0)))),0)*0</f>
        <v>0</v>
      </c>
      <c r="T662" s="153">
        <v>5</v>
      </c>
      <c r="U662" s="153">
        <f ca="1" t="shared" si="111"/>
        <v>42</v>
      </c>
      <c r="V662" s="153">
        <f ca="1">ROUND((OFFSET(卡牌辅助配置表!$O$1,MATCH(U662,卡牌辅助配置表!M:M,0)-1,0)+(N662-1)*OFFSET(卡牌辅助配置表!$P$1,MATCH(U662,卡牌辅助配置表!M:M,0)-1,0))*M662,2)</f>
        <v>234.05</v>
      </c>
      <c r="W662" s="157">
        <f ca="1">ROUND(IF(R662=0,0,IF(R662=1,X662*$W$1,IF(R662=2,X662*$W$1*buff的资质计算!$E$2,IF(R662=3,X662*$W$1*buff的资质计算!$E$3,0)))),2)</f>
        <v>18.3</v>
      </c>
      <c r="X662" s="157">
        <f ca="1" t="shared" si="112"/>
        <v>61</v>
      </c>
      <c r="Y662" s="157">
        <f ca="1" t="shared" si="117"/>
        <v>61</v>
      </c>
      <c r="Z662" s="304">
        <f ca="1" t="shared" si="113"/>
        <v>30.5</v>
      </c>
      <c r="AA662" s="304">
        <f ca="1">OFFSET(卡牌辅助配置表!$AD$1,MATCH(AB662,卡牌辅助配置表!AB:AB,0)-1,0)</f>
        <v>17940</v>
      </c>
      <c r="AB662" s="304">
        <f ca="1" t="shared" si="114"/>
        <v>4227</v>
      </c>
      <c r="AC662" s="153">
        <v>12</v>
      </c>
      <c r="AF662" s="153" t="str">
        <f ca="1" t="shared" si="118"/>
        <v>14020011|</v>
      </c>
      <c r="AJ662" s="205" t="str">
        <f ca="1" t="shared" si="115"/>
        <v>400023|19050|;</v>
      </c>
      <c r="AK662" s="205">
        <f ca="1">OFFSET([1]item_type!$A$1,MATCH(Q662,[1]item_type!$G:$G,0)-1,0)</f>
        <v>301402</v>
      </c>
      <c r="AL662" s="205"/>
      <c r="AM662" s="205">
        <f ca="1">IF(B662=B663,OFFSET(卡牌辅助配置表!$AE$1,MATCH(AB662,卡牌辅助配置表!AB:AB,0),0),0)</f>
        <v>19050</v>
      </c>
      <c r="AN662" s="153">
        <f ca="1" t="shared" si="116"/>
        <v>1402028</v>
      </c>
      <c r="AP662" s="153">
        <f ca="1">IF(AC662=0,0,IF(AC662=12,0,OFFSET(effect!$N$1,MATCH(K662,effect!M:M,0)-1,0)))</f>
        <v>0</v>
      </c>
    </row>
    <row r="663" spans="1:42">
      <c r="A663" s="153">
        <f ca="1" t="shared" si="109"/>
        <v>1402028</v>
      </c>
      <c r="B663" s="91" t="s">
        <v>677</v>
      </c>
      <c r="C663" s="186">
        <v>1</v>
      </c>
      <c r="D663" s="186">
        <v>4</v>
      </c>
      <c r="E663" s="165" t="s">
        <v>1050</v>
      </c>
      <c r="F663" s="179" t="s">
        <v>1055</v>
      </c>
      <c r="G663" s="186">
        <f ca="1">OFFSET(卡牌辅助配置表!$C$1,MATCH(AC663,卡牌辅助配置表!A:A,0)-1,0)</f>
        <v>0</v>
      </c>
      <c r="H663" s="186">
        <f ca="1" t="shared" si="108"/>
        <v>0</v>
      </c>
      <c r="I663" s="186"/>
      <c r="J663" s="186">
        <f ca="1">OFFSET(card_type!$F$1,MATCH(Q663,card_type!A:A,0)-1,0)</f>
        <v>4</v>
      </c>
      <c r="K663" s="243">
        <f ca="1">OFFSET(card_type!$G$1,MATCH(Q663,card_type!A:A,0)-1,0)</f>
        <v>2</v>
      </c>
      <c r="L663" s="157">
        <v>2</v>
      </c>
      <c r="M663" s="157">
        <v>2</v>
      </c>
      <c r="N663" s="153">
        <f t="shared" si="110"/>
        <v>28</v>
      </c>
      <c r="O663" s="157"/>
      <c r="P663" s="157"/>
      <c r="Q663" s="153">
        <f ca="1">OFFSET(card_type!$A$1,MATCH(card!B663,card_type!B:B,0)-1,0)</f>
        <v>1402</v>
      </c>
      <c r="R663" s="153">
        <v>1</v>
      </c>
      <c r="S663" s="157">
        <f ca="1">ROUND(IF(R663=0,0,IF(R663=1,X663*$S$1,IF(R663=2,X663*$S$1*buff的资质计算!$E$2,IF(R663=3,X663*$S$1*buff的资质计算!$E$3,0)))),0)*0</f>
        <v>0</v>
      </c>
      <c r="T663" s="153">
        <v>5</v>
      </c>
      <c r="U663" s="153">
        <f ca="1" t="shared" si="111"/>
        <v>42</v>
      </c>
      <c r="V663" s="153">
        <f ca="1">ROUND((OFFSET(卡牌辅助配置表!$O$1,MATCH(U663,卡牌辅助配置表!M:M,0)-1,0)+(N663-1)*OFFSET(卡牌辅助配置表!$P$1,MATCH(U663,卡牌辅助配置表!M:M,0)-1,0))*M663,2)</f>
        <v>241.35</v>
      </c>
      <c r="W663" s="157">
        <f ca="1">ROUND(IF(R663=0,0,IF(R663=1,X663*$W$1,IF(R663=2,X663*$W$1*buff的资质计算!$E$2,IF(R663=3,X663*$W$1*buff的资质计算!$E$3,0)))),2)</f>
        <v>18.45</v>
      </c>
      <c r="X663" s="157">
        <f ca="1" t="shared" si="112"/>
        <v>61.5</v>
      </c>
      <c r="Y663" s="157">
        <f ca="1" t="shared" si="117"/>
        <v>61.5</v>
      </c>
      <c r="Z663" s="304">
        <f ca="1" t="shared" si="113"/>
        <v>30.75</v>
      </c>
      <c r="AA663" s="304">
        <f ca="1">OFFSET(卡牌辅助配置表!$AD$1,MATCH(AB663,卡牌辅助配置表!AB:AB,0)-1,0)</f>
        <v>18860</v>
      </c>
      <c r="AB663" s="304">
        <f ca="1" t="shared" si="114"/>
        <v>4228</v>
      </c>
      <c r="AC663" s="153">
        <v>12</v>
      </c>
      <c r="AF663" s="153" t="str">
        <f ca="1" t="shared" si="118"/>
        <v>14020011|</v>
      </c>
      <c r="AJ663" s="205" t="str">
        <f ca="1" t="shared" si="115"/>
        <v>400023|20250|;</v>
      </c>
      <c r="AK663" s="205">
        <f ca="1">OFFSET([1]item_type!$A$1,MATCH(Q663,[1]item_type!$G:$G,0)-1,0)</f>
        <v>301402</v>
      </c>
      <c r="AL663" s="205"/>
      <c r="AM663" s="205">
        <f ca="1">IF(B663=B664,OFFSET(卡牌辅助配置表!$AE$1,MATCH(AB663,卡牌辅助配置表!AB:AB,0),0),0)</f>
        <v>20250</v>
      </c>
      <c r="AN663" s="153">
        <f ca="1" t="shared" si="116"/>
        <v>1402029</v>
      </c>
      <c r="AP663" s="153">
        <f ca="1">IF(AC663=0,0,IF(AC663=12,0,OFFSET(effect!$N$1,MATCH(K663,effect!M:M,0)-1,0)))</f>
        <v>0</v>
      </c>
    </row>
    <row r="664" spans="1:42">
      <c r="A664" s="153">
        <f ca="1" t="shared" si="109"/>
        <v>1402029</v>
      </c>
      <c r="B664" s="91" t="s">
        <v>677</v>
      </c>
      <c r="C664" s="186">
        <v>1</v>
      </c>
      <c r="D664" s="186">
        <v>4</v>
      </c>
      <c r="E664" s="165" t="s">
        <v>1050</v>
      </c>
      <c r="F664" s="179" t="s">
        <v>1055</v>
      </c>
      <c r="G664" s="186">
        <f ca="1">OFFSET(卡牌辅助配置表!$C$1,MATCH(AC664,卡牌辅助配置表!A:A,0)-1,0)</f>
        <v>0</v>
      </c>
      <c r="H664" s="186">
        <f ca="1" t="shared" si="108"/>
        <v>0</v>
      </c>
      <c r="I664" s="186"/>
      <c r="J664" s="186">
        <f ca="1">OFFSET(card_type!$F$1,MATCH(Q664,card_type!A:A,0)-1,0)</f>
        <v>4</v>
      </c>
      <c r="K664" s="243">
        <f ca="1">OFFSET(card_type!$G$1,MATCH(Q664,card_type!A:A,0)-1,0)</f>
        <v>2</v>
      </c>
      <c r="L664" s="157">
        <v>2</v>
      </c>
      <c r="M664" s="157">
        <v>2</v>
      </c>
      <c r="N664" s="153">
        <f t="shared" si="110"/>
        <v>29</v>
      </c>
      <c r="O664" s="157"/>
      <c r="P664" s="157"/>
      <c r="Q664" s="153">
        <f ca="1">OFFSET(card_type!$A$1,MATCH(card!B664,card_type!B:B,0)-1,0)</f>
        <v>1402</v>
      </c>
      <c r="R664" s="153">
        <v>1</v>
      </c>
      <c r="S664" s="157">
        <f ca="1">ROUND(IF(R664=0,0,IF(R664=1,X664*$S$1,IF(R664=2,X664*$S$1*buff的资质计算!$E$2,IF(R664=3,X664*$S$1*buff的资质计算!$E$3,0)))),0)*0</f>
        <v>0</v>
      </c>
      <c r="T664" s="153">
        <v>5</v>
      </c>
      <c r="U664" s="153">
        <f ca="1" t="shared" si="111"/>
        <v>42</v>
      </c>
      <c r="V664" s="153">
        <f ca="1">ROUND((OFFSET(卡牌辅助配置表!$O$1,MATCH(U664,卡牌辅助配置表!M:M,0)-1,0)+(N664-1)*OFFSET(卡牌辅助配置表!$P$1,MATCH(U664,卡牌辅助配置表!M:M,0)-1,0))*M664,2)</f>
        <v>248.65</v>
      </c>
      <c r="W664" s="157">
        <f ca="1">ROUND(IF(R664=0,0,IF(R664=1,X664*$W$1,IF(R664=2,X664*$W$1*buff的资质计算!$E$2,IF(R664=3,X664*$W$1*buff的资质计算!$E$3,0)))),2)</f>
        <v>18.6</v>
      </c>
      <c r="X664" s="157">
        <f ca="1" t="shared" si="112"/>
        <v>62</v>
      </c>
      <c r="Y664" s="157">
        <f ca="1" t="shared" si="117"/>
        <v>62</v>
      </c>
      <c r="Z664" s="304">
        <f ca="1" t="shared" si="113"/>
        <v>31</v>
      </c>
      <c r="AA664" s="304">
        <f ca="1">OFFSET(卡牌辅助配置表!$AD$1,MATCH(AB664,卡牌辅助配置表!AB:AB,0)-1,0)</f>
        <v>19780</v>
      </c>
      <c r="AB664" s="304">
        <f ca="1" t="shared" si="114"/>
        <v>4229</v>
      </c>
      <c r="AC664" s="153">
        <v>12</v>
      </c>
      <c r="AF664" s="153" t="str">
        <f ca="1" t="shared" si="118"/>
        <v>14020011|</v>
      </c>
      <c r="AJ664" s="205" t="str">
        <f ca="1" t="shared" si="115"/>
        <v>301402|30|;400023|21450|;</v>
      </c>
      <c r="AK664" s="205">
        <f ca="1">OFFSET([1]item_type!$A$1,MATCH(Q664,[1]item_type!$G:$G,0)-1,0)</f>
        <v>301402</v>
      </c>
      <c r="AL664" s="205">
        <v>30</v>
      </c>
      <c r="AM664" s="205">
        <f ca="1">IF(B664=B665,OFFSET(卡牌辅助配置表!$AE$1,MATCH(AB664,卡牌辅助配置表!AB:AB,0),0),0)</f>
        <v>21450</v>
      </c>
      <c r="AN664" s="153">
        <f ca="1" t="shared" si="116"/>
        <v>1402030</v>
      </c>
      <c r="AP664" s="153">
        <f ca="1">IF(AC664=0,0,IF(AC664=12,0,OFFSET(effect!$N$1,MATCH(K664,effect!M:M,0)-1,0)))</f>
        <v>0</v>
      </c>
    </row>
    <row r="665" spans="1:42">
      <c r="A665" s="153">
        <f ca="1" t="shared" si="109"/>
        <v>1402030</v>
      </c>
      <c r="B665" s="91" t="s">
        <v>677</v>
      </c>
      <c r="C665" s="186">
        <v>1</v>
      </c>
      <c r="D665" s="186">
        <v>4</v>
      </c>
      <c r="E665" s="165" t="s">
        <v>1050</v>
      </c>
      <c r="F665" s="179" t="s">
        <v>1055</v>
      </c>
      <c r="G665" s="186">
        <f ca="1">OFFSET(卡牌辅助配置表!$C$1,MATCH(AC665,卡牌辅助配置表!A:A,0)-1,0)</f>
        <v>0</v>
      </c>
      <c r="H665" s="186">
        <f ca="1" t="shared" si="108"/>
        <v>0</v>
      </c>
      <c r="I665" s="186"/>
      <c r="J665" s="186">
        <f ca="1">OFFSET(card_type!$F$1,MATCH(Q665,card_type!A:A,0)-1,0)</f>
        <v>4</v>
      </c>
      <c r="K665" s="243">
        <f ca="1">OFFSET(card_type!$G$1,MATCH(Q665,card_type!A:A,0)-1,0)</f>
        <v>2</v>
      </c>
      <c r="L665" s="157">
        <v>2</v>
      </c>
      <c r="M665" s="157">
        <v>2</v>
      </c>
      <c r="N665" s="153">
        <f t="shared" si="110"/>
        <v>30</v>
      </c>
      <c r="O665" s="157"/>
      <c r="P665" s="157"/>
      <c r="Q665" s="153">
        <f ca="1">OFFSET(card_type!$A$1,MATCH(card!B665,card_type!B:B,0)-1,0)</f>
        <v>1402</v>
      </c>
      <c r="R665" s="153">
        <v>1</v>
      </c>
      <c r="S665" s="157">
        <f ca="1">ROUND(IF(R665=0,0,IF(R665=1,X665*$S$1,IF(R665=2,X665*$S$1*buff的资质计算!$E$2,IF(R665=3,X665*$S$1*buff的资质计算!$E$3,0)))),0)*0</f>
        <v>0</v>
      </c>
      <c r="T665" s="153">
        <v>5</v>
      </c>
      <c r="U665" s="153">
        <f ca="1" t="shared" si="111"/>
        <v>42</v>
      </c>
      <c r="V665" s="153">
        <f ca="1">ROUND((OFFSET(卡牌辅助配置表!$O$1,MATCH(U665,卡牌辅助配置表!M:M,0)-1,0)+(N665-1)*OFFSET(卡牌辅助配置表!$P$1,MATCH(U665,卡牌辅助配置表!M:M,0)-1,0))*M665,2)</f>
        <v>255.95</v>
      </c>
      <c r="W665" s="157">
        <f ca="1">ROUND(IF(R665=0,0,IF(R665=1,X665*$W$1,IF(R665=2,X665*$W$1*buff的资质计算!$E$2,IF(R665=3,X665*$W$1*buff的资质计算!$E$3,0)))),2)</f>
        <v>18.75</v>
      </c>
      <c r="X665" s="157">
        <f ca="1" t="shared" si="112"/>
        <v>62.5</v>
      </c>
      <c r="Y665" s="157">
        <f ca="1" t="shared" si="117"/>
        <v>62.5</v>
      </c>
      <c r="Z665" s="304">
        <f ca="1" t="shared" si="113"/>
        <v>31.25</v>
      </c>
      <c r="AA665" s="304">
        <f ca="1">OFFSET(卡牌辅助配置表!$AD$1,MATCH(AB665,卡牌辅助配置表!AB:AB,0)-1,0)</f>
        <v>20700</v>
      </c>
      <c r="AB665" s="304">
        <f ca="1" t="shared" si="114"/>
        <v>4230</v>
      </c>
      <c r="AC665" s="153">
        <v>12</v>
      </c>
      <c r="AF665" s="153" t="str">
        <f ca="1" t="shared" si="118"/>
        <v>14020011|</v>
      </c>
      <c r="AJ665" s="205">
        <f ca="1" t="shared" si="115"/>
        <v>0</v>
      </c>
      <c r="AK665" s="205">
        <f ca="1">OFFSET([1]item_type!$A$1,MATCH(Q665,[1]item_type!$G:$G,0)-1,0)</f>
        <v>301402</v>
      </c>
      <c r="AL665" s="205"/>
      <c r="AM665" s="205">
        <f ca="1">IF(B665=B666,OFFSET(卡牌辅助配置表!$AE$1,MATCH(AB665,卡牌辅助配置表!AB:AB,0),0),0)</f>
        <v>0</v>
      </c>
      <c r="AN665" s="153">
        <f ca="1" t="shared" si="116"/>
        <v>0</v>
      </c>
      <c r="AP665" s="153">
        <f ca="1">IF(AC665=0,0,IF(AC665=12,0,OFFSET(effect!$N$1,MATCH(K665,effect!M:M,0)-1,0)))</f>
        <v>0</v>
      </c>
    </row>
    <row r="666" spans="1:42">
      <c r="A666" s="153">
        <f ca="1" t="shared" si="109"/>
        <v>1404001</v>
      </c>
      <c r="B666" s="152" t="s">
        <v>685</v>
      </c>
      <c r="C666" s="186">
        <v>1</v>
      </c>
      <c r="D666" s="186">
        <v>6</v>
      </c>
      <c r="E666" s="165"/>
      <c r="F666" s="179" t="s">
        <v>1056</v>
      </c>
      <c r="G666" s="186">
        <f ca="1">OFFSET(卡牌辅助配置表!$C$1,MATCH(AC666,卡牌辅助配置表!A:A,0)-1,0)</f>
        <v>0</v>
      </c>
      <c r="H666" s="186">
        <f ca="1">OFFSET(skill!$Q$1,MATCH(B666,skill!B:B,0)-1,0)</f>
        <v>1.5</v>
      </c>
      <c r="I666" s="186"/>
      <c r="J666" s="186">
        <f ca="1">OFFSET(card_type!$F$1,MATCH(Q666,card_type!A:A,0)-1,0)</f>
        <v>4</v>
      </c>
      <c r="K666" s="243">
        <f ca="1">OFFSET(card_type!$G$1,MATCH(Q666,card_type!A:A,0)-1,0)</f>
        <v>3</v>
      </c>
      <c r="L666" s="157">
        <v>3</v>
      </c>
      <c r="M666" s="157">
        <v>3</v>
      </c>
      <c r="N666" s="153">
        <f t="shared" si="110"/>
        <v>1</v>
      </c>
      <c r="O666" s="157"/>
      <c r="P666" s="157"/>
      <c r="Q666" s="153">
        <f ca="1">OFFSET(card_type!$A$1,MATCH(card!B666,card_type!B:B,0)-1,0)</f>
        <v>1404</v>
      </c>
      <c r="R666" s="153">
        <v>1</v>
      </c>
      <c r="S666" s="157">
        <f ca="1">ROUND(IF(R666=0,0,IF(R666=1,X666*$S$1,IF(R666=2,X666*$S$1*buff的资质计算!$E$2,IF(R666=3,X666*$S$1*buff的资质计算!$E$3,0)))),0)*0</f>
        <v>0</v>
      </c>
      <c r="T666" s="153">
        <v>1</v>
      </c>
      <c r="U666" s="153">
        <f ca="1" t="shared" si="111"/>
        <v>43</v>
      </c>
      <c r="V666" s="153">
        <f ca="1">ROUND((OFFSET(卡牌辅助配置表!$O$1,MATCH(U666,卡牌辅助配置表!M:M,0)-1,0)+(N666-1)*OFFSET(卡牌辅助配置表!$P$1,MATCH(U666,卡牌辅助配置表!M:M,0)-1,0))*M666,2)</f>
        <v>106.2</v>
      </c>
      <c r="W666" s="157">
        <f ca="1">ROUND(IF(R666=0,0,IF(R666=1,X666*$W$1,IF(R666=2,X666*$W$1*buff的资质计算!$E$2,IF(R666=3,X666*$W$1*buff的资质计算!$E$3,0)))),2)</f>
        <v>25.2</v>
      </c>
      <c r="X666" s="157">
        <f ca="1" t="shared" si="112"/>
        <v>84</v>
      </c>
      <c r="Y666" s="157">
        <f ca="1" t="shared" si="117"/>
        <v>85.5</v>
      </c>
      <c r="Z666" s="304">
        <f ca="1" t="shared" si="113"/>
        <v>28.5</v>
      </c>
      <c r="AA666" s="304">
        <f ca="1">OFFSET(卡牌辅助配置表!$AD$1,MATCH(AB666,卡牌辅助配置表!AB:AB,0)-1,0)</f>
        <v>1150</v>
      </c>
      <c r="AB666" s="304">
        <f ca="1" t="shared" si="114"/>
        <v>4301</v>
      </c>
      <c r="AC666" s="153">
        <v>12</v>
      </c>
      <c r="AF666" s="153" t="str">
        <f ca="1" t="shared" si="118"/>
        <v>14040011|</v>
      </c>
      <c r="AJ666" s="205" t="str">
        <f ca="1" t="shared" si="115"/>
        <v>400023|1400|;</v>
      </c>
      <c r="AK666" s="205">
        <f ca="1">OFFSET([1]item_type!$A$1,MATCH(Q666,[1]item_type!$G:$G,0)-1,0)</f>
        <v>301404</v>
      </c>
      <c r="AL666" s="205"/>
      <c r="AM666" s="205">
        <f ca="1">IF(B666=B667,OFFSET(卡牌辅助配置表!$AE$1,MATCH(AB666,卡牌辅助配置表!AB:AB,0),0),0)</f>
        <v>1400</v>
      </c>
      <c r="AN666" s="153">
        <f ca="1" t="shared" si="116"/>
        <v>1404002</v>
      </c>
      <c r="AP666" s="153">
        <f ca="1">IF(AC666=0,0,IF(AC666=12,0,OFFSET(effect!$N$1,MATCH(K666,effect!M:M,0)-1,0)))</f>
        <v>0</v>
      </c>
    </row>
    <row r="667" spans="1:42">
      <c r="A667" s="153">
        <f ca="1" t="shared" si="109"/>
        <v>1404002</v>
      </c>
      <c r="B667" s="91" t="s">
        <v>685</v>
      </c>
      <c r="C667" s="186">
        <v>1</v>
      </c>
      <c r="D667" s="186">
        <v>6</v>
      </c>
      <c r="E667" s="165"/>
      <c r="F667" s="179" t="s">
        <v>1056</v>
      </c>
      <c r="G667" s="186">
        <f ca="1">OFFSET(卡牌辅助配置表!$C$1,MATCH(AC667,卡牌辅助配置表!A:A,0)-1,0)</f>
        <v>0</v>
      </c>
      <c r="H667" s="186">
        <f ca="1">OFFSET(skill!$Q$1,MATCH(B667,skill!B:B,0)-1,0)</f>
        <v>1.5</v>
      </c>
      <c r="I667" s="186"/>
      <c r="J667" s="186">
        <f ca="1">OFFSET(card_type!$F$1,MATCH(Q667,card_type!A:A,0)-1,0)</f>
        <v>4</v>
      </c>
      <c r="K667" s="243">
        <f ca="1">OFFSET(card_type!$G$1,MATCH(Q667,card_type!A:A,0)-1,0)</f>
        <v>3</v>
      </c>
      <c r="L667" s="157">
        <v>3</v>
      </c>
      <c r="M667" s="157">
        <v>3</v>
      </c>
      <c r="N667" s="153">
        <f t="shared" si="110"/>
        <v>2</v>
      </c>
      <c r="O667" s="157"/>
      <c r="P667" s="157"/>
      <c r="Q667" s="153">
        <f ca="1">OFFSET(card_type!$A$1,MATCH(card!B667,card_type!B:B,0)-1,0)</f>
        <v>1404</v>
      </c>
      <c r="R667" s="153">
        <v>1</v>
      </c>
      <c r="S667" s="157">
        <f ca="1">ROUND(IF(R667=0,0,IF(R667=1,X667*$S$1,IF(R667=2,X667*$S$1*buff的资质计算!$E$2,IF(R667=3,X667*$S$1*buff的资质计算!$E$3,0)))),0)*0</f>
        <v>0</v>
      </c>
      <c r="T667" s="153">
        <v>1</v>
      </c>
      <c r="U667" s="153">
        <f ca="1" t="shared" si="111"/>
        <v>43</v>
      </c>
      <c r="V667" s="153">
        <f ca="1">ROUND((OFFSET(卡牌辅助配置表!$O$1,MATCH(U667,卡牌辅助配置表!M:M,0)-1,0)+(N667-1)*OFFSET(卡牌辅助配置表!$P$1,MATCH(U667,卡牌辅助配置表!M:M,0)-1,0))*M667,2)</f>
        <v>120.36</v>
      </c>
      <c r="W667" s="157">
        <f ca="1">ROUND(IF(R667=0,0,IF(R667=1,X667*$W$1,IF(R667=2,X667*$W$1*buff的资质计算!$E$2,IF(R667=3,X667*$W$1*buff的资质计算!$E$3,0)))),2)</f>
        <v>25.35</v>
      </c>
      <c r="X667" s="157">
        <f ca="1" t="shared" si="112"/>
        <v>84.5</v>
      </c>
      <c r="Y667" s="157">
        <f ca="1" t="shared" si="117"/>
        <v>86</v>
      </c>
      <c r="Z667" s="304">
        <f ca="1" t="shared" si="113"/>
        <v>28.6666666666667</v>
      </c>
      <c r="AA667" s="304">
        <f ca="1">OFFSET(卡牌辅助配置表!$AD$1,MATCH(AB667,卡牌辅助配置表!AB:AB,0)-1,0)</f>
        <v>2300</v>
      </c>
      <c r="AB667" s="304">
        <f ca="1" t="shared" si="114"/>
        <v>4302</v>
      </c>
      <c r="AC667" s="153">
        <v>12</v>
      </c>
      <c r="AF667" s="153" t="str">
        <f ca="1" t="shared" si="118"/>
        <v>14040011|</v>
      </c>
      <c r="AJ667" s="205" t="str">
        <f ca="1" t="shared" si="115"/>
        <v>400023|1800|;</v>
      </c>
      <c r="AK667" s="205">
        <f ca="1">OFFSET([1]item_type!$A$1,MATCH(Q667,[1]item_type!$G:$G,0)-1,0)</f>
        <v>301404</v>
      </c>
      <c r="AL667" s="205"/>
      <c r="AM667" s="205">
        <f ca="1">IF(B667=B668,OFFSET(卡牌辅助配置表!$AE$1,MATCH(AB667,卡牌辅助配置表!AB:AB,0),0),0)</f>
        <v>1800</v>
      </c>
      <c r="AN667" s="153">
        <f ca="1" t="shared" si="116"/>
        <v>1404003</v>
      </c>
      <c r="AP667" s="153">
        <f ca="1">IF(AC667=0,0,IF(AC667=12,0,OFFSET(effect!$N$1,MATCH(K667,effect!M:M,0)-1,0)))</f>
        <v>0</v>
      </c>
    </row>
    <row r="668" spans="1:42">
      <c r="A668" s="153">
        <f ca="1" t="shared" si="109"/>
        <v>1404003</v>
      </c>
      <c r="B668" s="91" t="s">
        <v>685</v>
      </c>
      <c r="C668" s="186">
        <v>1</v>
      </c>
      <c r="D668" s="186">
        <v>6</v>
      </c>
      <c r="E668" s="165"/>
      <c r="F668" s="179" t="s">
        <v>1056</v>
      </c>
      <c r="G668" s="186">
        <f ca="1">OFFSET(卡牌辅助配置表!$C$1,MATCH(AC668,卡牌辅助配置表!A:A,0)-1,0)</f>
        <v>0</v>
      </c>
      <c r="H668" s="186">
        <f ca="1">OFFSET(skill!$Q$1,MATCH(B668,skill!B:B,0)-1,0)</f>
        <v>1.5</v>
      </c>
      <c r="I668" s="186"/>
      <c r="J668" s="186">
        <f ca="1">OFFSET(card_type!$F$1,MATCH(Q668,card_type!A:A,0)-1,0)</f>
        <v>4</v>
      </c>
      <c r="K668" s="243">
        <f ca="1">OFFSET(card_type!$G$1,MATCH(Q668,card_type!A:A,0)-1,0)</f>
        <v>3</v>
      </c>
      <c r="L668" s="157">
        <v>3</v>
      </c>
      <c r="M668" s="157">
        <v>3</v>
      </c>
      <c r="N668" s="153">
        <f t="shared" si="110"/>
        <v>3</v>
      </c>
      <c r="O668" s="157"/>
      <c r="P668" s="157"/>
      <c r="Q668" s="153">
        <f ca="1">OFFSET(card_type!$A$1,MATCH(card!B668,card_type!B:B,0)-1,0)</f>
        <v>1404</v>
      </c>
      <c r="R668" s="153">
        <v>1</v>
      </c>
      <c r="S668" s="157">
        <f ca="1">ROUND(IF(R668=0,0,IF(R668=1,X668*$S$1,IF(R668=2,X668*$S$1*buff的资质计算!$E$2,IF(R668=3,X668*$S$1*buff的资质计算!$E$3,0)))),0)*0</f>
        <v>0</v>
      </c>
      <c r="T668" s="153">
        <v>1</v>
      </c>
      <c r="U668" s="153">
        <f ca="1" t="shared" si="111"/>
        <v>43</v>
      </c>
      <c r="V668" s="153">
        <f ca="1">ROUND((OFFSET(卡牌辅助配置表!$O$1,MATCH(U668,卡牌辅助配置表!M:M,0)-1,0)+(N668-1)*OFFSET(卡牌辅助配置表!$P$1,MATCH(U668,卡牌辅助配置表!M:M,0)-1,0))*M668,2)</f>
        <v>134.52</v>
      </c>
      <c r="W668" s="157">
        <f ca="1">ROUND(IF(R668=0,0,IF(R668=1,X668*$W$1,IF(R668=2,X668*$W$1*buff的资质计算!$E$2,IF(R668=3,X668*$W$1*buff的资质计算!$E$3,0)))),2)</f>
        <v>25.5</v>
      </c>
      <c r="X668" s="157">
        <f ca="1" t="shared" si="112"/>
        <v>85</v>
      </c>
      <c r="Y668" s="157">
        <f ca="1" t="shared" si="117"/>
        <v>86.5</v>
      </c>
      <c r="Z668" s="304">
        <f ca="1" t="shared" si="113"/>
        <v>28.8333333333333</v>
      </c>
      <c r="AA668" s="304">
        <f ca="1">OFFSET(卡牌辅助配置表!$AD$1,MATCH(AB668,卡牌辅助配置表!AB:AB,0)-1,0)</f>
        <v>3450</v>
      </c>
      <c r="AB668" s="304">
        <f ca="1" t="shared" si="114"/>
        <v>4303</v>
      </c>
      <c r="AC668" s="153">
        <v>12</v>
      </c>
      <c r="AF668" s="153" t="str">
        <f ca="1" t="shared" si="118"/>
        <v>14040011|</v>
      </c>
      <c r="AJ668" s="205" t="str">
        <f ca="1" t="shared" si="115"/>
        <v>400023|2200|;</v>
      </c>
      <c r="AK668" s="205">
        <f ca="1">OFFSET([1]item_type!$A$1,MATCH(Q668,[1]item_type!$G:$G,0)-1,0)</f>
        <v>301404</v>
      </c>
      <c r="AL668" s="205"/>
      <c r="AM668" s="205">
        <f ca="1">IF(B668=B669,OFFSET(卡牌辅助配置表!$AE$1,MATCH(AB668,卡牌辅助配置表!AB:AB,0),0),0)</f>
        <v>2200</v>
      </c>
      <c r="AN668" s="153">
        <f ca="1" t="shared" si="116"/>
        <v>1404004</v>
      </c>
      <c r="AP668" s="153">
        <f ca="1">IF(AC668=0,0,IF(AC668=12,0,OFFSET(effect!$N$1,MATCH(K668,effect!M:M,0)-1,0)))</f>
        <v>0</v>
      </c>
    </row>
    <row r="669" spans="1:42">
      <c r="A669" s="153">
        <f ca="1" t="shared" si="109"/>
        <v>1404004</v>
      </c>
      <c r="B669" s="91" t="s">
        <v>685</v>
      </c>
      <c r="C669" s="186">
        <v>1</v>
      </c>
      <c r="D669" s="186">
        <v>6</v>
      </c>
      <c r="E669" s="165"/>
      <c r="F669" s="179" t="s">
        <v>1056</v>
      </c>
      <c r="G669" s="186">
        <f ca="1">OFFSET(卡牌辅助配置表!$C$1,MATCH(AC669,卡牌辅助配置表!A:A,0)-1,0)</f>
        <v>0</v>
      </c>
      <c r="H669" s="186">
        <f ca="1">OFFSET(skill!$Q$1,MATCH(B669,skill!B:B,0)-1,0)</f>
        <v>1.5</v>
      </c>
      <c r="I669" s="186"/>
      <c r="J669" s="186">
        <f ca="1">OFFSET(card_type!$F$1,MATCH(Q669,card_type!A:A,0)-1,0)</f>
        <v>4</v>
      </c>
      <c r="K669" s="243">
        <f ca="1">OFFSET(card_type!$G$1,MATCH(Q669,card_type!A:A,0)-1,0)</f>
        <v>3</v>
      </c>
      <c r="L669" s="157">
        <v>3</v>
      </c>
      <c r="M669" s="157">
        <v>3</v>
      </c>
      <c r="N669" s="153">
        <f t="shared" si="110"/>
        <v>4</v>
      </c>
      <c r="O669" s="157"/>
      <c r="P669" s="157"/>
      <c r="Q669" s="153">
        <f ca="1">OFFSET(card_type!$A$1,MATCH(card!B669,card_type!B:B,0)-1,0)</f>
        <v>1404</v>
      </c>
      <c r="R669" s="153">
        <v>1</v>
      </c>
      <c r="S669" s="157">
        <f ca="1">ROUND(IF(R669=0,0,IF(R669=1,X669*$S$1,IF(R669=2,X669*$S$1*buff的资质计算!$E$2,IF(R669=3,X669*$S$1*buff的资质计算!$E$3,0)))),0)*0</f>
        <v>0</v>
      </c>
      <c r="T669" s="153">
        <v>1</v>
      </c>
      <c r="U669" s="153">
        <f ca="1" t="shared" si="111"/>
        <v>43</v>
      </c>
      <c r="V669" s="153">
        <f ca="1">ROUND((OFFSET(卡牌辅助配置表!$O$1,MATCH(U669,卡牌辅助配置表!M:M,0)-1,0)+(N669-1)*OFFSET(卡牌辅助配置表!$P$1,MATCH(U669,卡牌辅助配置表!M:M,0)-1,0))*M669,2)</f>
        <v>148.68</v>
      </c>
      <c r="W669" s="157">
        <f ca="1">ROUND(IF(R669=0,0,IF(R669=1,X669*$W$1,IF(R669=2,X669*$W$1*buff的资质计算!$E$2,IF(R669=3,X669*$W$1*buff的资质计算!$E$3,0)))),2)</f>
        <v>25.65</v>
      </c>
      <c r="X669" s="157">
        <f ca="1" t="shared" si="112"/>
        <v>85.5</v>
      </c>
      <c r="Y669" s="157">
        <f ca="1" t="shared" si="117"/>
        <v>87</v>
      </c>
      <c r="Z669" s="304">
        <f ca="1" t="shared" si="113"/>
        <v>29</v>
      </c>
      <c r="AA669" s="304">
        <f ca="1">OFFSET(卡牌辅助配置表!$AD$1,MATCH(AB669,卡牌辅助配置表!AB:AB,0)-1,0)</f>
        <v>4600</v>
      </c>
      <c r="AB669" s="304">
        <f ca="1" t="shared" si="114"/>
        <v>4304</v>
      </c>
      <c r="AC669" s="153">
        <v>12</v>
      </c>
      <c r="AF669" s="153" t="str">
        <f ca="1" t="shared" si="118"/>
        <v>14040011|</v>
      </c>
      <c r="AJ669" s="205" t="str">
        <f ca="1" t="shared" si="115"/>
        <v>400023|2600|;</v>
      </c>
      <c r="AK669" s="205">
        <f ca="1">OFFSET([1]item_type!$A$1,MATCH(Q669,[1]item_type!$G:$G,0)-1,0)</f>
        <v>301404</v>
      </c>
      <c r="AL669" s="205"/>
      <c r="AM669" s="205">
        <f ca="1">IF(B669=B670,OFFSET(卡牌辅助配置表!$AE$1,MATCH(AB669,卡牌辅助配置表!AB:AB,0),0),0)</f>
        <v>2600</v>
      </c>
      <c r="AN669" s="153">
        <f ca="1" t="shared" si="116"/>
        <v>1404005</v>
      </c>
      <c r="AP669" s="153">
        <f ca="1">IF(AC669=0,0,IF(AC669=12,0,OFFSET(effect!$N$1,MATCH(K669,effect!M:M,0)-1,0)))</f>
        <v>0</v>
      </c>
    </row>
    <row r="670" spans="1:42">
      <c r="A670" s="153">
        <f ca="1" t="shared" si="109"/>
        <v>1404005</v>
      </c>
      <c r="B670" s="91" t="s">
        <v>685</v>
      </c>
      <c r="C670" s="186">
        <v>1</v>
      </c>
      <c r="D670" s="186">
        <v>6</v>
      </c>
      <c r="E670" s="165"/>
      <c r="F670" s="179" t="s">
        <v>1056</v>
      </c>
      <c r="G670" s="186">
        <f ca="1">OFFSET(卡牌辅助配置表!$C$1,MATCH(AC670,卡牌辅助配置表!A:A,0)-1,0)</f>
        <v>0</v>
      </c>
      <c r="H670" s="186">
        <f ca="1">OFFSET(skill!$Q$1,MATCH(B670,skill!B:B,0)-1,0)</f>
        <v>1.5</v>
      </c>
      <c r="I670" s="186"/>
      <c r="J670" s="186">
        <f ca="1">OFFSET(card_type!$F$1,MATCH(Q670,card_type!A:A,0)-1,0)</f>
        <v>4</v>
      </c>
      <c r="K670" s="243">
        <f ca="1">OFFSET(card_type!$G$1,MATCH(Q670,card_type!A:A,0)-1,0)</f>
        <v>3</v>
      </c>
      <c r="L670" s="157">
        <v>3</v>
      </c>
      <c r="M670" s="157">
        <v>3</v>
      </c>
      <c r="N670" s="153">
        <f t="shared" si="110"/>
        <v>5</v>
      </c>
      <c r="O670" s="157"/>
      <c r="P670" s="157"/>
      <c r="Q670" s="153">
        <f ca="1">OFFSET(card_type!$A$1,MATCH(card!B670,card_type!B:B,0)-1,0)</f>
        <v>1404</v>
      </c>
      <c r="R670" s="153">
        <v>1</v>
      </c>
      <c r="S670" s="157">
        <f ca="1">ROUND(IF(R670=0,0,IF(R670=1,X670*$S$1,IF(R670=2,X670*$S$1*buff的资质计算!$E$2,IF(R670=3,X670*$S$1*buff的资质计算!$E$3,0)))),0)*0</f>
        <v>0</v>
      </c>
      <c r="T670" s="153">
        <v>1</v>
      </c>
      <c r="U670" s="153">
        <f ca="1" t="shared" si="111"/>
        <v>43</v>
      </c>
      <c r="V670" s="153">
        <f ca="1">ROUND((OFFSET(卡牌辅助配置表!$O$1,MATCH(U670,卡牌辅助配置表!M:M,0)-1,0)+(N670-1)*OFFSET(卡牌辅助配置表!$P$1,MATCH(U670,卡牌辅助配置表!M:M,0)-1,0))*M670,2)</f>
        <v>162.84</v>
      </c>
      <c r="W670" s="157">
        <f ca="1">ROUND(IF(R670=0,0,IF(R670=1,X670*$W$1,IF(R670=2,X670*$W$1*buff的资质计算!$E$2,IF(R670=3,X670*$W$1*buff的资质计算!$E$3,0)))),2)</f>
        <v>25.8</v>
      </c>
      <c r="X670" s="157">
        <f ca="1" t="shared" si="112"/>
        <v>86</v>
      </c>
      <c r="Y670" s="157">
        <f ca="1" t="shared" si="117"/>
        <v>87.5</v>
      </c>
      <c r="Z670" s="304">
        <f ca="1" t="shared" si="113"/>
        <v>29.1666666666667</v>
      </c>
      <c r="AA670" s="304">
        <f ca="1">OFFSET(卡牌辅助配置表!$AD$1,MATCH(AB670,卡牌辅助配置表!AB:AB,0)-1,0)</f>
        <v>5750</v>
      </c>
      <c r="AB670" s="304">
        <f ca="1" t="shared" si="114"/>
        <v>4305</v>
      </c>
      <c r="AC670" s="153">
        <v>12</v>
      </c>
      <c r="AF670" s="153" t="str">
        <f ca="1" t="shared" si="118"/>
        <v>14040011|</v>
      </c>
      <c r="AJ670" s="205" t="str">
        <f ca="1" t="shared" si="115"/>
        <v>400023|3000|;</v>
      </c>
      <c r="AK670" s="205">
        <f ca="1">OFFSET([1]item_type!$A$1,MATCH(Q670,[1]item_type!$G:$G,0)-1,0)</f>
        <v>301404</v>
      </c>
      <c r="AL670" s="205"/>
      <c r="AM670" s="205">
        <f ca="1">IF(B670=B671,OFFSET(卡牌辅助配置表!$AE$1,MATCH(AB670,卡牌辅助配置表!AB:AB,0),0),0)</f>
        <v>3000</v>
      </c>
      <c r="AN670" s="153">
        <f ca="1" t="shared" si="116"/>
        <v>1404006</v>
      </c>
      <c r="AP670" s="153">
        <f ca="1">IF(AC670=0,0,IF(AC670=12,0,OFFSET(effect!$N$1,MATCH(K670,effect!M:M,0)-1,0)))</f>
        <v>0</v>
      </c>
    </row>
    <row r="671" spans="1:42">
      <c r="A671" s="153">
        <f ca="1" t="shared" si="109"/>
        <v>1404006</v>
      </c>
      <c r="B671" s="91" t="s">
        <v>685</v>
      </c>
      <c r="C671" s="186">
        <v>1</v>
      </c>
      <c r="D671" s="186">
        <v>6</v>
      </c>
      <c r="E671" s="165"/>
      <c r="F671" s="179" t="s">
        <v>1056</v>
      </c>
      <c r="G671" s="186">
        <f ca="1">OFFSET(卡牌辅助配置表!$C$1,MATCH(AC671,卡牌辅助配置表!A:A,0)-1,0)</f>
        <v>0</v>
      </c>
      <c r="H671" s="186">
        <f ca="1">OFFSET(skill!$Q$1,MATCH(B671,skill!B:B,0)-1,0)</f>
        <v>1.5</v>
      </c>
      <c r="I671" s="186"/>
      <c r="J671" s="186">
        <f ca="1">OFFSET(card_type!$F$1,MATCH(Q671,card_type!A:A,0)-1,0)</f>
        <v>4</v>
      </c>
      <c r="K671" s="243">
        <f ca="1">OFFSET(card_type!$G$1,MATCH(Q671,card_type!A:A,0)-1,0)</f>
        <v>3</v>
      </c>
      <c r="L671" s="157">
        <v>3</v>
      </c>
      <c r="M671" s="157">
        <v>3</v>
      </c>
      <c r="N671" s="153">
        <f t="shared" si="110"/>
        <v>6</v>
      </c>
      <c r="O671" s="157"/>
      <c r="P671" s="157"/>
      <c r="Q671" s="153">
        <f ca="1">OFFSET(card_type!$A$1,MATCH(card!B671,card_type!B:B,0)-1,0)</f>
        <v>1404</v>
      </c>
      <c r="R671" s="153">
        <v>1</v>
      </c>
      <c r="S671" s="157">
        <f ca="1">ROUND(IF(R671=0,0,IF(R671=1,X671*$S$1,IF(R671=2,X671*$S$1*buff的资质计算!$E$2,IF(R671=3,X671*$S$1*buff的资质计算!$E$3,0)))),0)*0</f>
        <v>0</v>
      </c>
      <c r="T671" s="153">
        <v>1</v>
      </c>
      <c r="U671" s="153">
        <f ca="1" t="shared" si="111"/>
        <v>43</v>
      </c>
      <c r="V671" s="153">
        <f ca="1">ROUND((OFFSET(卡牌辅助配置表!$O$1,MATCH(U671,卡牌辅助配置表!M:M,0)-1,0)+(N671-1)*OFFSET(卡牌辅助配置表!$P$1,MATCH(U671,卡牌辅助配置表!M:M,0)-1,0))*M671,2)</f>
        <v>177</v>
      </c>
      <c r="W671" s="157">
        <f ca="1">ROUND(IF(R671=0,0,IF(R671=1,X671*$W$1,IF(R671=2,X671*$W$1*buff的资质计算!$E$2,IF(R671=3,X671*$W$1*buff的资质计算!$E$3,0)))),2)</f>
        <v>25.95</v>
      </c>
      <c r="X671" s="157">
        <f ca="1" t="shared" si="112"/>
        <v>86.5</v>
      </c>
      <c r="Y671" s="157">
        <f ca="1" t="shared" si="117"/>
        <v>88</v>
      </c>
      <c r="Z671" s="304">
        <f ca="1" t="shared" si="113"/>
        <v>29.3333333333333</v>
      </c>
      <c r="AA671" s="304">
        <f ca="1">OFFSET(卡牌辅助配置表!$AD$1,MATCH(AB671,卡牌辅助配置表!AB:AB,0)-1,0)</f>
        <v>6900</v>
      </c>
      <c r="AB671" s="304">
        <f ca="1" t="shared" si="114"/>
        <v>4306</v>
      </c>
      <c r="AC671" s="153">
        <v>12</v>
      </c>
      <c r="AF671" s="153" t="str">
        <f ca="1" t="shared" si="118"/>
        <v>14040011|</v>
      </c>
      <c r="AJ671" s="205" t="str">
        <f ca="1" t="shared" si="115"/>
        <v>400023|3400|;</v>
      </c>
      <c r="AK671" s="205">
        <f ca="1">OFFSET([1]item_type!$A$1,MATCH(Q671,[1]item_type!$G:$G,0)-1,0)</f>
        <v>301404</v>
      </c>
      <c r="AL671" s="205"/>
      <c r="AM671" s="205">
        <f ca="1">IF(B671=B672,OFFSET(卡牌辅助配置表!$AE$1,MATCH(AB671,卡牌辅助配置表!AB:AB,0),0),0)</f>
        <v>3400</v>
      </c>
      <c r="AN671" s="153">
        <f ca="1" t="shared" si="116"/>
        <v>1404007</v>
      </c>
      <c r="AP671" s="153">
        <f ca="1">IF(AC671=0,0,IF(AC671=12,0,OFFSET(effect!$N$1,MATCH(K671,effect!M:M,0)-1,0)))</f>
        <v>0</v>
      </c>
    </row>
    <row r="672" spans="1:42">
      <c r="A672" s="153">
        <f ca="1" t="shared" si="109"/>
        <v>1404007</v>
      </c>
      <c r="B672" s="91" t="s">
        <v>685</v>
      </c>
      <c r="C672" s="186">
        <v>1</v>
      </c>
      <c r="D672" s="186">
        <v>6</v>
      </c>
      <c r="E672" s="165"/>
      <c r="F672" s="179" t="s">
        <v>1056</v>
      </c>
      <c r="G672" s="186">
        <f ca="1">OFFSET(卡牌辅助配置表!$C$1,MATCH(AC672,卡牌辅助配置表!A:A,0)-1,0)</f>
        <v>0</v>
      </c>
      <c r="H672" s="186">
        <f ca="1">OFFSET(skill!$Q$1,MATCH(B672,skill!B:B,0)-1,0)</f>
        <v>1.5</v>
      </c>
      <c r="I672" s="186"/>
      <c r="J672" s="186">
        <f ca="1">OFFSET(card_type!$F$1,MATCH(Q672,card_type!A:A,0)-1,0)</f>
        <v>4</v>
      </c>
      <c r="K672" s="243">
        <f ca="1">OFFSET(card_type!$G$1,MATCH(Q672,card_type!A:A,0)-1,0)</f>
        <v>3</v>
      </c>
      <c r="L672" s="157">
        <v>3</v>
      </c>
      <c r="M672" s="157">
        <v>3</v>
      </c>
      <c r="N672" s="153">
        <f t="shared" si="110"/>
        <v>7</v>
      </c>
      <c r="O672" s="157"/>
      <c r="P672" s="157"/>
      <c r="Q672" s="153">
        <f ca="1">OFFSET(card_type!$A$1,MATCH(card!B672,card_type!B:B,0)-1,0)</f>
        <v>1404</v>
      </c>
      <c r="R672" s="153">
        <v>1</v>
      </c>
      <c r="S672" s="157">
        <f ca="1">ROUND(IF(R672=0,0,IF(R672=1,X672*$S$1,IF(R672=2,X672*$S$1*buff的资质计算!$E$2,IF(R672=3,X672*$S$1*buff的资质计算!$E$3,0)))),0)*0</f>
        <v>0</v>
      </c>
      <c r="T672" s="153">
        <v>1</v>
      </c>
      <c r="U672" s="153">
        <f ca="1" t="shared" si="111"/>
        <v>43</v>
      </c>
      <c r="V672" s="153">
        <f ca="1">ROUND((OFFSET(卡牌辅助配置表!$O$1,MATCH(U672,卡牌辅助配置表!M:M,0)-1,0)+(N672-1)*OFFSET(卡牌辅助配置表!$P$1,MATCH(U672,卡牌辅助配置表!M:M,0)-1,0))*M672,2)</f>
        <v>191.16</v>
      </c>
      <c r="W672" s="157">
        <f ca="1">ROUND(IF(R672=0,0,IF(R672=1,X672*$W$1,IF(R672=2,X672*$W$1*buff的资质计算!$E$2,IF(R672=3,X672*$W$1*buff的资质计算!$E$3,0)))),2)</f>
        <v>26.1</v>
      </c>
      <c r="X672" s="157">
        <f ca="1" t="shared" si="112"/>
        <v>87</v>
      </c>
      <c r="Y672" s="157">
        <f ca="1" t="shared" si="117"/>
        <v>88.5</v>
      </c>
      <c r="Z672" s="304">
        <f ca="1" t="shared" si="113"/>
        <v>29.5</v>
      </c>
      <c r="AA672" s="304">
        <f ca="1">OFFSET(卡牌辅助配置表!$AD$1,MATCH(AB672,卡牌辅助配置表!AB:AB,0)-1,0)</f>
        <v>8050</v>
      </c>
      <c r="AB672" s="304">
        <f ca="1" t="shared" si="114"/>
        <v>4307</v>
      </c>
      <c r="AC672" s="153">
        <v>12</v>
      </c>
      <c r="AF672" s="153" t="str">
        <f ca="1" t="shared" si="118"/>
        <v>14040011|</v>
      </c>
      <c r="AJ672" s="205" t="str">
        <f ca="1" t="shared" si="115"/>
        <v>400023|3800|;</v>
      </c>
      <c r="AK672" s="205">
        <f ca="1">OFFSET([1]item_type!$A$1,MATCH(Q672,[1]item_type!$G:$G,0)-1,0)</f>
        <v>301404</v>
      </c>
      <c r="AL672" s="205"/>
      <c r="AM672" s="205">
        <f ca="1">IF(B672=B673,OFFSET(卡牌辅助配置表!$AE$1,MATCH(AB672,卡牌辅助配置表!AB:AB,0),0),0)</f>
        <v>3800</v>
      </c>
      <c r="AN672" s="153">
        <f ca="1" t="shared" si="116"/>
        <v>1404008</v>
      </c>
      <c r="AP672" s="153">
        <f ca="1">IF(AC672=0,0,IF(AC672=12,0,OFFSET(effect!$N$1,MATCH(K672,effect!M:M,0)-1,0)))</f>
        <v>0</v>
      </c>
    </row>
    <row r="673" spans="1:42">
      <c r="A673" s="153">
        <f ca="1" t="shared" si="109"/>
        <v>1404008</v>
      </c>
      <c r="B673" s="91" t="s">
        <v>685</v>
      </c>
      <c r="C673" s="186">
        <v>1</v>
      </c>
      <c r="D673" s="186">
        <v>6</v>
      </c>
      <c r="E673" s="165"/>
      <c r="F673" s="179" t="s">
        <v>1056</v>
      </c>
      <c r="G673" s="186">
        <f ca="1">OFFSET(卡牌辅助配置表!$C$1,MATCH(AC673,卡牌辅助配置表!A:A,0)-1,0)</f>
        <v>0</v>
      </c>
      <c r="H673" s="186">
        <f ca="1">OFFSET(skill!$Q$1,MATCH(B673,skill!B:B,0)-1,0)</f>
        <v>1.5</v>
      </c>
      <c r="I673" s="186"/>
      <c r="J673" s="186">
        <f ca="1">OFFSET(card_type!$F$1,MATCH(Q673,card_type!A:A,0)-1,0)</f>
        <v>4</v>
      </c>
      <c r="K673" s="243">
        <f ca="1">OFFSET(card_type!$G$1,MATCH(Q673,card_type!A:A,0)-1,0)</f>
        <v>3</v>
      </c>
      <c r="L673" s="157">
        <v>3</v>
      </c>
      <c r="M673" s="157">
        <v>3</v>
      </c>
      <c r="N673" s="153">
        <f t="shared" si="110"/>
        <v>8</v>
      </c>
      <c r="O673" s="157"/>
      <c r="P673" s="157"/>
      <c r="Q673" s="153">
        <f ca="1">OFFSET(card_type!$A$1,MATCH(card!B673,card_type!B:B,0)-1,0)</f>
        <v>1404</v>
      </c>
      <c r="R673" s="153">
        <v>1</v>
      </c>
      <c r="S673" s="157">
        <f ca="1">ROUND(IF(R673=0,0,IF(R673=1,X673*$S$1,IF(R673=2,X673*$S$1*buff的资质计算!$E$2,IF(R673=3,X673*$S$1*buff的资质计算!$E$3,0)))),0)*0</f>
        <v>0</v>
      </c>
      <c r="T673" s="153">
        <v>1</v>
      </c>
      <c r="U673" s="153">
        <f ca="1" t="shared" si="111"/>
        <v>43</v>
      </c>
      <c r="V673" s="153">
        <f ca="1">ROUND((OFFSET(卡牌辅助配置表!$O$1,MATCH(U673,卡牌辅助配置表!M:M,0)-1,0)+(N673-1)*OFFSET(卡牌辅助配置表!$P$1,MATCH(U673,卡牌辅助配置表!M:M,0)-1,0))*M673,2)</f>
        <v>205.32</v>
      </c>
      <c r="W673" s="157">
        <f ca="1">ROUND(IF(R673=0,0,IF(R673=1,X673*$W$1,IF(R673=2,X673*$W$1*buff的资质计算!$E$2,IF(R673=3,X673*$W$1*buff的资质计算!$E$3,0)))),2)</f>
        <v>26.25</v>
      </c>
      <c r="X673" s="157">
        <f ca="1" t="shared" si="112"/>
        <v>87.5</v>
      </c>
      <c r="Y673" s="157">
        <f ca="1" t="shared" si="117"/>
        <v>89</v>
      </c>
      <c r="Z673" s="304">
        <f ca="1" t="shared" si="113"/>
        <v>29.6666666666667</v>
      </c>
      <c r="AA673" s="304">
        <f ca="1">OFFSET(卡牌辅助配置表!$AD$1,MATCH(AB673,卡牌辅助配置表!AB:AB,0)-1,0)</f>
        <v>9200</v>
      </c>
      <c r="AB673" s="304">
        <f ca="1" t="shared" si="114"/>
        <v>4308</v>
      </c>
      <c r="AC673" s="153">
        <v>12</v>
      </c>
      <c r="AF673" s="153" t="str">
        <f ca="1" t="shared" si="118"/>
        <v>14040011|</v>
      </c>
      <c r="AJ673" s="205" t="str">
        <f ca="1" t="shared" si="115"/>
        <v>400023|4200|;</v>
      </c>
      <c r="AK673" s="205">
        <f ca="1">OFFSET([1]item_type!$A$1,MATCH(Q673,[1]item_type!$G:$G,0)-1,0)</f>
        <v>301404</v>
      </c>
      <c r="AL673" s="205"/>
      <c r="AM673" s="205">
        <f ca="1">IF(B673=B674,OFFSET(卡牌辅助配置表!$AE$1,MATCH(AB673,卡牌辅助配置表!AB:AB,0),0),0)</f>
        <v>4200</v>
      </c>
      <c r="AN673" s="153">
        <f ca="1" t="shared" si="116"/>
        <v>1404009</v>
      </c>
      <c r="AP673" s="153">
        <f ca="1">IF(AC673=0,0,IF(AC673=12,0,OFFSET(effect!$N$1,MATCH(K673,effect!M:M,0)-1,0)))</f>
        <v>0</v>
      </c>
    </row>
    <row r="674" spans="1:42">
      <c r="A674" s="153">
        <f ca="1" t="shared" si="109"/>
        <v>1404009</v>
      </c>
      <c r="B674" s="91" t="s">
        <v>685</v>
      </c>
      <c r="C674" s="186">
        <v>1</v>
      </c>
      <c r="D674" s="186">
        <v>6</v>
      </c>
      <c r="E674" s="165"/>
      <c r="F674" s="179" t="s">
        <v>1056</v>
      </c>
      <c r="G674" s="186">
        <f ca="1">OFFSET(卡牌辅助配置表!$C$1,MATCH(AC674,卡牌辅助配置表!A:A,0)-1,0)</f>
        <v>0</v>
      </c>
      <c r="H674" s="186">
        <f ca="1">OFFSET(skill!$Q$1,MATCH(B674,skill!B:B,0)-1,0)</f>
        <v>1.5</v>
      </c>
      <c r="I674" s="186"/>
      <c r="J674" s="186">
        <f ca="1">OFFSET(card_type!$F$1,MATCH(Q674,card_type!A:A,0)-1,0)</f>
        <v>4</v>
      </c>
      <c r="K674" s="243">
        <f ca="1">OFFSET(card_type!$G$1,MATCH(Q674,card_type!A:A,0)-1,0)</f>
        <v>3</v>
      </c>
      <c r="L674" s="157">
        <v>3</v>
      </c>
      <c r="M674" s="157">
        <v>3</v>
      </c>
      <c r="N674" s="153">
        <f t="shared" si="110"/>
        <v>9</v>
      </c>
      <c r="O674" s="157"/>
      <c r="P674" s="157"/>
      <c r="Q674" s="153">
        <f ca="1">OFFSET(card_type!$A$1,MATCH(card!B674,card_type!B:B,0)-1,0)</f>
        <v>1404</v>
      </c>
      <c r="R674" s="153">
        <v>1</v>
      </c>
      <c r="S674" s="157">
        <f ca="1">ROUND(IF(R674=0,0,IF(R674=1,X674*$S$1,IF(R674=2,X674*$S$1*buff的资质计算!$E$2,IF(R674=3,X674*$S$1*buff的资质计算!$E$3,0)))),0)*0</f>
        <v>0</v>
      </c>
      <c r="T674" s="153">
        <v>1</v>
      </c>
      <c r="U674" s="153">
        <f ca="1" t="shared" si="111"/>
        <v>43</v>
      </c>
      <c r="V674" s="153">
        <f ca="1">ROUND((OFFSET(卡牌辅助配置表!$O$1,MATCH(U674,卡牌辅助配置表!M:M,0)-1,0)+(N674-1)*OFFSET(卡牌辅助配置表!$P$1,MATCH(U674,卡牌辅助配置表!M:M,0)-1,0))*M674,2)</f>
        <v>219.48</v>
      </c>
      <c r="W674" s="157">
        <f ca="1">ROUND(IF(R674=0,0,IF(R674=1,X674*$W$1,IF(R674=2,X674*$W$1*buff的资质计算!$E$2,IF(R674=3,X674*$W$1*buff的资质计算!$E$3,0)))),2)</f>
        <v>26.4</v>
      </c>
      <c r="X674" s="157">
        <f ca="1" t="shared" si="112"/>
        <v>88</v>
      </c>
      <c r="Y674" s="157">
        <f ca="1" t="shared" si="117"/>
        <v>89.5</v>
      </c>
      <c r="Z674" s="304">
        <f ca="1" t="shared" si="113"/>
        <v>29.8333333333333</v>
      </c>
      <c r="AA674" s="304">
        <f ca="1">OFFSET(卡牌辅助配置表!$AD$1,MATCH(AB674,卡牌辅助配置表!AB:AB,0)-1,0)</f>
        <v>10350</v>
      </c>
      <c r="AB674" s="304">
        <f ca="1" t="shared" si="114"/>
        <v>4309</v>
      </c>
      <c r="AC674" s="153">
        <v>12</v>
      </c>
      <c r="AF674" s="153" t="str">
        <f ca="1" t="shared" si="118"/>
        <v>14040011|</v>
      </c>
      <c r="AJ674" s="205" t="str">
        <f ca="1" t="shared" si="115"/>
        <v>301404|15|;400023|4600|;</v>
      </c>
      <c r="AK674" s="205">
        <f ca="1">OFFSET([1]item_type!$A$1,MATCH(Q674,[1]item_type!$G:$G,0)-1,0)</f>
        <v>301404</v>
      </c>
      <c r="AL674" s="205">
        <v>15</v>
      </c>
      <c r="AM674" s="205">
        <f ca="1">IF(B674=B675,OFFSET(卡牌辅助配置表!$AE$1,MATCH(AB674,卡牌辅助配置表!AB:AB,0),0),0)</f>
        <v>4600</v>
      </c>
      <c r="AN674" s="153">
        <f ca="1" t="shared" si="116"/>
        <v>1404010</v>
      </c>
      <c r="AP674" s="153">
        <f ca="1">IF(AC674=0,0,IF(AC674=12,0,OFFSET(effect!$N$1,MATCH(K674,effect!M:M,0)-1,0)))</f>
        <v>0</v>
      </c>
    </row>
    <row r="675" spans="1:42">
      <c r="A675" s="153">
        <f ca="1" t="shared" si="109"/>
        <v>1404010</v>
      </c>
      <c r="B675" s="91" t="s">
        <v>685</v>
      </c>
      <c r="C675" s="186">
        <v>1</v>
      </c>
      <c r="D675" s="186">
        <v>6</v>
      </c>
      <c r="E675" s="165"/>
      <c r="F675" s="179" t="s">
        <v>1056</v>
      </c>
      <c r="G675" s="186">
        <f ca="1">OFFSET(卡牌辅助配置表!$C$1,MATCH(AC675,卡牌辅助配置表!A:A,0)-1,0)</f>
        <v>0</v>
      </c>
      <c r="H675" s="186">
        <f ca="1">OFFSET(skill!$Q$1,MATCH(B675,skill!B:B,0)-1,0)</f>
        <v>1.5</v>
      </c>
      <c r="I675" s="186"/>
      <c r="J675" s="186">
        <f ca="1">OFFSET(card_type!$F$1,MATCH(Q675,card_type!A:A,0)-1,0)</f>
        <v>4</v>
      </c>
      <c r="K675" s="243">
        <f ca="1">OFFSET(card_type!$G$1,MATCH(Q675,card_type!A:A,0)-1,0)</f>
        <v>3</v>
      </c>
      <c r="L675" s="157">
        <v>3</v>
      </c>
      <c r="M675" s="157">
        <v>3</v>
      </c>
      <c r="N675" s="153">
        <f t="shared" si="110"/>
        <v>10</v>
      </c>
      <c r="O675" s="157"/>
      <c r="P675" s="157"/>
      <c r="Q675" s="153">
        <f ca="1">OFFSET(card_type!$A$1,MATCH(card!B675,card_type!B:B,0)-1,0)</f>
        <v>1404</v>
      </c>
      <c r="R675" s="153">
        <v>1</v>
      </c>
      <c r="S675" s="157">
        <f ca="1">ROUND(IF(R675=0,0,IF(R675=1,X675*$S$1,IF(R675=2,X675*$S$1*buff的资质计算!$E$2,IF(R675=3,X675*$S$1*buff的资质计算!$E$3,0)))),0)*0</f>
        <v>0</v>
      </c>
      <c r="T675" s="153">
        <v>1</v>
      </c>
      <c r="U675" s="153">
        <f ca="1" t="shared" si="111"/>
        <v>43</v>
      </c>
      <c r="V675" s="153">
        <f ca="1">ROUND((OFFSET(卡牌辅助配置表!$O$1,MATCH(U675,卡牌辅助配置表!M:M,0)-1,0)+(N675-1)*OFFSET(卡牌辅助配置表!$P$1,MATCH(U675,卡牌辅助配置表!M:M,0)-1,0))*M675,2)</f>
        <v>233.64</v>
      </c>
      <c r="W675" s="157">
        <f ca="1">ROUND(IF(R675=0,0,IF(R675=1,X675*$W$1,IF(R675=2,X675*$W$1*buff的资质计算!$E$2,IF(R675=3,X675*$W$1*buff的资质计算!$E$3,0)))),2)</f>
        <v>26.55</v>
      </c>
      <c r="X675" s="157">
        <f ca="1" t="shared" si="112"/>
        <v>88.5</v>
      </c>
      <c r="Y675" s="157">
        <f ca="1" t="shared" si="117"/>
        <v>90</v>
      </c>
      <c r="Z675" s="304">
        <f ca="1" t="shared" si="113"/>
        <v>30</v>
      </c>
      <c r="AA675" s="304">
        <f ca="1">OFFSET(卡牌辅助配置表!$AD$1,MATCH(AB675,卡牌辅助配置表!AB:AB,0)-1,0)</f>
        <v>11500</v>
      </c>
      <c r="AB675" s="304">
        <f ca="1" t="shared" si="114"/>
        <v>4310</v>
      </c>
      <c r="AC675" s="153">
        <v>12</v>
      </c>
      <c r="AF675" s="153" t="str">
        <f ca="1" t="shared" si="118"/>
        <v>14040011|</v>
      </c>
      <c r="AJ675" s="205" t="str">
        <f ca="1" t="shared" si="115"/>
        <v>400023|5400|;</v>
      </c>
      <c r="AK675" s="205">
        <f ca="1">OFFSET([1]item_type!$A$1,MATCH(Q675,[1]item_type!$G:$G,0)-1,0)</f>
        <v>301404</v>
      </c>
      <c r="AL675" s="205"/>
      <c r="AM675" s="205">
        <f ca="1">IF(B675=B676,OFFSET(卡牌辅助配置表!$AE$1,MATCH(AB675,卡牌辅助配置表!AB:AB,0),0),0)</f>
        <v>5400</v>
      </c>
      <c r="AN675" s="153">
        <f ca="1" t="shared" si="116"/>
        <v>1404011</v>
      </c>
      <c r="AP675" s="153">
        <f ca="1">IF(AC675=0,0,IF(AC675=12,0,OFFSET(effect!$N$1,MATCH(K675,effect!M:M,0)-1,0)))</f>
        <v>0</v>
      </c>
    </row>
    <row r="676" spans="1:42">
      <c r="A676" s="153">
        <f ca="1" t="shared" si="109"/>
        <v>1404011</v>
      </c>
      <c r="B676" s="91" t="s">
        <v>685</v>
      </c>
      <c r="C676" s="186">
        <v>1</v>
      </c>
      <c r="D676" s="186">
        <v>6</v>
      </c>
      <c r="E676" s="165"/>
      <c r="F676" s="179" t="s">
        <v>1056</v>
      </c>
      <c r="G676" s="186">
        <f ca="1">OFFSET(卡牌辅助配置表!$C$1,MATCH(AC676,卡牌辅助配置表!A:A,0)-1,0)</f>
        <v>0</v>
      </c>
      <c r="H676" s="186">
        <f ca="1">OFFSET(skill!$Q$1,MATCH(B676,skill!B:B,0)-1,0)</f>
        <v>1.5</v>
      </c>
      <c r="I676" s="186"/>
      <c r="J676" s="186">
        <f ca="1">OFFSET(card_type!$F$1,MATCH(Q676,card_type!A:A,0)-1,0)</f>
        <v>4</v>
      </c>
      <c r="K676" s="243">
        <f ca="1">OFFSET(card_type!$G$1,MATCH(Q676,card_type!A:A,0)-1,0)</f>
        <v>3</v>
      </c>
      <c r="L676" s="157">
        <v>3</v>
      </c>
      <c r="M676" s="157">
        <v>3</v>
      </c>
      <c r="N676" s="153">
        <f t="shared" si="110"/>
        <v>11</v>
      </c>
      <c r="O676" s="157"/>
      <c r="P676" s="157"/>
      <c r="Q676" s="153">
        <f ca="1">OFFSET(card_type!$A$1,MATCH(card!B676,card_type!B:B,0)-1,0)</f>
        <v>1404</v>
      </c>
      <c r="R676" s="153">
        <v>1</v>
      </c>
      <c r="S676" s="157">
        <f ca="1">ROUND(IF(R676=0,0,IF(R676=1,X676*$S$1,IF(R676=2,X676*$S$1*buff的资质计算!$E$2,IF(R676=3,X676*$S$1*buff的资质计算!$E$3,0)))),0)*0</f>
        <v>0</v>
      </c>
      <c r="T676" s="153">
        <v>1</v>
      </c>
      <c r="U676" s="153">
        <f ca="1" t="shared" si="111"/>
        <v>43</v>
      </c>
      <c r="V676" s="153">
        <f ca="1">ROUND((OFFSET(卡牌辅助配置表!$O$1,MATCH(U676,卡牌辅助配置表!M:M,0)-1,0)+(N676-1)*OFFSET(卡牌辅助配置表!$P$1,MATCH(U676,卡牌辅助配置表!M:M,0)-1,0))*M676,2)</f>
        <v>247.8</v>
      </c>
      <c r="W676" s="157">
        <f ca="1">ROUND(IF(R676=0,0,IF(R676=1,X676*$W$1,IF(R676=2,X676*$W$1*buff的资质计算!$E$2,IF(R676=3,X676*$W$1*buff的资质计算!$E$3,0)))),2)</f>
        <v>26.7</v>
      </c>
      <c r="X676" s="157">
        <f ca="1" t="shared" si="112"/>
        <v>89</v>
      </c>
      <c r="Y676" s="157">
        <f ca="1" t="shared" si="117"/>
        <v>90.5</v>
      </c>
      <c r="Z676" s="304">
        <f ca="1" t="shared" si="113"/>
        <v>30.1666666666667</v>
      </c>
      <c r="AA676" s="304">
        <f ca="1">OFFSET(卡牌辅助配置表!$AD$1,MATCH(AB676,卡牌辅助配置表!AB:AB,0)-1,0)</f>
        <v>13225</v>
      </c>
      <c r="AB676" s="304">
        <f ca="1" t="shared" si="114"/>
        <v>4311</v>
      </c>
      <c r="AC676" s="153">
        <v>12</v>
      </c>
      <c r="AF676" s="153" t="str">
        <f ca="1" t="shared" si="118"/>
        <v>14040011|</v>
      </c>
      <c r="AJ676" s="205" t="str">
        <f ca="1" t="shared" si="115"/>
        <v>400023|6200|;</v>
      </c>
      <c r="AK676" s="205">
        <f ca="1">OFFSET([1]item_type!$A$1,MATCH(Q676,[1]item_type!$G:$G,0)-1,0)</f>
        <v>301404</v>
      </c>
      <c r="AL676" s="205"/>
      <c r="AM676" s="205">
        <f ca="1">IF(B676=B677,OFFSET(卡牌辅助配置表!$AE$1,MATCH(AB676,卡牌辅助配置表!AB:AB,0),0),0)</f>
        <v>6200</v>
      </c>
      <c r="AN676" s="153">
        <f ca="1" t="shared" si="116"/>
        <v>1404012</v>
      </c>
      <c r="AP676" s="153">
        <f ca="1">IF(AC676=0,0,IF(AC676=12,0,OFFSET(effect!$N$1,MATCH(K676,effect!M:M,0)-1,0)))</f>
        <v>0</v>
      </c>
    </row>
    <row r="677" spans="1:42">
      <c r="A677" s="153">
        <f ca="1" t="shared" si="109"/>
        <v>1404012</v>
      </c>
      <c r="B677" s="91" t="s">
        <v>685</v>
      </c>
      <c r="C677" s="186">
        <v>1</v>
      </c>
      <c r="D677" s="186">
        <v>6</v>
      </c>
      <c r="E677" s="165"/>
      <c r="F677" s="179" t="s">
        <v>1056</v>
      </c>
      <c r="G677" s="186">
        <f ca="1">OFFSET(卡牌辅助配置表!$C$1,MATCH(AC677,卡牌辅助配置表!A:A,0)-1,0)</f>
        <v>0</v>
      </c>
      <c r="H677" s="186">
        <f ca="1">OFFSET(skill!$Q$1,MATCH(B677,skill!B:B,0)-1,0)</f>
        <v>1.5</v>
      </c>
      <c r="I677" s="186"/>
      <c r="J677" s="186">
        <f ca="1">OFFSET(card_type!$F$1,MATCH(Q677,card_type!A:A,0)-1,0)</f>
        <v>4</v>
      </c>
      <c r="K677" s="243">
        <f ca="1">OFFSET(card_type!$G$1,MATCH(Q677,card_type!A:A,0)-1,0)</f>
        <v>3</v>
      </c>
      <c r="L677" s="157">
        <v>3</v>
      </c>
      <c r="M677" s="157">
        <v>3</v>
      </c>
      <c r="N677" s="153">
        <f t="shared" si="110"/>
        <v>12</v>
      </c>
      <c r="O677" s="157"/>
      <c r="P677" s="157"/>
      <c r="Q677" s="153">
        <f ca="1">OFFSET(card_type!$A$1,MATCH(card!B677,card_type!B:B,0)-1,0)</f>
        <v>1404</v>
      </c>
      <c r="R677" s="153">
        <v>1</v>
      </c>
      <c r="S677" s="157">
        <f ca="1">ROUND(IF(R677=0,0,IF(R677=1,X677*$S$1,IF(R677=2,X677*$S$1*buff的资质计算!$E$2,IF(R677=3,X677*$S$1*buff的资质计算!$E$3,0)))),0)*0</f>
        <v>0</v>
      </c>
      <c r="T677" s="153">
        <v>1</v>
      </c>
      <c r="U677" s="153">
        <f ca="1" t="shared" si="111"/>
        <v>43</v>
      </c>
      <c r="V677" s="153">
        <f ca="1">ROUND((OFFSET(卡牌辅助配置表!$O$1,MATCH(U677,卡牌辅助配置表!M:M,0)-1,0)+(N677-1)*OFFSET(卡牌辅助配置表!$P$1,MATCH(U677,卡牌辅助配置表!M:M,0)-1,0))*M677,2)</f>
        <v>261.96</v>
      </c>
      <c r="W677" s="157">
        <f ca="1">ROUND(IF(R677=0,0,IF(R677=1,X677*$W$1,IF(R677=2,X677*$W$1*buff的资质计算!$E$2,IF(R677=3,X677*$W$1*buff的资质计算!$E$3,0)))),2)</f>
        <v>26.85</v>
      </c>
      <c r="X677" s="157">
        <f ca="1" t="shared" si="112"/>
        <v>89.5</v>
      </c>
      <c r="Y677" s="157">
        <f ca="1" t="shared" si="117"/>
        <v>91</v>
      </c>
      <c r="Z677" s="304">
        <f ca="1" t="shared" si="113"/>
        <v>30.3333333333333</v>
      </c>
      <c r="AA677" s="304">
        <f ca="1">OFFSET(卡牌辅助配置表!$AD$1,MATCH(AB677,卡牌辅助配置表!AB:AB,0)-1,0)</f>
        <v>14950</v>
      </c>
      <c r="AB677" s="304">
        <f ca="1" t="shared" si="114"/>
        <v>4312</v>
      </c>
      <c r="AC677" s="153">
        <v>12</v>
      </c>
      <c r="AF677" s="153" t="str">
        <f ca="1" t="shared" si="118"/>
        <v>14040011|</v>
      </c>
      <c r="AJ677" s="205" t="str">
        <f ca="1" t="shared" si="115"/>
        <v>400023|7000|;</v>
      </c>
      <c r="AK677" s="205">
        <f ca="1">OFFSET([1]item_type!$A$1,MATCH(Q677,[1]item_type!$G:$G,0)-1,0)</f>
        <v>301404</v>
      </c>
      <c r="AL677" s="205"/>
      <c r="AM677" s="205">
        <f ca="1">IF(B677=B678,OFFSET(卡牌辅助配置表!$AE$1,MATCH(AB677,卡牌辅助配置表!AB:AB,0),0),0)</f>
        <v>7000</v>
      </c>
      <c r="AN677" s="153">
        <f ca="1" t="shared" si="116"/>
        <v>1404013</v>
      </c>
      <c r="AP677" s="153">
        <f ca="1">IF(AC677=0,0,IF(AC677=12,0,OFFSET(effect!$N$1,MATCH(K677,effect!M:M,0)-1,0)))</f>
        <v>0</v>
      </c>
    </row>
    <row r="678" spans="1:42">
      <c r="A678" s="153">
        <f ca="1" t="shared" si="109"/>
        <v>1404013</v>
      </c>
      <c r="B678" s="91" t="s">
        <v>685</v>
      </c>
      <c r="C678" s="186">
        <v>1</v>
      </c>
      <c r="D678" s="186">
        <v>6</v>
      </c>
      <c r="E678" s="165"/>
      <c r="F678" s="179" t="s">
        <v>1056</v>
      </c>
      <c r="G678" s="186">
        <f ca="1">OFFSET(卡牌辅助配置表!$C$1,MATCH(AC678,卡牌辅助配置表!A:A,0)-1,0)</f>
        <v>0</v>
      </c>
      <c r="H678" s="186">
        <f ca="1">OFFSET(skill!$Q$1,MATCH(B678,skill!B:B,0)-1,0)</f>
        <v>1.5</v>
      </c>
      <c r="I678" s="186"/>
      <c r="J678" s="186">
        <f ca="1">OFFSET(card_type!$F$1,MATCH(Q678,card_type!A:A,0)-1,0)</f>
        <v>4</v>
      </c>
      <c r="K678" s="243">
        <f ca="1">OFFSET(card_type!$G$1,MATCH(Q678,card_type!A:A,0)-1,0)</f>
        <v>3</v>
      </c>
      <c r="L678" s="157">
        <v>3</v>
      </c>
      <c r="M678" s="157">
        <v>3</v>
      </c>
      <c r="N678" s="153">
        <f t="shared" si="110"/>
        <v>13</v>
      </c>
      <c r="O678" s="157"/>
      <c r="P678" s="157"/>
      <c r="Q678" s="153">
        <f ca="1">OFFSET(card_type!$A$1,MATCH(card!B678,card_type!B:B,0)-1,0)</f>
        <v>1404</v>
      </c>
      <c r="R678" s="153">
        <v>1</v>
      </c>
      <c r="S678" s="157">
        <f ca="1">ROUND(IF(R678=0,0,IF(R678=1,X678*$S$1,IF(R678=2,X678*$S$1*buff的资质计算!$E$2,IF(R678=3,X678*$S$1*buff的资质计算!$E$3,0)))),0)*0</f>
        <v>0</v>
      </c>
      <c r="T678" s="153">
        <v>1</v>
      </c>
      <c r="U678" s="153">
        <f ca="1" t="shared" si="111"/>
        <v>43</v>
      </c>
      <c r="V678" s="153">
        <f ca="1">ROUND((OFFSET(卡牌辅助配置表!$O$1,MATCH(U678,卡牌辅助配置表!M:M,0)-1,0)+(N678-1)*OFFSET(卡牌辅助配置表!$P$1,MATCH(U678,卡牌辅助配置表!M:M,0)-1,0))*M678,2)</f>
        <v>276.12</v>
      </c>
      <c r="W678" s="157">
        <f ca="1">ROUND(IF(R678=0,0,IF(R678=1,X678*$W$1,IF(R678=2,X678*$W$1*buff的资质计算!$E$2,IF(R678=3,X678*$W$1*buff的资质计算!$E$3,0)))),2)</f>
        <v>27</v>
      </c>
      <c r="X678" s="157">
        <f ca="1" t="shared" si="112"/>
        <v>90</v>
      </c>
      <c r="Y678" s="157">
        <f ca="1" t="shared" si="117"/>
        <v>91.5</v>
      </c>
      <c r="Z678" s="304">
        <f ca="1" t="shared" si="113"/>
        <v>30.5</v>
      </c>
      <c r="AA678" s="304">
        <f ca="1">OFFSET(卡牌辅助配置表!$AD$1,MATCH(AB678,卡牌辅助配置表!AB:AB,0)-1,0)</f>
        <v>16675</v>
      </c>
      <c r="AB678" s="304">
        <f ca="1" t="shared" si="114"/>
        <v>4313</v>
      </c>
      <c r="AC678" s="153">
        <v>12</v>
      </c>
      <c r="AF678" s="153" t="str">
        <f ca="1" t="shared" si="118"/>
        <v>14040011|</v>
      </c>
      <c r="AJ678" s="205" t="str">
        <f ca="1" t="shared" si="115"/>
        <v>400023|7800|;</v>
      </c>
      <c r="AK678" s="205">
        <f ca="1">OFFSET([1]item_type!$A$1,MATCH(Q678,[1]item_type!$G:$G,0)-1,0)</f>
        <v>301404</v>
      </c>
      <c r="AL678" s="205"/>
      <c r="AM678" s="205">
        <f ca="1">IF(B678=B679,OFFSET(卡牌辅助配置表!$AE$1,MATCH(AB678,卡牌辅助配置表!AB:AB,0),0),0)</f>
        <v>7800</v>
      </c>
      <c r="AN678" s="153">
        <f ca="1" t="shared" si="116"/>
        <v>1404014</v>
      </c>
      <c r="AP678" s="153">
        <f ca="1">IF(AC678=0,0,IF(AC678=12,0,OFFSET(effect!$N$1,MATCH(K678,effect!M:M,0)-1,0)))</f>
        <v>0</v>
      </c>
    </row>
    <row r="679" spans="1:42">
      <c r="A679" s="153">
        <f ca="1" t="shared" si="109"/>
        <v>1404014</v>
      </c>
      <c r="B679" s="91" t="s">
        <v>685</v>
      </c>
      <c r="C679" s="186">
        <v>1</v>
      </c>
      <c r="D679" s="186">
        <v>6</v>
      </c>
      <c r="E679" s="165"/>
      <c r="F679" s="179" t="s">
        <v>1056</v>
      </c>
      <c r="G679" s="186">
        <f ca="1">OFFSET(卡牌辅助配置表!$C$1,MATCH(AC679,卡牌辅助配置表!A:A,0)-1,0)</f>
        <v>0</v>
      </c>
      <c r="H679" s="186">
        <f ca="1">OFFSET(skill!$Q$1,MATCH(B679,skill!B:B,0)-1,0)</f>
        <v>1.5</v>
      </c>
      <c r="I679" s="186"/>
      <c r="J679" s="186">
        <f ca="1">OFFSET(card_type!$F$1,MATCH(Q679,card_type!A:A,0)-1,0)</f>
        <v>4</v>
      </c>
      <c r="K679" s="243">
        <f ca="1">OFFSET(card_type!$G$1,MATCH(Q679,card_type!A:A,0)-1,0)</f>
        <v>3</v>
      </c>
      <c r="L679" s="157">
        <v>3</v>
      </c>
      <c r="M679" s="157">
        <v>3</v>
      </c>
      <c r="N679" s="153">
        <f t="shared" si="110"/>
        <v>14</v>
      </c>
      <c r="O679" s="157"/>
      <c r="P679" s="157"/>
      <c r="Q679" s="153">
        <f ca="1">OFFSET(card_type!$A$1,MATCH(card!B679,card_type!B:B,0)-1,0)</f>
        <v>1404</v>
      </c>
      <c r="R679" s="153">
        <v>1</v>
      </c>
      <c r="S679" s="157">
        <f ca="1">ROUND(IF(R679=0,0,IF(R679=1,X679*$S$1,IF(R679=2,X679*$S$1*buff的资质计算!$E$2,IF(R679=3,X679*$S$1*buff的资质计算!$E$3,0)))),0)*0</f>
        <v>0</v>
      </c>
      <c r="T679" s="153">
        <v>1</v>
      </c>
      <c r="U679" s="153">
        <f ca="1" t="shared" si="111"/>
        <v>43</v>
      </c>
      <c r="V679" s="153">
        <f ca="1">ROUND((OFFSET(卡牌辅助配置表!$O$1,MATCH(U679,卡牌辅助配置表!M:M,0)-1,0)+(N679-1)*OFFSET(卡牌辅助配置表!$P$1,MATCH(U679,卡牌辅助配置表!M:M,0)-1,0))*M679,2)</f>
        <v>290.28</v>
      </c>
      <c r="W679" s="157">
        <f ca="1">ROUND(IF(R679=0,0,IF(R679=1,X679*$W$1,IF(R679=2,X679*$W$1*buff的资质计算!$E$2,IF(R679=3,X679*$W$1*buff的资质计算!$E$3,0)))),2)</f>
        <v>27.15</v>
      </c>
      <c r="X679" s="157">
        <f ca="1" t="shared" si="112"/>
        <v>90.5</v>
      </c>
      <c r="Y679" s="157">
        <f ca="1" t="shared" si="117"/>
        <v>92</v>
      </c>
      <c r="Z679" s="304">
        <f ca="1" t="shared" si="113"/>
        <v>30.6666666666667</v>
      </c>
      <c r="AA679" s="304">
        <f ca="1">OFFSET(卡牌辅助配置表!$AD$1,MATCH(AB679,卡牌辅助配置表!AB:AB,0)-1,0)</f>
        <v>18400</v>
      </c>
      <c r="AB679" s="304">
        <f ca="1" t="shared" si="114"/>
        <v>4314</v>
      </c>
      <c r="AC679" s="153">
        <v>12</v>
      </c>
      <c r="AF679" s="153" t="str">
        <f ca="1" t="shared" si="118"/>
        <v>14040011|</v>
      </c>
      <c r="AJ679" s="205" t="str">
        <f ca="1" t="shared" si="115"/>
        <v>400023|8600|;</v>
      </c>
      <c r="AK679" s="205">
        <f ca="1">OFFSET([1]item_type!$A$1,MATCH(Q679,[1]item_type!$G:$G,0)-1,0)</f>
        <v>301404</v>
      </c>
      <c r="AL679" s="205"/>
      <c r="AM679" s="205">
        <f ca="1">IF(B679=B680,OFFSET(卡牌辅助配置表!$AE$1,MATCH(AB679,卡牌辅助配置表!AB:AB,0),0),0)</f>
        <v>8600</v>
      </c>
      <c r="AN679" s="153">
        <f ca="1" t="shared" si="116"/>
        <v>1404015</v>
      </c>
      <c r="AP679" s="153">
        <f ca="1">IF(AC679=0,0,IF(AC679=12,0,OFFSET(effect!$N$1,MATCH(K679,effect!M:M,0)-1,0)))</f>
        <v>0</v>
      </c>
    </row>
    <row r="680" spans="1:42">
      <c r="A680" s="153">
        <f ca="1" t="shared" si="109"/>
        <v>1404015</v>
      </c>
      <c r="B680" s="91" t="s">
        <v>685</v>
      </c>
      <c r="C680" s="186">
        <v>1</v>
      </c>
      <c r="D680" s="186">
        <v>6</v>
      </c>
      <c r="E680" s="165"/>
      <c r="F680" s="179" t="s">
        <v>1056</v>
      </c>
      <c r="G680" s="186">
        <f ca="1">OFFSET(卡牌辅助配置表!$C$1,MATCH(AC680,卡牌辅助配置表!A:A,0)-1,0)</f>
        <v>0</v>
      </c>
      <c r="H680" s="186">
        <f ca="1">OFFSET(skill!$Q$1,MATCH(B680,skill!B:B,0)-1,0)</f>
        <v>1.5</v>
      </c>
      <c r="I680" s="186"/>
      <c r="J680" s="186">
        <f ca="1">OFFSET(card_type!$F$1,MATCH(Q680,card_type!A:A,0)-1,0)</f>
        <v>4</v>
      </c>
      <c r="K680" s="243">
        <f ca="1">OFFSET(card_type!$G$1,MATCH(Q680,card_type!A:A,0)-1,0)</f>
        <v>3</v>
      </c>
      <c r="L680" s="157">
        <v>3</v>
      </c>
      <c r="M680" s="157">
        <v>3</v>
      </c>
      <c r="N680" s="153">
        <f t="shared" si="110"/>
        <v>15</v>
      </c>
      <c r="O680" s="157"/>
      <c r="P680" s="157"/>
      <c r="Q680" s="153">
        <f ca="1">OFFSET(card_type!$A$1,MATCH(card!B680,card_type!B:B,0)-1,0)</f>
        <v>1404</v>
      </c>
      <c r="R680" s="153">
        <v>1</v>
      </c>
      <c r="S680" s="157">
        <f ca="1">ROUND(IF(R680=0,0,IF(R680=1,X680*$S$1,IF(R680=2,X680*$S$1*buff的资质计算!$E$2,IF(R680=3,X680*$S$1*buff的资质计算!$E$3,0)))),0)*0</f>
        <v>0</v>
      </c>
      <c r="T680" s="153">
        <v>1</v>
      </c>
      <c r="U680" s="153">
        <f ca="1" t="shared" si="111"/>
        <v>43</v>
      </c>
      <c r="V680" s="153">
        <f ca="1">ROUND((OFFSET(卡牌辅助配置表!$O$1,MATCH(U680,卡牌辅助配置表!M:M,0)-1,0)+(N680-1)*OFFSET(卡牌辅助配置表!$P$1,MATCH(U680,卡牌辅助配置表!M:M,0)-1,0))*M680,2)</f>
        <v>304.44</v>
      </c>
      <c r="W680" s="157">
        <f ca="1">ROUND(IF(R680=0,0,IF(R680=1,X680*$W$1,IF(R680=2,X680*$W$1*buff的资质计算!$E$2,IF(R680=3,X680*$W$1*buff的资质计算!$E$3,0)))),2)</f>
        <v>27.3</v>
      </c>
      <c r="X680" s="157">
        <f ca="1" t="shared" si="112"/>
        <v>91</v>
      </c>
      <c r="Y680" s="157">
        <f ca="1" t="shared" si="117"/>
        <v>92.5</v>
      </c>
      <c r="Z680" s="304">
        <f ca="1" t="shared" si="113"/>
        <v>30.8333333333333</v>
      </c>
      <c r="AA680" s="304">
        <f ca="1">OFFSET(卡牌辅助配置表!$AD$1,MATCH(AB680,卡牌辅助配置表!AB:AB,0)-1,0)</f>
        <v>20125</v>
      </c>
      <c r="AB680" s="304">
        <f ca="1" t="shared" si="114"/>
        <v>4315</v>
      </c>
      <c r="AC680" s="153">
        <v>12</v>
      </c>
      <c r="AF680" s="153" t="str">
        <f ca="1" t="shared" si="118"/>
        <v>14040011|</v>
      </c>
      <c r="AJ680" s="205" t="str">
        <f ca="1" t="shared" si="115"/>
        <v>400023|9400|;</v>
      </c>
      <c r="AK680" s="205">
        <f ca="1">OFFSET([1]item_type!$A$1,MATCH(Q680,[1]item_type!$G:$G,0)-1,0)</f>
        <v>301404</v>
      </c>
      <c r="AL680" s="205"/>
      <c r="AM680" s="205">
        <f ca="1">IF(B680=B681,OFFSET(卡牌辅助配置表!$AE$1,MATCH(AB680,卡牌辅助配置表!AB:AB,0),0),0)</f>
        <v>9400</v>
      </c>
      <c r="AN680" s="153">
        <f ca="1" t="shared" si="116"/>
        <v>1404016</v>
      </c>
      <c r="AP680" s="153">
        <f ca="1">IF(AC680=0,0,IF(AC680=12,0,OFFSET(effect!$N$1,MATCH(K680,effect!M:M,0)-1,0)))</f>
        <v>0</v>
      </c>
    </row>
    <row r="681" spans="1:42">
      <c r="A681" s="153">
        <f ca="1" t="shared" si="109"/>
        <v>1404016</v>
      </c>
      <c r="B681" s="91" t="s">
        <v>685</v>
      </c>
      <c r="C681" s="186">
        <v>1</v>
      </c>
      <c r="D681" s="186">
        <v>6</v>
      </c>
      <c r="E681" s="165"/>
      <c r="F681" s="179" t="s">
        <v>1056</v>
      </c>
      <c r="G681" s="186">
        <f ca="1">OFFSET(卡牌辅助配置表!$C$1,MATCH(AC681,卡牌辅助配置表!A:A,0)-1,0)</f>
        <v>0</v>
      </c>
      <c r="H681" s="186">
        <f ca="1">OFFSET(skill!$Q$1,MATCH(B681,skill!B:B,0)-1,0)</f>
        <v>1.5</v>
      </c>
      <c r="I681" s="186"/>
      <c r="J681" s="186">
        <f ca="1">OFFSET(card_type!$F$1,MATCH(Q681,card_type!A:A,0)-1,0)</f>
        <v>4</v>
      </c>
      <c r="K681" s="243">
        <f ca="1">OFFSET(card_type!$G$1,MATCH(Q681,card_type!A:A,0)-1,0)</f>
        <v>3</v>
      </c>
      <c r="L681" s="157">
        <v>3</v>
      </c>
      <c r="M681" s="157">
        <v>3</v>
      </c>
      <c r="N681" s="153">
        <f t="shared" si="110"/>
        <v>16</v>
      </c>
      <c r="O681" s="157"/>
      <c r="P681" s="157"/>
      <c r="Q681" s="153">
        <f ca="1">OFFSET(card_type!$A$1,MATCH(card!B681,card_type!B:B,0)-1,0)</f>
        <v>1404</v>
      </c>
      <c r="R681" s="153">
        <v>1</v>
      </c>
      <c r="S681" s="157">
        <f ca="1">ROUND(IF(R681=0,0,IF(R681=1,X681*$S$1,IF(R681=2,X681*$S$1*buff的资质计算!$E$2,IF(R681=3,X681*$S$1*buff的资质计算!$E$3,0)))),0)*0</f>
        <v>0</v>
      </c>
      <c r="T681" s="153">
        <v>1</v>
      </c>
      <c r="U681" s="153">
        <f ca="1" t="shared" si="111"/>
        <v>43</v>
      </c>
      <c r="V681" s="153">
        <f ca="1">ROUND((OFFSET(卡牌辅助配置表!$O$1,MATCH(U681,卡牌辅助配置表!M:M,0)-1,0)+(N681-1)*OFFSET(卡牌辅助配置表!$P$1,MATCH(U681,卡牌辅助配置表!M:M,0)-1,0))*M681,2)</f>
        <v>318.6</v>
      </c>
      <c r="W681" s="157">
        <f ca="1">ROUND(IF(R681=0,0,IF(R681=1,X681*$W$1,IF(R681=2,X681*$W$1*buff的资质计算!$E$2,IF(R681=3,X681*$W$1*buff的资质计算!$E$3,0)))),2)</f>
        <v>27.45</v>
      </c>
      <c r="X681" s="157">
        <f ca="1" t="shared" si="112"/>
        <v>91.5</v>
      </c>
      <c r="Y681" s="157">
        <f ca="1" t="shared" si="117"/>
        <v>93</v>
      </c>
      <c r="Z681" s="304">
        <f ca="1" t="shared" si="113"/>
        <v>31</v>
      </c>
      <c r="AA681" s="304">
        <f ca="1">OFFSET(卡牌辅助配置表!$AD$1,MATCH(AB681,卡牌辅助配置表!AB:AB,0)-1,0)</f>
        <v>21850</v>
      </c>
      <c r="AB681" s="304">
        <f ca="1" t="shared" si="114"/>
        <v>4316</v>
      </c>
      <c r="AC681" s="153">
        <v>12</v>
      </c>
      <c r="AF681" s="153" t="str">
        <f ca="1" t="shared" si="118"/>
        <v>14040011|</v>
      </c>
      <c r="AJ681" s="205" t="str">
        <f ca="1" t="shared" si="115"/>
        <v>400023|10200|;</v>
      </c>
      <c r="AK681" s="205">
        <f ca="1">OFFSET([1]item_type!$A$1,MATCH(Q681,[1]item_type!$G:$G,0)-1,0)</f>
        <v>301404</v>
      </c>
      <c r="AL681" s="205"/>
      <c r="AM681" s="205">
        <f ca="1">IF(B681=B682,OFFSET(卡牌辅助配置表!$AE$1,MATCH(AB681,卡牌辅助配置表!AB:AB,0),0),0)</f>
        <v>10200</v>
      </c>
      <c r="AN681" s="153">
        <f ca="1" t="shared" si="116"/>
        <v>1404017</v>
      </c>
      <c r="AP681" s="153">
        <f ca="1">IF(AC681=0,0,IF(AC681=12,0,OFFSET(effect!$N$1,MATCH(K681,effect!M:M,0)-1,0)))</f>
        <v>0</v>
      </c>
    </row>
    <row r="682" spans="1:42">
      <c r="A682" s="153">
        <f ca="1" t="shared" si="109"/>
        <v>1404017</v>
      </c>
      <c r="B682" s="91" t="s">
        <v>685</v>
      </c>
      <c r="C682" s="186">
        <v>1</v>
      </c>
      <c r="D682" s="186">
        <v>6</v>
      </c>
      <c r="E682" s="165"/>
      <c r="F682" s="179" t="s">
        <v>1056</v>
      </c>
      <c r="G682" s="186">
        <f ca="1">OFFSET(卡牌辅助配置表!$C$1,MATCH(AC682,卡牌辅助配置表!A:A,0)-1,0)</f>
        <v>0</v>
      </c>
      <c r="H682" s="186">
        <f ca="1">OFFSET(skill!$Q$1,MATCH(B682,skill!B:B,0)-1,0)</f>
        <v>1.5</v>
      </c>
      <c r="I682" s="186"/>
      <c r="J682" s="186">
        <f ca="1">OFFSET(card_type!$F$1,MATCH(Q682,card_type!A:A,0)-1,0)</f>
        <v>4</v>
      </c>
      <c r="K682" s="243">
        <f ca="1">OFFSET(card_type!$G$1,MATCH(Q682,card_type!A:A,0)-1,0)</f>
        <v>3</v>
      </c>
      <c r="L682" s="157">
        <v>3</v>
      </c>
      <c r="M682" s="157">
        <v>3</v>
      </c>
      <c r="N682" s="153">
        <f t="shared" si="110"/>
        <v>17</v>
      </c>
      <c r="O682" s="157"/>
      <c r="P682" s="157"/>
      <c r="Q682" s="153">
        <f ca="1">OFFSET(card_type!$A$1,MATCH(card!B682,card_type!B:B,0)-1,0)</f>
        <v>1404</v>
      </c>
      <c r="R682" s="153">
        <v>1</v>
      </c>
      <c r="S682" s="157">
        <f ca="1">ROUND(IF(R682=0,0,IF(R682=1,X682*$S$1,IF(R682=2,X682*$S$1*buff的资质计算!$E$2,IF(R682=3,X682*$S$1*buff的资质计算!$E$3,0)))),0)*0</f>
        <v>0</v>
      </c>
      <c r="T682" s="153">
        <v>1</v>
      </c>
      <c r="U682" s="153">
        <f ca="1" t="shared" si="111"/>
        <v>43</v>
      </c>
      <c r="V682" s="153">
        <f ca="1">ROUND((OFFSET(卡牌辅助配置表!$O$1,MATCH(U682,卡牌辅助配置表!M:M,0)-1,0)+(N682-1)*OFFSET(卡牌辅助配置表!$P$1,MATCH(U682,卡牌辅助配置表!M:M,0)-1,0))*M682,2)</f>
        <v>332.76</v>
      </c>
      <c r="W682" s="157">
        <f ca="1">ROUND(IF(R682=0,0,IF(R682=1,X682*$W$1,IF(R682=2,X682*$W$1*buff的资质计算!$E$2,IF(R682=3,X682*$W$1*buff的资质计算!$E$3,0)))),2)</f>
        <v>27.6</v>
      </c>
      <c r="X682" s="157">
        <f ca="1" t="shared" si="112"/>
        <v>92</v>
      </c>
      <c r="Y682" s="157">
        <f ca="1" t="shared" si="117"/>
        <v>93.5</v>
      </c>
      <c r="Z682" s="304">
        <f ca="1" t="shared" si="113"/>
        <v>31.1666666666667</v>
      </c>
      <c r="AA682" s="304">
        <f ca="1">OFFSET(卡牌辅助配置表!$AD$1,MATCH(AB682,卡牌辅助配置表!AB:AB,0)-1,0)</f>
        <v>23575</v>
      </c>
      <c r="AB682" s="304">
        <f ca="1" t="shared" si="114"/>
        <v>4317</v>
      </c>
      <c r="AC682" s="153">
        <v>12</v>
      </c>
      <c r="AF682" s="153" t="str">
        <f ca="1" t="shared" si="118"/>
        <v>14040011|</v>
      </c>
      <c r="AJ682" s="205" t="str">
        <f ca="1" t="shared" si="115"/>
        <v>400023|11000|;</v>
      </c>
      <c r="AK682" s="205">
        <f ca="1">OFFSET([1]item_type!$A$1,MATCH(Q682,[1]item_type!$G:$G,0)-1,0)</f>
        <v>301404</v>
      </c>
      <c r="AL682" s="205"/>
      <c r="AM682" s="205">
        <f ca="1">IF(B682=B683,OFFSET(卡牌辅助配置表!$AE$1,MATCH(AB682,卡牌辅助配置表!AB:AB,0),0),0)</f>
        <v>11000</v>
      </c>
      <c r="AN682" s="153">
        <f ca="1" t="shared" si="116"/>
        <v>1404018</v>
      </c>
      <c r="AP682" s="153">
        <f ca="1">IF(AC682=0,0,IF(AC682=12,0,OFFSET(effect!$N$1,MATCH(K682,effect!M:M,0)-1,0)))</f>
        <v>0</v>
      </c>
    </row>
    <row r="683" spans="1:42">
      <c r="A683" s="153">
        <f ca="1" t="shared" si="109"/>
        <v>1404018</v>
      </c>
      <c r="B683" s="91" t="s">
        <v>685</v>
      </c>
      <c r="C683" s="186">
        <v>1</v>
      </c>
      <c r="D683" s="186">
        <v>6</v>
      </c>
      <c r="E683" s="165"/>
      <c r="F683" s="179" t="s">
        <v>1056</v>
      </c>
      <c r="G683" s="186">
        <f ca="1">OFFSET(卡牌辅助配置表!$C$1,MATCH(AC683,卡牌辅助配置表!A:A,0)-1,0)</f>
        <v>0</v>
      </c>
      <c r="H683" s="186">
        <f ca="1">OFFSET(skill!$Q$1,MATCH(B683,skill!B:B,0)-1,0)</f>
        <v>1.5</v>
      </c>
      <c r="I683" s="186"/>
      <c r="J683" s="186">
        <f ca="1">OFFSET(card_type!$F$1,MATCH(Q683,card_type!A:A,0)-1,0)</f>
        <v>4</v>
      </c>
      <c r="K683" s="243">
        <f ca="1">OFFSET(card_type!$G$1,MATCH(Q683,card_type!A:A,0)-1,0)</f>
        <v>3</v>
      </c>
      <c r="L683" s="157">
        <v>3</v>
      </c>
      <c r="M683" s="157">
        <v>3</v>
      </c>
      <c r="N683" s="153">
        <f t="shared" si="110"/>
        <v>18</v>
      </c>
      <c r="O683" s="157"/>
      <c r="P683" s="157"/>
      <c r="Q683" s="153">
        <f ca="1">OFFSET(card_type!$A$1,MATCH(card!B683,card_type!B:B,0)-1,0)</f>
        <v>1404</v>
      </c>
      <c r="R683" s="153">
        <v>1</v>
      </c>
      <c r="S683" s="157">
        <f ca="1">ROUND(IF(R683=0,0,IF(R683=1,X683*$S$1,IF(R683=2,X683*$S$1*buff的资质计算!$E$2,IF(R683=3,X683*$S$1*buff的资质计算!$E$3,0)))),0)*0</f>
        <v>0</v>
      </c>
      <c r="T683" s="153">
        <v>1</v>
      </c>
      <c r="U683" s="153">
        <f ca="1" t="shared" si="111"/>
        <v>43</v>
      </c>
      <c r="V683" s="153">
        <f ca="1">ROUND((OFFSET(卡牌辅助配置表!$O$1,MATCH(U683,卡牌辅助配置表!M:M,0)-1,0)+(N683-1)*OFFSET(卡牌辅助配置表!$P$1,MATCH(U683,卡牌辅助配置表!M:M,0)-1,0))*M683,2)</f>
        <v>346.92</v>
      </c>
      <c r="W683" s="157">
        <f ca="1">ROUND(IF(R683=0,0,IF(R683=1,X683*$W$1,IF(R683=2,X683*$W$1*buff的资质计算!$E$2,IF(R683=3,X683*$W$1*buff的资质计算!$E$3,0)))),2)</f>
        <v>27.75</v>
      </c>
      <c r="X683" s="157">
        <f ca="1" t="shared" si="112"/>
        <v>92.5</v>
      </c>
      <c r="Y683" s="157">
        <f ca="1" t="shared" si="117"/>
        <v>94</v>
      </c>
      <c r="Z683" s="304">
        <f ca="1" t="shared" si="113"/>
        <v>31.3333333333333</v>
      </c>
      <c r="AA683" s="304">
        <f ca="1">OFFSET(卡牌辅助配置表!$AD$1,MATCH(AB683,卡牌辅助配置表!AB:AB,0)-1,0)</f>
        <v>25300</v>
      </c>
      <c r="AB683" s="304">
        <f ca="1" t="shared" si="114"/>
        <v>4318</v>
      </c>
      <c r="AC683" s="153">
        <v>12</v>
      </c>
      <c r="AF683" s="153" t="str">
        <f ca="1" t="shared" si="118"/>
        <v>14040011|</v>
      </c>
      <c r="AJ683" s="205" t="str">
        <f ca="1" t="shared" si="115"/>
        <v>400023|11800|;</v>
      </c>
      <c r="AK683" s="205">
        <f ca="1">OFFSET([1]item_type!$A$1,MATCH(Q683,[1]item_type!$G:$G,0)-1,0)</f>
        <v>301404</v>
      </c>
      <c r="AL683" s="205"/>
      <c r="AM683" s="205">
        <f ca="1">IF(B683=B684,OFFSET(卡牌辅助配置表!$AE$1,MATCH(AB683,卡牌辅助配置表!AB:AB,0),0),0)</f>
        <v>11800</v>
      </c>
      <c r="AN683" s="153">
        <f ca="1" t="shared" si="116"/>
        <v>1404019</v>
      </c>
      <c r="AP683" s="153">
        <f ca="1">IF(AC683=0,0,IF(AC683=12,0,OFFSET(effect!$N$1,MATCH(K683,effect!M:M,0)-1,0)))</f>
        <v>0</v>
      </c>
    </row>
    <row r="684" spans="1:42">
      <c r="A684" s="153">
        <f ca="1" t="shared" si="109"/>
        <v>1404019</v>
      </c>
      <c r="B684" s="91" t="s">
        <v>685</v>
      </c>
      <c r="C684" s="186">
        <v>1</v>
      </c>
      <c r="D684" s="186">
        <v>6</v>
      </c>
      <c r="E684" s="165"/>
      <c r="F684" s="179" t="s">
        <v>1056</v>
      </c>
      <c r="G684" s="186">
        <f ca="1">OFFSET(卡牌辅助配置表!$C$1,MATCH(AC684,卡牌辅助配置表!A:A,0)-1,0)</f>
        <v>0</v>
      </c>
      <c r="H684" s="186">
        <f ca="1">OFFSET(skill!$Q$1,MATCH(B684,skill!B:B,0)-1,0)</f>
        <v>1.5</v>
      </c>
      <c r="I684" s="186"/>
      <c r="J684" s="186">
        <f ca="1">OFFSET(card_type!$F$1,MATCH(Q684,card_type!A:A,0)-1,0)</f>
        <v>4</v>
      </c>
      <c r="K684" s="243">
        <f ca="1">OFFSET(card_type!$G$1,MATCH(Q684,card_type!A:A,0)-1,0)</f>
        <v>3</v>
      </c>
      <c r="L684" s="157">
        <v>3</v>
      </c>
      <c r="M684" s="157">
        <v>3</v>
      </c>
      <c r="N684" s="153">
        <f t="shared" si="110"/>
        <v>19</v>
      </c>
      <c r="O684" s="157"/>
      <c r="P684" s="157"/>
      <c r="Q684" s="153">
        <f ca="1">OFFSET(card_type!$A$1,MATCH(card!B684,card_type!B:B,0)-1,0)</f>
        <v>1404</v>
      </c>
      <c r="R684" s="153">
        <v>1</v>
      </c>
      <c r="S684" s="157">
        <f ca="1">ROUND(IF(R684=0,0,IF(R684=1,X684*$S$1,IF(R684=2,X684*$S$1*buff的资质计算!$E$2,IF(R684=3,X684*$S$1*buff的资质计算!$E$3,0)))),0)*0</f>
        <v>0</v>
      </c>
      <c r="T684" s="153">
        <v>1</v>
      </c>
      <c r="U684" s="153">
        <f ca="1" t="shared" si="111"/>
        <v>43</v>
      </c>
      <c r="V684" s="153">
        <f ca="1">ROUND((OFFSET(卡牌辅助配置表!$O$1,MATCH(U684,卡牌辅助配置表!M:M,0)-1,0)+(N684-1)*OFFSET(卡牌辅助配置表!$P$1,MATCH(U684,卡牌辅助配置表!M:M,0)-1,0))*M684,2)</f>
        <v>361.08</v>
      </c>
      <c r="W684" s="157">
        <f ca="1">ROUND(IF(R684=0,0,IF(R684=1,X684*$W$1,IF(R684=2,X684*$W$1*buff的资质计算!$E$2,IF(R684=3,X684*$W$1*buff的资质计算!$E$3,0)))),2)</f>
        <v>27.9</v>
      </c>
      <c r="X684" s="157">
        <f ca="1" t="shared" si="112"/>
        <v>93</v>
      </c>
      <c r="Y684" s="157">
        <f ca="1" t="shared" si="117"/>
        <v>94.5</v>
      </c>
      <c r="Z684" s="304">
        <f ca="1" t="shared" si="113"/>
        <v>31.5</v>
      </c>
      <c r="AA684" s="304">
        <f ca="1">OFFSET(卡牌辅助配置表!$AD$1,MATCH(AB684,卡牌辅助配置表!AB:AB,0)-1,0)</f>
        <v>27025</v>
      </c>
      <c r="AB684" s="304">
        <f ca="1" t="shared" si="114"/>
        <v>4319</v>
      </c>
      <c r="AC684" s="153">
        <v>12</v>
      </c>
      <c r="AF684" s="153" t="str">
        <f ca="1" t="shared" si="118"/>
        <v>14040011|</v>
      </c>
      <c r="AJ684" s="205" t="str">
        <f ca="1" t="shared" si="115"/>
        <v>301404|20|;400023|12600|;</v>
      </c>
      <c r="AK684" s="205">
        <f ca="1">OFFSET([1]item_type!$A$1,MATCH(Q684,[1]item_type!$G:$G,0)-1,0)</f>
        <v>301404</v>
      </c>
      <c r="AL684" s="205">
        <v>20</v>
      </c>
      <c r="AM684" s="205">
        <f ca="1">IF(B684=B685,OFFSET(卡牌辅助配置表!$AE$1,MATCH(AB684,卡牌辅助配置表!AB:AB,0),0),0)</f>
        <v>12600</v>
      </c>
      <c r="AN684" s="153">
        <f ca="1" t="shared" si="116"/>
        <v>1404020</v>
      </c>
      <c r="AP684" s="153">
        <f ca="1">IF(AC684=0,0,IF(AC684=12,0,OFFSET(effect!$N$1,MATCH(K684,effect!M:M,0)-1,0)))</f>
        <v>0</v>
      </c>
    </row>
    <row r="685" spans="1:42">
      <c r="A685" s="153">
        <f ca="1" t="shared" si="109"/>
        <v>1404020</v>
      </c>
      <c r="B685" s="91" t="s">
        <v>685</v>
      </c>
      <c r="C685" s="186">
        <v>1</v>
      </c>
      <c r="D685" s="186">
        <v>6</v>
      </c>
      <c r="E685" s="165"/>
      <c r="F685" s="179" t="s">
        <v>1056</v>
      </c>
      <c r="G685" s="186">
        <f ca="1">OFFSET(卡牌辅助配置表!$C$1,MATCH(AC685,卡牌辅助配置表!A:A,0)-1,0)</f>
        <v>0</v>
      </c>
      <c r="H685" s="186">
        <f ca="1">OFFSET(skill!$Q$1,MATCH(B685,skill!B:B,0)-1,0)</f>
        <v>1.5</v>
      </c>
      <c r="I685" s="186"/>
      <c r="J685" s="186">
        <f ca="1">OFFSET(card_type!$F$1,MATCH(Q685,card_type!A:A,0)-1,0)</f>
        <v>4</v>
      </c>
      <c r="K685" s="243">
        <f ca="1">OFFSET(card_type!$G$1,MATCH(Q685,card_type!A:A,0)-1,0)</f>
        <v>3</v>
      </c>
      <c r="L685" s="157">
        <v>3</v>
      </c>
      <c r="M685" s="157">
        <v>3</v>
      </c>
      <c r="N685" s="153">
        <f t="shared" si="110"/>
        <v>20</v>
      </c>
      <c r="O685" s="157"/>
      <c r="P685" s="157"/>
      <c r="Q685" s="153">
        <f ca="1">OFFSET(card_type!$A$1,MATCH(card!B685,card_type!B:B,0)-1,0)</f>
        <v>1404</v>
      </c>
      <c r="R685" s="153">
        <v>1</v>
      </c>
      <c r="S685" s="157">
        <f ca="1">ROUND(IF(R685=0,0,IF(R685=1,X685*$S$1,IF(R685=2,X685*$S$1*buff的资质计算!$E$2,IF(R685=3,X685*$S$1*buff的资质计算!$E$3,0)))),0)*0</f>
        <v>0</v>
      </c>
      <c r="T685" s="153">
        <v>1</v>
      </c>
      <c r="U685" s="153">
        <f ca="1" t="shared" si="111"/>
        <v>43</v>
      </c>
      <c r="V685" s="153">
        <f ca="1">ROUND((OFFSET(卡牌辅助配置表!$O$1,MATCH(U685,卡牌辅助配置表!M:M,0)-1,0)+(N685-1)*OFFSET(卡牌辅助配置表!$P$1,MATCH(U685,卡牌辅助配置表!M:M,0)-1,0))*M685,2)</f>
        <v>375.24</v>
      </c>
      <c r="W685" s="157">
        <f ca="1">ROUND(IF(R685=0,0,IF(R685=1,X685*$W$1,IF(R685=2,X685*$W$1*buff的资质计算!$E$2,IF(R685=3,X685*$W$1*buff的资质计算!$E$3,0)))),2)</f>
        <v>28.05</v>
      </c>
      <c r="X685" s="157">
        <f ca="1" t="shared" si="112"/>
        <v>93.5</v>
      </c>
      <c r="Y685" s="157">
        <f ca="1" t="shared" si="117"/>
        <v>95</v>
      </c>
      <c r="Z685" s="304">
        <f ca="1" t="shared" si="113"/>
        <v>31.6666666666667</v>
      </c>
      <c r="AA685" s="304">
        <f ca="1">OFFSET(卡牌辅助配置表!$AD$1,MATCH(AB685,卡牌辅助配置表!AB:AB,0)-1,0)</f>
        <v>28750</v>
      </c>
      <c r="AB685" s="304">
        <f ca="1" t="shared" si="114"/>
        <v>4320</v>
      </c>
      <c r="AC685" s="153">
        <v>12</v>
      </c>
      <c r="AF685" s="153" t="str">
        <f ca="1" t="shared" si="118"/>
        <v>14040011|</v>
      </c>
      <c r="AJ685" s="205" t="str">
        <f ca="1" t="shared" si="115"/>
        <v>400023|14200|;</v>
      </c>
      <c r="AK685" s="205">
        <f ca="1">OFFSET([1]item_type!$A$1,MATCH(Q685,[1]item_type!$G:$G,0)-1,0)</f>
        <v>301404</v>
      </c>
      <c r="AL685" s="205"/>
      <c r="AM685" s="205">
        <f ca="1">IF(B685=B686,OFFSET(卡牌辅助配置表!$AE$1,MATCH(AB685,卡牌辅助配置表!AB:AB,0),0),0)</f>
        <v>14200</v>
      </c>
      <c r="AN685" s="153">
        <f ca="1" t="shared" si="116"/>
        <v>1404021</v>
      </c>
      <c r="AP685" s="153">
        <f ca="1">IF(AC685=0,0,IF(AC685=12,0,OFFSET(effect!$N$1,MATCH(K685,effect!M:M,0)-1,0)))</f>
        <v>0</v>
      </c>
    </row>
    <row r="686" spans="1:42">
      <c r="A686" s="153">
        <f ca="1" t="shared" si="109"/>
        <v>1404021</v>
      </c>
      <c r="B686" s="91" t="s">
        <v>685</v>
      </c>
      <c r="C686" s="186">
        <v>1</v>
      </c>
      <c r="D686" s="186">
        <v>6</v>
      </c>
      <c r="E686" s="165"/>
      <c r="F686" s="179" t="s">
        <v>1056</v>
      </c>
      <c r="G686" s="186">
        <f ca="1">OFFSET(卡牌辅助配置表!$C$1,MATCH(AC686,卡牌辅助配置表!A:A,0)-1,0)</f>
        <v>0</v>
      </c>
      <c r="H686" s="186">
        <f ca="1">OFFSET(skill!$Q$1,MATCH(B686,skill!B:B,0)-1,0)</f>
        <v>1.5</v>
      </c>
      <c r="I686" s="186"/>
      <c r="J686" s="186">
        <f ca="1">OFFSET(card_type!$F$1,MATCH(Q686,card_type!A:A,0)-1,0)</f>
        <v>4</v>
      </c>
      <c r="K686" s="243">
        <f ca="1">OFFSET(card_type!$G$1,MATCH(Q686,card_type!A:A,0)-1,0)</f>
        <v>3</v>
      </c>
      <c r="L686" s="157">
        <v>3</v>
      </c>
      <c r="M686" s="157">
        <v>3</v>
      </c>
      <c r="N686" s="153">
        <f t="shared" si="110"/>
        <v>21</v>
      </c>
      <c r="O686" s="157"/>
      <c r="P686" s="157"/>
      <c r="Q686" s="153">
        <f ca="1">OFFSET(card_type!$A$1,MATCH(card!B686,card_type!B:B,0)-1,0)</f>
        <v>1404</v>
      </c>
      <c r="R686" s="153">
        <v>1</v>
      </c>
      <c r="S686" s="157">
        <f ca="1">ROUND(IF(R686=0,0,IF(R686=1,X686*$S$1,IF(R686=2,X686*$S$1*buff的资质计算!$E$2,IF(R686=3,X686*$S$1*buff的资质计算!$E$3,0)))),0)*0</f>
        <v>0</v>
      </c>
      <c r="T686" s="153">
        <v>1</v>
      </c>
      <c r="U686" s="153">
        <f ca="1" t="shared" si="111"/>
        <v>43</v>
      </c>
      <c r="V686" s="153">
        <f ca="1">ROUND((OFFSET(卡牌辅助配置表!$O$1,MATCH(U686,卡牌辅助配置表!M:M,0)-1,0)+(N686-1)*OFFSET(卡牌辅助配置表!$P$1,MATCH(U686,卡牌辅助配置表!M:M,0)-1,0))*M686,2)</f>
        <v>389.4</v>
      </c>
      <c r="W686" s="157">
        <f ca="1">ROUND(IF(R686=0,0,IF(R686=1,X686*$W$1,IF(R686=2,X686*$W$1*buff的资质计算!$E$2,IF(R686=3,X686*$W$1*buff的资质计算!$E$3,0)))),2)</f>
        <v>28.2</v>
      </c>
      <c r="X686" s="157">
        <f ca="1" t="shared" si="112"/>
        <v>94</v>
      </c>
      <c r="Y686" s="157">
        <f ca="1" t="shared" si="117"/>
        <v>95.5</v>
      </c>
      <c r="Z686" s="304">
        <f ca="1" t="shared" si="113"/>
        <v>31.8333333333333</v>
      </c>
      <c r="AA686" s="304">
        <f ca="1">OFFSET(卡牌辅助配置表!$AD$1,MATCH(AB686,卡牌辅助配置表!AB:AB,0)-1,0)</f>
        <v>31051</v>
      </c>
      <c r="AB686" s="304">
        <f ca="1" t="shared" si="114"/>
        <v>4321</v>
      </c>
      <c r="AC686" s="153">
        <v>12</v>
      </c>
      <c r="AF686" s="153" t="str">
        <f ca="1" t="shared" si="118"/>
        <v>14040011|</v>
      </c>
      <c r="AJ686" s="205" t="str">
        <f ca="1" t="shared" si="115"/>
        <v>400023|15800|;</v>
      </c>
      <c r="AK686" s="205">
        <f ca="1">OFFSET([1]item_type!$A$1,MATCH(Q686,[1]item_type!$G:$G,0)-1,0)</f>
        <v>301404</v>
      </c>
      <c r="AL686" s="205"/>
      <c r="AM686" s="205">
        <f ca="1">IF(B686=B687,OFFSET(卡牌辅助配置表!$AE$1,MATCH(AB686,卡牌辅助配置表!AB:AB,0),0),0)</f>
        <v>15800</v>
      </c>
      <c r="AN686" s="153">
        <f ca="1" t="shared" si="116"/>
        <v>1404022</v>
      </c>
      <c r="AP686" s="153">
        <f ca="1">IF(AC686=0,0,IF(AC686=12,0,OFFSET(effect!$N$1,MATCH(K686,effect!M:M,0)-1,0)))</f>
        <v>0</v>
      </c>
    </row>
    <row r="687" spans="1:42">
      <c r="A687" s="153">
        <f ca="1" t="shared" si="109"/>
        <v>1404022</v>
      </c>
      <c r="B687" s="91" t="s">
        <v>685</v>
      </c>
      <c r="C687" s="186">
        <v>1</v>
      </c>
      <c r="D687" s="186">
        <v>6</v>
      </c>
      <c r="E687" s="165"/>
      <c r="F687" s="179" t="s">
        <v>1056</v>
      </c>
      <c r="G687" s="186">
        <f ca="1">OFFSET(卡牌辅助配置表!$C$1,MATCH(AC687,卡牌辅助配置表!A:A,0)-1,0)</f>
        <v>0</v>
      </c>
      <c r="H687" s="186">
        <f ca="1">OFFSET(skill!$Q$1,MATCH(B687,skill!B:B,0)-1,0)</f>
        <v>1.5</v>
      </c>
      <c r="I687" s="186"/>
      <c r="J687" s="186">
        <f ca="1">OFFSET(card_type!$F$1,MATCH(Q687,card_type!A:A,0)-1,0)</f>
        <v>4</v>
      </c>
      <c r="K687" s="243">
        <f ca="1">OFFSET(card_type!$G$1,MATCH(Q687,card_type!A:A,0)-1,0)</f>
        <v>3</v>
      </c>
      <c r="L687" s="157">
        <v>3</v>
      </c>
      <c r="M687" s="157">
        <v>3</v>
      </c>
      <c r="N687" s="153">
        <f t="shared" si="110"/>
        <v>22</v>
      </c>
      <c r="O687" s="157"/>
      <c r="P687" s="157"/>
      <c r="Q687" s="153">
        <f ca="1">OFFSET(card_type!$A$1,MATCH(card!B687,card_type!B:B,0)-1,0)</f>
        <v>1404</v>
      </c>
      <c r="R687" s="153">
        <v>1</v>
      </c>
      <c r="S687" s="157">
        <f ca="1">ROUND(IF(R687=0,0,IF(R687=1,X687*$S$1,IF(R687=2,X687*$S$1*buff的资质计算!$E$2,IF(R687=3,X687*$S$1*buff的资质计算!$E$3,0)))),0)*0</f>
        <v>0</v>
      </c>
      <c r="T687" s="153">
        <v>1</v>
      </c>
      <c r="U687" s="153">
        <f ca="1" t="shared" si="111"/>
        <v>43</v>
      </c>
      <c r="V687" s="153">
        <f ca="1">ROUND((OFFSET(卡牌辅助配置表!$O$1,MATCH(U687,卡牌辅助配置表!M:M,0)-1,0)+(N687-1)*OFFSET(卡牌辅助配置表!$P$1,MATCH(U687,卡牌辅助配置表!M:M,0)-1,0))*M687,2)</f>
        <v>403.56</v>
      </c>
      <c r="W687" s="157">
        <f ca="1">ROUND(IF(R687=0,0,IF(R687=1,X687*$W$1,IF(R687=2,X687*$W$1*buff的资质计算!$E$2,IF(R687=3,X687*$W$1*buff的资质计算!$E$3,0)))),2)</f>
        <v>28.35</v>
      </c>
      <c r="X687" s="157">
        <f ca="1" t="shared" si="112"/>
        <v>94.5</v>
      </c>
      <c r="Y687" s="157">
        <f ca="1" t="shared" si="117"/>
        <v>96</v>
      </c>
      <c r="Z687" s="304">
        <f ca="1" t="shared" si="113"/>
        <v>32</v>
      </c>
      <c r="AA687" s="304">
        <f ca="1">OFFSET(卡牌辅助配置表!$AD$1,MATCH(AB687,卡牌辅助配置表!AB:AB,0)-1,0)</f>
        <v>33352</v>
      </c>
      <c r="AB687" s="304">
        <f ca="1" t="shared" si="114"/>
        <v>4322</v>
      </c>
      <c r="AC687" s="153">
        <v>12</v>
      </c>
      <c r="AF687" s="153" t="str">
        <f ca="1" t="shared" si="118"/>
        <v>14040011|</v>
      </c>
      <c r="AJ687" s="205" t="str">
        <f ca="1" t="shared" si="115"/>
        <v>400023|17400|;</v>
      </c>
      <c r="AK687" s="205">
        <f ca="1">OFFSET([1]item_type!$A$1,MATCH(Q687,[1]item_type!$G:$G,0)-1,0)</f>
        <v>301404</v>
      </c>
      <c r="AL687" s="205"/>
      <c r="AM687" s="205">
        <f ca="1">IF(B687=B688,OFFSET(卡牌辅助配置表!$AE$1,MATCH(AB687,卡牌辅助配置表!AB:AB,0),0),0)</f>
        <v>17400</v>
      </c>
      <c r="AN687" s="153">
        <f ca="1" t="shared" si="116"/>
        <v>1404023</v>
      </c>
      <c r="AP687" s="153">
        <f ca="1">IF(AC687=0,0,IF(AC687=12,0,OFFSET(effect!$N$1,MATCH(K687,effect!M:M,0)-1,0)))</f>
        <v>0</v>
      </c>
    </row>
    <row r="688" spans="1:42">
      <c r="A688" s="153">
        <f ca="1" t="shared" si="109"/>
        <v>1404023</v>
      </c>
      <c r="B688" s="91" t="s">
        <v>685</v>
      </c>
      <c r="C688" s="186">
        <v>1</v>
      </c>
      <c r="D688" s="186">
        <v>6</v>
      </c>
      <c r="E688" s="165"/>
      <c r="F688" s="179" t="s">
        <v>1056</v>
      </c>
      <c r="G688" s="186">
        <f ca="1">OFFSET(卡牌辅助配置表!$C$1,MATCH(AC688,卡牌辅助配置表!A:A,0)-1,0)</f>
        <v>0</v>
      </c>
      <c r="H688" s="186">
        <f ca="1">OFFSET(skill!$Q$1,MATCH(B688,skill!B:B,0)-1,0)</f>
        <v>1.5</v>
      </c>
      <c r="I688" s="186"/>
      <c r="J688" s="186">
        <f ca="1">OFFSET(card_type!$F$1,MATCH(Q688,card_type!A:A,0)-1,0)</f>
        <v>4</v>
      </c>
      <c r="K688" s="243">
        <f ca="1">OFFSET(card_type!$G$1,MATCH(Q688,card_type!A:A,0)-1,0)</f>
        <v>3</v>
      </c>
      <c r="L688" s="157">
        <v>3</v>
      </c>
      <c r="M688" s="157">
        <v>3</v>
      </c>
      <c r="N688" s="153">
        <f t="shared" si="110"/>
        <v>23</v>
      </c>
      <c r="O688" s="157"/>
      <c r="P688" s="157"/>
      <c r="Q688" s="153">
        <f ca="1">OFFSET(card_type!$A$1,MATCH(card!B688,card_type!B:B,0)-1,0)</f>
        <v>1404</v>
      </c>
      <c r="R688" s="153">
        <v>1</v>
      </c>
      <c r="S688" s="157">
        <f ca="1">ROUND(IF(R688=0,0,IF(R688=1,X688*$S$1,IF(R688=2,X688*$S$1*buff的资质计算!$E$2,IF(R688=3,X688*$S$1*buff的资质计算!$E$3,0)))),0)*0</f>
        <v>0</v>
      </c>
      <c r="T688" s="153">
        <v>1</v>
      </c>
      <c r="U688" s="153">
        <f ca="1" t="shared" si="111"/>
        <v>43</v>
      </c>
      <c r="V688" s="153">
        <f ca="1">ROUND((OFFSET(卡牌辅助配置表!$O$1,MATCH(U688,卡牌辅助配置表!M:M,0)-1,0)+(N688-1)*OFFSET(卡牌辅助配置表!$P$1,MATCH(U688,卡牌辅助配置表!M:M,0)-1,0))*M688,2)</f>
        <v>417.72</v>
      </c>
      <c r="W688" s="157">
        <f ca="1">ROUND(IF(R688=0,0,IF(R688=1,X688*$W$1,IF(R688=2,X688*$W$1*buff的资质计算!$E$2,IF(R688=3,X688*$W$1*buff的资质计算!$E$3,0)))),2)</f>
        <v>28.5</v>
      </c>
      <c r="X688" s="157">
        <f ca="1" t="shared" si="112"/>
        <v>95</v>
      </c>
      <c r="Y688" s="157">
        <f ca="1" t="shared" si="117"/>
        <v>96.5</v>
      </c>
      <c r="Z688" s="304">
        <f ca="1" t="shared" si="113"/>
        <v>32.1666666666667</v>
      </c>
      <c r="AA688" s="304">
        <f ca="1">OFFSET(卡牌辅助配置表!$AD$1,MATCH(AB688,卡牌辅助配置表!AB:AB,0)-1,0)</f>
        <v>35653</v>
      </c>
      <c r="AB688" s="304">
        <f ca="1" t="shared" si="114"/>
        <v>4323</v>
      </c>
      <c r="AC688" s="153">
        <v>12</v>
      </c>
      <c r="AF688" s="153" t="str">
        <f ca="1" t="shared" si="118"/>
        <v>14040011|</v>
      </c>
      <c r="AJ688" s="205" t="str">
        <f ca="1" t="shared" si="115"/>
        <v>400023|19000|;</v>
      </c>
      <c r="AK688" s="205">
        <f ca="1">OFFSET([1]item_type!$A$1,MATCH(Q688,[1]item_type!$G:$G,0)-1,0)</f>
        <v>301404</v>
      </c>
      <c r="AL688" s="205"/>
      <c r="AM688" s="205">
        <f ca="1">IF(B688=B689,OFFSET(卡牌辅助配置表!$AE$1,MATCH(AB688,卡牌辅助配置表!AB:AB,0),0),0)</f>
        <v>19000</v>
      </c>
      <c r="AN688" s="153">
        <f ca="1" t="shared" si="116"/>
        <v>1404024</v>
      </c>
      <c r="AP688" s="153">
        <f ca="1">IF(AC688=0,0,IF(AC688=12,0,OFFSET(effect!$N$1,MATCH(K688,effect!M:M,0)-1,0)))</f>
        <v>0</v>
      </c>
    </row>
    <row r="689" spans="1:42">
      <c r="A689" s="153">
        <f ca="1" t="shared" si="109"/>
        <v>1404024</v>
      </c>
      <c r="B689" s="91" t="s">
        <v>685</v>
      </c>
      <c r="C689" s="186">
        <v>1</v>
      </c>
      <c r="D689" s="186">
        <v>6</v>
      </c>
      <c r="E689" s="165"/>
      <c r="F689" s="179" t="s">
        <v>1056</v>
      </c>
      <c r="G689" s="186">
        <f ca="1">OFFSET(卡牌辅助配置表!$C$1,MATCH(AC689,卡牌辅助配置表!A:A,0)-1,0)</f>
        <v>0</v>
      </c>
      <c r="H689" s="186">
        <f ca="1">OFFSET(skill!$Q$1,MATCH(B689,skill!B:B,0)-1,0)</f>
        <v>1.5</v>
      </c>
      <c r="I689" s="186"/>
      <c r="J689" s="186">
        <f ca="1">OFFSET(card_type!$F$1,MATCH(Q689,card_type!A:A,0)-1,0)</f>
        <v>4</v>
      </c>
      <c r="K689" s="243">
        <f ca="1">OFFSET(card_type!$G$1,MATCH(Q689,card_type!A:A,0)-1,0)</f>
        <v>3</v>
      </c>
      <c r="L689" s="157">
        <v>3</v>
      </c>
      <c r="M689" s="157">
        <v>3</v>
      </c>
      <c r="N689" s="153">
        <f t="shared" si="110"/>
        <v>24</v>
      </c>
      <c r="O689" s="157"/>
      <c r="P689" s="157"/>
      <c r="Q689" s="153">
        <f ca="1">OFFSET(card_type!$A$1,MATCH(card!B689,card_type!B:B,0)-1,0)</f>
        <v>1404</v>
      </c>
      <c r="R689" s="153">
        <v>1</v>
      </c>
      <c r="S689" s="157">
        <f ca="1">ROUND(IF(R689=0,0,IF(R689=1,X689*$S$1,IF(R689=2,X689*$S$1*buff的资质计算!$E$2,IF(R689=3,X689*$S$1*buff的资质计算!$E$3,0)))),0)*0</f>
        <v>0</v>
      </c>
      <c r="T689" s="153">
        <v>1</v>
      </c>
      <c r="U689" s="153">
        <f ca="1" t="shared" si="111"/>
        <v>43</v>
      </c>
      <c r="V689" s="153">
        <f ca="1">ROUND((OFFSET(卡牌辅助配置表!$O$1,MATCH(U689,卡牌辅助配置表!M:M,0)-1,0)+(N689-1)*OFFSET(卡牌辅助配置表!$P$1,MATCH(U689,卡牌辅助配置表!M:M,0)-1,0))*M689,2)</f>
        <v>431.88</v>
      </c>
      <c r="W689" s="157">
        <f ca="1">ROUND(IF(R689=0,0,IF(R689=1,X689*$W$1,IF(R689=2,X689*$W$1*buff的资质计算!$E$2,IF(R689=3,X689*$W$1*buff的资质计算!$E$3,0)))),2)</f>
        <v>28.65</v>
      </c>
      <c r="X689" s="157">
        <f ca="1" t="shared" si="112"/>
        <v>95.5</v>
      </c>
      <c r="Y689" s="157">
        <f ca="1" t="shared" si="117"/>
        <v>97</v>
      </c>
      <c r="Z689" s="304">
        <f ca="1" t="shared" si="113"/>
        <v>32.3333333333333</v>
      </c>
      <c r="AA689" s="304">
        <f ca="1">OFFSET(卡牌辅助配置表!$AD$1,MATCH(AB689,卡牌辅助配置表!AB:AB,0)-1,0)</f>
        <v>37954</v>
      </c>
      <c r="AB689" s="304">
        <f ca="1" t="shared" si="114"/>
        <v>4324</v>
      </c>
      <c r="AC689" s="153">
        <v>12</v>
      </c>
      <c r="AF689" s="153" t="str">
        <f ca="1" t="shared" si="118"/>
        <v>14040011|</v>
      </c>
      <c r="AJ689" s="205" t="str">
        <f ca="1" t="shared" si="115"/>
        <v>400023|20600|;</v>
      </c>
      <c r="AK689" s="205">
        <f ca="1">OFFSET([1]item_type!$A$1,MATCH(Q689,[1]item_type!$G:$G,0)-1,0)</f>
        <v>301404</v>
      </c>
      <c r="AL689" s="205"/>
      <c r="AM689" s="205">
        <f ca="1">IF(B689=B690,OFFSET(卡牌辅助配置表!$AE$1,MATCH(AB689,卡牌辅助配置表!AB:AB,0),0),0)</f>
        <v>20600</v>
      </c>
      <c r="AN689" s="153">
        <f ca="1" t="shared" si="116"/>
        <v>1404025</v>
      </c>
      <c r="AP689" s="153">
        <f ca="1">IF(AC689=0,0,IF(AC689=12,0,OFFSET(effect!$N$1,MATCH(K689,effect!M:M,0)-1,0)))</f>
        <v>0</v>
      </c>
    </row>
    <row r="690" spans="1:42">
      <c r="A690" s="153">
        <f ca="1" t="shared" si="109"/>
        <v>1404025</v>
      </c>
      <c r="B690" s="91" t="s">
        <v>685</v>
      </c>
      <c r="C690" s="186">
        <v>1</v>
      </c>
      <c r="D690" s="186">
        <v>6</v>
      </c>
      <c r="E690" s="165"/>
      <c r="F690" s="179" t="s">
        <v>1056</v>
      </c>
      <c r="G690" s="186">
        <f ca="1">OFFSET(卡牌辅助配置表!$C$1,MATCH(AC690,卡牌辅助配置表!A:A,0)-1,0)</f>
        <v>0</v>
      </c>
      <c r="H690" s="186">
        <f ca="1">OFFSET(skill!$Q$1,MATCH(B690,skill!B:B,0)-1,0)</f>
        <v>1.5</v>
      </c>
      <c r="I690" s="186"/>
      <c r="J690" s="186">
        <f ca="1">OFFSET(card_type!$F$1,MATCH(Q690,card_type!A:A,0)-1,0)</f>
        <v>4</v>
      </c>
      <c r="K690" s="243">
        <f ca="1">OFFSET(card_type!$G$1,MATCH(Q690,card_type!A:A,0)-1,0)</f>
        <v>3</v>
      </c>
      <c r="L690" s="157">
        <v>3</v>
      </c>
      <c r="M690" s="157">
        <v>3</v>
      </c>
      <c r="N690" s="153">
        <f t="shared" si="110"/>
        <v>25</v>
      </c>
      <c r="O690" s="157"/>
      <c r="P690" s="157"/>
      <c r="Q690" s="153">
        <f ca="1">OFFSET(card_type!$A$1,MATCH(card!B690,card_type!B:B,0)-1,0)</f>
        <v>1404</v>
      </c>
      <c r="R690" s="153">
        <v>1</v>
      </c>
      <c r="S690" s="157">
        <f ca="1">ROUND(IF(R690=0,0,IF(R690=1,X690*$S$1,IF(R690=2,X690*$S$1*buff的资质计算!$E$2,IF(R690=3,X690*$S$1*buff的资质计算!$E$3,0)))),0)*0</f>
        <v>0</v>
      </c>
      <c r="T690" s="153">
        <v>1</v>
      </c>
      <c r="U690" s="153">
        <f ca="1" t="shared" si="111"/>
        <v>43</v>
      </c>
      <c r="V690" s="153">
        <f ca="1">ROUND((OFFSET(卡牌辅助配置表!$O$1,MATCH(U690,卡牌辅助配置表!M:M,0)-1,0)+(N690-1)*OFFSET(卡牌辅助配置表!$P$1,MATCH(U690,卡牌辅助配置表!M:M,0)-1,0))*M690,2)</f>
        <v>446.04</v>
      </c>
      <c r="W690" s="157">
        <f ca="1">ROUND(IF(R690=0,0,IF(R690=1,X690*$W$1,IF(R690=2,X690*$W$1*buff的资质计算!$E$2,IF(R690=3,X690*$W$1*buff的资质计算!$E$3,0)))),2)</f>
        <v>28.8</v>
      </c>
      <c r="X690" s="157">
        <f ca="1" t="shared" si="112"/>
        <v>96</v>
      </c>
      <c r="Y690" s="157">
        <f ca="1" t="shared" si="117"/>
        <v>97.5</v>
      </c>
      <c r="Z690" s="304">
        <f ca="1" t="shared" si="113"/>
        <v>32.5</v>
      </c>
      <c r="AA690" s="304">
        <f ca="1">OFFSET(卡牌辅助配置表!$AD$1,MATCH(AB690,卡牌辅助配置表!AB:AB,0)-1,0)</f>
        <v>40255</v>
      </c>
      <c r="AB690" s="304">
        <f ca="1" t="shared" si="114"/>
        <v>4325</v>
      </c>
      <c r="AC690" s="153">
        <v>12</v>
      </c>
      <c r="AF690" s="153" t="str">
        <f ca="1" t="shared" si="118"/>
        <v>14040011|</v>
      </c>
      <c r="AJ690" s="205" t="str">
        <f ca="1" t="shared" si="115"/>
        <v>400023|22200|;</v>
      </c>
      <c r="AK690" s="205">
        <f ca="1">OFFSET([1]item_type!$A$1,MATCH(Q690,[1]item_type!$G:$G,0)-1,0)</f>
        <v>301404</v>
      </c>
      <c r="AL690" s="205"/>
      <c r="AM690" s="205">
        <f ca="1">IF(B690=B691,OFFSET(卡牌辅助配置表!$AE$1,MATCH(AB690,卡牌辅助配置表!AB:AB,0),0),0)</f>
        <v>22200</v>
      </c>
      <c r="AN690" s="153">
        <f ca="1" t="shared" si="116"/>
        <v>1404026</v>
      </c>
      <c r="AP690" s="153">
        <f ca="1">IF(AC690=0,0,IF(AC690=12,0,OFFSET(effect!$N$1,MATCH(K690,effect!M:M,0)-1,0)))</f>
        <v>0</v>
      </c>
    </row>
    <row r="691" spans="1:42">
      <c r="A691" s="153">
        <f ca="1" t="shared" si="109"/>
        <v>1404026</v>
      </c>
      <c r="B691" s="91" t="s">
        <v>685</v>
      </c>
      <c r="C691" s="186">
        <v>1</v>
      </c>
      <c r="D691" s="186">
        <v>6</v>
      </c>
      <c r="E691" s="165"/>
      <c r="F691" s="179" t="s">
        <v>1056</v>
      </c>
      <c r="G691" s="186">
        <f ca="1">OFFSET(卡牌辅助配置表!$C$1,MATCH(AC691,卡牌辅助配置表!A:A,0)-1,0)</f>
        <v>0</v>
      </c>
      <c r="H691" s="186">
        <f ca="1">OFFSET(skill!$Q$1,MATCH(B691,skill!B:B,0)-1,0)</f>
        <v>1.5</v>
      </c>
      <c r="I691" s="186"/>
      <c r="J691" s="186">
        <f ca="1">OFFSET(card_type!$F$1,MATCH(Q691,card_type!A:A,0)-1,0)</f>
        <v>4</v>
      </c>
      <c r="K691" s="243">
        <f ca="1">OFFSET(card_type!$G$1,MATCH(Q691,card_type!A:A,0)-1,0)</f>
        <v>3</v>
      </c>
      <c r="L691" s="157">
        <v>3</v>
      </c>
      <c r="M691" s="157">
        <v>3</v>
      </c>
      <c r="N691" s="153">
        <f t="shared" si="110"/>
        <v>26</v>
      </c>
      <c r="O691" s="157"/>
      <c r="P691" s="157"/>
      <c r="Q691" s="153">
        <f ca="1">OFFSET(card_type!$A$1,MATCH(card!B691,card_type!B:B,0)-1,0)</f>
        <v>1404</v>
      </c>
      <c r="R691" s="153">
        <v>1</v>
      </c>
      <c r="S691" s="157">
        <f ca="1">ROUND(IF(R691=0,0,IF(R691=1,X691*$S$1,IF(R691=2,X691*$S$1*buff的资质计算!$E$2,IF(R691=3,X691*$S$1*buff的资质计算!$E$3,0)))),0)*0</f>
        <v>0</v>
      </c>
      <c r="T691" s="153">
        <v>1</v>
      </c>
      <c r="U691" s="153">
        <f ca="1" t="shared" si="111"/>
        <v>43</v>
      </c>
      <c r="V691" s="153">
        <f ca="1">ROUND((OFFSET(卡牌辅助配置表!$O$1,MATCH(U691,卡牌辅助配置表!M:M,0)-1,0)+(N691-1)*OFFSET(卡牌辅助配置表!$P$1,MATCH(U691,卡牌辅助配置表!M:M,0)-1,0))*M691,2)</f>
        <v>460.2</v>
      </c>
      <c r="W691" s="157">
        <f ca="1">ROUND(IF(R691=0,0,IF(R691=1,X691*$W$1,IF(R691=2,X691*$W$1*buff的资质计算!$E$2,IF(R691=3,X691*$W$1*buff的资质计算!$E$3,0)))),2)</f>
        <v>28.95</v>
      </c>
      <c r="X691" s="157">
        <f ca="1" t="shared" si="112"/>
        <v>96.5</v>
      </c>
      <c r="Y691" s="157">
        <f ca="1" t="shared" si="117"/>
        <v>98</v>
      </c>
      <c r="Z691" s="304">
        <f ca="1" t="shared" si="113"/>
        <v>32.6666666666667</v>
      </c>
      <c r="AA691" s="304">
        <f ca="1">OFFSET(卡牌辅助配置表!$AD$1,MATCH(AB691,卡牌辅助配置表!AB:AB,0)-1,0)</f>
        <v>42556</v>
      </c>
      <c r="AB691" s="304">
        <f ca="1" t="shared" si="114"/>
        <v>4326</v>
      </c>
      <c r="AC691" s="153">
        <v>12</v>
      </c>
      <c r="AF691" s="153" t="str">
        <f ca="1" t="shared" si="118"/>
        <v>14040011|</v>
      </c>
      <c r="AJ691" s="205" t="str">
        <f ca="1" t="shared" si="115"/>
        <v>400023|23800|;</v>
      </c>
      <c r="AK691" s="205">
        <f ca="1">OFFSET([1]item_type!$A$1,MATCH(Q691,[1]item_type!$G:$G,0)-1,0)</f>
        <v>301404</v>
      </c>
      <c r="AL691" s="205"/>
      <c r="AM691" s="205">
        <f ca="1">IF(B691=B692,OFFSET(卡牌辅助配置表!$AE$1,MATCH(AB691,卡牌辅助配置表!AB:AB,0),0),0)</f>
        <v>23800</v>
      </c>
      <c r="AN691" s="153">
        <f ca="1" t="shared" si="116"/>
        <v>1404027</v>
      </c>
      <c r="AP691" s="153">
        <f ca="1">IF(AC691=0,0,IF(AC691=12,0,OFFSET(effect!$N$1,MATCH(K691,effect!M:M,0)-1,0)))</f>
        <v>0</v>
      </c>
    </row>
    <row r="692" spans="1:42">
      <c r="A692" s="153">
        <f ca="1" t="shared" si="109"/>
        <v>1404027</v>
      </c>
      <c r="B692" s="91" t="s">
        <v>685</v>
      </c>
      <c r="C692" s="186">
        <v>1</v>
      </c>
      <c r="D692" s="186">
        <v>6</v>
      </c>
      <c r="E692" s="165"/>
      <c r="F692" s="179" t="s">
        <v>1056</v>
      </c>
      <c r="G692" s="186">
        <f ca="1">OFFSET(卡牌辅助配置表!$C$1,MATCH(AC692,卡牌辅助配置表!A:A,0)-1,0)</f>
        <v>0</v>
      </c>
      <c r="H692" s="186">
        <f ca="1">OFFSET(skill!$Q$1,MATCH(B692,skill!B:B,0)-1,0)</f>
        <v>1.5</v>
      </c>
      <c r="I692" s="186"/>
      <c r="J692" s="186">
        <f ca="1">OFFSET(card_type!$F$1,MATCH(Q692,card_type!A:A,0)-1,0)</f>
        <v>4</v>
      </c>
      <c r="K692" s="243">
        <f ca="1">OFFSET(card_type!$G$1,MATCH(Q692,card_type!A:A,0)-1,0)</f>
        <v>3</v>
      </c>
      <c r="L692" s="157">
        <v>3</v>
      </c>
      <c r="M692" s="157">
        <v>3</v>
      </c>
      <c r="N692" s="153">
        <f t="shared" si="110"/>
        <v>27</v>
      </c>
      <c r="O692" s="157"/>
      <c r="P692" s="157"/>
      <c r="Q692" s="153">
        <f ca="1">OFFSET(card_type!$A$1,MATCH(card!B692,card_type!B:B,0)-1,0)</f>
        <v>1404</v>
      </c>
      <c r="R692" s="153">
        <v>1</v>
      </c>
      <c r="S692" s="157">
        <f ca="1">ROUND(IF(R692=0,0,IF(R692=1,X692*$S$1,IF(R692=2,X692*$S$1*buff的资质计算!$E$2,IF(R692=3,X692*$S$1*buff的资质计算!$E$3,0)))),0)*0</f>
        <v>0</v>
      </c>
      <c r="T692" s="153">
        <v>1</v>
      </c>
      <c r="U692" s="153">
        <f ca="1" t="shared" si="111"/>
        <v>43</v>
      </c>
      <c r="V692" s="153">
        <f ca="1">ROUND((OFFSET(卡牌辅助配置表!$O$1,MATCH(U692,卡牌辅助配置表!M:M,0)-1,0)+(N692-1)*OFFSET(卡牌辅助配置表!$P$1,MATCH(U692,卡牌辅助配置表!M:M,0)-1,0))*M692,2)</f>
        <v>474.36</v>
      </c>
      <c r="W692" s="157">
        <f ca="1">ROUND(IF(R692=0,0,IF(R692=1,X692*$W$1,IF(R692=2,X692*$W$1*buff的资质计算!$E$2,IF(R692=3,X692*$W$1*buff的资质计算!$E$3,0)))),2)</f>
        <v>29.1</v>
      </c>
      <c r="X692" s="157">
        <f ca="1" t="shared" si="112"/>
        <v>97</v>
      </c>
      <c r="Y692" s="157">
        <f ca="1" t="shared" si="117"/>
        <v>98.5</v>
      </c>
      <c r="Z692" s="304">
        <f ca="1" t="shared" si="113"/>
        <v>32.8333333333333</v>
      </c>
      <c r="AA692" s="304">
        <f ca="1">OFFSET(卡牌辅助配置表!$AD$1,MATCH(AB692,卡牌辅助配置表!AB:AB,0)-1,0)</f>
        <v>44857</v>
      </c>
      <c r="AB692" s="304">
        <f ca="1" t="shared" si="114"/>
        <v>4327</v>
      </c>
      <c r="AC692" s="153">
        <v>12</v>
      </c>
      <c r="AF692" s="153" t="str">
        <f ca="1" t="shared" si="118"/>
        <v>14040011|</v>
      </c>
      <c r="AJ692" s="205" t="str">
        <f ca="1" t="shared" si="115"/>
        <v>400023|25400|;</v>
      </c>
      <c r="AK692" s="205">
        <f ca="1">OFFSET([1]item_type!$A$1,MATCH(Q692,[1]item_type!$G:$G,0)-1,0)</f>
        <v>301404</v>
      </c>
      <c r="AL692" s="205"/>
      <c r="AM692" s="205">
        <f ca="1">IF(B692=B693,OFFSET(卡牌辅助配置表!$AE$1,MATCH(AB692,卡牌辅助配置表!AB:AB,0),0),0)</f>
        <v>25400</v>
      </c>
      <c r="AN692" s="153">
        <f ca="1" t="shared" si="116"/>
        <v>1404028</v>
      </c>
      <c r="AP692" s="153">
        <f ca="1">IF(AC692=0,0,IF(AC692=12,0,OFFSET(effect!$N$1,MATCH(K692,effect!M:M,0)-1,0)))</f>
        <v>0</v>
      </c>
    </row>
    <row r="693" spans="1:42">
      <c r="A693" s="153">
        <f ca="1" t="shared" si="109"/>
        <v>1404028</v>
      </c>
      <c r="B693" s="91" t="s">
        <v>685</v>
      </c>
      <c r="C693" s="186">
        <v>1</v>
      </c>
      <c r="D693" s="186">
        <v>6</v>
      </c>
      <c r="E693" s="165"/>
      <c r="F693" s="179" t="s">
        <v>1056</v>
      </c>
      <c r="G693" s="186">
        <f ca="1">OFFSET(卡牌辅助配置表!$C$1,MATCH(AC693,卡牌辅助配置表!A:A,0)-1,0)</f>
        <v>0</v>
      </c>
      <c r="H693" s="186">
        <f ca="1">OFFSET(skill!$Q$1,MATCH(B693,skill!B:B,0)-1,0)</f>
        <v>1.5</v>
      </c>
      <c r="I693" s="186"/>
      <c r="J693" s="186">
        <f ca="1">OFFSET(card_type!$F$1,MATCH(Q693,card_type!A:A,0)-1,0)</f>
        <v>4</v>
      </c>
      <c r="K693" s="243">
        <f ca="1">OFFSET(card_type!$G$1,MATCH(Q693,card_type!A:A,0)-1,0)</f>
        <v>3</v>
      </c>
      <c r="L693" s="157">
        <v>3</v>
      </c>
      <c r="M693" s="157">
        <v>3</v>
      </c>
      <c r="N693" s="153">
        <f t="shared" si="110"/>
        <v>28</v>
      </c>
      <c r="O693" s="157"/>
      <c r="P693" s="157"/>
      <c r="Q693" s="153">
        <f ca="1">OFFSET(card_type!$A$1,MATCH(card!B693,card_type!B:B,0)-1,0)</f>
        <v>1404</v>
      </c>
      <c r="R693" s="153">
        <v>1</v>
      </c>
      <c r="S693" s="157">
        <f ca="1">ROUND(IF(R693=0,0,IF(R693=1,X693*$S$1,IF(R693=2,X693*$S$1*buff的资质计算!$E$2,IF(R693=3,X693*$S$1*buff的资质计算!$E$3,0)))),0)*0</f>
        <v>0</v>
      </c>
      <c r="T693" s="153">
        <v>1</v>
      </c>
      <c r="U693" s="153">
        <f ca="1" t="shared" si="111"/>
        <v>43</v>
      </c>
      <c r="V693" s="153">
        <f ca="1">ROUND((OFFSET(卡牌辅助配置表!$O$1,MATCH(U693,卡牌辅助配置表!M:M,0)-1,0)+(N693-1)*OFFSET(卡牌辅助配置表!$P$1,MATCH(U693,卡牌辅助配置表!M:M,0)-1,0))*M693,2)</f>
        <v>488.52</v>
      </c>
      <c r="W693" s="157">
        <f ca="1">ROUND(IF(R693=0,0,IF(R693=1,X693*$W$1,IF(R693=2,X693*$W$1*buff的资质计算!$E$2,IF(R693=3,X693*$W$1*buff的资质计算!$E$3,0)))),2)</f>
        <v>29.25</v>
      </c>
      <c r="X693" s="157">
        <f ca="1" t="shared" si="112"/>
        <v>97.5</v>
      </c>
      <c r="Y693" s="157">
        <f ca="1" t="shared" si="117"/>
        <v>99</v>
      </c>
      <c r="Z693" s="304">
        <f ca="1" t="shared" si="113"/>
        <v>33</v>
      </c>
      <c r="AA693" s="304">
        <f ca="1">OFFSET(卡牌辅助配置表!$AD$1,MATCH(AB693,卡牌辅助配置表!AB:AB,0)-1,0)</f>
        <v>47158</v>
      </c>
      <c r="AB693" s="304">
        <f ca="1" t="shared" si="114"/>
        <v>4328</v>
      </c>
      <c r="AC693" s="153">
        <v>12</v>
      </c>
      <c r="AF693" s="153" t="str">
        <f ca="1" t="shared" si="118"/>
        <v>14040011|</v>
      </c>
      <c r="AJ693" s="205" t="str">
        <f ca="1" t="shared" si="115"/>
        <v>400023|27000|;</v>
      </c>
      <c r="AK693" s="205">
        <f ca="1">OFFSET([1]item_type!$A$1,MATCH(Q693,[1]item_type!$G:$G,0)-1,0)</f>
        <v>301404</v>
      </c>
      <c r="AL693" s="205"/>
      <c r="AM693" s="205">
        <f ca="1">IF(B693=B694,OFFSET(卡牌辅助配置表!$AE$1,MATCH(AB693,卡牌辅助配置表!AB:AB,0),0),0)</f>
        <v>27000</v>
      </c>
      <c r="AN693" s="153">
        <f ca="1" t="shared" si="116"/>
        <v>1404029</v>
      </c>
      <c r="AP693" s="153">
        <f ca="1">IF(AC693=0,0,IF(AC693=12,0,OFFSET(effect!$N$1,MATCH(K693,effect!M:M,0)-1,0)))</f>
        <v>0</v>
      </c>
    </row>
    <row r="694" spans="1:42">
      <c r="A694" s="153">
        <f ca="1" t="shared" si="109"/>
        <v>1404029</v>
      </c>
      <c r="B694" s="91" t="s">
        <v>685</v>
      </c>
      <c r="C694" s="186">
        <v>1</v>
      </c>
      <c r="D694" s="186">
        <v>6</v>
      </c>
      <c r="E694" s="165"/>
      <c r="F694" s="179" t="s">
        <v>1056</v>
      </c>
      <c r="G694" s="186">
        <f ca="1">OFFSET(卡牌辅助配置表!$C$1,MATCH(AC694,卡牌辅助配置表!A:A,0)-1,0)</f>
        <v>0</v>
      </c>
      <c r="H694" s="186">
        <f ca="1">OFFSET(skill!$Q$1,MATCH(B694,skill!B:B,0)-1,0)</f>
        <v>1.5</v>
      </c>
      <c r="I694" s="186"/>
      <c r="J694" s="186">
        <f ca="1">OFFSET(card_type!$F$1,MATCH(Q694,card_type!A:A,0)-1,0)</f>
        <v>4</v>
      </c>
      <c r="K694" s="243">
        <f ca="1">OFFSET(card_type!$G$1,MATCH(Q694,card_type!A:A,0)-1,0)</f>
        <v>3</v>
      </c>
      <c r="L694" s="157">
        <v>3</v>
      </c>
      <c r="M694" s="157">
        <v>3</v>
      </c>
      <c r="N694" s="153">
        <f t="shared" si="110"/>
        <v>29</v>
      </c>
      <c r="O694" s="157"/>
      <c r="P694" s="157"/>
      <c r="Q694" s="153">
        <f ca="1">OFFSET(card_type!$A$1,MATCH(card!B694,card_type!B:B,0)-1,0)</f>
        <v>1404</v>
      </c>
      <c r="R694" s="153">
        <v>1</v>
      </c>
      <c r="S694" s="157">
        <f ca="1">ROUND(IF(R694=0,0,IF(R694=1,X694*$S$1,IF(R694=2,X694*$S$1*buff的资质计算!$E$2,IF(R694=3,X694*$S$1*buff的资质计算!$E$3,0)))),0)*0</f>
        <v>0</v>
      </c>
      <c r="T694" s="153">
        <v>1</v>
      </c>
      <c r="U694" s="153">
        <f ca="1" t="shared" si="111"/>
        <v>43</v>
      </c>
      <c r="V694" s="153">
        <f ca="1">ROUND((OFFSET(卡牌辅助配置表!$O$1,MATCH(U694,卡牌辅助配置表!M:M,0)-1,0)+(N694-1)*OFFSET(卡牌辅助配置表!$P$1,MATCH(U694,卡牌辅助配置表!M:M,0)-1,0))*M694,2)</f>
        <v>502.68</v>
      </c>
      <c r="W694" s="157">
        <f ca="1">ROUND(IF(R694=0,0,IF(R694=1,X694*$W$1,IF(R694=2,X694*$W$1*buff的资质计算!$E$2,IF(R694=3,X694*$W$1*buff的资质计算!$E$3,0)))),2)</f>
        <v>29.4</v>
      </c>
      <c r="X694" s="157">
        <f ca="1" t="shared" si="112"/>
        <v>98</v>
      </c>
      <c r="Y694" s="157">
        <f ca="1" t="shared" si="117"/>
        <v>99.5</v>
      </c>
      <c r="Z694" s="304">
        <f ca="1" t="shared" si="113"/>
        <v>33.1666666666667</v>
      </c>
      <c r="AA694" s="304">
        <f ca="1">OFFSET(卡牌辅助配置表!$AD$1,MATCH(AB694,卡牌辅助配置表!AB:AB,0)-1,0)</f>
        <v>49459</v>
      </c>
      <c r="AB694" s="304">
        <f ca="1" t="shared" si="114"/>
        <v>4329</v>
      </c>
      <c r="AC694" s="153">
        <v>12</v>
      </c>
      <c r="AF694" s="153" t="str">
        <f ca="1" t="shared" si="118"/>
        <v>14040011|</v>
      </c>
      <c r="AJ694" s="205" t="str">
        <f ca="1" t="shared" si="115"/>
        <v>301404|30|;400023|28600|;</v>
      </c>
      <c r="AK694" s="205">
        <f ca="1">OFFSET([1]item_type!$A$1,MATCH(Q694,[1]item_type!$G:$G,0)-1,0)</f>
        <v>301404</v>
      </c>
      <c r="AL694" s="205">
        <v>30</v>
      </c>
      <c r="AM694" s="205">
        <f ca="1">IF(B694=B695,OFFSET(卡牌辅助配置表!$AE$1,MATCH(AB694,卡牌辅助配置表!AB:AB,0),0),0)</f>
        <v>28600</v>
      </c>
      <c r="AN694" s="153">
        <f ca="1" t="shared" si="116"/>
        <v>1404030</v>
      </c>
      <c r="AP694" s="153">
        <f ca="1">IF(AC694=0,0,IF(AC694=12,0,OFFSET(effect!$N$1,MATCH(K694,effect!M:M,0)-1,0)))</f>
        <v>0</v>
      </c>
    </row>
    <row r="695" spans="1:42">
      <c r="A695" s="153">
        <f ca="1" t="shared" si="109"/>
        <v>1404030</v>
      </c>
      <c r="B695" s="91" t="s">
        <v>685</v>
      </c>
      <c r="C695" s="186">
        <v>1</v>
      </c>
      <c r="D695" s="186">
        <v>6</v>
      </c>
      <c r="E695" s="165"/>
      <c r="F695" s="179" t="s">
        <v>1056</v>
      </c>
      <c r="G695" s="186">
        <f ca="1">OFFSET(卡牌辅助配置表!$C$1,MATCH(AC695,卡牌辅助配置表!A:A,0)-1,0)</f>
        <v>0</v>
      </c>
      <c r="H695" s="186">
        <f ca="1">OFFSET(skill!$Q$1,MATCH(B695,skill!B:B,0)-1,0)</f>
        <v>1.5</v>
      </c>
      <c r="I695" s="186"/>
      <c r="J695" s="186">
        <f ca="1">OFFSET(card_type!$F$1,MATCH(Q695,card_type!A:A,0)-1,0)</f>
        <v>4</v>
      </c>
      <c r="K695" s="243">
        <f ca="1">OFFSET(card_type!$G$1,MATCH(Q695,card_type!A:A,0)-1,0)</f>
        <v>3</v>
      </c>
      <c r="L695" s="157">
        <v>3</v>
      </c>
      <c r="M695" s="157">
        <v>3</v>
      </c>
      <c r="N695" s="153">
        <f t="shared" si="110"/>
        <v>30</v>
      </c>
      <c r="O695" s="157"/>
      <c r="P695" s="157"/>
      <c r="Q695" s="153">
        <f ca="1">OFFSET(card_type!$A$1,MATCH(card!B695,card_type!B:B,0)-1,0)</f>
        <v>1404</v>
      </c>
      <c r="R695" s="153">
        <v>1</v>
      </c>
      <c r="S695" s="157">
        <f ca="1">ROUND(IF(R695=0,0,IF(R695=1,X695*$S$1,IF(R695=2,X695*$S$1*buff的资质计算!$E$2,IF(R695=3,X695*$S$1*buff的资质计算!$E$3,0)))),0)*0</f>
        <v>0</v>
      </c>
      <c r="T695" s="153">
        <v>1</v>
      </c>
      <c r="U695" s="153">
        <f ca="1" t="shared" si="111"/>
        <v>43</v>
      </c>
      <c r="V695" s="153">
        <f ca="1">ROUND((OFFSET(卡牌辅助配置表!$O$1,MATCH(U695,卡牌辅助配置表!M:M,0)-1,0)+(N695-1)*OFFSET(卡牌辅助配置表!$P$1,MATCH(U695,卡牌辅助配置表!M:M,0)-1,0))*M695,2)</f>
        <v>516.84</v>
      </c>
      <c r="W695" s="157">
        <f ca="1">ROUND(IF(R695=0,0,IF(R695=1,X695*$W$1,IF(R695=2,X695*$W$1*buff的资质计算!$E$2,IF(R695=3,X695*$W$1*buff的资质计算!$E$3,0)))),2)</f>
        <v>29.55</v>
      </c>
      <c r="X695" s="157">
        <f ca="1" t="shared" si="112"/>
        <v>98.5</v>
      </c>
      <c r="Y695" s="157">
        <f ca="1" t="shared" si="117"/>
        <v>100</v>
      </c>
      <c r="Z695" s="304">
        <f ca="1" t="shared" si="113"/>
        <v>33.3333333333333</v>
      </c>
      <c r="AA695" s="304">
        <f ca="1">OFFSET(卡牌辅助配置表!$AD$1,MATCH(AB695,卡牌辅助配置表!AB:AB,0)-1,0)</f>
        <v>51760</v>
      </c>
      <c r="AB695" s="304">
        <f ca="1" t="shared" si="114"/>
        <v>4330</v>
      </c>
      <c r="AC695" s="153">
        <v>12</v>
      </c>
      <c r="AF695" s="153" t="str">
        <f ca="1" t="shared" si="118"/>
        <v>14040011|</v>
      </c>
      <c r="AJ695" s="205">
        <f ca="1" t="shared" si="115"/>
        <v>0</v>
      </c>
      <c r="AK695" s="205">
        <f ca="1">OFFSET([1]item_type!$A$1,MATCH(Q695,[1]item_type!$G:$G,0)-1,0)</f>
        <v>301404</v>
      </c>
      <c r="AL695" s="205"/>
      <c r="AM695" s="205">
        <f ca="1">IF(B695=B696,OFFSET(卡牌辅助配置表!$AE$1,MATCH(AB695,卡牌辅助配置表!AB:AB,0),0),0)</f>
        <v>0</v>
      </c>
      <c r="AN695" s="153">
        <f ca="1" t="shared" si="116"/>
        <v>0</v>
      </c>
      <c r="AP695" s="153">
        <f ca="1">IF(AC695=0,0,IF(AC695=12,0,OFFSET(effect!$N$1,MATCH(K695,effect!M:M,0)-1,0)))</f>
        <v>0</v>
      </c>
    </row>
    <row r="696" ht="21" customHeight="1" spans="1:42">
      <c r="A696" s="153">
        <f ca="1" t="shared" si="109"/>
        <v>1403001</v>
      </c>
      <c r="B696" s="152" t="s">
        <v>681</v>
      </c>
      <c r="C696" s="186">
        <v>1</v>
      </c>
      <c r="D696" s="186">
        <v>5</v>
      </c>
      <c r="E696" s="165" t="s">
        <v>1050</v>
      </c>
      <c r="F696" s="165" t="str">
        <f>"上一招为拳法时，增加"&amp;skill!$O$57/100&amp;"%伤害"</f>
        <v>上一招为拳法时，增加50%伤害</v>
      </c>
      <c r="G696" s="186">
        <f ca="1">OFFSET(卡牌辅助配置表!$C$1,MATCH(AC696,卡牌辅助配置表!A:A,0)-1,0)</f>
        <v>3</v>
      </c>
      <c r="H696" s="186">
        <f ca="1">OFFSET(skill!$Q$1,MATCH(B696,skill!B:B,0)-1,0)</f>
        <v>0.666666666666667</v>
      </c>
      <c r="I696" s="186"/>
      <c r="J696" s="186">
        <f ca="1">OFFSET(card_type!$F$1,MATCH(Q696,card_type!A:A,0)-1,0)</f>
        <v>4</v>
      </c>
      <c r="K696" s="243">
        <f ca="1">OFFSET(card_type!$G$1,MATCH(Q696,card_type!A:A,0)-1,0)</f>
        <v>2</v>
      </c>
      <c r="L696" s="157">
        <v>2</v>
      </c>
      <c r="M696" s="157">
        <v>2</v>
      </c>
      <c r="N696" s="153">
        <f t="shared" si="110"/>
        <v>1</v>
      </c>
      <c r="O696" s="157"/>
      <c r="P696" s="157"/>
      <c r="Q696" s="153">
        <f ca="1">OFFSET(card_type!$A$1,MATCH(card!B696,card_type!B:B,0)-1,0)</f>
        <v>1403</v>
      </c>
      <c r="R696" s="153">
        <v>1</v>
      </c>
      <c r="S696" s="157">
        <f ca="1">ROUND(IF(R696=0,0,IF(R696=1,X696*$S$1,IF(R696=2,X696*$S$1*buff的资质计算!$E$2,IF(R696=3,X696*$S$1*buff的资质计算!$E$3,0)))),0)*0</f>
        <v>0</v>
      </c>
      <c r="T696" s="153">
        <v>1</v>
      </c>
      <c r="U696" s="153">
        <f ca="1" t="shared" si="111"/>
        <v>42</v>
      </c>
      <c r="V696" s="153">
        <f ca="1">ROUND((OFFSET(卡牌辅助配置表!$O$1,MATCH(U696,卡牌辅助配置表!M:M,0)-1,0)+(N696-1)*OFFSET(卡牌辅助配置表!$P$1,MATCH(U696,卡牌辅助配置表!M:M,0)-1,0))*M696,2)</f>
        <v>44.25</v>
      </c>
      <c r="W696" s="157">
        <f ca="1">ROUND(IF(R696=0,0,IF(R696=1,X696*$W$1,IF(R696=2,X696*$W$1*buff的资质计算!$E$2,IF(R696=3,X696*$W$1*buff的资质计算!$E$3,0)))),2)</f>
        <v>15.3</v>
      </c>
      <c r="X696" s="157">
        <f ca="1" t="shared" si="112"/>
        <v>51</v>
      </c>
      <c r="Y696" s="157">
        <f ca="1" t="shared" si="117"/>
        <v>51.6666666666667</v>
      </c>
      <c r="Z696" s="304">
        <f ca="1" t="shared" si="113"/>
        <v>25.8333333333333</v>
      </c>
      <c r="AA696" s="304">
        <f ca="1">OFFSET(卡牌辅助配置表!$AD$1,MATCH(AB696,卡牌辅助配置表!AB:AB,0)-1,0)</f>
        <v>460</v>
      </c>
      <c r="AB696" s="304">
        <f ca="1" t="shared" si="114"/>
        <v>4201</v>
      </c>
      <c r="AC696" s="153">
        <v>3</v>
      </c>
      <c r="AE696" s="153">
        <v>1</v>
      </c>
      <c r="AF696" s="153" t="str">
        <f ca="1" t="shared" si="118"/>
        <v>14030011|</v>
      </c>
      <c r="AJ696" s="205" t="str">
        <f ca="1" t="shared" si="115"/>
        <v>400023|1050|;</v>
      </c>
      <c r="AK696" s="205">
        <f ca="1">OFFSET([1]item_type!$A$1,MATCH(Q696,[1]item_type!$G:$G,0)-1,0)</f>
        <v>301403</v>
      </c>
      <c r="AL696" s="205"/>
      <c r="AM696" s="205">
        <f ca="1">IF(B696=B697,OFFSET(卡牌辅助配置表!$AE$1,MATCH(AB696,卡牌辅助配置表!AB:AB,0),0),0)</f>
        <v>1050</v>
      </c>
      <c r="AN696" s="153">
        <f ca="1" t="shared" si="116"/>
        <v>1403002</v>
      </c>
      <c r="AP696" s="153" t="str">
        <f ca="1">IF(AC696=0,0,IF(AC696=12,0,OFFSET(effect!$N$1,MATCH(K696,effect!M:M,0)-1,0)))</f>
        <v>kpsx_pt</v>
      </c>
    </row>
    <row r="697" ht="21" customHeight="1" spans="1:42">
      <c r="A697" s="153">
        <f ca="1" t="shared" si="109"/>
        <v>1403002</v>
      </c>
      <c r="B697" s="91" t="s">
        <v>681</v>
      </c>
      <c r="C697" s="186">
        <v>1</v>
      </c>
      <c r="D697" s="186">
        <v>5</v>
      </c>
      <c r="E697" s="165" t="s">
        <v>1050</v>
      </c>
      <c r="F697" s="165" t="str">
        <f>"上一招为拳法时，增加"&amp;skill!$O$57/100&amp;"%伤害"</f>
        <v>上一招为拳法时，增加50%伤害</v>
      </c>
      <c r="G697" s="186">
        <f ca="1">OFFSET(卡牌辅助配置表!$C$1,MATCH(AC697,卡牌辅助配置表!A:A,0)-1,0)</f>
        <v>3</v>
      </c>
      <c r="H697" s="186">
        <f ca="1">OFFSET(skill!$Q$1,MATCH(B697,skill!B:B,0)-1,0)</f>
        <v>0.666666666666667</v>
      </c>
      <c r="I697" s="186"/>
      <c r="J697" s="186">
        <f ca="1">OFFSET(card_type!$F$1,MATCH(Q697,card_type!A:A,0)-1,0)</f>
        <v>4</v>
      </c>
      <c r="K697" s="243">
        <f ca="1">OFFSET(card_type!$G$1,MATCH(Q697,card_type!A:A,0)-1,0)</f>
        <v>2</v>
      </c>
      <c r="L697" s="157">
        <v>2</v>
      </c>
      <c r="M697" s="157">
        <v>2</v>
      </c>
      <c r="N697" s="153">
        <f t="shared" si="110"/>
        <v>2</v>
      </c>
      <c r="O697" s="157"/>
      <c r="P697" s="157"/>
      <c r="Q697" s="153">
        <f ca="1">OFFSET(card_type!$A$1,MATCH(card!B697,card_type!B:B,0)-1,0)</f>
        <v>1403</v>
      </c>
      <c r="R697" s="153">
        <v>1</v>
      </c>
      <c r="S697" s="157">
        <f ca="1">ROUND(IF(R697=0,0,IF(R697=1,X697*$S$1,IF(R697=2,X697*$S$1*buff的资质计算!$E$2,IF(R697=3,X697*$S$1*buff的资质计算!$E$3,0)))),0)*0</f>
        <v>0</v>
      </c>
      <c r="T697" s="153">
        <v>1</v>
      </c>
      <c r="U697" s="153">
        <f ca="1" t="shared" si="111"/>
        <v>42</v>
      </c>
      <c r="V697" s="153">
        <f ca="1">ROUND((OFFSET(卡牌辅助配置表!$O$1,MATCH(U697,卡牌辅助配置表!M:M,0)-1,0)+(N697-1)*OFFSET(卡牌辅助配置表!$P$1,MATCH(U697,卡牌辅助配置表!M:M,0)-1,0))*M697,2)</f>
        <v>51.55</v>
      </c>
      <c r="W697" s="157">
        <f ca="1">ROUND(IF(R697=0,0,IF(R697=1,X697*$W$1,IF(R697=2,X697*$W$1*buff的资质计算!$E$2,IF(R697=3,X697*$W$1*buff的资质计算!$E$3,0)))),2)</f>
        <v>15.45</v>
      </c>
      <c r="X697" s="157">
        <f ca="1" t="shared" si="112"/>
        <v>51.5</v>
      </c>
      <c r="Y697" s="157">
        <f ca="1" t="shared" si="117"/>
        <v>52.1666666666667</v>
      </c>
      <c r="Z697" s="304">
        <f ca="1" t="shared" si="113"/>
        <v>26.0833333333333</v>
      </c>
      <c r="AA697" s="304">
        <f ca="1">OFFSET(卡牌辅助配置表!$AD$1,MATCH(AB697,卡牌辅助配置表!AB:AB,0)-1,0)</f>
        <v>920</v>
      </c>
      <c r="AB697" s="304">
        <f ca="1" t="shared" si="114"/>
        <v>4202</v>
      </c>
      <c r="AC697" s="153">
        <v>3</v>
      </c>
      <c r="AE697" s="153">
        <v>1</v>
      </c>
      <c r="AF697" s="153" t="str">
        <f ca="1" t="shared" si="118"/>
        <v>14030011|</v>
      </c>
      <c r="AJ697" s="205" t="str">
        <f ca="1" t="shared" si="115"/>
        <v>400023|1350|;</v>
      </c>
      <c r="AK697" s="205">
        <f ca="1">OFFSET([1]item_type!$A$1,MATCH(Q697,[1]item_type!$G:$G,0)-1,0)</f>
        <v>301403</v>
      </c>
      <c r="AL697" s="205"/>
      <c r="AM697" s="205">
        <f ca="1">IF(B697=B698,OFFSET(卡牌辅助配置表!$AE$1,MATCH(AB697,卡牌辅助配置表!AB:AB,0),0),0)</f>
        <v>1350</v>
      </c>
      <c r="AN697" s="153">
        <f ca="1" t="shared" si="116"/>
        <v>1403003</v>
      </c>
      <c r="AP697" s="153" t="str">
        <f ca="1">IF(AC697=0,0,IF(AC697=12,0,OFFSET(effect!$N$1,MATCH(K697,effect!M:M,0)-1,0)))</f>
        <v>kpsx_pt</v>
      </c>
    </row>
    <row r="698" ht="21" customHeight="1" spans="1:42">
      <c r="A698" s="153">
        <f ca="1" t="shared" si="109"/>
        <v>1403003</v>
      </c>
      <c r="B698" s="91" t="s">
        <v>681</v>
      </c>
      <c r="C698" s="186">
        <v>1</v>
      </c>
      <c r="D698" s="186">
        <v>5</v>
      </c>
      <c r="E698" s="165" t="s">
        <v>1050</v>
      </c>
      <c r="F698" s="165" t="str">
        <f>"上一招为拳法时，增加"&amp;skill!$O$57/100&amp;"%伤害"</f>
        <v>上一招为拳法时，增加50%伤害</v>
      </c>
      <c r="G698" s="186">
        <f ca="1">OFFSET(卡牌辅助配置表!$C$1,MATCH(AC698,卡牌辅助配置表!A:A,0)-1,0)</f>
        <v>3</v>
      </c>
      <c r="H698" s="186">
        <f ca="1">OFFSET(skill!$Q$1,MATCH(B698,skill!B:B,0)-1,0)</f>
        <v>0.666666666666667</v>
      </c>
      <c r="I698" s="186"/>
      <c r="J698" s="186">
        <f ca="1">OFFSET(card_type!$F$1,MATCH(Q698,card_type!A:A,0)-1,0)</f>
        <v>4</v>
      </c>
      <c r="K698" s="243">
        <f ca="1">OFFSET(card_type!$G$1,MATCH(Q698,card_type!A:A,0)-1,0)</f>
        <v>2</v>
      </c>
      <c r="L698" s="157">
        <v>2</v>
      </c>
      <c r="M698" s="157">
        <v>2</v>
      </c>
      <c r="N698" s="153">
        <f t="shared" si="110"/>
        <v>3</v>
      </c>
      <c r="O698" s="157"/>
      <c r="P698" s="157"/>
      <c r="Q698" s="153">
        <f ca="1">OFFSET(card_type!$A$1,MATCH(card!B698,card_type!B:B,0)-1,0)</f>
        <v>1403</v>
      </c>
      <c r="R698" s="153">
        <v>1</v>
      </c>
      <c r="S698" s="157">
        <f ca="1">ROUND(IF(R698=0,0,IF(R698=1,X698*$S$1,IF(R698=2,X698*$S$1*buff的资质计算!$E$2,IF(R698=3,X698*$S$1*buff的资质计算!$E$3,0)))),0)*0</f>
        <v>0</v>
      </c>
      <c r="T698" s="153">
        <v>1</v>
      </c>
      <c r="U698" s="153">
        <f ca="1" t="shared" si="111"/>
        <v>42</v>
      </c>
      <c r="V698" s="153">
        <f ca="1">ROUND((OFFSET(卡牌辅助配置表!$O$1,MATCH(U698,卡牌辅助配置表!M:M,0)-1,0)+(N698-1)*OFFSET(卡牌辅助配置表!$P$1,MATCH(U698,卡牌辅助配置表!M:M,0)-1,0))*M698,2)</f>
        <v>58.85</v>
      </c>
      <c r="W698" s="157">
        <f ca="1">ROUND(IF(R698=0,0,IF(R698=1,X698*$W$1,IF(R698=2,X698*$W$1*buff的资质计算!$E$2,IF(R698=3,X698*$W$1*buff的资质计算!$E$3,0)))),2)</f>
        <v>15.6</v>
      </c>
      <c r="X698" s="157">
        <f ca="1" t="shared" si="112"/>
        <v>52</v>
      </c>
      <c r="Y698" s="157">
        <f ca="1" t="shared" si="117"/>
        <v>52.6666666666667</v>
      </c>
      <c r="Z698" s="304">
        <f ca="1" t="shared" si="113"/>
        <v>26.3333333333333</v>
      </c>
      <c r="AA698" s="304">
        <f ca="1">OFFSET(卡牌辅助配置表!$AD$1,MATCH(AB698,卡牌辅助配置表!AB:AB,0)-1,0)</f>
        <v>1380</v>
      </c>
      <c r="AB698" s="304">
        <f ca="1" t="shared" si="114"/>
        <v>4203</v>
      </c>
      <c r="AC698" s="153">
        <v>3</v>
      </c>
      <c r="AE698" s="153">
        <v>1</v>
      </c>
      <c r="AF698" s="153" t="str">
        <f ca="1" t="shared" si="118"/>
        <v>14030011|</v>
      </c>
      <c r="AJ698" s="205" t="str">
        <f ca="1" t="shared" si="115"/>
        <v>400023|1650|;</v>
      </c>
      <c r="AK698" s="205">
        <f ca="1">OFFSET([1]item_type!$A$1,MATCH(Q698,[1]item_type!$G:$G,0)-1,0)</f>
        <v>301403</v>
      </c>
      <c r="AL698" s="205"/>
      <c r="AM698" s="205">
        <f ca="1">IF(B698=B699,OFFSET(卡牌辅助配置表!$AE$1,MATCH(AB698,卡牌辅助配置表!AB:AB,0),0),0)</f>
        <v>1650</v>
      </c>
      <c r="AN698" s="153">
        <f ca="1" t="shared" si="116"/>
        <v>1403004</v>
      </c>
      <c r="AP698" s="153" t="str">
        <f ca="1">IF(AC698=0,0,IF(AC698=12,0,OFFSET(effect!$N$1,MATCH(K698,effect!M:M,0)-1,0)))</f>
        <v>kpsx_pt</v>
      </c>
    </row>
    <row r="699" ht="21" customHeight="1" spans="1:42">
      <c r="A699" s="153">
        <f ca="1" t="shared" si="109"/>
        <v>1403004</v>
      </c>
      <c r="B699" s="91" t="s">
        <v>681</v>
      </c>
      <c r="C699" s="186">
        <v>1</v>
      </c>
      <c r="D699" s="186">
        <v>5</v>
      </c>
      <c r="E699" s="165" t="s">
        <v>1050</v>
      </c>
      <c r="F699" s="165" t="str">
        <f>"上一招为拳法时，增加"&amp;skill!$O$57/100&amp;"%伤害"</f>
        <v>上一招为拳法时，增加50%伤害</v>
      </c>
      <c r="G699" s="186">
        <f ca="1">OFFSET(卡牌辅助配置表!$C$1,MATCH(AC699,卡牌辅助配置表!A:A,0)-1,0)</f>
        <v>3</v>
      </c>
      <c r="H699" s="186">
        <f ca="1">OFFSET(skill!$Q$1,MATCH(B699,skill!B:B,0)-1,0)</f>
        <v>0.666666666666667</v>
      </c>
      <c r="I699" s="186"/>
      <c r="J699" s="186">
        <f ca="1">OFFSET(card_type!$F$1,MATCH(Q699,card_type!A:A,0)-1,0)</f>
        <v>4</v>
      </c>
      <c r="K699" s="243">
        <f ca="1">OFFSET(card_type!$G$1,MATCH(Q699,card_type!A:A,0)-1,0)</f>
        <v>2</v>
      </c>
      <c r="L699" s="157">
        <v>2</v>
      </c>
      <c r="M699" s="157">
        <v>2</v>
      </c>
      <c r="N699" s="153">
        <f t="shared" si="110"/>
        <v>4</v>
      </c>
      <c r="O699" s="157"/>
      <c r="P699" s="157"/>
      <c r="Q699" s="153">
        <f ca="1">OFFSET(card_type!$A$1,MATCH(card!B699,card_type!B:B,0)-1,0)</f>
        <v>1403</v>
      </c>
      <c r="R699" s="153">
        <v>1</v>
      </c>
      <c r="S699" s="157">
        <f ca="1">ROUND(IF(R699=0,0,IF(R699=1,X699*$S$1,IF(R699=2,X699*$S$1*buff的资质计算!$E$2,IF(R699=3,X699*$S$1*buff的资质计算!$E$3,0)))),0)*0</f>
        <v>0</v>
      </c>
      <c r="T699" s="153">
        <v>1</v>
      </c>
      <c r="U699" s="153">
        <f ca="1" t="shared" si="111"/>
        <v>42</v>
      </c>
      <c r="V699" s="153">
        <f ca="1">ROUND((OFFSET(卡牌辅助配置表!$O$1,MATCH(U699,卡牌辅助配置表!M:M,0)-1,0)+(N699-1)*OFFSET(卡牌辅助配置表!$P$1,MATCH(U699,卡牌辅助配置表!M:M,0)-1,0))*M699,2)</f>
        <v>66.15</v>
      </c>
      <c r="W699" s="157">
        <f ca="1">ROUND(IF(R699=0,0,IF(R699=1,X699*$W$1,IF(R699=2,X699*$W$1*buff的资质计算!$E$2,IF(R699=3,X699*$W$1*buff的资质计算!$E$3,0)))),2)</f>
        <v>15.75</v>
      </c>
      <c r="X699" s="157">
        <f ca="1" t="shared" si="112"/>
        <v>52.5</v>
      </c>
      <c r="Y699" s="157">
        <f ca="1" t="shared" si="117"/>
        <v>53.1666666666667</v>
      </c>
      <c r="Z699" s="304">
        <f ca="1" t="shared" si="113"/>
        <v>26.5833333333333</v>
      </c>
      <c r="AA699" s="304">
        <f ca="1">OFFSET(卡牌辅助配置表!$AD$1,MATCH(AB699,卡牌辅助配置表!AB:AB,0)-1,0)</f>
        <v>1840</v>
      </c>
      <c r="AB699" s="304">
        <f ca="1" t="shared" si="114"/>
        <v>4204</v>
      </c>
      <c r="AC699" s="153">
        <v>3</v>
      </c>
      <c r="AE699" s="153">
        <v>1</v>
      </c>
      <c r="AF699" s="153" t="str">
        <f ca="1" t="shared" si="118"/>
        <v>14030011|</v>
      </c>
      <c r="AJ699" s="205" t="str">
        <f ca="1" t="shared" si="115"/>
        <v>400023|1950|;</v>
      </c>
      <c r="AK699" s="205">
        <f ca="1">OFFSET([1]item_type!$A$1,MATCH(Q699,[1]item_type!$G:$G,0)-1,0)</f>
        <v>301403</v>
      </c>
      <c r="AL699" s="205"/>
      <c r="AM699" s="205">
        <f ca="1">IF(B699=B700,OFFSET(卡牌辅助配置表!$AE$1,MATCH(AB699,卡牌辅助配置表!AB:AB,0),0),0)</f>
        <v>1950</v>
      </c>
      <c r="AN699" s="153">
        <f ca="1" t="shared" si="116"/>
        <v>1403005</v>
      </c>
      <c r="AP699" s="153" t="str">
        <f ca="1">IF(AC699=0,0,IF(AC699=12,0,OFFSET(effect!$N$1,MATCH(K699,effect!M:M,0)-1,0)))</f>
        <v>kpsx_pt</v>
      </c>
    </row>
    <row r="700" ht="21" customHeight="1" spans="1:42">
      <c r="A700" s="153">
        <f ca="1" t="shared" si="109"/>
        <v>1403005</v>
      </c>
      <c r="B700" s="91" t="s">
        <v>681</v>
      </c>
      <c r="C700" s="186">
        <v>1</v>
      </c>
      <c r="D700" s="186">
        <v>5</v>
      </c>
      <c r="E700" s="165" t="s">
        <v>1050</v>
      </c>
      <c r="F700" s="165" t="str">
        <f>"上一招为拳法时，增加"&amp;skill!$O$57/100&amp;"%伤害"</f>
        <v>上一招为拳法时，增加50%伤害</v>
      </c>
      <c r="G700" s="186">
        <f ca="1">OFFSET(卡牌辅助配置表!$C$1,MATCH(AC700,卡牌辅助配置表!A:A,0)-1,0)</f>
        <v>3</v>
      </c>
      <c r="H700" s="186">
        <f ca="1">OFFSET(skill!$Q$1,MATCH(B700,skill!B:B,0)-1,0)</f>
        <v>0.666666666666667</v>
      </c>
      <c r="I700" s="186"/>
      <c r="J700" s="186">
        <f ca="1">OFFSET(card_type!$F$1,MATCH(Q700,card_type!A:A,0)-1,0)</f>
        <v>4</v>
      </c>
      <c r="K700" s="243">
        <f ca="1">OFFSET(card_type!$G$1,MATCH(Q700,card_type!A:A,0)-1,0)</f>
        <v>2</v>
      </c>
      <c r="L700" s="157">
        <v>2</v>
      </c>
      <c r="M700" s="157">
        <v>2</v>
      </c>
      <c r="N700" s="153">
        <f t="shared" si="110"/>
        <v>5</v>
      </c>
      <c r="O700" s="157"/>
      <c r="P700" s="157"/>
      <c r="Q700" s="153">
        <f ca="1">OFFSET(card_type!$A$1,MATCH(card!B700,card_type!B:B,0)-1,0)</f>
        <v>1403</v>
      </c>
      <c r="R700" s="153">
        <v>1</v>
      </c>
      <c r="S700" s="157">
        <f ca="1">ROUND(IF(R700=0,0,IF(R700=1,X700*$S$1,IF(R700=2,X700*$S$1*buff的资质计算!$E$2,IF(R700=3,X700*$S$1*buff的资质计算!$E$3,0)))),0)*0</f>
        <v>0</v>
      </c>
      <c r="T700" s="153">
        <v>1</v>
      </c>
      <c r="U700" s="153">
        <f ca="1" t="shared" si="111"/>
        <v>42</v>
      </c>
      <c r="V700" s="153">
        <f ca="1">ROUND((OFFSET(卡牌辅助配置表!$O$1,MATCH(U700,卡牌辅助配置表!M:M,0)-1,0)+(N700-1)*OFFSET(卡牌辅助配置表!$P$1,MATCH(U700,卡牌辅助配置表!M:M,0)-1,0))*M700,2)</f>
        <v>73.45</v>
      </c>
      <c r="W700" s="157">
        <f ca="1">ROUND(IF(R700=0,0,IF(R700=1,X700*$W$1,IF(R700=2,X700*$W$1*buff的资质计算!$E$2,IF(R700=3,X700*$W$1*buff的资质计算!$E$3,0)))),2)</f>
        <v>15.9</v>
      </c>
      <c r="X700" s="157">
        <f ca="1" t="shared" si="112"/>
        <v>53</v>
      </c>
      <c r="Y700" s="157">
        <f ca="1" t="shared" si="117"/>
        <v>53.6666666666667</v>
      </c>
      <c r="Z700" s="304">
        <f ca="1" t="shared" si="113"/>
        <v>26.8333333333333</v>
      </c>
      <c r="AA700" s="304">
        <f ca="1">OFFSET(卡牌辅助配置表!$AD$1,MATCH(AB700,卡牌辅助配置表!AB:AB,0)-1,0)</f>
        <v>2300</v>
      </c>
      <c r="AB700" s="304">
        <f ca="1" t="shared" si="114"/>
        <v>4205</v>
      </c>
      <c r="AC700" s="153">
        <v>3</v>
      </c>
      <c r="AE700" s="153">
        <v>1</v>
      </c>
      <c r="AF700" s="153" t="str">
        <f ca="1" t="shared" si="118"/>
        <v>14030011|</v>
      </c>
      <c r="AJ700" s="205" t="str">
        <f ca="1" t="shared" si="115"/>
        <v>400023|2250|;</v>
      </c>
      <c r="AK700" s="205">
        <f ca="1">OFFSET([1]item_type!$A$1,MATCH(Q700,[1]item_type!$G:$G,0)-1,0)</f>
        <v>301403</v>
      </c>
      <c r="AL700" s="205"/>
      <c r="AM700" s="205">
        <f ca="1">IF(B700=B701,OFFSET(卡牌辅助配置表!$AE$1,MATCH(AB700,卡牌辅助配置表!AB:AB,0),0),0)</f>
        <v>2250</v>
      </c>
      <c r="AN700" s="153">
        <f ca="1" t="shared" si="116"/>
        <v>1403006</v>
      </c>
      <c r="AP700" s="153" t="str">
        <f ca="1">IF(AC700=0,0,IF(AC700=12,0,OFFSET(effect!$N$1,MATCH(K700,effect!M:M,0)-1,0)))</f>
        <v>kpsx_pt</v>
      </c>
    </row>
    <row r="701" ht="17.1" customHeight="1" spans="1:42">
      <c r="A701" s="153">
        <f ca="1" t="shared" si="109"/>
        <v>1403006</v>
      </c>
      <c r="B701" s="91" t="s">
        <v>681</v>
      </c>
      <c r="C701" s="186">
        <v>1</v>
      </c>
      <c r="D701" s="186">
        <v>5</v>
      </c>
      <c r="E701" s="165" t="s">
        <v>1050</v>
      </c>
      <c r="F701" s="165" t="str">
        <f>"上一招为拳法时，增加"&amp;skill!$O$57/100&amp;"%伤害"</f>
        <v>上一招为拳法时，增加50%伤害</v>
      </c>
      <c r="G701" s="186">
        <f ca="1">OFFSET(卡牌辅助配置表!$C$1,MATCH(AC701,卡牌辅助配置表!A:A,0)-1,0)</f>
        <v>3</v>
      </c>
      <c r="H701" s="186">
        <f ca="1">OFFSET(skill!$Q$1,MATCH(B701,skill!B:B,0)-1,0)</f>
        <v>0.666666666666667</v>
      </c>
      <c r="I701" s="186"/>
      <c r="J701" s="186">
        <f ca="1">OFFSET(card_type!$F$1,MATCH(Q701,card_type!A:A,0)-1,0)</f>
        <v>4</v>
      </c>
      <c r="K701" s="243">
        <f ca="1">OFFSET(card_type!$G$1,MATCH(Q701,card_type!A:A,0)-1,0)</f>
        <v>2</v>
      </c>
      <c r="L701" s="157">
        <v>2</v>
      </c>
      <c r="M701" s="157">
        <v>2</v>
      </c>
      <c r="N701" s="153">
        <f t="shared" si="110"/>
        <v>6</v>
      </c>
      <c r="O701" s="157"/>
      <c r="P701" s="157"/>
      <c r="Q701" s="153">
        <f ca="1">OFFSET(card_type!$A$1,MATCH(card!B701,card_type!B:B,0)-1,0)</f>
        <v>1403</v>
      </c>
      <c r="R701" s="153">
        <v>1</v>
      </c>
      <c r="S701" s="157">
        <f ca="1">ROUND(IF(R701=0,0,IF(R701=1,X701*$S$1,IF(R701=2,X701*$S$1*buff的资质计算!$E$2,IF(R701=3,X701*$S$1*buff的资质计算!$E$3,0)))),0)*0</f>
        <v>0</v>
      </c>
      <c r="T701" s="153">
        <v>1</v>
      </c>
      <c r="U701" s="153">
        <f ca="1" t="shared" si="111"/>
        <v>42</v>
      </c>
      <c r="V701" s="153">
        <f ca="1">ROUND((OFFSET(卡牌辅助配置表!$O$1,MATCH(U701,卡牌辅助配置表!M:M,0)-1,0)+(N701-1)*OFFSET(卡牌辅助配置表!$P$1,MATCH(U701,卡牌辅助配置表!M:M,0)-1,0))*M701,2)</f>
        <v>80.75</v>
      </c>
      <c r="W701" s="157">
        <f ca="1">ROUND(IF(R701=0,0,IF(R701=1,X701*$W$1,IF(R701=2,X701*$W$1*buff的资质计算!$E$2,IF(R701=3,X701*$W$1*buff的资质计算!$E$3,0)))),2)</f>
        <v>16.05</v>
      </c>
      <c r="X701" s="157">
        <f ca="1" t="shared" si="112"/>
        <v>53.5</v>
      </c>
      <c r="Y701" s="157">
        <f ca="1" t="shared" si="117"/>
        <v>54.1666666666667</v>
      </c>
      <c r="Z701" s="304">
        <f ca="1" t="shared" si="113"/>
        <v>27.0833333333333</v>
      </c>
      <c r="AA701" s="304">
        <f ca="1">OFFSET(卡牌辅助配置表!$AD$1,MATCH(AB701,卡牌辅助配置表!AB:AB,0)-1,0)</f>
        <v>2760</v>
      </c>
      <c r="AB701" s="304">
        <f ca="1" t="shared" si="114"/>
        <v>4206</v>
      </c>
      <c r="AC701" s="153">
        <v>3</v>
      </c>
      <c r="AE701" s="153">
        <v>1</v>
      </c>
      <c r="AF701" s="153" t="str">
        <f ca="1" t="shared" si="118"/>
        <v>14030011|</v>
      </c>
      <c r="AJ701" s="205" t="str">
        <f ca="1" t="shared" si="115"/>
        <v>400023|2550|;</v>
      </c>
      <c r="AK701" s="205">
        <f ca="1">OFFSET([1]item_type!$A$1,MATCH(Q701,[1]item_type!$G:$G,0)-1,0)</f>
        <v>301403</v>
      </c>
      <c r="AL701" s="205"/>
      <c r="AM701" s="205">
        <f ca="1">IF(B701=B702,OFFSET(卡牌辅助配置表!$AE$1,MATCH(AB701,卡牌辅助配置表!AB:AB,0),0),0)</f>
        <v>2550</v>
      </c>
      <c r="AN701" s="153">
        <f ca="1" t="shared" si="116"/>
        <v>1403007</v>
      </c>
      <c r="AP701" s="153" t="str">
        <f ca="1">IF(AC701=0,0,IF(AC701=12,0,OFFSET(effect!$N$1,MATCH(K701,effect!M:M,0)-1,0)))</f>
        <v>kpsx_pt</v>
      </c>
    </row>
    <row r="702" ht="21" customHeight="1" spans="1:42">
      <c r="A702" s="153">
        <f ca="1" t="shared" si="109"/>
        <v>1403007</v>
      </c>
      <c r="B702" s="91" t="s">
        <v>681</v>
      </c>
      <c r="C702" s="186">
        <v>1</v>
      </c>
      <c r="D702" s="186">
        <v>5</v>
      </c>
      <c r="E702" s="165" t="s">
        <v>1050</v>
      </c>
      <c r="F702" s="165" t="str">
        <f>"上一招为拳法时，增加"&amp;skill!$O$57/100&amp;"%伤害"</f>
        <v>上一招为拳法时，增加50%伤害</v>
      </c>
      <c r="G702" s="186">
        <f ca="1">OFFSET(卡牌辅助配置表!$C$1,MATCH(AC702,卡牌辅助配置表!A:A,0)-1,0)</f>
        <v>3</v>
      </c>
      <c r="H702" s="186">
        <f ca="1">OFFSET(skill!$Q$1,MATCH(B702,skill!B:B,0)-1,0)</f>
        <v>0.666666666666667</v>
      </c>
      <c r="I702" s="186"/>
      <c r="J702" s="186">
        <f ca="1">OFFSET(card_type!$F$1,MATCH(Q702,card_type!A:A,0)-1,0)</f>
        <v>4</v>
      </c>
      <c r="K702" s="243">
        <f ca="1">OFFSET(card_type!$G$1,MATCH(Q702,card_type!A:A,0)-1,0)</f>
        <v>2</v>
      </c>
      <c r="L702" s="157">
        <v>2</v>
      </c>
      <c r="M702" s="157">
        <v>2</v>
      </c>
      <c r="N702" s="153">
        <f t="shared" si="110"/>
        <v>7</v>
      </c>
      <c r="O702" s="157"/>
      <c r="P702" s="157"/>
      <c r="Q702" s="153">
        <f ca="1">OFFSET(card_type!$A$1,MATCH(card!B702,card_type!B:B,0)-1,0)</f>
        <v>1403</v>
      </c>
      <c r="R702" s="153">
        <v>1</v>
      </c>
      <c r="S702" s="157">
        <f ca="1">ROUND(IF(R702=0,0,IF(R702=1,X702*$S$1,IF(R702=2,X702*$S$1*buff的资质计算!$E$2,IF(R702=3,X702*$S$1*buff的资质计算!$E$3,0)))),0)*0</f>
        <v>0</v>
      </c>
      <c r="T702" s="153">
        <v>1</v>
      </c>
      <c r="U702" s="153">
        <f ca="1" t="shared" si="111"/>
        <v>42</v>
      </c>
      <c r="V702" s="153">
        <f ca="1">ROUND((OFFSET(卡牌辅助配置表!$O$1,MATCH(U702,卡牌辅助配置表!M:M,0)-1,0)+(N702-1)*OFFSET(卡牌辅助配置表!$P$1,MATCH(U702,卡牌辅助配置表!M:M,0)-1,0))*M702,2)</f>
        <v>88.05</v>
      </c>
      <c r="W702" s="157">
        <f ca="1">ROUND(IF(R702=0,0,IF(R702=1,X702*$W$1,IF(R702=2,X702*$W$1*buff的资质计算!$E$2,IF(R702=3,X702*$W$1*buff的资质计算!$E$3,0)))),2)</f>
        <v>16.2</v>
      </c>
      <c r="X702" s="157">
        <f ca="1" t="shared" si="112"/>
        <v>54</v>
      </c>
      <c r="Y702" s="157">
        <f ca="1" t="shared" si="117"/>
        <v>54.6666666666667</v>
      </c>
      <c r="Z702" s="304">
        <f ca="1" t="shared" si="113"/>
        <v>27.3333333333333</v>
      </c>
      <c r="AA702" s="304">
        <f ca="1">OFFSET(卡牌辅助配置表!$AD$1,MATCH(AB702,卡牌辅助配置表!AB:AB,0)-1,0)</f>
        <v>3220</v>
      </c>
      <c r="AB702" s="304">
        <f ca="1" t="shared" si="114"/>
        <v>4207</v>
      </c>
      <c r="AC702" s="153">
        <v>3</v>
      </c>
      <c r="AE702" s="153">
        <v>1</v>
      </c>
      <c r="AF702" s="153" t="str">
        <f ca="1" t="shared" si="118"/>
        <v>14030011|</v>
      </c>
      <c r="AJ702" s="205" t="str">
        <f ca="1" t="shared" si="115"/>
        <v>400023|2850|;</v>
      </c>
      <c r="AK702" s="205">
        <f ca="1">OFFSET([1]item_type!$A$1,MATCH(Q702,[1]item_type!$G:$G,0)-1,0)</f>
        <v>301403</v>
      </c>
      <c r="AL702" s="205"/>
      <c r="AM702" s="205">
        <f ca="1">IF(B702=B703,OFFSET(卡牌辅助配置表!$AE$1,MATCH(AB702,卡牌辅助配置表!AB:AB,0),0),0)</f>
        <v>2850</v>
      </c>
      <c r="AN702" s="153">
        <f ca="1" t="shared" si="116"/>
        <v>1403008</v>
      </c>
      <c r="AP702" s="153" t="str">
        <f ca="1">IF(AC702=0,0,IF(AC702=12,0,OFFSET(effect!$N$1,MATCH(K702,effect!M:M,0)-1,0)))</f>
        <v>kpsx_pt</v>
      </c>
    </row>
    <row r="703" ht="21" customHeight="1" spans="1:42">
      <c r="A703" s="153">
        <f ca="1" t="shared" si="109"/>
        <v>1403008</v>
      </c>
      <c r="B703" s="91" t="s">
        <v>681</v>
      </c>
      <c r="C703" s="186">
        <v>1</v>
      </c>
      <c r="D703" s="186">
        <v>5</v>
      </c>
      <c r="E703" s="165" t="s">
        <v>1050</v>
      </c>
      <c r="F703" s="165" t="str">
        <f>"上一招为拳法时，增加"&amp;skill!$O$57/100&amp;"%伤害"</f>
        <v>上一招为拳法时，增加50%伤害</v>
      </c>
      <c r="G703" s="186">
        <f ca="1">OFFSET(卡牌辅助配置表!$C$1,MATCH(AC703,卡牌辅助配置表!A:A,0)-1,0)</f>
        <v>3</v>
      </c>
      <c r="H703" s="186">
        <f ca="1">OFFSET(skill!$Q$1,MATCH(B703,skill!B:B,0)-1,0)</f>
        <v>0.666666666666667</v>
      </c>
      <c r="I703" s="186"/>
      <c r="J703" s="186">
        <f ca="1">OFFSET(card_type!$F$1,MATCH(Q703,card_type!A:A,0)-1,0)</f>
        <v>4</v>
      </c>
      <c r="K703" s="243">
        <f ca="1">OFFSET(card_type!$G$1,MATCH(Q703,card_type!A:A,0)-1,0)</f>
        <v>2</v>
      </c>
      <c r="L703" s="157">
        <v>2</v>
      </c>
      <c r="M703" s="157">
        <v>2</v>
      </c>
      <c r="N703" s="153">
        <f t="shared" si="110"/>
        <v>8</v>
      </c>
      <c r="O703" s="157"/>
      <c r="P703" s="157"/>
      <c r="Q703" s="153">
        <f ca="1">OFFSET(card_type!$A$1,MATCH(card!B703,card_type!B:B,0)-1,0)</f>
        <v>1403</v>
      </c>
      <c r="R703" s="153">
        <v>1</v>
      </c>
      <c r="S703" s="157">
        <f ca="1">ROUND(IF(R703=0,0,IF(R703=1,X703*$S$1,IF(R703=2,X703*$S$1*buff的资质计算!$E$2,IF(R703=3,X703*$S$1*buff的资质计算!$E$3,0)))),0)*0</f>
        <v>0</v>
      </c>
      <c r="T703" s="153">
        <v>1</v>
      </c>
      <c r="U703" s="153">
        <f ca="1" t="shared" si="111"/>
        <v>42</v>
      </c>
      <c r="V703" s="153">
        <f ca="1">ROUND((OFFSET(卡牌辅助配置表!$O$1,MATCH(U703,卡牌辅助配置表!M:M,0)-1,0)+(N703-1)*OFFSET(卡牌辅助配置表!$P$1,MATCH(U703,卡牌辅助配置表!M:M,0)-1,0))*M703,2)</f>
        <v>95.35</v>
      </c>
      <c r="W703" s="157">
        <f ca="1">ROUND(IF(R703=0,0,IF(R703=1,X703*$W$1,IF(R703=2,X703*$W$1*buff的资质计算!$E$2,IF(R703=3,X703*$W$1*buff的资质计算!$E$3,0)))),2)</f>
        <v>16.35</v>
      </c>
      <c r="X703" s="157">
        <f ca="1" t="shared" si="112"/>
        <v>54.5</v>
      </c>
      <c r="Y703" s="157">
        <f ca="1" t="shared" si="117"/>
        <v>55.1666666666667</v>
      </c>
      <c r="Z703" s="304">
        <f ca="1" t="shared" si="113"/>
        <v>27.5833333333333</v>
      </c>
      <c r="AA703" s="304">
        <f ca="1">OFFSET(卡牌辅助配置表!$AD$1,MATCH(AB703,卡牌辅助配置表!AB:AB,0)-1,0)</f>
        <v>3680</v>
      </c>
      <c r="AB703" s="304">
        <f ca="1" t="shared" si="114"/>
        <v>4208</v>
      </c>
      <c r="AC703" s="153">
        <v>3</v>
      </c>
      <c r="AE703" s="153">
        <v>1</v>
      </c>
      <c r="AF703" s="153" t="str">
        <f ca="1" t="shared" si="118"/>
        <v>14030011|</v>
      </c>
      <c r="AJ703" s="205" t="str">
        <f ca="1" t="shared" si="115"/>
        <v>400023|3150|;</v>
      </c>
      <c r="AK703" s="205">
        <f ca="1">OFFSET([1]item_type!$A$1,MATCH(Q703,[1]item_type!$G:$G,0)-1,0)</f>
        <v>301403</v>
      </c>
      <c r="AL703" s="205"/>
      <c r="AM703" s="205">
        <f ca="1">IF(B703=B704,OFFSET(卡牌辅助配置表!$AE$1,MATCH(AB703,卡牌辅助配置表!AB:AB,0),0),0)</f>
        <v>3150</v>
      </c>
      <c r="AN703" s="153">
        <f ca="1" t="shared" si="116"/>
        <v>1403009</v>
      </c>
      <c r="AP703" s="153" t="str">
        <f ca="1">IF(AC703=0,0,IF(AC703=12,0,OFFSET(effect!$N$1,MATCH(K703,effect!M:M,0)-1,0)))</f>
        <v>kpsx_pt</v>
      </c>
    </row>
    <row r="704" ht="21" customHeight="1" spans="1:42">
      <c r="A704" s="153">
        <f ca="1" t="shared" si="109"/>
        <v>1403009</v>
      </c>
      <c r="B704" s="91" t="s">
        <v>681</v>
      </c>
      <c r="C704" s="186">
        <v>1</v>
      </c>
      <c r="D704" s="186">
        <v>5</v>
      </c>
      <c r="E704" s="165" t="s">
        <v>1050</v>
      </c>
      <c r="F704" s="165" t="str">
        <f>"上一招为拳法时，增加"&amp;skill!$O$57/100&amp;"%伤害"</f>
        <v>上一招为拳法时，增加50%伤害</v>
      </c>
      <c r="G704" s="186">
        <f ca="1">OFFSET(卡牌辅助配置表!$C$1,MATCH(AC704,卡牌辅助配置表!A:A,0)-1,0)</f>
        <v>3</v>
      </c>
      <c r="H704" s="186">
        <f ca="1">OFFSET(skill!$Q$1,MATCH(B704,skill!B:B,0)-1,0)</f>
        <v>0.666666666666667</v>
      </c>
      <c r="I704" s="186"/>
      <c r="J704" s="186">
        <f ca="1">OFFSET(card_type!$F$1,MATCH(Q704,card_type!A:A,0)-1,0)</f>
        <v>4</v>
      </c>
      <c r="K704" s="243">
        <f ca="1">OFFSET(card_type!$G$1,MATCH(Q704,card_type!A:A,0)-1,0)</f>
        <v>2</v>
      </c>
      <c r="L704" s="157">
        <v>2</v>
      </c>
      <c r="M704" s="157">
        <v>2</v>
      </c>
      <c r="N704" s="153">
        <f t="shared" si="110"/>
        <v>9</v>
      </c>
      <c r="O704" s="157"/>
      <c r="P704" s="157"/>
      <c r="Q704" s="153">
        <f ca="1">OFFSET(card_type!$A$1,MATCH(card!B704,card_type!B:B,0)-1,0)</f>
        <v>1403</v>
      </c>
      <c r="R704" s="153">
        <v>1</v>
      </c>
      <c r="S704" s="157">
        <f ca="1">ROUND(IF(R704=0,0,IF(R704=1,X704*$S$1,IF(R704=2,X704*$S$1*buff的资质计算!$E$2,IF(R704=3,X704*$S$1*buff的资质计算!$E$3,0)))),0)*0</f>
        <v>0</v>
      </c>
      <c r="T704" s="153">
        <v>1</v>
      </c>
      <c r="U704" s="153">
        <f ca="1" t="shared" si="111"/>
        <v>42</v>
      </c>
      <c r="V704" s="153">
        <f ca="1">ROUND((OFFSET(卡牌辅助配置表!$O$1,MATCH(U704,卡牌辅助配置表!M:M,0)-1,0)+(N704-1)*OFFSET(卡牌辅助配置表!$P$1,MATCH(U704,卡牌辅助配置表!M:M,0)-1,0))*M704,2)</f>
        <v>102.65</v>
      </c>
      <c r="W704" s="157">
        <f ca="1">ROUND(IF(R704=0,0,IF(R704=1,X704*$W$1,IF(R704=2,X704*$W$1*buff的资质计算!$E$2,IF(R704=3,X704*$W$1*buff的资质计算!$E$3,0)))),2)</f>
        <v>16.5</v>
      </c>
      <c r="X704" s="157">
        <f ca="1" t="shared" si="112"/>
        <v>55</v>
      </c>
      <c r="Y704" s="157">
        <f ca="1" t="shared" si="117"/>
        <v>55.6666666666667</v>
      </c>
      <c r="Z704" s="304">
        <f ca="1" t="shared" si="113"/>
        <v>27.8333333333333</v>
      </c>
      <c r="AA704" s="304">
        <f ca="1">OFFSET(卡牌辅助配置表!$AD$1,MATCH(AB704,卡牌辅助配置表!AB:AB,0)-1,0)</f>
        <v>4140</v>
      </c>
      <c r="AB704" s="304">
        <f ca="1" t="shared" si="114"/>
        <v>4209</v>
      </c>
      <c r="AC704" s="153">
        <v>3</v>
      </c>
      <c r="AE704" s="153">
        <v>1</v>
      </c>
      <c r="AF704" s="153" t="str">
        <f ca="1" t="shared" si="118"/>
        <v>14030011|</v>
      </c>
      <c r="AJ704" s="205" t="str">
        <f ca="1" t="shared" si="115"/>
        <v>301403|15|;400023|3450|;</v>
      </c>
      <c r="AK704" s="205">
        <f ca="1">OFFSET([1]item_type!$A$1,MATCH(Q704,[1]item_type!$G:$G,0)-1,0)</f>
        <v>301403</v>
      </c>
      <c r="AL704" s="205">
        <v>15</v>
      </c>
      <c r="AM704" s="205">
        <f ca="1">IF(B704=B705,OFFSET(卡牌辅助配置表!$AE$1,MATCH(AB704,卡牌辅助配置表!AB:AB,0),0),0)</f>
        <v>3450</v>
      </c>
      <c r="AN704" s="153">
        <f ca="1" t="shared" si="116"/>
        <v>1403010</v>
      </c>
      <c r="AP704" s="153" t="str">
        <f ca="1">IF(AC704=0,0,IF(AC704=12,0,OFFSET(effect!$N$1,MATCH(K704,effect!M:M,0)-1,0)))</f>
        <v>kpsx_pt</v>
      </c>
    </row>
    <row r="705" ht="21" customHeight="1" spans="1:42">
      <c r="A705" s="153">
        <f ca="1" t="shared" si="109"/>
        <v>1403010</v>
      </c>
      <c r="B705" s="91" t="s">
        <v>681</v>
      </c>
      <c r="C705" s="186">
        <v>1</v>
      </c>
      <c r="D705" s="186">
        <v>5</v>
      </c>
      <c r="E705" s="165" t="s">
        <v>1050</v>
      </c>
      <c r="F705" s="165" t="str">
        <f>"上一招为拳法时，增加"&amp;skill!$O$57/100&amp;"%伤害"</f>
        <v>上一招为拳法时，增加50%伤害</v>
      </c>
      <c r="G705" s="186">
        <f ca="1">OFFSET(卡牌辅助配置表!$C$1,MATCH(AC705,卡牌辅助配置表!A:A,0)-1,0)</f>
        <v>3</v>
      </c>
      <c r="H705" s="186">
        <f ca="1">OFFSET(skill!$Q$1,MATCH(B705,skill!B:B,0)-1,0)</f>
        <v>0.666666666666667</v>
      </c>
      <c r="I705" s="186"/>
      <c r="J705" s="186">
        <f ca="1">OFFSET(card_type!$F$1,MATCH(Q705,card_type!A:A,0)-1,0)</f>
        <v>4</v>
      </c>
      <c r="K705" s="243">
        <f ca="1">OFFSET(card_type!$G$1,MATCH(Q705,card_type!A:A,0)-1,0)</f>
        <v>2</v>
      </c>
      <c r="L705" s="157">
        <v>2</v>
      </c>
      <c r="M705" s="157">
        <v>2</v>
      </c>
      <c r="N705" s="153">
        <f t="shared" si="110"/>
        <v>10</v>
      </c>
      <c r="O705" s="157"/>
      <c r="P705" s="157"/>
      <c r="Q705" s="153">
        <f ca="1">OFFSET(card_type!$A$1,MATCH(card!B705,card_type!B:B,0)-1,0)</f>
        <v>1403</v>
      </c>
      <c r="R705" s="153">
        <v>1</v>
      </c>
      <c r="S705" s="157">
        <f ca="1">ROUND(IF(R705=0,0,IF(R705=1,X705*$S$1,IF(R705=2,X705*$S$1*buff的资质计算!$E$2,IF(R705=3,X705*$S$1*buff的资质计算!$E$3,0)))),0)*0</f>
        <v>0</v>
      </c>
      <c r="T705" s="153">
        <v>1</v>
      </c>
      <c r="U705" s="153">
        <f ca="1" t="shared" si="111"/>
        <v>42</v>
      </c>
      <c r="V705" s="153">
        <f ca="1">ROUND((OFFSET(卡牌辅助配置表!$O$1,MATCH(U705,卡牌辅助配置表!M:M,0)-1,0)+(N705-1)*OFFSET(卡牌辅助配置表!$P$1,MATCH(U705,卡牌辅助配置表!M:M,0)-1,0))*M705,2)</f>
        <v>109.95</v>
      </c>
      <c r="W705" s="157">
        <f ca="1">ROUND(IF(R705=0,0,IF(R705=1,X705*$W$1,IF(R705=2,X705*$W$1*buff的资质计算!$E$2,IF(R705=3,X705*$W$1*buff的资质计算!$E$3,0)))),2)</f>
        <v>16.65</v>
      </c>
      <c r="X705" s="157">
        <f ca="1" t="shared" si="112"/>
        <v>55.5</v>
      </c>
      <c r="Y705" s="157">
        <f ca="1" t="shared" si="117"/>
        <v>56.1666666666667</v>
      </c>
      <c r="Z705" s="304">
        <f ca="1" t="shared" si="113"/>
        <v>28.0833333333333</v>
      </c>
      <c r="AA705" s="304">
        <f ca="1">OFFSET(卡牌辅助配置表!$AD$1,MATCH(AB705,卡牌辅助配置表!AB:AB,0)-1,0)</f>
        <v>4600</v>
      </c>
      <c r="AB705" s="304">
        <f ca="1" t="shared" si="114"/>
        <v>4210</v>
      </c>
      <c r="AC705" s="153">
        <v>3</v>
      </c>
      <c r="AE705" s="153">
        <v>1</v>
      </c>
      <c r="AF705" s="153" t="str">
        <f ca="1" t="shared" si="118"/>
        <v>14030011|</v>
      </c>
      <c r="AJ705" s="205" t="str">
        <f ca="1" t="shared" si="115"/>
        <v>400023|4050|;</v>
      </c>
      <c r="AK705" s="205">
        <f ca="1">OFFSET([1]item_type!$A$1,MATCH(Q705,[1]item_type!$G:$G,0)-1,0)</f>
        <v>301403</v>
      </c>
      <c r="AL705" s="205"/>
      <c r="AM705" s="205">
        <f ca="1">IF(B705=B706,OFFSET(卡牌辅助配置表!$AE$1,MATCH(AB705,卡牌辅助配置表!AB:AB,0),0),0)</f>
        <v>4050</v>
      </c>
      <c r="AN705" s="153">
        <f ca="1" t="shared" si="116"/>
        <v>1403011</v>
      </c>
      <c r="AP705" s="153" t="str">
        <f ca="1">IF(AC705=0,0,IF(AC705=12,0,OFFSET(effect!$N$1,MATCH(K705,effect!M:M,0)-1,0)))</f>
        <v>kpsx_pt</v>
      </c>
    </row>
    <row r="706" ht="21" customHeight="1" spans="1:42">
      <c r="A706" s="153">
        <f ca="1" t="shared" si="109"/>
        <v>1403011</v>
      </c>
      <c r="B706" s="91" t="s">
        <v>681</v>
      </c>
      <c r="C706" s="186">
        <v>1</v>
      </c>
      <c r="D706" s="186">
        <v>5</v>
      </c>
      <c r="E706" s="165" t="s">
        <v>1050</v>
      </c>
      <c r="F706" s="165" t="str">
        <f>"上一招为拳法时，增加"&amp;skill!$O$57/100&amp;"%伤害"</f>
        <v>上一招为拳法时，增加50%伤害</v>
      </c>
      <c r="G706" s="186">
        <f ca="1">OFFSET(卡牌辅助配置表!$C$1,MATCH(AC706,卡牌辅助配置表!A:A,0)-1,0)</f>
        <v>3</v>
      </c>
      <c r="H706" s="186">
        <f ca="1">OFFSET(skill!$Q$1,MATCH(B706,skill!B:B,0)-1,0)</f>
        <v>0.666666666666667</v>
      </c>
      <c r="I706" s="186"/>
      <c r="J706" s="186">
        <f ca="1">OFFSET(card_type!$F$1,MATCH(Q706,card_type!A:A,0)-1,0)</f>
        <v>4</v>
      </c>
      <c r="K706" s="243">
        <f ca="1">OFFSET(card_type!$G$1,MATCH(Q706,card_type!A:A,0)-1,0)</f>
        <v>2</v>
      </c>
      <c r="L706" s="157">
        <v>2</v>
      </c>
      <c r="M706" s="157">
        <v>2</v>
      </c>
      <c r="N706" s="153">
        <f t="shared" si="110"/>
        <v>11</v>
      </c>
      <c r="O706" s="157"/>
      <c r="P706" s="157"/>
      <c r="Q706" s="153">
        <f ca="1">OFFSET(card_type!$A$1,MATCH(card!B706,card_type!B:B,0)-1,0)</f>
        <v>1403</v>
      </c>
      <c r="R706" s="153">
        <v>1</v>
      </c>
      <c r="S706" s="157">
        <f ca="1">ROUND(IF(R706=0,0,IF(R706=1,X706*$S$1,IF(R706=2,X706*$S$1*buff的资质计算!$E$2,IF(R706=3,X706*$S$1*buff的资质计算!$E$3,0)))),0)*0</f>
        <v>0</v>
      </c>
      <c r="T706" s="153">
        <v>1</v>
      </c>
      <c r="U706" s="153">
        <f ca="1" t="shared" si="111"/>
        <v>42</v>
      </c>
      <c r="V706" s="153">
        <f ca="1">ROUND((OFFSET(卡牌辅助配置表!$O$1,MATCH(U706,卡牌辅助配置表!M:M,0)-1,0)+(N706-1)*OFFSET(卡牌辅助配置表!$P$1,MATCH(U706,卡牌辅助配置表!M:M,0)-1,0))*M706,2)</f>
        <v>117.25</v>
      </c>
      <c r="W706" s="157">
        <f ca="1">ROUND(IF(R706=0,0,IF(R706=1,X706*$W$1,IF(R706=2,X706*$W$1*buff的资质计算!$E$2,IF(R706=3,X706*$W$1*buff的资质计算!$E$3,0)))),2)</f>
        <v>16.8</v>
      </c>
      <c r="X706" s="157">
        <f ca="1" t="shared" si="112"/>
        <v>56</v>
      </c>
      <c r="Y706" s="157">
        <f ca="1" t="shared" si="117"/>
        <v>56.6666666666667</v>
      </c>
      <c r="Z706" s="304">
        <f ca="1" t="shared" si="113"/>
        <v>28.3333333333333</v>
      </c>
      <c r="AA706" s="304">
        <f ca="1">OFFSET(卡牌辅助配置表!$AD$1,MATCH(AB706,卡牌辅助配置表!AB:AB,0)-1,0)</f>
        <v>5290</v>
      </c>
      <c r="AB706" s="304">
        <f ca="1" t="shared" si="114"/>
        <v>4211</v>
      </c>
      <c r="AC706" s="153">
        <v>3</v>
      </c>
      <c r="AE706" s="153">
        <v>1</v>
      </c>
      <c r="AF706" s="153" t="str">
        <f ca="1" t="shared" si="118"/>
        <v>14030011|</v>
      </c>
      <c r="AJ706" s="205" t="str">
        <f ca="1" t="shared" si="115"/>
        <v>400023|4650|;</v>
      </c>
      <c r="AK706" s="205">
        <f ca="1">OFFSET([1]item_type!$A$1,MATCH(Q706,[1]item_type!$G:$G,0)-1,0)</f>
        <v>301403</v>
      </c>
      <c r="AL706" s="205"/>
      <c r="AM706" s="205">
        <f ca="1">IF(B706=B707,OFFSET(卡牌辅助配置表!$AE$1,MATCH(AB706,卡牌辅助配置表!AB:AB,0),0),0)</f>
        <v>4650</v>
      </c>
      <c r="AN706" s="153">
        <f ca="1" t="shared" si="116"/>
        <v>1403012</v>
      </c>
      <c r="AP706" s="153" t="str">
        <f ca="1">IF(AC706=0,0,IF(AC706=12,0,OFFSET(effect!$N$1,MATCH(K706,effect!M:M,0)-1,0)))</f>
        <v>kpsx_pt</v>
      </c>
    </row>
    <row r="707" ht="21" customHeight="1" spans="1:42">
      <c r="A707" s="153">
        <f ca="1" t="shared" si="109"/>
        <v>1403012</v>
      </c>
      <c r="B707" s="91" t="s">
        <v>681</v>
      </c>
      <c r="C707" s="186">
        <v>1</v>
      </c>
      <c r="D707" s="186">
        <v>5</v>
      </c>
      <c r="E707" s="165" t="s">
        <v>1050</v>
      </c>
      <c r="F707" s="165" t="str">
        <f>"上一招为拳法时，增加"&amp;skill!$O$57/100&amp;"%伤害"</f>
        <v>上一招为拳法时，增加50%伤害</v>
      </c>
      <c r="G707" s="186">
        <f ca="1">OFFSET(卡牌辅助配置表!$C$1,MATCH(AC707,卡牌辅助配置表!A:A,0)-1,0)</f>
        <v>3</v>
      </c>
      <c r="H707" s="186">
        <f ca="1">OFFSET(skill!$Q$1,MATCH(B707,skill!B:B,0)-1,0)</f>
        <v>0.666666666666667</v>
      </c>
      <c r="I707" s="186"/>
      <c r="J707" s="186">
        <f ca="1">OFFSET(card_type!$F$1,MATCH(Q707,card_type!A:A,0)-1,0)</f>
        <v>4</v>
      </c>
      <c r="K707" s="243">
        <f ca="1">OFFSET(card_type!$G$1,MATCH(Q707,card_type!A:A,0)-1,0)</f>
        <v>2</v>
      </c>
      <c r="L707" s="157">
        <v>2</v>
      </c>
      <c r="M707" s="157">
        <v>2</v>
      </c>
      <c r="N707" s="153">
        <f t="shared" si="110"/>
        <v>12</v>
      </c>
      <c r="O707" s="157"/>
      <c r="P707" s="157"/>
      <c r="Q707" s="153">
        <f ca="1">OFFSET(card_type!$A$1,MATCH(card!B707,card_type!B:B,0)-1,0)</f>
        <v>1403</v>
      </c>
      <c r="R707" s="153">
        <v>1</v>
      </c>
      <c r="S707" s="157">
        <f ca="1">ROUND(IF(R707=0,0,IF(R707=1,X707*$S$1,IF(R707=2,X707*$S$1*buff的资质计算!$E$2,IF(R707=3,X707*$S$1*buff的资质计算!$E$3,0)))),0)*0</f>
        <v>0</v>
      </c>
      <c r="T707" s="153">
        <v>1</v>
      </c>
      <c r="U707" s="153">
        <f ca="1" t="shared" si="111"/>
        <v>42</v>
      </c>
      <c r="V707" s="153">
        <f ca="1">ROUND((OFFSET(卡牌辅助配置表!$O$1,MATCH(U707,卡牌辅助配置表!M:M,0)-1,0)+(N707-1)*OFFSET(卡牌辅助配置表!$P$1,MATCH(U707,卡牌辅助配置表!M:M,0)-1,0))*M707,2)</f>
        <v>124.55</v>
      </c>
      <c r="W707" s="157">
        <f ca="1">ROUND(IF(R707=0,0,IF(R707=1,X707*$W$1,IF(R707=2,X707*$W$1*buff的资质计算!$E$2,IF(R707=3,X707*$W$1*buff的资质计算!$E$3,0)))),2)</f>
        <v>16.95</v>
      </c>
      <c r="X707" s="157">
        <f ca="1" t="shared" si="112"/>
        <v>56.5</v>
      </c>
      <c r="Y707" s="157">
        <f ca="1" t="shared" si="117"/>
        <v>57.1666666666667</v>
      </c>
      <c r="Z707" s="304">
        <f ca="1" t="shared" si="113"/>
        <v>28.5833333333333</v>
      </c>
      <c r="AA707" s="304">
        <f ca="1">OFFSET(卡牌辅助配置表!$AD$1,MATCH(AB707,卡牌辅助配置表!AB:AB,0)-1,0)</f>
        <v>5980</v>
      </c>
      <c r="AB707" s="304">
        <f ca="1" t="shared" si="114"/>
        <v>4212</v>
      </c>
      <c r="AC707" s="153">
        <v>3</v>
      </c>
      <c r="AE707" s="153">
        <v>1</v>
      </c>
      <c r="AF707" s="153" t="str">
        <f ca="1" t="shared" si="118"/>
        <v>14030011|</v>
      </c>
      <c r="AJ707" s="205" t="str">
        <f ca="1" t="shared" si="115"/>
        <v>400023|5250|;</v>
      </c>
      <c r="AK707" s="205">
        <f ca="1">OFFSET([1]item_type!$A$1,MATCH(Q707,[1]item_type!$G:$G,0)-1,0)</f>
        <v>301403</v>
      </c>
      <c r="AL707" s="205"/>
      <c r="AM707" s="205">
        <f ca="1">IF(B707=B708,OFFSET(卡牌辅助配置表!$AE$1,MATCH(AB707,卡牌辅助配置表!AB:AB,0),0),0)</f>
        <v>5250</v>
      </c>
      <c r="AN707" s="153">
        <f ca="1" t="shared" si="116"/>
        <v>1403013</v>
      </c>
      <c r="AP707" s="153" t="str">
        <f ca="1">IF(AC707=0,0,IF(AC707=12,0,OFFSET(effect!$N$1,MATCH(K707,effect!M:M,0)-1,0)))</f>
        <v>kpsx_pt</v>
      </c>
    </row>
    <row r="708" ht="21" customHeight="1" spans="1:42">
      <c r="A708" s="153">
        <f ca="1" t="shared" si="109"/>
        <v>1403013</v>
      </c>
      <c r="B708" s="91" t="s">
        <v>681</v>
      </c>
      <c r="C708" s="186">
        <v>1</v>
      </c>
      <c r="D708" s="186">
        <v>5</v>
      </c>
      <c r="E708" s="165" t="s">
        <v>1050</v>
      </c>
      <c r="F708" s="165" t="str">
        <f>"上一招为拳法时，增加"&amp;skill!$O$57/100&amp;"%伤害"</f>
        <v>上一招为拳法时，增加50%伤害</v>
      </c>
      <c r="G708" s="186">
        <f ca="1">OFFSET(卡牌辅助配置表!$C$1,MATCH(AC708,卡牌辅助配置表!A:A,0)-1,0)</f>
        <v>3</v>
      </c>
      <c r="H708" s="186">
        <f ca="1">OFFSET(skill!$Q$1,MATCH(B708,skill!B:B,0)-1,0)</f>
        <v>0.666666666666667</v>
      </c>
      <c r="I708" s="186"/>
      <c r="J708" s="186">
        <f ca="1">OFFSET(card_type!$F$1,MATCH(Q708,card_type!A:A,0)-1,0)</f>
        <v>4</v>
      </c>
      <c r="K708" s="243">
        <f ca="1">OFFSET(card_type!$G$1,MATCH(Q708,card_type!A:A,0)-1,0)</f>
        <v>2</v>
      </c>
      <c r="L708" s="157">
        <v>2</v>
      </c>
      <c r="M708" s="157">
        <v>2</v>
      </c>
      <c r="N708" s="153">
        <f t="shared" si="110"/>
        <v>13</v>
      </c>
      <c r="O708" s="157"/>
      <c r="P708" s="157"/>
      <c r="Q708" s="153">
        <f ca="1">OFFSET(card_type!$A$1,MATCH(card!B708,card_type!B:B,0)-1,0)</f>
        <v>1403</v>
      </c>
      <c r="R708" s="153">
        <v>1</v>
      </c>
      <c r="S708" s="157">
        <f ca="1">ROUND(IF(R708=0,0,IF(R708=1,X708*$S$1,IF(R708=2,X708*$S$1*buff的资质计算!$E$2,IF(R708=3,X708*$S$1*buff的资质计算!$E$3,0)))),0)*0</f>
        <v>0</v>
      </c>
      <c r="T708" s="153">
        <v>1</v>
      </c>
      <c r="U708" s="153">
        <f ca="1" t="shared" si="111"/>
        <v>42</v>
      </c>
      <c r="V708" s="153">
        <f ca="1">ROUND((OFFSET(卡牌辅助配置表!$O$1,MATCH(U708,卡牌辅助配置表!M:M,0)-1,0)+(N708-1)*OFFSET(卡牌辅助配置表!$P$1,MATCH(U708,卡牌辅助配置表!M:M,0)-1,0))*M708,2)</f>
        <v>131.85</v>
      </c>
      <c r="W708" s="157">
        <f ca="1">ROUND(IF(R708=0,0,IF(R708=1,X708*$W$1,IF(R708=2,X708*$W$1*buff的资质计算!$E$2,IF(R708=3,X708*$W$1*buff的资质计算!$E$3,0)))),2)</f>
        <v>17.1</v>
      </c>
      <c r="X708" s="157">
        <f ca="1" t="shared" si="112"/>
        <v>57</v>
      </c>
      <c r="Y708" s="157">
        <f ca="1" t="shared" si="117"/>
        <v>57.6666666666667</v>
      </c>
      <c r="Z708" s="304">
        <f ca="1" t="shared" si="113"/>
        <v>28.8333333333333</v>
      </c>
      <c r="AA708" s="304">
        <f ca="1">OFFSET(卡牌辅助配置表!$AD$1,MATCH(AB708,卡牌辅助配置表!AB:AB,0)-1,0)</f>
        <v>6670</v>
      </c>
      <c r="AB708" s="304">
        <f ca="1" t="shared" si="114"/>
        <v>4213</v>
      </c>
      <c r="AC708" s="153">
        <v>3</v>
      </c>
      <c r="AE708" s="153">
        <v>1</v>
      </c>
      <c r="AF708" s="153" t="str">
        <f ca="1" t="shared" si="118"/>
        <v>14030011|</v>
      </c>
      <c r="AJ708" s="205" t="str">
        <f ca="1" t="shared" si="115"/>
        <v>400023|5850|;</v>
      </c>
      <c r="AK708" s="205">
        <f ca="1">OFFSET([1]item_type!$A$1,MATCH(Q708,[1]item_type!$G:$G,0)-1,0)</f>
        <v>301403</v>
      </c>
      <c r="AL708" s="205"/>
      <c r="AM708" s="205">
        <f ca="1">IF(B708=B709,OFFSET(卡牌辅助配置表!$AE$1,MATCH(AB708,卡牌辅助配置表!AB:AB,0),0),0)</f>
        <v>5850</v>
      </c>
      <c r="AN708" s="153">
        <f ca="1" t="shared" si="116"/>
        <v>1403014</v>
      </c>
      <c r="AP708" s="153" t="str">
        <f ca="1">IF(AC708=0,0,IF(AC708=12,0,OFFSET(effect!$N$1,MATCH(K708,effect!M:M,0)-1,0)))</f>
        <v>kpsx_pt</v>
      </c>
    </row>
    <row r="709" ht="21" customHeight="1" spans="1:42">
      <c r="A709" s="153">
        <f ca="1" t="shared" si="109"/>
        <v>1403014</v>
      </c>
      <c r="B709" s="91" t="s">
        <v>681</v>
      </c>
      <c r="C709" s="186">
        <v>1</v>
      </c>
      <c r="D709" s="186">
        <v>5</v>
      </c>
      <c r="E709" s="165" t="s">
        <v>1050</v>
      </c>
      <c r="F709" s="165" t="str">
        <f>"上一招为拳法时，增加"&amp;skill!$O$57/100&amp;"%伤害"</f>
        <v>上一招为拳法时，增加50%伤害</v>
      </c>
      <c r="G709" s="186">
        <f ca="1">OFFSET(卡牌辅助配置表!$C$1,MATCH(AC709,卡牌辅助配置表!A:A,0)-1,0)</f>
        <v>3</v>
      </c>
      <c r="H709" s="186">
        <f ca="1">OFFSET(skill!$Q$1,MATCH(B709,skill!B:B,0)-1,0)</f>
        <v>0.666666666666667</v>
      </c>
      <c r="I709" s="186"/>
      <c r="J709" s="186">
        <f ca="1">OFFSET(card_type!$F$1,MATCH(Q709,card_type!A:A,0)-1,0)</f>
        <v>4</v>
      </c>
      <c r="K709" s="243">
        <f ca="1">OFFSET(card_type!$G$1,MATCH(Q709,card_type!A:A,0)-1,0)</f>
        <v>2</v>
      </c>
      <c r="L709" s="157">
        <v>2</v>
      </c>
      <c r="M709" s="157">
        <v>2</v>
      </c>
      <c r="N709" s="153">
        <f t="shared" si="110"/>
        <v>14</v>
      </c>
      <c r="O709" s="157"/>
      <c r="P709" s="157"/>
      <c r="Q709" s="153">
        <f ca="1">OFFSET(card_type!$A$1,MATCH(card!B709,card_type!B:B,0)-1,0)</f>
        <v>1403</v>
      </c>
      <c r="R709" s="153">
        <v>1</v>
      </c>
      <c r="S709" s="157">
        <f ca="1">ROUND(IF(R709=0,0,IF(R709=1,X709*$S$1,IF(R709=2,X709*$S$1*buff的资质计算!$E$2,IF(R709=3,X709*$S$1*buff的资质计算!$E$3,0)))),0)*0</f>
        <v>0</v>
      </c>
      <c r="T709" s="153">
        <v>1</v>
      </c>
      <c r="U709" s="153">
        <f ca="1" t="shared" si="111"/>
        <v>42</v>
      </c>
      <c r="V709" s="153">
        <f ca="1">ROUND((OFFSET(卡牌辅助配置表!$O$1,MATCH(U709,卡牌辅助配置表!M:M,0)-1,0)+(N709-1)*OFFSET(卡牌辅助配置表!$P$1,MATCH(U709,卡牌辅助配置表!M:M,0)-1,0))*M709,2)</f>
        <v>139.15</v>
      </c>
      <c r="W709" s="157">
        <f ca="1">ROUND(IF(R709=0,0,IF(R709=1,X709*$W$1,IF(R709=2,X709*$W$1*buff的资质计算!$E$2,IF(R709=3,X709*$W$1*buff的资质计算!$E$3,0)))),2)</f>
        <v>17.25</v>
      </c>
      <c r="X709" s="157">
        <f ca="1" t="shared" si="112"/>
        <v>57.5</v>
      </c>
      <c r="Y709" s="157">
        <f ca="1" t="shared" si="117"/>
        <v>58.1666666666667</v>
      </c>
      <c r="Z709" s="304">
        <f ca="1" t="shared" si="113"/>
        <v>29.0833333333333</v>
      </c>
      <c r="AA709" s="304">
        <f ca="1">OFFSET(卡牌辅助配置表!$AD$1,MATCH(AB709,卡牌辅助配置表!AB:AB,0)-1,0)</f>
        <v>7360</v>
      </c>
      <c r="AB709" s="304">
        <f ca="1" t="shared" si="114"/>
        <v>4214</v>
      </c>
      <c r="AC709" s="153">
        <v>3</v>
      </c>
      <c r="AE709" s="153">
        <v>1</v>
      </c>
      <c r="AF709" s="153" t="str">
        <f ca="1" t="shared" si="118"/>
        <v>14030011|</v>
      </c>
      <c r="AJ709" s="205" t="str">
        <f ca="1" t="shared" si="115"/>
        <v>400023|6450|;</v>
      </c>
      <c r="AK709" s="205">
        <f ca="1">OFFSET([1]item_type!$A$1,MATCH(Q709,[1]item_type!$G:$G,0)-1,0)</f>
        <v>301403</v>
      </c>
      <c r="AL709" s="205"/>
      <c r="AM709" s="205">
        <f ca="1">IF(B709=B710,OFFSET(卡牌辅助配置表!$AE$1,MATCH(AB709,卡牌辅助配置表!AB:AB,0),0),0)</f>
        <v>6450</v>
      </c>
      <c r="AN709" s="153">
        <f ca="1" t="shared" si="116"/>
        <v>1403015</v>
      </c>
      <c r="AP709" s="153" t="str">
        <f ca="1">IF(AC709=0,0,IF(AC709=12,0,OFFSET(effect!$N$1,MATCH(K709,effect!M:M,0)-1,0)))</f>
        <v>kpsx_pt</v>
      </c>
    </row>
    <row r="710" ht="21" customHeight="1" spans="1:42">
      <c r="A710" s="153">
        <f ca="1" t="shared" ref="A710:A773" si="119">Q710*1000+N710</f>
        <v>1403015</v>
      </c>
      <c r="B710" s="91" t="s">
        <v>681</v>
      </c>
      <c r="C710" s="186">
        <v>1</v>
      </c>
      <c r="D710" s="186">
        <v>5</v>
      </c>
      <c r="E710" s="165" t="s">
        <v>1050</v>
      </c>
      <c r="F710" s="165" t="str">
        <f>"上一招为拳法时，增加"&amp;skill!$O$57/100&amp;"%伤害"</f>
        <v>上一招为拳法时，增加50%伤害</v>
      </c>
      <c r="G710" s="186">
        <f ca="1">OFFSET(卡牌辅助配置表!$C$1,MATCH(AC710,卡牌辅助配置表!A:A,0)-1,0)</f>
        <v>3</v>
      </c>
      <c r="H710" s="186">
        <f ca="1">OFFSET(skill!$Q$1,MATCH(B710,skill!B:B,0)-1,0)</f>
        <v>0.666666666666667</v>
      </c>
      <c r="I710" s="186"/>
      <c r="J710" s="186">
        <f ca="1">OFFSET(card_type!$F$1,MATCH(Q710,card_type!A:A,0)-1,0)</f>
        <v>4</v>
      </c>
      <c r="K710" s="243">
        <f ca="1">OFFSET(card_type!$G$1,MATCH(Q710,card_type!A:A,0)-1,0)</f>
        <v>2</v>
      </c>
      <c r="L710" s="157">
        <v>2</v>
      </c>
      <c r="M710" s="157">
        <v>2</v>
      </c>
      <c r="N710" s="153">
        <f t="shared" ref="N710:N755" si="120">IF(B709=B710,N709+1,1)</f>
        <v>15</v>
      </c>
      <c r="O710" s="157"/>
      <c r="P710" s="157"/>
      <c r="Q710" s="153">
        <f ca="1">OFFSET(card_type!$A$1,MATCH(card!B710,card_type!B:B,0)-1,0)</f>
        <v>1403</v>
      </c>
      <c r="R710" s="153">
        <v>1</v>
      </c>
      <c r="S710" s="157">
        <f ca="1">ROUND(IF(R710=0,0,IF(R710=1,X710*$S$1,IF(R710=2,X710*$S$1*buff的资质计算!$E$2,IF(R710=3,X710*$S$1*buff的资质计算!$E$3,0)))),0)*0</f>
        <v>0</v>
      </c>
      <c r="T710" s="153">
        <v>1</v>
      </c>
      <c r="U710" s="153">
        <f ca="1" t="shared" ref="U710:U773" si="121">J710*10+K710</f>
        <v>42</v>
      </c>
      <c r="V710" s="153">
        <f ca="1">ROUND((OFFSET(卡牌辅助配置表!$O$1,MATCH(U710,卡牌辅助配置表!M:M,0)-1,0)+(N710-1)*OFFSET(卡牌辅助配置表!$P$1,MATCH(U710,卡牌辅助配置表!M:M,0)-1,0))*M710,2)</f>
        <v>146.45</v>
      </c>
      <c r="W710" s="157">
        <f ca="1">ROUND(IF(R710=0,0,IF(R710=1,X710*$W$1,IF(R710=2,X710*$W$1*buff的资质计算!$E$2,IF(R710=3,X710*$W$1*buff的资质计算!$E$3,0)))),2)</f>
        <v>17.4</v>
      </c>
      <c r="X710" s="157">
        <f ca="1" t="shared" ref="X710:X726" si="122">M710*($M$1+(J710-1)*$J$1+(K710-1)*$K$1)+G710+$J$1*(N710-1)/$N$1</f>
        <v>58</v>
      </c>
      <c r="Y710" s="157">
        <f ca="1" t="shared" si="117"/>
        <v>58.6666666666667</v>
      </c>
      <c r="Z710" s="304">
        <f ca="1" t="shared" ref="Z710:Z726" si="123">Y710/M710</f>
        <v>29.3333333333333</v>
      </c>
      <c r="AA710" s="304">
        <f ca="1">OFFSET(卡牌辅助配置表!$AD$1,MATCH(AB710,卡牌辅助配置表!AB:AB,0)-1,0)</f>
        <v>8050</v>
      </c>
      <c r="AB710" s="304">
        <f ca="1" t="shared" ref="AB710:AB773" si="124">J710*1000+K710*100+N710</f>
        <v>4215</v>
      </c>
      <c r="AC710" s="153">
        <v>3</v>
      </c>
      <c r="AE710" s="153">
        <v>1</v>
      </c>
      <c r="AF710" s="153" t="str">
        <f ca="1" t="shared" si="118"/>
        <v>14030011|</v>
      </c>
      <c r="AJ710" s="205" t="str">
        <f ca="1" t="shared" ref="AJ710:AJ773" si="125">IF(AN710=0,0,IF(AL710=0,$AM$1&amp;$AF$1&amp;AM710&amp;$AF$1&amp;$AJ$1,AK710&amp;$AF$1&amp;AL710&amp;$AF$1&amp;$AJ$1&amp;$AM$1&amp;$AF$1&amp;AM710&amp;$AF$1&amp;$AJ$1))</f>
        <v>400023|7050|;</v>
      </c>
      <c r="AK710" s="205">
        <f ca="1">OFFSET([1]item_type!$A$1,MATCH(Q710,[1]item_type!$G:$G,0)-1,0)</f>
        <v>301403</v>
      </c>
      <c r="AL710" s="205"/>
      <c r="AM710" s="205">
        <f ca="1">IF(B710=B711,OFFSET(卡牌辅助配置表!$AE$1,MATCH(AB710,卡牌辅助配置表!AB:AB,0),0),0)</f>
        <v>7050</v>
      </c>
      <c r="AN710" s="153">
        <f ca="1" t="shared" ref="AN710:AN773" si="126">IF(B710=B711,A710+1,0)</f>
        <v>1403016</v>
      </c>
      <c r="AP710" s="153" t="str">
        <f ca="1">IF(AC710=0,0,IF(AC710=12,0,OFFSET(effect!$N$1,MATCH(K710,effect!M:M,0)-1,0)))</f>
        <v>kpsx_pt</v>
      </c>
    </row>
    <row r="711" ht="21" customHeight="1" spans="1:42">
      <c r="A711" s="153">
        <f ca="1" t="shared" si="119"/>
        <v>1403016</v>
      </c>
      <c r="B711" s="91" t="s">
        <v>681</v>
      </c>
      <c r="C711" s="186">
        <v>1</v>
      </c>
      <c r="D711" s="186">
        <v>5</v>
      </c>
      <c r="E711" s="165" t="s">
        <v>1050</v>
      </c>
      <c r="F711" s="165" t="str">
        <f>"上一招为拳法时，增加"&amp;skill!$O$57/100&amp;"%伤害"</f>
        <v>上一招为拳法时，增加50%伤害</v>
      </c>
      <c r="G711" s="186">
        <f ca="1">OFFSET(卡牌辅助配置表!$C$1,MATCH(AC711,卡牌辅助配置表!A:A,0)-1,0)</f>
        <v>3</v>
      </c>
      <c r="H711" s="186">
        <f ca="1">OFFSET(skill!$Q$1,MATCH(B711,skill!B:B,0)-1,0)</f>
        <v>0.666666666666667</v>
      </c>
      <c r="I711" s="186"/>
      <c r="J711" s="186">
        <f ca="1">OFFSET(card_type!$F$1,MATCH(Q711,card_type!A:A,0)-1,0)</f>
        <v>4</v>
      </c>
      <c r="K711" s="243">
        <f ca="1">OFFSET(card_type!$G$1,MATCH(Q711,card_type!A:A,0)-1,0)</f>
        <v>2</v>
      </c>
      <c r="L711" s="157">
        <v>2</v>
      </c>
      <c r="M711" s="157">
        <v>2</v>
      </c>
      <c r="N711" s="153">
        <f t="shared" si="120"/>
        <v>16</v>
      </c>
      <c r="O711" s="157"/>
      <c r="P711" s="157"/>
      <c r="Q711" s="153">
        <f ca="1">OFFSET(card_type!$A$1,MATCH(card!B711,card_type!B:B,0)-1,0)</f>
        <v>1403</v>
      </c>
      <c r="R711" s="153">
        <v>1</v>
      </c>
      <c r="S711" s="157">
        <f ca="1">ROUND(IF(R711=0,0,IF(R711=1,X711*$S$1,IF(R711=2,X711*$S$1*buff的资质计算!$E$2,IF(R711=3,X711*$S$1*buff的资质计算!$E$3,0)))),0)*0</f>
        <v>0</v>
      </c>
      <c r="T711" s="153">
        <v>1</v>
      </c>
      <c r="U711" s="153">
        <f ca="1" t="shared" si="121"/>
        <v>42</v>
      </c>
      <c r="V711" s="153">
        <f ca="1">ROUND((OFFSET(卡牌辅助配置表!$O$1,MATCH(U711,卡牌辅助配置表!M:M,0)-1,0)+(N711-1)*OFFSET(卡牌辅助配置表!$P$1,MATCH(U711,卡牌辅助配置表!M:M,0)-1,0))*M711,2)</f>
        <v>153.75</v>
      </c>
      <c r="W711" s="157">
        <f ca="1">ROUND(IF(R711=0,0,IF(R711=1,X711*$W$1,IF(R711=2,X711*$W$1*buff的资质计算!$E$2,IF(R711=3,X711*$W$1*buff的资质计算!$E$3,0)))),2)</f>
        <v>17.55</v>
      </c>
      <c r="X711" s="157">
        <f ca="1" t="shared" si="122"/>
        <v>58.5</v>
      </c>
      <c r="Y711" s="157">
        <f ca="1" t="shared" si="117"/>
        <v>59.1666666666667</v>
      </c>
      <c r="Z711" s="304">
        <f ca="1" t="shared" si="123"/>
        <v>29.5833333333333</v>
      </c>
      <c r="AA711" s="304">
        <f ca="1">OFFSET(卡牌辅助配置表!$AD$1,MATCH(AB711,卡牌辅助配置表!AB:AB,0)-1,0)</f>
        <v>8740</v>
      </c>
      <c r="AB711" s="304">
        <f ca="1" t="shared" si="124"/>
        <v>4216</v>
      </c>
      <c r="AC711" s="153">
        <v>3</v>
      </c>
      <c r="AE711" s="153">
        <v>1</v>
      </c>
      <c r="AF711" s="153" t="str">
        <f ca="1" t="shared" si="118"/>
        <v>14030011|</v>
      </c>
      <c r="AJ711" s="205" t="str">
        <f ca="1" t="shared" si="125"/>
        <v>400023|7650|;</v>
      </c>
      <c r="AK711" s="205">
        <f ca="1">OFFSET([1]item_type!$A$1,MATCH(Q711,[1]item_type!$G:$G,0)-1,0)</f>
        <v>301403</v>
      </c>
      <c r="AL711" s="205"/>
      <c r="AM711" s="205">
        <f ca="1">IF(B711=B712,OFFSET(卡牌辅助配置表!$AE$1,MATCH(AB711,卡牌辅助配置表!AB:AB,0),0),0)</f>
        <v>7650</v>
      </c>
      <c r="AN711" s="153">
        <f ca="1" t="shared" si="126"/>
        <v>1403017</v>
      </c>
      <c r="AP711" s="153" t="str">
        <f ca="1">IF(AC711=0,0,IF(AC711=12,0,OFFSET(effect!$N$1,MATCH(K711,effect!M:M,0)-1,0)))</f>
        <v>kpsx_pt</v>
      </c>
    </row>
    <row r="712" ht="21" customHeight="1" spans="1:42">
      <c r="A712" s="153">
        <f ca="1" t="shared" si="119"/>
        <v>1403017</v>
      </c>
      <c r="B712" s="91" t="s">
        <v>681</v>
      </c>
      <c r="C712" s="186">
        <v>1</v>
      </c>
      <c r="D712" s="186">
        <v>5</v>
      </c>
      <c r="E712" s="165" t="s">
        <v>1050</v>
      </c>
      <c r="F712" s="165" t="str">
        <f>"上一招为拳法时，增加"&amp;skill!$O$57/100&amp;"%伤害"</f>
        <v>上一招为拳法时，增加50%伤害</v>
      </c>
      <c r="G712" s="186">
        <f ca="1">OFFSET(卡牌辅助配置表!$C$1,MATCH(AC712,卡牌辅助配置表!A:A,0)-1,0)</f>
        <v>3</v>
      </c>
      <c r="H712" s="186">
        <f ca="1">OFFSET(skill!$Q$1,MATCH(B712,skill!B:B,0)-1,0)</f>
        <v>0.666666666666667</v>
      </c>
      <c r="I712" s="186"/>
      <c r="J712" s="186">
        <f ca="1">OFFSET(card_type!$F$1,MATCH(Q712,card_type!A:A,0)-1,0)</f>
        <v>4</v>
      </c>
      <c r="K712" s="243">
        <f ca="1">OFFSET(card_type!$G$1,MATCH(Q712,card_type!A:A,0)-1,0)</f>
        <v>2</v>
      </c>
      <c r="L712" s="157">
        <v>2</v>
      </c>
      <c r="M712" s="157">
        <v>2</v>
      </c>
      <c r="N712" s="153">
        <f t="shared" si="120"/>
        <v>17</v>
      </c>
      <c r="O712" s="157"/>
      <c r="P712" s="157"/>
      <c r="Q712" s="153">
        <f ca="1">OFFSET(card_type!$A$1,MATCH(card!B712,card_type!B:B,0)-1,0)</f>
        <v>1403</v>
      </c>
      <c r="R712" s="153">
        <v>1</v>
      </c>
      <c r="S712" s="157">
        <f ca="1">ROUND(IF(R712=0,0,IF(R712=1,X712*$S$1,IF(R712=2,X712*$S$1*buff的资质计算!$E$2,IF(R712=3,X712*$S$1*buff的资质计算!$E$3,0)))),0)*0</f>
        <v>0</v>
      </c>
      <c r="T712" s="153">
        <v>1</v>
      </c>
      <c r="U712" s="153">
        <f ca="1" t="shared" si="121"/>
        <v>42</v>
      </c>
      <c r="V712" s="153">
        <f ca="1">ROUND((OFFSET(卡牌辅助配置表!$O$1,MATCH(U712,卡牌辅助配置表!M:M,0)-1,0)+(N712-1)*OFFSET(卡牌辅助配置表!$P$1,MATCH(U712,卡牌辅助配置表!M:M,0)-1,0))*M712,2)</f>
        <v>161.05</v>
      </c>
      <c r="W712" s="157">
        <f ca="1">ROUND(IF(R712=0,0,IF(R712=1,X712*$W$1,IF(R712=2,X712*$W$1*buff的资质计算!$E$2,IF(R712=3,X712*$W$1*buff的资质计算!$E$3,0)))),2)</f>
        <v>17.7</v>
      </c>
      <c r="X712" s="157">
        <f ca="1" t="shared" si="122"/>
        <v>59</v>
      </c>
      <c r="Y712" s="157">
        <f ca="1" t="shared" si="117"/>
        <v>59.6666666666667</v>
      </c>
      <c r="Z712" s="304">
        <f ca="1" t="shared" si="123"/>
        <v>29.8333333333333</v>
      </c>
      <c r="AA712" s="304">
        <f ca="1">OFFSET(卡牌辅助配置表!$AD$1,MATCH(AB712,卡牌辅助配置表!AB:AB,0)-1,0)</f>
        <v>9430</v>
      </c>
      <c r="AB712" s="304">
        <f ca="1" t="shared" si="124"/>
        <v>4217</v>
      </c>
      <c r="AC712" s="153">
        <v>3</v>
      </c>
      <c r="AE712" s="153">
        <v>1</v>
      </c>
      <c r="AF712" s="153" t="str">
        <f ca="1" t="shared" si="118"/>
        <v>14030011|</v>
      </c>
      <c r="AJ712" s="205" t="str">
        <f ca="1" t="shared" si="125"/>
        <v>400023|8250|;</v>
      </c>
      <c r="AK712" s="205">
        <f ca="1">OFFSET([1]item_type!$A$1,MATCH(Q712,[1]item_type!$G:$G,0)-1,0)</f>
        <v>301403</v>
      </c>
      <c r="AL712" s="205"/>
      <c r="AM712" s="205">
        <f ca="1">IF(B712=B713,OFFSET(卡牌辅助配置表!$AE$1,MATCH(AB712,卡牌辅助配置表!AB:AB,0),0),0)</f>
        <v>8250</v>
      </c>
      <c r="AN712" s="153">
        <f ca="1" t="shared" si="126"/>
        <v>1403018</v>
      </c>
      <c r="AP712" s="153" t="str">
        <f ca="1">IF(AC712=0,0,IF(AC712=12,0,OFFSET(effect!$N$1,MATCH(K712,effect!M:M,0)-1,0)))</f>
        <v>kpsx_pt</v>
      </c>
    </row>
    <row r="713" ht="21" customHeight="1" spans="1:42">
      <c r="A713" s="153">
        <f ca="1" t="shared" si="119"/>
        <v>1403018</v>
      </c>
      <c r="B713" s="91" t="s">
        <v>681</v>
      </c>
      <c r="C713" s="186">
        <v>1</v>
      </c>
      <c r="D713" s="186">
        <v>5</v>
      </c>
      <c r="E713" s="165" t="s">
        <v>1050</v>
      </c>
      <c r="F713" s="165" t="str">
        <f>"上一招为拳法时，增加"&amp;skill!$O$57/100&amp;"%伤害"</f>
        <v>上一招为拳法时，增加50%伤害</v>
      </c>
      <c r="G713" s="186">
        <f ca="1">OFFSET(卡牌辅助配置表!$C$1,MATCH(AC713,卡牌辅助配置表!A:A,0)-1,0)</f>
        <v>3</v>
      </c>
      <c r="H713" s="186">
        <f ca="1">OFFSET(skill!$Q$1,MATCH(B713,skill!B:B,0)-1,0)</f>
        <v>0.666666666666667</v>
      </c>
      <c r="I713" s="186"/>
      <c r="J713" s="186">
        <f ca="1">OFFSET(card_type!$F$1,MATCH(Q713,card_type!A:A,0)-1,0)</f>
        <v>4</v>
      </c>
      <c r="K713" s="243">
        <f ca="1">OFFSET(card_type!$G$1,MATCH(Q713,card_type!A:A,0)-1,0)</f>
        <v>2</v>
      </c>
      <c r="L713" s="157">
        <v>2</v>
      </c>
      <c r="M713" s="157">
        <v>2</v>
      </c>
      <c r="N713" s="153">
        <f t="shared" si="120"/>
        <v>18</v>
      </c>
      <c r="O713" s="157"/>
      <c r="P713" s="157"/>
      <c r="Q713" s="153">
        <f ca="1">OFFSET(card_type!$A$1,MATCH(card!B713,card_type!B:B,0)-1,0)</f>
        <v>1403</v>
      </c>
      <c r="R713" s="153">
        <v>1</v>
      </c>
      <c r="S713" s="157">
        <f ca="1">ROUND(IF(R713=0,0,IF(R713=1,X713*$S$1,IF(R713=2,X713*$S$1*buff的资质计算!$E$2,IF(R713=3,X713*$S$1*buff的资质计算!$E$3,0)))),0)*0</f>
        <v>0</v>
      </c>
      <c r="T713" s="153">
        <v>1</v>
      </c>
      <c r="U713" s="153">
        <f ca="1" t="shared" si="121"/>
        <v>42</v>
      </c>
      <c r="V713" s="153">
        <f ca="1">ROUND((OFFSET(卡牌辅助配置表!$O$1,MATCH(U713,卡牌辅助配置表!M:M,0)-1,0)+(N713-1)*OFFSET(卡牌辅助配置表!$P$1,MATCH(U713,卡牌辅助配置表!M:M,0)-1,0))*M713,2)</f>
        <v>168.35</v>
      </c>
      <c r="W713" s="157">
        <f ca="1">ROUND(IF(R713=0,0,IF(R713=1,X713*$W$1,IF(R713=2,X713*$W$1*buff的资质计算!$E$2,IF(R713=3,X713*$W$1*buff的资质计算!$E$3,0)))),2)</f>
        <v>17.85</v>
      </c>
      <c r="X713" s="157">
        <f ca="1" t="shared" si="122"/>
        <v>59.5</v>
      </c>
      <c r="Y713" s="157">
        <f ca="1" t="shared" si="117"/>
        <v>60.1666666666667</v>
      </c>
      <c r="Z713" s="304">
        <f ca="1" t="shared" si="123"/>
        <v>30.0833333333333</v>
      </c>
      <c r="AA713" s="304">
        <f ca="1">OFFSET(卡牌辅助配置表!$AD$1,MATCH(AB713,卡牌辅助配置表!AB:AB,0)-1,0)</f>
        <v>10120</v>
      </c>
      <c r="AB713" s="304">
        <f ca="1" t="shared" si="124"/>
        <v>4218</v>
      </c>
      <c r="AC713" s="153">
        <v>3</v>
      </c>
      <c r="AE713" s="153">
        <v>1</v>
      </c>
      <c r="AF713" s="153" t="str">
        <f ca="1" t="shared" si="118"/>
        <v>14030011|</v>
      </c>
      <c r="AJ713" s="205" t="str">
        <f ca="1" t="shared" si="125"/>
        <v>400023|8850|;</v>
      </c>
      <c r="AK713" s="205">
        <f ca="1">OFFSET([1]item_type!$A$1,MATCH(Q713,[1]item_type!$G:$G,0)-1,0)</f>
        <v>301403</v>
      </c>
      <c r="AL713" s="205"/>
      <c r="AM713" s="205">
        <f ca="1">IF(B713=B714,OFFSET(卡牌辅助配置表!$AE$1,MATCH(AB713,卡牌辅助配置表!AB:AB,0),0),0)</f>
        <v>8850</v>
      </c>
      <c r="AN713" s="153">
        <f ca="1" t="shared" si="126"/>
        <v>1403019</v>
      </c>
      <c r="AP713" s="153" t="str">
        <f ca="1">IF(AC713=0,0,IF(AC713=12,0,OFFSET(effect!$N$1,MATCH(K713,effect!M:M,0)-1,0)))</f>
        <v>kpsx_pt</v>
      </c>
    </row>
    <row r="714" ht="21" customHeight="1" spans="1:42">
      <c r="A714" s="153">
        <f ca="1" t="shared" si="119"/>
        <v>1403019</v>
      </c>
      <c r="B714" s="91" t="s">
        <v>681</v>
      </c>
      <c r="C714" s="186">
        <v>1</v>
      </c>
      <c r="D714" s="186">
        <v>5</v>
      </c>
      <c r="E714" s="165" t="s">
        <v>1050</v>
      </c>
      <c r="F714" s="165" t="str">
        <f>"上一招为拳法时，增加"&amp;skill!$O$57/100&amp;"%伤害"</f>
        <v>上一招为拳法时，增加50%伤害</v>
      </c>
      <c r="G714" s="186">
        <f ca="1">OFFSET(卡牌辅助配置表!$C$1,MATCH(AC714,卡牌辅助配置表!A:A,0)-1,0)</f>
        <v>3</v>
      </c>
      <c r="H714" s="186">
        <f ca="1">OFFSET(skill!$Q$1,MATCH(B714,skill!B:B,0)-1,0)</f>
        <v>0.666666666666667</v>
      </c>
      <c r="I714" s="186"/>
      <c r="J714" s="186">
        <f ca="1">OFFSET(card_type!$F$1,MATCH(Q714,card_type!A:A,0)-1,0)</f>
        <v>4</v>
      </c>
      <c r="K714" s="243">
        <f ca="1">OFFSET(card_type!$G$1,MATCH(Q714,card_type!A:A,0)-1,0)</f>
        <v>2</v>
      </c>
      <c r="L714" s="157">
        <v>2</v>
      </c>
      <c r="M714" s="157">
        <v>2</v>
      </c>
      <c r="N714" s="153">
        <f t="shared" si="120"/>
        <v>19</v>
      </c>
      <c r="O714" s="157"/>
      <c r="P714" s="157"/>
      <c r="Q714" s="153">
        <f ca="1">OFFSET(card_type!$A$1,MATCH(card!B714,card_type!B:B,0)-1,0)</f>
        <v>1403</v>
      </c>
      <c r="R714" s="153">
        <v>1</v>
      </c>
      <c r="S714" s="157">
        <f ca="1">ROUND(IF(R714=0,0,IF(R714=1,X714*$S$1,IF(R714=2,X714*$S$1*buff的资质计算!$E$2,IF(R714=3,X714*$S$1*buff的资质计算!$E$3,0)))),0)*0</f>
        <v>0</v>
      </c>
      <c r="T714" s="153">
        <v>1</v>
      </c>
      <c r="U714" s="153">
        <f ca="1" t="shared" si="121"/>
        <v>42</v>
      </c>
      <c r="V714" s="153">
        <f ca="1">ROUND((OFFSET(卡牌辅助配置表!$O$1,MATCH(U714,卡牌辅助配置表!M:M,0)-1,0)+(N714-1)*OFFSET(卡牌辅助配置表!$P$1,MATCH(U714,卡牌辅助配置表!M:M,0)-1,0))*M714,2)</f>
        <v>175.65</v>
      </c>
      <c r="W714" s="157">
        <f ca="1">ROUND(IF(R714=0,0,IF(R714=1,X714*$W$1,IF(R714=2,X714*$W$1*buff的资质计算!$E$2,IF(R714=3,X714*$W$1*buff的资质计算!$E$3,0)))),2)</f>
        <v>18</v>
      </c>
      <c r="X714" s="157">
        <f ca="1" t="shared" si="122"/>
        <v>60</v>
      </c>
      <c r="Y714" s="157">
        <f ca="1" t="shared" si="117"/>
        <v>60.6666666666667</v>
      </c>
      <c r="Z714" s="304">
        <f ca="1" t="shared" si="123"/>
        <v>30.3333333333333</v>
      </c>
      <c r="AA714" s="304">
        <f ca="1">OFFSET(卡牌辅助配置表!$AD$1,MATCH(AB714,卡牌辅助配置表!AB:AB,0)-1,0)</f>
        <v>10810</v>
      </c>
      <c r="AB714" s="304">
        <f ca="1" t="shared" si="124"/>
        <v>4219</v>
      </c>
      <c r="AC714" s="153">
        <v>3</v>
      </c>
      <c r="AE714" s="153">
        <v>1</v>
      </c>
      <c r="AF714" s="153" t="str">
        <f ca="1" t="shared" si="118"/>
        <v>14030011|</v>
      </c>
      <c r="AJ714" s="205" t="str">
        <f ca="1" t="shared" si="125"/>
        <v>301403|20|;400023|9450|;</v>
      </c>
      <c r="AK714" s="205">
        <f ca="1">OFFSET([1]item_type!$A$1,MATCH(Q714,[1]item_type!$G:$G,0)-1,0)</f>
        <v>301403</v>
      </c>
      <c r="AL714" s="205">
        <v>20</v>
      </c>
      <c r="AM714" s="205">
        <f ca="1">IF(B714=B715,OFFSET(卡牌辅助配置表!$AE$1,MATCH(AB714,卡牌辅助配置表!AB:AB,0),0),0)</f>
        <v>9450</v>
      </c>
      <c r="AN714" s="153">
        <f ca="1" t="shared" si="126"/>
        <v>1403020</v>
      </c>
      <c r="AP714" s="153" t="str">
        <f ca="1">IF(AC714=0,0,IF(AC714=12,0,OFFSET(effect!$N$1,MATCH(K714,effect!M:M,0)-1,0)))</f>
        <v>kpsx_pt</v>
      </c>
    </row>
    <row r="715" ht="21" customHeight="1" spans="1:42">
      <c r="A715" s="153">
        <f ca="1" t="shared" si="119"/>
        <v>1403020</v>
      </c>
      <c r="B715" s="91" t="s">
        <v>681</v>
      </c>
      <c r="C715" s="186">
        <v>1</v>
      </c>
      <c r="D715" s="186">
        <v>5</v>
      </c>
      <c r="E715" s="165" t="s">
        <v>1050</v>
      </c>
      <c r="F715" s="165" t="str">
        <f>"上一招为拳法时，增加"&amp;skill!$O$57/100&amp;"%伤害"</f>
        <v>上一招为拳法时，增加50%伤害</v>
      </c>
      <c r="G715" s="186">
        <f ca="1">OFFSET(卡牌辅助配置表!$C$1,MATCH(AC715,卡牌辅助配置表!A:A,0)-1,0)</f>
        <v>3</v>
      </c>
      <c r="H715" s="186">
        <f ca="1">OFFSET(skill!$Q$1,MATCH(B715,skill!B:B,0)-1,0)</f>
        <v>0.666666666666667</v>
      </c>
      <c r="I715" s="186"/>
      <c r="J715" s="186">
        <f ca="1">OFFSET(card_type!$F$1,MATCH(Q715,card_type!A:A,0)-1,0)</f>
        <v>4</v>
      </c>
      <c r="K715" s="243">
        <f ca="1">OFFSET(card_type!$G$1,MATCH(Q715,card_type!A:A,0)-1,0)</f>
        <v>2</v>
      </c>
      <c r="L715" s="157">
        <v>2</v>
      </c>
      <c r="M715" s="157">
        <v>2</v>
      </c>
      <c r="N715" s="153">
        <f t="shared" si="120"/>
        <v>20</v>
      </c>
      <c r="O715" s="157"/>
      <c r="P715" s="157"/>
      <c r="Q715" s="153">
        <f ca="1">OFFSET(card_type!$A$1,MATCH(card!B715,card_type!B:B,0)-1,0)</f>
        <v>1403</v>
      </c>
      <c r="R715" s="153">
        <v>1</v>
      </c>
      <c r="S715" s="157">
        <f ca="1">ROUND(IF(R715=0,0,IF(R715=1,X715*$S$1,IF(R715=2,X715*$S$1*buff的资质计算!$E$2,IF(R715=3,X715*$S$1*buff的资质计算!$E$3,0)))),0)*0</f>
        <v>0</v>
      </c>
      <c r="T715" s="153">
        <v>1</v>
      </c>
      <c r="U715" s="153">
        <f ca="1" t="shared" si="121"/>
        <v>42</v>
      </c>
      <c r="V715" s="153">
        <f ca="1">ROUND((OFFSET(卡牌辅助配置表!$O$1,MATCH(U715,卡牌辅助配置表!M:M,0)-1,0)+(N715-1)*OFFSET(卡牌辅助配置表!$P$1,MATCH(U715,卡牌辅助配置表!M:M,0)-1,0))*M715,2)</f>
        <v>182.95</v>
      </c>
      <c r="W715" s="157">
        <f ca="1">ROUND(IF(R715=0,0,IF(R715=1,X715*$W$1,IF(R715=2,X715*$W$1*buff的资质计算!$E$2,IF(R715=3,X715*$W$1*buff的资质计算!$E$3,0)))),2)</f>
        <v>18.15</v>
      </c>
      <c r="X715" s="157">
        <f ca="1" t="shared" si="122"/>
        <v>60.5</v>
      </c>
      <c r="Y715" s="157">
        <f ca="1" t="shared" si="117"/>
        <v>61.1666666666667</v>
      </c>
      <c r="Z715" s="304">
        <f ca="1" t="shared" si="123"/>
        <v>30.5833333333333</v>
      </c>
      <c r="AA715" s="304">
        <f ca="1">OFFSET(卡牌辅助配置表!$AD$1,MATCH(AB715,卡牌辅助配置表!AB:AB,0)-1,0)</f>
        <v>11500</v>
      </c>
      <c r="AB715" s="304">
        <f ca="1" t="shared" si="124"/>
        <v>4220</v>
      </c>
      <c r="AC715" s="153">
        <v>3</v>
      </c>
      <c r="AE715" s="153">
        <v>1</v>
      </c>
      <c r="AF715" s="153" t="str">
        <f ca="1" t="shared" si="118"/>
        <v>14030011|</v>
      </c>
      <c r="AJ715" s="205" t="str">
        <f ca="1" t="shared" si="125"/>
        <v>400023|10650|;</v>
      </c>
      <c r="AK715" s="205">
        <f ca="1">OFFSET([1]item_type!$A$1,MATCH(Q715,[1]item_type!$G:$G,0)-1,0)</f>
        <v>301403</v>
      </c>
      <c r="AL715" s="205"/>
      <c r="AM715" s="205">
        <f ca="1">IF(B715=B716,OFFSET(卡牌辅助配置表!$AE$1,MATCH(AB715,卡牌辅助配置表!AB:AB,0),0),0)</f>
        <v>10650</v>
      </c>
      <c r="AN715" s="153">
        <f ca="1" t="shared" si="126"/>
        <v>1403021</v>
      </c>
      <c r="AP715" s="153" t="str">
        <f ca="1">IF(AC715=0,0,IF(AC715=12,0,OFFSET(effect!$N$1,MATCH(K715,effect!M:M,0)-1,0)))</f>
        <v>kpsx_pt</v>
      </c>
    </row>
    <row r="716" ht="21" customHeight="1" spans="1:42">
      <c r="A716" s="153">
        <f ca="1" t="shared" si="119"/>
        <v>1403021</v>
      </c>
      <c r="B716" s="91" t="s">
        <v>681</v>
      </c>
      <c r="C716" s="186">
        <v>1</v>
      </c>
      <c r="D716" s="186">
        <v>5</v>
      </c>
      <c r="E716" s="165" t="s">
        <v>1050</v>
      </c>
      <c r="F716" s="165" t="str">
        <f>"上一招为拳法时，增加"&amp;skill!$O$57/100&amp;"%伤害"</f>
        <v>上一招为拳法时，增加50%伤害</v>
      </c>
      <c r="G716" s="186">
        <f ca="1">OFFSET(卡牌辅助配置表!$C$1,MATCH(AC716,卡牌辅助配置表!A:A,0)-1,0)</f>
        <v>3</v>
      </c>
      <c r="H716" s="186">
        <f ca="1">OFFSET(skill!$Q$1,MATCH(B716,skill!B:B,0)-1,0)</f>
        <v>0.666666666666667</v>
      </c>
      <c r="I716" s="186"/>
      <c r="J716" s="186">
        <f ca="1">OFFSET(card_type!$F$1,MATCH(Q716,card_type!A:A,0)-1,0)</f>
        <v>4</v>
      </c>
      <c r="K716" s="243">
        <f ca="1">OFFSET(card_type!$G$1,MATCH(Q716,card_type!A:A,0)-1,0)</f>
        <v>2</v>
      </c>
      <c r="L716" s="157">
        <v>2</v>
      </c>
      <c r="M716" s="157">
        <v>2</v>
      </c>
      <c r="N716" s="153">
        <f t="shared" si="120"/>
        <v>21</v>
      </c>
      <c r="O716" s="157"/>
      <c r="P716" s="157"/>
      <c r="Q716" s="153">
        <f ca="1">OFFSET(card_type!$A$1,MATCH(card!B716,card_type!B:B,0)-1,0)</f>
        <v>1403</v>
      </c>
      <c r="R716" s="153">
        <v>1</v>
      </c>
      <c r="S716" s="157">
        <f ca="1">ROUND(IF(R716=0,0,IF(R716=1,X716*$S$1,IF(R716=2,X716*$S$1*buff的资质计算!$E$2,IF(R716=3,X716*$S$1*buff的资质计算!$E$3,0)))),0)*0</f>
        <v>0</v>
      </c>
      <c r="T716" s="153">
        <v>1</v>
      </c>
      <c r="U716" s="153">
        <f ca="1" t="shared" si="121"/>
        <v>42</v>
      </c>
      <c r="V716" s="153">
        <f ca="1">ROUND((OFFSET(卡牌辅助配置表!$O$1,MATCH(U716,卡牌辅助配置表!M:M,0)-1,0)+(N716-1)*OFFSET(卡牌辅助配置表!$P$1,MATCH(U716,卡牌辅助配置表!M:M,0)-1,0))*M716,2)</f>
        <v>190.25</v>
      </c>
      <c r="W716" s="157">
        <f ca="1">ROUND(IF(R716=0,0,IF(R716=1,X716*$W$1,IF(R716=2,X716*$W$1*buff的资质计算!$E$2,IF(R716=3,X716*$W$1*buff的资质计算!$E$3,0)))),2)</f>
        <v>18.3</v>
      </c>
      <c r="X716" s="157">
        <f ca="1" t="shared" si="122"/>
        <v>61</v>
      </c>
      <c r="Y716" s="157">
        <f ca="1" t="shared" si="117"/>
        <v>61.6666666666667</v>
      </c>
      <c r="Z716" s="304">
        <f ca="1" t="shared" si="123"/>
        <v>30.8333333333333</v>
      </c>
      <c r="AA716" s="304">
        <f ca="1">OFFSET(卡牌辅助配置表!$AD$1,MATCH(AB716,卡牌辅助配置表!AB:AB,0)-1,0)</f>
        <v>12420</v>
      </c>
      <c r="AB716" s="304">
        <f ca="1" t="shared" si="124"/>
        <v>4221</v>
      </c>
      <c r="AC716" s="153">
        <v>3</v>
      </c>
      <c r="AE716" s="153">
        <v>1</v>
      </c>
      <c r="AF716" s="153" t="str">
        <f ca="1" t="shared" si="118"/>
        <v>14030011|</v>
      </c>
      <c r="AJ716" s="205" t="str">
        <f ca="1" t="shared" si="125"/>
        <v>400023|11850|;</v>
      </c>
      <c r="AK716" s="205">
        <f ca="1">OFFSET([1]item_type!$A$1,MATCH(Q716,[1]item_type!$G:$G,0)-1,0)</f>
        <v>301403</v>
      </c>
      <c r="AL716" s="205"/>
      <c r="AM716" s="205">
        <f ca="1">IF(B716=B717,OFFSET(卡牌辅助配置表!$AE$1,MATCH(AB716,卡牌辅助配置表!AB:AB,0),0),0)</f>
        <v>11850</v>
      </c>
      <c r="AN716" s="153">
        <f ca="1" t="shared" si="126"/>
        <v>1403022</v>
      </c>
      <c r="AP716" s="153" t="str">
        <f ca="1">IF(AC716=0,0,IF(AC716=12,0,OFFSET(effect!$N$1,MATCH(K716,effect!M:M,0)-1,0)))</f>
        <v>kpsx_pt</v>
      </c>
    </row>
    <row r="717" ht="21" customHeight="1" spans="1:42">
      <c r="A717" s="153">
        <f ca="1" t="shared" si="119"/>
        <v>1403022</v>
      </c>
      <c r="B717" s="91" t="s">
        <v>681</v>
      </c>
      <c r="C717" s="186">
        <v>1</v>
      </c>
      <c r="D717" s="186">
        <v>5</v>
      </c>
      <c r="E717" s="165" t="s">
        <v>1050</v>
      </c>
      <c r="F717" s="165" t="str">
        <f>"上一招为拳法时，增加"&amp;skill!$O$57/100&amp;"%伤害"</f>
        <v>上一招为拳法时，增加50%伤害</v>
      </c>
      <c r="G717" s="186">
        <f ca="1">OFFSET(卡牌辅助配置表!$C$1,MATCH(AC717,卡牌辅助配置表!A:A,0)-1,0)</f>
        <v>3</v>
      </c>
      <c r="H717" s="186">
        <f ca="1">OFFSET(skill!$Q$1,MATCH(B717,skill!B:B,0)-1,0)</f>
        <v>0.666666666666667</v>
      </c>
      <c r="I717" s="186"/>
      <c r="J717" s="186">
        <f ca="1">OFFSET(card_type!$F$1,MATCH(Q717,card_type!A:A,0)-1,0)</f>
        <v>4</v>
      </c>
      <c r="K717" s="243">
        <f ca="1">OFFSET(card_type!$G$1,MATCH(Q717,card_type!A:A,0)-1,0)</f>
        <v>2</v>
      </c>
      <c r="L717" s="157">
        <v>2</v>
      </c>
      <c r="M717" s="157">
        <v>2</v>
      </c>
      <c r="N717" s="153">
        <f t="shared" si="120"/>
        <v>22</v>
      </c>
      <c r="O717" s="157"/>
      <c r="P717" s="157"/>
      <c r="Q717" s="153">
        <f ca="1">OFFSET(card_type!$A$1,MATCH(card!B717,card_type!B:B,0)-1,0)</f>
        <v>1403</v>
      </c>
      <c r="R717" s="153">
        <v>1</v>
      </c>
      <c r="S717" s="157">
        <f ca="1">ROUND(IF(R717=0,0,IF(R717=1,X717*$S$1,IF(R717=2,X717*$S$1*buff的资质计算!$E$2,IF(R717=3,X717*$S$1*buff的资质计算!$E$3,0)))),0)*0</f>
        <v>0</v>
      </c>
      <c r="T717" s="153">
        <v>1</v>
      </c>
      <c r="U717" s="153">
        <f ca="1" t="shared" si="121"/>
        <v>42</v>
      </c>
      <c r="V717" s="153">
        <f ca="1">ROUND((OFFSET(卡牌辅助配置表!$O$1,MATCH(U717,卡牌辅助配置表!M:M,0)-1,0)+(N717-1)*OFFSET(卡牌辅助配置表!$P$1,MATCH(U717,卡牌辅助配置表!M:M,0)-1,0))*M717,2)</f>
        <v>197.55</v>
      </c>
      <c r="W717" s="157">
        <f ca="1">ROUND(IF(R717=0,0,IF(R717=1,X717*$W$1,IF(R717=2,X717*$W$1*buff的资质计算!$E$2,IF(R717=3,X717*$W$1*buff的资质计算!$E$3,0)))),2)</f>
        <v>18.45</v>
      </c>
      <c r="X717" s="157">
        <f ca="1" t="shared" si="122"/>
        <v>61.5</v>
      </c>
      <c r="Y717" s="157">
        <f ca="1" t="shared" si="117"/>
        <v>62.1666666666667</v>
      </c>
      <c r="Z717" s="304">
        <f ca="1" t="shared" si="123"/>
        <v>31.0833333333333</v>
      </c>
      <c r="AA717" s="304">
        <f ca="1">OFFSET(卡牌辅助配置表!$AD$1,MATCH(AB717,卡牌辅助配置表!AB:AB,0)-1,0)</f>
        <v>13340</v>
      </c>
      <c r="AB717" s="304">
        <f ca="1" t="shared" si="124"/>
        <v>4222</v>
      </c>
      <c r="AC717" s="153">
        <v>3</v>
      </c>
      <c r="AE717" s="153">
        <v>1</v>
      </c>
      <c r="AF717" s="153" t="str">
        <f ca="1" t="shared" si="118"/>
        <v>14030011|</v>
      </c>
      <c r="AJ717" s="205" t="str">
        <f ca="1" t="shared" si="125"/>
        <v>400023|13050|;</v>
      </c>
      <c r="AK717" s="205">
        <f ca="1">OFFSET([1]item_type!$A$1,MATCH(Q717,[1]item_type!$G:$G,0)-1,0)</f>
        <v>301403</v>
      </c>
      <c r="AL717" s="205"/>
      <c r="AM717" s="205">
        <f ca="1">IF(B717=B718,OFFSET(卡牌辅助配置表!$AE$1,MATCH(AB717,卡牌辅助配置表!AB:AB,0),0),0)</f>
        <v>13050</v>
      </c>
      <c r="AN717" s="153">
        <f ca="1" t="shared" si="126"/>
        <v>1403023</v>
      </c>
      <c r="AP717" s="153" t="str">
        <f ca="1">IF(AC717=0,0,IF(AC717=12,0,OFFSET(effect!$N$1,MATCH(K717,effect!M:M,0)-1,0)))</f>
        <v>kpsx_pt</v>
      </c>
    </row>
    <row r="718" ht="21" customHeight="1" spans="1:42">
      <c r="A718" s="153">
        <f ca="1" t="shared" si="119"/>
        <v>1403023</v>
      </c>
      <c r="B718" s="91" t="s">
        <v>681</v>
      </c>
      <c r="C718" s="186">
        <v>1</v>
      </c>
      <c r="D718" s="186">
        <v>5</v>
      </c>
      <c r="E718" s="165" t="s">
        <v>1050</v>
      </c>
      <c r="F718" s="165" t="str">
        <f>"上一招为拳法时，增加"&amp;skill!$O$57/100&amp;"%伤害"</f>
        <v>上一招为拳法时，增加50%伤害</v>
      </c>
      <c r="G718" s="186">
        <f ca="1">OFFSET(卡牌辅助配置表!$C$1,MATCH(AC718,卡牌辅助配置表!A:A,0)-1,0)</f>
        <v>3</v>
      </c>
      <c r="H718" s="186">
        <f ca="1">OFFSET(skill!$Q$1,MATCH(B718,skill!B:B,0)-1,0)</f>
        <v>0.666666666666667</v>
      </c>
      <c r="I718" s="186"/>
      <c r="J718" s="186">
        <f ca="1">OFFSET(card_type!$F$1,MATCH(Q718,card_type!A:A,0)-1,0)</f>
        <v>4</v>
      </c>
      <c r="K718" s="243">
        <f ca="1">OFFSET(card_type!$G$1,MATCH(Q718,card_type!A:A,0)-1,0)</f>
        <v>2</v>
      </c>
      <c r="L718" s="157">
        <v>2</v>
      </c>
      <c r="M718" s="157">
        <v>2</v>
      </c>
      <c r="N718" s="153">
        <f t="shared" si="120"/>
        <v>23</v>
      </c>
      <c r="O718" s="157"/>
      <c r="P718" s="157"/>
      <c r="Q718" s="153">
        <f ca="1">OFFSET(card_type!$A$1,MATCH(card!B718,card_type!B:B,0)-1,0)</f>
        <v>1403</v>
      </c>
      <c r="R718" s="153">
        <v>1</v>
      </c>
      <c r="S718" s="157">
        <f ca="1">ROUND(IF(R718=0,0,IF(R718=1,X718*$S$1,IF(R718=2,X718*$S$1*buff的资质计算!$E$2,IF(R718=3,X718*$S$1*buff的资质计算!$E$3,0)))),0)*0</f>
        <v>0</v>
      </c>
      <c r="T718" s="153">
        <v>1</v>
      </c>
      <c r="U718" s="153">
        <f ca="1" t="shared" si="121"/>
        <v>42</v>
      </c>
      <c r="V718" s="153">
        <f ca="1">ROUND((OFFSET(卡牌辅助配置表!$O$1,MATCH(U718,卡牌辅助配置表!M:M,0)-1,0)+(N718-1)*OFFSET(卡牌辅助配置表!$P$1,MATCH(U718,卡牌辅助配置表!M:M,0)-1,0))*M718,2)</f>
        <v>204.85</v>
      </c>
      <c r="W718" s="157">
        <f ca="1">ROUND(IF(R718=0,0,IF(R718=1,X718*$W$1,IF(R718=2,X718*$W$1*buff的资质计算!$E$2,IF(R718=3,X718*$W$1*buff的资质计算!$E$3,0)))),2)</f>
        <v>18.6</v>
      </c>
      <c r="X718" s="157">
        <f ca="1" t="shared" si="122"/>
        <v>62</v>
      </c>
      <c r="Y718" s="157">
        <f ca="1" t="shared" si="117"/>
        <v>62.6666666666667</v>
      </c>
      <c r="Z718" s="304">
        <f ca="1" t="shared" si="123"/>
        <v>31.3333333333333</v>
      </c>
      <c r="AA718" s="304">
        <f ca="1">OFFSET(卡牌辅助配置表!$AD$1,MATCH(AB718,卡牌辅助配置表!AB:AB,0)-1,0)</f>
        <v>14260</v>
      </c>
      <c r="AB718" s="304">
        <f ca="1" t="shared" si="124"/>
        <v>4223</v>
      </c>
      <c r="AC718" s="153">
        <v>3</v>
      </c>
      <c r="AE718" s="153">
        <v>1</v>
      </c>
      <c r="AF718" s="153" t="str">
        <f ca="1" t="shared" si="118"/>
        <v>14030011|</v>
      </c>
      <c r="AJ718" s="205" t="str">
        <f ca="1" t="shared" si="125"/>
        <v>400023|14250|;</v>
      </c>
      <c r="AK718" s="205">
        <f ca="1">OFFSET([1]item_type!$A$1,MATCH(Q718,[1]item_type!$G:$G,0)-1,0)</f>
        <v>301403</v>
      </c>
      <c r="AL718" s="205"/>
      <c r="AM718" s="205">
        <f ca="1">IF(B718=B719,OFFSET(卡牌辅助配置表!$AE$1,MATCH(AB718,卡牌辅助配置表!AB:AB,0),0),0)</f>
        <v>14250</v>
      </c>
      <c r="AN718" s="153">
        <f ca="1" t="shared" si="126"/>
        <v>1403024</v>
      </c>
      <c r="AP718" s="153" t="str">
        <f ca="1">IF(AC718=0,0,IF(AC718=12,0,OFFSET(effect!$N$1,MATCH(K718,effect!M:M,0)-1,0)))</f>
        <v>kpsx_pt</v>
      </c>
    </row>
    <row r="719" ht="21" customHeight="1" spans="1:42">
      <c r="A719" s="153">
        <f ca="1" t="shared" si="119"/>
        <v>1403024</v>
      </c>
      <c r="B719" s="91" t="s">
        <v>681</v>
      </c>
      <c r="C719" s="186">
        <v>1</v>
      </c>
      <c r="D719" s="186">
        <v>5</v>
      </c>
      <c r="E719" s="165" t="s">
        <v>1050</v>
      </c>
      <c r="F719" s="165" t="str">
        <f>"上一招为拳法时，增加"&amp;skill!$O$57/100&amp;"%伤害"</f>
        <v>上一招为拳法时，增加50%伤害</v>
      </c>
      <c r="G719" s="186">
        <f ca="1">OFFSET(卡牌辅助配置表!$C$1,MATCH(AC719,卡牌辅助配置表!A:A,0)-1,0)</f>
        <v>3</v>
      </c>
      <c r="H719" s="186">
        <f ca="1">OFFSET(skill!$Q$1,MATCH(B719,skill!B:B,0)-1,0)</f>
        <v>0.666666666666667</v>
      </c>
      <c r="I719" s="186"/>
      <c r="J719" s="186">
        <f ca="1">OFFSET(card_type!$F$1,MATCH(Q719,card_type!A:A,0)-1,0)</f>
        <v>4</v>
      </c>
      <c r="K719" s="243">
        <f ca="1">OFFSET(card_type!$G$1,MATCH(Q719,card_type!A:A,0)-1,0)</f>
        <v>2</v>
      </c>
      <c r="L719" s="157">
        <v>2</v>
      </c>
      <c r="M719" s="157">
        <v>2</v>
      </c>
      <c r="N719" s="153">
        <f t="shared" si="120"/>
        <v>24</v>
      </c>
      <c r="O719" s="157"/>
      <c r="P719" s="157"/>
      <c r="Q719" s="153">
        <f ca="1">OFFSET(card_type!$A$1,MATCH(card!B719,card_type!B:B,0)-1,0)</f>
        <v>1403</v>
      </c>
      <c r="R719" s="153">
        <v>1</v>
      </c>
      <c r="S719" s="157">
        <f ca="1">ROUND(IF(R719=0,0,IF(R719=1,X719*$S$1,IF(R719=2,X719*$S$1*buff的资质计算!$E$2,IF(R719=3,X719*$S$1*buff的资质计算!$E$3,0)))),0)*0</f>
        <v>0</v>
      </c>
      <c r="T719" s="153">
        <v>1</v>
      </c>
      <c r="U719" s="153">
        <f ca="1" t="shared" si="121"/>
        <v>42</v>
      </c>
      <c r="V719" s="153">
        <f ca="1">ROUND((OFFSET(卡牌辅助配置表!$O$1,MATCH(U719,卡牌辅助配置表!M:M,0)-1,0)+(N719-1)*OFFSET(卡牌辅助配置表!$P$1,MATCH(U719,卡牌辅助配置表!M:M,0)-1,0))*M719,2)</f>
        <v>212.15</v>
      </c>
      <c r="W719" s="157">
        <f ca="1">ROUND(IF(R719=0,0,IF(R719=1,X719*$W$1,IF(R719=2,X719*$W$1*buff的资质计算!$E$2,IF(R719=3,X719*$W$1*buff的资质计算!$E$3,0)))),2)</f>
        <v>18.75</v>
      </c>
      <c r="X719" s="157">
        <f ca="1" t="shared" si="122"/>
        <v>62.5</v>
      </c>
      <c r="Y719" s="157">
        <f ca="1" t="shared" si="117"/>
        <v>63.1666666666667</v>
      </c>
      <c r="Z719" s="304">
        <f ca="1" t="shared" si="123"/>
        <v>31.5833333333333</v>
      </c>
      <c r="AA719" s="304">
        <f ca="1">OFFSET(卡牌辅助配置表!$AD$1,MATCH(AB719,卡牌辅助配置表!AB:AB,0)-1,0)</f>
        <v>15180</v>
      </c>
      <c r="AB719" s="304">
        <f ca="1" t="shared" si="124"/>
        <v>4224</v>
      </c>
      <c r="AC719" s="153">
        <v>3</v>
      </c>
      <c r="AE719" s="153">
        <v>1</v>
      </c>
      <c r="AF719" s="153" t="str">
        <f ca="1" t="shared" si="118"/>
        <v>14030011|</v>
      </c>
      <c r="AJ719" s="205" t="str">
        <f ca="1" t="shared" si="125"/>
        <v>400023|15450|;</v>
      </c>
      <c r="AK719" s="205">
        <f ca="1">OFFSET([1]item_type!$A$1,MATCH(Q719,[1]item_type!$G:$G,0)-1,0)</f>
        <v>301403</v>
      </c>
      <c r="AL719" s="205"/>
      <c r="AM719" s="205">
        <f ca="1">IF(B719=B720,OFFSET(卡牌辅助配置表!$AE$1,MATCH(AB719,卡牌辅助配置表!AB:AB,0),0),0)</f>
        <v>15450</v>
      </c>
      <c r="AN719" s="153">
        <f ca="1" t="shared" si="126"/>
        <v>1403025</v>
      </c>
      <c r="AP719" s="153" t="str">
        <f ca="1">IF(AC719=0,0,IF(AC719=12,0,OFFSET(effect!$N$1,MATCH(K719,effect!M:M,0)-1,0)))</f>
        <v>kpsx_pt</v>
      </c>
    </row>
    <row r="720" ht="21" customHeight="1" spans="1:42">
      <c r="A720" s="153">
        <f ca="1" t="shared" si="119"/>
        <v>1403025</v>
      </c>
      <c r="B720" s="91" t="s">
        <v>681</v>
      </c>
      <c r="C720" s="186">
        <v>1</v>
      </c>
      <c r="D720" s="186">
        <v>5</v>
      </c>
      <c r="E720" s="165" t="s">
        <v>1050</v>
      </c>
      <c r="F720" s="165" t="str">
        <f>"上一招为拳法时，增加"&amp;skill!$O$57/100&amp;"%伤害"</f>
        <v>上一招为拳法时，增加50%伤害</v>
      </c>
      <c r="G720" s="186">
        <f ca="1">OFFSET(卡牌辅助配置表!$C$1,MATCH(AC720,卡牌辅助配置表!A:A,0)-1,0)</f>
        <v>3</v>
      </c>
      <c r="H720" s="186">
        <f ca="1">OFFSET(skill!$Q$1,MATCH(B720,skill!B:B,0)-1,0)</f>
        <v>0.666666666666667</v>
      </c>
      <c r="I720" s="186"/>
      <c r="J720" s="186">
        <f ca="1">OFFSET(card_type!$F$1,MATCH(Q720,card_type!A:A,0)-1,0)</f>
        <v>4</v>
      </c>
      <c r="K720" s="243">
        <f ca="1">OFFSET(card_type!$G$1,MATCH(Q720,card_type!A:A,0)-1,0)</f>
        <v>2</v>
      </c>
      <c r="L720" s="157">
        <v>2</v>
      </c>
      <c r="M720" s="157">
        <v>2</v>
      </c>
      <c r="N720" s="153">
        <f t="shared" si="120"/>
        <v>25</v>
      </c>
      <c r="O720" s="157"/>
      <c r="P720" s="157"/>
      <c r="Q720" s="153">
        <f ca="1">OFFSET(card_type!$A$1,MATCH(card!B720,card_type!B:B,0)-1,0)</f>
        <v>1403</v>
      </c>
      <c r="R720" s="153">
        <v>1</v>
      </c>
      <c r="S720" s="157">
        <f ca="1">ROUND(IF(R720=0,0,IF(R720=1,X720*$S$1,IF(R720=2,X720*$S$1*buff的资质计算!$E$2,IF(R720=3,X720*$S$1*buff的资质计算!$E$3,0)))),0)*0</f>
        <v>0</v>
      </c>
      <c r="T720" s="153">
        <v>1</v>
      </c>
      <c r="U720" s="153">
        <f ca="1" t="shared" si="121"/>
        <v>42</v>
      </c>
      <c r="V720" s="153">
        <f ca="1">ROUND((OFFSET(卡牌辅助配置表!$O$1,MATCH(U720,卡牌辅助配置表!M:M,0)-1,0)+(N720-1)*OFFSET(卡牌辅助配置表!$P$1,MATCH(U720,卡牌辅助配置表!M:M,0)-1,0))*M720,2)</f>
        <v>219.45</v>
      </c>
      <c r="W720" s="157">
        <f ca="1">ROUND(IF(R720=0,0,IF(R720=1,X720*$W$1,IF(R720=2,X720*$W$1*buff的资质计算!$E$2,IF(R720=3,X720*$W$1*buff的资质计算!$E$3,0)))),2)</f>
        <v>18.9</v>
      </c>
      <c r="X720" s="157">
        <f ca="1" t="shared" si="122"/>
        <v>63</v>
      </c>
      <c r="Y720" s="157">
        <f ca="1" t="shared" ref="Y720:Y726" si="127">X720+H720</f>
        <v>63.6666666666667</v>
      </c>
      <c r="Z720" s="304">
        <f ca="1" t="shared" si="123"/>
        <v>31.8333333333333</v>
      </c>
      <c r="AA720" s="304">
        <f ca="1">OFFSET(卡牌辅助配置表!$AD$1,MATCH(AB720,卡牌辅助配置表!AB:AB,0)-1,0)</f>
        <v>16100</v>
      </c>
      <c r="AB720" s="304">
        <f ca="1" t="shared" si="124"/>
        <v>4225</v>
      </c>
      <c r="AC720" s="153">
        <v>3</v>
      </c>
      <c r="AE720" s="153">
        <v>1</v>
      </c>
      <c r="AF720" s="153" t="str">
        <f ca="1" t="shared" ref="AF720:AF783" si="128">((Q720*1000+1)*10+1)&amp;$AF$1</f>
        <v>14030011|</v>
      </c>
      <c r="AJ720" s="205" t="str">
        <f ca="1" t="shared" si="125"/>
        <v>400023|16650|;</v>
      </c>
      <c r="AK720" s="205">
        <f ca="1">OFFSET([1]item_type!$A$1,MATCH(Q720,[1]item_type!$G:$G,0)-1,0)</f>
        <v>301403</v>
      </c>
      <c r="AL720" s="205"/>
      <c r="AM720" s="205">
        <f ca="1">IF(B720=B721,OFFSET(卡牌辅助配置表!$AE$1,MATCH(AB720,卡牌辅助配置表!AB:AB,0),0),0)</f>
        <v>16650</v>
      </c>
      <c r="AN720" s="153">
        <f ca="1" t="shared" si="126"/>
        <v>1403026</v>
      </c>
      <c r="AP720" s="153" t="str">
        <f ca="1">IF(AC720=0,0,IF(AC720=12,0,OFFSET(effect!$N$1,MATCH(K720,effect!M:M,0)-1,0)))</f>
        <v>kpsx_pt</v>
      </c>
    </row>
    <row r="721" ht="21" customHeight="1" spans="1:42">
      <c r="A721" s="153">
        <f ca="1" t="shared" si="119"/>
        <v>1403026</v>
      </c>
      <c r="B721" s="91" t="s">
        <v>681</v>
      </c>
      <c r="C721" s="186">
        <v>1</v>
      </c>
      <c r="D721" s="186">
        <v>5</v>
      </c>
      <c r="E721" s="165" t="s">
        <v>1050</v>
      </c>
      <c r="F721" s="165" t="str">
        <f>"上一招为拳法时，增加"&amp;skill!$O$57/100&amp;"%伤害"</f>
        <v>上一招为拳法时，增加50%伤害</v>
      </c>
      <c r="G721" s="186">
        <f ca="1">OFFSET(卡牌辅助配置表!$C$1,MATCH(AC721,卡牌辅助配置表!A:A,0)-1,0)</f>
        <v>3</v>
      </c>
      <c r="H721" s="186">
        <f ca="1">OFFSET(skill!$Q$1,MATCH(B721,skill!B:B,0)-1,0)</f>
        <v>0.666666666666667</v>
      </c>
      <c r="I721" s="186"/>
      <c r="J721" s="186">
        <f ca="1">OFFSET(card_type!$F$1,MATCH(Q721,card_type!A:A,0)-1,0)</f>
        <v>4</v>
      </c>
      <c r="K721" s="243">
        <f ca="1">OFFSET(card_type!$G$1,MATCH(Q721,card_type!A:A,0)-1,0)</f>
        <v>2</v>
      </c>
      <c r="L721" s="157">
        <v>2</v>
      </c>
      <c r="M721" s="157">
        <v>2</v>
      </c>
      <c r="N721" s="153">
        <f t="shared" si="120"/>
        <v>26</v>
      </c>
      <c r="O721" s="157"/>
      <c r="P721" s="157"/>
      <c r="Q721" s="153">
        <f ca="1">OFFSET(card_type!$A$1,MATCH(card!B721,card_type!B:B,0)-1,0)</f>
        <v>1403</v>
      </c>
      <c r="R721" s="153">
        <v>1</v>
      </c>
      <c r="S721" s="157">
        <f ca="1">ROUND(IF(R721=0,0,IF(R721=1,X721*$S$1,IF(R721=2,X721*$S$1*buff的资质计算!$E$2,IF(R721=3,X721*$S$1*buff的资质计算!$E$3,0)))),0)*0</f>
        <v>0</v>
      </c>
      <c r="T721" s="153">
        <v>1</v>
      </c>
      <c r="U721" s="153">
        <f ca="1" t="shared" si="121"/>
        <v>42</v>
      </c>
      <c r="V721" s="153">
        <f ca="1">ROUND((OFFSET(卡牌辅助配置表!$O$1,MATCH(U721,卡牌辅助配置表!M:M,0)-1,0)+(N721-1)*OFFSET(卡牌辅助配置表!$P$1,MATCH(U721,卡牌辅助配置表!M:M,0)-1,0))*M721,2)</f>
        <v>226.75</v>
      </c>
      <c r="W721" s="157">
        <f ca="1">ROUND(IF(R721=0,0,IF(R721=1,X721*$W$1,IF(R721=2,X721*$W$1*buff的资质计算!$E$2,IF(R721=3,X721*$W$1*buff的资质计算!$E$3,0)))),2)</f>
        <v>19.05</v>
      </c>
      <c r="X721" s="157">
        <f ca="1" t="shared" si="122"/>
        <v>63.5</v>
      </c>
      <c r="Y721" s="157">
        <f ca="1" t="shared" si="127"/>
        <v>64.1666666666667</v>
      </c>
      <c r="Z721" s="304">
        <f ca="1" t="shared" si="123"/>
        <v>32.0833333333333</v>
      </c>
      <c r="AA721" s="304">
        <f ca="1">OFFSET(卡牌辅助配置表!$AD$1,MATCH(AB721,卡牌辅助配置表!AB:AB,0)-1,0)</f>
        <v>17020</v>
      </c>
      <c r="AB721" s="304">
        <f ca="1" t="shared" si="124"/>
        <v>4226</v>
      </c>
      <c r="AC721" s="153">
        <v>3</v>
      </c>
      <c r="AE721" s="153">
        <v>1</v>
      </c>
      <c r="AF721" s="153" t="str">
        <f ca="1" t="shared" si="128"/>
        <v>14030011|</v>
      </c>
      <c r="AJ721" s="205" t="str">
        <f ca="1" t="shared" si="125"/>
        <v>400023|17850|;</v>
      </c>
      <c r="AK721" s="205">
        <f ca="1">OFFSET([1]item_type!$A$1,MATCH(Q721,[1]item_type!$G:$G,0)-1,0)</f>
        <v>301403</v>
      </c>
      <c r="AL721" s="205"/>
      <c r="AM721" s="205">
        <f ca="1">IF(B721=B722,OFFSET(卡牌辅助配置表!$AE$1,MATCH(AB721,卡牌辅助配置表!AB:AB,0),0),0)</f>
        <v>17850</v>
      </c>
      <c r="AN721" s="153">
        <f ca="1" t="shared" si="126"/>
        <v>1403027</v>
      </c>
      <c r="AP721" s="153" t="str">
        <f ca="1">IF(AC721=0,0,IF(AC721=12,0,OFFSET(effect!$N$1,MATCH(K721,effect!M:M,0)-1,0)))</f>
        <v>kpsx_pt</v>
      </c>
    </row>
    <row r="722" ht="21" customHeight="1" spans="1:42">
      <c r="A722" s="153">
        <f ca="1" t="shared" si="119"/>
        <v>1403027</v>
      </c>
      <c r="B722" s="91" t="s">
        <v>681</v>
      </c>
      <c r="C722" s="186">
        <v>1</v>
      </c>
      <c r="D722" s="186">
        <v>5</v>
      </c>
      <c r="E722" s="165" t="s">
        <v>1050</v>
      </c>
      <c r="F722" s="165" t="str">
        <f>"上一招为拳法时，增加"&amp;skill!$O$57/100&amp;"%伤害"</f>
        <v>上一招为拳法时，增加50%伤害</v>
      </c>
      <c r="G722" s="186">
        <f ca="1">OFFSET(卡牌辅助配置表!$C$1,MATCH(AC722,卡牌辅助配置表!A:A,0)-1,0)</f>
        <v>3</v>
      </c>
      <c r="H722" s="186">
        <f ca="1">OFFSET(skill!$Q$1,MATCH(B722,skill!B:B,0)-1,0)</f>
        <v>0.666666666666667</v>
      </c>
      <c r="I722" s="186"/>
      <c r="J722" s="186">
        <f ca="1">OFFSET(card_type!$F$1,MATCH(Q722,card_type!A:A,0)-1,0)</f>
        <v>4</v>
      </c>
      <c r="K722" s="243">
        <f ca="1">OFFSET(card_type!$G$1,MATCH(Q722,card_type!A:A,0)-1,0)</f>
        <v>2</v>
      </c>
      <c r="L722" s="157">
        <v>2</v>
      </c>
      <c r="M722" s="157">
        <v>2</v>
      </c>
      <c r="N722" s="153">
        <f t="shared" si="120"/>
        <v>27</v>
      </c>
      <c r="O722" s="157"/>
      <c r="P722" s="157"/>
      <c r="Q722" s="153">
        <f ca="1">OFFSET(card_type!$A$1,MATCH(card!B722,card_type!B:B,0)-1,0)</f>
        <v>1403</v>
      </c>
      <c r="R722" s="153">
        <v>1</v>
      </c>
      <c r="S722" s="157">
        <f ca="1">ROUND(IF(R722=0,0,IF(R722=1,X722*$S$1,IF(R722=2,X722*$S$1*buff的资质计算!$E$2,IF(R722=3,X722*$S$1*buff的资质计算!$E$3,0)))),0)*0</f>
        <v>0</v>
      </c>
      <c r="T722" s="153">
        <v>1</v>
      </c>
      <c r="U722" s="153">
        <f ca="1" t="shared" si="121"/>
        <v>42</v>
      </c>
      <c r="V722" s="153">
        <f ca="1">ROUND((OFFSET(卡牌辅助配置表!$O$1,MATCH(U722,卡牌辅助配置表!M:M,0)-1,0)+(N722-1)*OFFSET(卡牌辅助配置表!$P$1,MATCH(U722,卡牌辅助配置表!M:M,0)-1,0))*M722,2)</f>
        <v>234.05</v>
      </c>
      <c r="W722" s="157">
        <f ca="1">ROUND(IF(R722=0,0,IF(R722=1,X722*$W$1,IF(R722=2,X722*$W$1*buff的资质计算!$E$2,IF(R722=3,X722*$W$1*buff的资质计算!$E$3,0)))),2)</f>
        <v>19.2</v>
      </c>
      <c r="X722" s="157">
        <f ca="1" t="shared" si="122"/>
        <v>64</v>
      </c>
      <c r="Y722" s="157">
        <f ca="1" t="shared" si="127"/>
        <v>64.6666666666667</v>
      </c>
      <c r="Z722" s="304">
        <f ca="1" t="shared" si="123"/>
        <v>32.3333333333333</v>
      </c>
      <c r="AA722" s="304">
        <f ca="1">OFFSET(卡牌辅助配置表!$AD$1,MATCH(AB722,卡牌辅助配置表!AB:AB,0)-1,0)</f>
        <v>17940</v>
      </c>
      <c r="AB722" s="304">
        <f ca="1" t="shared" si="124"/>
        <v>4227</v>
      </c>
      <c r="AC722" s="153">
        <v>3</v>
      </c>
      <c r="AE722" s="153">
        <v>1</v>
      </c>
      <c r="AF722" s="153" t="str">
        <f ca="1" t="shared" si="128"/>
        <v>14030011|</v>
      </c>
      <c r="AJ722" s="205" t="str">
        <f ca="1" t="shared" si="125"/>
        <v>400023|19050|;</v>
      </c>
      <c r="AK722" s="205">
        <f ca="1">OFFSET([1]item_type!$A$1,MATCH(Q722,[1]item_type!$G:$G,0)-1,0)</f>
        <v>301403</v>
      </c>
      <c r="AL722" s="205"/>
      <c r="AM722" s="205">
        <f ca="1">IF(B722=B723,OFFSET(卡牌辅助配置表!$AE$1,MATCH(AB722,卡牌辅助配置表!AB:AB,0),0),0)</f>
        <v>19050</v>
      </c>
      <c r="AN722" s="153">
        <f ca="1" t="shared" si="126"/>
        <v>1403028</v>
      </c>
      <c r="AP722" s="153" t="str">
        <f ca="1">IF(AC722=0,0,IF(AC722=12,0,OFFSET(effect!$N$1,MATCH(K722,effect!M:M,0)-1,0)))</f>
        <v>kpsx_pt</v>
      </c>
    </row>
    <row r="723" ht="21" customHeight="1" spans="1:42">
      <c r="A723" s="153">
        <f ca="1" t="shared" si="119"/>
        <v>1403028</v>
      </c>
      <c r="B723" s="91" t="s">
        <v>681</v>
      </c>
      <c r="C723" s="186">
        <v>1</v>
      </c>
      <c r="D723" s="186">
        <v>5</v>
      </c>
      <c r="E723" s="165" t="s">
        <v>1050</v>
      </c>
      <c r="F723" s="165" t="str">
        <f>"上一招为拳法时，增加"&amp;skill!$O$57/100&amp;"%伤害"</f>
        <v>上一招为拳法时，增加50%伤害</v>
      </c>
      <c r="G723" s="186">
        <f ca="1">OFFSET(卡牌辅助配置表!$C$1,MATCH(AC723,卡牌辅助配置表!A:A,0)-1,0)</f>
        <v>3</v>
      </c>
      <c r="H723" s="186">
        <f ca="1">OFFSET(skill!$Q$1,MATCH(B723,skill!B:B,0)-1,0)</f>
        <v>0.666666666666667</v>
      </c>
      <c r="I723" s="186"/>
      <c r="J723" s="186">
        <f ca="1">OFFSET(card_type!$F$1,MATCH(Q723,card_type!A:A,0)-1,0)</f>
        <v>4</v>
      </c>
      <c r="K723" s="243">
        <f ca="1">OFFSET(card_type!$G$1,MATCH(Q723,card_type!A:A,0)-1,0)</f>
        <v>2</v>
      </c>
      <c r="L723" s="157">
        <v>2</v>
      </c>
      <c r="M723" s="157">
        <v>2</v>
      </c>
      <c r="N723" s="153">
        <f t="shared" si="120"/>
        <v>28</v>
      </c>
      <c r="O723" s="157"/>
      <c r="P723" s="157"/>
      <c r="Q723" s="153">
        <f ca="1">OFFSET(card_type!$A$1,MATCH(card!B723,card_type!B:B,0)-1,0)</f>
        <v>1403</v>
      </c>
      <c r="R723" s="153">
        <v>1</v>
      </c>
      <c r="S723" s="157">
        <f ca="1">ROUND(IF(R723=0,0,IF(R723=1,X723*$S$1,IF(R723=2,X723*$S$1*buff的资质计算!$E$2,IF(R723=3,X723*$S$1*buff的资质计算!$E$3,0)))),0)*0</f>
        <v>0</v>
      </c>
      <c r="T723" s="153">
        <v>1</v>
      </c>
      <c r="U723" s="153">
        <f ca="1" t="shared" si="121"/>
        <v>42</v>
      </c>
      <c r="V723" s="153">
        <f ca="1">ROUND((OFFSET(卡牌辅助配置表!$O$1,MATCH(U723,卡牌辅助配置表!M:M,0)-1,0)+(N723-1)*OFFSET(卡牌辅助配置表!$P$1,MATCH(U723,卡牌辅助配置表!M:M,0)-1,0))*M723,2)</f>
        <v>241.35</v>
      </c>
      <c r="W723" s="157">
        <f ca="1">ROUND(IF(R723=0,0,IF(R723=1,X723*$W$1,IF(R723=2,X723*$W$1*buff的资质计算!$E$2,IF(R723=3,X723*$W$1*buff的资质计算!$E$3,0)))),2)</f>
        <v>19.35</v>
      </c>
      <c r="X723" s="157">
        <f ca="1" t="shared" si="122"/>
        <v>64.5</v>
      </c>
      <c r="Y723" s="157">
        <f ca="1" t="shared" si="127"/>
        <v>65.1666666666667</v>
      </c>
      <c r="Z723" s="304">
        <f ca="1" t="shared" si="123"/>
        <v>32.5833333333333</v>
      </c>
      <c r="AA723" s="304">
        <f ca="1">OFFSET(卡牌辅助配置表!$AD$1,MATCH(AB723,卡牌辅助配置表!AB:AB,0)-1,0)</f>
        <v>18860</v>
      </c>
      <c r="AB723" s="304">
        <f ca="1" t="shared" si="124"/>
        <v>4228</v>
      </c>
      <c r="AC723" s="153">
        <v>3</v>
      </c>
      <c r="AE723" s="153">
        <v>1</v>
      </c>
      <c r="AF723" s="153" t="str">
        <f ca="1" t="shared" si="128"/>
        <v>14030011|</v>
      </c>
      <c r="AJ723" s="205" t="str">
        <f ca="1" t="shared" si="125"/>
        <v>400023|20250|;</v>
      </c>
      <c r="AK723" s="205">
        <f ca="1">OFFSET([1]item_type!$A$1,MATCH(Q723,[1]item_type!$G:$G,0)-1,0)</f>
        <v>301403</v>
      </c>
      <c r="AL723" s="205"/>
      <c r="AM723" s="205">
        <f ca="1">IF(B723=B724,OFFSET(卡牌辅助配置表!$AE$1,MATCH(AB723,卡牌辅助配置表!AB:AB,0),0),0)</f>
        <v>20250</v>
      </c>
      <c r="AN723" s="153">
        <f ca="1" t="shared" si="126"/>
        <v>1403029</v>
      </c>
      <c r="AP723" s="153" t="str">
        <f ca="1">IF(AC723=0,0,IF(AC723=12,0,OFFSET(effect!$N$1,MATCH(K723,effect!M:M,0)-1,0)))</f>
        <v>kpsx_pt</v>
      </c>
    </row>
    <row r="724" ht="21" customHeight="1" spans="1:42">
      <c r="A724" s="153">
        <f ca="1" t="shared" si="119"/>
        <v>1403029</v>
      </c>
      <c r="B724" s="91" t="s">
        <v>681</v>
      </c>
      <c r="C724" s="186">
        <v>1</v>
      </c>
      <c r="D724" s="186">
        <v>5</v>
      </c>
      <c r="E724" s="165" t="s">
        <v>1050</v>
      </c>
      <c r="F724" s="165" t="str">
        <f>"上一招为拳法时，增加"&amp;skill!$O$57/100&amp;"%伤害"</f>
        <v>上一招为拳法时，增加50%伤害</v>
      </c>
      <c r="G724" s="186">
        <f ca="1">OFFSET(卡牌辅助配置表!$C$1,MATCH(AC724,卡牌辅助配置表!A:A,0)-1,0)</f>
        <v>3</v>
      </c>
      <c r="H724" s="186">
        <f ca="1">OFFSET(skill!$Q$1,MATCH(B724,skill!B:B,0)-1,0)</f>
        <v>0.666666666666667</v>
      </c>
      <c r="I724" s="186"/>
      <c r="J724" s="186">
        <f ca="1">OFFSET(card_type!$F$1,MATCH(Q724,card_type!A:A,0)-1,0)</f>
        <v>4</v>
      </c>
      <c r="K724" s="243">
        <f ca="1">OFFSET(card_type!$G$1,MATCH(Q724,card_type!A:A,0)-1,0)</f>
        <v>2</v>
      </c>
      <c r="L724" s="157">
        <v>2</v>
      </c>
      <c r="M724" s="157">
        <v>2</v>
      </c>
      <c r="N724" s="153">
        <f t="shared" si="120"/>
        <v>29</v>
      </c>
      <c r="O724" s="157"/>
      <c r="P724" s="157"/>
      <c r="Q724" s="153">
        <f ca="1">OFFSET(card_type!$A$1,MATCH(card!B724,card_type!B:B,0)-1,0)</f>
        <v>1403</v>
      </c>
      <c r="R724" s="153">
        <v>1</v>
      </c>
      <c r="S724" s="157">
        <f ca="1">ROUND(IF(R724=0,0,IF(R724=1,X724*$S$1,IF(R724=2,X724*$S$1*buff的资质计算!$E$2,IF(R724=3,X724*$S$1*buff的资质计算!$E$3,0)))),0)*0</f>
        <v>0</v>
      </c>
      <c r="T724" s="153">
        <v>1</v>
      </c>
      <c r="U724" s="153">
        <f ca="1" t="shared" si="121"/>
        <v>42</v>
      </c>
      <c r="V724" s="153">
        <f ca="1">ROUND((OFFSET(卡牌辅助配置表!$O$1,MATCH(U724,卡牌辅助配置表!M:M,0)-1,0)+(N724-1)*OFFSET(卡牌辅助配置表!$P$1,MATCH(U724,卡牌辅助配置表!M:M,0)-1,0))*M724,2)</f>
        <v>248.65</v>
      </c>
      <c r="W724" s="157">
        <f ca="1">ROUND(IF(R724=0,0,IF(R724=1,X724*$W$1,IF(R724=2,X724*$W$1*buff的资质计算!$E$2,IF(R724=3,X724*$W$1*buff的资质计算!$E$3,0)))),2)</f>
        <v>19.5</v>
      </c>
      <c r="X724" s="157">
        <f ca="1" t="shared" si="122"/>
        <v>65</v>
      </c>
      <c r="Y724" s="157">
        <f ca="1" t="shared" si="127"/>
        <v>65.6666666666667</v>
      </c>
      <c r="Z724" s="304">
        <f ca="1" t="shared" si="123"/>
        <v>32.8333333333333</v>
      </c>
      <c r="AA724" s="304">
        <f ca="1">OFFSET(卡牌辅助配置表!$AD$1,MATCH(AB724,卡牌辅助配置表!AB:AB,0)-1,0)</f>
        <v>19780</v>
      </c>
      <c r="AB724" s="304">
        <f ca="1" t="shared" si="124"/>
        <v>4229</v>
      </c>
      <c r="AC724" s="153">
        <v>3</v>
      </c>
      <c r="AE724" s="153">
        <v>1</v>
      </c>
      <c r="AF724" s="153" t="str">
        <f ca="1" t="shared" si="128"/>
        <v>14030011|</v>
      </c>
      <c r="AJ724" s="205" t="str">
        <f ca="1" t="shared" si="125"/>
        <v>301403|30|;400023|21450|;</v>
      </c>
      <c r="AK724" s="205">
        <f ca="1">OFFSET([1]item_type!$A$1,MATCH(Q724,[1]item_type!$G:$G,0)-1,0)</f>
        <v>301403</v>
      </c>
      <c r="AL724" s="205">
        <v>30</v>
      </c>
      <c r="AM724" s="205">
        <f ca="1">IF(B724=B725,OFFSET(卡牌辅助配置表!$AE$1,MATCH(AB724,卡牌辅助配置表!AB:AB,0),0),0)</f>
        <v>21450</v>
      </c>
      <c r="AN724" s="153">
        <f ca="1" t="shared" si="126"/>
        <v>1403030</v>
      </c>
      <c r="AP724" s="153" t="str">
        <f ca="1">IF(AC724=0,0,IF(AC724=12,0,OFFSET(effect!$N$1,MATCH(K724,effect!M:M,0)-1,0)))</f>
        <v>kpsx_pt</v>
      </c>
    </row>
    <row r="725" ht="21" customHeight="1" spans="1:42">
      <c r="A725" s="153">
        <f ca="1" t="shared" si="119"/>
        <v>1403030</v>
      </c>
      <c r="B725" s="91" t="s">
        <v>681</v>
      </c>
      <c r="C725" s="186">
        <v>1</v>
      </c>
      <c r="D725" s="186">
        <v>5</v>
      </c>
      <c r="E725" s="165" t="s">
        <v>1050</v>
      </c>
      <c r="F725" s="165" t="str">
        <f>"上一招为拳法时，增加"&amp;skill!$O$57/100&amp;"%伤害"</f>
        <v>上一招为拳法时，增加50%伤害</v>
      </c>
      <c r="G725" s="186">
        <f ca="1">OFFSET(卡牌辅助配置表!$C$1,MATCH(AC725,卡牌辅助配置表!A:A,0)-1,0)</f>
        <v>3</v>
      </c>
      <c r="H725" s="186">
        <f ca="1">OFFSET(skill!$Q$1,MATCH(B725,skill!B:B,0)-1,0)</f>
        <v>0.666666666666667</v>
      </c>
      <c r="I725" s="186"/>
      <c r="J725" s="186">
        <f ca="1">OFFSET(card_type!$F$1,MATCH(Q725,card_type!A:A,0)-1,0)</f>
        <v>4</v>
      </c>
      <c r="K725" s="243">
        <f ca="1">OFFSET(card_type!$G$1,MATCH(Q725,card_type!A:A,0)-1,0)</f>
        <v>2</v>
      </c>
      <c r="L725" s="157">
        <v>2</v>
      </c>
      <c r="M725" s="157">
        <v>2</v>
      </c>
      <c r="N725" s="153">
        <f t="shared" si="120"/>
        <v>30</v>
      </c>
      <c r="O725" s="157"/>
      <c r="P725" s="157"/>
      <c r="Q725" s="153">
        <f ca="1">OFFSET(card_type!$A$1,MATCH(card!B725,card_type!B:B,0)-1,0)</f>
        <v>1403</v>
      </c>
      <c r="R725" s="153">
        <v>1</v>
      </c>
      <c r="S725" s="157">
        <f ca="1">ROUND(IF(R725=0,0,IF(R725=1,X725*$S$1,IF(R725=2,X725*$S$1*buff的资质计算!$E$2,IF(R725=3,X725*$S$1*buff的资质计算!$E$3,0)))),0)*0</f>
        <v>0</v>
      </c>
      <c r="T725" s="153">
        <v>1</v>
      </c>
      <c r="U725" s="153">
        <f ca="1" t="shared" si="121"/>
        <v>42</v>
      </c>
      <c r="V725" s="153">
        <f ca="1">ROUND((OFFSET(卡牌辅助配置表!$O$1,MATCH(U725,卡牌辅助配置表!M:M,0)-1,0)+(N725-1)*OFFSET(卡牌辅助配置表!$P$1,MATCH(U725,卡牌辅助配置表!M:M,0)-1,0))*M725,2)</f>
        <v>255.95</v>
      </c>
      <c r="W725" s="157">
        <f ca="1">ROUND(IF(R725=0,0,IF(R725=1,X725*$W$1,IF(R725=2,X725*$W$1*buff的资质计算!$E$2,IF(R725=3,X725*$W$1*buff的资质计算!$E$3,0)))),2)</f>
        <v>19.65</v>
      </c>
      <c r="X725" s="157">
        <f ca="1" t="shared" si="122"/>
        <v>65.5</v>
      </c>
      <c r="Y725" s="157">
        <f ca="1" t="shared" si="127"/>
        <v>66.1666666666667</v>
      </c>
      <c r="Z725" s="304">
        <f ca="1" t="shared" si="123"/>
        <v>33.0833333333333</v>
      </c>
      <c r="AA725" s="304">
        <f ca="1">OFFSET(卡牌辅助配置表!$AD$1,MATCH(AB725,卡牌辅助配置表!AB:AB,0)-1,0)</f>
        <v>20700</v>
      </c>
      <c r="AB725" s="304">
        <f ca="1" t="shared" si="124"/>
        <v>4230</v>
      </c>
      <c r="AC725" s="153">
        <v>3</v>
      </c>
      <c r="AE725" s="153">
        <v>1</v>
      </c>
      <c r="AF725" s="153" t="str">
        <f ca="1" t="shared" si="128"/>
        <v>14030011|</v>
      </c>
      <c r="AJ725" s="205">
        <f ca="1" t="shared" si="125"/>
        <v>0</v>
      </c>
      <c r="AK725" s="205">
        <f ca="1">OFFSET([1]item_type!$A$1,MATCH(Q725,[1]item_type!$G:$G,0)-1,0)</f>
        <v>301403</v>
      </c>
      <c r="AL725" s="205"/>
      <c r="AM725" s="205">
        <f ca="1">IF(B725=B726,OFFSET(卡牌辅助配置表!$AE$1,MATCH(AB725,卡牌辅助配置表!AB:AB,0),0),0)</f>
        <v>0</v>
      </c>
      <c r="AN725" s="153">
        <f ca="1" t="shared" si="126"/>
        <v>0</v>
      </c>
      <c r="AP725" s="153" t="str">
        <f ca="1">IF(AC725=0,0,IF(AC725=12,0,OFFSET(effect!$N$1,MATCH(K725,effect!M:M,0)-1,0)))</f>
        <v>kpsx_pt</v>
      </c>
    </row>
    <row r="726" ht="21" customHeight="1" spans="1:42">
      <c r="A726" s="153">
        <f ca="1" t="shared" si="119"/>
        <v>1405001</v>
      </c>
      <c r="B726" s="299" t="s">
        <v>689</v>
      </c>
      <c r="C726" s="186">
        <v>1</v>
      </c>
      <c r="D726" s="186">
        <v>1</v>
      </c>
      <c r="E726" s="165" t="s">
        <v>1050</v>
      </c>
      <c r="F726" s="165" t="str">
        <f>"上一招为拳法时，本回合每出一张拳法牌，增加造成伤害"&amp;skill!$O$59/100&amp;"%的护甲"</f>
        <v>上一招为拳法时，本回合每出一张拳法牌，增加造成伤害55%的护甲</v>
      </c>
      <c r="G726" s="186">
        <f ca="1">OFFSET(卡牌辅助配置表!$C$1,MATCH(AC726,卡牌辅助配置表!A:A,0)-1,0)</f>
        <v>3</v>
      </c>
      <c r="H726" s="186">
        <f ca="1">OFFSET(skill!$Q$1,MATCH(B726,skill!B:B,0)-1,0)</f>
        <v>0.709677419354839</v>
      </c>
      <c r="I726" s="186"/>
      <c r="J726" s="186">
        <f ca="1">OFFSET(card_type!$F$1,MATCH(Q726,card_type!A:A,0)-1,0)</f>
        <v>4</v>
      </c>
      <c r="K726" s="243">
        <f ca="1">OFFSET(card_type!$G$1,MATCH(Q726,card_type!A:A,0)-1,0)</f>
        <v>4</v>
      </c>
      <c r="L726" s="157">
        <v>2</v>
      </c>
      <c r="M726" s="157">
        <v>2</v>
      </c>
      <c r="N726" s="153">
        <f t="shared" si="120"/>
        <v>1</v>
      </c>
      <c r="O726" s="157"/>
      <c r="P726" s="157"/>
      <c r="Q726" s="153">
        <f ca="1">OFFSET(card_type!$A$1,MATCH(card!B726,card_type!B:B,0)-1,0)</f>
        <v>1405</v>
      </c>
      <c r="R726" s="153">
        <v>1</v>
      </c>
      <c r="S726" s="157"/>
      <c r="T726" s="153">
        <v>2</v>
      </c>
      <c r="U726" s="153">
        <f ca="1" t="shared" si="121"/>
        <v>44</v>
      </c>
      <c r="V726" s="153">
        <f ca="1">ROUND((OFFSET(卡牌辅助配置表!$O$1,MATCH(U726,卡牌辅助配置表!M:M,0)-1,0)+(N726-1)*OFFSET(卡牌辅助配置表!$P$1,MATCH(U726,卡牌辅助配置表!M:M,0)-1,0))*M726,2)</f>
        <v>106.2</v>
      </c>
      <c r="W726" s="157">
        <f ca="1">ROUND(IF(R726=0,0,IF(R726=1,X726*$W$1,IF(R726=2,X726*$W$1*buff的资质计算!$E$2,IF(R726=3,X726*$W$1*buff的资质计算!$E$3,0)))),2)</f>
        <v>20.1</v>
      </c>
      <c r="X726" s="157">
        <f ca="1" t="shared" si="122"/>
        <v>67</v>
      </c>
      <c r="Y726" s="157">
        <f ca="1" t="shared" si="127"/>
        <v>67.7096774193548</v>
      </c>
      <c r="Z726" s="304">
        <f ca="1" t="shared" si="123"/>
        <v>33.8548387096774</v>
      </c>
      <c r="AA726" s="304">
        <f ca="1">OFFSET(卡牌辅助配置表!$AD$1,MATCH(AB726,卡牌辅助配置表!AB:AB,0)-1,0)</f>
        <v>1917</v>
      </c>
      <c r="AB726" s="304">
        <f ca="1" t="shared" si="124"/>
        <v>4401</v>
      </c>
      <c r="AC726" s="153">
        <v>1</v>
      </c>
      <c r="AE726" s="153">
        <v>1</v>
      </c>
      <c r="AF726" s="153" t="str">
        <f ca="1" t="shared" si="128"/>
        <v>14050011|</v>
      </c>
      <c r="AJ726" s="205" t="str">
        <f ca="1" t="shared" si="125"/>
        <v>400023|2100|;</v>
      </c>
      <c r="AK726" s="205">
        <f ca="1">OFFSET([1]item_type!$A$1,MATCH(Q726,[1]item_type!$G:$G,0)-1,0)</f>
        <v>301405</v>
      </c>
      <c r="AL726" s="205"/>
      <c r="AM726" s="205">
        <f ca="1">IF(B726=B727,OFFSET(卡牌辅助配置表!$AE$1,MATCH(AB726,卡牌辅助配置表!AB:AB,0),0),0)</f>
        <v>2100</v>
      </c>
      <c r="AN726" s="153">
        <f ca="1" t="shared" si="126"/>
        <v>1405002</v>
      </c>
      <c r="AP726" s="153" t="str">
        <f ca="1">IF(AC726=0,0,IF(AC726=12,0,OFFSET(effect!$N$1,MATCH(K726,effect!M:M,0)-1,0)))</f>
        <v>kpsx_huangse</v>
      </c>
    </row>
    <row r="727" ht="21" customHeight="1" spans="1:42">
      <c r="A727" s="153">
        <f ca="1" t="shared" si="119"/>
        <v>1405002</v>
      </c>
      <c r="B727" s="300" t="s">
        <v>689</v>
      </c>
      <c r="C727" s="186">
        <v>1</v>
      </c>
      <c r="D727" s="186">
        <v>1</v>
      </c>
      <c r="E727" s="165" t="s">
        <v>1050</v>
      </c>
      <c r="F727" s="165" t="str">
        <f>"上一招为拳法时，本回合每出一张拳法牌，增加造成伤害"&amp;skill!$O$59/100&amp;"%的护甲"</f>
        <v>上一招为拳法时，本回合每出一张拳法牌，增加造成伤害55%的护甲</v>
      </c>
      <c r="G727" s="186">
        <f ca="1">OFFSET(卡牌辅助配置表!$C$1,MATCH(AC727,卡牌辅助配置表!A:A,0)-1,0)</f>
        <v>3</v>
      </c>
      <c r="H727" s="186">
        <f ca="1">OFFSET(skill!$Q$1,MATCH(B727,skill!B:B,0)-1,0)</f>
        <v>0.709677419354839</v>
      </c>
      <c r="I727" s="186"/>
      <c r="J727" s="186">
        <f ca="1">OFFSET(card_type!$F$1,MATCH(Q727,card_type!A:A,0)-1,0)</f>
        <v>4</v>
      </c>
      <c r="K727" s="243">
        <f ca="1">OFFSET(card_type!$G$1,MATCH(Q727,card_type!A:A,0)-1,0)</f>
        <v>4</v>
      </c>
      <c r="L727" s="157">
        <v>2</v>
      </c>
      <c r="M727" s="157">
        <v>2</v>
      </c>
      <c r="N727" s="153">
        <f t="shared" si="120"/>
        <v>2</v>
      </c>
      <c r="O727" s="157"/>
      <c r="P727" s="157"/>
      <c r="Q727" s="153">
        <f ca="1">OFFSET(card_type!$A$1,MATCH(card!B727,card_type!B:B,0)-1,0)</f>
        <v>1405</v>
      </c>
      <c r="R727" s="153">
        <v>1</v>
      </c>
      <c r="S727" s="157"/>
      <c r="T727" s="153">
        <v>2</v>
      </c>
      <c r="U727" s="153">
        <f ca="1" t="shared" si="121"/>
        <v>44</v>
      </c>
      <c r="V727" s="153">
        <f ca="1">ROUND((OFFSET(卡牌辅助配置表!$O$1,MATCH(U727,卡牌辅助配置表!M:M,0)-1,0)+(N727-1)*OFFSET(卡牌辅助配置表!$P$1,MATCH(U727,卡牌辅助配置表!M:M,0)-1,0))*M727,2)</f>
        <v>120.36</v>
      </c>
      <c r="W727" s="157"/>
      <c r="X727" s="157"/>
      <c r="Y727" s="157"/>
      <c r="Z727" s="304"/>
      <c r="AA727" s="304">
        <f ca="1">OFFSET(卡牌辅助配置表!$AD$1,MATCH(AB727,卡牌辅助配置表!AB:AB,0)-1,0)</f>
        <v>3834</v>
      </c>
      <c r="AB727" s="304">
        <f ca="1" t="shared" si="124"/>
        <v>4402</v>
      </c>
      <c r="AC727" s="153">
        <v>1</v>
      </c>
      <c r="AE727" s="153">
        <v>1</v>
      </c>
      <c r="AF727" s="153" t="str">
        <f ca="1" t="shared" si="128"/>
        <v>14050011|</v>
      </c>
      <c r="AJ727" s="205" t="str">
        <f ca="1" t="shared" si="125"/>
        <v>400023|2700|;</v>
      </c>
      <c r="AK727" s="205">
        <f ca="1">OFFSET([1]item_type!$A$1,MATCH(Q727,[1]item_type!$G:$G,0)-1,0)</f>
        <v>301405</v>
      </c>
      <c r="AL727" s="205"/>
      <c r="AM727" s="205">
        <f ca="1">IF(B727=B728,OFFSET(卡牌辅助配置表!$AE$1,MATCH(AB727,卡牌辅助配置表!AB:AB,0),0),0)</f>
        <v>2700</v>
      </c>
      <c r="AN727" s="153">
        <f ca="1" t="shared" si="126"/>
        <v>1405003</v>
      </c>
      <c r="AP727" s="153" t="str">
        <f ca="1">IF(AC727=0,0,IF(AC727=12,0,OFFSET(effect!$N$1,MATCH(K727,effect!M:M,0)-1,0)))</f>
        <v>kpsx_huangse</v>
      </c>
    </row>
    <row r="728" ht="21" customHeight="1" spans="1:42">
      <c r="A728" s="153">
        <f ca="1" t="shared" si="119"/>
        <v>1405003</v>
      </c>
      <c r="B728" s="300" t="s">
        <v>689</v>
      </c>
      <c r="C728" s="186">
        <v>1</v>
      </c>
      <c r="D728" s="186">
        <v>1</v>
      </c>
      <c r="E728" s="165" t="s">
        <v>1050</v>
      </c>
      <c r="F728" s="165" t="str">
        <f>"上一招为拳法时，本回合每出一张拳法牌，增加造成伤害"&amp;skill!$O$59/100&amp;"%的护甲"</f>
        <v>上一招为拳法时，本回合每出一张拳法牌，增加造成伤害55%的护甲</v>
      </c>
      <c r="G728" s="186">
        <f ca="1">OFFSET(卡牌辅助配置表!$C$1,MATCH(AC728,卡牌辅助配置表!A:A,0)-1,0)</f>
        <v>3</v>
      </c>
      <c r="H728" s="186">
        <f ca="1">OFFSET(skill!$Q$1,MATCH(B728,skill!B:B,0)-1,0)</f>
        <v>0.709677419354839</v>
      </c>
      <c r="I728" s="186"/>
      <c r="J728" s="186">
        <f ca="1">OFFSET(card_type!$F$1,MATCH(Q728,card_type!A:A,0)-1,0)</f>
        <v>4</v>
      </c>
      <c r="K728" s="243">
        <f ca="1">OFFSET(card_type!$G$1,MATCH(Q728,card_type!A:A,0)-1,0)</f>
        <v>4</v>
      </c>
      <c r="L728" s="157">
        <v>2</v>
      </c>
      <c r="M728" s="157">
        <v>2</v>
      </c>
      <c r="N728" s="153">
        <f t="shared" si="120"/>
        <v>3</v>
      </c>
      <c r="O728" s="157"/>
      <c r="P728" s="157"/>
      <c r="Q728" s="153">
        <f ca="1">OFFSET(card_type!$A$1,MATCH(card!B728,card_type!B:B,0)-1,0)</f>
        <v>1405</v>
      </c>
      <c r="R728" s="153">
        <v>1</v>
      </c>
      <c r="S728" s="157"/>
      <c r="T728" s="153">
        <v>2</v>
      </c>
      <c r="U728" s="153">
        <f ca="1" t="shared" si="121"/>
        <v>44</v>
      </c>
      <c r="V728" s="153">
        <f ca="1">ROUND((OFFSET(卡牌辅助配置表!$O$1,MATCH(U728,卡牌辅助配置表!M:M,0)-1,0)+(N728-1)*OFFSET(卡牌辅助配置表!$P$1,MATCH(U728,卡牌辅助配置表!M:M,0)-1,0))*M728,2)</f>
        <v>134.52</v>
      </c>
      <c r="W728" s="157"/>
      <c r="X728" s="157"/>
      <c r="Y728" s="157"/>
      <c r="Z728" s="304"/>
      <c r="AA728" s="304">
        <f ca="1">OFFSET(卡牌辅助配置表!$AD$1,MATCH(AB728,卡牌辅助配置表!AB:AB,0)-1,0)</f>
        <v>5751</v>
      </c>
      <c r="AB728" s="304">
        <f ca="1" t="shared" si="124"/>
        <v>4403</v>
      </c>
      <c r="AC728" s="153">
        <v>1</v>
      </c>
      <c r="AE728" s="153">
        <v>1</v>
      </c>
      <c r="AF728" s="153" t="str">
        <f ca="1" t="shared" si="128"/>
        <v>14050011|</v>
      </c>
      <c r="AJ728" s="205" t="str">
        <f ca="1" t="shared" si="125"/>
        <v>400023|3300|;</v>
      </c>
      <c r="AK728" s="205">
        <f ca="1">OFFSET([1]item_type!$A$1,MATCH(Q728,[1]item_type!$G:$G,0)-1,0)</f>
        <v>301405</v>
      </c>
      <c r="AL728" s="205"/>
      <c r="AM728" s="205">
        <f ca="1">IF(B728=B729,OFFSET(卡牌辅助配置表!$AE$1,MATCH(AB728,卡牌辅助配置表!AB:AB,0),0),0)</f>
        <v>3300</v>
      </c>
      <c r="AN728" s="153">
        <f ca="1" t="shared" si="126"/>
        <v>1405004</v>
      </c>
      <c r="AP728" s="153" t="str">
        <f ca="1">IF(AC728=0,0,IF(AC728=12,0,OFFSET(effect!$N$1,MATCH(K728,effect!M:M,0)-1,0)))</f>
        <v>kpsx_huangse</v>
      </c>
    </row>
    <row r="729" ht="21" customHeight="1" spans="1:42">
      <c r="A729" s="153">
        <f ca="1" t="shared" si="119"/>
        <v>1405004</v>
      </c>
      <c r="B729" s="300" t="s">
        <v>689</v>
      </c>
      <c r="C729" s="186">
        <v>1</v>
      </c>
      <c r="D729" s="186">
        <v>1</v>
      </c>
      <c r="E729" s="165" t="s">
        <v>1050</v>
      </c>
      <c r="F729" s="165" t="str">
        <f>"上一招为拳法时，本回合每出一张拳法牌，增加造成伤害"&amp;skill!$O$59/100&amp;"%的护甲"</f>
        <v>上一招为拳法时，本回合每出一张拳法牌，增加造成伤害55%的护甲</v>
      </c>
      <c r="G729" s="186">
        <f ca="1">OFFSET(卡牌辅助配置表!$C$1,MATCH(AC729,卡牌辅助配置表!A:A,0)-1,0)</f>
        <v>3</v>
      </c>
      <c r="H729" s="186">
        <f ca="1">OFFSET(skill!$Q$1,MATCH(B729,skill!B:B,0)-1,0)</f>
        <v>0.709677419354839</v>
      </c>
      <c r="I729" s="186"/>
      <c r="J729" s="186">
        <f ca="1">OFFSET(card_type!$F$1,MATCH(Q729,card_type!A:A,0)-1,0)</f>
        <v>4</v>
      </c>
      <c r="K729" s="243">
        <f ca="1">OFFSET(card_type!$G$1,MATCH(Q729,card_type!A:A,0)-1,0)</f>
        <v>4</v>
      </c>
      <c r="L729" s="157">
        <v>2</v>
      </c>
      <c r="M729" s="157">
        <v>2</v>
      </c>
      <c r="N729" s="153">
        <f t="shared" si="120"/>
        <v>4</v>
      </c>
      <c r="O729" s="157"/>
      <c r="P729" s="157"/>
      <c r="Q729" s="153">
        <f ca="1">OFFSET(card_type!$A$1,MATCH(card!B729,card_type!B:B,0)-1,0)</f>
        <v>1405</v>
      </c>
      <c r="R729" s="153">
        <v>1</v>
      </c>
      <c r="S729" s="157"/>
      <c r="T729" s="153">
        <v>2</v>
      </c>
      <c r="U729" s="153">
        <f ca="1" t="shared" si="121"/>
        <v>44</v>
      </c>
      <c r="V729" s="153">
        <f ca="1">ROUND((OFFSET(卡牌辅助配置表!$O$1,MATCH(U729,卡牌辅助配置表!M:M,0)-1,0)+(N729-1)*OFFSET(卡牌辅助配置表!$P$1,MATCH(U729,卡牌辅助配置表!M:M,0)-1,0))*M729,2)</f>
        <v>148.68</v>
      </c>
      <c r="W729" s="157"/>
      <c r="X729" s="157"/>
      <c r="Y729" s="157"/>
      <c r="Z729" s="304"/>
      <c r="AA729" s="304">
        <f ca="1">OFFSET(卡牌辅助配置表!$AD$1,MATCH(AB729,卡牌辅助配置表!AB:AB,0)-1,0)</f>
        <v>7668</v>
      </c>
      <c r="AB729" s="304">
        <f ca="1" t="shared" si="124"/>
        <v>4404</v>
      </c>
      <c r="AC729" s="153">
        <v>1</v>
      </c>
      <c r="AE729" s="153">
        <v>1</v>
      </c>
      <c r="AF729" s="153" t="str">
        <f ca="1" t="shared" si="128"/>
        <v>14050011|</v>
      </c>
      <c r="AJ729" s="205" t="str">
        <f ca="1" t="shared" si="125"/>
        <v>400023|3900|;</v>
      </c>
      <c r="AK729" s="205">
        <f ca="1">OFFSET([1]item_type!$A$1,MATCH(Q729,[1]item_type!$G:$G,0)-1,0)</f>
        <v>301405</v>
      </c>
      <c r="AL729" s="205"/>
      <c r="AM729" s="205">
        <f ca="1">IF(B729=B730,OFFSET(卡牌辅助配置表!$AE$1,MATCH(AB729,卡牌辅助配置表!AB:AB,0),0),0)</f>
        <v>3900</v>
      </c>
      <c r="AN729" s="153">
        <f ca="1" t="shared" si="126"/>
        <v>1405005</v>
      </c>
      <c r="AP729" s="153" t="str">
        <f ca="1">IF(AC729=0,0,IF(AC729=12,0,OFFSET(effect!$N$1,MATCH(K729,effect!M:M,0)-1,0)))</f>
        <v>kpsx_huangse</v>
      </c>
    </row>
    <row r="730" ht="21" customHeight="1" spans="1:42">
      <c r="A730" s="153">
        <f ca="1" t="shared" si="119"/>
        <v>1405005</v>
      </c>
      <c r="B730" s="300" t="s">
        <v>689</v>
      </c>
      <c r="C730" s="186">
        <v>1</v>
      </c>
      <c r="D730" s="186">
        <v>1</v>
      </c>
      <c r="E730" s="165" t="s">
        <v>1050</v>
      </c>
      <c r="F730" s="165" t="str">
        <f>"上一招为拳法时，本回合每出一张拳法牌，增加造成伤害"&amp;skill!$O$59/100&amp;"%的护甲"</f>
        <v>上一招为拳法时，本回合每出一张拳法牌，增加造成伤害55%的护甲</v>
      </c>
      <c r="G730" s="186">
        <f ca="1">OFFSET(卡牌辅助配置表!$C$1,MATCH(AC730,卡牌辅助配置表!A:A,0)-1,0)</f>
        <v>3</v>
      </c>
      <c r="H730" s="186">
        <f ca="1">OFFSET(skill!$Q$1,MATCH(B730,skill!B:B,0)-1,0)</f>
        <v>0.709677419354839</v>
      </c>
      <c r="I730" s="186"/>
      <c r="J730" s="186">
        <f ca="1">OFFSET(card_type!$F$1,MATCH(Q730,card_type!A:A,0)-1,0)</f>
        <v>4</v>
      </c>
      <c r="K730" s="243">
        <f ca="1">OFFSET(card_type!$G$1,MATCH(Q730,card_type!A:A,0)-1,0)</f>
        <v>4</v>
      </c>
      <c r="L730" s="157">
        <v>2</v>
      </c>
      <c r="M730" s="157">
        <v>2</v>
      </c>
      <c r="N730" s="153">
        <f t="shared" si="120"/>
        <v>5</v>
      </c>
      <c r="O730" s="157"/>
      <c r="P730" s="157"/>
      <c r="Q730" s="153">
        <f ca="1">OFFSET(card_type!$A$1,MATCH(card!B730,card_type!B:B,0)-1,0)</f>
        <v>1405</v>
      </c>
      <c r="R730" s="153">
        <v>1</v>
      </c>
      <c r="S730" s="157"/>
      <c r="T730" s="153">
        <v>2</v>
      </c>
      <c r="U730" s="153">
        <f ca="1" t="shared" si="121"/>
        <v>44</v>
      </c>
      <c r="V730" s="153">
        <f ca="1">ROUND((OFFSET(卡牌辅助配置表!$O$1,MATCH(U730,卡牌辅助配置表!M:M,0)-1,0)+(N730-1)*OFFSET(卡牌辅助配置表!$P$1,MATCH(U730,卡牌辅助配置表!M:M,0)-1,0))*M730,2)</f>
        <v>162.84</v>
      </c>
      <c r="W730" s="157"/>
      <c r="X730" s="157"/>
      <c r="Y730" s="157"/>
      <c r="Z730" s="304"/>
      <c r="AA730" s="304">
        <f ca="1">OFFSET(卡牌辅助配置表!$AD$1,MATCH(AB730,卡牌辅助配置表!AB:AB,0)-1,0)</f>
        <v>9585</v>
      </c>
      <c r="AB730" s="304">
        <f ca="1" t="shared" si="124"/>
        <v>4405</v>
      </c>
      <c r="AC730" s="153">
        <v>1</v>
      </c>
      <c r="AE730" s="153">
        <v>1</v>
      </c>
      <c r="AF730" s="153" t="str">
        <f ca="1" t="shared" si="128"/>
        <v>14050011|</v>
      </c>
      <c r="AJ730" s="205" t="str">
        <f ca="1" t="shared" si="125"/>
        <v>400023|4500|;</v>
      </c>
      <c r="AK730" s="205">
        <f ca="1">OFFSET([1]item_type!$A$1,MATCH(Q730,[1]item_type!$G:$G,0)-1,0)</f>
        <v>301405</v>
      </c>
      <c r="AL730" s="205"/>
      <c r="AM730" s="205">
        <f ca="1">IF(B730=B731,OFFSET(卡牌辅助配置表!$AE$1,MATCH(AB730,卡牌辅助配置表!AB:AB,0),0),0)</f>
        <v>4500</v>
      </c>
      <c r="AN730" s="153">
        <f ca="1" t="shared" si="126"/>
        <v>1405006</v>
      </c>
      <c r="AP730" s="153" t="str">
        <f ca="1">IF(AC730=0,0,IF(AC730=12,0,OFFSET(effect!$N$1,MATCH(K730,effect!M:M,0)-1,0)))</f>
        <v>kpsx_huangse</v>
      </c>
    </row>
    <row r="731" ht="21" customHeight="1" spans="1:42">
      <c r="A731" s="153">
        <f ca="1" t="shared" si="119"/>
        <v>1405006</v>
      </c>
      <c r="B731" s="300" t="s">
        <v>689</v>
      </c>
      <c r="C731" s="186">
        <v>1</v>
      </c>
      <c r="D731" s="186">
        <v>1</v>
      </c>
      <c r="E731" s="165" t="s">
        <v>1050</v>
      </c>
      <c r="F731" s="165" t="str">
        <f>"上一招为拳法时，本回合每出一张拳法牌，增加造成伤害"&amp;skill!$O$59/100&amp;"%的护甲"</f>
        <v>上一招为拳法时，本回合每出一张拳法牌，增加造成伤害55%的护甲</v>
      </c>
      <c r="G731" s="186">
        <f ca="1">OFFSET(卡牌辅助配置表!$C$1,MATCH(AC731,卡牌辅助配置表!A:A,0)-1,0)</f>
        <v>3</v>
      </c>
      <c r="H731" s="186">
        <f ca="1">OFFSET(skill!$Q$1,MATCH(B731,skill!B:B,0)-1,0)</f>
        <v>0.709677419354839</v>
      </c>
      <c r="I731" s="186"/>
      <c r="J731" s="186">
        <f ca="1">OFFSET(card_type!$F$1,MATCH(Q731,card_type!A:A,0)-1,0)</f>
        <v>4</v>
      </c>
      <c r="K731" s="243">
        <f ca="1">OFFSET(card_type!$G$1,MATCH(Q731,card_type!A:A,0)-1,0)</f>
        <v>4</v>
      </c>
      <c r="L731" s="157">
        <v>2</v>
      </c>
      <c r="M731" s="157">
        <v>2</v>
      </c>
      <c r="N731" s="153">
        <f t="shared" si="120"/>
        <v>6</v>
      </c>
      <c r="O731" s="157"/>
      <c r="P731" s="157"/>
      <c r="Q731" s="153">
        <f ca="1">OFFSET(card_type!$A$1,MATCH(card!B731,card_type!B:B,0)-1,0)</f>
        <v>1405</v>
      </c>
      <c r="R731" s="153">
        <v>1</v>
      </c>
      <c r="S731" s="157"/>
      <c r="T731" s="153">
        <v>2</v>
      </c>
      <c r="U731" s="153">
        <f ca="1" t="shared" si="121"/>
        <v>44</v>
      </c>
      <c r="V731" s="153">
        <f ca="1">ROUND((OFFSET(卡牌辅助配置表!$O$1,MATCH(U731,卡牌辅助配置表!M:M,0)-1,0)+(N731-1)*OFFSET(卡牌辅助配置表!$P$1,MATCH(U731,卡牌辅助配置表!M:M,0)-1,0))*M731,2)</f>
        <v>177</v>
      </c>
      <c r="W731" s="157"/>
      <c r="X731" s="157"/>
      <c r="Y731" s="157"/>
      <c r="Z731" s="304"/>
      <c r="AA731" s="304">
        <f ca="1">OFFSET(卡牌辅助配置表!$AD$1,MATCH(AB731,卡牌辅助配置表!AB:AB,0)-1,0)</f>
        <v>11502</v>
      </c>
      <c r="AB731" s="304">
        <f ca="1" t="shared" si="124"/>
        <v>4406</v>
      </c>
      <c r="AC731" s="153">
        <v>1</v>
      </c>
      <c r="AE731" s="153">
        <v>1</v>
      </c>
      <c r="AF731" s="153" t="str">
        <f ca="1" t="shared" si="128"/>
        <v>14050011|</v>
      </c>
      <c r="AJ731" s="205" t="str">
        <f ca="1" t="shared" si="125"/>
        <v>400023|5100|;</v>
      </c>
      <c r="AK731" s="205">
        <f ca="1">OFFSET([1]item_type!$A$1,MATCH(Q731,[1]item_type!$G:$G,0)-1,0)</f>
        <v>301405</v>
      </c>
      <c r="AL731" s="205"/>
      <c r="AM731" s="205">
        <f ca="1">IF(B731=B732,OFFSET(卡牌辅助配置表!$AE$1,MATCH(AB731,卡牌辅助配置表!AB:AB,0),0),0)</f>
        <v>5100</v>
      </c>
      <c r="AN731" s="153">
        <f ca="1" t="shared" si="126"/>
        <v>1405007</v>
      </c>
      <c r="AP731" s="153" t="str">
        <f ca="1">IF(AC731=0,0,IF(AC731=12,0,OFFSET(effect!$N$1,MATCH(K731,effect!M:M,0)-1,0)))</f>
        <v>kpsx_huangse</v>
      </c>
    </row>
    <row r="732" ht="21" customHeight="1" spans="1:42">
      <c r="A732" s="153">
        <f ca="1" t="shared" si="119"/>
        <v>1405007</v>
      </c>
      <c r="B732" s="300" t="s">
        <v>689</v>
      </c>
      <c r="C732" s="186">
        <v>1</v>
      </c>
      <c r="D732" s="186">
        <v>1</v>
      </c>
      <c r="E732" s="165" t="s">
        <v>1050</v>
      </c>
      <c r="F732" s="165" t="str">
        <f>"上一招为拳法时，本回合每出一张拳法牌，增加造成伤害"&amp;skill!$O$59/100&amp;"%的护甲"</f>
        <v>上一招为拳法时，本回合每出一张拳法牌，增加造成伤害55%的护甲</v>
      </c>
      <c r="G732" s="186">
        <f ca="1">OFFSET(卡牌辅助配置表!$C$1,MATCH(AC732,卡牌辅助配置表!A:A,0)-1,0)</f>
        <v>3</v>
      </c>
      <c r="H732" s="186">
        <f ca="1">OFFSET(skill!$Q$1,MATCH(B732,skill!B:B,0)-1,0)</f>
        <v>0.709677419354839</v>
      </c>
      <c r="I732" s="186"/>
      <c r="J732" s="186">
        <f ca="1">OFFSET(card_type!$F$1,MATCH(Q732,card_type!A:A,0)-1,0)</f>
        <v>4</v>
      </c>
      <c r="K732" s="243">
        <f ca="1">OFFSET(card_type!$G$1,MATCH(Q732,card_type!A:A,0)-1,0)</f>
        <v>4</v>
      </c>
      <c r="L732" s="157">
        <v>2</v>
      </c>
      <c r="M732" s="157">
        <v>2</v>
      </c>
      <c r="N732" s="153">
        <f t="shared" si="120"/>
        <v>7</v>
      </c>
      <c r="O732" s="157"/>
      <c r="P732" s="157"/>
      <c r="Q732" s="153">
        <f ca="1">OFFSET(card_type!$A$1,MATCH(card!B732,card_type!B:B,0)-1,0)</f>
        <v>1405</v>
      </c>
      <c r="R732" s="153">
        <v>1</v>
      </c>
      <c r="S732" s="157"/>
      <c r="T732" s="153">
        <v>2</v>
      </c>
      <c r="U732" s="153">
        <f ca="1" t="shared" si="121"/>
        <v>44</v>
      </c>
      <c r="V732" s="153">
        <f ca="1">ROUND((OFFSET(卡牌辅助配置表!$O$1,MATCH(U732,卡牌辅助配置表!M:M,0)-1,0)+(N732-1)*OFFSET(卡牌辅助配置表!$P$1,MATCH(U732,卡牌辅助配置表!M:M,0)-1,0))*M732,2)</f>
        <v>191.16</v>
      </c>
      <c r="W732" s="157"/>
      <c r="X732" s="157"/>
      <c r="Y732" s="157"/>
      <c r="Z732" s="304"/>
      <c r="AA732" s="304">
        <f ca="1">OFFSET(卡牌辅助配置表!$AD$1,MATCH(AB732,卡牌辅助配置表!AB:AB,0)-1,0)</f>
        <v>13419</v>
      </c>
      <c r="AB732" s="304">
        <f ca="1" t="shared" si="124"/>
        <v>4407</v>
      </c>
      <c r="AC732" s="153">
        <v>1</v>
      </c>
      <c r="AE732" s="153">
        <v>1</v>
      </c>
      <c r="AF732" s="153" t="str">
        <f ca="1" t="shared" si="128"/>
        <v>14050011|</v>
      </c>
      <c r="AJ732" s="205" t="str">
        <f ca="1" t="shared" si="125"/>
        <v>400023|5700|;</v>
      </c>
      <c r="AK732" s="205">
        <f ca="1">OFFSET([1]item_type!$A$1,MATCH(Q732,[1]item_type!$G:$G,0)-1,0)</f>
        <v>301405</v>
      </c>
      <c r="AL732" s="205"/>
      <c r="AM732" s="205">
        <f ca="1">IF(B732=B733,OFFSET(卡牌辅助配置表!$AE$1,MATCH(AB732,卡牌辅助配置表!AB:AB,0),0),0)</f>
        <v>5700</v>
      </c>
      <c r="AN732" s="153">
        <f ca="1" t="shared" si="126"/>
        <v>1405008</v>
      </c>
      <c r="AP732" s="153" t="str">
        <f ca="1">IF(AC732=0,0,IF(AC732=12,0,OFFSET(effect!$N$1,MATCH(K732,effect!M:M,0)-1,0)))</f>
        <v>kpsx_huangse</v>
      </c>
    </row>
    <row r="733" ht="21" customHeight="1" spans="1:42">
      <c r="A733" s="153">
        <f ca="1" t="shared" si="119"/>
        <v>1405008</v>
      </c>
      <c r="B733" s="300" t="s">
        <v>689</v>
      </c>
      <c r="C733" s="186">
        <v>1</v>
      </c>
      <c r="D733" s="186">
        <v>1</v>
      </c>
      <c r="E733" s="165" t="s">
        <v>1050</v>
      </c>
      <c r="F733" s="165" t="str">
        <f>"上一招为拳法时，本回合每出一张拳法牌，增加造成伤害"&amp;skill!$O$59/100&amp;"%的护甲"</f>
        <v>上一招为拳法时，本回合每出一张拳法牌，增加造成伤害55%的护甲</v>
      </c>
      <c r="G733" s="186">
        <f ca="1">OFFSET(卡牌辅助配置表!$C$1,MATCH(AC733,卡牌辅助配置表!A:A,0)-1,0)</f>
        <v>3</v>
      </c>
      <c r="H733" s="186">
        <f ca="1">OFFSET(skill!$Q$1,MATCH(B733,skill!B:B,0)-1,0)</f>
        <v>0.709677419354839</v>
      </c>
      <c r="I733" s="186"/>
      <c r="J733" s="186">
        <f ca="1">OFFSET(card_type!$F$1,MATCH(Q733,card_type!A:A,0)-1,0)</f>
        <v>4</v>
      </c>
      <c r="K733" s="243">
        <f ca="1">OFFSET(card_type!$G$1,MATCH(Q733,card_type!A:A,0)-1,0)</f>
        <v>4</v>
      </c>
      <c r="L733" s="157">
        <v>2</v>
      </c>
      <c r="M733" s="157">
        <v>2</v>
      </c>
      <c r="N733" s="153">
        <f t="shared" si="120"/>
        <v>8</v>
      </c>
      <c r="O733" s="157"/>
      <c r="P733" s="157"/>
      <c r="Q733" s="153">
        <f ca="1">OFFSET(card_type!$A$1,MATCH(card!B733,card_type!B:B,0)-1,0)</f>
        <v>1405</v>
      </c>
      <c r="R733" s="153">
        <v>1</v>
      </c>
      <c r="S733" s="157"/>
      <c r="T733" s="153">
        <v>2</v>
      </c>
      <c r="U733" s="153">
        <f ca="1" t="shared" si="121"/>
        <v>44</v>
      </c>
      <c r="V733" s="153">
        <f ca="1">ROUND((OFFSET(卡牌辅助配置表!$O$1,MATCH(U733,卡牌辅助配置表!M:M,0)-1,0)+(N733-1)*OFFSET(卡牌辅助配置表!$P$1,MATCH(U733,卡牌辅助配置表!M:M,0)-1,0))*M733,2)</f>
        <v>205.32</v>
      </c>
      <c r="W733" s="157"/>
      <c r="X733" s="157"/>
      <c r="Y733" s="157"/>
      <c r="Z733" s="304"/>
      <c r="AA733" s="304">
        <f ca="1">OFFSET(卡牌辅助配置表!$AD$1,MATCH(AB733,卡牌辅助配置表!AB:AB,0)-1,0)</f>
        <v>15336</v>
      </c>
      <c r="AB733" s="304">
        <f ca="1" t="shared" si="124"/>
        <v>4408</v>
      </c>
      <c r="AC733" s="153">
        <v>1</v>
      </c>
      <c r="AE733" s="153">
        <v>1</v>
      </c>
      <c r="AF733" s="153" t="str">
        <f ca="1" t="shared" si="128"/>
        <v>14050011|</v>
      </c>
      <c r="AJ733" s="205" t="str">
        <f ca="1" t="shared" si="125"/>
        <v>400023|6300|;</v>
      </c>
      <c r="AK733" s="205">
        <f ca="1">OFFSET([1]item_type!$A$1,MATCH(Q733,[1]item_type!$G:$G,0)-1,0)</f>
        <v>301405</v>
      </c>
      <c r="AL733" s="205"/>
      <c r="AM733" s="205">
        <f ca="1">IF(B733=B734,OFFSET(卡牌辅助配置表!$AE$1,MATCH(AB733,卡牌辅助配置表!AB:AB,0),0),0)</f>
        <v>6300</v>
      </c>
      <c r="AN733" s="153">
        <f ca="1" t="shared" si="126"/>
        <v>1405009</v>
      </c>
      <c r="AP733" s="153" t="str">
        <f ca="1">IF(AC733=0,0,IF(AC733=12,0,OFFSET(effect!$N$1,MATCH(K733,effect!M:M,0)-1,0)))</f>
        <v>kpsx_huangse</v>
      </c>
    </row>
    <row r="734" ht="21" customHeight="1" spans="1:42">
      <c r="A734" s="153">
        <f ca="1" t="shared" si="119"/>
        <v>1405009</v>
      </c>
      <c r="B734" s="300" t="s">
        <v>689</v>
      </c>
      <c r="C734" s="186">
        <v>1</v>
      </c>
      <c r="D734" s="186">
        <v>1</v>
      </c>
      <c r="E734" s="165" t="s">
        <v>1050</v>
      </c>
      <c r="F734" s="165" t="str">
        <f>"上一招为拳法时，本回合每出一张拳法牌，增加造成伤害"&amp;skill!$O$59/100&amp;"%的护甲"</f>
        <v>上一招为拳法时，本回合每出一张拳法牌，增加造成伤害55%的护甲</v>
      </c>
      <c r="G734" s="186">
        <f ca="1">OFFSET(卡牌辅助配置表!$C$1,MATCH(AC734,卡牌辅助配置表!A:A,0)-1,0)</f>
        <v>3</v>
      </c>
      <c r="H734" s="186">
        <f ca="1">OFFSET(skill!$Q$1,MATCH(B734,skill!B:B,0)-1,0)</f>
        <v>0.709677419354839</v>
      </c>
      <c r="I734" s="186"/>
      <c r="J734" s="186">
        <f ca="1">OFFSET(card_type!$F$1,MATCH(Q734,card_type!A:A,0)-1,0)</f>
        <v>4</v>
      </c>
      <c r="K734" s="243">
        <f ca="1">OFFSET(card_type!$G$1,MATCH(Q734,card_type!A:A,0)-1,0)</f>
        <v>4</v>
      </c>
      <c r="L734" s="157">
        <v>2</v>
      </c>
      <c r="M734" s="157">
        <v>2</v>
      </c>
      <c r="N734" s="153">
        <f t="shared" si="120"/>
        <v>9</v>
      </c>
      <c r="O734" s="157"/>
      <c r="P734" s="157"/>
      <c r="Q734" s="153">
        <f ca="1">OFFSET(card_type!$A$1,MATCH(card!B734,card_type!B:B,0)-1,0)</f>
        <v>1405</v>
      </c>
      <c r="R734" s="153">
        <v>1</v>
      </c>
      <c r="S734" s="157"/>
      <c r="T734" s="153">
        <v>2</v>
      </c>
      <c r="U734" s="153">
        <f ca="1" t="shared" si="121"/>
        <v>44</v>
      </c>
      <c r="V734" s="153">
        <f ca="1">ROUND((OFFSET(卡牌辅助配置表!$O$1,MATCH(U734,卡牌辅助配置表!M:M,0)-1,0)+(N734-1)*OFFSET(卡牌辅助配置表!$P$1,MATCH(U734,卡牌辅助配置表!M:M,0)-1,0))*M734,2)</f>
        <v>219.48</v>
      </c>
      <c r="W734" s="157"/>
      <c r="X734" s="157"/>
      <c r="Y734" s="157"/>
      <c r="Z734" s="304"/>
      <c r="AA734" s="304">
        <f ca="1">OFFSET(卡牌辅助配置表!$AD$1,MATCH(AB734,卡牌辅助配置表!AB:AB,0)-1,0)</f>
        <v>17253</v>
      </c>
      <c r="AB734" s="304">
        <f ca="1" t="shared" si="124"/>
        <v>4409</v>
      </c>
      <c r="AC734" s="153">
        <v>1</v>
      </c>
      <c r="AE734" s="153">
        <v>1</v>
      </c>
      <c r="AF734" s="153" t="str">
        <f ca="1" t="shared" si="128"/>
        <v>14050011|</v>
      </c>
      <c r="AJ734" s="205" t="str">
        <f ca="1" t="shared" si="125"/>
        <v>301405|15|;400023|6900|;</v>
      </c>
      <c r="AK734" s="205">
        <f ca="1">OFFSET([1]item_type!$A$1,MATCH(Q734,[1]item_type!$G:$G,0)-1,0)</f>
        <v>301405</v>
      </c>
      <c r="AL734" s="205">
        <v>15</v>
      </c>
      <c r="AM734" s="205">
        <f ca="1">IF(B734=B735,OFFSET(卡牌辅助配置表!$AE$1,MATCH(AB734,卡牌辅助配置表!AB:AB,0),0),0)</f>
        <v>6900</v>
      </c>
      <c r="AN734" s="153">
        <f ca="1" t="shared" si="126"/>
        <v>1405010</v>
      </c>
      <c r="AP734" s="153" t="str">
        <f ca="1">IF(AC734=0,0,IF(AC734=12,0,OFFSET(effect!$N$1,MATCH(K734,effect!M:M,0)-1,0)))</f>
        <v>kpsx_huangse</v>
      </c>
    </row>
    <row r="735" ht="21" customHeight="1" spans="1:42">
      <c r="A735" s="153">
        <f ca="1" t="shared" si="119"/>
        <v>1405010</v>
      </c>
      <c r="B735" s="300" t="s">
        <v>689</v>
      </c>
      <c r="C735" s="186">
        <v>1</v>
      </c>
      <c r="D735" s="186">
        <v>1</v>
      </c>
      <c r="E735" s="165" t="s">
        <v>1050</v>
      </c>
      <c r="F735" s="165" t="str">
        <f>"上一招为拳法时，本回合每出一张拳法牌，增加造成伤害"&amp;skill!$O$59/100&amp;"%的护甲"</f>
        <v>上一招为拳法时，本回合每出一张拳法牌，增加造成伤害55%的护甲</v>
      </c>
      <c r="G735" s="186">
        <f ca="1">OFFSET(卡牌辅助配置表!$C$1,MATCH(AC735,卡牌辅助配置表!A:A,0)-1,0)</f>
        <v>3</v>
      </c>
      <c r="H735" s="186">
        <f ca="1">OFFSET(skill!$Q$1,MATCH(B735,skill!B:B,0)-1,0)</f>
        <v>0.709677419354839</v>
      </c>
      <c r="I735" s="186"/>
      <c r="J735" s="186">
        <f ca="1">OFFSET(card_type!$F$1,MATCH(Q735,card_type!A:A,0)-1,0)</f>
        <v>4</v>
      </c>
      <c r="K735" s="243">
        <f ca="1">OFFSET(card_type!$G$1,MATCH(Q735,card_type!A:A,0)-1,0)</f>
        <v>4</v>
      </c>
      <c r="L735" s="157">
        <v>2</v>
      </c>
      <c r="M735" s="157">
        <v>2</v>
      </c>
      <c r="N735" s="153">
        <f t="shared" si="120"/>
        <v>10</v>
      </c>
      <c r="O735" s="157"/>
      <c r="P735" s="157"/>
      <c r="Q735" s="153">
        <f ca="1">OFFSET(card_type!$A$1,MATCH(card!B735,card_type!B:B,0)-1,0)</f>
        <v>1405</v>
      </c>
      <c r="R735" s="153">
        <v>1</v>
      </c>
      <c r="S735" s="157"/>
      <c r="T735" s="153">
        <v>2</v>
      </c>
      <c r="U735" s="153">
        <f ca="1" t="shared" si="121"/>
        <v>44</v>
      </c>
      <c r="V735" s="153">
        <f ca="1">ROUND((OFFSET(卡牌辅助配置表!$O$1,MATCH(U735,卡牌辅助配置表!M:M,0)-1,0)+(N735-1)*OFFSET(卡牌辅助配置表!$P$1,MATCH(U735,卡牌辅助配置表!M:M,0)-1,0))*M735,2)</f>
        <v>233.64</v>
      </c>
      <c r="W735" s="157"/>
      <c r="X735" s="157"/>
      <c r="Y735" s="157"/>
      <c r="Z735" s="304"/>
      <c r="AA735" s="304">
        <f ca="1">OFFSET(卡牌辅助配置表!$AD$1,MATCH(AB735,卡牌辅助配置表!AB:AB,0)-1,0)</f>
        <v>19170</v>
      </c>
      <c r="AB735" s="304">
        <f ca="1" t="shared" si="124"/>
        <v>4410</v>
      </c>
      <c r="AC735" s="153">
        <v>1</v>
      </c>
      <c r="AE735" s="153">
        <v>1</v>
      </c>
      <c r="AF735" s="153" t="str">
        <f ca="1" t="shared" si="128"/>
        <v>14050011|</v>
      </c>
      <c r="AJ735" s="205" t="str">
        <f ca="1" t="shared" si="125"/>
        <v>400023|8100|;</v>
      </c>
      <c r="AK735" s="205">
        <f ca="1">OFFSET([1]item_type!$A$1,MATCH(Q735,[1]item_type!$G:$G,0)-1,0)</f>
        <v>301405</v>
      </c>
      <c r="AL735" s="205"/>
      <c r="AM735" s="205">
        <f ca="1">IF(B735=B736,OFFSET(卡牌辅助配置表!$AE$1,MATCH(AB735,卡牌辅助配置表!AB:AB,0),0),0)</f>
        <v>8100</v>
      </c>
      <c r="AN735" s="153">
        <f ca="1" t="shared" si="126"/>
        <v>1405011</v>
      </c>
      <c r="AP735" s="153" t="str">
        <f ca="1">IF(AC735=0,0,IF(AC735=12,0,OFFSET(effect!$N$1,MATCH(K735,effect!M:M,0)-1,0)))</f>
        <v>kpsx_huangse</v>
      </c>
    </row>
    <row r="736" ht="21" customHeight="1" spans="1:42">
      <c r="A736" s="153">
        <f ca="1" t="shared" si="119"/>
        <v>1405011</v>
      </c>
      <c r="B736" s="300" t="s">
        <v>689</v>
      </c>
      <c r="C736" s="186">
        <v>1</v>
      </c>
      <c r="D736" s="186">
        <v>1</v>
      </c>
      <c r="E736" s="165" t="s">
        <v>1050</v>
      </c>
      <c r="F736" s="165" t="str">
        <f>"上一招为拳法时，本回合每出一张拳法牌，增加造成伤害"&amp;skill!$O$59/100&amp;"%的护甲"</f>
        <v>上一招为拳法时，本回合每出一张拳法牌，增加造成伤害55%的护甲</v>
      </c>
      <c r="G736" s="186">
        <f ca="1">OFFSET(卡牌辅助配置表!$C$1,MATCH(AC736,卡牌辅助配置表!A:A,0)-1,0)</f>
        <v>3</v>
      </c>
      <c r="H736" s="186">
        <f ca="1">OFFSET(skill!$Q$1,MATCH(B736,skill!B:B,0)-1,0)</f>
        <v>0.709677419354839</v>
      </c>
      <c r="I736" s="186"/>
      <c r="J736" s="186">
        <f ca="1">OFFSET(card_type!$F$1,MATCH(Q736,card_type!A:A,0)-1,0)</f>
        <v>4</v>
      </c>
      <c r="K736" s="243">
        <f ca="1">OFFSET(card_type!$G$1,MATCH(Q736,card_type!A:A,0)-1,0)</f>
        <v>4</v>
      </c>
      <c r="L736" s="157">
        <v>2</v>
      </c>
      <c r="M736" s="157">
        <v>2</v>
      </c>
      <c r="N736" s="153">
        <f t="shared" si="120"/>
        <v>11</v>
      </c>
      <c r="O736" s="157"/>
      <c r="P736" s="157"/>
      <c r="Q736" s="153">
        <f ca="1">OFFSET(card_type!$A$1,MATCH(card!B736,card_type!B:B,0)-1,0)</f>
        <v>1405</v>
      </c>
      <c r="R736" s="153">
        <v>1</v>
      </c>
      <c r="S736" s="157"/>
      <c r="T736" s="153">
        <v>2</v>
      </c>
      <c r="U736" s="153">
        <f ca="1" t="shared" si="121"/>
        <v>44</v>
      </c>
      <c r="V736" s="153">
        <f ca="1">ROUND((OFFSET(卡牌辅助配置表!$O$1,MATCH(U736,卡牌辅助配置表!M:M,0)-1,0)+(N736-1)*OFFSET(卡牌辅助配置表!$P$1,MATCH(U736,卡牌辅助配置表!M:M,0)-1,0))*M736,2)</f>
        <v>247.8</v>
      </c>
      <c r="W736" s="157"/>
      <c r="X736" s="157"/>
      <c r="Y736" s="157"/>
      <c r="Z736" s="304"/>
      <c r="AA736" s="304">
        <f ca="1">OFFSET(卡牌辅助配置表!$AD$1,MATCH(AB736,卡牌辅助配置表!AB:AB,0)-1,0)</f>
        <v>22046</v>
      </c>
      <c r="AB736" s="304">
        <f ca="1" t="shared" si="124"/>
        <v>4411</v>
      </c>
      <c r="AC736" s="153">
        <v>1</v>
      </c>
      <c r="AE736" s="153">
        <v>1</v>
      </c>
      <c r="AF736" s="153" t="str">
        <f ca="1" t="shared" si="128"/>
        <v>14050011|</v>
      </c>
      <c r="AJ736" s="205" t="str">
        <f ca="1" t="shared" si="125"/>
        <v>400023|9300|;</v>
      </c>
      <c r="AK736" s="205">
        <f ca="1">OFFSET([1]item_type!$A$1,MATCH(Q736,[1]item_type!$G:$G,0)-1,0)</f>
        <v>301405</v>
      </c>
      <c r="AL736" s="205"/>
      <c r="AM736" s="205">
        <f ca="1">IF(B736=B737,OFFSET(卡牌辅助配置表!$AE$1,MATCH(AB736,卡牌辅助配置表!AB:AB,0),0),0)</f>
        <v>9300</v>
      </c>
      <c r="AN736" s="153">
        <f ca="1" t="shared" si="126"/>
        <v>1405012</v>
      </c>
      <c r="AP736" s="153" t="str">
        <f ca="1">IF(AC736=0,0,IF(AC736=12,0,OFFSET(effect!$N$1,MATCH(K736,effect!M:M,0)-1,0)))</f>
        <v>kpsx_huangse</v>
      </c>
    </row>
    <row r="737" ht="21" customHeight="1" spans="1:42">
      <c r="A737" s="153">
        <f ca="1" t="shared" si="119"/>
        <v>1405012</v>
      </c>
      <c r="B737" s="300" t="s">
        <v>689</v>
      </c>
      <c r="C737" s="186">
        <v>1</v>
      </c>
      <c r="D737" s="186">
        <v>1</v>
      </c>
      <c r="E737" s="165" t="s">
        <v>1050</v>
      </c>
      <c r="F737" s="165" t="str">
        <f>"上一招为拳法时，本回合每出一张拳法牌，增加造成伤害"&amp;skill!$O$59/100&amp;"%的护甲"</f>
        <v>上一招为拳法时，本回合每出一张拳法牌，增加造成伤害55%的护甲</v>
      </c>
      <c r="G737" s="186">
        <f ca="1">OFFSET(卡牌辅助配置表!$C$1,MATCH(AC737,卡牌辅助配置表!A:A,0)-1,0)</f>
        <v>3</v>
      </c>
      <c r="H737" s="186">
        <f ca="1">OFFSET(skill!$Q$1,MATCH(B737,skill!B:B,0)-1,0)</f>
        <v>0.709677419354839</v>
      </c>
      <c r="I737" s="186"/>
      <c r="J737" s="186">
        <f ca="1">OFFSET(card_type!$F$1,MATCH(Q737,card_type!A:A,0)-1,0)</f>
        <v>4</v>
      </c>
      <c r="K737" s="243">
        <f ca="1">OFFSET(card_type!$G$1,MATCH(Q737,card_type!A:A,0)-1,0)</f>
        <v>4</v>
      </c>
      <c r="L737" s="157">
        <v>2</v>
      </c>
      <c r="M737" s="157">
        <v>2</v>
      </c>
      <c r="N737" s="153">
        <f t="shared" si="120"/>
        <v>12</v>
      </c>
      <c r="O737" s="157"/>
      <c r="P737" s="157"/>
      <c r="Q737" s="153">
        <f ca="1">OFFSET(card_type!$A$1,MATCH(card!B737,card_type!B:B,0)-1,0)</f>
        <v>1405</v>
      </c>
      <c r="R737" s="153">
        <v>1</v>
      </c>
      <c r="S737" s="157"/>
      <c r="T737" s="153">
        <v>2</v>
      </c>
      <c r="U737" s="153">
        <f ca="1" t="shared" si="121"/>
        <v>44</v>
      </c>
      <c r="V737" s="153">
        <f ca="1">ROUND((OFFSET(卡牌辅助配置表!$O$1,MATCH(U737,卡牌辅助配置表!M:M,0)-1,0)+(N737-1)*OFFSET(卡牌辅助配置表!$P$1,MATCH(U737,卡牌辅助配置表!M:M,0)-1,0))*M737,2)</f>
        <v>261.96</v>
      </c>
      <c r="W737" s="157"/>
      <c r="X737" s="157"/>
      <c r="Y737" s="157"/>
      <c r="Z737" s="304"/>
      <c r="AA737" s="304">
        <f ca="1">OFFSET(卡牌辅助配置表!$AD$1,MATCH(AB737,卡牌辅助配置表!AB:AB,0)-1,0)</f>
        <v>24922</v>
      </c>
      <c r="AB737" s="304">
        <f ca="1" t="shared" si="124"/>
        <v>4412</v>
      </c>
      <c r="AC737" s="153">
        <v>1</v>
      </c>
      <c r="AE737" s="153">
        <v>1</v>
      </c>
      <c r="AF737" s="153" t="str">
        <f ca="1" t="shared" si="128"/>
        <v>14050011|</v>
      </c>
      <c r="AJ737" s="205" t="str">
        <f ca="1" t="shared" si="125"/>
        <v>400023|10500|;</v>
      </c>
      <c r="AK737" s="205">
        <f ca="1">OFFSET([1]item_type!$A$1,MATCH(Q737,[1]item_type!$G:$G,0)-1,0)</f>
        <v>301405</v>
      </c>
      <c r="AL737" s="205"/>
      <c r="AM737" s="205">
        <f ca="1">IF(B737=B738,OFFSET(卡牌辅助配置表!$AE$1,MATCH(AB737,卡牌辅助配置表!AB:AB,0),0),0)</f>
        <v>10500</v>
      </c>
      <c r="AN737" s="153">
        <f ca="1" t="shared" si="126"/>
        <v>1405013</v>
      </c>
      <c r="AP737" s="153" t="str">
        <f ca="1">IF(AC737=0,0,IF(AC737=12,0,OFFSET(effect!$N$1,MATCH(K737,effect!M:M,0)-1,0)))</f>
        <v>kpsx_huangse</v>
      </c>
    </row>
    <row r="738" ht="21" customHeight="1" spans="1:42">
      <c r="A738" s="153">
        <f ca="1" t="shared" si="119"/>
        <v>1405013</v>
      </c>
      <c r="B738" s="300" t="s">
        <v>689</v>
      </c>
      <c r="C738" s="186">
        <v>1</v>
      </c>
      <c r="D738" s="186">
        <v>1</v>
      </c>
      <c r="E738" s="165" t="s">
        <v>1050</v>
      </c>
      <c r="F738" s="165" t="str">
        <f>"上一招为拳法时，本回合每出一张拳法牌，增加造成伤害"&amp;skill!$O$59/100&amp;"%的护甲"</f>
        <v>上一招为拳法时，本回合每出一张拳法牌，增加造成伤害55%的护甲</v>
      </c>
      <c r="G738" s="186">
        <f ca="1">OFFSET(卡牌辅助配置表!$C$1,MATCH(AC738,卡牌辅助配置表!A:A,0)-1,0)</f>
        <v>3</v>
      </c>
      <c r="H738" s="186">
        <f ca="1">OFFSET(skill!$Q$1,MATCH(B738,skill!B:B,0)-1,0)</f>
        <v>0.709677419354839</v>
      </c>
      <c r="I738" s="186"/>
      <c r="J738" s="186">
        <f ca="1">OFFSET(card_type!$F$1,MATCH(Q738,card_type!A:A,0)-1,0)</f>
        <v>4</v>
      </c>
      <c r="K738" s="243">
        <f ca="1">OFFSET(card_type!$G$1,MATCH(Q738,card_type!A:A,0)-1,0)</f>
        <v>4</v>
      </c>
      <c r="L738" s="157">
        <v>2</v>
      </c>
      <c r="M738" s="157">
        <v>2</v>
      </c>
      <c r="N738" s="153">
        <f t="shared" si="120"/>
        <v>13</v>
      </c>
      <c r="O738" s="157"/>
      <c r="P738" s="157"/>
      <c r="Q738" s="153">
        <f ca="1">OFFSET(card_type!$A$1,MATCH(card!B738,card_type!B:B,0)-1,0)</f>
        <v>1405</v>
      </c>
      <c r="R738" s="153">
        <v>1</v>
      </c>
      <c r="S738" s="157"/>
      <c r="T738" s="153">
        <v>2</v>
      </c>
      <c r="U738" s="153">
        <f ca="1" t="shared" si="121"/>
        <v>44</v>
      </c>
      <c r="V738" s="153">
        <f ca="1">ROUND((OFFSET(卡牌辅助配置表!$O$1,MATCH(U738,卡牌辅助配置表!M:M,0)-1,0)+(N738-1)*OFFSET(卡牌辅助配置表!$P$1,MATCH(U738,卡牌辅助配置表!M:M,0)-1,0))*M738,2)</f>
        <v>276.12</v>
      </c>
      <c r="W738" s="157"/>
      <c r="X738" s="157"/>
      <c r="Y738" s="157"/>
      <c r="Z738" s="304"/>
      <c r="AA738" s="304">
        <f ca="1">OFFSET(卡牌辅助配置表!$AD$1,MATCH(AB738,卡牌辅助配置表!AB:AB,0)-1,0)</f>
        <v>27798</v>
      </c>
      <c r="AB738" s="304">
        <f ca="1" t="shared" si="124"/>
        <v>4413</v>
      </c>
      <c r="AC738" s="153">
        <v>1</v>
      </c>
      <c r="AE738" s="153">
        <v>1</v>
      </c>
      <c r="AF738" s="153" t="str">
        <f ca="1" t="shared" si="128"/>
        <v>14050011|</v>
      </c>
      <c r="AJ738" s="205" t="str">
        <f ca="1" t="shared" si="125"/>
        <v>400023|11700|;</v>
      </c>
      <c r="AK738" s="205">
        <f ca="1">OFFSET([1]item_type!$A$1,MATCH(Q738,[1]item_type!$G:$G,0)-1,0)</f>
        <v>301405</v>
      </c>
      <c r="AL738" s="205"/>
      <c r="AM738" s="205">
        <f ca="1">IF(B738=B739,OFFSET(卡牌辅助配置表!$AE$1,MATCH(AB738,卡牌辅助配置表!AB:AB,0),0),0)</f>
        <v>11700</v>
      </c>
      <c r="AN738" s="153">
        <f ca="1" t="shared" si="126"/>
        <v>1405014</v>
      </c>
      <c r="AP738" s="153" t="str">
        <f ca="1">IF(AC738=0,0,IF(AC738=12,0,OFFSET(effect!$N$1,MATCH(K738,effect!M:M,0)-1,0)))</f>
        <v>kpsx_huangse</v>
      </c>
    </row>
    <row r="739" ht="21" customHeight="1" spans="1:42">
      <c r="A739" s="153">
        <f ca="1" t="shared" si="119"/>
        <v>1405014</v>
      </c>
      <c r="B739" s="300" t="s">
        <v>689</v>
      </c>
      <c r="C739" s="186">
        <v>1</v>
      </c>
      <c r="D739" s="186">
        <v>1</v>
      </c>
      <c r="E739" s="165" t="s">
        <v>1050</v>
      </c>
      <c r="F739" s="165" t="str">
        <f>"上一招为拳法时，本回合每出一张拳法牌，增加造成伤害"&amp;skill!$O$59/100&amp;"%的护甲"</f>
        <v>上一招为拳法时，本回合每出一张拳法牌，增加造成伤害55%的护甲</v>
      </c>
      <c r="G739" s="186">
        <f ca="1">OFFSET(卡牌辅助配置表!$C$1,MATCH(AC739,卡牌辅助配置表!A:A,0)-1,0)</f>
        <v>3</v>
      </c>
      <c r="H739" s="186">
        <f ca="1">OFFSET(skill!$Q$1,MATCH(B739,skill!B:B,0)-1,0)</f>
        <v>0.709677419354839</v>
      </c>
      <c r="I739" s="186"/>
      <c r="J739" s="186">
        <f ca="1">OFFSET(card_type!$F$1,MATCH(Q739,card_type!A:A,0)-1,0)</f>
        <v>4</v>
      </c>
      <c r="K739" s="243">
        <f ca="1">OFFSET(card_type!$G$1,MATCH(Q739,card_type!A:A,0)-1,0)</f>
        <v>4</v>
      </c>
      <c r="L739" s="157">
        <v>2</v>
      </c>
      <c r="M739" s="157">
        <v>2</v>
      </c>
      <c r="N739" s="153">
        <f t="shared" si="120"/>
        <v>14</v>
      </c>
      <c r="O739" s="157"/>
      <c r="P739" s="157"/>
      <c r="Q739" s="153">
        <f ca="1">OFFSET(card_type!$A$1,MATCH(card!B739,card_type!B:B,0)-1,0)</f>
        <v>1405</v>
      </c>
      <c r="R739" s="153">
        <v>1</v>
      </c>
      <c r="S739" s="157"/>
      <c r="T739" s="153">
        <v>2</v>
      </c>
      <c r="U739" s="153">
        <f ca="1" t="shared" si="121"/>
        <v>44</v>
      </c>
      <c r="V739" s="153">
        <f ca="1">ROUND((OFFSET(卡牌辅助配置表!$O$1,MATCH(U739,卡牌辅助配置表!M:M,0)-1,0)+(N739-1)*OFFSET(卡牌辅助配置表!$P$1,MATCH(U739,卡牌辅助配置表!M:M,0)-1,0))*M739,2)</f>
        <v>290.28</v>
      </c>
      <c r="W739" s="157"/>
      <c r="X739" s="157"/>
      <c r="Y739" s="157"/>
      <c r="Z739" s="304"/>
      <c r="AA739" s="304">
        <f ca="1">OFFSET(卡牌辅助配置表!$AD$1,MATCH(AB739,卡牌辅助配置表!AB:AB,0)-1,0)</f>
        <v>30674</v>
      </c>
      <c r="AB739" s="304">
        <f ca="1" t="shared" si="124"/>
        <v>4414</v>
      </c>
      <c r="AC739" s="153">
        <v>1</v>
      </c>
      <c r="AE739" s="153">
        <v>1</v>
      </c>
      <c r="AF739" s="153" t="str">
        <f ca="1" t="shared" si="128"/>
        <v>14050011|</v>
      </c>
      <c r="AJ739" s="205" t="str">
        <f ca="1" t="shared" si="125"/>
        <v>400023|12900|;</v>
      </c>
      <c r="AK739" s="205">
        <f ca="1">OFFSET([1]item_type!$A$1,MATCH(Q739,[1]item_type!$G:$G,0)-1,0)</f>
        <v>301405</v>
      </c>
      <c r="AL739" s="205"/>
      <c r="AM739" s="205">
        <f ca="1">IF(B739=B740,OFFSET(卡牌辅助配置表!$AE$1,MATCH(AB739,卡牌辅助配置表!AB:AB,0),0),0)</f>
        <v>12900</v>
      </c>
      <c r="AN739" s="153">
        <f ca="1" t="shared" si="126"/>
        <v>1405015</v>
      </c>
      <c r="AP739" s="153" t="str">
        <f ca="1">IF(AC739=0,0,IF(AC739=12,0,OFFSET(effect!$N$1,MATCH(K739,effect!M:M,0)-1,0)))</f>
        <v>kpsx_huangse</v>
      </c>
    </row>
    <row r="740" ht="21" customHeight="1" spans="1:42">
      <c r="A740" s="153">
        <f ca="1" t="shared" si="119"/>
        <v>1405015</v>
      </c>
      <c r="B740" s="300" t="s">
        <v>689</v>
      </c>
      <c r="C740" s="186">
        <v>1</v>
      </c>
      <c r="D740" s="186">
        <v>1</v>
      </c>
      <c r="E740" s="165" t="s">
        <v>1050</v>
      </c>
      <c r="F740" s="165" t="str">
        <f>"上一招为拳法时，本回合每出一张拳法牌，增加造成伤害"&amp;skill!$O$59/100&amp;"%的护甲"</f>
        <v>上一招为拳法时，本回合每出一张拳法牌，增加造成伤害55%的护甲</v>
      </c>
      <c r="G740" s="186">
        <f ca="1">OFFSET(卡牌辅助配置表!$C$1,MATCH(AC740,卡牌辅助配置表!A:A,0)-1,0)</f>
        <v>3</v>
      </c>
      <c r="H740" s="186">
        <f ca="1">OFFSET(skill!$Q$1,MATCH(B740,skill!B:B,0)-1,0)</f>
        <v>0.709677419354839</v>
      </c>
      <c r="I740" s="186"/>
      <c r="J740" s="186">
        <f ca="1">OFFSET(card_type!$F$1,MATCH(Q740,card_type!A:A,0)-1,0)</f>
        <v>4</v>
      </c>
      <c r="K740" s="243">
        <f ca="1">OFFSET(card_type!$G$1,MATCH(Q740,card_type!A:A,0)-1,0)</f>
        <v>4</v>
      </c>
      <c r="L740" s="157">
        <v>2</v>
      </c>
      <c r="M740" s="157">
        <v>2</v>
      </c>
      <c r="N740" s="153">
        <f t="shared" si="120"/>
        <v>15</v>
      </c>
      <c r="O740" s="157"/>
      <c r="P740" s="157"/>
      <c r="Q740" s="153">
        <f ca="1">OFFSET(card_type!$A$1,MATCH(card!B740,card_type!B:B,0)-1,0)</f>
        <v>1405</v>
      </c>
      <c r="R740" s="153">
        <v>1</v>
      </c>
      <c r="S740" s="157"/>
      <c r="T740" s="153">
        <v>2</v>
      </c>
      <c r="U740" s="153">
        <f ca="1" t="shared" si="121"/>
        <v>44</v>
      </c>
      <c r="V740" s="153">
        <f ca="1">ROUND((OFFSET(卡牌辅助配置表!$O$1,MATCH(U740,卡牌辅助配置表!M:M,0)-1,0)+(N740-1)*OFFSET(卡牌辅助配置表!$P$1,MATCH(U740,卡牌辅助配置表!M:M,0)-1,0))*M740,2)</f>
        <v>304.44</v>
      </c>
      <c r="W740" s="157"/>
      <c r="X740" s="157"/>
      <c r="Y740" s="157"/>
      <c r="Z740" s="304"/>
      <c r="AA740" s="304">
        <f ca="1">OFFSET(卡牌辅助配置表!$AD$1,MATCH(AB740,卡牌辅助配置表!AB:AB,0)-1,0)</f>
        <v>33550</v>
      </c>
      <c r="AB740" s="304">
        <f ca="1" t="shared" si="124"/>
        <v>4415</v>
      </c>
      <c r="AC740" s="153">
        <v>1</v>
      </c>
      <c r="AE740" s="153">
        <v>1</v>
      </c>
      <c r="AF740" s="153" t="str">
        <f ca="1" t="shared" si="128"/>
        <v>14050011|</v>
      </c>
      <c r="AJ740" s="205" t="str">
        <f ca="1" t="shared" si="125"/>
        <v>400023|14100|;</v>
      </c>
      <c r="AK740" s="205">
        <f ca="1">OFFSET([1]item_type!$A$1,MATCH(Q740,[1]item_type!$G:$G,0)-1,0)</f>
        <v>301405</v>
      </c>
      <c r="AL740" s="205"/>
      <c r="AM740" s="205">
        <f ca="1">IF(B740=B741,OFFSET(卡牌辅助配置表!$AE$1,MATCH(AB740,卡牌辅助配置表!AB:AB,0),0),0)</f>
        <v>14100</v>
      </c>
      <c r="AN740" s="153">
        <f ca="1" t="shared" si="126"/>
        <v>1405016</v>
      </c>
      <c r="AP740" s="153" t="str">
        <f ca="1">IF(AC740=0,0,IF(AC740=12,0,OFFSET(effect!$N$1,MATCH(K740,effect!M:M,0)-1,0)))</f>
        <v>kpsx_huangse</v>
      </c>
    </row>
    <row r="741" ht="21" customHeight="1" spans="1:42">
      <c r="A741" s="153">
        <f ca="1" t="shared" si="119"/>
        <v>1405016</v>
      </c>
      <c r="B741" s="300" t="s">
        <v>689</v>
      </c>
      <c r="C741" s="186">
        <v>1</v>
      </c>
      <c r="D741" s="186">
        <v>1</v>
      </c>
      <c r="E741" s="165" t="s">
        <v>1050</v>
      </c>
      <c r="F741" s="165" t="str">
        <f>"上一招为拳法时，本回合每出一张拳法牌，增加造成伤害"&amp;skill!$O$59/100&amp;"%的护甲"</f>
        <v>上一招为拳法时，本回合每出一张拳法牌，增加造成伤害55%的护甲</v>
      </c>
      <c r="G741" s="186">
        <f ca="1">OFFSET(卡牌辅助配置表!$C$1,MATCH(AC741,卡牌辅助配置表!A:A,0)-1,0)</f>
        <v>3</v>
      </c>
      <c r="H741" s="186">
        <f ca="1">OFFSET(skill!$Q$1,MATCH(B741,skill!B:B,0)-1,0)</f>
        <v>0.709677419354839</v>
      </c>
      <c r="I741" s="186"/>
      <c r="J741" s="186">
        <f ca="1">OFFSET(card_type!$F$1,MATCH(Q741,card_type!A:A,0)-1,0)</f>
        <v>4</v>
      </c>
      <c r="K741" s="243">
        <f ca="1">OFFSET(card_type!$G$1,MATCH(Q741,card_type!A:A,0)-1,0)</f>
        <v>4</v>
      </c>
      <c r="L741" s="157">
        <v>2</v>
      </c>
      <c r="M741" s="157">
        <v>2</v>
      </c>
      <c r="N741" s="153">
        <f t="shared" si="120"/>
        <v>16</v>
      </c>
      <c r="O741" s="157"/>
      <c r="P741" s="157"/>
      <c r="Q741" s="153">
        <f ca="1">OFFSET(card_type!$A$1,MATCH(card!B741,card_type!B:B,0)-1,0)</f>
        <v>1405</v>
      </c>
      <c r="R741" s="153">
        <v>1</v>
      </c>
      <c r="S741" s="157"/>
      <c r="T741" s="153">
        <v>2</v>
      </c>
      <c r="U741" s="153">
        <f ca="1" t="shared" si="121"/>
        <v>44</v>
      </c>
      <c r="V741" s="153">
        <f ca="1">ROUND((OFFSET(卡牌辅助配置表!$O$1,MATCH(U741,卡牌辅助配置表!M:M,0)-1,0)+(N741-1)*OFFSET(卡牌辅助配置表!$P$1,MATCH(U741,卡牌辅助配置表!M:M,0)-1,0))*M741,2)</f>
        <v>318.6</v>
      </c>
      <c r="W741" s="157"/>
      <c r="X741" s="157"/>
      <c r="Y741" s="157"/>
      <c r="Z741" s="304"/>
      <c r="AA741" s="304">
        <f ca="1">OFFSET(卡牌辅助配置表!$AD$1,MATCH(AB741,卡牌辅助配置表!AB:AB,0)-1,0)</f>
        <v>36426</v>
      </c>
      <c r="AB741" s="304">
        <f ca="1" t="shared" si="124"/>
        <v>4416</v>
      </c>
      <c r="AC741" s="153">
        <v>1</v>
      </c>
      <c r="AE741" s="153">
        <v>1</v>
      </c>
      <c r="AF741" s="153" t="str">
        <f ca="1" t="shared" si="128"/>
        <v>14050011|</v>
      </c>
      <c r="AJ741" s="205" t="str">
        <f ca="1" t="shared" si="125"/>
        <v>400023|15300|;</v>
      </c>
      <c r="AK741" s="205">
        <f ca="1">OFFSET([1]item_type!$A$1,MATCH(Q741,[1]item_type!$G:$G,0)-1,0)</f>
        <v>301405</v>
      </c>
      <c r="AL741" s="205"/>
      <c r="AM741" s="205">
        <f ca="1">IF(B741=B742,OFFSET(卡牌辅助配置表!$AE$1,MATCH(AB741,卡牌辅助配置表!AB:AB,0),0),0)</f>
        <v>15300</v>
      </c>
      <c r="AN741" s="153">
        <f ca="1" t="shared" si="126"/>
        <v>1405017</v>
      </c>
      <c r="AP741" s="153" t="str">
        <f ca="1">IF(AC741=0,0,IF(AC741=12,0,OFFSET(effect!$N$1,MATCH(K741,effect!M:M,0)-1,0)))</f>
        <v>kpsx_huangse</v>
      </c>
    </row>
    <row r="742" ht="21" customHeight="1" spans="1:42">
      <c r="A742" s="153">
        <f ca="1" t="shared" si="119"/>
        <v>1405017</v>
      </c>
      <c r="B742" s="300" t="s">
        <v>689</v>
      </c>
      <c r="C742" s="186">
        <v>1</v>
      </c>
      <c r="D742" s="186">
        <v>1</v>
      </c>
      <c r="E742" s="165" t="s">
        <v>1050</v>
      </c>
      <c r="F742" s="165" t="str">
        <f>"上一招为拳法时，本回合每出一张拳法牌，增加造成伤害"&amp;skill!$O$59/100&amp;"%的护甲"</f>
        <v>上一招为拳法时，本回合每出一张拳法牌，增加造成伤害55%的护甲</v>
      </c>
      <c r="G742" s="186">
        <f ca="1">OFFSET(卡牌辅助配置表!$C$1,MATCH(AC742,卡牌辅助配置表!A:A,0)-1,0)</f>
        <v>3</v>
      </c>
      <c r="H742" s="186">
        <f ca="1">OFFSET(skill!$Q$1,MATCH(B742,skill!B:B,0)-1,0)</f>
        <v>0.709677419354839</v>
      </c>
      <c r="I742" s="186"/>
      <c r="J742" s="186">
        <f ca="1">OFFSET(card_type!$F$1,MATCH(Q742,card_type!A:A,0)-1,0)</f>
        <v>4</v>
      </c>
      <c r="K742" s="243">
        <f ca="1">OFFSET(card_type!$G$1,MATCH(Q742,card_type!A:A,0)-1,0)</f>
        <v>4</v>
      </c>
      <c r="L742" s="157">
        <v>2</v>
      </c>
      <c r="M742" s="157">
        <v>2</v>
      </c>
      <c r="N742" s="153">
        <f t="shared" si="120"/>
        <v>17</v>
      </c>
      <c r="O742" s="157"/>
      <c r="P742" s="157"/>
      <c r="Q742" s="153">
        <f ca="1">OFFSET(card_type!$A$1,MATCH(card!B742,card_type!B:B,0)-1,0)</f>
        <v>1405</v>
      </c>
      <c r="R742" s="153">
        <v>1</v>
      </c>
      <c r="S742" s="157"/>
      <c r="T742" s="153">
        <v>2</v>
      </c>
      <c r="U742" s="153">
        <f ca="1" t="shared" si="121"/>
        <v>44</v>
      </c>
      <c r="V742" s="153">
        <f ca="1">ROUND((OFFSET(卡牌辅助配置表!$O$1,MATCH(U742,卡牌辅助配置表!M:M,0)-1,0)+(N742-1)*OFFSET(卡牌辅助配置表!$P$1,MATCH(U742,卡牌辅助配置表!M:M,0)-1,0))*M742,2)</f>
        <v>332.76</v>
      </c>
      <c r="W742" s="157"/>
      <c r="X742" s="157"/>
      <c r="Y742" s="157"/>
      <c r="Z742" s="304"/>
      <c r="AA742" s="304">
        <f ca="1">OFFSET(卡牌辅助配置表!$AD$1,MATCH(AB742,卡牌辅助配置表!AB:AB,0)-1,0)</f>
        <v>39302</v>
      </c>
      <c r="AB742" s="304">
        <f ca="1" t="shared" si="124"/>
        <v>4417</v>
      </c>
      <c r="AC742" s="153">
        <v>1</v>
      </c>
      <c r="AE742" s="153">
        <v>1</v>
      </c>
      <c r="AF742" s="153" t="str">
        <f ca="1" t="shared" si="128"/>
        <v>14050011|</v>
      </c>
      <c r="AJ742" s="205" t="str">
        <f ca="1" t="shared" si="125"/>
        <v>400023|16500|;</v>
      </c>
      <c r="AK742" s="205">
        <f ca="1">OFFSET([1]item_type!$A$1,MATCH(Q742,[1]item_type!$G:$G,0)-1,0)</f>
        <v>301405</v>
      </c>
      <c r="AL742" s="205"/>
      <c r="AM742" s="205">
        <f ca="1">IF(B742=B743,OFFSET(卡牌辅助配置表!$AE$1,MATCH(AB742,卡牌辅助配置表!AB:AB,0),0),0)</f>
        <v>16500</v>
      </c>
      <c r="AN742" s="153">
        <f ca="1" t="shared" si="126"/>
        <v>1405018</v>
      </c>
      <c r="AP742" s="153" t="str">
        <f ca="1">IF(AC742=0,0,IF(AC742=12,0,OFFSET(effect!$N$1,MATCH(K742,effect!M:M,0)-1,0)))</f>
        <v>kpsx_huangse</v>
      </c>
    </row>
    <row r="743" ht="21" customHeight="1" spans="1:42">
      <c r="A743" s="153">
        <f ca="1" t="shared" si="119"/>
        <v>1405018</v>
      </c>
      <c r="B743" s="300" t="s">
        <v>689</v>
      </c>
      <c r="C743" s="186">
        <v>1</v>
      </c>
      <c r="D743" s="186">
        <v>1</v>
      </c>
      <c r="E743" s="165" t="s">
        <v>1050</v>
      </c>
      <c r="F743" s="165" t="str">
        <f>"上一招为拳法时，本回合每出一张拳法牌，增加造成伤害"&amp;skill!$O$59/100&amp;"%的护甲"</f>
        <v>上一招为拳法时，本回合每出一张拳法牌，增加造成伤害55%的护甲</v>
      </c>
      <c r="G743" s="186">
        <f ca="1">OFFSET(卡牌辅助配置表!$C$1,MATCH(AC743,卡牌辅助配置表!A:A,0)-1,0)</f>
        <v>3</v>
      </c>
      <c r="H743" s="186">
        <f ca="1">OFFSET(skill!$Q$1,MATCH(B743,skill!B:B,0)-1,0)</f>
        <v>0.709677419354839</v>
      </c>
      <c r="I743" s="186"/>
      <c r="J743" s="186">
        <f ca="1">OFFSET(card_type!$F$1,MATCH(Q743,card_type!A:A,0)-1,0)</f>
        <v>4</v>
      </c>
      <c r="K743" s="243">
        <f ca="1">OFFSET(card_type!$G$1,MATCH(Q743,card_type!A:A,0)-1,0)</f>
        <v>4</v>
      </c>
      <c r="L743" s="157">
        <v>2</v>
      </c>
      <c r="M743" s="157">
        <v>2</v>
      </c>
      <c r="N743" s="153">
        <f t="shared" si="120"/>
        <v>18</v>
      </c>
      <c r="O743" s="157"/>
      <c r="P743" s="157"/>
      <c r="Q743" s="153">
        <f ca="1">OFFSET(card_type!$A$1,MATCH(card!B743,card_type!B:B,0)-1,0)</f>
        <v>1405</v>
      </c>
      <c r="R743" s="153">
        <v>1</v>
      </c>
      <c r="S743" s="157"/>
      <c r="T743" s="153">
        <v>2</v>
      </c>
      <c r="U743" s="153">
        <f ca="1" t="shared" si="121"/>
        <v>44</v>
      </c>
      <c r="V743" s="153">
        <f ca="1">ROUND((OFFSET(卡牌辅助配置表!$O$1,MATCH(U743,卡牌辅助配置表!M:M,0)-1,0)+(N743-1)*OFFSET(卡牌辅助配置表!$P$1,MATCH(U743,卡牌辅助配置表!M:M,0)-1,0))*M743,2)</f>
        <v>346.92</v>
      </c>
      <c r="W743" s="157"/>
      <c r="X743" s="157"/>
      <c r="Y743" s="157"/>
      <c r="Z743" s="304"/>
      <c r="AA743" s="304">
        <f ca="1">OFFSET(卡牌辅助配置表!$AD$1,MATCH(AB743,卡牌辅助配置表!AB:AB,0)-1,0)</f>
        <v>42178</v>
      </c>
      <c r="AB743" s="304">
        <f ca="1" t="shared" si="124"/>
        <v>4418</v>
      </c>
      <c r="AC743" s="153">
        <v>1</v>
      </c>
      <c r="AE743" s="153">
        <v>1</v>
      </c>
      <c r="AF743" s="153" t="str">
        <f ca="1" t="shared" si="128"/>
        <v>14050011|</v>
      </c>
      <c r="AJ743" s="205" t="str">
        <f ca="1" t="shared" si="125"/>
        <v>400023|17700|;</v>
      </c>
      <c r="AK743" s="205">
        <f ca="1">OFFSET([1]item_type!$A$1,MATCH(Q743,[1]item_type!$G:$G,0)-1,0)</f>
        <v>301405</v>
      </c>
      <c r="AL743" s="205"/>
      <c r="AM743" s="205">
        <f ca="1">IF(B743=B744,OFFSET(卡牌辅助配置表!$AE$1,MATCH(AB743,卡牌辅助配置表!AB:AB,0),0),0)</f>
        <v>17700</v>
      </c>
      <c r="AN743" s="153">
        <f ca="1" t="shared" si="126"/>
        <v>1405019</v>
      </c>
      <c r="AP743" s="153" t="str">
        <f ca="1">IF(AC743=0,0,IF(AC743=12,0,OFFSET(effect!$N$1,MATCH(K743,effect!M:M,0)-1,0)))</f>
        <v>kpsx_huangse</v>
      </c>
    </row>
    <row r="744" ht="21" customHeight="1" spans="1:42">
      <c r="A744" s="153">
        <f ca="1" t="shared" si="119"/>
        <v>1405019</v>
      </c>
      <c r="B744" s="300" t="s">
        <v>689</v>
      </c>
      <c r="C744" s="186">
        <v>1</v>
      </c>
      <c r="D744" s="186">
        <v>1</v>
      </c>
      <c r="E744" s="165" t="s">
        <v>1050</v>
      </c>
      <c r="F744" s="165" t="str">
        <f>"上一招为拳法时，本回合每出一张拳法牌，增加造成伤害"&amp;skill!$O$59/100&amp;"%的护甲"</f>
        <v>上一招为拳法时，本回合每出一张拳法牌，增加造成伤害55%的护甲</v>
      </c>
      <c r="G744" s="186">
        <f ca="1">OFFSET(卡牌辅助配置表!$C$1,MATCH(AC744,卡牌辅助配置表!A:A,0)-1,0)</f>
        <v>3</v>
      </c>
      <c r="H744" s="186">
        <f ca="1">OFFSET(skill!$Q$1,MATCH(B744,skill!B:B,0)-1,0)</f>
        <v>0.709677419354839</v>
      </c>
      <c r="I744" s="186"/>
      <c r="J744" s="186">
        <f ca="1">OFFSET(card_type!$F$1,MATCH(Q744,card_type!A:A,0)-1,0)</f>
        <v>4</v>
      </c>
      <c r="K744" s="243">
        <f ca="1">OFFSET(card_type!$G$1,MATCH(Q744,card_type!A:A,0)-1,0)</f>
        <v>4</v>
      </c>
      <c r="L744" s="157">
        <v>2</v>
      </c>
      <c r="M744" s="157">
        <v>2</v>
      </c>
      <c r="N744" s="153">
        <f t="shared" si="120"/>
        <v>19</v>
      </c>
      <c r="O744" s="157"/>
      <c r="P744" s="157"/>
      <c r="Q744" s="153">
        <f ca="1">OFFSET(card_type!$A$1,MATCH(card!B744,card_type!B:B,0)-1,0)</f>
        <v>1405</v>
      </c>
      <c r="R744" s="153">
        <v>1</v>
      </c>
      <c r="S744" s="157"/>
      <c r="T744" s="153">
        <v>2</v>
      </c>
      <c r="U744" s="153">
        <f ca="1" t="shared" si="121"/>
        <v>44</v>
      </c>
      <c r="V744" s="153">
        <f ca="1">ROUND((OFFSET(卡牌辅助配置表!$O$1,MATCH(U744,卡牌辅助配置表!M:M,0)-1,0)+(N744-1)*OFFSET(卡牌辅助配置表!$P$1,MATCH(U744,卡牌辅助配置表!M:M,0)-1,0))*M744,2)</f>
        <v>361.08</v>
      </c>
      <c r="W744" s="157"/>
      <c r="X744" s="157"/>
      <c r="Y744" s="157"/>
      <c r="Z744" s="304"/>
      <c r="AA744" s="304">
        <f ca="1">OFFSET(卡牌辅助配置表!$AD$1,MATCH(AB744,卡牌辅助配置表!AB:AB,0)-1,0)</f>
        <v>45054</v>
      </c>
      <c r="AB744" s="304">
        <f ca="1" t="shared" si="124"/>
        <v>4419</v>
      </c>
      <c r="AC744" s="153">
        <v>1</v>
      </c>
      <c r="AE744" s="153">
        <v>1</v>
      </c>
      <c r="AF744" s="153" t="str">
        <f ca="1" t="shared" si="128"/>
        <v>14050011|</v>
      </c>
      <c r="AJ744" s="205" t="str">
        <f ca="1" t="shared" si="125"/>
        <v>301405|20|;400023|18900|;</v>
      </c>
      <c r="AK744" s="205">
        <f ca="1">OFFSET([1]item_type!$A$1,MATCH(Q744,[1]item_type!$G:$G,0)-1,0)</f>
        <v>301405</v>
      </c>
      <c r="AL744" s="205">
        <v>20</v>
      </c>
      <c r="AM744" s="205">
        <f ca="1">IF(B744=B745,OFFSET(卡牌辅助配置表!$AE$1,MATCH(AB744,卡牌辅助配置表!AB:AB,0),0),0)</f>
        <v>18900</v>
      </c>
      <c r="AN744" s="153">
        <f ca="1" t="shared" si="126"/>
        <v>1405020</v>
      </c>
      <c r="AP744" s="153" t="str">
        <f ca="1">IF(AC744=0,0,IF(AC744=12,0,OFFSET(effect!$N$1,MATCH(K744,effect!M:M,0)-1,0)))</f>
        <v>kpsx_huangse</v>
      </c>
    </row>
    <row r="745" ht="21" customHeight="1" spans="1:42">
      <c r="A745" s="153">
        <f ca="1" t="shared" si="119"/>
        <v>1405020</v>
      </c>
      <c r="B745" s="300" t="s">
        <v>689</v>
      </c>
      <c r="C745" s="186">
        <v>1</v>
      </c>
      <c r="D745" s="186">
        <v>1</v>
      </c>
      <c r="E745" s="165" t="s">
        <v>1050</v>
      </c>
      <c r="F745" s="165" t="str">
        <f>"上一招为拳法时，本回合每出一张拳法牌，增加造成伤害"&amp;skill!$O$59/100&amp;"%的护甲"</f>
        <v>上一招为拳法时，本回合每出一张拳法牌，增加造成伤害55%的护甲</v>
      </c>
      <c r="G745" s="186">
        <f ca="1">OFFSET(卡牌辅助配置表!$C$1,MATCH(AC745,卡牌辅助配置表!A:A,0)-1,0)</f>
        <v>3</v>
      </c>
      <c r="H745" s="186">
        <f ca="1">OFFSET(skill!$Q$1,MATCH(B745,skill!B:B,0)-1,0)</f>
        <v>0.709677419354839</v>
      </c>
      <c r="I745" s="186"/>
      <c r="J745" s="186">
        <f ca="1">OFFSET(card_type!$F$1,MATCH(Q745,card_type!A:A,0)-1,0)</f>
        <v>4</v>
      </c>
      <c r="K745" s="243">
        <f ca="1">OFFSET(card_type!$G$1,MATCH(Q745,card_type!A:A,0)-1,0)</f>
        <v>4</v>
      </c>
      <c r="L745" s="157">
        <v>2</v>
      </c>
      <c r="M745" s="157">
        <v>2</v>
      </c>
      <c r="N745" s="153">
        <f t="shared" si="120"/>
        <v>20</v>
      </c>
      <c r="O745" s="157"/>
      <c r="P745" s="157"/>
      <c r="Q745" s="153">
        <f ca="1">OFFSET(card_type!$A$1,MATCH(card!B745,card_type!B:B,0)-1,0)</f>
        <v>1405</v>
      </c>
      <c r="R745" s="153">
        <v>1</v>
      </c>
      <c r="S745" s="157"/>
      <c r="T745" s="153">
        <v>2</v>
      </c>
      <c r="U745" s="153">
        <f ca="1" t="shared" si="121"/>
        <v>44</v>
      </c>
      <c r="V745" s="153">
        <f ca="1">ROUND((OFFSET(卡牌辅助配置表!$O$1,MATCH(U745,卡牌辅助配置表!M:M,0)-1,0)+(N745-1)*OFFSET(卡牌辅助配置表!$P$1,MATCH(U745,卡牌辅助配置表!M:M,0)-1,0))*M745,2)</f>
        <v>375.24</v>
      </c>
      <c r="W745" s="157"/>
      <c r="X745" s="157"/>
      <c r="Y745" s="157"/>
      <c r="Z745" s="304"/>
      <c r="AA745" s="304">
        <f ca="1">OFFSET(卡牌辅助配置表!$AD$1,MATCH(AB745,卡牌辅助配置表!AB:AB,0)-1,0)</f>
        <v>47930</v>
      </c>
      <c r="AB745" s="304">
        <f ca="1" t="shared" si="124"/>
        <v>4420</v>
      </c>
      <c r="AC745" s="153">
        <v>1</v>
      </c>
      <c r="AE745" s="153">
        <v>1</v>
      </c>
      <c r="AF745" s="153" t="str">
        <f ca="1" t="shared" si="128"/>
        <v>14050011|</v>
      </c>
      <c r="AJ745" s="205" t="str">
        <f ca="1" t="shared" si="125"/>
        <v>400023|21300|;</v>
      </c>
      <c r="AK745" s="205">
        <f ca="1">OFFSET([1]item_type!$A$1,MATCH(Q745,[1]item_type!$G:$G,0)-1,0)</f>
        <v>301405</v>
      </c>
      <c r="AL745" s="205"/>
      <c r="AM745" s="205">
        <f ca="1">IF(B745=B746,OFFSET(卡牌辅助配置表!$AE$1,MATCH(AB745,卡牌辅助配置表!AB:AB,0),0),0)</f>
        <v>21300</v>
      </c>
      <c r="AN745" s="153">
        <f ca="1" t="shared" si="126"/>
        <v>1405021</v>
      </c>
      <c r="AP745" s="153" t="str">
        <f ca="1">IF(AC745=0,0,IF(AC745=12,0,OFFSET(effect!$N$1,MATCH(K745,effect!M:M,0)-1,0)))</f>
        <v>kpsx_huangse</v>
      </c>
    </row>
    <row r="746" ht="21" customHeight="1" spans="1:42">
      <c r="A746" s="153">
        <f ca="1" t="shared" si="119"/>
        <v>1405021</v>
      </c>
      <c r="B746" s="300" t="s">
        <v>689</v>
      </c>
      <c r="C746" s="186">
        <v>1</v>
      </c>
      <c r="D746" s="186">
        <v>1</v>
      </c>
      <c r="E746" s="165" t="s">
        <v>1050</v>
      </c>
      <c r="F746" s="165" t="str">
        <f>"上一招为拳法时，本回合每出一张拳法牌，增加造成伤害"&amp;skill!$O$59/100&amp;"%的护甲"</f>
        <v>上一招为拳法时，本回合每出一张拳法牌，增加造成伤害55%的护甲</v>
      </c>
      <c r="G746" s="186">
        <f ca="1">OFFSET(卡牌辅助配置表!$C$1,MATCH(AC746,卡牌辅助配置表!A:A,0)-1,0)</f>
        <v>3</v>
      </c>
      <c r="H746" s="186">
        <f ca="1">OFFSET(skill!$Q$1,MATCH(B746,skill!B:B,0)-1,0)</f>
        <v>0.709677419354839</v>
      </c>
      <c r="I746" s="186"/>
      <c r="J746" s="186">
        <f ca="1">OFFSET(card_type!$F$1,MATCH(Q746,card_type!A:A,0)-1,0)</f>
        <v>4</v>
      </c>
      <c r="K746" s="243">
        <f ca="1">OFFSET(card_type!$G$1,MATCH(Q746,card_type!A:A,0)-1,0)</f>
        <v>4</v>
      </c>
      <c r="L746" s="157">
        <v>2</v>
      </c>
      <c r="M746" s="157">
        <v>2</v>
      </c>
      <c r="N746" s="153">
        <f t="shared" si="120"/>
        <v>21</v>
      </c>
      <c r="O746" s="157"/>
      <c r="P746" s="157"/>
      <c r="Q746" s="153">
        <f ca="1">OFFSET(card_type!$A$1,MATCH(card!B746,card_type!B:B,0)-1,0)</f>
        <v>1405</v>
      </c>
      <c r="R746" s="153">
        <v>1</v>
      </c>
      <c r="S746" s="157"/>
      <c r="T746" s="153">
        <v>2</v>
      </c>
      <c r="U746" s="153">
        <f ca="1" t="shared" si="121"/>
        <v>44</v>
      </c>
      <c r="V746" s="153">
        <f ca="1">ROUND((OFFSET(卡牌辅助配置表!$O$1,MATCH(U746,卡牌辅助配置表!M:M,0)-1,0)+(N746-1)*OFFSET(卡牌辅助配置表!$P$1,MATCH(U746,卡牌辅助配置表!M:M,0)-1,0))*M746,2)</f>
        <v>389.4</v>
      </c>
      <c r="W746" s="157"/>
      <c r="X746" s="157"/>
      <c r="Y746" s="157"/>
      <c r="Z746" s="304"/>
      <c r="AA746" s="304">
        <f ca="1">OFFSET(卡牌辅助配置表!$AD$1,MATCH(AB746,卡牌辅助配置表!AB:AB,0)-1,0)</f>
        <v>51764</v>
      </c>
      <c r="AB746" s="304">
        <f ca="1" t="shared" si="124"/>
        <v>4421</v>
      </c>
      <c r="AC746" s="153">
        <v>1</v>
      </c>
      <c r="AE746" s="153">
        <v>1</v>
      </c>
      <c r="AF746" s="153" t="str">
        <f ca="1" t="shared" si="128"/>
        <v>14050011|</v>
      </c>
      <c r="AJ746" s="205" t="str">
        <f ca="1" t="shared" si="125"/>
        <v>400023|23700|;</v>
      </c>
      <c r="AK746" s="205">
        <f ca="1">OFFSET([1]item_type!$A$1,MATCH(Q746,[1]item_type!$G:$G,0)-1,0)</f>
        <v>301405</v>
      </c>
      <c r="AL746" s="205"/>
      <c r="AM746" s="205">
        <f ca="1">IF(B746=B747,OFFSET(卡牌辅助配置表!$AE$1,MATCH(AB746,卡牌辅助配置表!AB:AB,0),0),0)</f>
        <v>23700</v>
      </c>
      <c r="AN746" s="153">
        <f ca="1" t="shared" si="126"/>
        <v>1405022</v>
      </c>
      <c r="AP746" s="153" t="str">
        <f ca="1">IF(AC746=0,0,IF(AC746=12,0,OFFSET(effect!$N$1,MATCH(K746,effect!M:M,0)-1,0)))</f>
        <v>kpsx_huangse</v>
      </c>
    </row>
    <row r="747" ht="21" customHeight="1" spans="1:42">
      <c r="A747" s="153">
        <f ca="1" t="shared" si="119"/>
        <v>1405022</v>
      </c>
      <c r="B747" s="300" t="s">
        <v>689</v>
      </c>
      <c r="C747" s="186">
        <v>1</v>
      </c>
      <c r="D747" s="186">
        <v>1</v>
      </c>
      <c r="E747" s="165" t="s">
        <v>1050</v>
      </c>
      <c r="F747" s="165" t="str">
        <f>"上一招为拳法时，本回合每出一张拳法牌，增加造成伤害"&amp;skill!$O$59/100&amp;"%的护甲"</f>
        <v>上一招为拳法时，本回合每出一张拳法牌，增加造成伤害55%的护甲</v>
      </c>
      <c r="G747" s="186">
        <f ca="1">OFFSET(卡牌辅助配置表!$C$1,MATCH(AC747,卡牌辅助配置表!A:A,0)-1,0)</f>
        <v>3</v>
      </c>
      <c r="H747" s="186">
        <f ca="1">OFFSET(skill!$Q$1,MATCH(B747,skill!B:B,0)-1,0)</f>
        <v>0.709677419354839</v>
      </c>
      <c r="I747" s="186"/>
      <c r="J747" s="186">
        <f ca="1">OFFSET(card_type!$F$1,MATCH(Q747,card_type!A:A,0)-1,0)</f>
        <v>4</v>
      </c>
      <c r="K747" s="243">
        <f ca="1">OFFSET(card_type!$G$1,MATCH(Q747,card_type!A:A,0)-1,0)</f>
        <v>4</v>
      </c>
      <c r="L747" s="157">
        <v>2</v>
      </c>
      <c r="M747" s="157">
        <v>2</v>
      </c>
      <c r="N747" s="153">
        <f t="shared" si="120"/>
        <v>22</v>
      </c>
      <c r="O747" s="157"/>
      <c r="P747" s="157"/>
      <c r="Q747" s="153">
        <f ca="1">OFFSET(card_type!$A$1,MATCH(card!B747,card_type!B:B,0)-1,0)</f>
        <v>1405</v>
      </c>
      <c r="R747" s="153">
        <v>1</v>
      </c>
      <c r="S747" s="157"/>
      <c r="T747" s="153">
        <v>2</v>
      </c>
      <c r="U747" s="153">
        <f ca="1" t="shared" si="121"/>
        <v>44</v>
      </c>
      <c r="V747" s="153">
        <f ca="1">ROUND((OFFSET(卡牌辅助配置表!$O$1,MATCH(U747,卡牌辅助配置表!M:M,0)-1,0)+(N747-1)*OFFSET(卡牌辅助配置表!$P$1,MATCH(U747,卡牌辅助配置表!M:M,0)-1,0))*M747,2)</f>
        <v>403.56</v>
      </c>
      <c r="W747" s="157"/>
      <c r="X747" s="157"/>
      <c r="Y747" s="157"/>
      <c r="Z747" s="304"/>
      <c r="AA747" s="304">
        <f ca="1">OFFSET(卡牌辅助配置表!$AD$1,MATCH(AB747,卡牌辅助配置表!AB:AB,0)-1,0)</f>
        <v>55598</v>
      </c>
      <c r="AB747" s="304">
        <f ca="1" t="shared" si="124"/>
        <v>4422</v>
      </c>
      <c r="AC747" s="153">
        <v>1</v>
      </c>
      <c r="AE747" s="153">
        <v>1</v>
      </c>
      <c r="AF747" s="153" t="str">
        <f ca="1" t="shared" si="128"/>
        <v>14050011|</v>
      </c>
      <c r="AJ747" s="205" t="str">
        <f ca="1" t="shared" si="125"/>
        <v>400023|26100|;</v>
      </c>
      <c r="AK747" s="205">
        <f ca="1">OFFSET([1]item_type!$A$1,MATCH(Q747,[1]item_type!$G:$G,0)-1,0)</f>
        <v>301405</v>
      </c>
      <c r="AL747" s="205"/>
      <c r="AM747" s="205">
        <f ca="1">IF(B747=B748,OFFSET(卡牌辅助配置表!$AE$1,MATCH(AB747,卡牌辅助配置表!AB:AB,0),0),0)</f>
        <v>26100</v>
      </c>
      <c r="AN747" s="153">
        <f ca="1" t="shared" si="126"/>
        <v>1405023</v>
      </c>
      <c r="AP747" s="153" t="str">
        <f ca="1">IF(AC747=0,0,IF(AC747=12,0,OFFSET(effect!$N$1,MATCH(K747,effect!M:M,0)-1,0)))</f>
        <v>kpsx_huangse</v>
      </c>
    </row>
    <row r="748" ht="21" customHeight="1" spans="1:42">
      <c r="A748" s="153">
        <f ca="1" t="shared" si="119"/>
        <v>1405023</v>
      </c>
      <c r="B748" s="300" t="s">
        <v>689</v>
      </c>
      <c r="C748" s="186">
        <v>1</v>
      </c>
      <c r="D748" s="186">
        <v>1</v>
      </c>
      <c r="E748" s="165" t="s">
        <v>1050</v>
      </c>
      <c r="F748" s="165" t="str">
        <f>"上一招为拳法时，本回合每出一张拳法牌，增加造成伤害"&amp;skill!$O$59/100&amp;"%的护甲"</f>
        <v>上一招为拳法时，本回合每出一张拳法牌，增加造成伤害55%的护甲</v>
      </c>
      <c r="G748" s="186">
        <f ca="1">OFFSET(卡牌辅助配置表!$C$1,MATCH(AC748,卡牌辅助配置表!A:A,0)-1,0)</f>
        <v>3</v>
      </c>
      <c r="H748" s="186">
        <f ca="1">OFFSET(skill!$Q$1,MATCH(B748,skill!B:B,0)-1,0)</f>
        <v>0.709677419354839</v>
      </c>
      <c r="I748" s="186"/>
      <c r="J748" s="186">
        <f ca="1">OFFSET(card_type!$F$1,MATCH(Q748,card_type!A:A,0)-1,0)</f>
        <v>4</v>
      </c>
      <c r="K748" s="243">
        <f ca="1">OFFSET(card_type!$G$1,MATCH(Q748,card_type!A:A,0)-1,0)</f>
        <v>4</v>
      </c>
      <c r="L748" s="157">
        <v>2</v>
      </c>
      <c r="M748" s="157">
        <v>2</v>
      </c>
      <c r="N748" s="153">
        <f t="shared" si="120"/>
        <v>23</v>
      </c>
      <c r="O748" s="157"/>
      <c r="P748" s="157"/>
      <c r="Q748" s="153">
        <f ca="1">OFFSET(card_type!$A$1,MATCH(card!B748,card_type!B:B,0)-1,0)</f>
        <v>1405</v>
      </c>
      <c r="R748" s="153">
        <v>1</v>
      </c>
      <c r="S748" s="157"/>
      <c r="T748" s="153">
        <v>2</v>
      </c>
      <c r="U748" s="153">
        <f ca="1" t="shared" si="121"/>
        <v>44</v>
      </c>
      <c r="V748" s="153">
        <f ca="1">ROUND((OFFSET(卡牌辅助配置表!$O$1,MATCH(U748,卡牌辅助配置表!M:M,0)-1,0)+(N748-1)*OFFSET(卡牌辅助配置表!$P$1,MATCH(U748,卡牌辅助配置表!M:M,0)-1,0))*M748,2)</f>
        <v>417.72</v>
      </c>
      <c r="W748" s="157"/>
      <c r="X748" s="157"/>
      <c r="Y748" s="157"/>
      <c r="Z748" s="304"/>
      <c r="AA748" s="304">
        <f ca="1">OFFSET(卡牌辅助配置表!$AD$1,MATCH(AB748,卡牌辅助配置表!AB:AB,0)-1,0)</f>
        <v>59432</v>
      </c>
      <c r="AB748" s="304">
        <f ca="1" t="shared" si="124"/>
        <v>4423</v>
      </c>
      <c r="AC748" s="153">
        <v>1</v>
      </c>
      <c r="AE748" s="153">
        <v>1</v>
      </c>
      <c r="AF748" s="153" t="str">
        <f ca="1" t="shared" si="128"/>
        <v>14050011|</v>
      </c>
      <c r="AJ748" s="205" t="str">
        <f ca="1" t="shared" si="125"/>
        <v>400023|28500|;</v>
      </c>
      <c r="AK748" s="205">
        <f ca="1">OFFSET([1]item_type!$A$1,MATCH(Q748,[1]item_type!$G:$G,0)-1,0)</f>
        <v>301405</v>
      </c>
      <c r="AL748" s="205"/>
      <c r="AM748" s="205">
        <f ca="1">IF(B748=B749,OFFSET(卡牌辅助配置表!$AE$1,MATCH(AB748,卡牌辅助配置表!AB:AB,0),0),0)</f>
        <v>28500</v>
      </c>
      <c r="AN748" s="153">
        <f ca="1" t="shared" si="126"/>
        <v>1405024</v>
      </c>
      <c r="AP748" s="153" t="str">
        <f ca="1">IF(AC748=0,0,IF(AC748=12,0,OFFSET(effect!$N$1,MATCH(K748,effect!M:M,0)-1,0)))</f>
        <v>kpsx_huangse</v>
      </c>
    </row>
    <row r="749" ht="21" customHeight="1" spans="1:42">
      <c r="A749" s="153">
        <f ca="1" t="shared" si="119"/>
        <v>1405024</v>
      </c>
      <c r="B749" s="300" t="s">
        <v>689</v>
      </c>
      <c r="C749" s="186">
        <v>1</v>
      </c>
      <c r="D749" s="186">
        <v>1</v>
      </c>
      <c r="E749" s="165" t="s">
        <v>1050</v>
      </c>
      <c r="F749" s="165" t="str">
        <f>"上一招为拳法时，本回合每出一张拳法牌，增加造成伤害"&amp;skill!$O$59/100&amp;"%的护甲"</f>
        <v>上一招为拳法时，本回合每出一张拳法牌，增加造成伤害55%的护甲</v>
      </c>
      <c r="G749" s="186">
        <f ca="1">OFFSET(卡牌辅助配置表!$C$1,MATCH(AC749,卡牌辅助配置表!A:A,0)-1,0)</f>
        <v>3</v>
      </c>
      <c r="H749" s="186">
        <f ca="1">OFFSET(skill!$Q$1,MATCH(B749,skill!B:B,0)-1,0)</f>
        <v>0.709677419354839</v>
      </c>
      <c r="I749" s="186"/>
      <c r="J749" s="186">
        <f ca="1">OFFSET(card_type!$F$1,MATCH(Q749,card_type!A:A,0)-1,0)</f>
        <v>4</v>
      </c>
      <c r="K749" s="243">
        <f ca="1">OFFSET(card_type!$G$1,MATCH(Q749,card_type!A:A,0)-1,0)</f>
        <v>4</v>
      </c>
      <c r="L749" s="157">
        <v>2</v>
      </c>
      <c r="M749" s="157">
        <v>2</v>
      </c>
      <c r="N749" s="153">
        <f t="shared" si="120"/>
        <v>24</v>
      </c>
      <c r="O749" s="157"/>
      <c r="P749" s="157"/>
      <c r="Q749" s="153">
        <f ca="1">OFFSET(card_type!$A$1,MATCH(card!B749,card_type!B:B,0)-1,0)</f>
        <v>1405</v>
      </c>
      <c r="R749" s="153">
        <v>1</v>
      </c>
      <c r="S749" s="157"/>
      <c r="T749" s="153">
        <v>2</v>
      </c>
      <c r="U749" s="153">
        <f ca="1" t="shared" si="121"/>
        <v>44</v>
      </c>
      <c r="V749" s="153">
        <f ca="1">ROUND((OFFSET(卡牌辅助配置表!$O$1,MATCH(U749,卡牌辅助配置表!M:M,0)-1,0)+(N749-1)*OFFSET(卡牌辅助配置表!$P$1,MATCH(U749,卡牌辅助配置表!M:M,0)-1,0))*M749,2)</f>
        <v>431.88</v>
      </c>
      <c r="W749" s="157"/>
      <c r="X749" s="157"/>
      <c r="Y749" s="157"/>
      <c r="Z749" s="304"/>
      <c r="AA749" s="304">
        <f ca="1">OFFSET(卡牌辅助配置表!$AD$1,MATCH(AB749,卡牌辅助配置表!AB:AB,0)-1,0)</f>
        <v>63266</v>
      </c>
      <c r="AB749" s="304">
        <f ca="1" t="shared" si="124"/>
        <v>4424</v>
      </c>
      <c r="AC749" s="153">
        <v>1</v>
      </c>
      <c r="AE749" s="153">
        <v>1</v>
      </c>
      <c r="AF749" s="153" t="str">
        <f ca="1" t="shared" si="128"/>
        <v>14050011|</v>
      </c>
      <c r="AJ749" s="205" t="str">
        <f ca="1" t="shared" si="125"/>
        <v>400023|30900|;</v>
      </c>
      <c r="AK749" s="205">
        <f ca="1">OFFSET([1]item_type!$A$1,MATCH(Q749,[1]item_type!$G:$G,0)-1,0)</f>
        <v>301405</v>
      </c>
      <c r="AL749" s="205"/>
      <c r="AM749" s="205">
        <f ca="1">IF(B749=B750,OFFSET(卡牌辅助配置表!$AE$1,MATCH(AB749,卡牌辅助配置表!AB:AB,0),0),0)</f>
        <v>30900</v>
      </c>
      <c r="AN749" s="153">
        <f ca="1" t="shared" si="126"/>
        <v>1405025</v>
      </c>
      <c r="AP749" s="153" t="str">
        <f ca="1">IF(AC749=0,0,IF(AC749=12,0,OFFSET(effect!$N$1,MATCH(K749,effect!M:M,0)-1,0)))</f>
        <v>kpsx_huangse</v>
      </c>
    </row>
    <row r="750" ht="21" customHeight="1" spans="1:42">
      <c r="A750" s="153">
        <f ca="1" t="shared" si="119"/>
        <v>1405025</v>
      </c>
      <c r="B750" s="300" t="s">
        <v>689</v>
      </c>
      <c r="C750" s="186">
        <v>1</v>
      </c>
      <c r="D750" s="186">
        <v>1</v>
      </c>
      <c r="E750" s="165" t="s">
        <v>1050</v>
      </c>
      <c r="F750" s="165" t="str">
        <f>"上一招为拳法时，本回合每出一张拳法牌，增加造成伤害"&amp;skill!$O$59/100&amp;"%的护甲"</f>
        <v>上一招为拳法时，本回合每出一张拳法牌，增加造成伤害55%的护甲</v>
      </c>
      <c r="G750" s="186">
        <f ca="1">OFFSET(卡牌辅助配置表!$C$1,MATCH(AC750,卡牌辅助配置表!A:A,0)-1,0)</f>
        <v>3</v>
      </c>
      <c r="H750" s="186">
        <f ca="1">OFFSET(skill!$Q$1,MATCH(B750,skill!B:B,0)-1,0)</f>
        <v>0.709677419354839</v>
      </c>
      <c r="I750" s="186"/>
      <c r="J750" s="186">
        <f ca="1">OFFSET(card_type!$F$1,MATCH(Q750,card_type!A:A,0)-1,0)</f>
        <v>4</v>
      </c>
      <c r="K750" s="243">
        <f ca="1">OFFSET(card_type!$G$1,MATCH(Q750,card_type!A:A,0)-1,0)</f>
        <v>4</v>
      </c>
      <c r="L750" s="157">
        <v>2</v>
      </c>
      <c r="M750" s="157">
        <v>2</v>
      </c>
      <c r="N750" s="153">
        <f t="shared" si="120"/>
        <v>25</v>
      </c>
      <c r="O750" s="157"/>
      <c r="P750" s="157"/>
      <c r="Q750" s="153">
        <f ca="1">OFFSET(card_type!$A$1,MATCH(card!B750,card_type!B:B,0)-1,0)</f>
        <v>1405</v>
      </c>
      <c r="R750" s="153">
        <v>1</v>
      </c>
      <c r="S750" s="157"/>
      <c r="T750" s="153">
        <v>2</v>
      </c>
      <c r="U750" s="153">
        <f ca="1" t="shared" si="121"/>
        <v>44</v>
      </c>
      <c r="V750" s="153">
        <f ca="1">ROUND((OFFSET(卡牌辅助配置表!$O$1,MATCH(U750,卡牌辅助配置表!M:M,0)-1,0)+(N750-1)*OFFSET(卡牌辅助配置表!$P$1,MATCH(U750,卡牌辅助配置表!M:M,0)-1,0))*M750,2)</f>
        <v>446.04</v>
      </c>
      <c r="W750" s="157"/>
      <c r="X750" s="157"/>
      <c r="Y750" s="157"/>
      <c r="Z750" s="304"/>
      <c r="AA750" s="304">
        <f ca="1">OFFSET(卡牌辅助配置表!$AD$1,MATCH(AB750,卡牌辅助配置表!AB:AB,0)-1,0)</f>
        <v>67100</v>
      </c>
      <c r="AB750" s="304">
        <f ca="1" t="shared" si="124"/>
        <v>4425</v>
      </c>
      <c r="AC750" s="153">
        <v>1</v>
      </c>
      <c r="AE750" s="153">
        <v>1</v>
      </c>
      <c r="AF750" s="153" t="str">
        <f ca="1" t="shared" si="128"/>
        <v>14050011|</v>
      </c>
      <c r="AJ750" s="205" t="str">
        <f ca="1" t="shared" si="125"/>
        <v>400023|33300|;</v>
      </c>
      <c r="AK750" s="205">
        <f ca="1">OFFSET([1]item_type!$A$1,MATCH(Q750,[1]item_type!$G:$G,0)-1,0)</f>
        <v>301405</v>
      </c>
      <c r="AL750" s="205"/>
      <c r="AM750" s="205">
        <f ca="1">IF(B750=B751,OFFSET(卡牌辅助配置表!$AE$1,MATCH(AB750,卡牌辅助配置表!AB:AB,0),0),0)</f>
        <v>33300</v>
      </c>
      <c r="AN750" s="153">
        <f ca="1" t="shared" si="126"/>
        <v>1405026</v>
      </c>
      <c r="AP750" s="153" t="str">
        <f ca="1">IF(AC750=0,0,IF(AC750=12,0,OFFSET(effect!$N$1,MATCH(K750,effect!M:M,0)-1,0)))</f>
        <v>kpsx_huangse</v>
      </c>
    </row>
    <row r="751" ht="21" customHeight="1" spans="1:42">
      <c r="A751" s="153">
        <f ca="1" t="shared" si="119"/>
        <v>1405026</v>
      </c>
      <c r="B751" s="300" t="s">
        <v>689</v>
      </c>
      <c r="C751" s="186">
        <v>1</v>
      </c>
      <c r="D751" s="186">
        <v>1</v>
      </c>
      <c r="E751" s="165" t="s">
        <v>1050</v>
      </c>
      <c r="F751" s="165" t="str">
        <f>"上一招为拳法时，本回合每出一张拳法牌，增加造成伤害"&amp;skill!$O$59/100&amp;"%的护甲"</f>
        <v>上一招为拳法时，本回合每出一张拳法牌，增加造成伤害55%的护甲</v>
      </c>
      <c r="G751" s="186">
        <f ca="1">OFFSET(卡牌辅助配置表!$C$1,MATCH(AC751,卡牌辅助配置表!A:A,0)-1,0)</f>
        <v>3</v>
      </c>
      <c r="H751" s="186">
        <f ca="1">OFFSET(skill!$Q$1,MATCH(B751,skill!B:B,0)-1,0)</f>
        <v>0.709677419354839</v>
      </c>
      <c r="I751" s="186"/>
      <c r="J751" s="186">
        <f ca="1">OFFSET(card_type!$F$1,MATCH(Q751,card_type!A:A,0)-1,0)</f>
        <v>4</v>
      </c>
      <c r="K751" s="243">
        <f ca="1">OFFSET(card_type!$G$1,MATCH(Q751,card_type!A:A,0)-1,0)</f>
        <v>4</v>
      </c>
      <c r="L751" s="157">
        <v>2</v>
      </c>
      <c r="M751" s="157">
        <v>2</v>
      </c>
      <c r="N751" s="153">
        <f t="shared" si="120"/>
        <v>26</v>
      </c>
      <c r="O751" s="157"/>
      <c r="P751" s="157"/>
      <c r="Q751" s="153">
        <f ca="1">OFFSET(card_type!$A$1,MATCH(card!B751,card_type!B:B,0)-1,0)</f>
        <v>1405</v>
      </c>
      <c r="R751" s="153">
        <v>1</v>
      </c>
      <c r="S751" s="157"/>
      <c r="T751" s="153">
        <v>2</v>
      </c>
      <c r="U751" s="153">
        <f ca="1" t="shared" si="121"/>
        <v>44</v>
      </c>
      <c r="V751" s="153">
        <f ca="1">ROUND((OFFSET(卡牌辅助配置表!$O$1,MATCH(U751,卡牌辅助配置表!M:M,0)-1,0)+(N751-1)*OFFSET(卡牌辅助配置表!$P$1,MATCH(U751,卡牌辅助配置表!M:M,0)-1,0))*M751,2)</f>
        <v>460.2</v>
      </c>
      <c r="W751" s="157"/>
      <c r="X751" s="157"/>
      <c r="Y751" s="157"/>
      <c r="Z751" s="304"/>
      <c r="AA751" s="304">
        <f ca="1">OFFSET(卡牌辅助配置表!$AD$1,MATCH(AB751,卡牌辅助配置表!AB:AB,0)-1,0)</f>
        <v>70934</v>
      </c>
      <c r="AB751" s="304">
        <f ca="1" t="shared" si="124"/>
        <v>4426</v>
      </c>
      <c r="AC751" s="153">
        <v>1</v>
      </c>
      <c r="AE751" s="153">
        <v>1</v>
      </c>
      <c r="AF751" s="153" t="str">
        <f ca="1" t="shared" si="128"/>
        <v>14050011|</v>
      </c>
      <c r="AJ751" s="205" t="str">
        <f ca="1" t="shared" si="125"/>
        <v>400023|35700|;</v>
      </c>
      <c r="AK751" s="205">
        <f ca="1">OFFSET([1]item_type!$A$1,MATCH(Q751,[1]item_type!$G:$G,0)-1,0)</f>
        <v>301405</v>
      </c>
      <c r="AL751" s="205"/>
      <c r="AM751" s="205">
        <f ca="1">IF(B751=B752,OFFSET(卡牌辅助配置表!$AE$1,MATCH(AB751,卡牌辅助配置表!AB:AB,0),0),0)</f>
        <v>35700</v>
      </c>
      <c r="AN751" s="153">
        <f ca="1" t="shared" si="126"/>
        <v>1405027</v>
      </c>
      <c r="AP751" s="153" t="str">
        <f ca="1">IF(AC751=0,0,IF(AC751=12,0,OFFSET(effect!$N$1,MATCH(K751,effect!M:M,0)-1,0)))</f>
        <v>kpsx_huangse</v>
      </c>
    </row>
    <row r="752" ht="21" customHeight="1" spans="1:42">
      <c r="A752" s="153">
        <f ca="1" t="shared" si="119"/>
        <v>1405027</v>
      </c>
      <c r="B752" s="300" t="s">
        <v>689</v>
      </c>
      <c r="C752" s="186">
        <v>1</v>
      </c>
      <c r="D752" s="186">
        <v>1</v>
      </c>
      <c r="E752" s="165" t="s">
        <v>1050</v>
      </c>
      <c r="F752" s="165" t="str">
        <f>"上一招为拳法时，本回合每出一张拳法牌，增加造成伤害"&amp;skill!$O$59/100&amp;"%的护甲"</f>
        <v>上一招为拳法时，本回合每出一张拳法牌，增加造成伤害55%的护甲</v>
      </c>
      <c r="G752" s="186">
        <f ca="1">OFFSET(卡牌辅助配置表!$C$1,MATCH(AC752,卡牌辅助配置表!A:A,0)-1,0)</f>
        <v>3</v>
      </c>
      <c r="H752" s="186">
        <f ca="1">OFFSET(skill!$Q$1,MATCH(B752,skill!B:B,0)-1,0)</f>
        <v>0.709677419354839</v>
      </c>
      <c r="I752" s="186"/>
      <c r="J752" s="186">
        <f ca="1">OFFSET(card_type!$F$1,MATCH(Q752,card_type!A:A,0)-1,0)</f>
        <v>4</v>
      </c>
      <c r="K752" s="243">
        <f ca="1">OFFSET(card_type!$G$1,MATCH(Q752,card_type!A:A,0)-1,0)</f>
        <v>4</v>
      </c>
      <c r="L752" s="157">
        <v>2</v>
      </c>
      <c r="M752" s="157">
        <v>2</v>
      </c>
      <c r="N752" s="153">
        <f t="shared" si="120"/>
        <v>27</v>
      </c>
      <c r="O752" s="157"/>
      <c r="P752" s="157"/>
      <c r="Q752" s="153">
        <f ca="1">OFFSET(card_type!$A$1,MATCH(card!B752,card_type!B:B,0)-1,0)</f>
        <v>1405</v>
      </c>
      <c r="R752" s="153">
        <v>1</v>
      </c>
      <c r="S752" s="157"/>
      <c r="T752" s="153">
        <v>2</v>
      </c>
      <c r="U752" s="153">
        <f ca="1" t="shared" si="121"/>
        <v>44</v>
      </c>
      <c r="V752" s="153">
        <f ca="1">ROUND((OFFSET(卡牌辅助配置表!$O$1,MATCH(U752,卡牌辅助配置表!M:M,0)-1,0)+(N752-1)*OFFSET(卡牌辅助配置表!$P$1,MATCH(U752,卡牌辅助配置表!M:M,0)-1,0))*M752,2)</f>
        <v>474.36</v>
      </c>
      <c r="W752" s="157"/>
      <c r="X752" s="157"/>
      <c r="Y752" s="157"/>
      <c r="Z752" s="304"/>
      <c r="AA752" s="304">
        <f ca="1">OFFSET(卡牌辅助配置表!$AD$1,MATCH(AB752,卡牌辅助配置表!AB:AB,0)-1,0)</f>
        <v>74768</v>
      </c>
      <c r="AB752" s="304">
        <f ca="1" t="shared" si="124"/>
        <v>4427</v>
      </c>
      <c r="AC752" s="153">
        <v>1</v>
      </c>
      <c r="AE752" s="153">
        <v>1</v>
      </c>
      <c r="AF752" s="153" t="str">
        <f ca="1" t="shared" si="128"/>
        <v>14050011|</v>
      </c>
      <c r="AJ752" s="205" t="str">
        <f ca="1" t="shared" si="125"/>
        <v>400023|38100|;</v>
      </c>
      <c r="AK752" s="205">
        <f ca="1">OFFSET([1]item_type!$A$1,MATCH(Q752,[1]item_type!$G:$G,0)-1,0)</f>
        <v>301405</v>
      </c>
      <c r="AL752" s="205"/>
      <c r="AM752" s="205">
        <f ca="1">IF(B752=B753,OFFSET(卡牌辅助配置表!$AE$1,MATCH(AB752,卡牌辅助配置表!AB:AB,0),0),0)</f>
        <v>38100</v>
      </c>
      <c r="AN752" s="153">
        <f ca="1" t="shared" si="126"/>
        <v>1405028</v>
      </c>
      <c r="AP752" s="153" t="str">
        <f ca="1">IF(AC752=0,0,IF(AC752=12,0,OFFSET(effect!$N$1,MATCH(K752,effect!M:M,0)-1,0)))</f>
        <v>kpsx_huangse</v>
      </c>
    </row>
    <row r="753" ht="21" customHeight="1" spans="1:42">
      <c r="A753" s="153">
        <f ca="1" t="shared" si="119"/>
        <v>1405028</v>
      </c>
      <c r="B753" s="300" t="s">
        <v>689</v>
      </c>
      <c r="C753" s="186">
        <v>1</v>
      </c>
      <c r="D753" s="186">
        <v>1</v>
      </c>
      <c r="E753" s="165" t="s">
        <v>1050</v>
      </c>
      <c r="F753" s="165" t="str">
        <f>"上一招为拳法时，本回合每出一张拳法牌，增加造成伤害"&amp;skill!$O$59/100&amp;"%的护甲"</f>
        <v>上一招为拳法时，本回合每出一张拳法牌，增加造成伤害55%的护甲</v>
      </c>
      <c r="G753" s="186">
        <f ca="1">OFFSET(卡牌辅助配置表!$C$1,MATCH(AC753,卡牌辅助配置表!A:A,0)-1,0)</f>
        <v>3</v>
      </c>
      <c r="H753" s="186">
        <f ca="1">OFFSET(skill!$Q$1,MATCH(B753,skill!B:B,0)-1,0)</f>
        <v>0.709677419354839</v>
      </c>
      <c r="I753" s="186"/>
      <c r="J753" s="186">
        <f ca="1">OFFSET(card_type!$F$1,MATCH(Q753,card_type!A:A,0)-1,0)</f>
        <v>4</v>
      </c>
      <c r="K753" s="243">
        <f ca="1">OFFSET(card_type!$G$1,MATCH(Q753,card_type!A:A,0)-1,0)</f>
        <v>4</v>
      </c>
      <c r="L753" s="157">
        <v>2</v>
      </c>
      <c r="M753" s="157">
        <v>2</v>
      </c>
      <c r="N753" s="153">
        <f t="shared" si="120"/>
        <v>28</v>
      </c>
      <c r="O753" s="157"/>
      <c r="P753" s="157"/>
      <c r="Q753" s="153">
        <f ca="1">OFFSET(card_type!$A$1,MATCH(card!B753,card_type!B:B,0)-1,0)</f>
        <v>1405</v>
      </c>
      <c r="R753" s="153">
        <v>1</v>
      </c>
      <c r="S753" s="157"/>
      <c r="T753" s="153">
        <v>2</v>
      </c>
      <c r="U753" s="153">
        <f ca="1" t="shared" si="121"/>
        <v>44</v>
      </c>
      <c r="V753" s="153">
        <f ca="1">ROUND((OFFSET(卡牌辅助配置表!$O$1,MATCH(U753,卡牌辅助配置表!M:M,0)-1,0)+(N753-1)*OFFSET(卡牌辅助配置表!$P$1,MATCH(U753,卡牌辅助配置表!M:M,0)-1,0))*M753,2)</f>
        <v>488.52</v>
      </c>
      <c r="W753" s="157"/>
      <c r="X753" s="157"/>
      <c r="Y753" s="157"/>
      <c r="Z753" s="304"/>
      <c r="AA753" s="304">
        <f ca="1">OFFSET(卡牌辅助配置表!$AD$1,MATCH(AB753,卡牌辅助配置表!AB:AB,0)-1,0)</f>
        <v>78602</v>
      </c>
      <c r="AB753" s="304">
        <f ca="1" t="shared" si="124"/>
        <v>4428</v>
      </c>
      <c r="AC753" s="153">
        <v>1</v>
      </c>
      <c r="AE753" s="153">
        <v>1</v>
      </c>
      <c r="AF753" s="153" t="str">
        <f ca="1" t="shared" si="128"/>
        <v>14050011|</v>
      </c>
      <c r="AJ753" s="205" t="str">
        <f ca="1" t="shared" si="125"/>
        <v>400023|40500|;</v>
      </c>
      <c r="AK753" s="205">
        <f ca="1">OFFSET([1]item_type!$A$1,MATCH(Q753,[1]item_type!$G:$G,0)-1,0)</f>
        <v>301405</v>
      </c>
      <c r="AL753" s="205"/>
      <c r="AM753" s="205">
        <f ca="1">IF(B753=B754,OFFSET(卡牌辅助配置表!$AE$1,MATCH(AB753,卡牌辅助配置表!AB:AB,0),0),0)</f>
        <v>40500</v>
      </c>
      <c r="AN753" s="153">
        <f ca="1" t="shared" si="126"/>
        <v>1405029</v>
      </c>
      <c r="AP753" s="153" t="str">
        <f ca="1">IF(AC753=0,0,IF(AC753=12,0,OFFSET(effect!$N$1,MATCH(K753,effect!M:M,0)-1,0)))</f>
        <v>kpsx_huangse</v>
      </c>
    </row>
    <row r="754" ht="21" customHeight="1" spans="1:42">
      <c r="A754" s="153">
        <f ca="1" t="shared" si="119"/>
        <v>1405029</v>
      </c>
      <c r="B754" s="300" t="s">
        <v>689</v>
      </c>
      <c r="C754" s="186">
        <v>1</v>
      </c>
      <c r="D754" s="186">
        <v>1</v>
      </c>
      <c r="E754" s="165" t="s">
        <v>1050</v>
      </c>
      <c r="F754" s="165" t="str">
        <f>"上一招为拳法时，本回合每出一张拳法牌，增加造成伤害"&amp;skill!$O$59/100&amp;"%的护甲"</f>
        <v>上一招为拳法时，本回合每出一张拳法牌，增加造成伤害55%的护甲</v>
      </c>
      <c r="G754" s="186">
        <f ca="1">OFFSET(卡牌辅助配置表!$C$1,MATCH(AC754,卡牌辅助配置表!A:A,0)-1,0)</f>
        <v>3</v>
      </c>
      <c r="H754" s="186">
        <f ca="1">OFFSET(skill!$Q$1,MATCH(B754,skill!B:B,0)-1,0)</f>
        <v>0.709677419354839</v>
      </c>
      <c r="I754" s="186"/>
      <c r="J754" s="186">
        <f ca="1">OFFSET(card_type!$F$1,MATCH(Q754,card_type!A:A,0)-1,0)</f>
        <v>4</v>
      </c>
      <c r="K754" s="243">
        <f ca="1">OFFSET(card_type!$G$1,MATCH(Q754,card_type!A:A,0)-1,0)</f>
        <v>4</v>
      </c>
      <c r="L754" s="157">
        <v>2</v>
      </c>
      <c r="M754" s="157">
        <v>2</v>
      </c>
      <c r="N754" s="153">
        <f t="shared" si="120"/>
        <v>29</v>
      </c>
      <c r="O754" s="157"/>
      <c r="P754" s="157"/>
      <c r="Q754" s="153">
        <f ca="1">OFFSET(card_type!$A$1,MATCH(card!B754,card_type!B:B,0)-1,0)</f>
        <v>1405</v>
      </c>
      <c r="R754" s="153">
        <v>1</v>
      </c>
      <c r="S754" s="157"/>
      <c r="T754" s="153">
        <v>2</v>
      </c>
      <c r="U754" s="153">
        <f ca="1" t="shared" si="121"/>
        <v>44</v>
      </c>
      <c r="V754" s="153">
        <f ca="1">ROUND((OFFSET(卡牌辅助配置表!$O$1,MATCH(U754,卡牌辅助配置表!M:M,0)-1,0)+(N754-1)*OFFSET(卡牌辅助配置表!$P$1,MATCH(U754,卡牌辅助配置表!M:M,0)-1,0))*M754,2)</f>
        <v>502.68</v>
      </c>
      <c r="W754" s="157"/>
      <c r="X754" s="157"/>
      <c r="Y754" s="157"/>
      <c r="Z754" s="304"/>
      <c r="AA754" s="304">
        <f ca="1">OFFSET(卡牌辅助配置表!$AD$1,MATCH(AB754,卡牌辅助配置表!AB:AB,0)-1,0)</f>
        <v>82436</v>
      </c>
      <c r="AB754" s="304">
        <f ca="1" t="shared" si="124"/>
        <v>4429</v>
      </c>
      <c r="AC754" s="153">
        <v>1</v>
      </c>
      <c r="AE754" s="153">
        <v>1</v>
      </c>
      <c r="AF754" s="153" t="str">
        <f ca="1" t="shared" si="128"/>
        <v>14050011|</v>
      </c>
      <c r="AJ754" s="205" t="str">
        <f ca="1" t="shared" si="125"/>
        <v>301405|30|;400023|42900|;</v>
      </c>
      <c r="AK754" s="205">
        <f ca="1">OFFSET([1]item_type!$A$1,MATCH(Q754,[1]item_type!$G:$G,0)-1,0)</f>
        <v>301405</v>
      </c>
      <c r="AL754" s="205">
        <v>30</v>
      </c>
      <c r="AM754" s="205">
        <f ca="1">IF(B754=B755,OFFSET(卡牌辅助配置表!$AE$1,MATCH(AB754,卡牌辅助配置表!AB:AB,0),0),0)</f>
        <v>42900</v>
      </c>
      <c r="AN754" s="153">
        <f ca="1" t="shared" si="126"/>
        <v>1405030</v>
      </c>
      <c r="AP754" s="153" t="str">
        <f ca="1">IF(AC754=0,0,IF(AC754=12,0,OFFSET(effect!$N$1,MATCH(K754,effect!M:M,0)-1,0)))</f>
        <v>kpsx_huangse</v>
      </c>
    </row>
    <row r="755" ht="21" customHeight="1" spans="1:42">
      <c r="A755" s="153">
        <f ca="1" t="shared" si="119"/>
        <v>1405030</v>
      </c>
      <c r="B755" s="300" t="s">
        <v>689</v>
      </c>
      <c r="C755" s="186">
        <v>1</v>
      </c>
      <c r="D755" s="186">
        <v>1</v>
      </c>
      <c r="E755" s="165" t="s">
        <v>1050</v>
      </c>
      <c r="F755" s="165" t="str">
        <f>"上一招为拳法时，本回合每出一张拳法牌，增加造成伤害"&amp;skill!$O$59/100&amp;"%的护甲"</f>
        <v>上一招为拳法时，本回合每出一张拳法牌，增加造成伤害55%的护甲</v>
      </c>
      <c r="G755" s="186">
        <f ca="1">OFFSET(卡牌辅助配置表!$C$1,MATCH(AC755,卡牌辅助配置表!A:A,0)-1,0)</f>
        <v>3</v>
      </c>
      <c r="H755" s="186">
        <f ca="1">OFFSET(skill!$Q$1,MATCH(B755,skill!B:B,0)-1,0)</f>
        <v>0.709677419354839</v>
      </c>
      <c r="I755" s="186"/>
      <c r="J755" s="186">
        <f ca="1">OFFSET(card_type!$F$1,MATCH(Q755,card_type!A:A,0)-1,0)</f>
        <v>4</v>
      </c>
      <c r="K755" s="243">
        <f ca="1">OFFSET(card_type!$G$1,MATCH(Q755,card_type!A:A,0)-1,0)</f>
        <v>4</v>
      </c>
      <c r="L755" s="157">
        <v>2</v>
      </c>
      <c r="M755" s="157">
        <v>2</v>
      </c>
      <c r="N755" s="153">
        <f t="shared" si="120"/>
        <v>30</v>
      </c>
      <c r="O755" s="157"/>
      <c r="P755" s="157"/>
      <c r="Q755" s="153">
        <f ca="1">OFFSET(card_type!$A$1,MATCH(card!B755,card_type!B:B,0)-1,0)</f>
        <v>1405</v>
      </c>
      <c r="R755" s="153">
        <v>1</v>
      </c>
      <c r="S755" s="157"/>
      <c r="T755" s="153">
        <v>2</v>
      </c>
      <c r="U755" s="153">
        <f ca="1" t="shared" si="121"/>
        <v>44</v>
      </c>
      <c r="V755" s="153">
        <f ca="1">ROUND((OFFSET(卡牌辅助配置表!$O$1,MATCH(U755,卡牌辅助配置表!M:M,0)-1,0)+(N755-1)*OFFSET(卡牌辅助配置表!$P$1,MATCH(U755,卡牌辅助配置表!M:M,0)-1,0))*M755,2)</f>
        <v>516.84</v>
      </c>
      <c r="W755" s="157"/>
      <c r="X755" s="157"/>
      <c r="Y755" s="157"/>
      <c r="Z755" s="304"/>
      <c r="AA755" s="304">
        <f ca="1">OFFSET(卡牌辅助配置表!$AD$1,MATCH(AB755,卡牌辅助配置表!AB:AB,0)-1,0)</f>
        <v>86270</v>
      </c>
      <c r="AB755" s="304">
        <f ca="1" t="shared" si="124"/>
        <v>4430</v>
      </c>
      <c r="AC755" s="153">
        <v>1</v>
      </c>
      <c r="AE755" s="153">
        <v>1</v>
      </c>
      <c r="AF755" s="153" t="str">
        <f ca="1" t="shared" si="128"/>
        <v>14050011|</v>
      </c>
      <c r="AJ755" s="205">
        <f ca="1" t="shared" si="125"/>
        <v>0</v>
      </c>
      <c r="AK755" s="205">
        <f ca="1">OFFSET([1]item_type!$A$1,MATCH(Q755,[1]item_type!$G:$G,0)-1,0)</f>
        <v>301405</v>
      </c>
      <c r="AL755" s="205"/>
      <c r="AM755" s="205">
        <f ca="1">IF(B755=B756,OFFSET(卡牌辅助配置表!$AE$1,MATCH(AB755,卡牌辅助配置表!AB:AB,0),0),0)</f>
        <v>0</v>
      </c>
      <c r="AN755" s="153">
        <f ca="1" t="shared" si="126"/>
        <v>0</v>
      </c>
      <c r="AP755" s="153" t="str">
        <f ca="1">IF(AC755=0,0,IF(AC755=12,0,OFFSET(effect!$N$1,MATCH(K755,effect!M:M,0)-1,0)))</f>
        <v>kpsx_huangse</v>
      </c>
    </row>
    <row r="756" spans="1:42">
      <c r="A756" s="153">
        <f ca="1" t="shared" si="119"/>
        <v>1501001</v>
      </c>
      <c r="B756" s="153" t="s">
        <v>691</v>
      </c>
      <c r="C756" s="186">
        <v>1</v>
      </c>
      <c r="D756" s="186">
        <v>6</v>
      </c>
      <c r="E756" s="165" t="s">
        <v>1050</v>
      </c>
      <c r="F756" s="165" t="str">
        <f>"增加"&amp;skill!$O$48/100&amp;"%对敌人伤害,对自己造成"&amp;P756/100&amp;"%伤害"</f>
        <v>增加50%对敌人伤害,对自己造成20%伤害</v>
      </c>
      <c r="G756" s="186">
        <f>卡牌辅助配置表!$C$15</f>
        <v>6</v>
      </c>
      <c r="H756" s="186">
        <f ca="1" t="shared" ref="H756:H785" si="129">IF(R756=0,Y756,0)</f>
        <v>0</v>
      </c>
      <c r="I756" s="186"/>
      <c r="J756" s="186">
        <f ca="1">OFFSET(card_type!$F$1,MATCH(Q756,card_type!A:A,0)-1,0)</f>
        <v>5</v>
      </c>
      <c r="K756" s="243">
        <f ca="1">OFFSET(card_type!$G$1,MATCH(Q756,card_type!A:A,0)-1,0)</f>
        <v>2</v>
      </c>
      <c r="L756" s="157">
        <v>1</v>
      </c>
      <c r="M756" s="157">
        <v>1</v>
      </c>
      <c r="N756" s="153">
        <f>IF(B725=B756,N725+1,1)</f>
        <v>1</v>
      </c>
      <c r="O756" s="157"/>
      <c r="P756" s="157">
        <v>2000</v>
      </c>
      <c r="Q756" s="153">
        <f ca="1">OFFSET(card_type!$A$1,MATCH(card!B756,card_type!B:B,0)-1,0)</f>
        <v>1501</v>
      </c>
      <c r="R756" s="153">
        <v>1</v>
      </c>
      <c r="S756" s="157">
        <f ca="1">ROUND(IF(R756=0,0,IF(R756=1,X756*$S$1,IF(R756=2,X756*$S$1*buff的资质计算!$E$2,IF(R756=3,X756*$S$1*buff的资质计算!$E$3,0)))),0)*0</f>
        <v>0</v>
      </c>
      <c r="T756" s="153">
        <v>1</v>
      </c>
      <c r="U756" s="153">
        <f ca="1" t="shared" si="121"/>
        <v>52</v>
      </c>
      <c r="V756" s="153">
        <f ca="1">ROUND((OFFSET(卡牌辅助配置表!$O$1,MATCH(U756,卡牌辅助配置表!M:M,0)-1,0)+(N756-1)*OFFSET(卡牌辅助配置表!$P$1,MATCH(U756,卡牌辅助配置表!M:M,0)-1,0))*M756,2)</f>
        <v>39.27</v>
      </c>
      <c r="W756" s="157">
        <f ca="1">ROUND(IF(R756=0,0,IF(R756=1,X756*$W$1,IF(R756=2,X756*$W$1*buff的资质计算!$E$2,IF(R756=3,X756*$W$1*buff的资质计算!$E$3,0)))),2)</f>
        <v>10.5</v>
      </c>
      <c r="X756" s="157">
        <f ca="1" t="shared" ref="X756:X819" si="130">M756*($M$1+(J756-1)*$J$1+(K756-1)*$K$1)+G756+$J$1*(N756-1)/$N$1</f>
        <v>35</v>
      </c>
      <c r="Y756" s="157">
        <f ca="1" t="shared" ref="Y756:Y785" si="131">X756+H756</f>
        <v>35</v>
      </c>
      <c r="Z756" s="304">
        <f ca="1" t="shared" ref="Z756:Z819" si="132">Y756/M756</f>
        <v>35</v>
      </c>
      <c r="AA756" s="304">
        <f ca="1">OFFSET(卡牌辅助配置表!$AD$1,MATCH(AB756,卡牌辅助配置表!AB:AB,0)-1,0)</f>
        <v>3834</v>
      </c>
      <c r="AB756" s="304">
        <f ca="1" t="shared" si="124"/>
        <v>5201</v>
      </c>
      <c r="AF756" s="153" t="str">
        <f ca="1" t="shared" si="128"/>
        <v>15010011|</v>
      </c>
      <c r="AJ756" s="205" t="str">
        <f ca="1" t="shared" si="125"/>
        <v>400023|1050|;</v>
      </c>
      <c r="AK756" s="205">
        <f ca="1">OFFSET([1]item_type!$A$1,MATCH(Q756,[1]item_type!$G:$G,0)-1,0)</f>
        <v>301501</v>
      </c>
      <c r="AL756" s="205"/>
      <c r="AM756" s="205">
        <f ca="1">IF(B756=B757,OFFSET(卡牌辅助配置表!$AE$1,MATCH(AB756,卡牌辅助配置表!AB:AB,0),0),0)</f>
        <v>1050</v>
      </c>
      <c r="AN756" s="153">
        <f ca="1" t="shared" si="126"/>
        <v>1501002</v>
      </c>
      <c r="AP756" s="153">
        <f ca="1">IF(AC756=0,0,IF(AC756=12,0,OFFSET(effect!$N$1,MATCH(K756,effect!M:M,0)-1,0)))</f>
        <v>0</v>
      </c>
    </row>
    <row r="757" spans="1:42">
      <c r="A757" s="153">
        <f ca="1" t="shared" si="119"/>
        <v>1501002</v>
      </c>
      <c r="B757" s="153" t="s">
        <v>691</v>
      </c>
      <c r="C757" s="186">
        <v>1</v>
      </c>
      <c r="D757" s="186">
        <v>6</v>
      </c>
      <c r="E757" s="165" t="s">
        <v>1050</v>
      </c>
      <c r="F757" s="165" t="str">
        <f>"增加"&amp;skill!$O$48/100&amp;"%对敌人伤害,对自己造成"&amp;P757/100&amp;"%伤害"</f>
        <v>增加50%对敌人伤害,对自己造成20%伤害</v>
      </c>
      <c r="G757" s="186">
        <f>卡牌辅助配置表!$C$15</f>
        <v>6</v>
      </c>
      <c r="H757" s="186">
        <f ca="1" t="shared" si="129"/>
        <v>0</v>
      </c>
      <c r="I757" s="186"/>
      <c r="J757" s="186">
        <f ca="1">OFFSET(card_type!$F$1,MATCH(Q757,card_type!A:A,0)-1,0)</f>
        <v>5</v>
      </c>
      <c r="K757" s="243">
        <f ca="1">OFFSET(card_type!$G$1,MATCH(Q757,card_type!A:A,0)-1,0)</f>
        <v>2</v>
      </c>
      <c r="L757" s="157">
        <v>1</v>
      </c>
      <c r="M757" s="157">
        <v>1</v>
      </c>
      <c r="N757" s="153">
        <f t="shared" ref="N757:N820" si="133">IF(B756=B757,N756+1,1)</f>
        <v>2</v>
      </c>
      <c r="O757" s="157"/>
      <c r="P757" s="157">
        <v>2000</v>
      </c>
      <c r="Q757" s="153">
        <f ca="1">OFFSET(card_type!$A$1,MATCH(card!B757,card_type!B:B,0)-1,0)</f>
        <v>1501</v>
      </c>
      <c r="R757" s="153">
        <v>1</v>
      </c>
      <c r="S757" s="157">
        <f ca="1">ROUND(IF(R757=0,0,IF(R757=1,X757*$S$1,IF(R757=2,X757*$S$1*buff的资质计算!$E$2,IF(R757=3,X757*$S$1*buff的资质计算!$E$3,0)))),0)*0</f>
        <v>0</v>
      </c>
      <c r="T757" s="153">
        <v>1</v>
      </c>
      <c r="U757" s="153">
        <f ca="1" t="shared" si="121"/>
        <v>52</v>
      </c>
      <c r="V757" s="153">
        <f ca="1">ROUND((OFFSET(卡牌辅助配置表!$O$1,MATCH(U757,卡牌辅助配置表!M:M,0)-1,0)+(N757-1)*OFFSET(卡牌辅助配置表!$P$1,MATCH(U757,卡牌辅助配置表!M:M,0)-1,0))*M757,2)</f>
        <v>39.27</v>
      </c>
      <c r="W757" s="157">
        <f ca="1">ROUND(IF(R757=0,0,IF(R757=1,X757*$W$1,IF(R757=2,X757*$W$1*buff的资质计算!$E$2,IF(R757=3,X757*$W$1*buff的资质计算!$E$3,0)))),2)</f>
        <v>10.65</v>
      </c>
      <c r="X757" s="157">
        <f ca="1" t="shared" si="130"/>
        <v>35.5</v>
      </c>
      <c r="Y757" s="157">
        <f ca="1" t="shared" si="131"/>
        <v>35.5</v>
      </c>
      <c r="Z757" s="304">
        <f ca="1" t="shared" si="132"/>
        <v>35.5</v>
      </c>
      <c r="AA757" s="304">
        <f ca="1">OFFSET(卡牌辅助配置表!$AD$1,MATCH(AB757,卡牌辅助配置表!AB:AB,0)-1,0)</f>
        <v>7668</v>
      </c>
      <c r="AB757" s="304">
        <f ca="1" t="shared" si="124"/>
        <v>5202</v>
      </c>
      <c r="AF757" s="153" t="str">
        <f ca="1" t="shared" si="128"/>
        <v>15010011|</v>
      </c>
      <c r="AJ757" s="205" t="str">
        <f ca="1" t="shared" si="125"/>
        <v>400023|1350|;</v>
      </c>
      <c r="AK757" s="205">
        <f ca="1">OFFSET([1]item_type!$A$1,MATCH(Q757,[1]item_type!$G:$G,0)-1,0)</f>
        <v>301501</v>
      </c>
      <c r="AL757" s="205"/>
      <c r="AM757" s="205">
        <f ca="1">IF(B757=B758,OFFSET(卡牌辅助配置表!$AE$1,MATCH(AB757,卡牌辅助配置表!AB:AB,0),0),0)</f>
        <v>1350</v>
      </c>
      <c r="AN757" s="153">
        <f ca="1" t="shared" si="126"/>
        <v>1501003</v>
      </c>
      <c r="AP757" s="153">
        <f ca="1">IF(AC757=0,0,IF(AC757=12,0,OFFSET(effect!$N$1,MATCH(K757,effect!M:M,0)-1,0)))</f>
        <v>0</v>
      </c>
    </row>
    <row r="758" spans="1:42">
      <c r="A758" s="153">
        <f ca="1" t="shared" si="119"/>
        <v>1501003</v>
      </c>
      <c r="B758" s="153" t="s">
        <v>691</v>
      </c>
      <c r="C758" s="186">
        <v>1</v>
      </c>
      <c r="D758" s="186">
        <v>6</v>
      </c>
      <c r="E758" s="165" t="s">
        <v>1050</v>
      </c>
      <c r="F758" s="165" t="str">
        <f>"增加"&amp;skill!$O$48/100&amp;"%对敌人伤害,对自己造成"&amp;P758/100&amp;"%伤害"</f>
        <v>增加50%对敌人伤害,对自己造成20%伤害</v>
      </c>
      <c r="G758" s="186">
        <f>卡牌辅助配置表!$C$15</f>
        <v>6</v>
      </c>
      <c r="H758" s="186">
        <f ca="1" t="shared" si="129"/>
        <v>0</v>
      </c>
      <c r="I758" s="186"/>
      <c r="J758" s="186">
        <f ca="1">OFFSET(card_type!$F$1,MATCH(Q758,card_type!A:A,0)-1,0)</f>
        <v>5</v>
      </c>
      <c r="K758" s="243">
        <f ca="1">OFFSET(card_type!$G$1,MATCH(Q758,card_type!A:A,0)-1,0)</f>
        <v>2</v>
      </c>
      <c r="L758" s="157">
        <v>1</v>
      </c>
      <c r="M758" s="157">
        <v>1</v>
      </c>
      <c r="N758" s="153">
        <f t="shared" si="133"/>
        <v>3</v>
      </c>
      <c r="O758" s="157"/>
      <c r="P758" s="157">
        <v>2000</v>
      </c>
      <c r="Q758" s="153">
        <f ca="1">OFFSET(card_type!$A$1,MATCH(card!B758,card_type!B:B,0)-1,0)</f>
        <v>1501</v>
      </c>
      <c r="R758" s="153">
        <v>1</v>
      </c>
      <c r="S758" s="157">
        <f ca="1">ROUND(IF(R758=0,0,IF(R758=1,X758*$S$1,IF(R758=2,X758*$S$1*buff的资质计算!$E$2,IF(R758=3,X758*$S$1*buff的资质计算!$E$3,0)))),0)*0</f>
        <v>0</v>
      </c>
      <c r="T758" s="153">
        <v>1</v>
      </c>
      <c r="U758" s="153">
        <f ca="1" t="shared" si="121"/>
        <v>52</v>
      </c>
      <c r="V758" s="153">
        <f ca="1">ROUND((OFFSET(卡牌辅助配置表!$O$1,MATCH(U758,卡牌辅助配置表!M:M,0)-1,0)+(N758-1)*OFFSET(卡牌辅助配置表!$P$1,MATCH(U758,卡牌辅助配置表!M:M,0)-1,0))*M758,2)</f>
        <v>39.27</v>
      </c>
      <c r="W758" s="157">
        <f ca="1">ROUND(IF(R758=0,0,IF(R758=1,X758*$W$1,IF(R758=2,X758*$W$1*buff的资质计算!$E$2,IF(R758=3,X758*$W$1*buff的资质计算!$E$3,0)))),2)</f>
        <v>10.8</v>
      </c>
      <c r="X758" s="157">
        <f ca="1" t="shared" si="130"/>
        <v>36</v>
      </c>
      <c r="Y758" s="157">
        <f ca="1" t="shared" si="131"/>
        <v>36</v>
      </c>
      <c r="Z758" s="304">
        <f ca="1" t="shared" si="132"/>
        <v>36</v>
      </c>
      <c r="AA758" s="304">
        <f ca="1">OFFSET(卡牌辅助配置表!$AD$1,MATCH(AB758,卡牌辅助配置表!AB:AB,0)-1,0)</f>
        <v>11502</v>
      </c>
      <c r="AB758" s="304">
        <f ca="1" t="shared" si="124"/>
        <v>5203</v>
      </c>
      <c r="AF758" s="153" t="str">
        <f ca="1" t="shared" si="128"/>
        <v>15010011|</v>
      </c>
      <c r="AJ758" s="205" t="str">
        <f ca="1" t="shared" si="125"/>
        <v>400023|1650|;</v>
      </c>
      <c r="AK758" s="205">
        <f ca="1">OFFSET([1]item_type!$A$1,MATCH(Q758,[1]item_type!$G:$G,0)-1,0)</f>
        <v>301501</v>
      </c>
      <c r="AL758" s="205"/>
      <c r="AM758" s="205">
        <f ca="1">IF(B758=B759,OFFSET(卡牌辅助配置表!$AE$1,MATCH(AB758,卡牌辅助配置表!AB:AB,0),0),0)</f>
        <v>1650</v>
      </c>
      <c r="AN758" s="153">
        <f ca="1" t="shared" si="126"/>
        <v>1501004</v>
      </c>
      <c r="AP758" s="153">
        <f ca="1">IF(AC758=0,0,IF(AC758=12,0,OFFSET(effect!$N$1,MATCH(K758,effect!M:M,0)-1,0)))</f>
        <v>0</v>
      </c>
    </row>
    <row r="759" spans="1:42">
      <c r="A759" s="153">
        <f ca="1" t="shared" si="119"/>
        <v>1501004</v>
      </c>
      <c r="B759" s="153" t="s">
        <v>691</v>
      </c>
      <c r="C759" s="186">
        <v>1</v>
      </c>
      <c r="D759" s="186">
        <v>6</v>
      </c>
      <c r="E759" s="165" t="s">
        <v>1050</v>
      </c>
      <c r="F759" s="165" t="str">
        <f>"增加"&amp;skill!$O$48/100&amp;"%对敌人伤害,对自己造成"&amp;P759/100&amp;"%伤害"</f>
        <v>增加50%对敌人伤害,对自己造成20%伤害</v>
      </c>
      <c r="G759" s="186">
        <f>卡牌辅助配置表!$C$15</f>
        <v>6</v>
      </c>
      <c r="H759" s="186">
        <f ca="1" t="shared" si="129"/>
        <v>0</v>
      </c>
      <c r="I759" s="186"/>
      <c r="J759" s="186">
        <f ca="1">OFFSET(card_type!$F$1,MATCH(Q759,card_type!A:A,0)-1,0)</f>
        <v>5</v>
      </c>
      <c r="K759" s="243">
        <f ca="1">OFFSET(card_type!$G$1,MATCH(Q759,card_type!A:A,0)-1,0)</f>
        <v>2</v>
      </c>
      <c r="L759" s="157">
        <v>1</v>
      </c>
      <c r="M759" s="157">
        <v>1</v>
      </c>
      <c r="N759" s="153">
        <f t="shared" si="133"/>
        <v>4</v>
      </c>
      <c r="O759" s="157"/>
      <c r="P759" s="157">
        <v>2000</v>
      </c>
      <c r="Q759" s="153">
        <f ca="1">OFFSET(card_type!$A$1,MATCH(card!B759,card_type!B:B,0)-1,0)</f>
        <v>1501</v>
      </c>
      <c r="R759" s="153">
        <v>1</v>
      </c>
      <c r="S759" s="157">
        <f ca="1">ROUND(IF(R759=0,0,IF(R759=1,X759*$S$1,IF(R759=2,X759*$S$1*buff的资质计算!$E$2,IF(R759=3,X759*$S$1*buff的资质计算!$E$3,0)))),0)*0</f>
        <v>0</v>
      </c>
      <c r="T759" s="153">
        <v>1</v>
      </c>
      <c r="U759" s="153">
        <f ca="1" t="shared" si="121"/>
        <v>52</v>
      </c>
      <c r="V759" s="153">
        <f ca="1">ROUND((OFFSET(卡牌辅助配置表!$O$1,MATCH(U759,卡牌辅助配置表!M:M,0)-1,0)+(N759-1)*OFFSET(卡牌辅助配置表!$P$1,MATCH(U759,卡牌辅助配置表!M:M,0)-1,0))*M759,2)</f>
        <v>39.27</v>
      </c>
      <c r="W759" s="157">
        <f ca="1">ROUND(IF(R759=0,0,IF(R759=1,X759*$W$1,IF(R759=2,X759*$W$1*buff的资质计算!$E$2,IF(R759=3,X759*$W$1*buff的资质计算!$E$3,0)))),2)</f>
        <v>10.95</v>
      </c>
      <c r="X759" s="157">
        <f ca="1" t="shared" si="130"/>
        <v>36.5</v>
      </c>
      <c r="Y759" s="157">
        <f ca="1" t="shared" si="131"/>
        <v>36.5</v>
      </c>
      <c r="Z759" s="304">
        <f ca="1" t="shared" si="132"/>
        <v>36.5</v>
      </c>
      <c r="AA759" s="304">
        <f ca="1">OFFSET(卡牌辅助配置表!$AD$1,MATCH(AB759,卡牌辅助配置表!AB:AB,0)-1,0)</f>
        <v>15336</v>
      </c>
      <c r="AB759" s="304">
        <f ca="1" t="shared" si="124"/>
        <v>5204</v>
      </c>
      <c r="AF759" s="153" t="str">
        <f ca="1" t="shared" si="128"/>
        <v>15010011|</v>
      </c>
      <c r="AJ759" s="205" t="str">
        <f ca="1" t="shared" si="125"/>
        <v>400023|1950|;</v>
      </c>
      <c r="AK759" s="205">
        <f ca="1">OFFSET([1]item_type!$A$1,MATCH(Q759,[1]item_type!$G:$G,0)-1,0)</f>
        <v>301501</v>
      </c>
      <c r="AL759" s="205"/>
      <c r="AM759" s="205">
        <f ca="1">IF(B759=B760,OFFSET(卡牌辅助配置表!$AE$1,MATCH(AB759,卡牌辅助配置表!AB:AB,0),0),0)</f>
        <v>1950</v>
      </c>
      <c r="AN759" s="153">
        <f ca="1" t="shared" si="126"/>
        <v>1501005</v>
      </c>
      <c r="AP759" s="153">
        <f ca="1">IF(AC759=0,0,IF(AC759=12,0,OFFSET(effect!$N$1,MATCH(K759,effect!M:M,0)-1,0)))</f>
        <v>0</v>
      </c>
    </row>
    <row r="760" spans="1:42">
      <c r="A760" s="153">
        <f ca="1" t="shared" si="119"/>
        <v>1501005</v>
      </c>
      <c r="B760" s="153" t="s">
        <v>691</v>
      </c>
      <c r="C760" s="186">
        <v>1</v>
      </c>
      <c r="D760" s="186">
        <v>6</v>
      </c>
      <c r="E760" s="165" t="s">
        <v>1050</v>
      </c>
      <c r="F760" s="165" t="str">
        <f>"增加"&amp;skill!$O$48/100&amp;"%对敌人伤害,对自己造成"&amp;P760/100&amp;"%伤害"</f>
        <v>增加50%对敌人伤害,对自己造成20%伤害</v>
      </c>
      <c r="G760" s="186">
        <f>卡牌辅助配置表!$C$15</f>
        <v>6</v>
      </c>
      <c r="H760" s="186">
        <f ca="1" t="shared" si="129"/>
        <v>0</v>
      </c>
      <c r="I760" s="186"/>
      <c r="J760" s="186">
        <f ca="1">OFFSET(card_type!$F$1,MATCH(Q760,card_type!A:A,0)-1,0)</f>
        <v>5</v>
      </c>
      <c r="K760" s="243">
        <f ca="1">OFFSET(card_type!$G$1,MATCH(Q760,card_type!A:A,0)-1,0)</f>
        <v>2</v>
      </c>
      <c r="L760" s="157">
        <v>1</v>
      </c>
      <c r="M760" s="157">
        <v>1</v>
      </c>
      <c r="N760" s="153">
        <f t="shared" si="133"/>
        <v>5</v>
      </c>
      <c r="O760" s="157"/>
      <c r="P760" s="157">
        <v>2000</v>
      </c>
      <c r="Q760" s="153">
        <f ca="1">OFFSET(card_type!$A$1,MATCH(card!B760,card_type!B:B,0)-1,0)</f>
        <v>1501</v>
      </c>
      <c r="R760" s="153">
        <v>1</v>
      </c>
      <c r="S760" s="157">
        <f ca="1">ROUND(IF(R760=0,0,IF(R760=1,X760*$S$1,IF(R760=2,X760*$S$1*buff的资质计算!$E$2,IF(R760=3,X760*$S$1*buff的资质计算!$E$3,0)))),0)*0</f>
        <v>0</v>
      </c>
      <c r="T760" s="153">
        <v>1</v>
      </c>
      <c r="U760" s="153">
        <f ca="1" t="shared" si="121"/>
        <v>52</v>
      </c>
      <c r="V760" s="153">
        <f ca="1">ROUND((OFFSET(卡牌辅助配置表!$O$1,MATCH(U760,卡牌辅助配置表!M:M,0)-1,0)+(N760-1)*OFFSET(卡牌辅助配置表!$P$1,MATCH(U760,卡牌辅助配置表!M:M,0)-1,0))*M760,2)</f>
        <v>39.27</v>
      </c>
      <c r="W760" s="157">
        <f ca="1">ROUND(IF(R760=0,0,IF(R760=1,X760*$W$1,IF(R760=2,X760*$W$1*buff的资质计算!$E$2,IF(R760=3,X760*$W$1*buff的资质计算!$E$3,0)))),2)</f>
        <v>11.1</v>
      </c>
      <c r="X760" s="157">
        <f ca="1" t="shared" si="130"/>
        <v>37</v>
      </c>
      <c r="Y760" s="157">
        <f ca="1" t="shared" si="131"/>
        <v>37</v>
      </c>
      <c r="Z760" s="304">
        <f ca="1" t="shared" si="132"/>
        <v>37</v>
      </c>
      <c r="AA760" s="304">
        <f ca="1">OFFSET(卡牌辅助配置表!$AD$1,MATCH(AB760,卡牌辅助配置表!AB:AB,0)-1,0)</f>
        <v>19170</v>
      </c>
      <c r="AB760" s="304">
        <f ca="1" t="shared" si="124"/>
        <v>5205</v>
      </c>
      <c r="AF760" s="153" t="str">
        <f ca="1" t="shared" si="128"/>
        <v>15010011|</v>
      </c>
      <c r="AJ760" s="205" t="str">
        <f ca="1" t="shared" si="125"/>
        <v>400023|2250|;</v>
      </c>
      <c r="AK760" s="205">
        <f ca="1">OFFSET([1]item_type!$A$1,MATCH(Q760,[1]item_type!$G:$G,0)-1,0)</f>
        <v>301501</v>
      </c>
      <c r="AL760" s="205"/>
      <c r="AM760" s="205">
        <f ca="1">IF(B760=B761,OFFSET(卡牌辅助配置表!$AE$1,MATCH(AB760,卡牌辅助配置表!AB:AB,0),0),0)</f>
        <v>2250</v>
      </c>
      <c r="AN760" s="153">
        <f ca="1" t="shared" si="126"/>
        <v>1501006</v>
      </c>
      <c r="AP760" s="153">
        <f ca="1">IF(AC760=0,0,IF(AC760=12,0,OFFSET(effect!$N$1,MATCH(K760,effect!M:M,0)-1,0)))</f>
        <v>0</v>
      </c>
    </row>
    <row r="761" spans="1:42">
      <c r="A761" s="153">
        <f ca="1" t="shared" si="119"/>
        <v>1501006</v>
      </c>
      <c r="B761" s="153" t="s">
        <v>691</v>
      </c>
      <c r="C761" s="186">
        <v>1</v>
      </c>
      <c r="D761" s="186">
        <v>6</v>
      </c>
      <c r="E761" s="165" t="s">
        <v>1050</v>
      </c>
      <c r="F761" s="165" t="str">
        <f>"增加"&amp;skill!$O$48/100&amp;"%对敌人伤害,对自己造成"&amp;P761/100&amp;"%伤害"</f>
        <v>增加50%对敌人伤害,对自己造成20%伤害</v>
      </c>
      <c r="G761" s="186">
        <f>卡牌辅助配置表!$C$15</f>
        <v>6</v>
      </c>
      <c r="H761" s="186">
        <f ca="1" t="shared" si="129"/>
        <v>0</v>
      </c>
      <c r="I761" s="186"/>
      <c r="J761" s="186">
        <f ca="1">OFFSET(card_type!$F$1,MATCH(Q761,card_type!A:A,0)-1,0)</f>
        <v>5</v>
      </c>
      <c r="K761" s="243">
        <f ca="1">OFFSET(card_type!$G$1,MATCH(Q761,card_type!A:A,0)-1,0)</f>
        <v>2</v>
      </c>
      <c r="L761" s="157">
        <v>1</v>
      </c>
      <c r="M761" s="157">
        <v>1</v>
      </c>
      <c r="N761" s="153">
        <f t="shared" si="133"/>
        <v>6</v>
      </c>
      <c r="O761" s="157"/>
      <c r="P761" s="157">
        <v>2000</v>
      </c>
      <c r="Q761" s="153">
        <f ca="1">OFFSET(card_type!$A$1,MATCH(card!B761,card_type!B:B,0)-1,0)</f>
        <v>1501</v>
      </c>
      <c r="R761" s="153">
        <v>1</v>
      </c>
      <c r="S761" s="157">
        <f ca="1">ROUND(IF(R761=0,0,IF(R761=1,X761*$S$1,IF(R761=2,X761*$S$1*buff的资质计算!$E$2,IF(R761=3,X761*$S$1*buff的资质计算!$E$3,0)))),0)*0</f>
        <v>0</v>
      </c>
      <c r="T761" s="153">
        <v>1</v>
      </c>
      <c r="U761" s="153">
        <f ca="1" t="shared" si="121"/>
        <v>52</v>
      </c>
      <c r="V761" s="153">
        <f ca="1">ROUND((OFFSET(卡牌辅助配置表!$O$1,MATCH(U761,卡牌辅助配置表!M:M,0)-1,0)+(N761-1)*OFFSET(卡牌辅助配置表!$P$1,MATCH(U761,卡牌辅助配置表!M:M,0)-1,0))*M761,2)</f>
        <v>39.27</v>
      </c>
      <c r="W761" s="157">
        <f ca="1">ROUND(IF(R761=0,0,IF(R761=1,X761*$W$1,IF(R761=2,X761*$W$1*buff的资质计算!$E$2,IF(R761=3,X761*$W$1*buff的资质计算!$E$3,0)))),2)</f>
        <v>11.25</v>
      </c>
      <c r="X761" s="157">
        <f ca="1" t="shared" si="130"/>
        <v>37.5</v>
      </c>
      <c r="Y761" s="157">
        <f ca="1" t="shared" si="131"/>
        <v>37.5</v>
      </c>
      <c r="Z761" s="304">
        <f ca="1" t="shared" si="132"/>
        <v>37.5</v>
      </c>
      <c r="AA761" s="304">
        <f ca="1">OFFSET(卡牌辅助配置表!$AD$1,MATCH(AB761,卡牌辅助配置表!AB:AB,0)-1,0)</f>
        <v>23004</v>
      </c>
      <c r="AB761" s="304">
        <f ca="1" t="shared" si="124"/>
        <v>5206</v>
      </c>
      <c r="AF761" s="153" t="str">
        <f ca="1" t="shared" si="128"/>
        <v>15010011|</v>
      </c>
      <c r="AJ761" s="205" t="str">
        <f ca="1" t="shared" si="125"/>
        <v>400023|2550|;</v>
      </c>
      <c r="AK761" s="205">
        <f ca="1">OFFSET([1]item_type!$A$1,MATCH(Q761,[1]item_type!$G:$G,0)-1,0)</f>
        <v>301501</v>
      </c>
      <c r="AL761" s="205"/>
      <c r="AM761" s="205">
        <f ca="1">IF(B761=B762,OFFSET(卡牌辅助配置表!$AE$1,MATCH(AB761,卡牌辅助配置表!AB:AB,0),0),0)</f>
        <v>2550</v>
      </c>
      <c r="AN761" s="153">
        <f ca="1" t="shared" si="126"/>
        <v>1501007</v>
      </c>
      <c r="AP761" s="153">
        <f ca="1">IF(AC761=0,0,IF(AC761=12,0,OFFSET(effect!$N$1,MATCH(K761,effect!M:M,0)-1,0)))</f>
        <v>0</v>
      </c>
    </row>
    <row r="762" spans="1:42">
      <c r="A762" s="153">
        <f ca="1" t="shared" si="119"/>
        <v>1501007</v>
      </c>
      <c r="B762" s="153" t="s">
        <v>691</v>
      </c>
      <c r="C762" s="186">
        <v>1</v>
      </c>
      <c r="D762" s="186">
        <v>6</v>
      </c>
      <c r="E762" s="165" t="s">
        <v>1050</v>
      </c>
      <c r="F762" s="165" t="str">
        <f>"增加"&amp;skill!$O$48/100&amp;"%对敌人伤害,对自己造成"&amp;P762/100&amp;"%伤害"</f>
        <v>增加50%对敌人伤害,对自己造成20%伤害</v>
      </c>
      <c r="G762" s="186">
        <f>卡牌辅助配置表!$C$15</f>
        <v>6</v>
      </c>
      <c r="H762" s="186">
        <f ca="1" t="shared" si="129"/>
        <v>0</v>
      </c>
      <c r="I762" s="186"/>
      <c r="J762" s="186">
        <f ca="1">OFFSET(card_type!$F$1,MATCH(Q762,card_type!A:A,0)-1,0)</f>
        <v>5</v>
      </c>
      <c r="K762" s="243">
        <f ca="1">OFFSET(card_type!$G$1,MATCH(Q762,card_type!A:A,0)-1,0)</f>
        <v>2</v>
      </c>
      <c r="L762" s="157">
        <v>1</v>
      </c>
      <c r="M762" s="157">
        <v>1</v>
      </c>
      <c r="N762" s="153">
        <f t="shared" si="133"/>
        <v>7</v>
      </c>
      <c r="O762" s="157"/>
      <c r="P762" s="157">
        <v>2000</v>
      </c>
      <c r="Q762" s="153">
        <f ca="1">OFFSET(card_type!$A$1,MATCH(card!B762,card_type!B:B,0)-1,0)</f>
        <v>1501</v>
      </c>
      <c r="R762" s="153">
        <v>1</v>
      </c>
      <c r="S762" s="157">
        <f ca="1">ROUND(IF(R762=0,0,IF(R762=1,X762*$S$1,IF(R762=2,X762*$S$1*buff的资质计算!$E$2,IF(R762=3,X762*$S$1*buff的资质计算!$E$3,0)))),0)*0</f>
        <v>0</v>
      </c>
      <c r="T762" s="153">
        <v>1</v>
      </c>
      <c r="U762" s="153">
        <f ca="1" t="shared" si="121"/>
        <v>52</v>
      </c>
      <c r="V762" s="153">
        <f ca="1">ROUND((OFFSET(卡牌辅助配置表!$O$1,MATCH(U762,卡牌辅助配置表!M:M,0)-1,0)+(N762-1)*OFFSET(卡牌辅助配置表!$P$1,MATCH(U762,卡牌辅助配置表!M:M,0)-1,0))*M762,2)</f>
        <v>39.27</v>
      </c>
      <c r="W762" s="157">
        <f ca="1">ROUND(IF(R762=0,0,IF(R762=1,X762*$W$1,IF(R762=2,X762*$W$1*buff的资质计算!$E$2,IF(R762=3,X762*$W$1*buff的资质计算!$E$3,0)))),2)</f>
        <v>11.4</v>
      </c>
      <c r="X762" s="157">
        <f ca="1" t="shared" si="130"/>
        <v>38</v>
      </c>
      <c r="Y762" s="157">
        <f ca="1" t="shared" si="131"/>
        <v>38</v>
      </c>
      <c r="Z762" s="304">
        <f ca="1" t="shared" si="132"/>
        <v>38</v>
      </c>
      <c r="AA762" s="304">
        <f ca="1">OFFSET(卡牌辅助配置表!$AD$1,MATCH(AB762,卡牌辅助配置表!AB:AB,0)-1,0)</f>
        <v>26838</v>
      </c>
      <c r="AB762" s="304">
        <f ca="1" t="shared" si="124"/>
        <v>5207</v>
      </c>
      <c r="AF762" s="153" t="str">
        <f ca="1" t="shared" si="128"/>
        <v>15010011|</v>
      </c>
      <c r="AJ762" s="205" t="str">
        <f ca="1" t="shared" si="125"/>
        <v>400023|2850|;</v>
      </c>
      <c r="AK762" s="205">
        <f ca="1">OFFSET([1]item_type!$A$1,MATCH(Q762,[1]item_type!$G:$G,0)-1,0)</f>
        <v>301501</v>
      </c>
      <c r="AL762" s="205"/>
      <c r="AM762" s="205">
        <f ca="1">IF(B762=B763,OFFSET(卡牌辅助配置表!$AE$1,MATCH(AB762,卡牌辅助配置表!AB:AB,0),0),0)</f>
        <v>2850</v>
      </c>
      <c r="AN762" s="153">
        <f ca="1" t="shared" si="126"/>
        <v>1501008</v>
      </c>
      <c r="AP762" s="153">
        <f ca="1">IF(AC762=0,0,IF(AC762=12,0,OFFSET(effect!$N$1,MATCH(K762,effect!M:M,0)-1,0)))</f>
        <v>0</v>
      </c>
    </row>
    <row r="763" spans="1:42">
      <c r="A763" s="153">
        <f ca="1" t="shared" si="119"/>
        <v>1501008</v>
      </c>
      <c r="B763" s="153" t="s">
        <v>691</v>
      </c>
      <c r="C763" s="186">
        <v>1</v>
      </c>
      <c r="D763" s="186">
        <v>6</v>
      </c>
      <c r="E763" s="165" t="s">
        <v>1050</v>
      </c>
      <c r="F763" s="165" t="str">
        <f>"增加"&amp;skill!$O$48/100&amp;"%对敌人伤害,对自己造成"&amp;P763/100&amp;"%伤害"</f>
        <v>增加50%对敌人伤害,对自己造成20%伤害</v>
      </c>
      <c r="G763" s="186">
        <f>卡牌辅助配置表!$C$15</f>
        <v>6</v>
      </c>
      <c r="H763" s="186">
        <f ca="1" t="shared" si="129"/>
        <v>0</v>
      </c>
      <c r="I763" s="186"/>
      <c r="J763" s="186">
        <f ca="1">OFFSET(card_type!$F$1,MATCH(Q763,card_type!A:A,0)-1,0)</f>
        <v>5</v>
      </c>
      <c r="K763" s="243">
        <f ca="1">OFFSET(card_type!$G$1,MATCH(Q763,card_type!A:A,0)-1,0)</f>
        <v>2</v>
      </c>
      <c r="L763" s="157">
        <v>1</v>
      </c>
      <c r="M763" s="157">
        <v>1</v>
      </c>
      <c r="N763" s="153">
        <f t="shared" si="133"/>
        <v>8</v>
      </c>
      <c r="O763" s="157"/>
      <c r="P763" s="157">
        <v>2000</v>
      </c>
      <c r="Q763" s="153">
        <f ca="1">OFFSET(card_type!$A$1,MATCH(card!B763,card_type!B:B,0)-1,0)</f>
        <v>1501</v>
      </c>
      <c r="R763" s="153">
        <v>1</v>
      </c>
      <c r="S763" s="157">
        <f ca="1">ROUND(IF(R763=0,0,IF(R763=1,X763*$S$1,IF(R763=2,X763*$S$1*buff的资质计算!$E$2,IF(R763=3,X763*$S$1*buff的资质计算!$E$3,0)))),0)*0</f>
        <v>0</v>
      </c>
      <c r="T763" s="153">
        <v>1</v>
      </c>
      <c r="U763" s="153">
        <f ca="1" t="shared" si="121"/>
        <v>52</v>
      </c>
      <c r="V763" s="153">
        <f ca="1">ROUND((OFFSET(卡牌辅助配置表!$O$1,MATCH(U763,卡牌辅助配置表!M:M,0)-1,0)+(N763-1)*OFFSET(卡牌辅助配置表!$P$1,MATCH(U763,卡牌辅助配置表!M:M,0)-1,0))*M763,2)</f>
        <v>39.27</v>
      </c>
      <c r="W763" s="157">
        <f ca="1">ROUND(IF(R763=0,0,IF(R763=1,X763*$W$1,IF(R763=2,X763*$W$1*buff的资质计算!$E$2,IF(R763=3,X763*$W$1*buff的资质计算!$E$3,0)))),2)</f>
        <v>11.55</v>
      </c>
      <c r="X763" s="157">
        <f ca="1" t="shared" si="130"/>
        <v>38.5</v>
      </c>
      <c r="Y763" s="157">
        <f ca="1" t="shared" si="131"/>
        <v>38.5</v>
      </c>
      <c r="Z763" s="304">
        <f ca="1" t="shared" si="132"/>
        <v>38.5</v>
      </c>
      <c r="AA763" s="304">
        <f ca="1">OFFSET(卡牌辅助配置表!$AD$1,MATCH(AB763,卡牌辅助配置表!AB:AB,0)-1,0)</f>
        <v>30672</v>
      </c>
      <c r="AB763" s="304">
        <f ca="1" t="shared" si="124"/>
        <v>5208</v>
      </c>
      <c r="AF763" s="153" t="str">
        <f ca="1" t="shared" si="128"/>
        <v>15010011|</v>
      </c>
      <c r="AJ763" s="205" t="str">
        <f ca="1" t="shared" si="125"/>
        <v>400023|3150|;</v>
      </c>
      <c r="AK763" s="205">
        <f ca="1">OFFSET([1]item_type!$A$1,MATCH(Q763,[1]item_type!$G:$G,0)-1,0)</f>
        <v>301501</v>
      </c>
      <c r="AL763" s="205"/>
      <c r="AM763" s="205">
        <f ca="1">IF(B763=B764,OFFSET(卡牌辅助配置表!$AE$1,MATCH(AB763,卡牌辅助配置表!AB:AB,0),0),0)</f>
        <v>3150</v>
      </c>
      <c r="AN763" s="153">
        <f ca="1" t="shared" si="126"/>
        <v>1501009</v>
      </c>
      <c r="AP763" s="153">
        <f ca="1">IF(AC763=0,0,IF(AC763=12,0,OFFSET(effect!$N$1,MATCH(K763,effect!M:M,0)-1,0)))</f>
        <v>0</v>
      </c>
    </row>
    <row r="764" spans="1:42">
      <c r="A764" s="153">
        <f ca="1" t="shared" si="119"/>
        <v>1501009</v>
      </c>
      <c r="B764" s="153" t="s">
        <v>691</v>
      </c>
      <c r="C764" s="186">
        <v>1</v>
      </c>
      <c r="D764" s="186">
        <v>6</v>
      </c>
      <c r="E764" s="165" t="s">
        <v>1050</v>
      </c>
      <c r="F764" s="165" t="str">
        <f>"增加"&amp;skill!$O$48/100&amp;"%对敌人伤害,对自己造成"&amp;P764/100&amp;"%伤害"</f>
        <v>增加50%对敌人伤害,对自己造成20%伤害</v>
      </c>
      <c r="G764" s="186">
        <f>卡牌辅助配置表!$C$15</f>
        <v>6</v>
      </c>
      <c r="H764" s="186">
        <f ca="1" t="shared" si="129"/>
        <v>0</v>
      </c>
      <c r="I764" s="186"/>
      <c r="J764" s="186">
        <f ca="1">OFFSET(card_type!$F$1,MATCH(Q764,card_type!A:A,0)-1,0)</f>
        <v>5</v>
      </c>
      <c r="K764" s="243">
        <f ca="1">OFFSET(card_type!$G$1,MATCH(Q764,card_type!A:A,0)-1,0)</f>
        <v>2</v>
      </c>
      <c r="L764" s="157">
        <v>1</v>
      </c>
      <c r="M764" s="157">
        <v>1</v>
      </c>
      <c r="N764" s="153">
        <f t="shared" si="133"/>
        <v>9</v>
      </c>
      <c r="O764" s="157"/>
      <c r="P764" s="157">
        <v>2000</v>
      </c>
      <c r="Q764" s="153">
        <f ca="1">OFFSET(card_type!$A$1,MATCH(card!B764,card_type!B:B,0)-1,0)</f>
        <v>1501</v>
      </c>
      <c r="R764" s="153">
        <v>1</v>
      </c>
      <c r="S764" s="157">
        <f ca="1">ROUND(IF(R764=0,0,IF(R764=1,X764*$S$1,IF(R764=2,X764*$S$1*buff的资质计算!$E$2,IF(R764=3,X764*$S$1*buff的资质计算!$E$3,0)))),0)*0</f>
        <v>0</v>
      </c>
      <c r="T764" s="153">
        <v>1</v>
      </c>
      <c r="U764" s="153">
        <f ca="1" t="shared" si="121"/>
        <v>52</v>
      </c>
      <c r="V764" s="153">
        <f ca="1">ROUND((OFFSET(卡牌辅助配置表!$O$1,MATCH(U764,卡牌辅助配置表!M:M,0)-1,0)+(N764-1)*OFFSET(卡牌辅助配置表!$P$1,MATCH(U764,卡牌辅助配置表!M:M,0)-1,0))*M764,2)</f>
        <v>39.27</v>
      </c>
      <c r="W764" s="157">
        <f ca="1">ROUND(IF(R764=0,0,IF(R764=1,X764*$W$1,IF(R764=2,X764*$W$1*buff的资质计算!$E$2,IF(R764=3,X764*$W$1*buff的资质计算!$E$3,0)))),2)</f>
        <v>11.7</v>
      </c>
      <c r="X764" s="157">
        <f ca="1" t="shared" si="130"/>
        <v>39</v>
      </c>
      <c r="Y764" s="157">
        <f ca="1" t="shared" si="131"/>
        <v>39</v>
      </c>
      <c r="Z764" s="304">
        <f ca="1" t="shared" si="132"/>
        <v>39</v>
      </c>
      <c r="AA764" s="304">
        <f ca="1">OFFSET(卡牌辅助配置表!$AD$1,MATCH(AB764,卡牌辅助配置表!AB:AB,0)-1,0)</f>
        <v>34506</v>
      </c>
      <c r="AB764" s="304">
        <f ca="1" t="shared" si="124"/>
        <v>5209</v>
      </c>
      <c r="AF764" s="153" t="str">
        <f ca="1" t="shared" si="128"/>
        <v>15010011|</v>
      </c>
      <c r="AJ764" s="205" t="str">
        <f ca="1" t="shared" si="125"/>
        <v>301501|15|;400023|3450|;</v>
      </c>
      <c r="AK764" s="205">
        <f ca="1">OFFSET([1]item_type!$A$1,MATCH(Q764,[1]item_type!$G:$G,0)-1,0)</f>
        <v>301501</v>
      </c>
      <c r="AL764" s="205">
        <v>15</v>
      </c>
      <c r="AM764" s="205">
        <f ca="1">IF(B764=B765,OFFSET(卡牌辅助配置表!$AE$1,MATCH(AB764,卡牌辅助配置表!AB:AB,0),0),0)</f>
        <v>3450</v>
      </c>
      <c r="AN764" s="153">
        <f ca="1" t="shared" si="126"/>
        <v>1501010</v>
      </c>
      <c r="AP764" s="153">
        <f ca="1">IF(AC764=0,0,IF(AC764=12,0,OFFSET(effect!$N$1,MATCH(K764,effect!M:M,0)-1,0)))</f>
        <v>0</v>
      </c>
    </row>
    <row r="765" spans="1:42">
      <c r="A765" s="153">
        <f ca="1" t="shared" si="119"/>
        <v>1501010</v>
      </c>
      <c r="B765" s="153" t="s">
        <v>691</v>
      </c>
      <c r="C765" s="186">
        <v>1</v>
      </c>
      <c r="D765" s="186">
        <v>6</v>
      </c>
      <c r="E765" s="165" t="s">
        <v>1050</v>
      </c>
      <c r="F765" s="165" t="str">
        <f>"增加"&amp;skill!$O$48/100&amp;"%对敌人伤害,对自己造成"&amp;P765/100&amp;"%伤害"</f>
        <v>增加50%对敌人伤害,对自己造成20%伤害</v>
      </c>
      <c r="G765" s="186">
        <f>卡牌辅助配置表!$C$15</f>
        <v>6</v>
      </c>
      <c r="H765" s="186">
        <f ca="1" t="shared" si="129"/>
        <v>0</v>
      </c>
      <c r="I765" s="186"/>
      <c r="J765" s="186">
        <f ca="1">OFFSET(card_type!$F$1,MATCH(Q765,card_type!A:A,0)-1,0)</f>
        <v>5</v>
      </c>
      <c r="K765" s="243">
        <f ca="1">OFFSET(card_type!$G$1,MATCH(Q765,card_type!A:A,0)-1,0)</f>
        <v>2</v>
      </c>
      <c r="L765" s="157">
        <v>1</v>
      </c>
      <c r="M765" s="157">
        <v>1</v>
      </c>
      <c r="N765" s="153">
        <f t="shared" si="133"/>
        <v>10</v>
      </c>
      <c r="O765" s="157"/>
      <c r="P765" s="157">
        <v>2000</v>
      </c>
      <c r="Q765" s="153">
        <f ca="1">OFFSET(card_type!$A$1,MATCH(card!B765,card_type!B:B,0)-1,0)</f>
        <v>1501</v>
      </c>
      <c r="R765" s="153">
        <v>1</v>
      </c>
      <c r="S765" s="157">
        <f ca="1">ROUND(IF(R765=0,0,IF(R765=1,X765*$S$1,IF(R765=2,X765*$S$1*buff的资质计算!$E$2,IF(R765=3,X765*$S$1*buff的资质计算!$E$3,0)))),0)*0</f>
        <v>0</v>
      </c>
      <c r="T765" s="153">
        <v>1</v>
      </c>
      <c r="U765" s="153">
        <f ca="1" t="shared" si="121"/>
        <v>52</v>
      </c>
      <c r="V765" s="153">
        <f ca="1">ROUND((OFFSET(卡牌辅助配置表!$O$1,MATCH(U765,卡牌辅助配置表!M:M,0)-1,0)+(N765-1)*OFFSET(卡牌辅助配置表!$P$1,MATCH(U765,卡牌辅助配置表!M:M,0)-1,0))*M765,2)</f>
        <v>39.27</v>
      </c>
      <c r="W765" s="157">
        <f ca="1">ROUND(IF(R765=0,0,IF(R765=1,X765*$W$1,IF(R765=2,X765*$W$1*buff的资质计算!$E$2,IF(R765=3,X765*$W$1*buff的资质计算!$E$3,0)))),2)</f>
        <v>11.85</v>
      </c>
      <c r="X765" s="157">
        <f ca="1" t="shared" si="130"/>
        <v>39.5</v>
      </c>
      <c r="Y765" s="157">
        <f ca="1" t="shared" si="131"/>
        <v>39.5</v>
      </c>
      <c r="Z765" s="304">
        <f ca="1" t="shared" si="132"/>
        <v>39.5</v>
      </c>
      <c r="AA765" s="304">
        <f ca="1">OFFSET(卡牌辅助配置表!$AD$1,MATCH(AB765,卡牌辅助配置表!AB:AB,0)-1,0)</f>
        <v>38340</v>
      </c>
      <c r="AB765" s="304">
        <f ca="1" t="shared" si="124"/>
        <v>5210</v>
      </c>
      <c r="AF765" s="153" t="str">
        <f ca="1" t="shared" si="128"/>
        <v>15010011|</v>
      </c>
      <c r="AJ765" s="205" t="str">
        <f ca="1" t="shared" si="125"/>
        <v>400023|4050|;</v>
      </c>
      <c r="AK765" s="205">
        <f ca="1">OFFSET([1]item_type!$A$1,MATCH(Q765,[1]item_type!$G:$G,0)-1,0)</f>
        <v>301501</v>
      </c>
      <c r="AL765" s="205"/>
      <c r="AM765" s="205">
        <f ca="1">IF(B765=B766,OFFSET(卡牌辅助配置表!$AE$1,MATCH(AB765,卡牌辅助配置表!AB:AB,0),0),0)</f>
        <v>4050</v>
      </c>
      <c r="AN765" s="153">
        <f ca="1" t="shared" si="126"/>
        <v>1501011</v>
      </c>
      <c r="AP765" s="153">
        <f ca="1">IF(AC765=0,0,IF(AC765=12,0,OFFSET(effect!$N$1,MATCH(K765,effect!M:M,0)-1,0)))</f>
        <v>0</v>
      </c>
    </row>
    <row r="766" spans="1:42">
      <c r="A766" s="153">
        <f ca="1" t="shared" si="119"/>
        <v>1501011</v>
      </c>
      <c r="B766" s="153" t="s">
        <v>691</v>
      </c>
      <c r="C766" s="186">
        <v>1</v>
      </c>
      <c r="D766" s="186">
        <v>6</v>
      </c>
      <c r="E766" s="165" t="s">
        <v>1050</v>
      </c>
      <c r="F766" s="165" t="str">
        <f>"增加"&amp;skill!$O$48/100&amp;"%对敌人伤害,对自己造成"&amp;P766/100&amp;"%伤害"</f>
        <v>增加50%对敌人伤害,对自己造成20%伤害</v>
      </c>
      <c r="G766" s="186">
        <f>卡牌辅助配置表!$C$15</f>
        <v>6</v>
      </c>
      <c r="H766" s="186">
        <f ca="1" t="shared" si="129"/>
        <v>0</v>
      </c>
      <c r="I766" s="186"/>
      <c r="J766" s="186">
        <f ca="1">OFFSET(card_type!$F$1,MATCH(Q766,card_type!A:A,0)-1,0)</f>
        <v>5</v>
      </c>
      <c r="K766" s="243">
        <f ca="1">OFFSET(card_type!$G$1,MATCH(Q766,card_type!A:A,0)-1,0)</f>
        <v>2</v>
      </c>
      <c r="L766" s="157">
        <v>1</v>
      </c>
      <c r="M766" s="157">
        <v>1</v>
      </c>
      <c r="N766" s="153">
        <f t="shared" si="133"/>
        <v>11</v>
      </c>
      <c r="O766" s="157"/>
      <c r="P766" s="157">
        <v>2000</v>
      </c>
      <c r="Q766" s="153">
        <f ca="1">OFFSET(card_type!$A$1,MATCH(card!B766,card_type!B:B,0)-1,0)</f>
        <v>1501</v>
      </c>
      <c r="R766" s="153">
        <v>1</v>
      </c>
      <c r="S766" s="157">
        <f ca="1">ROUND(IF(R766=0,0,IF(R766=1,X766*$S$1,IF(R766=2,X766*$S$1*buff的资质计算!$E$2,IF(R766=3,X766*$S$1*buff的资质计算!$E$3,0)))),0)*0</f>
        <v>0</v>
      </c>
      <c r="T766" s="153">
        <v>1</v>
      </c>
      <c r="U766" s="153">
        <f ca="1" t="shared" si="121"/>
        <v>52</v>
      </c>
      <c r="V766" s="153">
        <f ca="1">ROUND((OFFSET(卡牌辅助配置表!$O$1,MATCH(U766,卡牌辅助配置表!M:M,0)-1,0)+(N766-1)*OFFSET(卡牌辅助配置表!$P$1,MATCH(U766,卡牌辅助配置表!M:M,0)-1,0))*M766,2)</f>
        <v>39.27</v>
      </c>
      <c r="W766" s="157">
        <f ca="1">ROUND(IF(R766=0,0,IF(R766=1,X766*$W$1,IF(R766=2,X766*$W$1*buff的资质计算!$E$2,IF(R766=3,X766*$W$1*buff的资质计算!$E$3,0)))),2)</f>
        <v>12</v>
      </c>
      <c r="X766" s="157">
        <f ca="1" t="shared" si="130"/>
        <v>40</v>
      </c>
      <c r="Y766" s="157">
        <f ca="1" t="shared" si="131"/>
        <v>40</v>
      </c>
      <c r="Z766" s="304">
        <f ca="1" t="shared" si="132"/>
        <v>40</v>
      </c>
      <c r="AA766" s="304">
        <f ca="1">OFFSET(卡牌辅助配置表!$AD$1,MATCH(AB766,卡牌辅助配置表!AB:AB,0)-1,0)</f>
        <v>42174</v>
      </c>
      <c r="AB766" s="304">
        <f ca="1" t="shared" si="124"/>
        <v>5211</v>
      </c>
      <c r="AF766" s="153" t="str">
        <f ca="1" t="shared" si="128"/>
        <v>15010011|</v>
      </c>
      <c r="AJ766" s="205" t="str">
        <f ca="1" t="shared" si="125"/>
        <v>400023|4650|;</v>
      </c>
      <c r="AK766" s="205">
        <f ca="1">OFFSET([1]item_type!$A$1,MATCH(Q766,[1]item_type!$G:$G,0)-1,0)</f>
        <v>301501</v>
      </c>
      <c r="AL766" s="205"/>
      <c r="AM766" s="205">
        <f ca="1">IF(B766=B767,OFFSET(卡牌辅助配置表!$AE$1,MATCH(AB766,卡牌辅助配置表!AB:AB,0),0),0)</f>
        <v>4650</v>
      </c>
      <c r="AN766" s="153">
        <f ca="1" t="shared" si="126"/>
        <v>1501012</v>
      </c>
      <c r="AP766" s="153">
        <f ca="1">IF(AC766=0,0,IF(AC766=12,0,OFFSET(effect!$N$1,MATCH(K766,effect!M:M,0)-1,0)))</f>
        <v>0</v>
      </c>
    </row>
    <row r="767" spans="1:42">
      <c r="A767" s="153">
        <f ca="1" t="shared" si="119"/>
        <v>1501012</v>
      </c>
      <c r="B767" s="153" t="s">
        <v>691</v>
      </c>
      <c r="C767" s="186">
        <v>1</v>
      </c>
      <c r="D767" s="186">
        <v>6</v>
      </c>
      <c r="E767" s="165" t="s">
        <v>1050</v>
      </c>
      <c r="F767" s="165" t="str">
        <f>"增加"&amp;skill!$O$48/100&amp;"%对敌人伤害,对自己造成"&amp;P767/100&amp;"%伤害"</f>
        <v>增加50%对敌人伤害,对自己造成20%伤害</v>
      </c>
      <c r="G767" s="186">
        <f>卡牌辅助配置表!$C$15</f>
        <v>6</v>
      </c>
      <c r="H767" s="186">
        <f ca="1" t="shared" si="129"/>
        <v>0</v>
      </c>
      <c r="I767" s="186"/>
      <c r="J767" s="186">
        <f ca="1">OFFSET(card_type!$F$1,MATCH(Q767,card_type!A:A,0)-1,0)</f>
        <v>5</v>
      </c>
      <c r="K767" s="243">
        <f ca="1">OFFSET(card_type!$G$1,MATCH(Q767,card_type!A:A,0)-1,0)</f>
        <v>2</v>
      </c>
      <c r="L767" s="157">
        <v>1</v>
      </c>
      <c r="M767" s="157">
        <v>1</v>
      </c>
      <c r="N767" s="153">
        <f t="shared" si="133"/>
        <v>12</v>
      </c>
      <c r="O767" s="157"/>
      <c r="P767" s="157">
        <v>2000</v>
      </c>
      <c r="Q767" s="153">
        <f ca="1">OFFSET(card_type!$A$1,MATCH(card!B767,card_type!B:B,0)-1,0)</f>
        <v>1501</v>
      </c>
      <c r="R767" s="153">
        <v>1</v>
      </c>
      <c r="S767" s="157">
        <f ca="1">ROUND(IF(R767=0,0,IF(R767=1,X767*$S$1,IF(R767=2,X767*$S$1*buff的资质计算!$E$2,IF(R767=3,X767*$S$1*buff的资质计算!$E$3,0)))),0)*0</f>
        <v>0</v>
      </c>
      <c r="T767" s="153">
        <v>1</v>
      </c>
      <c r="U767" s="153">
        <f ca="1" t="shared" si="121"/>
        <v>52</v>
      </c>
      <c r="V767" s="153">
        <f ca="1">ROUND((OFFSET(卡牌辅助配置表!$O$1,MATCH(U767,卡牌辅助配置表!M:M,0)-1,0)+(N767-1)*OFFSET(卡牌辅助配置表!$P$1,MATCH(U767,卡牌辅助配置表!M:M,0)-1,0))*M767,2)</f>
        <v>39.27</v>
      </c>
      <c r="W767" s="157">
        <f ca="1">ROUND(IF(R767=0,0,IF(R767=1,X767*$W$1,IF(R767=2,X767*$W$1*buff的资质计算!$E$2,IF(R767=3,X767*$W$1*buff的资质计算!$E$3,0)))),2)</f>
        <v>12.15</v>
      </c>
      <c r="X767" s="157">
        <f ca="1" t="shared" si="130"/>
        <v>40.5</v>
      </c>
      <c r="Y767" s="157">
        <f ca="1" t="shared" si="131"/>
        <v>40.5</v>
      </c>
      <c r="Z767" s="304">
        <f ca="1" t="shared" si="132"/>
        <v>40.5</v>
      </c>
      <c r="AA767" s="304">
        <f ca="1">OFFSET(卡牌辅助配置表!$AD$1,MATCH(AB767,卡牌辅助配置表!AB:AB,0)-1,0)</f>
        <v>46008</v>
      </c>
      <c r="AB767" s="304">
        <f ca="1" t="shared" si="124"/>
        <v>5212</v>
      </c>
      <c r="AF767" s="153" t="str">
        <f ca="1" t="shared" si="128"/>
        <v>15010011|</v>
      </c>
      <c r="AJ767" s="205" t="str">
        <f ca="1" t="shared" si="125"/>
        <v>400023|5250|;</v>
      </c>
      <c r="AK767" s="205">
        <f ca="1">OFFSET([1]item_type!$A$1,MATCH(Q767,[1]item_type!$G:$G,0)-1,0)</f>
        <v>301501</v>
      </c>
      <c r="AL767" s="205"/>
      <c r="AM767" s="205">
        <f ca="1">IF(B767=B768,OFFSET(卡牌辅助配置表!$AE$1,MATCH(AB767,卡牌辅助配置表!AB:AB,0),0),0)</f>
        <v>5250</v>
      </c>
      <c r="AN767" s="153">
        <f ca="1" t="shared" si="126"/>
        <v>1501013</v>
      </c>
      <c r="AP767" s="153">
        <f ca="1">IF(AC767=0,0,IF(AC767=12,0,OFFSET(effect!$N$1,MATCH(K767,effect!M:M,0)-1,0)))</f>
        <v>0</v>
      </c>
    </row>
    <row r="768" spans="1:42">
      <c r="A768" s="153">
        <f ca="1" t="shared" si="119"/>
        <v>1501013</v>
      </c>
      <c r="B768" s="153" t="s">
        <v>691</v>
      </c>
      <c r="C768" s="186">
        <v>1</v>
      </c>
      <c r="D768" s="186">
        <v>6</v>
      </c>
      <c r="E768" s="165" t="s">
        <v>1050</v>
      </c>
      <c r="F768" s="165" t="str">
        <f>"增加"&amp;skill!$O$48/100&amp;"%对敌人伤害,对自己造成"&amp;P768/100&amp;"%伤害"</f>
        <v>增加50%对敌人伤害,对自己造成20%伤害</v>
      </c>
      <c r="G768" s="186">
        <f>卡牌辅助配置表!$C$15</f>
        <v>6</v>
      </c>
      <c r="H768" s="186">
        <f ca="1" t="shared" si="129"/>
        <v>0</v>
      </c>
      <c r="I768" s="186"/>
      <c r="J768" s="186">
        <f ca="1">OFFSET(card_type!$F$1,MATCH(Q768,card_type!A:A,0)-1,0)</f>
        <v>5</v>
      </c>
      <c r="K768" s="243">
        <f ca="1">OFFSET(card_type!$G$1,MATCH(Q768,card_type!A:A,0)-1,0)</f>
        <v>2</v>
      </c>
      <c r="L768" s="157">
        <v>1</v>
      </c>
      <c r="M768" s="157">
        <v>1</v>
      </c>
      <c r="N768" s="153">
        <f t="shared" si="133"/>
        <v>13</v>
      </c>
      <c r="O768" s="157"/>
      <c r="P768" s="157">
        <v>2000</v>
      </c>
      <c r="Q768" s="153">
        <f ca="1">OFFSET(card_type!$A$1,MATCH(card!B768,card_type!B:B,0)-1,0)</f>
        <v>1501</v>
      </c>
      <c r="R768" s="153">
        <v>1</v>
      </c>
      <c r="S768" s="157">
        <f ca="1">ROUND(IF(R768=0,0,IF(R768=1,X768*$S$1,IF(R768=2,X768*$S$1*buff的资质计算!$E$2,IF(R768=3,X768*$S$1*buff的资质计算!$E$3,0)))),0)*0</f>
        <v>0</v>
      </c>
      <c r="T768" s="153">
        <v>1</v>
      </c>
      <c r="U768" s="153">
        <f ca="1" t="shared" si="121"/>
        <v>52</v>
      </c>
      <c r="V768" s="153">
        <f ca="1">ROUND((OFFSET(卡牌辅助配置表!$O$1,MATCH(U768,卡牌辅助配置表!M:M,0)-1,0)+(N768-1)*OFFSET(卡牌辅助配置表!$P$1,MATCH(U768,卡牌辅助配置表!M:M,0)-1,0))*M768,2)</f>
        <v>39.27</v>
      </c>
      <c r="W768" s="157">
        <f ca="1">ROUND(IF(R768=0,0,IF(R768=1,X768*$W$1,IF(R768=2,X768*$W$1*buff的资质计算!$E$2,IF(R768=3,X768*$W$1*buff的资质计算!$E$3,0)))),2)</f>
        <v>12.3</v>
      </c>
      <c r="X768" s="157">
        <f ca="1" t="shared" si="130"/>
        <v>41</v>
      </c>
      <c r="Y768" s="157">
        <f ca="1" t="shared" si="131"/>
        <v>41</v>
      </c>
      <c r="Z768" s="304">
        <f ca="1" t="shared" si="132"/>
        <v>41</v>
      </c>
      <c r="AA768" s="304">
        <f ca="1">OFFSET(卡牌辅助配置表!$AD$1,MATCH(AB768,卡牌辅助配置表!AB:AB,0)-1,0)</f>
        <v>49842</v>
      </c>
      <c r="AB768" s="304">
        <f ca="1" t="shared" si="124"/>
        <v>5213</v>
      </c>
      <c r="AF768" s="153" t="str">
        <f ca="1" t="shared" si="128"/>
        <v>15010011|</v>
      </c>
      <c r="AJ768" s="205" t="str">
        <f ca="1" t="shared" si="125"/>
        <v>400023|5850|;</v>
      </c>
      <c r="AK768" s="205">
        <f ca="1">OFFSET([1]item_type!$A$1,MATCH(Q768,[1]item_type!$G:$G,0)-1,0)</f>
        <v>301501</v>
      </c>
      <c r="AL768" s="205"/>
      <c r="AM768" s="205">
        <f ca="1">IF(B768=B769,OFFSET(卡牌辅助配置表!$AE$1,MATCH(AB768,卡牌辅助配置表!AB:AB,0),0),0)</f>
        <v>5850</v>
      </c>
      <c r="AN768" s="153">
        <f ca="1" t="shared" si="126"/>
        <v>1501014</v>
      </c>
      <c r="AP768" s="153">
        <f ca="1">IF(AC768=0,0,IF(AC768=12,0,OFFSET(effect!$N$1,MATCH(K768,effect!M:M,0)-1,0)))</f>
        <v>0</v>
      </c>
    </row>
    <row r="769" spans="1:42">
      <c r="A769" s="153">
        <f ca="1" t="shared" si="119"/>
        <v>1501014</v>
      </c>
      <c r="B769" s="153" t="s">
        <v>691</v>
      </c>
      <c r="C769" s="186">
        <v>1</v>
      </c>
      <c r="D769" s="186">
        <v>6</v>
      </c>
      <c r="E769" s="165" t="s">
        <v>1050</v>
      </c>
      <c r="F769" s="165" t="str">
        <f>"增加"&amp;skill!$O$48/100&amp;"%对敌人伤害,对自己造成"&amp;P769/100&amp;"%伤害"</f>
        <v>增加50%对敌人伤害,对自己造成20%伤害</v>
      </c>
      <c r="G769" s="186">
        <f>卡牌辅助配置表!$C$15</f>
        <v>6</v>
      </c>
      <c r="H769" s="186">
        <f ca="1" t="shared" si="129"/>
        <v>0</v>
      </c>
      <c r="I769" s="186"/>
      <c r="J769" s="186">
        <f ca="1">OFFSET(card_type!$F$1,MATCH(Q769,card_type!A:A,0)-1,0)</f>
        <v>5</v>
      </c>
      <c r="K769" s="243">
        <f ca="1">OFFSET(card_type!$G$1,MATCH(Q769,card_type!A:A,0)-1,0)</f>
        <v>2</v>
      </c>
      <c r="L769" s="157">
        <v>1</v>
      </c>
      <c r="M769" s="157">
        <v>1</v>
      </c>
      <c r="N769" s="153">
        <f t="shared" si="133"/>
        <v>14</v>
      </c>
      <c r="O769" s="157"/>
      <c r="P769" s="157">
        <v>2000</v>
      </c>
      <c r="Q769" s="153">
        <f ca="1">OFFSET(card_type!$A$1,MATCH(card!B769,card_type!B:B,0)-1,0)</f>
        <v>1501</v>
      </c>
      <c r="R769" s="153">
        <v>1</v>
      </c>
      <c r="S769" s="157">
        <f ca="1">ROUND(IF(R769=0,0,IF(R769=1,X769*$S$1,IF(R769=2,X769*$S$1*buff的资质计算!$E$2,IF(R769=3,X769*$S$1*buff的资质计算!$E$3,0)))),0)*0</f>
        <v>0</v>
      </c>
      <c r="T769" s="153">
        <v>1</v>
      </c>
      <c r="U769" s="153">
        <f ca="1" t="shared" si="121"/>
        <v>52</v>
      </c>
      <c r="V769" s="153">
        <f ca="1">ROUND((OFFSET(卡牌辅助配置表!$O$1,MATCH(U769,卡牌辅助配置表!M:M,0)-1,0)+(N769-1)*OFFSET(卡牌辅助配置表!$P$1,MATCH(U769,卡牌辅助配置表!M:M,0)-1,0))*M769,2)</f>
        <v>39.27</v>
      </c>
      <c r="W769" s="157">
        <f ca="1">ROUND(IF(R769=0,0,IF(R769=1,X769*$W$1,IF(R769=2,X769*$W$1*buff的资质计算!$E$2,IF(R769=3,X769*$W$1*buff的资质计算!$E$3,0)))),2)</f>
        <v>12.45</v>
      </c>
      <c r="X769" s="157">
        <f ca="1" t="shared" si="130"/>
        <v>41.5</v>
      </c>
      <c r="Y769" s="157">
        <f ca="1" t="shared" si="131"/>
        <v>41.5</v>
      </c>
      <c r="Z769" s="304">
        <f ca="1" t="shared" si="132"/>
        <v>41.5</v>
      </c>
      <c r="AA769" s="304">
        <f ca="1">OFFSET(卡牌辅助配置表!$AD$1,MATCH(AB769,卡牌辅助配置表!AB:AB,0)-1,0)</f>
        <v>53676</v>
      </c>
      <c r="AB769" s="304">
        <f ca="1" t="shared" si="124"/>
        <v>5214</v>
      </c>
      <c r="AF769" s="153" t="str">
        <f ca="1" t="shared" si="128"/>
        <v>15010011|</v>
      </c>
      <c r="AJ769" s="205" t="str">
        <f ca="1" t="shared" si="125"/>
        <v>400023|6450|;</v>
      </c>
      <c r="AK769" s="205">
        <f ca="1">OFFSET([1]item_type!$A$1,MATCH(Q769,[1]item_type!$G:$G,0)-1,0)</f>
        <v>301501</v>
      </c>
      <c r="AL769" s="205"/>
      <c r="AM769" s="205">
        <f ca="1">IF(B769=B770,OFFSET(卡牌辅助配置表!$AE$1,MATCH(AB769,卡牌辅助配置表!AB:AB,0),0),0)</f>
        <v>6450</v>
      </c>
      <c r="AN769" s="153">
        <f ca="1" t="shared" si="126"/>
        <v>1501015</v>
      </c>
      <c r="AP769" s="153">
        <f ca="1">IF(AC769=0,0,IF(AC769=12,0,OFFSET(effect!$N$1,MATCH(K769,effect!M:M,0)-1,0)))</f>
        <v>0</v>
      </c>
    </row>
    <row r="770" spans="1:42">
      <c r="A770" s="153">
        <f ca="1" t="shared" si="119"/>
        <v>1501015</v>
      </c>
      <c r="B770" s="153" t="s">
        <v>691</v>
      </c>
      <c r="C770" s="186">
        <v>1</v>
      </c>
      <c r="D770" s="186">
        <v>6</v>
      </c>
      <c r="E770" s="165" t="s">
        <v>1050</v>
      </c>
      <c r="F770" s="165" t="str">
        <f>"增加"&amp;skill!$O$48/100&amp;"%对敌人伤害,对自己造成"&amp;P770/100&amp;"%伤害"</f>
        <v>增加50%对敌人伤害,对自己造成20%伤害</v>
      </c>
      <c r="G770" s="186">
        <f>卡牌辅助配置表!$C$15</f>
        <v>6</v>
      </c>
      <c r="H770" s="186">
        <f ca="1" t="shared" si="129"/>
        <v>0</v>
      </c>
      <c r="I770" s="186"/>
      <c r="J770" s="186">
        <f ca="1">OFFSET(card_type!$F$1,MATCH(Q770,card_type!A:A,0)-1,0)</f>
        <v>5</v>
      </c>
      <c r="K770" s="243">
        <f ca="1">OFFSET(card_type!$G$1,MATCH(Q770,card_type!A:A,0)-1,0)</f>
        <v>2</v>
      </c>
      <c r="L770" s="157">
        <v>1</v>
      </c>
      <c r="M770" s="157">
        <v>1</v>
      </c>
      <c r="N770" s="153">
        <f t="shared" si="133"/>
        <v>15</v>
      </c>
      <c r="O770" s="157"/>
      <c r="P770" s="157">
        <v>2000</v>
      </c>
      <c r="Q770" s="153">
        <f ca="1">OFFSET(card_type!$A$1,MATCH(card!B770,card_type!B:B,0)-1,0)</f>
        <v>1501</v>
      </c>
      <c r="R770" s="153">
        <v>1</v>
      </c>
      <c r="S770" s="157">
        <f ca="1">ROUND(IF(R770=0,0,IF(R770=1,X770*$S$1,IF(R770=2,X770*$S$1*buff的资质计算!$E$2,IF(R770=3,X770*$S$1*buff的资质计算!$E$3,0)))),0)*0</f>
        <v>0</v>
      </c>
      <c r="T770" s="153">
        <v>1</v>
      </c>
      <c r="U770" s="153">
        <f ca="1" t="shared" si="121"/>
        <v>52</v>
      </c>
      <c r="V770" s="153">
        <f ca="1">ROUND((OFFSET(卡牌辅助配置表!$O$1,MATCH(U770,卡牌辅助配置表!M:M,0)-1,0)+(N770-1)*OFFSET(卡牌辅助配置表!$P$1,MATCH(U770,卡牌辅助配置表!M:M,0)-1,0))*M770,2)</f>
        <v>39.27</v>
      </c>
      <c r="W770" s="157">
        <f ca="1">ROUND(IF(R770=0,0,IF(R770=1,X770*$W$1,IF(R770=2,X770*$W$1*buff的资质计算!$E$2,IF(R770=3,X770*$W$1*buff的资质计算!$E$3,0)))),2)</f>
        <v>12.6</v>
      </c>
      <c r="X770" s="157">
        <f ca="1" t="shared" si="130"/>
        <v>42</v>
      </c>
      <c r="Y770" s="157">
        <f ca="1" t="shared" si="131"/>
        <v>42</v>
      </c>
      <c r="Z770" s="304">
        <f ca="1" t="shared" si="132"/>
        <v>42</v>
      </c>
      <c r="AA770" s="304">
        <f ca="1">OFFSET(卡牌辅助配置表!$AD$1,MATCH(AB770,卡牌辅助配置表!AB:AB,0)-1,0)</f>
        <v>57510</v>
      </c>
      <c r="AB770" s="304">
        <f ca="1" t="shared" si="124"/>
        <v>5215</v>
      </c>
      <c r="AF770" s="153" t="str">
        <f ca="1" t="shared" si="128"/>
        <v>15010011|</v>
      </c>
      <c r="AJ770" s="205" t="str">
        <f ca="1" t="shared" si="125"/>
        <v>400023|7050|;</v>
      </c>
      <c r="AK770" s="205">
        <f ca="1">OFFSET([1]item_type!$A$1,MATCH(Q770,[1]item_type!$G:$G,0)-1,0)</f>
        <v>301501</v>
      </c>
      <c r="AL770" s="205"/>
      <c r="AM770" s="205">
        <f ca="1">IF(B770=B771,OFFSET(卡牌辅助配置表!$AE$1,MATCH(AB770,卡牌辅助配置表!AB:AB,0),0),0)</f>
        <v>7050</v>
      </c>
      <c r="AN770" s="153">
        <f ca="1" t="shared" si="126"/>
        <v>1501016</v>
      </c>
      <c r="AP770" s="153">
        <f ca="1">IF(AC770=0,0,IF(AC770=12,0,OFFSET(effect!$N$1,MATCH(K770,effect!M:M,0)-1,0)))</f>
        <v>0</v>
      </c>
    </row>
    <row r="771" spans="1:42">
      <c r="A771" s="153">
        <f ca="1" t="shared" si="119"/>
        <v>1501016</v>
      </c>
      <c r="B771" s="153" t="s">
        <v>691</v>
      </c>
      <c r="C771" s="186">
        <v>1</v>
      </c>
      <c r="D771" s="186">
        <v>6</v>
      </c>
      <c r="E771" s="165" t="s">
        <v>1050</v>
      </c>
      <c r="F771" s="165" t="str">
        <f>"增加"&amp;skill!$O$48/100&amp;"%对敌人伤害,对自己造成"&amp;P771/100&amp;"%伤害"</f>
        <v>增加50%对敌人伤害,对自己造成20%伤害</v>
      </c>
      <c r="G771" s="186">
        <f>卡牌辅助配置表!$C$15</f>
        <v>6</v>
      </c>
      <c r="H771" s="186">
        <f ca="1" t="shared" si="129"/>
        <v>0</v>
      </c>
      <c r="I771" s="186"/>
      <c r="J771" s="186">
        <f ca="1">OFFSET(card_type!$F$1,MATCH(Q771,card_type!A:A,0)-1,0)</f>
        <v>5</v>
      </c>
      <c r="K771" s="243">
        <f ca="1">OFFSET(card_type!$G$1,MATCH(Q771,card_type!A:A,0)-1,0)</f>
        <v>2</v>
      </c>
      <c r="L771" s="157">
        <v>1</v>
      </c>
      <c r="M771" s="157">
        <v>1</v>
      </c>
      <c r="N771" s="153">
        <f t="shared" si="133"/>
        <v>16</v>
      </c>
      <c r="O771" s="157"/>
      <c r="P771" s="157">
        <v>2000</v>
      </c>
      <c r="Q771" s="153">
        <f ca="1">OFFSET(card_type!$A$1,MATCH(card!B771,card_type!B:B,0)-1,0)</f>
        <v>1501</v>
      </c>
      <c r="R771" s="153">
        <v>1</v>
      </c>
      <c r="S771" s="157">
        <f ca="1">ROUND(IF(R771=0,0,IF(R771=1,X771*$S$1,IF(R771=2,X771*$S$1*buff的资质计算!$E$2,IF(R771=3,X771*$S$1*buff的资质计算!$E$3,0)))),0)*0</f>
        <v>0</v>
      </c>
      <c r="T771" s="153">
        <v>1</v>
      </c>
      <c r="U771" s="153">
        <f ca="1" t="shared" si="121"/>
        <v>52</v>
      </c>
      <c r="V771" s="153">
        <f ca="1">ROUND((OFFSET(卡牌辅助配置表!$O$1,MATCH(U771,卡牌辅助配置表!M:M,0)-1,0)+(N771-1)*OFFSET(卡牌辅助配置表!$P$1,MATCH(U771,卡牌辅助配置表!M:M,0)-1,0))*M771,2)</f>
        <v>39.27</v>
      </c>
      <c r="W771" s="157">
        <f ca="1">ROUND(IF(R771=0,0,IF(R771=1,X771*$W$1,IF(R771=2,X771*$W$1*buff的资质计算!$E$2,IF(R771=3,X771*$W$1*buff的资质计算!$E$3,0)))),2)</f>
        <v>12.75</v>
      </c>
      <c r="X771" s="157">
        <f ca="1" t="shared" si="130"/>
        <v>42.5</v>
      </c>
      <c r="Y771" s="157">
        <f ca="1" t="shared" si="131"/>
        <v>42.5</v>
      </c>
      <c r="Z771" s="304">
        <f ca="1" t="shared" si="132"/>
        <v>42.5</v>
      </c>
      <c r="AA771" s="304">
        <f ca="1">OFFSET(卡牌辅助配置表!$AD$1,MATCH(AB771,卡牌辅助配置表!AB:AB,0)-1,0)</f>
        <v>61344</v>
      </c>
      <c r="AB771" s="304">
        <f ca="1" t="shared" si="124"/>
        <v>5216</v>
      </c>
      <c r="AF771" s="153" t="str">
        <f ca="1" t="shared" si="128"/>
        <v>15010011|</v>
      </c>
      <c r="AJ771" s="205" t="str">
        <f ca="1" t="shared" si="125"/>
        <v>400023|7650|;</v>
      </c>
      <c r="AK771" s="205">
        <f ca="1">OFFSET([1]item_type!$A$1,MATCH(Q771,[1]item_type!$G:$G,0)-1,0)</f>
        <v>301501</v>
      </c>
      <c r="AL771" s="205"/>
      <c r="AM771" s="205">
        <f ca="1">IF(B771=B772,OFFSET(卡牌辅助配置表!$AE$1,MATCH(AB771,卡牌辅助配置表!AB:AB,0),0),0)</f>
        <v>7650</v>
      </c>
      <c r="AN771" s="153">
        <f ca="1" t="shared" si="126"/>
        <v>1501017</v>
      </c>
      <c r="AP771" s="153">
        <f ca="1">IF(AC771=0,0,IF(AC771=12,0,OFFSET(effect!$N$1,MATCH(K771,effect!M:M,0)-1,0)))</f>
        <v>0</v>
      </c>
    </row>
    <row r="772" spans="1:42">
      <c r="A772" s="153">
        <f ca="1" t="shared" si="119"/>
        <v>1501017</v>
      </c>
      <c r="B772" s="153" t="s">
        <v>691</v>
      </c>
      <c r="C772" s="186">
        <v>1</v>
      </c>
      <c r="D772" s="186">
        <v>6</v>
      </c>
      <c r="E772" s="165" t="s">
        <v>1050</v>
      </c>
      <c r="F772" s="165" t="str">
        <f>"增加"&amp;skill!$O$48/100&amp;"%对敌人伤害,对自己造成"&amp;P772/100&amp;"%伤害"</f>
        <v>增加50%对敌人伤害,对自己造成20%伤害</v>
      </c>
      <c r="G772" s="186">
        <f>卡牌辅助配置表!$C$15</f>
        <v>6</v>
      </c>
      <c r="H772" s="186">
        <f ca="1" t="shared" si="129"/>
        <v>0</v>
      </c>
      <c r="I772" s="186"/>
      <c r="J772" s="186">
        <f ca="1">OFFSET(card_type!$F$1,MATCH(Q772,card_type!A:A,0)-1,0)</f>
        <v>5</v>
      </c>
      <c r="K772" s="243">
        <f ca="1">OFFSET(card_type!$G$1,MATCH(Q772,card_type!A:A,0)-1,0)</f>
        <v>2</v>
      </c>
      <c r="L772" s="157">
        <v>1</v>
      </c>
      <c r="M772" s="157">
        <v>1</v>
      </c>
      <c r="N772" s="153">
        <f t="shared" si="133"/>
        <v>17</v>
      </c>
      <c r="O772" s="157"/>
      <c r="P772" s="157">
        <v>2000</v>
      </c>
      <c r="Q772" s="153">
        <f ca="1">OFFSET(card_type!$A$1,MATCH(card!B772,card_type!B:B,0)-1,0)</f>
        <v>1501</v>
      </c>
      <c r="R772" s="153">
        <v>1</v>
      </c>
      <c r="S772" s="157">
        <f ca="1">ROUND(IF(R772=0,0,IF(R772=1,X772*$S$1,IF(R772=2,X772*$S$1*buff的资质计算!$E$2,IF(R772=3,X772*$S$1*buff的资质计算!$E$3,0)))),0)*0</f>
        <v>0</v>
      </c>
      <c r="T772" s="153">
        <v>1</v>
      </c>
      <c r="U772" s="153">
        <f ca="1" t="shared" si="121"/>
        <v>52</v>
      </c>
      <c r="V772" s="153">
        <f ca="1">ROUND((OFFSET(卡牌辅助配置表!$O$1,MATCH(U772,卡牌辅助配置表!M:M,0)-1,0)+(N772-1)*OFFSET(卡牌辅助配置表!$P$1,MATCH(U772,卡牌辅助配置表!M:M,0)-1,0))*M772,2)</f>
        <v>39.27</v>
      </c>
      <c r="W772" s="157">
        <f ca="1">ROUND(IF(R772=0,0,IF(R772=1,X772*$W$1,IF(R772=2,X772*$W$1*buff的资质计算!$E$2,IF(R772=3,X772*$W$1*buff的资质计算!$E$3,0)))),2)</f>
        <v>12.9</v>
      </c>
      <c r="X772" s="157">
        <f ca="1" t="shared" si="130"/>
        <v>43</v>
      </c>
      <c r="Y772" s="157">
        <f ca="1" t="shared" si="131"/>
        <v>43</v>
      </c>
      <c r="Z772" s="304">
        <f ca="1" t="shared" si="132"/>
        <v>43</v>
      </c>
      <c r="AA772" s="304">
        <f ca="1">OFFSET(卡牌辅助配置表!$AD$1,MATCH(AB772,卡牌辅助配置表!AB:AB,0)-1,0)</f>
        <v>65178</v>
      </c>
      <c r="AB772" s="304">
        <f ca="1" t="shared" si="124"/>
        <v>5217</v>
      </c>
      <c r="AF772" s="153" t="str">
        <f ca="1" t="shared" si="128"/>
        <v>15010011|</v>
      </c>
      <c r="AJ772" s="205" t="str">
        <f ca="1" t="shared" si="125"/>
        <v>400023|8250|;</v>
      </c>
      <c r="AK772" s="205">
        <f ca="1">OFFSET([1]item_type!$A$1,MATCH(Q772,[1]item_type!$G:$G,0)-1,0)</f>
        <v>301501</v>
      </c>
      <c r="AL772" s="205"/>
      <c r="AM772" s="205">
        <f ca="1">IF(B772=B773,OFFSET(卡牌辅助配置表!$AE$1,MATCH(AB772,卡牌辅助配置表!AB:AB,0),0),0)</f>
        <v>8250</v>
      </c>
      <c r="AN772" s="153">
        <f ca="1" t="shared" si="126"/>
        <v>1501018</v>
      </c>
      <c r="AP772" s="153">
        <f ca="1">IF(AC772=0,0,IF(AC772=12,0,OFFSET(effect!$N$1,MATCH(K772,effect!M:M,0)-1,0)))</f>
        <v>0</v>
      </c>
    </row>
    <row r="773" spans="1:42">
      <c r="A773" s="153">
        <f ca="1" t="shared" si="119"/>
        <v>1501018</v>
      </c>
      <c r="B773" s="153" t="s">
        <v>691</v>
      </c>
      <c r="C773" s="186">
        <v>1</v>
      </c>
      <c r="D773" s="186">
        <v>6</v>
      </c>
      <c r="E773" s="165" t="s">
        <v>1050</v>
      </c>
      <c r="F773" s="165" t="str">
        <f>"增加"&amp;skill!$O$48/100&amp;"%对敌人伤害,对自己造成"&amp;P773/100&amp;"%伤害"</f>
        <v>增加50%对敌人伤害,对自己造成20%伤害</v>
      </c>
      <c r="G773" s="186">
        <f>卡牌辅助配置表!$C$15</f>
        <v>6</v>
      </c>
      <c r="H773" s="186">
        <f ca="1" t="shared" si="129"/>
        <v>0</v>
      </c>
      <c r="I773" s="186"/>
      <c r="J773" s="186">
        <f ca="1">OFFSET(card_type!$F$1,MATCH(Q773,card_type!A:A,0)-1,0)</f>
        <v>5</v>
      </c>
      <c r="K773" s="243">
        <f ca="1">OFFSET(card_type!$G$1,MATCH(Q773,card_type!A:A,0)-1,0)</f>
        <v>2</v>
      </c>
      <c r="L773" s="157">
        <v>1</v>
      </c>
      <c r="M773" s="157">
        <v>1</v>
      </c>
      <c r="N773" s="153">
        <f t="shared" si="133"/>
        <v>18</v>
      </c>
      <c r="O773" s="157"/>
      <c r="P773" s="157">
        <v>2000</v>
      </c>
      <c r="Q773" s="153">
        <f ca="1">OFFSET(card_type!$A$1,MATCH(card!B773,card_type!B:B,0)-1,0)</f>
        <v>1501</v>
      </c>
      <c r="R773" s="153">
        <v>1</v>
      </c>
      <c r="S773" s="157">
        <f ca="1">ROUND(IF(R773=0,0,IF(R773=1,X773*$S$1,IF(R773=2,X773*$S$1*buff的资质计算!$E$2,IF(R773=3,X773*$S$1*buff的资质计算!$E$3,0)))),0)*0</f>
        <v>0</v>
      </c>
      <c r="T773" s="153">
        <v>1</v>
      </c>
      <c r="U773" s="153">
        <f ca="1" t="shared" si="121"/>
        <v>52</v>
      </c>
      <c r="V773" s="153">
        <f ca="1">ROUND((OFFSET(卡牌辅助配置表!$O$1,MATCH(U773,卡牌辅助配置表!M:M,0)-1,0)+(N773-1)*OFFSET(卡牌辅助配置表!$P$1,MATCH(U773,卡牌辅助配置表!M:M,0)-1,0))*M773,2)</f>
        <v>39.27</v>
      </c>
      <c r="W773" s="157">
        <f ca="1">ROUND(IF(R773=0,0,IF(R773=1,X773*$W$1,IF(R773=2,X773*$W$1*buff的资质计算!$E$2,IF(R773=3,X773*$W$1*buff的资质计算!$E$3,0)))),2)</f>
        <v>13.05</v>
      </c>
      <c r="X773" s="157">
        <f ca="1" t="shared" si="130"/>
        <v>43.5</v>
      </c>
      <c r="Y773" s="157">
        <f ca="1" t="shared" si="131"/>
        <v>43.5</v>
      </c>
      <c r="Z773" s="304">
        <f ca="1" t="shared" si="132"/>
        <v>43.5</v>
      </c>
      <c r="AA773" s="304">
        <f ca="1">OFFSET(卡牌辅助配置表!$AD$1,MATCH(AB773,卡牌辅助配置表!AB:AB,0)-1,0)</f>
        <v>69012</v>
      </c>
      <c r="AB773" s="304">
        <f ca="1" t="shared" si="124"/>
        <v>5218</v>
      </c>
      <c r="AF773" s="153" t="str">
        <f ca="1" t="shared" si="128"/>
        <v>15010011|</v>
      </c>
      <c r="AJ773" s="205" t="str">
        <f ca="1" t="shared" si="125"/>
        <v>400023|8850|;</v>
      </c>
      <c r="AK773" s="205">
        <f ca="1">OFFSET([1]item_type!$A$1,MATCH(Q773,[1]item_type!$G:$G,0)-1,0)</f>
        <v>301501</v>
      </c>
      <c r="AL773" s="205"/>
      <c r="AM773" s="205">
        <f ca="1">IF(B773=B774,OFFSET(卡牌辅助配置表!$AE$1,MATCH(AB773,卡牌辅助配置表!AB:AB,0),0),0)</f>
        <v>8850</v>
      </c>
      <c r="AN773" s="153">
        <f ca="1" t="shared" si="126"/>
        <v>1501019</v>
      </c>
      <c r="AP773" s="153">
        <f ca="1">IF(AC773=0,0,IF(AC773=12,0,OFFSET(effect!$N$1,MATCH(K773,effect!M:M,0)-1,0)))</f>
        <v>0</v>
      </c>
    </row>
    <row r="774" spans="1:42">
      <c r="A774" s="153">
        <f ca="1" t="shared" ref="A774:A837" si="134">Q774*1000+N774</f>
        <v>1501019</v>
      </c>
      <c r="B774" s="153" t="s">
        <v>691</v>
      </c>
      <c r="C774" s="186">
        <v>1</v>
      </c>
      <c r="D774" s="186">
        <v>6</v>
      </c>
      <c r="E774" s="165" t="s">
        <v>1050</v>
      </c>
      <c r="F774" s="165" t="str">
        <f>"增加"&amp;skill!$O$48/100&amp;"%对敌人伤害,对自己造成"&amp;P774/100&amp;"%伤害"</f>
        <v>增加50%对敌人伤害,对自己造成20%伤害</v>
      </c>
      <c r="G774" s="186">
        <f>卡牌辅助配置表!$C$15</f>
        <v>6</v>
      </c>
      <c r="H774" s="186">
        <f ca="1" t="shared" si="129"/>
        <v>0</v>
      </c>
      <c r="I774" s="186"/>
      <c r="J774" s="186">
        <f ca="1">OFFSET(card_type!$F$1,MATCH(Q774,card_type!A:A,0)-1,0)</f>
        <v>5</v>
      </c>
      <c r="K774" s="243">
        <f ca="1">OFFSET(card_type!$G$1,MATCH(Q774,card_type!A:A,0)-1,0)</f>
        <v>2</v>
      </c>
      <c r="L774" s="157">
        <v>1</v>
      </c>
      <c r="M774" s="157">
        <v>1</v>
      </c>
      <c r="N774" s="153">
        <f t="shared" si="133"/>
        <v>19</v>
      </c>
      <c r="O774" s="157"/>
      <c r="P774" s="157">
        <v>2000</v>
      </c>
      <c r="Q774" s="153">
        <f ca="1">OFFSET(card_type!$A$1,MATCH(card!B774,card_type!B:B,0)-1,0)</f>
        <v>1501</v>
      </c>
      <c r="R774" s="153">
        <v>1</v>
      </c>
      <c r="S774" s="157">
        <f ca="1">ROUND(IF(R774=0,0,IF(R774=1,X774*$S$1,IF(R774=2,X774*$S$1*buff的资质计算!$E$2,IF(R774=3,X774*$S$1*buff的资质计算!$E$3,0)))),0)*0</f>
        <v>0</v>
      </c>
      <c r="T774" s="153">
        <v>1</v>
      </c>
      <c r="U774" s="153">
        <f ca="1" t="shared" ref="U774:U837" si="135">J774*10+K774</f>
        <v>52</v>
      </c>
      <c r="V774" s="153">
        <f ca="1">ROUND((OFFSET(卡牌辅助配置表!$O$1,MATCH(U774,卡牌辅助配置表!M:M,0)-1,0)+(N774-1)*OFFSET(卡牌辅助配置表!$P$1,MATCH(U774,卡牌辅助配置表!M:M,0)-1,0))*M774,2)</f>
        <v>39.27</v>
      </c>
      <c r="W774" s="157">
        <f ca="1">ROUND(IF(R774=0,0,IF(R774=1,X774*$W$1,IF(R774=2,X774*$W$1*buff的资质计算!$E$2,IF(R774=3,X774*$W$1*buff的资质计算!$E$3,0)))),2)</f>
        <v>13.2</v>
      </c>
      <c r="X774" s="157">
        <f ca="1" t="shared" si="130"/>
        <v>44</v>
      </c>
      <c r="Y774" s="157">
        <f ca="1" t="shared" si="131"/>
        <v>44</v>
      </c>
      <c r="Z774" s="304">
        <f ca="1" t="shared" si="132"/>
        <v>44</v>
      </c>
      <c r="AA774" s="304">
        <f ca="1">OFFSET(卡牌辅助配置表!$AD$1,MATCH(AB774,卡牌辅助配置表!AB:AB,0)-1,0)</f>
        <v>72846</v>
      </c>
      <c r="AB774" s="304">
        <f ca="1" t="shared" ref="AB774:AB837" si="136">J774*1000+K774*100+N774</f>
        <v>5219</v>
      </c>
      <c r="AF774" s="153" t="str">
        <f ca="1" t="shared" si="128"/>
        <v>15010011|</v>
      </c>
      <c r="AJ774" s="205" t="str">
        <f ca="1" t="shared" ref="AJ774:AJ837" si="137">IF(AN774=0,0,IF(AL774=0,$AM$1&amp;$AF$1&amp;AM774&amp;$AF$1&amp;$AJ$1,AK774&amp;$AF$1&amp;AL774&amp;$AF$1&amp;$AJ$1&amp;$AM$1&amp;$AF$1&amp;AM774&amp;$AF$1&amp;$AJ$1))</f>
        <v>301501|20|;400023|9450|;</v>
      </c>
      <c r="AK774" s="205">
        <f ca="1">OFFSET([1]item_type!$A$1,MATCH(Q774,[1]item_type!$G:$G,0)-1,0)</f>
        <v>301501</v>
      </c>
      <c r="AL774" s="205">
        <v>20</v>
      </c>
      <c r="AM774" s="205">
        <f ca="1">IF(B774=B775,OFFSET(卡牌辅助配置表!$AE$1,MATCH(AB774,卡牌辅助配置表!AB:AB,0),0),0)</f>
        <v>9450</v>
      </c>
      <c r="AN774" s="153">
        <f ca="1" t="shared" ref="AN774:AN837" si="138">IF(B774=B775,A774+1,0)</f>
        <v>1501020</v>
      </c>
      <c r="AP774" s="153">
        <f ca="1">IF(AC774=0,0,IF(AC774=12,0,OFFSET(effect!$N$1,MATCH(K774,effect!M:M,0)-1,0)))</f>
        <v>0</v>
      </c>
    </row>
    <row r="775" spans="1:42">
      <c r="A775" s="153">
        <f ca="1" t="shared" si="134"/>
        <v>1501020</v>
      </c>
      <c r="B775" s="153" t="s">
        <v>691</v>
      </c>
      <c r="C775" s="186">
        <v>1</v>
      </c>
      <c r="D775" s="186">
        <v>6</v>
      </c>
      <c r="E775" s="165" t="s">
        <v>1050</v>
      </c>
      <c r="F775" s="165" t="str">
        <f>"增加"&amp;skill!$O$48/100&amp;"%对敌人伤害,对自己造成"&amp;P775/100&amp;"%伤害"</f>
        <v>增加50%对敌人伤害,对自己造成20%伤害</v>
      </c>
      <c r="G775" s="186">
        <f>卡牌辅助配置表!$C$15</f>
        <v>6</v>
      </c>
      <c r="H775" s="186">
        <f ca="1" t="shared" si="129"/>
        <v>0</v>
      </c>
      <c r="I775" s="186"/>
      <c r="J775" s="186">
        <f ca="1">OFFSET(card_type!$F$1,MATCH(Q775,card_type!A:A,0)-1,0)</f>
        <v>5</v>
      </c>
      <c r="K775" s="243">
        <f ca="1">OFFSET(card_type!$G$1,MATCH(Q775,card_type!A:A,0)-1,0)</f>
        <v>2</v>
      </c>
      <c r="L775" s="157">
        <v>1</v>
      </c>
      <c r="M775" s="157">
        <v>1</v>
      </c>
      <c r="N775" s="153">
        <f t="shared" si="133"/>
        <v>20</v>
      </c>
      <c r="O775" s="157"/>
      <c r="P775" s="157">
        <v>2000</v>
      </c>
      <c r="Q775" s="153">
        <f ca="1">OFFSET(card_type!$A$1,MATCH(card!B775,card_type!B:B,0)-1,0)</f>
        <v>1501</v>
      </c>
      <c r="R775" s="153">
        <v>1</v>
      </c>
      <c r="S775" s="157">
        <f ca="1">ROUND(IF(R775=0,0,IF(R775=1,X775*$S$1,IF(R775=2,X775*$S$1*buff的资质计算!$E$2,IF(R775=3,X775*$S$1*buff的资质计算!$E$3,0)))),0)*0</f>
        <v>0</v>
      </c>
      <c r="T775" s="153">
        <v>1</v>
      </c>
      <c r="U775" s="153">
        <f ca="1" t="shared" si="135"/>
        <v>52</v>
      </c>
      <c r="V775" s="153">
        <f ca="1">ROUND((OFFSET(卡牌辅助配置表!$O$1,MATCH(U775,卡牌辅助配置表!M:M,0)-1,0)+(N775-1)*OFFSET(卡牌辅助配置表!$P$1,MATCH(U775,卡牌辅助配置表!M:M,0)-1,0))*M775,2)</f>
        <v>39.27</v>
      </c>
      <c r="W775" s="157">
        <f ca="1">ROUND(IF(R775=0,0,IF(R775=1,X775*$W$1,IF(R775=2,X775*$W$1*buff的资质计算!$E$2,IF(R775=3,X775*$W$1*buff的资质计算!$E$3,0)))),2)</f>
        <v>13.35</v>
      </c>
      <c r="X775" s="157">
        <f ca="1" t="shared" si="130"/>
        <v>44.5</v>
      </c>
      <c r="Y775" s="157">
        <f ca="1" t="shared" si="131"/>
        <v>44.5</v>
      </c>
      <c r="Z775" s="304">
        <f ca="1" t="shared" si="132"/>
        <v>44.5</v>
      </c>
      <c r="AA775" s="304">
        <f ca="1">OFFSET(卡牌辅助配置表!$AD$1,MATCH(AB775,卡牌辅助配置表!AB:AB,0)-1,0)</f>
        <v>76680</v>
      </c>
      <c r="AB775" s="304">
        <f ca="1" t="shared" si="136"/>
        <v>5220</v>
      </c>
      <c r="AF775" s="153" t="str">
        <f ca="1" t="shared" si="128"/>
        <v>15010011|</v>
      </c>
      <c r="AJ775" s="205" t="str">
        <f ca="1" t="shared" si="137"/>
        <v>400023|10650|;</v>
      </c>
      <c r="AK775" s="205">
        <f ca="1">OFFSET([1]item_type!$A$1,MATCH(Q775,[1]item_type!$G:$G,0)-1,0)</f>
        <v>301501</v>
      </c>
      <c r="AL775" s="205"/>
      <c r="AM775" s="205">
        <f ca="1">IF(B775=B776,OFFSET(卡牌辅助配置表!$AE$1,MATCH(AB775,卡牌辅助配置表!AB:AB,0),0),0)</f>
        <v>10650</v>
      </c>
      <c r="AN775" s="153">
        <f ca="1" t="shared" si="138"/>
        <v>1501021</v>
      </c>
      <c r="AP775" s="153">
        <f ca="1">IF(AC775=0,0,IF(AC775=12,0,OFFSET(effect!$N$1,MATCH(K775,effect!M:M,0)-1,0)))</f>
        <v>0</v>
      </c>
    </row>
    <row r="776" spans="1:42">
      <c r="A776" s="153">
        <f ca="1" t="shared" si="134"/>
        <v>1501021</v>
      </c>
      <c r="B776" s="153" t="s">
        <v>691</v>
      </c>
      <c r="C776" s="186">
        <v>1</v>
      </c>
      <c r="D776" s="186">
        <v>6</v>
      </c>
      <c r="E776" s="165" t="s">
        <v>1050</v>
      </c>
      <c r="F776" s="165" t="str">
        <f>"增加"&amp;skill!$O$48/100&amp;"%对敌人伤害,对自己造成"&amp;P776/100&amp;"%伤害"</f>
        <v>增加50%对敌人伤害,对自己造成20%伤害</v>
      </c>
      <c r="G776" s="186">
        <f>卡牌辅助配置表!$C$15</f>
        <v>6</v>
      </c>
      <c r="H776" s="186">
        <f ca="1" t="shared" si="129"/>
        <v>0</v>
      </c>
      <c r="I776" s="186"/>
      <c r="J776" s="186">
        <f ca="1">OFFSET(card_type!$F$1,MATCH(Q776,card_type!A:A,0)-1,0)</f>
        <v>5</v>
      </c>
      <c r="K776" s="243">
        <f ca="1">OFFSET(card_type!$G$1,MATCH(Q776,card_type!A:A,0)-1,0)</f>
        <v>2</v>
      </c>
      <c r="L776" s="157">
        <v>1</v>
      </c>
      <c r="M776" s="157">
        <v>1</v>
      </c>
      <c r="N776" s="153">
        <f t="shared" si="133"/>
        <v>21</v>
      </c>
      <c r="O776" s="157"/>
      <c r="P776" s="157">
        <v>2000</v>
      </c>
      <c r="Q776" s="153">
        <f ca="1">OFFSET(card_type!$A$1,MATCH(card!B776,card_type!B:B,0)-1,0)</f>
        <v>1501</v>
      </c>
      <c r="R776" s="153">
        <v>1</v>
      </c>
      <c r="S776" s="157">
        <f ca="1">ROUND(IF(R776=0,0,IF(R776=1,X776*$S$1,IF(R776=2,X776*$S$1*buff的资质计算!$E$2,IF(R776=3,X776*$S$1*buff的资质计算!$E$3,0)))),0)*0</f>
        <v>0</v>
      </c>
      <c r="T776" s="153">
        <v>1</v>
      </c>
      <c r="U776" s="153">
        <f ca="1" t="shared" si="135"/>
        <v>52</v>
      </c>
      <c r="V776" s="153">
        <f ca="1">ROUND((OFFSET(卡牌辅助配置表!$O$1,MATCH(U776,卡牌辅助配置表!M:M,0)-1,0)+(N776-1)*OFFSET(卡牌辅助配置表!$P$1,MATCH(U776,卡牌辅助配置表!M:M,0)-1,0))*M776,2)</f>
        <v>39.27</v>
      </c>
      <c r="W776" s="157">
        <f ca="1">ROUND(IF(R776=0,0,IF(R776=1,X776*$W$1,IF(R776=2,X776*$W$1*buff的资质计算!$E$2,IF(R776=3,X776*$W$1*buff的资质计算!$E$3,0)))),2)</f>
        <v>13.5</v>
      </c>
      <c r="X776" s="157">
        <f ca="1" t="shared" si="130"/>
        <v>45</v>
      </c>
      <c r="Y776" s="157">
        <f ca="1" t="shared" si="131"/>
        <v>45</v>
      </c>
      <c r="Z776" s="304">
        <f ca="1" t="shared" si="132"/>
        <v>45</v>
      </c>
      <c r="AA776" s="304">
        <f ca="1">OFFSET(卡牌辅助配置表!$AD$1,MATCH(AB776,卡牌辅助配置表!AB:AB,0)-1,0)</f>
        <v>80514</v>
      </c>
      <c r="AB776" s="304">
        <f ca="1" t="shared" si="136"/>
        <v>5221</v>
      </c>
      <c r="AF776" s="153" t="str">
        <f ca="1" t="shared" si="128"/>
        <v>15010011|</v>
      </c>
      <c r="AJ776" s="205" t="str">
        <f ca="1" t="shared" si="137"/>
        <v>400023|11850|;</v>
      </c>
      <c r="AK776" s="205">
        <f ca="1">OFFSET([1]item_type!$A$1,MATCH(Q776,[1]item_type!$G:$G,0)-1,0)</f>
        <v>301501</v>
      </c>
      <c r="AL776" s="205"/>
      <c r="AM776" s="205">
        <f ca="1">IF(B776=B777,OFFSET(卡牌辅助配置表!$AE$1,MATCH(AB776,卡牌辅助配置表!AB:AB,0),0),0)</f>
        <v>11850</v>
      </c>
      <c r="AN776" s="153">
        <f ca="1" t="shared" si="138"/>
        <v>1501022</v>
      </c>
      <c r="AP776" s="153">
        <f ca="1">IF(AC776=0,0,IF(AC776=12,0,OFFSET(effect!$N$1,MATCH(K776,effect!M:M,0)-1,0)))</f>
        <v>0</v>
      </c>
    </row>
    <row r="777" spans="1:42">
      <c r="A777" s="153">
        <f ca="1" t="shared" si="134"/>
        <v>1501022</v>
      </c>
      <c r="B777" s="153" t="s">
        <v>691</v>
      </c>
      <c r="C777" s="186">
        <v>1</v>
      </c>
      <c r="D777" s="186">
        <v>6</v>
      </c>
      <c r="E777" s="165" t="s">
        <v>1050</v>
      </c>
      <c r="F777" s="165" t="str">
        <f>"增加"&amp;skill!$O$48/100&amp;"%对敌人伤害,对自己造成"&amp;P777/100&amp;"%伤害"</f>
        <v>增加50%对敌人伤害,对自己造成20%伤害</v>
      </c>
      <c r="G777" s="186">
        <f>卡牌辅助配置表!$C$15</f>
        <v>6</v>
      </c>
      <c r="H777" s="186">
        <f ca="1" t="shared" si="129"/>
        <v>0</v>
      </c>
      <c r="I777" s="186"/>
      <c r="J777" s="186">
        <f ca="1">OFFSET(card_type!$F$1,MATCH(Q777,card_type!A:A,0)-1,0)</f>
        <v>5</v>
      </c>
      <c r="K777" s="243">
        <f ca="1">OFFSET(card_type!$G$1,MATCH(Q777,card_type!A:A,0)-1,0)</f>
        <v>2</v>
      </c>
      <c r="L777" s="157">
        <v>1</v>
      </c>
      <c r="M777" s="157">
        <v>1</v>
      </c>
      <c r="N777" s="153">
        <f t="shared" si="133"/>
        <v>22</v>
      </c>
      <c r="O777" s="157"/>
      <c r="P777" s="157">
        <v>2000</v>
      </c>
      <c r="Q777" s="153">
        <f ca="1">OFFSET(card_type!$A$1,MATCH(card!B777,card_type!B:B,0)-1,0)</f>
        <v>1501</v>
      </c>
      <c r="R777" s="153">
        <v>1</v>
      </c>
      <c r="S777" s="157">
        <f ca="1">ROUND(IF(R777=0,0,IF(R777=1,X777*$S$1,IF(R777=2,X777*$S$1*buff的资质计算!$E$2,IF(R777=3,X777*$S$1*buff的资质计算!$E$3,0)))),0)*0</f>
        <v>0</v>
      </c>
      <c r="T777" s="153">
        <v>1</v>
      </c>
      <c r="U777" s="153">
        <f ca="1" t="shared" si="135"/>
        <v>52</v>
      </c>
      <c r="V777" s="153">
        <f ca="1">ROUND((OFFSET(卡牌辅助配置表!$O$1,MATCH(U777,卡牌辅助配置表!M:M,0)-1,0)+(N777-1)*OFFSET(卡牌辅助配置表!$P$1,MATCH(U777,卡牌辅助配置表!M:M,0)-1,0))*M777,2)</f>
        <v>39.27</v>
      </c>
      <c r="W777" s="157">
        <f ca="1">ROUND(IF(R777=0,0,IF(R777=1,X777*$W$1,IF(R777=2,X777*$W$1*buff的资质计算!$E$2,IF(R777=3,X777*$W$1*buff的资质计算!$E$3,0)))),2)</f>
        <v>13.65</v>
      </c>
      <c r="X777" s="157">
        <f ca="1" t="shared" si="130"/>
        <v>45.5</v>
      </c>
      <c r="Y777" s="157">
        <f ca="1" t="shared" si="131"/>
        <v>45.5</v>
      </c>
      <c r="Z777" s="304">
        <f ca="1" t="shared" si="132"/>
        <v>45.5</v>
      </c>
      <c r="AA777" s="304">
        <f ca="1">OFFSET(卡牌辅助配置表!$AD$1,MATCH(AB777,卡牌辅助配置表!AB:AB,0)-1,0)</f>
        <v>84348</v>
      </c>
      <c r="AB777" s="304">
        <f ca="1" t="shared" si="136"/>
        <v>5222</v>
      </c>
      <c r="AF777" s="153" t="str">
        <f ca="1" t="shared" si="128"/>
        <v>15010011|</v>
      </c>
      <c r="AJ777" s="205" t="str">
        <f ca="1" t="shared" si="137"/>
        <v>400023|13050|;</v>
      </c>
      <c r="AK777" s="205">
        <f ca="1">OFFSET([1]item_type!$A$1,MATCH(Q777,[1]item_type!$G:$G,0)-1,0)</f>
        <v>301501</v>
      </c>
      <c r="AL777" s="205"/>
      <c r="AM777" s="205">
        <f ca="1">IF(B777=B778,OFFSET(卡牌辅助配置表!$AE$1,MATCH(AB777,卡牌辅助配置表!AB:AB,0),0),0)</f>
        <v>13050</v>
      </c>
      <c r="AN777" s="153">
        <f ca="1" t="shared" si="138"/>
        <v>1501023</v>
      </c>
      <c r="AP777" s="153">
        <f ca="1">IF(AC777=0,0,IF(AC777=12,0,OFFSET(effect!$N$1,MATCH(K777,effect!M:M,0)-1,0)))</f>
        <v>0</v>
      </c>
    </row>
    <row r="778" spans="1:42">
      <c r="A778" s="153">
        <f ca="1" t="shared" si="134"/>
        <v>1501023</v>
      </c>
      <c r="B778" s="153" t="s">
        <v>691</v>
      </c>
      <c r="C778" s="186">
        <v>1</v>
      </c>
      <c r="D778" s="186">
        <v>6</v>
      </c>
      <c r="E778" s="165" t="s">
        <v>1050</v>
      </c>
      <c r="F778" s="165" t="str">
        <f>"增加"&amp;skill!$O$48/100&amp;"%对敌人伤害,对自己造成"&amp;P778/100&amp;"%伤害"</f>
        <v>增加50%对敌人伤害,对自己造成20%伤害</v>
      </c>
      <c r="G778" s="186">
        <f>卡牌辅助配置表!$C$15</f>
        <v>6</v>
      </c>
      <c r="H778" s="186">
        <f ca="1" t="shared" si="129"/>
        <v>0</v>
      </c>
      <c r="I778" s="186"/>
      <c r="J778" s="186">
        <f ca="1">OFFSET(card_type!$F$1,MATCH(Q778,card_type!A:A,0)-1,0)</f>
        <v>5</v>
      </c>
      <c r="K778" s="243">
        <f ca="1">OFFSET(card_type!$G$1,MATCH(Q778,card_type!A:A,0)-1,0)</f>
        <v>2</v>
      </c>
      <c r="L778" s="157">
        <v>1</v>
      </c>
      <c r="M778" s="157">
        <v>1</v>
      </c>
      <c r="N778" s="153">
        <f t="shared" si="133"/>
        <v>23</v>
      </c>
      <c r="O778" s="157"/>
      <c r="P778" s="157">
        <v>2000</v>
      </c>
      <c r="Q778" s="153">
        <f ca="1">OFFSET(card_type!$A$1,MATCH(card!B778,card_type!B:B,0)-1,0)</f>
        <v>1501</v>
      </c>
      <c r="R778" s="153">
        <v>1</v>
      </c>
      <c r="S778" s="157">
        <f ca="1">ROUND(IF(R778=0,0,IF(R778=1,X778*$S$1,IF(R778=2,X778*$S$1*buff的资质计算!$E$2,IF(R778=3,X778*$S$1*buff的资质计算!$E$3,0)))),0)*0</f>
        <v>0</v>
      </c>
      <c r="T778" s="153">
        <v>1</v>
      </c>
      <c r="U778" s="153">
        <f ca="1" t="shared" si="135"/>
        <v>52</v>
      </c>
      <c r="V778" s="153">
        <f ca="1">ROUND((OFFSET(卡牌辅助配置表!$O$1,MATCH(U778,卡牌辅助配置表!M:M,0)-1,0)+(N778-1)*OFFSET(卡牌辅助配置表!$P$1,MATCH(U778,卡牌辅助配置表!M:M,0)-1,0))*M778,2)</f>
        <v>39.27</v>
      </c>
      <c r="W778" s="157">
        <f ca="1">ROUND(IF(R778=0,0,IF(R778=1,X778*$W$1,IF(R778=2,X778*$W$1*buff的资质计算!$E$2,IF(R778=3,X778*$W$1*buff的资质计算!$E$3,0)))),2)</f>
        <v>13.8</v>
      </c>
      <c r="X778" s="157">
        <f ca="1" t="shared" si="130"/>
        <v>46</v>
      </c>
      <c r="Y778" s="157">
        <f ca="1" t="shared" si="131"/>
        <v>46</v>
      </c>
      <c r="Z778" s="304">
        <f ca="1" t="shared" si="132"/>
        <v>46</v>
      </c>
      <c r="AA778" s="304">
        <f ca="1">OFFSET(卡牌辅助配置表!$AD$1,MATCH(AB778,卡牌辅助配置表!AB:AB,0)-1,0)</f>
        <v>88182</v>
      </c>
      <c r="AB778" s="304">
        <f ca="1" t="shared" si="136"/>
        <v>5223</v>
      </c>
      <c r="AF778" s="153" t="str">
        <f ca="1" t="shared" si="128"/>
        <v>15010011|</v>
      </c>
      <c r="AJ778" s="205" t="str">
        <f ca="1" t="shared" si="137"/>
        <v>400023|14250|;</v>
      </c>
      <c r="AK778" s="205">
        <f ca="1">OFFSET([1]item_type!$A$1,MATCH(Q778,[1]item_type!$G:$G,0)-1,0)</f>
        <v>301501</v>
      </c>
      <c r="AL778" s="205"/>
      <c r="AM778" s="205">
        <f ca="1">IF(B778=B779,OFFSET(卡牌辅助配置表!$AE$1,MATCH(AB778,卡牌辅助配置表!AB:AB,0),0),0)</f>
        <v>14250</v>
      </c>
      <c r="AN778" s="153">
        <f ca="1" t="shared" si="138"/>
        <v>1501024</v>
      </c>
      <c r="AP778" s="153">
        <f ca="1">IF(AC778=0,0,IF(AC778=12,0,OFFSET(effect!$N$1,MATCH(K778,effect!M:M,0)-1,0)))</f>
        <v>0</v>
      </c>
    </row>
    <row r="779" spans="1:42">
      <c r="A779" s="153">
        <f ca="1" t="shared" si="134"/>
        <v>1501024</v>
      </c>
      <c r="B779" s="153" t="s">
        <v>691</v>
      </c>
      <c r="C779" s="186">
        <v>1</v>
      </c>
      <c r="D779" s="186">
        <v>6</v>
      </c>
      <c r="E779" s="165" t="s">
        <v>1050</v>
      </c>
      <c r="F779" s="165" t="str">
        <f>"增加"&amp;skill!$O$48/100&amp;"%对敌人伤害,对自己造成"&amp;P779/100&amp;"%伤害"</f>
        <v>增加50%对敌人伤害,对自己造成20%伤害</v>
      </c>
      <c r="G779" s="186">
        <f>卡牌辅助配置表!$C$15</f>
        <v>6</v>
      </c>
      <c r="H779" s="186">
        <f ca="1" t="shared" si="129"/>
        <v>0</v>
      </c>
      <c r="I779" s="186"/>
      <c r="J779" s="186">
        <f ca="1">OFFSET(card_type!$F$1,MATCH(Q779,card_type!A:A,0)-1,0)</f>
        <v>5</v>
      </c>
      <c r="K779" s="243">
        <f ca="1">OFFSET(card_type!$G$1,MATCH(Q779,card_type!A:A,0)-1,0)</f>
        <v>2</v>
      </c>
      <c r="L779" s="157">
        <v>1</v>
      </c>
      <c r="M779" s="157">
        <v>1</v>
      </c>
      <c r="N779" s="153">
        <f t="shared" si="133"/>
        <v>24</v>
      </c>
      <c r="O779" s="157"/>
      <c r="P779" s="157">
        <v>2000</v>
      </c>
      <c r="Q779" s="153">
        <f ca="1">OFFSET(card_type!$A$1,MATCH(card!B779,card_type!B:B,0)-1,0)</f>
        <v>1501</v>
      </c>
      <c r="R779" s="153">
        <v>1</v>
      </c>
      <c r="S779" s="157">
        <f ca="1">ROUND(IF(R779=0,0,IF(R779=1,X779*$S$1,IF(R779=2,X779*$S$1*buff的资质计算!$E$2,IF(R779=3,X779*$S$1*buff的资质计算!$E$3,0)))),0)*0</f>
        <v>0</v>
      </c>
      <c r="T779" s="153">
        <v>1</v>
      </c>
      <c r="U779" s="153">
        <f ca="1" t="shared" si="135"/>
        <v>52</v>
      </c>
      <c r="V779" s="153">
        <f ca="1">ROUND((OFFSET(卡牌辅助配置表!$O$1,MATCH(U779,卡牌辅助配置表!M:M,0)-1,0)+(N779-1)*OFFSET(卡牌辅助配置表!$P$1,MATCH(U779,卡牌辅助配置表!M:M,0)-1,0))*M779,2)</f>
        <v>39.27</v>
      </c>
      <c r="W779" s="157">
        <f ca="1">ROUND(IF(R779=0,0,IF(R779=1,X779*$W$1,IF(R779=2,X779*$W$1*buff的资质计算!$E$2,IF(R779=3,X779*$W$1*buff的资质计算!$E$3,0)))),2)</f>
        <v>13.95</v>
      </c>
      <c r="X779" s="157">
        <f ca="1" t="shared" si="130"/>
        <v>46.5</v>
      </c>
      <c r="Y779" s="157">
        <f ca="1" t="shared" si="131"/>
        <v>46.5</v>
      </c>
      <c r="Z779" s="304">
        <f ca="1" t="shared" si="132"/>
        <v>46.5</v>
      </c>
      <c r="AA779" s="304">
        <f ca="1">OFFSET(卡牌辅助配置表!$AD$1,MATCH(AB779,卡牌辅助配置表!AB:AB,0)-1,0)</f>
        <v>92016</v>
      </c>
      <c r="AB779" s="304">
        <f ca="1" t="shared" si="136"/>
        <v>5224</v>
      </c>
      <c r="AF779" s="153" t="str">
        <f ca="1" t="shared" si="128"/>
        <v>15010011|</v>
      </c>
      <c r="AJ779" s="205" t="str">
        <f ca="1" t="shared" si="137"/>
        <v>400023|15450|;</v>
      </c>
      <c r="AK779" s="205">
        <f ca="1">OFFSET([1]item_type!$A$1,MATCH(Q779,[1]item_type!$G:$G,0)-1,0)</f>
        <v>301501</v>
      </c>
      <c r="AL779" s="205"/>
      <c r="AM779" s="205">
        <f ca="1">IF(B779=B780,OFFSET(卡牌辅助配置表!$AE$1,MATCH(AB779,卡牌辅助配置表!AB:AB,0),0),0)</f>
        <v>15450</v>
      </c>
      <c r="AN779" s="153">
        <f ca="1" t="shared" si="138"/>
        <v>1501025</v>
      </c>
      <c r="AP779" s="153">
        <f ca="1">IF(AC779=0,0,IF(AC779=12,0,OFFSET(effect!$N$1,MATCH(K779,effect!M:M,0)-1,0)))</f>
        <v>0</v>
      </c>
    </row>
    <row r="780" spans="1:42">
      <c r="A780" s="153">
        <f ca="1" t="shared" si="134"/>
        <v>1501025</v>
      </c>
      <c r="B780" s="153" t="s">
        <v>691</v>
      </c>
      <c r="C780" s="186">
        <v>1</v>
      </c>
      <c r="D780" s="186">
        <v>6</v>
      </c>
      <c r="E780" s="165" t="s">
        <v>1050</v>
      </c>
      <c r="F780" s="165" t="str">
        <f>"增加"&amp;skill!$O$48/100&amp;"%对敌人伤害,对自己造成"&amp;P780/100&amp;"%伤害"</f>
        <v>增加50%对敌人伤害,对自己造成20%伤害</v>
      </c>
      <c r="G780" s="186">
        <f>卡牌辅助配置表!$C$15</f>
        <v>6</v>
      </c>
      <c r="H780" s="186">
        <f ca="1" t="shared" si="129"/>
        <v>0</v>
      </c>
      <c r="I780" s="186"/>
      <c r="J780" s="186">
        <f ca="1">OFFSET(card_type!$F$1,MATCH(Q780,card_type!A:A,0)-1,0)</f>
        <v>5</v>
      </c>
      <c r="K780" s="243">
        <f ca="1">OFFSET(card_type!$G$1,MATCH(Q780,card_type!A:A,0)-1,0)</f>
        <v>2</v>
      </c>
      <c r="L780" s="157">
        <v>1</v>
      </c>
      <c r="M780" s="157">
        <v>1</v>
      </c>
      <c r="N780" s="153">
        <f t="shared" si="133"/>
        <v>25</v>
      </c>
      <c r="O780" s="157"/>
      <c r="P780" s="157">
        <v>2000</v>
      </c>
      <c r="Q780" s="153">
        <f ca="1">OFFSET(card_type!$A$1,MATCH(card!B780,card_type!B:B,0)-1,0)</f>
        <v>1501</v>
      </c>
      <c r="R780" s="153">
        <v>1</v>
      </c>
      <c r="S780" s="157">
        <f ca="1">ROUND(IF(R780=0,0,IF(R780=1,X780*$S$1,IF(R780=2,X780*$S$1*buff的资质计算!$E$2,IF(R780=3,X780*$S$1*buff的资质计算!$E$3,0)))),0)*0</f>
        <v>0</v>
      </c>
      <c r="T780" s="153">
        <v>1</v>
      </c>
      <c r="U780" s="153">
        <f ca="1" t="shared" si="135"/>
        <v>52</v>
      </c>
      <c r="V780" s="153">
        <f ca="1">ROUND((OFFSET(卡牌辅助配置表!$O$1,MATCH(U780,卡牌辅助配置表!M:M,0)-1,0)+(N780-1)*OFFSET(卡牌辅助配置表!$P$1,MATCH(U780,卡牌辅助配置表!M:M,0)-1,0))*M780,2)</f>
        <v>39.27</v>
      </c>
      <c r="W780" s="157">
        <f ca="1">ROUND(IF(R780=0,0,IF(R780=1,X780*$W$1,IF(R780=2,X780*$W$1*buff的资质计算!$E$2,IF(R780=3,X780*$W$1*buff的资质计算!$E$3,0)))),2)</f>
        <v>14.1</v>
      </c>
      <c r="X780" s="157">
        <f ca="1" t="shared" si="130"/>
        <v>47</v>
      </c>
      <c r="Y780" s="157">
        <f ca="1" t="shared" si="131"/>
        <v>47</v>
      </c>
      <c r="Z780" s="304">
        <f ca="1" t="shared" si="132"/>
        <v>47</v>
      </c>
      <c r="AA780" s="304">
        <f ca="1">OFFSET(卡牌辅助配置表!$AD$1,MATCH(AB780,卡牌辅助配置表!AB:AB,0)-1,0)</f>
        <v>95850</v>
      </c>
      <c r="AB780" s="304">
        <f ca="1" t="shared" si="136"/>
        <v>5225</v>
      </c>
      <c r="AF780" s="153" t="str">
        <f ca="1" t="shared" si="128"/>
        <v>15010011|</v>
      </c>
      <c r="AJ780" s="205" t="str">
        <f ca="1" t="shared" si="137"/>
        <v>400023|16650|;</v>
      </c>
      <c r="AK780" s="205">
        <f ca="1">OFFSET([1]item_type!$A$1,MATCH(Q780,[1]item_type!$G:$G,0)-1,0)</f>
        <v>301501</v>
      </c>
      <c r="AL780" s="205"/>
      <c r="AM780" s="205">
        <f ca="1">IF(B780=B781,OFFSET(卡牌辅助配置表!$AE$1,MATCH(AB780,卡牌辅助配置表!AB:AB,0),0),0)</f>
        <v>16650</v>
      </c>
      <c r="AN780" s="153">
        <f ca="1" t="shared" si="138"/>
        <v>1501026</v>
      </c>
      <c r="AP780" s="153">
        <f ca="1">IF(AC780=0,0,IF(AC780=12,0,OFFSET(effect!$N$1,MATCH(K780,effect!M:M,0)-1,0)))</f>
        <v>0</v>
      </c>
    </row>
    <row r="781" spans="1:42">
      <c r="A781" s="153">
        <f ca="1" t="shared" si="134"/>
        <v>1501026</v>
      </c>
      <c r="B781" s="153" t="s">
        <v>691</v>
      </c>
      <c r="C781" s="186">
        <v>1</v>
      </c>
      <c r="D781" s="186">
        <v>6</v>
      </c>
      <c r="E781" s="165" t="s">
        <v>1050</v>
      </c>
      <c r="F781" s="165" t="str">
        <f>"增加"&amp;skill!$O$48/100&amp;"%对敌人伤害,对自己造成"&amp;P781/100&amp;"%伤害"</f>
        <v>增加50%对敌人伤害,对自己造成20%伤害</v>
      </c>
      <c r="G781" s="186">
        <f>卡牌辅助配置表!$C$15</f>
        <v>6</v>
      </c>
      <c r="H781" s="186">
        <f ca="1" t="shared" si="129"/>
        <v>0</v>
      </c>
      <c r="I781" s="186"/>
      <c r="J781" s="186">
        <f ca="1">OFFSET(card_type!$F$1,MATCH(Q781,card_type!A:A,0)-1,0)</f>
        <v>5</v>
      </c>
      <c r="K781" s="243">
        <f ca="1">OFFSET(card_type!$G$1,MATCH(Q781,card_type!A:A,0)-1,0)</f>
        <v>2</v>
      </c>
      <c r="L781" s="157">
        <v>1</v>
      </c>
      <c r="M781" s="157">
        <v>1</v>
      </c>
      <c r="N781" s="153">
        <f t="shared" si="133"/>
        <v>26</v>
      </c>
      <c r="O781" s="157"/>
      <c r="P781" s="157">
        <v>2000</v>
      </c>
      <c r="Q781" s="153">
        <f ca="1">OFFSET(card_type!$A$1,MATCH(card!B781,card_type!B:B,0)-1,0)</f>
        <v>1501</v>
      </c>
      <c r="R781" s="153">
        <v>1</v>
      </c>
      <c r="S781" s="157">
        <f ca="1">ROUND(IF(R781=0,0,IF(R781=1,X781*$S$1,IF(R781=2,X781*$S$1*buff的资质计算!$E$2,IF(R781=3,X781*$S$1*buff的资质计算!$E$3,0)))),0)*0</f>
        <v>0</v>
      </c>
      <c r="T781" s="153">
        <v>1</v>
      </c>
      <c r="U781" s="153">
        <f ca="1" t="shared" si="135"/>
        <v>52</v>
      </c>
      <c r="V781" s="153">
        <f ca="1">ROUND((OFFSET(卡牌辅助配置表!$O$1,MATCH(U781,卡牌辅助配置表!M:M,0)-1,0)+(N781-1)*OFFSET(卡牌辅助配置表!$P$1,MATCH(U781,卡牌辅助配置表!M:M,0)-1,0))*M781,2)</f>
        <v>39.27</v>
      </c>
      <c r="W781" s="157">
        <f ca="1">ROUND(IF(R781=0,0,IF(R781=1,X781*$W$1,IF(R781=2,X781*$W$1*buff的资质计算!$E$2,IF(R781=3,X781*$W$1*buff的资质计算!$E$3,0)))),2)</f>
        <v>14.25</v>
      </c>
      <c r="X781" s="157">
        <f ca="1" t="shared" si="130"/>
        <v>47.5</v>
      </c>
      <c r="Y781" s="157">
        <f ca="1" t="shared" si="131"/>
        <v>47.5</v>
      </c>
      <c r="Z781" s="304">
        <f ca="1" t="shared" si="132"/>
        <v>47.5</v>
      </c>
      <c r="AA781" s="304">
        <f ca="1">OFFSET(卡牌辅助配置表!$AD$1,MATCH(AB781,卡牌辅助配置表!AB:AB,0)-1,0)</f>
        <v>99684</v>
      </c>
      <c r="AB781" s="304">
        <f ca="1" t="shared" si="136"/>
        <v>5226</v>
      </c>
      <c r="AF781" s="153" t="str">
        <f ca="1" t="shared" si="128"/>
        <v>15010011|</v>
      </c>
      <c r="AJ781" s="205" t="str">
        <f ca="1" t="shared" si="137"/>
        <v>400023|17850|;</v>
      </c>
      <c r="AK781" s="205">
        <f ca="1">OFFSET([1]item_type!$A$1,MATCH(Q781,[1]item_type!$G:$G,0)-1,0)</f>
        <v>301501</v>
      </c>
      <c r="AL781" s="205"/>
      <c r="AM781" s="205">
        <f ca="1">IF(B781=B782,OFFSET(卡牌辅助配置表!$AE$1,MATCH(AB781,卡牌辅助配置表!AB:AB,0),0),0)</f>
        <v>17850</v>
      </c>
      <c r="AN781" s="153">
        <f ca="1" t="shared" si="138"/>
        <v>1501027</v>
      </c>
      <c r="AP781" s="153">
        <f ca="1">IF(AC781=0,0,IF(AC781=12,0,OFFSET(effect!$N$1,MATCH(K781,effect!M:M,0)-1,0)))</f>
        <v>0</v>
      </c>
    </row>
    <row r="782" spans="1:42">
      <c r="A782" s="153">
        <f ca="1" t="shared" si="134"/>
        <v>1501027</v>
      </c>
      <c r="B782" s="153" t="s">
        <v>691</v>
      </c>
      <c r="C782" s="186">
        <v>1</v>
      </c>
      <c r="D782" s="186">
        <v>6</v>
      </c>
      <c r="E782" s="165" t="s">
        <v>1050</v>
      </c>
      <c r="F782" s="165" t="str">
        <f>"增加"&amp;skill!$O$48/100&amp;"%对敌人伤害,对自己造成"&amp;P782/100&amp;"%伤害"</f>
        <v>增加50%对敌人伤害,对自己造成20%伤害</v>
      </c>
      <c r="G782" s="186">
        <f>卡牌辅助配置表!$C$15</f>
        <v>6</v>
      </c>
      <c r="H782" s="186">
        <f ca="1" t="shared" si="129"/>
        <v>0</v>
      </c>
      <c r="I782" s="186"/>
      <c r="J782" s="186">
        <f ca="1">OFFSET(card_type!$F$1,MATCH(Q782,card_type!A:A,0)-1,0)</f>
        <v>5</v>
      </c>
      <c r="K782" s="243">
        <f ca="1">OFFSET(card_type!$G$1,MATCH(Q782,card_type!A:A,0)-1,0)</f>
        <v>2</v>
      </c>
      <c r="L782" s="157">
        <v>1</v>
      </c>
      <c r="M782" s="157">
        <v>1</v>
      </c>
      <c r="N782" s="153">
        <f t="shared" si="133"/>
        <v>27</v>
      </c>
      <c r="O782" s="157"/>
      <c r="P782" s="157">
        <v>2000</v>
      </c>
      <c r="Q782" s="153">
        <f ca="1">OFFSET(card_type!$A$1,MATCH(card!B782,card_type!B:B,0)-1,0)</f>
        <v>1501</v>
      </c>
      <c r="R782" s="153">
        <v>1</v>
      </c>
      <c r="S782" s="157">
        <f ca="1">ROUND(IF(R782=0,0,IF(R782=1,X782*$S$1,IF(R782=2,X782*$S$1*buff的资质计算!$E$2,IF(R782=3,X782*$S$1*buff的资质计算!$E$3,0)))),0)*0</f>
        <v>0</v>
      </c>
      <c r="T782" s="153">
        <v>1</v>
      </c>
      <c r="U782" s="153">
        <f ca="1" t="shared" si="135"/>
        <v>52</v>
      </c>
      <c r="V782" s="153">
        <f ca="1">ROUND((OFFSET(卡牌辅助配置表!$O$1,MATCH(U782,卡牌辅助配置表!M:M,0)-1,0)+(N782-1)*OFFSET(卡牌辅助配置表!$P$1,MATCH(U782,卡牌辅助配置表!M:M,0)-1,0))*M782,2)</f>
        <v>39.27</v>
      </c>
      <c r="W782" s="157">
        <f ca="1">ROUND(IF(R782=0,0,IF(R782=1,X782*$W$1,IF(R782=2,X782*$W$1*buff的资质计算!$E$2,IF(R782=3,X782*$W$1*buff的资质计算!$E$3,0)))),2)</f>
        <v>14.4</v>
      </c>
      <c r="X782" s="157">
        <f ca="1" t="shared" si="130"/>
        <v>48</v>
      </c>
      <c r="Y782" s="157">
        <f ca="1" t="shared" si="131"/>
        <v>48</v>
      </c>
      <c r="Z782" s="304">
        <f ca="1" t="shared" si="132"/>
        <v>48</v>
      </c>
      <c r="AA782" s="304">
        <f ca="1">OFFSET(卡牌辅助配置表!$AD$1,MATCH(AB782,卡牌辅助配置表!AB:AB,0)-1,0)</f>
        <v>103518</v>
      </c>
      <c r="AB782" s="304">
        <f ca="1" t="shared" si="136"/>
        <v>5227</v>
      </c>
      <c r="AF782" s="153" t="str">
        <f ca="1" t="shared" si="128"/>
        <v>15010011|</v>
      </c>
      <c r="AJ782" s="205" t="str">
        <f ca="1" t="shared" si="137"/>
        <v>400023|19050|;</v>
      </c>
      <c r="AK782" s="205">
        <f ca="1">OFFSET([1]item_type!$A$1,MATCH(Q782,[1]item_type!$G:$G,0)-1,0)</f>
        <v>301501</v>
      </c>
      <c r="AL782" s="205"/>
      <c r="AM782" s="205">
        <f ca="1">IF(B782=B783,OFFSET(卡牌辅助配置表!$AE$1,MATCH(AB782,卡牌辅助配置表!AB:AB,0),0),0)</f>
        <v>19050</v>
      </c>
      <c r="AN782" s="153">
        <f ca="1" t="shared" si="138"/>
        <v>1501028</v>
      </c>
      <c r="AP782" s="153">
        <f ca="1">IF(AC782=0,0,IF(AC782=12,0,OFFSET(effect!$N$1,MATCH(K782,effect!M:M,0)-1,0)))</f>
        <v>0</v>
      </c>
    </row>
    <row r="783" spans="1:42">
      <c r="A783" s="153">
        <f ca="1" t="shared" si="134"/>
        <v>1501028</v>
      </c>
      <c r="B783" s="153" t="s">
        <v>691</v>
      </c>
      <c r="C783" s="186">
        <v>1</v>
      </c>
      <c r="D783" s="186">
        <v>6</v>
      </c>
      <c r="E783" s="165" t="s">
        <v>1050</v>
      </c>
      <c r="F783" s="165" t="str">
        <f>"增加"&amp;skill!$O$48/100&amp;"%对敌人伤害,对自己造成"&amp;P783/100&amp;"%伤害"</f>
        <v>增加50%对敌人伤害,对自己造成20%伤害</v>
      </c>
      <c r="G783" s="186">
        <f>卡牌辅助配置表!$C$15</f>
        <v>6</v>
      </c>
      <c r="H783" s="186">
        <f ca="1" t="shared" si="129"/>
        <v>0</v>
      </c>
      <c r="I783" s="186"/>
      <c r="J783" s="186">
        <f ca="1">OFFSET(card_type!$F$1,MATCH(Q783,card_type!A:A,0)-1,0)</f>
        <v>5</v>
      </c>
      <c r="K783" s="243">
        <f ca="1">OFFSET(card_type!$G$1,MATCH(Q783,card_type!A:A,0)-1,0)</f>
        <v>2</v>
      </c>
      <c r="L783" s="157">
        <v>1</v>
      </c>
      <c r="M783" s="157">
        <v>1</v>
      </c>
      <c r="N783" s="153">
        <f t="shared" si="133"/>
        <v>28</v>
      </c>
      <c r="O783" s="157"/>
      <c r="P783" s="157">
        <v>2000</v>
      </c>
      <c r="Q783" s="153">
        <f ca="1">OFFSET(card_type!$A$1,MATCH(card!B783,card_type!B:B,0)-1,0)</f>
        <v>1501</v>
      </c>
      <c r="R783" s="153">
        <v>1</v>
      </c>
      <c r="S783" s="157">
        <f ca="1">ROUND(IF(R783=0,0,IF(R783=1,X783*$S$1,IF(R783=2,X783*$S$1*buff的资质计算!$E$2,IF(R783=3,X783*$S$1*buff的资质计算!$E$3,0)))),0)*0</f>
        <v>0</v>
      </c>
      <c r="T783" s="153">
        <v>1</v>
      </c>
      <c r="U783" s="153">
        <f ca="1" t="shared" si="135"/>
        <v>52</v>
      </c>
      <c r="V783" s="153">
        <f ca="1">ROUND((OFFSET(卡牌辅助配置表!$O$1,MATCH(U783,卡牌辅助配置表!M:M,0)-1,0)+(N783-1)*OFFSET(卡牌辅助配置表!$P$1,MATCH(U783,卡牌辅助配置表!M:M,0)-1,0))*M783,2)</f>
        <v>39.27</v>
      </c>
      <c r="W783" s="157">
        <f ca="1">ROUND(IF(R783=0,0,IF(R783=1,X783*$W$1,IF(R783=2,X783*$W$1*buff的资质计算!$E$2,IF(R783=3,X783*$W$1*buff的资质计算!$E$3,0)))),2)</f>
        <v>14.55</v>
      </c>
      <c r="X783" s="157">
        <f ca="1" t="shared" si="130"/>
        <v>48.5</v>
      </c>
      <c r="Y783" s="157">
        <f ca="1" t="shared" si="131"/>
        <v>48.5</v>
      </c>
      <c r="Z783" s="304">
        <f ca="1" t="shared" si="132"/>
        <v>48.5</v>
      </c>
      <c r="AA783" s="304">
        <f ca="1">OFFSET(卡牌辅助配置表!$AD$1,MATCH(AB783,卡牌辅助配置表!AB:AB,0)-1,0)</f>
        <v>107352</v>
      </c>
      <c r="AB783" s="304">
        <f ca="1" t="shared" si="136"/>
        <v>5228</v>
      </c>
      <c r="AF783" s="153" t="str">
        <f ca="1" t="shared" si="128"/>
        <v>15010011|</v>
      </c>
      <c r="AJ783" s="205" t="str">
        <f ca="1" t="shared" si="137"/>
        <v>400023|20250|;</v>
      </c>
      <c r="AK783" s="205">
        <f ca="1">OFFSET([1]item_type!$A$1,MATCH(Q783,[1]item_type!$G:$G,0)-1,0)</f>
        <v>301501</v>
      </c>
      <c r="AL783" s="205"/>
      <c r="AM783" s="205">
        <f ca="1">IF(B783=B784,OFFSET(卡牌辅助配置表!$AE$1,MATCH(AB783,卡牌辅助配置表!AB:AB,0),0),0)</f>
        <v>20250</v>
      </c>
      <c r="AN783" s="153">
        <f ca="1" t="shared" si="138"/>
        <v>1501029</v>
      </c>
      <c r="AP783" s="153">
        <f ca="1">IF(AC783=0,0,IF(AC783=12,0,OFFSET(effect!$N$1,MATCH(K783,effect!M:M,0)-1,0)))</f>
        <v>0</v>
      </c>
    </row>
    <row r="784" spans="1:42">
      <c r="A784" s="153">
        <f ca="1" t="shared" si="134"/>
        <v>1501029</v>
      </c>
      <c r="B784" s="153" t="s">
        <v>691</v>
      </c>
      <c r="C784" s="186">
        <v>1</v>
      </c>
      <c r="D784" s="186">
        <v>6</v>
      </c>
      <c r="E784" s="165" t="s">
        <v>1050</v>
      </c>
      <c r="F784" s="165" t="str">
        <f>"增加"&amp;skill!$O$48/100&amp;"%对敌人伤害,对自己造成"&amp;P784/100&amp;"%伤害"</f>
        <v>增加50%对敌人伤害,对自己造成20%伤害</v>
      </c>
      <c r="G784" s="186">
        <f>卡牌辅助配置表!$C$15</f>
        <v>6</v>
      </c>
      <c r="H784" s="186">
        <f ca="1" t="shared" si="129"/>
        <v>0</v>
      </c>
      <c r="I784" s="186"/>
      <c r="J784" s="186">
        <f ca="1">OFFSET(card_type!$F$1,MATCH(Q784,card_type!A:A,0)-1,0)</f>
        <v>5</v>
      </c>
      <c r="K784" s="243">
        <f ca="1">OFFSET(card_type!$G$1,MATCH(Q784,card_type!A:A,0)-1,0)</f>
        <v>2</v>
      </c>
      <c r="L784" s="157">
        <v>1</v>
      </c>
      <c r="M784" s="157">
        <v>1</v>
      </c>
      <c r="N784" s="153">
        <f t="shared" si="133"/>
        <v>29</v>
      </c>
      <c r="O784" s="157"/>
      <c r="P784" s="157">
        <v>2000</v>
      </c>
      <c r="Q784" s="153">
        <f ca="1">OFFSET(card_type!$A$1,MATCH(card!B784,card_type!B:B,0)-1,0)</f>
        <v>1501</v>
      </c>
      <c r="R784" s="153">
        <v>1</v>
      </c>
      <c r="S784" s="157">
        <f ca="1">ROUND(IF(R784=0,0,IF(R784=1,X784*$S$1,IF(R784=2,X784*$S$1*buff的资质计算!$E$2,IF(R784=3,X784*$S$1*buff的资质计算!$E$3,0)))),0)*0</f>
        <v>0</v>
      </c>
      <c r="T784" s="153">
        <v>1</v>
      </c>
      <c r="U784" s="153">
        <f ca="1" t="shared" si="135"/>
        <v>52</v>
      </c>
      <c r="V784" s="153">
        <f ca="1">ROUND((OFFSET(卡牌辅助配置表!$O$1,MATCH(U784,卡牌辅助配置表!M:M,0)-1,0)+(N784-1)*OFFSET(卡牌辅助配置表!$P$1,MATCH(U784,卡牌辅助配置表!M:M,0)-1,0))*M784,2)</f>
        <v>39.27</v>
      </c>
      <c r="W784" s="157">
        <f ca="1">ROUND(IF(R784=0,0,IF(R784=1,X784*$W$1,IF(R784=2,X784*$W$1*buff的资质计算!$E$2,IF(R784=3,X784*$W$1*buff的资质计算!$E$3,0)))),2)</f>
        <v>14.7</v>
      </c>
      <c r="X784" s="157">
        <f ca="1" t="shared" si="130"/>
        <v>49</v>
      </c>
      <c r="Y784" s="157">
        <f ca="1" t="shared" si="131"/>
        <v>49</v>
      </c>
      <c r="Z784" s="304">
        <f ca="1" t="shared" si="132"/>
        <v>49</v>
      </c>
      <c r="AA784" s="304">
        <f ca="1">OFFSET(卡牌辅助配置表!$AD$1,MATCH(AB784,卡牌辅助配置表!AB:AB,0)-1,0)</f>
        <v>111186</v>
      </c>
      <c r="AB784" s="304">
        <f ca="1" t="shared" si="136"/>
        <v>5229</v>
      </c>
      <c r="AF784" s="153" t="str">
        <f ca="1" t="shared" ref="AF784:AF847" si="139">((Q784*1000+1)*10+1)&amp;$AF$1</f>
        <v>15010011|</v>
      </c>
      <c r="AJ784" s="205" t="str">
        <f ca="1" t="shared" si="137"/>
        <v>301501|30|;400023|21450|;</v>
      </c>
      <c r="AK784" s="205">
        <f ca="1">OFFSET([1]item_type!$A$1,MATCH(Q784,[1]item_type!$G:$G,0)-1,0)</f>
        <v>301501</v>
      </c>
      <c r="AL784" s="205">
        <v>30</v>
      </c>
      <c r="AM784" s="205">
        <f ca="1">IF(B784=B785,OFFSET(卡牌辅助配置表!$AE$1,MATCH(AB784,卡牌辅助配置表!AB:AB,0),0),0)</f>
        <v>21450</v>
      </c>
      <c r="AN784" s="153">
        <f ca="1" t="shared" si="138"/>
        <v>1501030</v>
      </c>
      <c r="AP784" s="153">
        <f ca="1">IF(AC784=0,0,IF(AC784=12,0,OFFSET(effect!$N$1,MATCH(K784,effect!M:M,0)-1,0)))</f>
        <v>0</v>
      </c>
    </row>
    <row r="785" spans="1:42">
      <c r="A785" s="153">
        <f ca="1" t="shared" si="134"/>
        <v>1501030</v>
      </c>
      <c r="B785" s="153" t="s">
        <v>691</v>
      </c>
      <c r="C785" s="186">
        <v>1</v>
      </c>
      <c r="D785" s="186">
        <v>6</v>
      </c>
      <c r="E785" s="165" t="s">
        <v>1050</v>
      </c>
      <c r="F785" s="165" t="str">
        <f>"增加"&amp;skill!$O$48/100&amp;"%对敌人伤害,对自己造成"&amp;P785/100&amp;"%伤害"</f>
        <v>增加50%对敌人伤害,对自己造成20%伤害</v>
      </c>
      <c r="G785" s="186">
        <f>卡牌辅助配置表!$C$15</f>
        <v>6</v>
      </c>
      <c r="H785" s="186">
        <f ca="1" t="shared" si="129"/>
        <v>0</v>
      </c>
      <c r="I785" s="186"/>
      <c r="J785" s="186">
        <f ca="1">OFFSET(card_type!$F$1,MATCH(Q785,card_type!A:A,0)-1,0)</f>
        <v>5</v>
      </c>
      <c r="K785" s="243">
        <f ca="1">OFFSET(card_type!$G$1,MATCH(Q785,card_type!A:A,0)-1,0)</f>
        <v>2</v>
      </c>
      <c r="L785" s="157">
        <v>1</v>
      </c>
      <c r="M785" s="157">
        <v>1</v>
      </c>
      <c r="N785" s="153">
        <f t="shared" si="133"/>
        <v>30</v>
      </c>
      <c r="O785" s="157"/>
      <c r="P785" s="157">
        <v>2000</v>
      </c>
      <c r="Q785" s="153">
        <f ca="1">OFFSET(card_type!$A$1,MATCH(card!B785,card_type!B:B,0)-1,0)</f>
        <v>1501</v>
      </c>
      <c r="R785" s="153">
        <v>1</v>
      </c>
      <c r="S785" s="157">
        <f ca="1">ROUND(IF(R785=0,0,IF(R785=1,X785*$S$1,IF(R785=2,X785*$S$1*buff的资质计算!$E$2,IF(R785=3,X785*$S$1*buff的资质计算!$E$3,0)))),0)*0</f>
        <v>0</v>
      </c>
      <c r="T785" s="153">
        <v>1</v>
      </c>
      <c r="U785" s="153">
        <f ca="1" t="shared" si="135"/>
        <v>52</v>
      </c>
      <c r="V785" s="153">
        <f ca="1">ROUND((OFFSET(卡牌辅助配置表!$O$1,MATCH(U785,卡牌辅助配置表!M:M,0)-1,0)+(N785-1)*OFFSET(卡牌辅助配置表!$P$1,MATCH(U785,卡牌辅助配置表!M:M,0)-1,0))*M785,2)</f>
        <v>39.27</v>
      </c>
      <c r="W785" s="157">
        <f ca="1">ROUND(IF(R785=0,0,IF(R785=1,X785*$W$1,IF(R785=2,X785*$W$1*buff的资质计算!$E$2,IF(R785=3,X785*$W$1*buff的资质计算!$E$3,0)))),2)</f>
        <v>14.85</v>
      </c>
      <c r="X785" s="157">
        <f ca="1" t="shared" si="130"/>
        <v>49.5</v>
      </c>
      <c r="Y785" s="157">
        <f ca="1" t="shared" si="131"/>
        <v>49.5</v>
      </c>
      <c r="Z785" s="304">
        <f ca="1" t="shared" si="132"/>
        <v>49.5</v>
      </c>
      <c r="AA785" s="304">
        <f ca="1">OFFSET(卡牌辅助配置表!$AD$1,MATCH(AB785,卡牌辅助配置表!AB:AB,0)-1,0)</f>
        <v>115020</v>
      </c>
      <c r="AB785" s="304">
        <f ca="1" t="shared" si="136"/>
        <v>5230</v>
      </c>
      <c r="AF785" s="153" t="str">
        <f ca="1" t="shared" si="139"/>
        <v>15010011|</v>
      </c>
      <c r="AJ785" s="205">
        <f ca="1" t="shared" si="137"/>
        <v>0</v>
      </c>
      <c r="AK785" s="205">
        <f ca="1">OFFSET([1]item_type!$A$1,MATCH(Q785,[1]item_type!$G:$G,0)-1,0)</f>
        <v>301501</v>
      </c>
      <c r="AL785" s="205"/>
      <c r="AM785" s="205">
        <f ca="1">IF(B785=B786,OFFSET(卡牌辅助配置表!$AE$1,MATCH(AB785,卡牌辅助配置表!AB:AB,0),0),0)</f>
        <v>0</v>
      </c>
      <c r="AN785" s="153">
        <f ca="1" t="shared" si="138"/>
        <v>0</v>
      </c>
      <c r="AP785" s="153">
        <f ca="1">IF(AC785=0,0,IF(AC785=12,0,OFFSET(effect!$N$1,MATCH(K785,effect!M:M,0)-1,0)))</f>
        <v>0</v>
      </c>
    </row>
    <row r="786" spans="1:42">
      <c r="A786" s="153">
        <f ca="1" t="shared" si="134"/>
        <v>1604001</v>
      </c>
      <c r="B786" s="300" t="s">
        <v>719</v>
      </c>
      <c r="C786" s="186">
        <v>1</v>
      </c>
      <c r="D786" s="186">
        <v>5</v>
      </c>
      <c r="E786" s="165"/>
      <c r="F786" s="187" t="s">
        <v>1057</v>
      </c>
      <c r="G786" s="186">
        <f ca="1">OFFSET(卡牌辅助配置表!$C$1,MATCH(AC786,卡牌辅助配置表!A:A,0)-1,0)</f>
        <v>0</v>
      </c>
      <c r="H786" s="186" t="e">
        <f ca="1">OFFSET(skill!$Q$1,MATCH(B786,skill!B:B,0)-1,0)</f>
        <v>#VALUE!</v>
      </c>
      <c r="I786" s="186"/>
      <c r="J786" s="186">
        <f ca="1">OFFSET(card_type!$F$1,MATCH(Q786,card_type!A:A,0)-1,0)</f>
        <v>6</v>
      </c>
      <c r="K786" s="243">
        <f ca="1">OFFSET(card_type!$G$1,MATCH(Q786,card_type!A:A,0)-1,0)</f>
        <v>4</v>
      </c>
      <c r="L786" s="157">
        <v>3</v>
      </c>
      <c r="M786" s="157">
        <v>3</v>
      </c>
      <c r="N786" s="153">
        <f t="shared" si="133"/>
        <v>1</v>
      </c>
      <c r="O786" s="157"/>
      <c r="P786" s="157"/>
      <c r="Q786" s="153">
        <f ca="1">OFFSET(card_type!$A$1,MATCH(card!B786,card_type!B:B,0)-1,0)</f>
        <v>1604</v>
      </c>
      <c r="R786" s="153">
        <v>0</v>
      </c>
      <c r="S786" s="157">
        <f ca="1">ROUND(IF(R786=0,0,IF(R786=1,X786*$S$1,IF(R786=2,X786*$S$1*buff的资质计算!$E$2,IF(R786=3,X786*$S$1*buff的资质计算!$E$3,0)))),0)*0</f>
        <v>0</v>
      </c>
      <c r="T786" s="153">
        <v>2</v>
      </c>
      <c r="U786" s="153">
        <f ca="1" t="shared" si="135"/>
        <v>64</v>
      </c>
      <c r="V786" s="153">
        <f ca="1">ROUND((OFFSET(卡牌辅助配置表!$O$1,MATCH(U786,卡牌辅助配置表!M:M,0)-1,0)+(N786-1)*OFFSET(卡牌辅助配置表!$P$1,MATCH(U786,卡牌辅助配置表!M:M,0)-1,0))*M786,2)</f>
        <v>516.24</v>
      </c>
      <c r="W786" s="157">
        <f ca="1">ROUND(IF(R786=0,0,IF(R786=1,X786*$W$1,IF(R786=2,X786*$W$1*buff的资质计算!$E$2,IF(R786=3,X786*$W$1*buff的资质计算!$E$3,0)))),2)</f>
        <v>0</v>
      </c>
      <c r="X786" s="157">
        <f ca="1" t="shared" si="130"/>
        <v>126</v>
      </c>
      <c r="Y786" s="157" t="e">
        <f ca="1">IF(R786=0,H786,X786+H786)</f>
        <v>#VALUE!</v>
      </c>
      <c r="Z786" s="304" t="e">
        <f ca="1" t="shared" si="132"/>
        <v>#VALUE!</v>
      </c>
      <c r="AA786" s="304">
        <f ca="1">OFFSET(卡牌辅助配置表!$AD$1,MATCH(AB786,卡牌辅助配置表!AB:AB,0)-1,0)</f>
        <v>3834</v>
      </c>
      <c r="AB786" s="304">
        <f ca="1" t="shared" si="136"/>
        <v>6401</v>
      </c>
      <c r="AC786" s="153">
        <v>12</v>
      </c>
      <c r="AF786" s="153" t="str">
        <f ca="1" t="shared" si="139"/>
        <v>16040011|</v>
      </c>
      <c r="AJ786" s="205">
        <f ca="1" t="shared" si="137"/>
        <v>0</v>
      </c>
      <c r="AK786" s="205">
        <f ca="1">OFFSET([1]item_type!$A$1,MATCH(Q786,[1]item_type!$G:$G,0)-1,0)</f>
        <v>301604</v>
      </c>
      <c r="AM786" s="205">
        <f ca="1">IF(B786=B787,OFFSET(卡牌辅助配置表!$AE$1,MATCH(AB786,卡牌辅助配置表!AB:AB,0),0),0)</f>
        <v>0</v>
      </c>
      <c r="AN786" s="153">
        <f ca="1" t="shared" si="138"/>
        <v>0</v>
      </c>
      <c r="AP786" s="153">
        <f ca="1">IF(AC786=0,0,IF(AC786=12,0,OFFSET(effect!$N$1,MATCH(K786,effect!M:M,0)-1,0)))</f>
        <v>0</v>
      </c>
    </row>
    <row r="787" spans="1:42">
      <c r="A787" s="153">
        <f ca="1" t="shared" si="134"/>
        <v>1505001</v>
      </c>
      <c r="B787" s="300" t="s">
        <v>705</v>
      </c>
      <c r="C787" s="186">
        <v>1</v>
      </c>
      <c r="D787" s="186">
        <v>6</v>
      </c>
      <c r="E787" s="165" t="s">
        <v>1050</v>
      </c>
      <c r="F787" s="165" t="str">
        <f>"额外造成当前护甲"&amp;skill!O62%&amp;"%的伤害"</f>
        <v>额外造成当前护甲200%的伤害</v>
      </c>
      <c r="G787" s="186">
        <f ca="1">OFFSET(卡牌辅助配置表!$C$1,MATCH(AC787,卡牌辅助配置表!A:A,0)-1,0)</f>
        <v>0</v>
      </c>
      <c r="H787" s="186">
        <f ca="1" t="shared" ref="H787:H850" si="140">IF(R787=0,Y787,0)</f>
        <v>0</v>
      </c>
      <c r="I787" s="186"/>
      <c r="J787" s="186">
        <f ca="1">OFFSET(card_type!$F$1,MATCH(Q787,card_type!A:A,0)-1,0)</f>
        <v>5</v>
      </c>
      <c r="K787" s="243">
        <f ca="1">OFFSET(card_type!$G$1,MATCH(Q787,card_type!A:A,0)-1,0)</f>
        <v>4</v>
      </c>
      <c r="L787" s="157">
        <v>2</v>
      </c>
      <c r="M787" s="157">
        <v>2</v>
      </c>
      <c r="N787" s="153">
        <f t="shared" si="133"/>
        <v>1</v>
      </c>
      <c r="O787" s="157"/>
      <c r="P787" s="157"/>
      <c r="Q787" s="153">
        <f ca="1">OFFSET(card_type!$A$1,MATCH(card!B787,card_type!B:B,0)-1,0)</f>
        <v>1505</v>
      </c>
      <c r="R787" s="153">
        <v>1</v>
      </c>
      <c r="S787" s="157">
        <f ca="1">ROUND(IF(R787=0,0,IF(R787=1,X787*$S$1,IF(R787=2,X787*$S$1*buff的资质计算!$E$2,IF(R787=3,X787*$S$1*buff的资质计算!$E$3,0)))),0)*0</f>
        <v>0</v>
      </c>
      <c r="T787" s="153">
        <v>1</v>
      </c>
      <c r="U787" s="153">
        <f ca="1" t="shared" si="135"/>
        <v>54</v>
      </c>
      <c r="V787" s="153">
        <f ca="1">ROUND((OFFSET(卡牌辅助配置表!$O$1,MATCH(U787,卡牌辅助配置表!M:M,0)-1,0)+(N787-1)*OFFSET(卡牌辅助配置表!$P$1,MATCH(U787,卡牌辅助配置表!M:M,0)-1,0))*M787,2)</f>
        <v>188.5</v>
      </c>
      <c r="W787" s="157">
        <f ca="1">ROUND(IF(R787=0,0,IF(R787=1,X787*$W$1,IF(R787=2,X787*$W$1*buff的资质计算!$E$2,IF(R787=3,X787*$W$1*buff的资质计算!$E$3,0)))),2)</f>
        <v>22.2</v>
      </c>
      <c r="X787" s="157">
        <f ca="1" t="shared" si="130"/>
        <v>74</v>
      </c>
      <c r="Y787" s="157">
        <f ca="1" t="shared" ref="Y787:Y850" si="141">X787+H787</f>
        <v>74</v>
      </c>
      <c r="Z787" s="304">
        <f ca="1" t="shared" si="132"/>
        <v>37</v>
      </c>
      <c r="AA787" s="304">
        <f ca="1">OFFSET(卡牌辅助配置表!$AD$1,MATCH(AB787,卡牌辅助配置表!AB:AB,0)-1,0)</f>
        <v>3834</v>
      </c>
      <c r="AB787" s="304">
        <f ca="1" t="shared" si="136"/>
        <v>5401</v>
      </c>
      <c r="AC787" s="153">
        <v>12</v>
      </c>
      <c r="AF787" s="153" t="str">
        <f ca="1" t="shared" si="139"/>
        <v>15050011|</v>
      </c>
      <c r="AJ787" s="205">
        <f ca="1" t="shared" si="137"/>
        <v>0</v>
      </c>
      <c r="AK787" s="205">
        <f ca="1">OFFSET([1]item_type!$A$1,MATCH(Q787,[1]item_type!$G:$G,0)-1,0)</f>
        <v>301505</v>
      </c>
      <c r="AM787" s="205">
        <f ca="1">IF(B787=B788,OFFSET(卡牌辅助配置表!$AE$1,MATCH(AB787,卡牌辅助配置表!AB:AB,0),0),0)</f>
        <v>0</v>
      </c>
      <c r="AN787" s="153">
        <f ca="1" t="shared" si="138"/>
        <v>0</v>
      </c>
      <c r="AP787" s="153">
        <f ca="1">IF(AC787=0,0,IF(AC787=12,0,OFFSET(effect!$N$1,MATCH(K787,effect!M:M,0)-1,0)))</f>
        <v>0</v>
      </c>
    </row>
    <row r="788" spans="1:42">
      <c r="A788" s="153">
        <f ca="1" t="shared" si="134"/>
        <v>1601001</v>
      </c>
      <c r="B788" s="91" t="s">
        <v>707</v>
      </c>
      <c r="C788" s="186">
        <v>1</v>
      </c>
      <c r="D788" s="186">
        <v>6</v>
      </c>
      <c r="E788" s="165" t="s">
        <v>1050</v>
      </c>
      <c r="F788" s="165" t="str">
        <f>"血量低于50%时，伤害增加"&amp;skill!O63/100&amp;"%"</f>
        <v>血量低于50%时，伤害增加50%</v>
      </c>
      <c r="G788" s="186">
        <f ca="1">OFFSET(卡牌辅助配置表!$C$1,MATCH(AC788,卡牌辅助配置表!A:A,0)-1,0)</f>
        <v>6</v>
      </c>
      <c r="H788" s="186">
        <v>12</v>
      </c>
      <c r="I788" s="186"/>
      <c r="J788" s="186">
        <f ca="1">OFFSET(card_type!$F$1,MATCH(Q788,card_type!A:A,0)-1,0)</f>
        <v>6</v>
      </c>
      <c r="K788" s="243">
        <f ca="1">OFFSET(card_type!$G$1,MATCH(Q788,card_type!A:A,0)-1,0)</f>
        <v>3</v>
      </c>
      <c r="L788" s="157">
        <v>3</v>
      </c>
      <c r="M788" s="157">
        <v>3</v>
      </c>
      <c r="N788" s="153">
        <f t="shared" si="133"/>
        <v>1</v>
      </c>
      <c r="O788" s="157"/>
      <c r="P788" s="157"/>
      <c r="Q788" s="153">
        <f ca="1">OFFSET(card_type!$A$1,MATCH(card!B788,card_type!B:B,0)-1,0)</f>
        <v>1601</v>
      </c>
      <c r="R788" s="153">
        <v>1</v>
      </c>
      <c r="S788" s="157">
        <f ca="1">ROUND(IF(R788=0,0,IF(R788=1,X788*$S$1,IF(R788=2,X788*$S$1*buff的资质计算!$E$2,IF(R788=3,X788*$S$1*buff的资质计算!$E$3,0)))),0)*0</f>
        <v>0</v>
      </c>
      <c r="T788" s="153">
        <v>2</v>
      </c>
      <c r="U788" s="153">
        <f ca="1" t="shared" si="135"/>
        <v>63</v>
      </c>
      <c r="V788" s="153">
        <f ca="1">ROUND((OFFSET(卡牌辅助配置表!$O$1,MATCH(U788,卡牌辅助配置表!M:M,0)-1,0)+(N788-1)*OFFSET(卡牌辅助配置表!$P$1,MATCH(U788,卡牌辅助配置表!M:M,0)-1,0))*M788,2)</f>
        <v>344.16</v>
      </c>
      <c r="W788" s="157">
        <f ca="1">ROUND(IF(R788=0,0,IF(R788=1,X788*$W$1,IF(R788=2,X788*$W$1*buff的资质计算!$E$2,IF(R788=3,X788*$W$1*buff的资质计算!$E$3,0)))),2)</f>
        <v>36</v>
      </c>
      <c r="X788" s="157">
        <f ca="1" t="shared" si="130"/>
        <v>120</v>
      </c>
      <c r="Y788" s="157">
        <f ca="1" t="shared" si="141"/>
        <v>132</v>
      </c>
      <c r="Z788" s="304">
        <f ca="1" t="shared" si="132"/>
        <v>44</v>
      </c>
      <c r="AA788" s="304">
        <f ca="1">OFFSET(卡牌辅助配置表!$AD$1,MATCH(AB788,卡牌辅助配置表!AB:AB,0)-1,0)</f>
        <v>3834</v>
      </c>
      <c r="AB788" s="304">
        <f ca="1" t="shared" si="136"/>
        <v>6301</v>
      </c>
      <c r="AC788" s="153">
        <v>11</v>
      </c>
      <c r="AE788" s="153">
        <v>5000</v>
      </c>
      <c r="AF788" s="153" t="str">
        <f ca="1" t="shared" si="139"/>
        <v>16010011|</v>
      </c>
      <c r="AJ788" s="205">
        <f ca="1" t="shared" si="137"/>
        <v>0</v>
      </c>
      <c r="AK788" s="205">
        <f ca="1">OFFSET([1]item_type!$A$1,MATCH(Q788,[1]item_type!$G:$G,0)-1,0)</f>
        <v>301601</v>
      </c>
      <c r="AM788" s="205">
        <f ca="1">IF(B788=B789,OFFSET(卡牌辅助配置表!$AE$1,MATCH(AB788,卡牌辅助配置表!AB:AB,0),0),0)</f>
        <v>0</v>
      </c>
      <c r="AN788" s="153">
        <f ca="1" t="shared" si="138"/>
        <v>0</v>
      </c>
      <c r="AP788" s="153" t="str">
        <f ca="1">IF(AC788=0,0,IF(AC788=12,0,OFFSET(effect!$N$1,MATCH(K788,effect!M:M,0)-1,0)))</f>
        <v>kpsx_zise</v>
      </c>
    </row>
    <row r="789" spans="1:42">
      <c r="A789" s="153">
        <f ca="1" t="shared" si="134"/>
        <v>1602001</v>
      </c>
      <c r="B789" s="153" t="s">
        <v>711</v>
      </c>
      <c r="C789" s="186">
        <v>1</v>
      </c>
      <c r="D789" s="186">
        <v>5</v>
      </c>
      <c r="E789" s="165" t="s">
        <v>1050</v>
      </c>
      <c r="F789" s="165" t="str">
        <f>"本回合每出一张拳法牌，伤害增加"&amp;skill!O64/100&amp;"%"</f>
        <v>本回合每出一张拳法牌，伤害增加35%</v>
      </c>
      <c r="G789" s="186"/>
      <c r="H789" s="186">
        <f ca="1" t="shared" si="140"/>
        <v>0</v>
      </c>
      <c r="I789" s="186"/>
      <c r="J789" s="186">
        <f ca="1">OFFSET(card_type!$F$1,MATCH(Q789,card_type!A:A,0)-1,0)</f>
        <v>6</v>
      </c>
      <c r="K789" s="243">
        <f ca="1">OFFSET(card_type!$G$1,MATCH(Q789,card_type!A:A,0)-1,0)</f>
        <v>4</v>
      </c>
      <c r="L789" s="157">
        <v>3</v>
      </c>
      <c r="M789" s="157">
        <v>3</v>
      </c>
      <c r="N789" s="153">
        <f t="shared" si="133"/>
        <v>1</v>
      </c>
      <c r="O789" s="157"/>
      <c r="P789" s="157"/>
      <c r="Q789" s="153">
        <f ca="1">OFFSET(card_type!$A$1,MATCH(card!B789,card_type!B:B,0)-1,0)</f>
        <v>1602</v>
      </c>
      <c r="R789" s="153">
        <v>1</v>
      </c>
      <c r="S789" s="157">
        <f ca="1">ROUND(IF(R789=0,0,IF(R789=1,X789*$S$1,IF(R789=2,X789*$S$1*buff的资质计算!$E$2,IF(R789=3,X789*$S$1*buff的资质计算!$E$3,0)))),0)*0</f>
        <v>0</v>
      </c>
      <c r="T789" s="153">
        <v>1</v>
      </c>
      <c r="U789" s="153">
        <f ca="1" t="shared" si="135"/>
        <v>64</v>
      </c>
      <c r="V789" s="153">
        <f ca="1">ROUND((OFFSET(卡牌辅助配置表!$O$1,MATCH(U789,卡牌辅助配置表!M:M,0)-1,0)+(N789-1)*OFFSET(卡牌辅助配置表!$P$1,MATCH(U789,卡牌辅助配置表!M:M,0)-1,0))*M789,2)</f>
        <v>516.24</v>
      </c>
      <c r="W789" s="157">
        <f ca="1">ROUND(IF(R789=0,0,IF(R789=1,X789*$W$1,IF(R789=2,X789*$W$1*buff的资质计算!$E$2,IF(R789=3,X789*$W$1*buff的资质计算!$E$3,0)))),2)</f>
        <v>37.8</v>
      </c>
      <c r="X789" s="157">
        <f ca="1" t="shared" si="130"/>
        <v>126</v>
      </c>
      <c r="Y789" s="157">
        <f ca="1" t="shared" si="141"/>
        <v>126</v>
      </c>
      <c r="Z789" s="304">
        <f ca="1" t="shared" si="132"/>
        <v>42</v>
      </c>
      <c r="AA789" s="304">
        <f ca="1">OFFSET(卡牌辅助配置表!$AD$1,MATCH(AB789,卡牌辅助配置表!AB:AB,0)-1,0)</f>
        <v>3834</v>
      </c>
      <c r="AB789" s="304">
        <f ca="1" t="shared" si="136"/>
        <v>6401</v>
      </c>
      <c r="AC789" s="153">
        <v>1</v>
      </c>
      <c r="AE789" s="153">
        <v>1</v>
      </c>
      <c r="AF789" s="153" t="str">
        <f ca="1" t="shared" si="139"/>
        <v>16020011|</v>
      </c>
      <c r="AJ789" s="205">
        <f ca="1" t="shared" si="137"/>
        <v>0</v>
      </c>
      <c r="AK789" s="205">
        <f ca="1">OFFSET([1]item_type!$A$1,MATCH(Q789,[1]item_type!$G:$G,0)-1,0)</f>
        <v>301602</v>
      </c>
      <c r="AM789" s="205">
        <f ca="1">IF(B789=B790,OFFSET(卡牌辅助配置表!$AE$1,MATCH(AB789,卡牌辅助配置表!AB:AB,0),0),0)</f>
        <v>0</v>
      </c>
      <c r="AN789" s="153">
        <f ca="1" t="shared" si="138"/>
        <v>0</v>
      </c>
      <c r="AP789" s="153" t="str">
        <f ca="1">IF(AC789=0,0,IF(AC789=12,0,OFFSET(effect!$N$1,MATCH(K789,effect!M:M,0)-1,0)))</f>
        <v>kpsx_huangse</v>
      </c>
    </row>
    <row r="790" spans="1:42">
      <c r="A790" s="153">
        <f ca="1" t="shared" si="134"/>
        <v>1603001</v>
      </c>
      <c r="B790" s="91" t="s">
        <v>715</v>
      </c>
      <c r="C790" s="186">
        <v>1</v>
      </c>
      <c r="D790" s="186">
        <v>5</v>
      </c>
      <c r="E790" s="165"/>
      <c r="F790" s="179" t="s">
        <v>716</v>
      </c>
      <c r="G790" s="186">
        <f ca="1">OFFSET(卡牌辅助配置表!$C$1,MATCH(AC790,卡牌辅助配置表!A:A,0)-1,0)</f>
        <v>0</v>
      </c>
      <c r="H790" s="186">
        <f ca="1">OFFSET(skill!$Q$1,MATCH(B790,skill!B:B,0)-1,0)</f>
        <v>2.85714285714286</v>
      </c>
      <c r="I790" s="186"/>
      <c r="J790" s="186">
        <f ca="1">OFFSET(card_type!$F$1,MATCH(Q790,card_type!A:A,0)-1,0)</f>
        <v>6</v>
      </c>
      <c r="K790" s="243">
        <f ca="1">OFFSET(card_type!$G$1,MATCH(Q790,card_type!A:A,0)-1,0)</f>
        <v>4</v>
      </c>
      <c r="L790" s="157">
        <v>4</v>
      </c>
      <c r="M790" s="157">
        <v>4</v>
      </c>
      <c r="N790" s="153">
        <f t="shared" si="133"/>
        <v>1</v>
      </c>
      <c r="O790" s="157"/>
      <c r="P790" s="157"/>
      <c r="Q790" s="153">
        <f ca="1">OFFSET(card_type!$A$1,MATCH(card!B790,card_type!B:B,0)-1,0)</f>
        <v>1603</v>
      </c>
      <c r="R790" s="153">
        <v>1</v>
      </c>
      <c r="S790" s="157">
        <f ca="1">ROUND(IF(R790=0,0,IF(R790=1,X790*$S$1,IF(R790=2,X790*$S$1*buff的资质计算!$E$2,IF(R790=3,X790*$S$1*buff的资质计算!$E$3,0)))),0)*0</f>
        <v>0</v>
      </c>
      <c r="T790" s="153">
        <v>5</v>
      </c>
      <c r="U790" s="153">
        <f ca="1" t="shared" si="135"/>
        <v>64</v>
      </c>
      <c r="V790" s="153">
        <f ca="1">ROUND((OFFSET(卡牌辅助配置表!$O$1,MATCH(U790,卡牌辅助配置表!M:M,0)-1,0)+(N790-1)*OFFSET(卡牌辅助配置表!$P$1,MATCH(U790,卡牌辅助配置表!M:M,0)-1,0))*M790,2)</f>
        <v>688.32</v>
      </c>
      <c r="W790" s="157">
        <f ca="1">ROUND(IF(R790=0,0,IF(R790=1,X790*$W$1,IF(R790=2,X790*$W$1*buff的资质计算!$E$2,IF(R790=3,X790*$W$1*buff的资质计算!$E$3,0)))),2)</f>
        <v>50.4</v>
      </c>
      <c r="X790" s="157">
        <f ca="1" t="shared" si="130"/>
        <v>168</v>
      </c>
      <c r="Y790" s="157">
        <f ca="1" t="shared" si="141"/>
        <v>170.857142857143</v>
      </c>
      <c r="Z790" s="304">
        <f ca="1" t="shared" si="132"/>
        <v>42.7142857142857</v>
      </c>
      <c r="AA790" s="304">
        <f ca="1">OFFSET(卡牌辅助配置表!$AD$1,MATCH(AB790,卡牌辅助配置表!AB:AB,0)-1,0)</f>
        <v>3834</v>
      </c>
      <c r="AB790" s="304">
        <f ca="1" t="shared" si="136"/>
        <v>6401</v>
      </c>
      <c r="AC790" s="153">
        <v>12</v>
      </c>
      <c r="AF790" s="153" t="str">
        <f ca="1" t="shared" si="139"/>
        <v>16030011|</v>
      </c>
      <c r="AJ790" s="205">
        <f ca="1" t="shared" si="137"/>
        <v>0</v>
      </c>
      <c r="AK790" s="205">
        <f ca="1">OFFSET([1]item_type!$A$1,MATCH(Q790,[1]item_type!$G:$G,0)-1,0)</f>
        <v>301603</v>
      </c>
      <c r="AM790" s="205">
        <f ca="1">IF(B790=B791,OFFSET(卡牌辅助配置表!$AE$1,MATCH(AB790,卡牌辅助配置表!AB:AB,0),0),0)</f>
        <v>0</v>
      </c>
      <c r="AN790" s="153">
        <f ca="1" t="shared" si="138"/>
        <v>0</v>
      </c>
      <c r="AP790" s="153">
        <f ca="1">IF(AC790=0,0,IF(AC790=12,0,OFFSET(effect!$N$1,MATCH(K790,effect!M:M,0)-1,0)))</f>
        <v>0</v>
      </c>
    </row>
    <row r="791" spans="1:42">
      <c r="A791" s="153">
        <f ca="1" t="shared" si="134"/>
        <v>2001001</v>
      </c>
      <c r="B791" s="91" t="s">
        <v>403</v>
      </c>
      <c r="C791" s="186">
        <v>2</v>
      </c>
      <c r="D791" s="186">
        <v>1</v>
      </c>
      <c r="E791" s="165" t="s">
        <v>721</v>
      </c>
      <c r="F791" s="298"/>
      <c r="G791" s="186">
        <v>-3</v>
      </c>
      <c r="H791" s="186">
        <f ca="1" t="shared" si="140"/>
        <v>0</v>
      </c>
      <c r="I791" s="186"/>
      <c r="J791" s="186">
        <f ca="1">OFFSET(card_type!$F$1,MATCH(Q791,card_type!A:A,0)-1,0)</f>
        <v>1</v>
      </c>
      <c r="K791" s="243">
        <f ca="1">OFFSET(card_type!$G$1,MATCH(Q791,card_type!A:A,0)-1,0)</f>
        <v>1</v>
      </c>
      <c r="L791" s="157">
        <v>1</v>
      </c>
      <c r="M791" s="157">
        <v>1</v>
      </c>
      <c r="N791" s="153">
        <f t="shared" si="133"/>
        <v>1</v>
      </c>
      <c r="O791" s="157"/>
      <c r="P791" s="157"/>
      <c r="Q791" s="153">
        <f ca="1">OFFSET(card_type!$A$1,MATCH(card!B791,card_type!B:B,0)-1,0)</f>
        <v>2001</v>
      </c>
      <c r="R791" s="153">
        <v>1</v>
      </c>
      <c r="S791" s="157">
        <f ca="1">ROUND(IF(R791=0,0,IF(R791=1,X791*$S$1,IF(R791=2,X791*$S$1*buff的资质计算!$E$2,IF(R791=3,X791*$S$1*buff的资质计算!$E$3,0)))),0)*0</f>
        <v>0</v>
      </c>
      <c r="T791" s="153">
        <v>1</v>
      </c>
      <c r="U791" s="153">
        <f ca="1" t="shared" si="135"/>
        <v>11</v>
      </c>
      <c r="V791" s="153">
        <f ca="1">ROUND((OFFSET(卡牌辅助配置表!$O$1,MATCH(U791,卡牌辅助配置表!M:M,0)-1,0)+(N791-1)*OFFSET(卡牌辅助配置表!$P$1,MATCH(U791,卡牌辅助配置表!M:M,0)-1,0))*M791,2)</f>
        <v>6.27</v>
      </c>
      <c r="W791" s="157">
        <f ca="1">ROUND(IF(R791=0,0,IF(R791=1,X791*$W$1,IF(R791=2,X791*$W$1*buff的资质计算!$E$2,IF(R791=3,X791*$W$1*buff的资质计算!$E$3,0)))),2)</f>
        <v>0.6</v>
      </c>
      <c r="X791" s="157">
        <f ca="1" t="shared" si="130"/>
        <v>2</v>
      </c>
      <c r="Y791" s="157">
        <f ca="1" t="shared" si="141"/>
        <v>2</v>
      </c>
      <c r="Z791" s="304">
        <f ca="1" t="shared" si="132"/>
        <v>2</v>
      </c>
      <c r="AA791" s="304">
        <f ca="1">OFFSET(卡牌辅助配置表!$AD$1,MATCH(AB791,卡牌辅助配置表!AB:AB,0)-1,0)</f>
        <v>18</v>
      </c>
      <c r="AB791" s="304">
        <f ca="1" t="shared" si="136"/>
        <v>1101</v>
      </c>
      <c r="AF791" s="153" t="str">
        <f ca="1" t="shared" si="139"/>
        <v>20010011|</v>
      </c>
      <c r="AJ791" s="205" t="str">
        <f ca="1" t="shared" si="137"/>
        <v>400023|700|;</v>
      </c>
      <c r="AK791" s="205">
        <f ca="1">OFFSET([1]item_type!$A$1,MATCH(Q791,[1]item_type!$G:$G,0)-1,0)</f>
        <v>302001</v>
      </c>
      <c r="AL791" s="205"/>
      <c r="AM791" s="205">
        <f ca="1">IF(B791=B792,OFFSET(卡牌辅助配置表!$AE$1,MATCH(AB791,卡牌辅助配置表!AB:AB,0),0),0)</f>
        <v>700</v>
      </c>
      <c r="AN791" s="153">
        <f ca="1" t="shared" si="138"/>
        <v>2001002</v>
      </c>
      <c r="AP791" s="153">
        <f ca="1">IF(AC791=0,0,IF(AC791=12,0,OFFSET(effect!$N$1,MATCH(K791,effect!M:M,0)-1,0)))</f>
        <v>0</v>
      </c>
    </row>
    <row r="792" spans="1:42">
      <c r="A792" s="153">
        <f ca="1" t="shared" si="134"/>
        <v>2001002</v>
      </c>
      <c r="B792" s="91" t="s">
        <v>403</v>
      </c>
      <c r="C792" s="186">
        <v>2</v>
      </c>
      <c r="D792" s="186">
        <v>1</v>
      </c>
      <c r="E792" s="165" t="s">
        <v>721</v>
      </c>
      <c r="F792" s="298"/>
      <c r="G792" s="186">
        <v>-3</v>
      </c>
      <c r="H792" s="186">
        <f ca="1" t="shared" si="140"/>
        <v>0</v>
      </c>
      <c r="I792" s="186"/>
      <c r="J792" s="186">
        <f ca="1">OFFSET(card_type!$F$1,MATCH(Q792,card_type!A:A,0)-1,0)</f>
        <v>1</v>
      </c>
      <c r="K792" s="243">
        <f ca="1">OFFSET(card_type!$G$1,MATCH(Q792,card_type!A:A,0)-1,0)</f>
        <v>1</v>
      </c>
      <c r="L792" s="157">
        <v>1</v>
      </c>
      <c r="M792" s="157">
        <v>1</v>
      </c>
      <c r="N792" s="153">
        <f t="shared" si="133"/>
        <v>2</v>
      </c>
      <c r="O792" s="157"/>
      <c r="P792" s="157"/>
      <c r="Q792" s="153">
        <f ca="1">OFFSET(card_type!$A$1,MATCH(card!B792,card_type!B:B,0)-1,0)</f>
        <v>2001</v>
      </c>
      <c r="R792" s="153">
        <v>1</v>
      </c>
      <c r="S792" s="157">
        <f ca="1">ROUND(IF(R792=0,0,IF(R792=1,X792*$S$1,IF(R792=2,X792*$S$1*buff的资质计算!$E$2,IF(R792=3,X792*$S$1*buff的资质计算!$E$3,0)))),0)*0</f>
        <v>0</v>
      </c>
      <c r="T792" s="153">
        <v>1</v>
      </c>
      <c r="U792" s="153">
        <f ca="1" t="shared" si="135"/>
        <v>11</v>
      </c>
      <c r="V792" s="153">
        <f ca="1">ROUND((OFFSET(卡牌辅助配置表!$O$1,MATCH(U792,卡牌辅助配置表!M:M,0)-1,0)+(N792-1)*OFFSET(卡牌辅助配置表!$P$1,MATCH(U792,卡牌辅助配置表!M:M,0)-1,0))*M792,2)</f>
        <v>6.48</v>
      </c>
      <c r="W792" s="157">
        <f ca="1">ROUND(IF(R792=0,0,IF(R792=1,X792*$W$1,IF(R792=2,X792*$W$1*buff的资质计算!$E$2,IF(R792=3,X792*$W$1*buff的资质计算!$E$3,0)))),2)</f>
        <v>0.75</v>
      </c>
      <c r="X792" s="157">
        <f ca="1" t="shared" si="130"/>
        <v>2.5</v>
      </c>
      <c r="Y792" s="157">
        <f ca="1" t="shared" si="141"/>
        <v>2.5</v>
      </c>
      <c r="Z792" s="304">
        <f ca="1" t="shared" si="132"/>
        <v>2.5</v>
      </c>
      <c r="AA792" s="304">
        <f ca="1">OFFSET(卡牌辅助配置表!$AD$1,MATCH(AB792,卡牌辅助配置表!AB:AB,0)-1,0)</f>
        <v>36</v>
      </c>
      <c r="AB792" s="304">
        <f ca="1" t="shared" si="136"/>
        <v>1102</v>
      </c>
      <c r="AF792" s="153" t="str">
        <f ca="1" t="shared" si="139"/>
        <v>20010011|</v>
      </c>
      <c r="AJ792" s="205" t="str">
        <f ca="1" t="shared" si="137"/>
        <v>400023|900|;</v>
      </c>
      <c r="AK792" s="205">
        <f ca="1">OFFSET([1]item_type!$A$1,MATCH(Q792,[1]item_type!$G:$G,0)-1,0)</f>
        <v>302001</v>
      </c>
      <c r="AL792" s="205"/>
      <c r="AM792" s="205">
        <f ca="1">IF(B792=B793,OFFSET(卡牌辅助配置表!$AE$1,MATCH(AB792,卡牌辅助配置表!AB:AB,0),0),0)</f>
        <v>900</v>
      </c>
      <c r="AN792" s="153">
        <f ca="1" t="shared" si="138"/>
        <v>2001003</v>
      </c>
      <c r="AP792" s="153">
        <f ca="1">IF(AC792=0,0,IF(AC792=12,0,OFFSET(effect!$N$1,MATCH(K792,effect!M:M,0)-1,0)))</f>
        <v>0</v>
      </c>
    </row>
    <row r="793" spans="1:42">
      <c r="A793" s="153">
        <f ca="1" t="shared" si="134"/>
        <v>2001003</v>
      </c>
      <c r="B793" s="91" t="s">
        <v>403</v>
      </c>
      <c r="C793" s="186">
        <v>2</v>
      </c>
      <c r="D793" s="186">
        <v>1</v>
      </c>
      <c r="E793" s="165" t="s">
        <v>721</v>
      </c>
      <c r="F793" s="298"/>
      <c r="G793" s="186">
        <v>-3</v>
      </c>
      <c r="H793" s="186">
        <f ca="1" t="shared" si="140"/>
        <v>0</v>
      </c>
      <c r="I793" s="186"/>
      <c r="J793" s="186">
        <f ca="1">OFFSET(card_type!$F$1,MATCH(Q793,card_type!A:A,0)-1,0)</f>
        <v>1</v>
      </c>
      <c r="K793" s="243">
        <f ca="1">OFFSET(card_type!$G$1,MATCH(Q793,card_type!A:A,0)-1,0)</f>
        <v>1</v>
      </c>
      <c r="L793" s="157">
        <v>1</v>
      </c>
      <c r="M793" s="157">
        <v>1</v>
      </c>
      <c r="N793" s="153">
        <f t="shared" si="133"/>
        <v>3</v>
      </c>
      <c r="O793" s="157"/>
      <c r="P793" s="157"/>
      <c r="Q793" s="153">
        <f ca="1">OFFSET(card_type!$A$1,MATCH(card!B793,card_type!B:B,0)-1,0)</f>
        <v>2001</v>
      </c>
      <c r="R793" s="153">
        <v>1</v>
      </c>
      <c r="S793" s="157">
        <f ca="1">ROUND(IF(R793=0,0,IF(R793=1,X793*$S$1,IF(R793=2,X793*$S$1*buff的资质计算!$E$2,IF(R793=3,X793*$S$1*buff的资质计算!$E$3,0)))),0)*0</f>
        <v>0</v>
      </c>
      <c r="T793" s="153">
        <v>1</v>
      </c>
      <c r="U793" s="153">
        <f ca="1" t="shared" si="135"/>
        <v>11</v>
      </c>
      <c r="V793" s="153">
        <f ca="1">ROUND((OFFSET(卡牌辅助配置表!$O$1,MATCH(U793,卡牌辅助配置表!M:M,0)-1,0)+(N793-1)*OFFSET(卡牌辅助配置表!$P$1,MATCH(U793,卡牌辅助配置表!M:M,0)-1,0))*M793,2)</f>
        <v>6.69</v>
      </c>
      <c r="W793" s="157">
        <f ca="1">ROUND(IF(R793=0,0,IF(R793=1,X793*$W$1,IF(R793=2,X793*$W$1*buff的资质计算!$E$2,IF(R793=3,X793*$W$1*buff的资质计算!$E$3,0)))),2)</f>
        <v>0.9</v>
      </c>
      <c r="X793" s="157">
        <f ca="1" t="shared" si="130"/>
        <v>3</v>
      </c>
      <c r="Y793" s="157">
        <f ca="1" t="shared" si="141"/>
        <v>3</v>
      </c>
      <c r="Z793" s="304">
        <f ca="1" t="shared" si="132"/>
        <v>3</v>
      </c>
      <c r="AA793" s="304">
        <f ca="1">OFFSET(卡牌辅助配置表!$AD$1,MATCH(AB793,卡牌辅助配置表!AB:AB,0)-1,0)</f>
        <v>54</v>
      </c>
      <c r="AB793" s="304">
        <f ca="1" t="shared" si="136"/>
        <v>1103</v>
      </c>
      <c r="AF793" s="153" t="str">
        <f ca="1" t="shared" si="139"/>
        <v>20010011|</v>
      </c>
      <c r="AJ793" s="205" t="str">
        <f ca="1" t="shared" si="137"/>
        <v>400023|1100|;</v>
      </c>
      <c r="AK793" s="205">
        <f ca="1">OFFSET([1]item_type!$A$1,MATCH(Q793,[1]item_type!$G:$G,0)-1,0)</f>
        <v>302001</v>
      </c>
      <c r="AL793" s="205"/>
      <c r="AM793" s="205">
        <f ca="1">IF(B793=B794,OFFSET(卡牌辅助配置表!$AE$1,MATCH(AB793,卡牌辅助配置表!AB:AB,0),0),0)</f>
        <v>1100</v>
      </c>
      <c r="AN793" s="153">
        <f ca="1" t="shared" si="138"/>
        <v>2001004</v>
      </c>
      <c r="AP793" s="153">
        <f ca="1">IF(AC793=0,0,IF(AC793=12,0,OFFSET(effect!$N$1,MATCH(K793,effect!M:M,0)-1,0)))</f>
        <v>0</v>
      </c>
    </row>
    <row r="794" spans="1:42">
      <c r="A794" s="153">
        <f ca="1" t="shared" si="134"/>
        <v>2001004</v>
      </c>
      <c r="B794" s="91" t="s">
        <v>403</v>
      </c>
      <c r="C794" s="186">
        <v>2</v>
      </c>
      <c r="D794" s="186">
        <v>1</v>
      </c>
      <c r="E794" s="165" t="s">
        <v>721</v>
      </c>
      <c r="F794" s="298"/>
      <c r="G794" s="186">
        <v>-3</v>
      </c>
      <c r="H794" s="186">
        <f ca="1" t="shared" si="140"/>
        <v>0</v>
      </c>
      <c r="I794" s="186"/>
      <c r="J794" s="186">
        <f ca="1">OFFSET(card_type!$F$1,MATCH(Q794,card_type!A:A,0)-1,0)</f>
        <v>1</v>
      </c>
      <c r="K794" s="243">
        <f ca="1">OFFSET(card_type!$G$1,MATCH(Q794,card_type!A:A,0)-1,0)</f>
        <v>1</v>
      </c>
      <c r="L794" s="157">
        <v>1</v>
      </c>
      <c r="M794" s="157">
        <v>1</v>
      </c>
      <c r="N794" s="153">
        <f t="shared" si="133"/>
        <v>4</v>
      </c>
      <c r="O794" s="157"/>
      <c r="P794" s="157"/>
      <c r="Q794" s="153">
        <f ca="1">OFFSET(card_type!$A$1,MATCH(card!B794,card_type!B:B,0)-1,0)</f>
        <v>2001</v>
      </c>
      <c r="R794" s="153">
        <v>1</v>
      </c>
      <c r="S794" s="157">
        <f ca="1">ROUND(IF(R794=0,0,IF(R794=1,X794*$S$1,IF(R794=2,X794*$S$1*buff的资质计算!$E$2,IF(R794=3,X794*$S$1*buff的资质计算!$E$3,0)))),0)*0</f>
        <v>0</v>
      </c>
      <c r="T794" s="153">
        <v>1</v>
      </c>
      <c r="U794" s="153">
        <f ca="1" t="shared" si="135"/>
        <v>11</v>
      </c>
      <c r="V794" s="153">
        <f ca="1">ROUND((OFFSET(卡牌辅助配置表!$O$1,MATCH(U794,卡牌辅助配置表!M:M,0)-1,0)+(N794-1)*OFFSET(卡牌辅助配置表!$P$1,MATCH(U794,卡牌辅助配置表!M:M,0)-1,0))*M794,2)</f>
        <v>6.9</v>
      </c>
      <c r="W794" s="157">
        <f ca="1">ROUND(IF(R794=0,0,IF(R794=1,X794*$W$1,IF(R794=2,X794*$W$1*buff的资质计算!$E$2,IF(R794=3,X794*$W$1*buff的资质计算!$E$3,0)))),2)</f>
        <v>1.05</v>
      </c>
      <c r="X794" s="157">
        <f ca="1" t="shared" si="130"/>
        <v>3.5</v>
      </c>
      <c r="Y794" s="157">
        <f ca="1" t="shared" si="141"/>
        <v>3.5</v>
      </c>
      <c r="Z794" s="304">
        <f ca="1" t="shared" si="132"/>
        <v>3.5</v>
      </c>
      <c r="AA794" s="304">
        <f ca="1">OFFSET(卡牌辅助配置表!$AD$1,MATCH(AB794,卡牌辅助配置表!AB:AB,0)-1,0)</f>
        <v>72</v>
      </c>
      <c r="AB794" s="304">
        <f ca="1" t="shared" si="136"/>
        <v>1104</v>
      </c>
      <c r="AF794" s="153" t="str">
        <f ca="1" t="shared" si="139"/>
        <v>20010011|</v>
      </c>
      <c r="AJ794" s="205" t="str">
        <f ca="1" t="shared" si="137"/>
        <v>400023|1300|;</v>
      </c>
      <c r="AK794" s="205">
        <f ca="1">OFFSET([1]item_type!$A$1,MATCH(Q794,[1]item_type!$G:$G,0)-1,0)</f>
        <v>302001</v>
      </c>
      <c r="AL794" s="205"/>
      <c r="AM794" s="205">
        <f ca="1">IF(B794=B795,OFFSET(卡牌辅助配置表!$AE$1,MATCH(AB794,卡牌辅助配置表!AB:AB,0),0),0)</f>
        <v>1300</v>
      </c>
      <c r="AN794" s="153">
        <f ca="1" t="shared" si="138"/>
        <v>2001005</v>
      </c>
      <c r="AP794" s="153">
        <f ca="1">IF(AC794=0,0,IF(AC794=12,0,OFFSET(effect!$N$1,MATCH(K794,effect!M:M,0)-1,0)))</f>
        <v>0</v>
      </c>
    </row>
    <row r="795" spans="1:42">
      <c r="A795" s="153">
        <f ca="1" t="shared" si="134"/>
        <v>2001005</v>
      </c>
      <c r="B795" s="91" t="s">
        <v>403</v>
      </c>
      <c r="C795" s="186">
        <v>2</v>
      </c>
      <c r="D795" s="186">
        <v>1</v>
      </c>
      <c r="E795" s="165" t="s">
        <v>721</v>
      </c>
      <c r="F795" s="298"/>
      <c r="G795" s="186">
        <v>-3</v>
      </c>
      <c r="H795" s="186">
        <f ca="1" t="shared" si="140"/>
        <v>0</v>
      </c>
      <c r="I795" s="186"/>
      <c r="J795" s="186">
        <f ca="1">OFFSET(card_type!$F$1,MATCH(Q795,card_type!A:A,0)-1,0)</f>
        <v>1</v>
      </c>
      <c r="K795" s="243">
        <f ca="1">OFFSET(card_type!$G$1,MATCH(Q795,card_type!A:A,0)-1,0)</f>
        <v>1</v>
      </c>
      <c r="L795" s="157">
        <v>1</v>
      </c>
      <c r="M795" s="157">
        <v>1</v>
      </c>
      <c r="N795" s="153">
        <f t="shared" si="133"/>
        <v>5</v>
      </c>
      <c r="O795" s="157"/>
      <c r="P795" s="157"/>
      <c r="Q795" s="153">
        <f ca="1">OFFSET(card_type!$A$1,MATCH(card!B795,card_type!B:B,0)-1,0)</f>
        <v>2001</v>
      </c>
      <c r="R795" s="153">
        <v>1</v>
      </c>
      <c r="S795" s="157">
        <f ca="1">ROUND(IF(R795=0,0,IF(R795=1,X795*$S$1,IF(R795=2,X795*$S$1*buff的资质计算!$E$2,IF(R795=3,X795*$S$1*buff的资质计算!$E$3,0)))),0)*0</f>
        <v>0</v>
      </c>
      <c r="T795" s="153">
        <v>1</v>
      </c>
      <c r="U795" s="153">
        <f ca="1" t="shared" si="135"/>
        <v>11</v>
      </c>
      <c r="V795" s="153">
        <f ca="1">ROUND((OFFSET(卡牌辅助配置表!$O$1,MATCH(U795,卡牌辅助配置表!M:M,0)-1,0)+(N795-1)*OFFSET(卡牌辅助配置表!$P$1,MATCH(U795,卡牌辅助配置表!M:M,0)-1,0))*M795,2)</f>
        <v>7.11</v>
      </c>
      <c r="W795" s="157">
        <f ca="1">ROUND(IF(R795=0,0,IF(R795=1,X795*$W$1,IF(R795=2,X795*$W$1*buff的资质计算!$E$2,IF(R795=3,X795*$W$1*buff的资质计算!$E$3,0)))),2)</f>
        <v>1.2</v>
      </c>
      <c r="X795" s="157">
        <f ca="1" t="shared" si="130"/>
        <v>4</v>
      </c>
      <c r="Y795" s="157">
        <f ca="1" t="shared" si="141"/>
        <v>4</v>
      </c>
      <c r="Z795" s="304">
        <f ca="1" t="shared" si="132"/>
        <v>4</v>
      </c>
      <c r="AA795" s="304">
        <f ca="1">OFFSET(卡牌辅助配置表!$AD$1,MATCH(AB795,卡牌辅助配置表!AB:AB,0)-1,0)</f>
        <v>90</v>
      </c>
      <c r="AB795" s="304">
        <f ca="1" t="shared" si="136"/>
        <v>1105</v>
      </c>
      <c r="AF795" s="153" t="str">
        <f ca="1" t="shared" si="139"/>
        <v>20010011|</v>
      </c>
      <c r="AJ795" s="205" t="str">
        <f ca="1" t="shared" si="137"/>
        <v>400023|1500|;</v>
      </c>
      <c r="AK795" s="205">
        <f ca="1">OFFSET([1]item_type!$A$1,MATCH(Q795,[1]item_type!$G:$G,0)-1,0)</f>
        <v>302001</v>
      </c>
      <c r="AL795" s="205"/>
      <c r="AM795" s="205">
        <f ca="1">IF(B795=B796,OFFSET(卡牌辅助配置表!$AE$1,MATCH(AB795,卡牌辅助配置表!AB:AB,0),0),0)</f>
        <v>1500</v>
      </c>
      <c r="AN795" s="153">
        <f ca="1" t="shared" si="138"/>
        <v>2001006</v>
      </c>
      <c r="AP795" s="153">
        <f ca="1">IF(AC795=0,0,IF(AC795=12,0,OFFSET(effect!$N$1,MATCH(K795,effect!M:M,0)-1,0)))</f>
        <v>0</v>
      </c>
    </row>
    <row r="796" spans="1:42">
      <c r="A796" s="153">
        <f ca="1" t="shared" si="134"/>
        <v>2001006</v>
      </c>
      <c r="B796" s="91" t="s">
        <v>403</v>
      </c>
      <c r="C796" s="186">
        <v>2</v>
      </c>
      <c r="D796" s="186">
        <v>1</v>
      </c>
      <c r="E796" s="165" t="s">
        <v>721</v>
      </c>
      <c r="F796" s="298"/>
      <c r="G796" s="186">
        <v>-3</v>
      </c>
      <c r="H796" s="186">
        <f ca="1" t="shared" si="140"/>
        <v>0</v>
      </c>
      <c r="I796" s="186"/>
      <c r="J796" s="186">
        <f ca="1">OFFSET(card_type!$F$1,MATCH(Q796,card_type!A:A,0)-1,0)</f>
        <v>1</v>
      </c>
      <c r="K796" s="243">
        <f ca="1">OFFSET(card_type!$G$1,MATCH(Q796,card_type!A:A,0)-1,0)</f>
        <v>1</v>
      </c>
      <c r="L796" s="157">
        <v>1</v>
      </c>
      <c r="M796" s="157">
        <v>1</v>
      </c>
      <c r="N796" s="153">
        <f t="shared" si="133"/>
        <v>6</v>
      </c>
      <c r="O796" s="157"/>
      <c r="P796" s="157"/>
      <c r="Q796" s="153">
        <f ca="1">OFFSET(card_type!$A$1,MATCH(card!B796,card_type!B:B,0)-1,0)</f>
        <v>2001</v>
      </c>
      <c r="R796" s="153">
        <v>1</v>
      </c>
      <c r="S796" s="157">
        <f ca="1">ROUND(IF(R796=0,0,IF(R796=1,X796*$S$1,IF(R796=2,X796*$S$1*buff的资质计算!$E$2,IF(R796=3,X796*$S$1*buff的资质计算!$E$3,0)))),0)*0</f>
        <v>0</v>
      </c>
      <c r="T796" s="153">
        <v>1</v>
      </c>
      <c r="U796" s="153">
        <f ca="1" t="shared" si="135"/>
        <v>11</v>
      </c>
      <c r="V796" s="153">
        <f ca="1">ROUND((OFFSET(卡牌辅助配置表!$O$1,MATCH(U796,卡牌辅助配置表!M:M,0)-1,0)+(N796-1)*OFFSET(卡牌辅助配置表!$P$1,MATCH(U796,卡牌辅助配置表!M:M,0)-1,0))*M796,2)</f>
        <v>7.32</v>
      </c>
      <c r="W796" s="157">
        <f ca="1">ROUND(IF(R796=0,0,IF(R796=1,X796*$W$1,IF(R796=2,X796*$W$1*buff的资质计算!$E$2,IF(R796=3,X796*$W$1*buff的资质计算!$E$3,0)))),2)</f>
        <v>1.35</v>
      </c>
      <c r="X796" s="157">
        <f ca="1" t="shared" si="130"/>
        <v>4.5</v>
      </c>
      <c r="Y796" s="157">
        <f ca="1" t="shared" si="141"/>
        <v>4.5</v>
      </c>
      <c r="Z796" s="304">
        <f ca="1" t="shared" si="132"/>
        <v>4.5</v>
      </c>
      <c r="AA796" s="304">
        <f ca="1">OFFSET(卡牌辅助配置表!$AD$1,MATCH(AB796,卡牌辅助配置表!AB:AB,0)-1,0)</f>
        <v>108</v>
      </c>
      <c r="AB796" s="304">
        <f ca="1" t="shared" si="136"/>
        <v>1106</v>
      </c>
      <c r="AF796" s="153" t="str">
        <f ca="1" t="shared" si="139"/>
        <v>20010011|</v>
      </c>
      <c r="AJ796" s="205" t="str">
        <f ca="1" t="shared" si="137"/>
        <v>400023|1700|;</v>
      </c>
      <c r="AK796" s="205">
        <f ca="1">OFFSET([1]item_type!$A$1,MATCH(Q796,[1]item_type!$G:$G,0)-1,0)</f>
        <v>302001</v>
      </c>
      <c r="AL796" s="205"/>
      <c r="AM796" s="205">
        <f ca="1">IF(B796=B797,OFFSET(卡牌辅助配置表!$AE$1,MATCH(AB796,卡牌辅助配置表!AB:AB,0),0),0)</f>
        <v>1700</v>
      </c>
      <c r="AN796" s="153">
        <f ca="1" t="shared" si="138"/>
        <v>2001007</v>
      </c>
      <c r="AP796" s="153">
        <f ca="1">IF(AC796=0,0,IF(AC796=12,0,OFFSET(effect!$N$1,MATCH(K796,effect!M:M,0)-1,0)))</f>
        <v>0</v>
      </c>
    </row>
    <row r="797" spans="1:42">
      <c r="A797" s="153">
        <f ca="1" t="shared" si="134"/>
        <v>2001007</v>
      </c>
      <c r="B797" s="91" t="s">
        <v>403</v>
      </c>
      <c r="C797" s="186">
        <v>2</v>
      </c>
      <c r="D797" s="186">
        <v>1</v>
      </c>
      <c r="E797" s="165" t="s">
        <v>721</v>
      </c>
      <c r="F797" s="298"/>
      <c r="G797" s="186">
        <v>-3</v>
      </c>
      <c r="H797" s="186">
        <f ca="1" t="shared" si="140"/>
        <v>0</v>
      </c>
      <c r="I797" s="186"/>
      <c r="J797" s="186">
        <f ca="1">OFFSET(card_type!$F$1,MATCH(Q797,card_type!A:A,0)-1,0)</f>
        <v>1</v>
      </c>
      <c r="K797" s="243">
        <f ca="1">OFFSET(card_type!$G$1,MATCH(Q797,card_type!A:A,0)-1,0)</f>
        <v>1</v>
      </c>
      <c r="L797" s="157">
        <v>1</v>
      </c>
      <c r="M797" s="157">
        <v>1</v>
      </c>
      <c r="N797" s="153">
        <f t="shared" si="133"/>
        <v>7</v>
      </c>
      <c r="O797" s="157"/>
      <c r="P797" s="157"/>
      <c r="Q797" s="153">
        <f ca="1">OFFSET(card_type!$A$1,MATCH(card!B797,card_type!B:B,0)-1,0)</f>
        <v>2001</v>
      </c>
      <c r="R797" s="153">
        <v>1</v>
      </c>
      <c r="S797" s="157">
        <f ca="1">ROUND(IF(R797=0,0,IF(R797=1,X797*$S$1,IF(R797=2,X797*$S$1*buff的资质计算!$E$2,IF(R797=3,X797*$S$1*buff的资质计算!$E$3,0)))),0)*0</f>
        <v>0</v>
      </c>
      <c r="T797" s="153">
        <v>1</v>
      </c>
      <c r="U797" s="153">
        <f ca="1" t="shared" si="135"/>
        <v>11</v>
      </c>
      <c r="V797" s="153">
        <f ca="1">ROUND((OFFSET(卡牌辅助配置表!$O$1,MATCH(U797,卡牌辅助配置表!M:M,0)-1,0)+(N797-1)*OFFSET(卡牌辅助配置表!$P$1,MATCH(U797,卡牌辅助配置表!M:M,0)-1,0))*M797,2)</f>
        <v>7.52</v>
      </c>
      <c r="W797" s="157">
        <f ca="1">ROUND(IF(R797=0,0,IF(R797=1,X797*$W$1,IF(R797=2,X797*$W$1*buff的资质计算!$E$2,IF(R797=3,X797*$W$1*buff的资质计算!$E$3,0)))),2)</f>
        <v>1.5</v>
      </c>
      <c r="X797" s="157">
        <f ca="1" t="shared" si="130"/>
        <v>5</v>
      </c>
      <c r="Y797" s="157">
        <f ca="1" t="shared" si="141"/>
        <v>5</v>
      </c>
      <c r="Z797" s="304">
        <f ca="1" t="shared" si="132"/>
        <v>5</v>
      </c>
      <c r="AA797" s="304">
        <f ca="1">OFFSET(卡牌辅助配置表!$AD$1,MATCH(AB797,卡牌辅助配置表!AB:AB,0)-1,0)</f>
        <v>126</v>
      </c>
      <c r="AB797" s="304">
        <f ca="1" t="shared" si="136"/>
        <v>1107</v>
      </c>
      <c r="AF797" s="153" t="str">
        <f ca="1" t="shared" si="139"/>
        <v>20010011|</v>
      </c>
      <c r="AJ797" s="205" t="str">
        <f ca="1" t="shared" si="137"/>
        <v>400023|1900|;</v>
      </c>
      <c r="AK797" s="205">
        <f ca="1">OFFSET([1]item_type!$A$1,MATCH(Q797,[1]item_type!$G:$G,0)-1,0)</f>
        <v>302001</v>
      </c>
      <c r="AL797" s="205"/>
      <c r="AM797" s="205">
        <f ca="1">IF(B797=B798,OFFSET(卡牌辅助配置表!$AE$1,MATCH(AB797,卡牌辅助配置表!AB:AB,0),0),0)</f>
        <v>1900</v>
      </c>
      <c r="AN797" s="153">
        <f ca="1" t="shared" si="138"/>
        <v>2001008</v>
      </c>
      <c r="AP797" s="153">
        <f ca="1">IF(AC797=0,0,IF(AC797=12,0,OFFSET(effect!$N$1,MATCH(K797,effect!M:M,0)-1,0)))</f>
        <v>0</v>
      </c>
    </row>
    <row r="798" spans="1:42">
      <c r="A798" s="153">
        <f ca="1" t="shared" si="134"/>
        <v>2001008</v>
      </c>
      <c r="B798" s="91" t="s">
        <v>403</v>
      </c>
      <c r="C798" s="186">
        <v>2</v>
      </c>
      <c r="D798" s="186">
        <v>1</v>
      </c>
      <c r="E798" s="165" t="s">
        <v>721</v>
      </c>
      <c r="F798" s="298"/>
      <c r="G798" s="186">
        <v>-3</v>
      </c>
      <c r="H798" s="186">
        <f ca="1" t="shared" si="140"/>
        <v>0</v>
      </c>
      <c r="I798" s="186"/>
      <c r="J798" s="186">
        <f ca="1">OFFSET(card_type!$F$1,MATCH(Q798,card_type!A:A,0)-1,0)</f>
        <v>1</v>
      </c>
      <c r="K798" s="243">
        <f ca="1">OFFSET(card_type!$G$1,MATCH(Q798,card_type!A:A,0)-1,0)</f>
        <v>1</v>
      </c>
      <c r="L798" s="157">
        <v>1</v>
      </c>
      <c r="M798" s="157">
        <v>1</v>
      </c>
      <c r="N798" s="153">
        <f t="shared" si="133"/>
        <v>8</v>
      </c>
      <c r="O798" s="157"/>
      <c r="P798" s="157"/>
      <c r="Q798" s="153">
        <f ca="1">OFFSET(card_type!$A$1,MATCH(card!B798,card_type!B:B,0)-1,0)</f>
        <v>2001</v>
      </c>
      <c r="R798" s="153">
        <v>1</v>
      </c>
      <c r="S798" s="157">
        <f ca="1">ROUND(IF(R798=0,0,IF(R798=1,X798*$S$1,IF(R798=2,X798*$S$1*buff的资质计算!$E$2,IF(R798=3,X798*$S$1*buff的资质计算!$E$3,0)))),0)*0</f>
        <v>0</v>
      </c>
      <c r="T798" s="153">
        <v>1</v>
      </c>
      <c r="U798" s="153">
        <f ca="1" t="shared" si="135"/>
        <v>11</v>
      </c>
      <c r="V798" s="153">
        <f ca="1">ROUND((OFFSET(卡牌辅助配置表!$O$1,MATCH(U798,卡牌辅助配置表!M:M,0)-1,0)+(N798-1)*OFFSET(卡牌辅助配置表!$P$1,MATCH(U798,卡牌辅助配置表!M:M,0)-1,0))*M798,2)</f>
        <v>7.73</v>
      </c>
      <c r="W798" s="157">
        <f ca="1">ROUND(IF(R798=0,0,IF(R798=1,X798*$W$1,IF(R798=2,X798*$W$1*buff的资质计算!$E$2,IF(R798=3,X798*$W$1*buff的资质计算!$E$3,0)))),2)</f>
        <v>1.65</v>
      </c>
      <c r="X798" s="157">
        <f ca="1" t="shared" si="130"/>
        <v>5.5</v>
      </c>
      <c r="Y798" s="157">
        <f ca="1" t="shared" si="141"/>
        <v>5.5</v>
      </c>
      <c r="Z798" s="304">
        <f ca="1" t="shared" si="132"/>
        <v>5.5</v>
      </c>
      <c r="AA798" s="304">
        <f ca="1">OFFSET(卡牌辅助配置表!$AD$1,MATCH(AB798,卡牌辅助配置表!AB:AB,0)-1,0)</f>
        <v>144</v>
      </c>
      <c r="AB798" s="304">
        <f ca="1" t="shared" si="136"/>
        <v>1108</v>
      </c>
      <c r="AF798" s="153" t="str">
        <f ca="1" t="shared" si="139"/>
        <v>20010011|</v>
      </c>
      <c r="AJ798" s="205" t="str">
        <f ca="1" t="shared" si="137"/>
        <v>400023|2100|;</v>
      </c>
      <c r="AK798" s="205">
        <f ca="1">OFFSET([1]item_type!$A$1,MATCH(Q798,[1]item_type!$G:$G,0)-1,0)</f>
        <v>302001</v>
      </c>
      <c r="AL798" s="205"/>
      <c r="AM798" s="205">
        <f ca="1">IF(B798=B799,OFFSET(卡牌辅助配置表!$AE$1,MATCH(AB798,卡牌辅助配置表!AB:AB,0),0),0)</f>
        <v>2100</v>
      </c>
      <c r="AN798" s="153">
        <f ca="1" t="shared" si="138"/>
        <v>2001009</v>
      </c>
      <c r="AP798" s="153">
        <f ca="1">IF(AC798=0,0,IF(AC798=12,0,OFFSET(effect!$N$1,MATCH(K798,effect!M:M,0)-1,0)))</f>
        <v>0</v>
      </c>
    </row>
    <row r="799" spans="1:42">
      <c r="A799" s="153">
        <f ca="1" t="shared" si="134"/>
        <v>2001009</v>
      </c>
      <c r="B799" s="91" t="s">
        <v>403</v>
      </c>
      <c r="C799" s="186">
        <v>2</v>
      </c>
      <c r="D799" s="186">
        <v>1</v>
      </c>
      <c r="E799" s="165" t="s">
        <v>721</v>
      </c>
      <c r="F799" s="298"/>
      <c r="G799" s="186">
        <v>-3</v>
      </c>
      <c r="H799" s="186">
        <f ca="1" t="shared" si="140"/>
        <v>0</v>
      </c>
      <c r="I799" s="186"/>
      <c r="J799" s="186">
        <f ca="1">OFFSET(card_type!$F$1,MATCH(Q799,card_type!A:A,0)-1,0)</f>
        <v>1</v>
      </c>
      <c r="K799" s="243">
        <f ca="1">OFFSET(card_type!$G$1,MATCH(Q799,card_type!A:A,0)-1,0)</f>
        <v>1</v>
      </c>
      <c r="L799" s="157">
        <v>1</v>
      </c>
      <c r="M799" s="157">
        <v>1</v>
      </c>
      <c r="N799" s="153">
        <f t="shared" si="133"/>
        <v>9</v>
      </c>
      <c r="O799" s="157"/>
      <c r="P799" s="157"/>
      <c r="Q799" s="153">
        <f ca="1">OFFSET(card_type!$A$1,MATCH(card!B799,card_type!B:B,0)-1,0)</f>
        <v>2001</v>
      </c>
      <c r="R799" s="153">
        <v>1</v>
      </c>
      <c r="S799" s="157">
        <f ca="1">ROUND(IF(R799=0,0,IF(R799=1,X799*$S$1,IF(R799=2,X799*$S$1*buff的资质计算!$E$2,IF(R799=3,X799*$S$1*buff的资质计算!$E$3,0)))),0)*0</f>
        <v>0</v>
      </c>
      <c r="T799" s="153">
        <v>1</v>
      </c>
      <c r="U799" s="153">
        <f ca="1" t="shared" si="135"/>
        <v>11</v>
      </c>
      <c r="V799" s="153">
        <f ca="1">ROUND((OFFSET(卡牌辅助配置表!$O$1,MATCH(U799,卡牌辅助配置表!M:M,0)-1,0)+(N799-1)*OFFSET(卡牌辅助配置表!$P$1,MATCH(U799,卡牌辅助配置表!M:M,0)-1,0))*M799,2)</f>
        <v>7.94</v>
      </c>
      <c r="W799" s="157">
        <f ca="1">ROUND(IF(R799=0,0,IF(R799=1,X799*$W$1,IF(R799=2,X799*$W$1*buff的资质计算!$E$2,IF(R799=3,X799*$W$1*buff的资质计算!$E$3,0)))),2)</f>
        <v>1.8</v>
      </c>
      <c r="X799" s="157">
        <f ca="1" t="shared" si="130"/>
        <v>6</v>
      </c>
      <c r="Y799" s="157">
        <f ca="1" t="shared" si="141"/>
        <v>6</v>
      </c>
      <c r="Z799" s="304">
        <f ca="1" t="shared" si="132"/>
        <v>6</v>
      </c>
      <c r="AA799" s="304">
        <f ca="1">OFFSET(卡牌辅助配置表!$AD$1,MATCH(AB799,卡牌辅助配置表!AB:AB,0)-1,0)</f>
        <v>162</v>
      </c>
      <c r="AB799" s="304">
        <f ca="1" t="shared" si="136"/>
        <v>1109</v>
      </c>
      <c r="AF799" s="153" t="str">
        <f ca="1" t="shared" si="139"/>
        <v>20010011|</v>
      </c>
      <c r="AJ799" s="205" t="str">
        <f ca="1" t="shared" si="137"/>
        <v>302001|15|;400023|2300|;</v>
      </c>
      <c r="AK799" s="205">
        <f ca="1">OFFSET([1]item_type!$A$1,MATCH(Q799,[1]item_type!$G:$G,0)-1,0)</f>
        <v>302001</v>
      </c>
      <c r="AL799" s="205">
        <v>15</v>
      </c>
      <c r="AM799" s="205">
        <f ca="1">IF(B799=B800,OFFSET(卡牌辅助配置表!$AE$1,MATCH(AB799,卡牌辅助配置表!AB:AB,0),0),0)</f>
        <v>2300</v>
      </c>
      <c r="AN799" s="153">
        <f ca="1" t="shared" si="138"/>
        <v>2001010</v>
      </c>
      <c r="AP799" s="153">
        <f ca="1">IF(AC799=0,0,IF(AC799=12,0,OFFSET(effect!$N$1,MATCH(K799,effect!M:M,0)-1,0)))</f>
        <v>0</v>
      </c>
    </row>
    <row r="800" spans="1:42">
      <c r="A800" s="153">
        <f ca="1" t="shared" si="134"/>
        <v>2001010</v>
      </c>
      <c r="B800" s="91" t="s">
        <v>403</v>
      </c>
      <c r="C800" s="186">
        <v>2</v>
      </c>
      <c r="D800" s="186">
        <v>1</v>
      </c>
      <c r="E800" s="165" t="s">
        <v>721</v>
      </c>
      <c r="F800" s="298"/>
      <c r="G800" s="186">
        <v>-3</v>
      </c>
      <c r="H800" s="186">
        <f ca="1" t="shared" si="140"/>
        <v>0</v>
      </c>
      <c r="I800" s="186"/>
      <c r="J800" s="186">
        <f ca="1">OFFSET(card_type!$F$1,MATCH(Q800,card_type!A:A,0)-1,0)</f>
        <v>1</v>
      </c>
      <c r="K800" s="243">
        <f ca="1">OFFSET(card_type!$G$1,MATCH(Q800,card_type!A:A,0)-1,0)</f>
        <v>1</v>
      </c>
      <c r="L800" s="157">
        <v>1</v>
      </c>
      <c r="M800" s="157">
        <v>1</v>
      </c>
      <c r="N800" s="153">
        <f t="shared" si="133"/>
        <v>10</v>
      </c>
      <c r="O800" s="157"/>
      <c r="P800" s="157"/>
      <c r="Q800" s="153">
        <f ca="1">OFFSET(card_type!$A$1,MATCH(card!B800,card_type!B:B,0)-1,0)</f>
        <v>2001</v>
      </c>
      <c r="R800" s="153">
        <v>1</v>
      </c>
      <c r="S800" s="157">
        <f ca="1">ROUND(IF(R800=0,0,IF(R800=1,X800*$S$1,IF(R800=2,X800*$S$1*buff的资质计算!$E$2,IF(R800=3,X800*$S$1*buff的资质计算!$E$3,0)))),0)*0</f>
        <v>0</v>
      </c>
      <c r="T800" s="153">
        <v>1</v>
      </c>
      <c r="U800" s="153">
        <f ca="1" t="shared" si="135"/>
        <v>11</v>
      </c>
      <c r="V800" s="153">
        <f ca="1">ROUND((OFFSET(卡牌辅助配置表!$O$1,MATCH(U800,卡牌辅助配置表!M:M,0)-1,0)+(N800-1)*OFFSET(卡牌辅助配置表!$P$1,MATCH(U800,卡牌辅助配置表!M:M,0)-1,0))*M800,2)</f>
        <v>8.15</v>
      </c>
      <c r="W800" s="157">
        <f ca="1">ROUND(IF(R800=0,0,IF(R800=1,X800*$W$1,IF(R800=2,X800*$W$1*buff的资质计算!$E$2,IF(R800=3,X800*$W$1*buff的资质计算!$E$3,0)))),2)</f>
        <v>1.95</v>
      </c>
      <c r="X800" s="157">
        <f ca="1" t="shared" si="130"/>
        <v>6.5</v>
      </c>
      <c r="Y800" s="157">
        <f ca="1" t="shared" si="141"/>
        <v>6.5</v>
      </c>
      <c r="Z800" s="304">
        <f ca="1" t="shared" si="132"/>
        <v>6.5</v>
      </c>
      <c r="AA800" s="304">
        <f ca="1">OFFSET(卡牌辅助配置表!$AD$1,MATCH(AB800,卡牌辅助配置表!AB:AB,0)-1,0)</f>
        <v>180</v>
      </c>
      <c r="AB800" s="304">
        <f ca="1" t="shared" si="136"/>
        <v>1110</v>
      </c>
      <c r="AF800" s="153" t="str">
        <f ca="1" t="shared" si="139"/>
        <v>20010011|</v>
      </c>
      <c r="AJ800" s="205" t="str">
        <f ca="1" t="shared" si="137"/>
        <v>400023|2700|;</v>
      </c>
      <c r="AK800" s="205">
        <f ca="1">OFFSET([1]item_type!$A$1,MATCH(Q800,[1]item_type!$G:$G,0)-1,0)</f>
        <v>302001</v>
      </c>
      <c r="AL800" s="205"/>
      <c r="AM800" s="205">
        <f ca="1">IF(B800=B801,OFFSET(卡牌辅助配置表!$AE$1,MATCH(AB800,卡牌辅助配置表!AB:AB,0),0),0)</f>
        <v>2700</v>
      </c>
      <c r="AN800" s="153">
        <f ca="1" t="shared" si="138"/>
        <v>2001011</v>
      </c>
      <c r="AP800" s="153">
        <f ca="1">IF(AC800=0,0,IF(AC800=12,0,OFFSET(effect!$N$1,MATCH(K800,effect!M:M,0)-1,0)))</f>
        <v>0</v>
      </c>
    </row>
    <row r="801" spans="1:42">
      <c r="A801" s="153">
        <f ca="1" t="shared" si="134"/>
        <v>2001011</v>
      </c>
      <c r="B801" s="91" t="s">
        <v>403</v>
      </c>
      <c r="C801" s="186">
        <v>2</v>
      </c>
      <c r="D801" s="186">
        <v>1</v>
      </c>
      <c r="E801" s="165" t="s">
        <v>721</v>
      </c>
      <c r="F801" s="298"/>
      <c r="G801" s="186">
        <v>-3</v>
      </c>
      <c r="H801" s="186">
        <f ca="1" t="shared" si="140"/>
        <v>0</v>
      </c>
      <c r="I801" s="186"/>
      <c r="J801" s="186">
        <f ca="1">OFFSET(card_type!$F$1,MATCH(Q801,card_type!A:A,0)-1,0)</f>
        <v>1</v>
      </c>
      <c r="K801" s="243">
        <f ca="1">OFFSET(card_type!$G$1,MATCH(Q801,card_type!A:A,0)-1,0)</f>
        <v>1</v>
      </c>
      <c r="L801" s="157">
        <v>1</v>
      </c>
      <c r="M801" s="157">
        <v>1</v>
      </c>
      <c r="N801" s="153">
        <f t="shared" si="133"/>
        <v>11</v>
      </c>
      <c r="O801" s="157"/>
      <c r="P801" s="157"/>
      <c r="Q801" s="153">
        <f ca="1">OFFSET(card_type!$A$1,MATCH(card!B801,card_type!B:B,0)-1,0)</f>
        <v>2001</v>
      </c>
      <c r="R801" s="153">
        <v>1</v>
      </c>
      <c r="S801" s="157">
        <f ca="1">ROUND(IF(R801=0,0,IF(R801=1,X801*$S$1,IF(R801=2,X801*$S$1*buff的资质计算!$E$2,IF(R801=3,X801*$S$1*buff的资质计算!$E$3,0)))),0)*0</f>
        <v>0</v>
      </c>
      <c r="T801" s="153">
        <v>1</v>
      </c>
      <c r="U801" s="153">
        <f ca="1" t="shared" si="135"/>
        <v>11</v>
      </c>
      <c r="V801" s="153">
        <f ca="1">ROUND((OFFSET(卡牌辅助配置表!$O$1,MATCH(U801,卡牌辅助配置表!M:M,0)-1,0)+(N801-1)*OFFSET(卡牌辅助配置表!$P$1,MATCH(U801,卡牌辅助配置表!M:M,0)-1,0))*M801,2)</f>
        <v>8.36</v>
      </c>
      <c r="W801" s="157">
        <f ca="1">ROUND(IF(R801=0,0,IF(R801=1,X801*$W$1,IF(R801=2,X801*$W$1*buff的资质计算!$E$2,IF(R801=3,X801*$W$1*buff的资质计算!$E$3,0)))),2)</f>
        <v>2.1</v>
      </c>
      <c r="X801" s="157">
        <f ca="1" t="shared" si="130"/>
        <v>7</v>
      </c>
      <c r="Y801" s="157">
        <f ca="1" t="shared" si="141"/>
        <v>7</v>
      </c>
      <c r="Z801" s="304">
        <f ca="1" t="shared" si="132"/>
        <v>7</v>
      </c>
      <c r="AA801" s="304">
        <f ca="1">OFFSET(卡牌辅助配置表!$AD$1,MATCH(AB801,卡牌辅助配置表!AB:AB,0)-1,0)</f>
        <v>207</v>
      </c>
      <c r="AB801" s="304">
        <f ca="1" t="shared" si="136"/>
        <v>1111</v>
      </c>
      <c r="AF801" s="153" t="str">
        <f ca="1" t="shared" si="139"/>
        <v>20010011|</v>
      </c>
      <c r="AJ801" s="205" t="str">
        <f ca="1" t="shared" si="137"/>
        <v>400023|3100|;</v>
      </c>
      <c r="AK801" s="205">
        <f ca="1">OFFSET([1]item_type!$A$1,MATCH(Q801,[1]item_type!$G:$G,0)-1,0)</f>
        <v>302001</v>
      </c>
      <c r="AL801" s="205"/>
      <c r="AM801" s="205">
        <f ca="1">IF(B801=B802,OFFSET(卡牌辅助配置表!$AE$1,MATCH(AB801,卡牌辅助配置表!AB:AB,0),0),0)</f>
        <v>3100</v>
      </c>
      <c r="AN801" s="153">
        <f ca="1" t="shared" si="138"/>
        <v>2001012</v>
      </c>
      <c r="AP801" s="153">
        <f ca="1">IF(AC801=0,0,IF(AC801=12,0,OFFSET(effect!$N$1,MATCH(K801,effect!M:M,0)-1,0)))</f>
        <v>0</v>
      </c>
    </row>
    <row r="802" spans="1:42">
      <c r="A802" s="153">
        <f ca="1" t="shared" si="134"/>
        <v>2001012</v>
      </c>
      <c r="B802" s="91" t="s">
        <v>403</v>
      </c>
      <c r="C802" s="186">
        <v>2</v>
      </c>
      <c r="D802" s="186">
        <v>1</v>
      </c>
      <c r="E802" s="165" t="s">
        <v>721</v>
      </c>
      <c r="F802" s="298"/>
      <c r="G802" s="186">
        <v>-3</v>
      </c>
      <c r="H802" s="186">
        <f ca="1" t="shared" si="140"/>
        <v>0</v>
      </c>
      <c r="I802" s="186"/>
      <c r="J802" s="186">
        <f ca="1">OFFSET(card_type!$F$1,MATCH(Q802,card_type!A:A,0)-1,0)</f>
        <v>1</v>
      </c>
      <c r="K802" s="243">
        <f ca="1">OFFSET(card_type!$G$1,MATCH(Q802,card_type!A:A,0)-1,0)</f>
        <v>1</v>
      </c>
      <c r="L802" s="157">
        <v>1</v>
      </c>
      <c r="M802" s="157">
        <v>1</v>
      </c>
      <c r="N802" s="153">
        <f t="shared" si="133"/>
        <v>12</v>
      </c>
      <c r="O802" s="157"/>
      <c r="P802" s="157"/>
      <c r="Q802" s="153">
        <f ca="1">OFFSET(card_type!$A$1,MATCH(card!B802,card_type!B:B,0)-1,0)</f>
        <v>2001</v>
      </c>
      <c r="R802" s="153">
        <v>1</v>
      </c>
      <c r="S802" s="157">
        <f ca="1">ROUND(IF(R802=0,0,IF(R802=1,X802*$S$1,IF(R802=2,X802*$S$1*buff的资质计算!$E$2,IF(R802=3,X802*$S$1*buff的资质计算!$E$3,0)))),0)*0</f>
        <v>0</v>
      </c>
      <c r="T802" s="153">
        <v>1</v>
      </c>
      <c r="U802" s="153">
        <f ca="1" t="shared" si="135"/>
        <v>11</v>
      </c>
      <c r="V802" s="153">
        <f ca="1">ROUND((OFFSET(卡牌辅助配置表!$O$1,MATCH(U802,卡牌辅助配置表!M:M,0)-1,0)+(N802-1)*OFFSET(卡牌辅助配置表!$P$1,MATCH(U802,卡牌辅助配置表!M:M,0)-1,0))*M802,2)</f>
        <v>8.57</v>
      </c>
      <c r="W802" s="157">
        <f ca="1">ROUND(IF(R802=0,0,IF(R802=1,X802*$W$1,IF(R802=2,X802*$W$1*buff的资质计算!$E$2,IF(R802=3,X802*$W$1*buff的资质计算!$E$3,0)))),2)</f>
        <v>2.25</v>
      </c>
      <c r="X802" s="157">
        <f ca="1" t="shared" si="130"/>
        <v>7.5</v>
      </c>
      <c r="Y802" s="157">
        <f ca="1" t="shared" si="141"/>
        <v>7.5</v>
      </c>
      <c r="Z802" s="304">
        <f ca="1" t="shared" si="132"/>
        <v>7.5</v>
      </c>
      <c r="AA802" s="304">
        <f ca="1">OFFSET(卡牌辅助配置表!$AD$1,MATCH(AB802,卡牌辅助配置表!AB:AB,0)-1,0)</f>
        <v>234</v>
      </c>
      <c r="AB802" s="304">
        <f ca="1" t="shared" si="136"/>
        <v>1112</v>
      </c>
      <c r="AF802" s="153" t="str">
        <f ca="1" t="shared" si="139"/>
        <v>20010011|</v>
      </c>
      <c r="AJ802" s="205" t="str">
        <f ca="1" t="shared" si="137"/>
        <v>400023|3500|;</v>
      </c>
      <c r="AK802" s="205">
        <f ca="1">OFFSET([1]item_type!$A$1,MATCH(Q802,[1]item_type!$G:$G,0)-1,0)</f>
        <v>302001</v>
      </c>
      <c r="AL802" s="205"/>
      <c r="AM802" s="205">
        <f ca="1">IF(B802=B803,OFFSET(卡牌辅助配置表!$AE$1,MATCH(AB802,卡牌辅助配置表!AB:AB,0),0),0)</f>
        <v>3500</v>
      </c>
      <c r="AN802" s="153">
        <f ca="1" t="shared" si="138"/>
        <v>2001013</v>
      </c>
      <c r="AP802" s="153">
        <f ca="1">IF(AC802=0,0,IF(AC802=12,0,OFFSET(effect!$N$1,MATCH(K802,effect!M:M,0)-1,0)))</f>
        <v>0</v>
      </c>
    </row>
    <row r="803" spans="1:42">
      <c r="A803" s="153">
        <f ca="1" t="shared" si="134"/>
        <v>2001013</v>
      </c>
      <c r="B803" s="91" t="s">
        <v>403</v>
      </c>
      <c r="C803" s="186">
        <v>2</v>
      </c>
      <c r="D803" s="186">
        <v>1</v>
      </c>
      <c r="E803" s="165" t="s">
        <v>721</v>
      </c>
      <c r="F803" s="298"/>
      <c r="G803" s="186">
        <v>-3</v>
      </c>
      <c r="H803" s="186">
        <f ca="1" t="shared" si="140"/>
        <v>0</v>
      </c>
      <c r="I803" s="186"/>
      <c r="J803" s="186">
        <f ca="1">OFFSET(card_type!$F$1,MATCH(Q803,card_type!A:A,0)-1,0)</f>
        <v>1</v>
      </c>
      <c r="K803" s="243">
        <f ca="1">OFFSET(card_type!$G$1,MATCH(Q803,card_type!A:A,0)-1,0)</f>
        <v>1</v>
      </c>
      <c r="L803" s="157">
        <v>1</v>
      </c>
      <c r="M803" s="157">
        <v>1</v>
      </c>
      <c r="N803" s="153">
        <f t="shared" si="133"/>
        <v>13</v>
      </c>
      <c r="O803" s="157"/>
      <c r="P803" s="157"/>
      <c r="Q803" s="153">
        <f ca="1">OFFSET(card_type!$A$1,MATCH(card!B803,card_type!B:B,0)-1,0)</f>
        <v>2001</v>
      </c>
      <c r="R803" s="153">
        <v>1</v>
      </c>
      <c r="S803" s="157">
        <f ca="1">ROUND(IF(R803=0,0,IF(R803=1,X803*$S$1,IF(R803=2,X803*$S$1*buff的资质计算!$E$2,IF(R803=3,X803*$S$1*buff的资质计算!$E$3,0)))),0)*0</f>
        <v>0</v>
      </c>
      <c r="T803" s="153">
        <v>1</v>
      </c>
      <c r="U803" s="153">
        <f ca="1" t="shared" si="135"/>
        <v>11</v>
      </c>
      <c r="V803" s="153">
        <f ca="1">ROUND((OFFSET(卡牌辅助配置表!$O$1,MATCH(U803,卡牌辅助配置表!M:M,0)-1,0)+(N803-1)*OFFSET(卡牌辅助配置表!$P$1,MATCH(U803,卡牌辅助配置表!M:M,0)-1,0))*M803,2)</f>
        <v>8.78</v>
      </c>
      <c r="W803" s="157">
        <f ca="1">ROUND(IF(R803=0,0,IF(R803=1,X803*$W$1,IF(R803=2,X803*$W$1*buff的资质计算!$E$2,IF(R803=3,X803*$W$1*buff的资质计算!$E$3,0)))),2)</f>
        <v>2.4</v>
      </c>
      <c r="X803" s="157">
        <f ca="1" t="shared" si="130"/>
        <v>8</v>
      </c>
      <c r="Y803" s="157">
        <f ca="1" t="shared" si="141"/>
        <v>8</v>
      </c>
      <c r="Z803" s="304">
        <f ca="1" t="shared" si="132"/>
        <v>8</v>
      </c>
      <c r="AA803" s="304">
        <f ca="1">OFFSET(卡牌辅助配置表!$AD$1,MATCH(AB803,卡牌辅助配置表!AB:AB,0)-1,0)</f>
        <v>261</v>
      </c>
      <c r="AB803" s="304">
        <f ca="1" t="shared" si="136"/>
        <v>1113</v>
      </c>
      <c r="AF803" s="153" t="str">
        <f ca="1" t="shared" si="139"/>
        <v>20010011|</v>
      </c>
      <c r="AJ803" s="205" t="str">
        <f ca="1" t="shared" si="137"/>
        <v>400023|3900|;</v>
      </c>
      <c r="AK803" s="205">
        <f ca="1">OFFSET([1]item_type!$A$1,MATCH(Q803,[1]item_type!$G:$G,0)-1,0)</f>
        <v>302001</v>
      </c>
      <c r="AL803" s="205"/>
      <c r="AM803" s="205">
        <f ca="1">IF(B803=B804,OFFSET(卡牌辅助配置表!$AE$1,MATCH(AB803,卡牌辅助配置表!AB:AB,0),0),0)</f>
        <v>3900</v>
      </c>
      <c r="AN803" s="153">
        <f ca="1" t="shared" si="138"/>
        <v>2001014</v>
      </c>
      <c r="AP803" s="153">
        <f ca="1">IF(AC803=0,0,IF(AC803=12,0,OFFSET(effect!$N$1,MATCH(K803,effect!M:M,0)-1,0)))</f>
        <v>0</v>
      </c>
    </row>
    <row r="804" spans="1:42">
      <c r="A804" s="153">
        <f ca="1" t="shared" si="134"/>
        <v>2001014</v>
      </c>
      <c r="B804" s="91" t="s">
        <v>403</v>
      </c>
      <c r="C804" s="186">
        <v>2</v>
      </c>
      <c r="D804" s="186">
        <v>1</v>
      </c>
      <c r="E804" s="165" t="s">
        <v>721</v>
      </c>
      <c r="F804" s="298"/>
      <c r="G804" s="186">
        <v>-3</v>
      </c>
      <c r="H804" s="186">
        <f ca="1" t="shared" si="140"/>
        <v>0</v>
      </c>
      <c r="I804" s="186"/>
      <c r="J804" s="186">
        <f ca="1">OFFSET(card_type!$F$1,MATCH(Q804,card_type!A:A,0)-1,0)</f>
        <v>1</v>
      </c>
      <c r="K804" s="243">
        <f ca="1">OFFSET(card_type!$G$1,MATCH(Q804,card_type!A:A,0)-1,0)</f>
        <v>1</v>
      </c>
      <c r="L804" s="157">
        <v>1</v>
      </c>
      <c r="M804" s="157">
        <v>1</v>
      </c>
      <c r="N804" s="153">
        <f t="shared" si="133"/>
        <v>14</v>
      </c>
      <c r="O804" s="157"/>
      <c r="P804" s="157"/>
      <c r="Q804" s="153">
        <f ca="1">OFFSET(card_type!$A$1,MATCH(card!B804,card_type!B:B,0)-1,0)</f>
        <v>2001</v>
      </c>
      <c r="R804" s="153">
        <v>1</v>
      </c>
      <c r="S804" s="157">
        <f ca="1">ROUND(IF(R804=0,0,IF(R804=1,X804*$S$1,IF(R804=2,X804*$S$1*buff的资质计算!$E$2,IF(R804=3,X804*$S$1*buff的资质计算!$E$3,0)))),0)*0</f>
        <v>0</v>
      </c>
      <c r="T804" s="153">
        <v>1</v>
      </c>
      <c r="U804" s="153">
        <f ca="1" t="shared" si="135"/>
        <v>11</v>
      </c>
      <c r="V804" s="153">
        <f ca="1">ROUND((OFFSET(卡牌辅助配置表!$O$1,MATCH(U804,卡牌辅助配置表!M:M,0)-1,0)+(N804-1)*OFFSET(卡牌辅助配置表!$P$1,MATCH(U804,卡牌辅助配置表!M:M,0)-1,0))*M804,2)</f>
        <v>8.99</v>
      </c>
      <c r="W804" s="157">
        <f ca="1">ROUND(IF(R804=0,0,IF(R804=1,X804*$W$1,IF(R804=2,X804*$W$1*buff的资质计算!$E$2,IF(R804=3,X804*$W$1*buff的资质计算!$E$3,0)))),2)</f>
        <v>2.55</v>
      </c>
      <c r="X804" s="157">
        <f ca="1" t="shared" si="130"/>
        <v>8.5</v>
      </c>
      <c r="Y804" s="157">
        <f ca="1" t="shared" si="141"/>
        <v>8.5</v>
      </c>
      <c r="Z804" s="304">
        <f ca="1" t="shared" si="132"/>
        <v>8.5</v>
      </c>
      <c r="AA804" s="304">
        <f ca="1">OFFSET(卡牌辅助配置表!$AD$1,MATCH(AB804,卡牌辅助配置表!AB:AB,0)-1,0)</f>
        <v>288</v>
      </c>
      <c r="AB804" s="304">
        <f ca="1" t="shared" si="136"/>
        <v>1114</v>
      </c>
      <c r="AF804" s="153" t="str">
        <f ca="1" t="shared" si="139"/>
        <v>20010011|</v>
      </c>
      <c r="AJ804" s="205" t="str">
        <f ca="1" t="shared" si="137"/>
        <v>400023|4300|;</v>
      </c>
      <c r="AK804" s="205">
        <f ca="1">OFFSET([1]item_type!$A$1,MATCH(Q804,[1]item_type!$G:$G,0)-1,0)</f>
        <v>302001</v>
      </c>
      <c r="AL804" s="205"/>
      <c r="AM804" s="205">
        <f ca="1">IF(B804=B805,OFFSET(卡牌辅助配置表!$AE$1,MATCH(AB804,卡牌辅助配置表!AB:AB,0),0),0)</f>
        <v>4300</v>
      </c>
      <c r="AN804" s="153">
        <f ca="1" t="shared" si="138"/>
        <v>2001015</v>
      </c>
      <c r="AP804" s="153">
        <f ca="1">IF(AC804=0,0,IF(AC804=12,0,OFFSET(effect!$N$1,MATCH(K804,effect!M:M,0)-1,0)))</f>
        <v>0</v>
      </c>
    </row>
    <row r="805" spans="1:42">
      <c r="A805" s="153">
        <f ca="1" t="shared" si="134"/>
        <v>2001015</v>
      </c>
      <c r="B805" s="91" t="s">
        <v>403</v>
      </c>
      <c r="C805" s="186">
        <v>2</v>
      </c>
      <c r="D805" s="186">
        <v>1</v>
      </c>
      <c r="E805" s="165" t="s">
        <v>721</v>
      </c>
      <c r="F805" s="298"/>
      <c r="G805" s="186">
        <v>-3</v>
      </c>
      <c r="H805" s="186">
        <f ca="1" t="shared" si="140"/>
        <v>0</v>
      </c>
      <c r="I805" s="186"/>
      <c r="J805" s="186">
        <f ca="1">OFFSET(card_type!$F$1,MATCH(Q805,card_type!A:A,0)-1,0)</f>
        <v>1</v>
      </c>
      <c r="K805" s="243">
        <f ca="1">OFFSET(card_type!$G$1,MATCH(Q805,card_type!A:A,0)-1,0)</f>
        <v>1</v>
      </c>
      <c r="L805" s="157">
        <v>1</v>
      </c>
      <c r="M805" s="157">
        <v>1</v>
      </c>
      <c r="N805" s="153">
        <f t="shared" si="133"/>
        <v>15</v>
      </c>
      <c r="O805" s="157"/>
      <c r="P805" s="157"/>
      <c r="Q805" s="153">
        <f ca="1">OFFSET(card_type!$A$1,MATCH(card!B805,card_type!B:B,0)-1,0)</f>
        <v>2001</v>
      </c>
      <c r="R805" s="153">
        <v>1</v>
      </c>
      <c r="S805" s="157">
        <f ca="1">ROUND(IF(R805=0,0,IF(R805=1,X805*$S$1,IF(R805=2,X805*$S$1*buff的资质计算!$E$2,IF(R805=3,X805*$S$1*buff的资质计算!$E$3,0)))),0)*0</f>
        <v>0</v>
      </c>
      <c r="T805" s="153">
        <v>1</v>
      </c>
      <c r="U805" s="153">
        <f ca="1" t="shared" si="135"/>
        <v>11</v>
      </c>
      <c r="V805" s="153">
        <f ca="1">ROUND((OFFSET(卡牌辅助配置表!$O$1,MATCH(U805,卡牌辅助配置表!M:M,0)-1,0)+(N805-1)*OFFSET(卡牌辅助配置表!$P$1,MATCH(U805,卡牌辅助配置表!M:M,0)-1,0))*M805,2)</f>
        <v>9.2</v>
      </c>
      <c r="W805" s="157">
        <f ca="1">ROUND(IF(R805=0,0,IF(R805=1,X805*$W$1,IF(R805=2,X805*$W$1*buff的资质计算!$E$2,IF(R805=3,X805*$W$1*buff的资质计算!$E$3,0)))),2)</f>
        <v>2.7</v>
      </c>
      <c r="X805" s="157">
        <f ca="1" t="shared" si="130"/>
        <v>9</v>
      </c>
      <c r="Y805" s="157">
        <f ca="1" t="shared" si="141"/>
        <v>9</v>
      </c>
      <c r="Z805" s="304">
        <f ca="1" t="shared" si="132"/>
        <v>9</v>
      </c>
      <c r="AA805" s="304">
        <f ca="1">OFFSET(卡牌辅助配置表!$AD$1,MATCH(AB805,卡牌辅助配置表!AB:AB,0)-1,0)</f>
        <v>315</v>
      </c>
      <c r="AB805" s="304">
        <f ca="1" t="shared" si="136"/>
        <v>1115</v>
      </c>
      <c r="AF805" s="153" t="str">
        <f ca="1" t="shared" si="139"/>
        <v>20010011|</v>
      </c>
      <c r="AJ805" s="205" t="str">
        <f ca="1" t="shared" si="137"/>
        <v>400023|4700|;</v>
      </c>
      <c r="AK805" s="205">
        <f ca="1">OFFSET([1]item_type!$A$1,MATCH(Q805,[1]item_type!$G:$G,0)-1,0)</f>
        <v>302001</v>
      </c>
      <c r="AL805" s="205"/>
      <c r="AM805" s="205">
        <f ca="1">IF(B805=B806,OFFSET(卡牌辅助配置表!$AE$1,MATCH(AB805,卡牌辅助配置表!AB:AB,0),0),0)</f>
        <v>4700</v>
      </c>
      <c r="AN805" s="153">
        <f ca="1" t="shared" si="138"/>
        <v>2001016</v>
      </c>
      <c r="AP805" s="153">
        <f ca="1">IF(AC805=0,0,IF(AC805=12,0,OFFSET(effect!$N$1,MATCH(K805,effect!M:M,0)-1,0)))</f>
        <v>0</v>
      </c>
    </row>
    <row r="806" spans="1:42">
      <c r="A806" s="153">
        <f ca="1" t="shared" si="134"/>
        <v>2001016</v>
      </c>
      <c r="B806" s="91" t="s">
        <v>403</v>
      </c>
      <c r="C806" s="186">
        <v>2</v>
      </c>
      <c r="D806" s="186">
        <v>1</v>
      </c>
      <c r="E806" s="165" t="s">
        <v>721</v>
      </c>
      <c r="F806" s="298"/>
      <c r="G806" s="186">
        <v>-3</v>
      </c>
      <c r="H806" s="186">
        <f ca="1" t="shared" si="140"/>
        <v>0</v>
      </c>
      <c r="I806" s="186"/>
      <c r="J806" s="186">
        <f ca="1">OFFSET(card_type!$F$1,MATCH(Q806,card_type!A:A,0)-1,0)</f>
        <v>1</v>
      </c>
      <c r="K806" s="243">
        <f ca="1">OFFSET(card_type!$G$1,MATCH(Q806,card_type!A:A,0)-1,0)</f>
        <v>1</v>
      </c>
      <c r="L806" s="157">
        <v>1</v>
      </c>
      <c r="M806" s="157">
        <v>1</v>
      </c>
      <c r="N806" s="153">
        <f t="shared" si="133"/>
        <v>16</v>
      </c>
      <c r="O806" s="157"/>
      <c r="P806" s="157"/>
      <c r="Q806" s="153">
        <f ca="1">OFFSET(card_type!$A$1,MATCH(card!B806,card_type!B:B,0)-1,0)</f>
        <v>2001</v>
      </c>
      <c r="R806" s="153">
        <v>1</v>
      </c>
      <c r="S806" s="157">
        <f ca="1">ROUND(IF(R806=0,0,IF(R806=1,X806*$S$1,IF(R806=2,X806*$S$1*buff的资质计算!$E$2,IF(R806=3,X806*$S$1*buff的资质计算!$E$3,0)))),0)*0</f>
        <v>0</v>
      </c>
      <c r="T806" s="153">
        <v>1</v>
      </c>
      <c r="U806" s="153">
        <f ca="1" t="shared" si="135"/>
        <v>11</v>
      </c>
      <c r="V806" s="153">
        <f ca="1">ROUND((OFFSET(卡牌辅助配置表!$O$1,MATCH(U806,卡牌辅助配置表!M:M,0)-1,0)+(N806-1)*OFFSET(卡牌辅助配置表!$P$1,MATCH(U806,卡牌辅助配置表!M:M,0)-1,0))*M806,2)</f>
        <v>9.41</v>
      </c>
      <c r="W806" s="157">
        <f ca="1">ROUND(IF(R806=0,0,IF(R806=1,X806*$W$1,IF(R806=2,X806*$W$1*buff的资质计算!$E$2,IF(R806=3,X806*$W$1*buff的资质计算!$E$3,0)))),2)</f>
        <v>2.85</v>
      </c>
      <c r="X806" s="157">
        <f ca="1" t="shared" si="130"/>
        <v>9.5</v>
      </c>
      <c r="Y806" s="157">
        <f ca="1" t="shared" si="141"/>
        <v>9.5</v>
      </c>
      <c r="Z806" s="304">
        <f ca="1" t="shared" si="132"/>
        <v>9.5</v>
      </c>
      <c r="AA806" s="304">
        <f ca="1">OFFSET(卡牌辅助配置表!$AD$1,MATCH(AB806,卡牌辅助配置表!AB:AB,0)-1,0)</f>
        <v>342</v>
      </c>
      <c r="AB806" s="304">
        <f ca="1" t="shared" si="136"/>
        <v>1116</v>
      </c>
      <c r="AF806" s="153" t="str">
        <f ca="1" t="shared" si="139"/>
        <v>20010011|</v>
      </c>
      <c r="AJ806" s="205" t="str">
        <f ca="1" t="shared" si="137"/>
        <v>400023|5100|;</v>
      </c>
      <c r="AK806" s="205">
        <f ca="1">OFFSET([1]item_type!$A$1,MATCH(Q806,[1]item_type!$G:$G,0)-1,0)</f>
        <v>302001</v>
      </c>
      <c r="AL806" s="205"/>
      <c r="AM806" s="205">
        <f ca="1">IF(B806=B807,OFFSET(卡牌辅助配置表!$AE$1,MATCH(AB806,卡牌辅助配置表!AB:AB,0),0),0)</f>
        <v>5100</v>
      </c>
      <c r="AN806" s="153">
        <f ca="1" t="shared" si="138"/>
        <v>2001017</v>
      </c>
      <c r="AP806" s="153">
        <f ca="1">IF(AC806=0,0,IF(AC806=12,0,OFFSET(effect!$N$1,MATCH(K806,effect!M:M,0)-1,0)))</f>
        <v>0</v>
      </c>
    </row>
    <row r="807" spans="1:42">
      <c r="A807" s="153">
        <f ca="1" t="shared" si="134"/>
        <v>2001017</v>
      </c>
      <c r="B807" s="91" t="s">
        <v>403</v>
      </c>
      <c r="C807" s="186">
        <v>2</v>
      </c>
      <c r="D807" s="186">
        <v>1</v>
      </c>
      <c r="E807" s="165" t="s">
        <v>721</v>
      </c>
      <c r="F807" s="298"/>
      <c r="G807" s="186">
        <v>-3</v>
      </c>
      <c r="H807" s="186">
        <f ca="1" t="shared" si="140"/>
        <v>0</v>
      </c>
      <c r="I807" s="186"/>
      <c r="J807" s="186">
        <f ca="1">OFFSET(card_type!$F$1,MATCH(Q807,card_type!A:A,0)-1,0)</f>
        <v>1</v>
      </c>
      <c r="K807" s="243">
        <f ca="1">OFFSET(card_type!$G$1,MATCH(Q807,card_type!A:A,0)-1,0)</f>
        <v>1</v>
      </c>
      <c r="L807" s="157">
        <v>1</v>
      </c>
      <c r="M807" s="157">
        <v>1</v>
      </c>
      <c r="N807" s="153">
        <f t="shared" si="133"/>
        <v>17</v>
      </c>
      <c r="O807" s="157"/>
      <c r="P807" s="157"/>
      <c r="Q807" s="153">
        <f ca="1">OFFSET(card_type!$A$1,MATCH(card!B807,card_type!B:B,0)-1,0)</f>
        <v>2001</v>
      </c>
      <c r="R807" s="153">
        <v>1</v>
      </c>
      <c r="S807" s="157">
        <f ca="1">ROUND(IF(R807=0,0,IF(R807=1,X807*$S$1,IF(R807=2,X807*$S$1*buff的资质计算!$E$2,IF(R807=3,X807*$S$1*buff的资质计算!$E$3,0)))),0)*0</f>
        <v>0</v>
      </c>
      <c r="T807" s="153">
        <v>1</v>
      </c>
      <c r="U807" s="153">
        <f ca="1" t="shared" si="135"/>
        <v>11</v>
      </c>
      <c r="V807" s="153">
        <f ca="1">ROUND((OFFSET(卡牌辅助配置表!$O$1,MATCH(U807,卡牌辅助配置表!M:M,0)-1,0)+(N807-1)*OFFSET(卡牌辅助配置表!$P$1,MATCH(U807,卡牌辅助配置表!M:M,0)-1,0))*M807,2)</f>
        <v>9.61</v>
      </c>
      <c r="W807" s="157">
        <f ca="1">ROUND(IF(R807=0,0,IF(R807=1,X807*$W$1,IF(R807=2,X807*$W$1*buff的资质计算!$E$2,IF(R807=3,X807*$W$1*buff的资质计算!$E$3,0)))),2)</f>
        <v>3</v>
      </c>
      <c r="X807" s="157">
        <f ca="1" t="shared" si="130"/>
        <v>10</v>
      </c>
      <c r="Y807" s="157">
        <f ca="1" t="shared" si="141"/>
        <v>10</v>
      </c>
      <c r="Z807" s="304">
        <f ca="1" t="shared" si="132"/>
        <v>10</v>
      </c>
      <c r="AA807" s="304">
        <f ca="1">OFFSET(卡牌辅助配置表!$AD$1,MATCH(AB807,卡牌辅助配置表!AB:AB,0)-1,0)</f>
        <v>369</v>
      </c>
      <c r="AB807" s="304">
        <f ca="1" t="shared" si="136"/>
        <v>1117</v>
      </c>
      <c r="AF807" s="153" t="str">
        <f ca="1" t="shared" si="139"/>
        <v>20010011|</v>
      </c>
      <c r="AJ807" s="205" t="str">
        <f ca="1" t="shared" si="137"/>
        <v>400023|5500|;</v>
      </c>
      <c r="AK807" s="205">
        <f ca="1">OFFSET([1]item_type!$A$1,MATCH(Q807,[1]item_type!$G:$G,0)-1,0)</f>
        <v>302001</v>
      </c>
      <c r="AL807" s="205"/>
      <c r="AM807" s="205">
        <f ca="1">IF(B807=B808,OFFSET(卡牌辅助配置表!$AE$1,MATCH(AB807,卡牌辅助配置表!AB:AB,0),0),0)</f>
        <v>5500</v>
      </c>
      <c r="AN807" s="153">
        <f ca="1" t="shared" si="138"/>
        <v>2001018</v>
      </c>
      <c r="AP807" s="153">
        <f ca="1">IF(AC807=0,0,IF(AC807=12,0,OFFSET(effect!$N$1,MATCH(K807,effect!M:M,0)-1,0)))</f>
        <v>0</v>
      </c>
    </row>
    <row r="808" spans="1:42">
      <c r="A808" s="153">
        <f ca="1" t="shared" si="134"/>
        <v>2001018</v>
      </c>
      <c r="B808" s="91" t="s">
        <v>403</v>
      </c>
      <c r="C808" s="186">
        <v>2</v>
      </c>
      <c r="D808" s="186">
        <v>1</v>
      </c>
      <c r="E808" s="165" t="s">
        <v>721</v>
      </c>
      <c r="F808" s="298"/>
      <c r="G808" s="186">
        <v>-3</v>
      </c>
      <c r="H808" s="186">
        <f ca="1" t="shared" si="140"/>
        <v>0</v>
      </c>
      <c r="I808" s="186"/>
      <c r="J808" s="186">
        <f ca="1">OFFSET(card_type!$F$1,MATCH(Q808,card_type!A:A,0)-1,0)</f>
        <v>1</v>
      </c>
      <c r="K808" s="243">
        <f ca="1">OFFSET(card_type!$G$1,MATCH(Q808,card_type!A:A,0)-1,0)</f>
        <v>1</v>
      </c>
      <c r="L808" s="157">
        <v>1</v>
      </c>
      <c r="M808" s="157">
        <v>1</v>
      </c>
      <c r="N808" s="153">
        <f t="shared" si="133"/>
        <v>18</v>
      </c>
      <c r="O808" s="157"/>
      <c r="P808" s="157"/>
      <c r="Q808" s="153">
        <f ca="1">OFFSET(card_type!$A$1,MATCH(card!B808,card_type!B:B,0)-1,0)</f>
        <v>2001</v>
      </c>
      <c r="R808" s="153">
        <v>1</v>
      </c>
      <c r="S808" s="157">
        <f ca="1">ROUND(IF(R808=0,0,IF(R808=1,X808*$S$1,IF(R808=2,X808*$S$1*buff的资质计算!$E$2,IF(R808=3,X808*$S$1*buff的资质计算!$E$3,0)))),0)*0</f>
        <v>0</v>
      </c>
      <c r="T808" s="153">
        <v>1</v>
      </c>
      <c r="U808" s="153">
        <f ca="1" t="shared" si="135"/>
        <v>11</v>
      </c>
      <c r="V808" s="153">
        <f ca="1">ROUND((OFFSET(卡牌辅助配置表!$O$1,MATCH(U808,卡牌辅助配置表!M:M,0)-1,0)+(N808-1)*OFFSET(卡牌辅助配置表!$P$1,MATCH(U808,卡牌辅助配置表!M:M,0)-1,0))*M808,2)</f>
        <v>9.82</v>
      </c>
      <c r="W808" s="157">
        <f ca="1">ROUND(IF(R808=0,0,IF(R808=1,X808*$W$1,IF(R808=2,X808*$W$1*buff的资质计算!$E$2,IF(R808=3,X808*$W$1*buff的资质计算!$E$3,0)))),2)</f>
        <v>3.15</v>
      </c>
      <c r="X808" s="157">
        <f ca="1" t="shared" si="130"/>
        <v>10.5</v>
      </c>
      <c r="Y808" s="157">
        <f ca="1" t="shared" si="141"/>
        <v>10.5</v>
      </c>
      <c r="Z808" s="304">
        <f ca="1" t="shared" si="132"/>
        <v>10.5</v>
      </c>
      <c r="AA808" s="304">
        <f ca="1">OFFSET(卡牌辅助配置表!$AD$1,MATCH(AB808,卡牌辅助配置表!AB:AB,0)-1,0)</f>
        <v>396</v>
      </c>
      <c r="AB808" s="304">
        <f ca="1" t="shared" si="136"/>
        <v>1118</v>
      </c>
      <c r="AF808" s="153" t="str">
        <f ca="1" t="shared" si="139"/>
        <v>20010011|</v>
      </c>
      <c r="AJ808" s="205" t="str">
        <f ca="1" t="shared" si="137"/>
        <v>400023|5900|;</v>
      </c>
      <c r="AK808" s="205">
        <f ca="1">OFFSET([1]item_type!$A$1,MATCH(Q808,[1]item_type!$G:$G,0)-1,0)</f>
        <v>302001</v>
      </c>
      <c r="AL808" s="205"/>
      <c r="AM808" s="205">
        <f ca="1">IF(B808=B809,OFFSET(卡牌辅助配置表!$AE$1,MATCH(AB808,卡牌辅助配置表!AB:AB,0),0),0)</f>
        <v>5900</v>
      </c>
      <c r="AN808" s="153">
        <f ca="1" t="shared" si="138"/>
        <v>2001019</v>
      </c>
      <c r="AP808" s="153">
        <f ca="1">IF(AC808=0,0,IF(AC808=12,0,OFFSET(effect!$N$1,MATCH(K808,effect!M:M,0)-1,0)))</f>
        <v>0</v>
      </c>
    </row>
    <row r="809" spans="1:42">
      <c r="A809" s="153">
        <f ca="1" t="shared" si="134"/>
        <v>2001019</v>
      </c>
      <c r="B809" s="91" t="s">
        <v>403</v>
      </c>
      <c r="C809" s="186">
        <v>2</v>
      </c>
      <c r="D809" s="186">
        <v>1</v>
      </c>
      <c r="E809" s="165" t="s">
        <v>721</v>
      </c>
      <c r="F809" s="298"/>
      <c r="G809" s="186">
        <v>-3</v>
      </c>
      <c r="H809" s="186">
        <f ca="1" t="shared" si="140"/>
        <v>0</v>
      </c>
      <c r="I809" s="186"/>
      <c r="J809" s="186">
        <f ca="1">OFFSET(card_type!$F$1,MATCH(Q809,card_type!A:A,0)-1,0)</f>
        <v>1</v>
      </c>
      <c r="K809" s="243">
        <f ca="1">OFFSET(card_type!$G$1,MATCH(Q809,card_type!A:A,0)-1,0)</f>
        <v>1</v>
      </c>
      <c r="L809" s="157">
        <v>1</v>
      </c>
      <c r="M809" s="157">
        <v>1</v>
      </c>
      <c r="N809" s="153">
        <f t="shared" si="133"/>
        <v>19</v>
      </c>
      <c r="O809" s="157"/>
      <c r="P809" s="157"/>
      <c r="Q809" s="153">
        <f ca="1">OFFSET(card_type!$A$1,MATCH(card!B809,card_type!B:B,0)-1,0)</f>
        <v>2001</v>
      </c>
      <c r="R809" s="153">
        <v>1</v>
      </c>
      <c r="S809" s="157">
        <f ca="1">ROUND(IF(R809=0,0,IF(R809=1,X809*$S$1,IF(R809=2,X809*$S$1*buff的资质计算!$E$2,IF(R809=3,X809*$S$1*buff的资质计算!$E$3,0)))),0)*0</f>
        <v>0</v>
      </c>
      <c r="T809" s="153">
        <v>1</v>
      </c>
      <c r="U809" s="153">
        <f ca="1" t="shared" si="135"/>
        <v>11</v>
      </c>
      <c r="V809" s="153">
        <f ca="1">ROUND((OFFSET(卡牌辅助配置表!$O$1,MATCH(U809,卡牌辅助配置表!M:M,0)-1,0)+(N809-1)*OFFSET(卡牌辅助配置表!$P$1,MATCH(U809,卡牌辅助配置表!M:M,0)-1,0))*M809,2)</f>
        <v>10.03</v>
      </c>
      <c r="W809" s="157">
        <f ca="1">ROUND(IF(R809=0,0,IF(R809=1,X809*$W$1,IF(R809=2,X809*$W$1*buff的资质计算!$E$2,IF(R809=3,X809*$W$1*buff的资质计算!$E$3,0)))),2)</f>
        <v>3.3</v>
      </c>
      <c r="X809" s="157">
        <f ca="1" t="shared" si="130"/>
        <v>11</v>
      </c>
      <c r="Y809" s="157">
        <f ca="1" t="shared" si="141"/>
        <v>11</v>
      </c>
      <c r="Z809" s="304">
        <f ca="1" t="shared" si="132"/>
        <v>11</v>
      </c>
      <c r="AA809" s="304">
        <f ca="1">OFFSET(卡牌辅助配置表!$AD$1,MATCH(AB809,卡牌辅助配置表!AB:AB,0)-1,0)</f>
        <v>423</v>
      </c>
      <c r="AB809" s="304">
        <f ca="1" t="shared" si="136"/>
        <v>1119</v>
      </c>
      <c r="AF809" s="153" t="str">
        <f ca="1" t="shared" si="139"/>
        <v>20010011|</v>
      </c>
      <c r="AJ809" s="205" t="str">
        <f ca="1" t="shared" si="137"/>
        <v>302001|20|;400023|6300|;</v>
      </c>
      <c r="AK809" s="205">
        <f ca="1">OFFSET([1]item_type!$A$1,MATCH(Q809,[1]item_type!$G:$G,0)-1,0)</f>
        <v>302001</v>
      </c>
      <c r="AL809" s="205">
        <v>20</v>
      </c>
      <c r="AM809" s="205">
        <f ca="1">IF(B809=B810,OFFSET(卡牌辅助配置表!$AE$1,MATCH(AB809,卡牌辅助配置表!AB:AB,0),0),0)</f>
        <v>6300</v>
      </c>
      <c r="AN809" s="153">
        <f ca="1" t="shared" si="138"/>
        <v>2001020</v>
      </c>
      <c r="AP809" s="153">
        <f ca="1">IF(AC809=0,0,IF(AC809=12,0,OFFSET(effect!$N$1,MATCH(K809,effect!M:M,0)-1,0)))</f>
        <v>0</v>
      </c>
    </row>
    <row r="810" spans="1:42">
      <c r="A810" s="153">
        <f ca="1" t="shared" si="134"/>
        <v>2001020</v>
      </c>
      <c r="B810" s="91" t="s">
        <v>403</v>
      </c>
      <c r="C810" s="186">
        <v>2</v>
      </c>
      <c r="D810" s="186">
        <v>1</v>
      </c>
      <c r="E810" s="165" t="s">
        <v>721</v>
      </c>
      <c r="F810" s="298"/>
      <c r="G810" s="186">
        <v>-3</v>
      </c>
      <c r="H810" s="186">
        <f ca="1" t="shared" si="140"/>
        <v>0</v>
      </c>
      <c r="I810" s="186"/>
      <c r="J810" s="186">
        <f ca="1">OFFSET(card_type!$F$1,MATCH(Q810,card_type!A:A,0)-1,0)</f>
        <v>1</v>
      </c>
      <c r="K810" s="243">
        <f ca="1">OFFSET(card_type!$G$1,MATCH(Q810,card_type!A:A,0)-1,0)</f>
        <v>1</v>
      </c>
      <c r="L810" s="157">
        <v>1</v>
      </c>
      <c r="M810" s="157">
        <v>1</v>
      </c>
      <c r="N810" s="153">
        <f t="shared" si="133"/>
        <v>20</v>
      </c>
      <c r="O810" s="157"/>
      <c r="P810" s="157"/>
      <c r="Q810" s="153">
        <f ca="1">OFFSET(card_type!$A$1,MATCH(card!B810,card_type!B:B,0)-1,0)</f>
        <v>2001</v>
      </c>
      <c r="R810" s="153">
        <v>1</v>
      </c>
      <c r="S810" s="157">
        <f ca="1">ROUND(IF(R810=0,0,IF(R810=1,X810*$S$1,IF(R810=2,X810*$S$1*buff的资质计算!$E$2,IF(R810=3,X810*$S$1*buff的资质计算!$E$3,0)))),0)*0</f>
        <v>0</v>
      </c>
      <c r="T810" s="153">
        <v>1</v>
      </c>
      <c r="U810" s="153">
        <f ca="1" t="shared" si="135"/>
        <v>11</v>
      </c>
      <c r="V810" s="153">
        <f ca="1">ROUND((OFFSET(卡牌辅助配置表!$O$1,MATCH(U810,卡牌辅助配置表!M:M,0)-1,0)+(N810-1)*OFFSET(卡牌辅助配置表!$P$1,MATCH(U810,卡牌辅助配置表!M:M,0)-1,0))*M810,2)</f>
        <v>10.24</v>
      </c>
      <c r="W810" s="157">
        <f ca="1">ROUND(IF(R810=0,0,IF(R810=1,X810*$W$1,IF(R810=2,X810*$W$1*buff的资质计算!$E$2,IF(R810=3,X810*$W$1*buff的资质计算!$E$3,0)))),2)</f>
        <v>3.45</v>
      </c>
      <c r="X810" s="157">
        <f ca="1" t="shared" si="130"/>
        <v>11.5</v>
      </c>
      <c r="Y810" s="157">
        <f ca="1" t="shared" si="141"/>
        <v>11.5</v>
      </c>
      <c r="Z810" s="304">
        <f ca="1" t="shared" si="132"/>
        <v>11.5</v>
      </c>
      <c r="AA810" s="304">
        <f ca="1">OFFSET(卡牌辅助配置表!$AD$1,MATCH(AB810,卡牌辅助配置表!AB:AB,0)-1,0)</f>
        <v>450</v>
      </c>
      <c r="AB810" s="304">
        <f ca="1" t="shared" si="136"/>
        <v>1120</v>
      </c>
      <c r="AF810" s="153" t="str">
        <f ca="1" t="shared" si="139"/>
        <v>20010011|</v>
      </c>
      <c r="AJ810" s="205" t="str">
        <f ca="1" t="shared" si="137"/>
        <v>400023|7100|;</v>
      </c>
      <c r="AK810" s="205">
        <f ca="1">OFFSET([1]item_type!$A$1,MATCH(Q810,[1]item_type!$G:$G,0)-1,0)</f>
        <v>302001</v>
      </c>
      <c r="AL810" s="205"/>
      <c r="AM810" s="205">
        <f ca="1">IF(B810=B811,OFFSET(卡牌辅助配置表!$AE$1,MATCH(AB810,卡牌辅助配置表!AB:AB,0),0),0)</f>
        <v>7100</v>
      </c>
      <c r="AN810" s="153">
        <f ca="1" t="shared" si="138"/>
        <v>2001021</v>
      </c>
      <c r="AP810" s="153">
        <f ca="1">IF(AC810=0,0,IF(AC810=12,0,OFFSET(effect!$N$1,MATCH(K810,effect!M:M,0)-1,0)))</f>
        <v>0</v>
      </c>
    </row>
    <row r="811" spans="1:42">
      <c r="A811" s="153">
        <f ca="1" t="shared" si="134"/>
        <v>2001021</v>
      </c>
      <c r="B811" s="91" t="s">
        <v>403</v>
      </c>
      <c r="C811" s="186">
        <v>2</v>
      </c>
      <c r="D811" s="186">
        <v>1</v>
      </c>
      <c r="E811" s="165" t="s">
        <v>721</v>
      </c>
      <c r="F811" s="298"/>
      <c r="G811" s="186">
        <v>-3</v>
      </c>
      <c r="H811" s="186">
        <f ca="1" t="shared" si="140"/>
        <v>0</v>
      </c>
      <c r="I811" s="186"/>
      <c r="J811" s="186">
        <f ca="1">OFFSET(card_type!$F$1,MATCH(Q811,card_type!A:A,0)-1,0)</f>
        <v>1</v>
      </c>
      <c r="K811" s="243">
        <f ca="1">OFFSET(card_type!$G$1,MATCH(Q811,card_type!A:A,0)-1,0)</f>
        <v>1</v>
      </c>
      <c r="L811" s="157">
        <v>1</v>
      </c>
      <c r="M811" s="157">
        <v>1</v>
      </c>
      <c r="N811" s="153">
        <f t="shared" si="133"/>
        <v>21</v>
      </c>
      <c r="O811" s="157"/>
      <c r="P811" s="157"/>
      <c r="Q811" s="153">
        <f ca="1">OFFSET(card_type!$A$1,MATCH(card!B811,card_type!B:B,0)-1,0)</f>
        <v>2001</v>
      </c>
      <c r="R811" s="153">
        <v>1</v>
      </c>
      <c r="S811" s="157">
        <f ca="1">ROUND(IF(R811=0,0,IF(R811=1,X811*$S$1,IF(R811=2,X811*$S$1*buff的资质计算!$E$2,IF(R811=3,X811*$S$1*buff的资质计算!$E$3,0)))),0)*0</f>
        <v>0</v>
      </c>
      <c r="T811" s="153">
        <v>1</v>
      </c>
      <c r="U811" s="153">
        <f ca="1" t="shared" si="135"/>
        <v>11</v>
      </c>
      <c r="V811" s="153">
        <f ca="1">ROUND((OFFSET(卡牌辅助配置表!$O$1,MATCH(U811,卡牌辅助配置表!M:M,0)-1,0)+(N811-1)*OFFSET(卡牌辅助配置表!$P$1,MATCH(U811,卡牌辅助配置表!M:M,0)-1,0))*M811,2)</f>
        <v>10.45</v>
      </c>
      <c r="W811" s="157">
        <f ca="1">ROUND(IF(R811=0,0,IF(R811=1,X811*$W$1,IF(R811=2,X811*$W$1*buff的资质计算!$E$2,IF(R811=3,X811*$W$1*buff的资质计算!$E$3,0)))),2)</f>
        <v>3.6</v>
      </c>
      <c r="X811" s="157">
        <f ca="1" t="shared" si="130"/>
        <v>12</v>
      </c>
      <c r="Y811" s="157">
        <f ca="1" t="shared" si="141"/>
        <v>12</v>
      </c>
      <c r="Z811" s="304">
        <f ca="1" t="shared" si="132"/>
        <v>12</v>
      </c>
      <c r="AA811" s="304">
        <f ca="1">OFFSET(卡牌辅助配置表!$AD$1,MATCH(AB811,卡牌辅助配置表!AB:AB,0)-1,0)</f>
        <v>486</v>
      </c>
      <c r="AB811" s="304">
        <f ca="1" t="shared" si="136"/>
        <v>1121</v>
      </c>
      <c r="AF811" s="153" t="str">
        <f ca="1" t="shared" si="139"/>
        <v>20010011|</v>
      </c>
      <c r="AJ811" s="205" t="str">
        <f ca="1" t="shared" si="137"/>
        <v>400023|7900|;</v>
      </c>
      <c r="AK811" s="205">
        <f ca="1">OFFSET([1]item_type!$A$1,MATCH(Q811,[1]item_type!$G:$G,0)-1,0)</f>
        <v>302001</v>
      </c>
      <c r="AL811" s="205"/>
      <c r="AM811" s="205">
        <f ca="1">IF(B811=B812,OFFSET(卡牌辅助配置表!$AE$1,MATCH(AB811,卡牌辅助配置表!AB:AB,0),0),0)</f>
        <v>7900</v>
      </c>
      <c r="AN811" s="153">
        <f ca="1" t="shared" si="138"/>
        <v>2001022</v>
      </c>
      <c r="AP811" s="153">
        <f ca="1">IF(AC811=0,0,IF(AC811=12,0,OFFSET(effect!$N$1,MATCH(K811,effect!M:M,0)-1,0)))</f>
        <v>0</v>
      </c>
    </row>
    <row r="812" spans="1:42">
      <c r="A812" s="153">
        <f ca="1" t="shared" si="134"/>
        <v>2001022</v>
      </c>
      <c r="B812" s="91" t="s">
        <v>403</v>
      </c>
      <c r="C812" s="186">
        <v>2</v>
      </c>
      <c r="D812" s="186">
        <v>1</v>
      </c>
      <c r="E812" s="165" t="s">
        <v>721</v>
      </c>
      <c r="F812" s="298"/>
      <c r="G812" s="186">
        <v>-3</v>
      </c>
      <c r="H812" s="186">
        <f ca="1" t="shared" si="140"/>
        <v>0</v>
      </c>
      <c r="I812" s="186"/>
      <c r="J812" s="186">
        <f ca="1">OFFSET(card_type!$F$1,MATCH(Q812,card_type!A:A,0)-1,0)</f>
        <v>1</v>
      </c>
      <c r="K812" s="243">
        <f ca="1">OFFSET(card_type!$G$1,MATCH(Q812,card_type!A:A,0)-1,0)</f>
        <v>1</v>
      </c>
      <c r="L812" s="157">
        <v>1</v>
      </c>
      <c r="M812" s="157">
        <v>1</v>
      </c>
      <c r="N812" s="153">
        <f t="shared" si="133"/>
        <v>22</v>
      </c>
      <c r="O812" s="157"/>
      <c r="P812" s="157"/>
      <c r="Q812" s="153">
        <f ca="1">OFFSET(card_type!$A$1,MATCH(card!B812,card_type!B:B,0)-1,0)</f>
        <v>2001</v>
      </c>
      <c r="R812" s="153">
        <v>1</v>
      </c>
      <c r="S812" s="157">
        <f ca="1">ROUND(IF(R812=0,0,IF(R812=1,X812*$S$1,IF(R812=2,X812*$S$1*buff的资质计算!$E$2,IF(R812=3,X812*$S$1*buff的资质计算!$E$3,0)))),0)*0</f>
        <v>0</v>
      </c>
      <c r="T812" s="153">
        <v>1</v>
      </c>
      <c r="U812" s="153">
        <f ca="1" t="shared" si="135"/>
        <v>11</v>
      </c>
      <c r="V812" s="153">
        <f ca="1">ROUND((OFFSET(卡牌辅助配置表!$O$1,MATCH(U812,卡牌辅助配置表!M:M,0)-1,0)+(N812-1)*OFFSET(卡牌辅助配置表!$P$1,MATCH(U812,卡牌辅助配置表!M:M,0)-1,0))*M812,2)</f>
        <v>10.66</v>
      </c>
      <c r="W812" s="157">
        <f ca="1">ROUND(IF(R812=0,0,IF(R812=1,X812*$W$1,IF(R812=2,X812*$W$1*buff的资质计算!$E$2,IF(R812=3,X812*$W$1*buff的资质计算!$E$3,0)))),2)</f>
        <v>3.75</v>
      </c>
      <c r="X812" s="157">
        <f ca="1" t="shared" si="130"/>
        <v>12.5</v>
      </c>
      <c r="Y812" s="157">
        <f ca="1" t="shared" si="141"/>
        <v>12.5</v>
      </c>
      <c r="Z812" s="304">
        <f ca="1" t="shared" si="132"/>
        <v>12.5</v>
      </c>
      <c r="AA812" s="304">
        <f ca="1">OFFSET(卡牌辅助配置表!$AD$1,MATCH(AB812,卡牌辅助配置表!AB:AB,0)-1,0)</f>
        <v>522</v>
      </c>
      <c r="AB812" s="304">
        <f ca="1" t="shared" si="136"/>
        <v>1122</v>
      </c>
      <c r="AF812" s="153" t="str">
        <f ca="1" t="shared" si="139"/>
        <v>20010011|</v>
      </c>
      <c r="AJ812" s="205" t="str">
        <f ca="1" t="shared" si="137"/>
        <v>400023|8700|;</v>
      </c>
      <c r="AK812" s="205">
        <f ca="1">OFFSET([1]item_type!$A$1,MATCH(Q812,[1]item_type!$G:$G,0)-1,0)</f>
        <v>302001</v>
      </c>
      <c r="AL812" s="205"/>
      <c r="AM812" s="205">
        <f ca="1">IF(B812=B813,OFFSET(卡牌辅助配置表!$AE$1,MATCH(AB812,卡牌辅助配置表!AB:AB,0),0),0)</f>
        <v>8700</v>
      </c>
      <c r="AN812" s="153">
        <f ca="1" t="shared" si="138"/>
        <v>2001023</v>
      </c>
      <c r="AP812" s="153">
        <f ca="1">IF(AC812=0,0,IF(AC812=12,0,OFFSET(effect!$N$1,MATCH(K812,effect!M:M,0)-1,0)))</f>
        <v>0</v>
      </c>
    </row>
    <row r="813" spans="1:42">
      <c r="A813" s="153">
        <f ca="1" t="shared" si="134"/>
        <v>2001023</v>
      </c>
      <c r="B813" s="91" t="s">
        <v>403</v>
      </c>
      <c r="C813" s="186">
        <v>2</v>
      </c>
      <c r="D813" s="186">
        <v>1</v>
      </c>
      <c r="E813" s="165" t="s">
        <v>721</v>
      </c>
      <c r="F813" s="298"/>
      <c r="G813" s="186">
        <v>-3</v>
      </c>
      <c r="H813" s="186">
        <f ca="1" t="shared" si="140"/>
        <v>0</v>
      </c>
      <c r="I813" s="186"/>
      <c r="J813" s="186">
        <f ca="1">OFFSET(card_type!$F$1,MATCH(Q813,card_type!A:A,0)-1,0)</f>
        <v>1</v>
      </c>
      <c r="K813" s="243">
        <f ca="1">OFFSET(card_type!$G$1,MATCH(Q813,card_type!A:A,0)-1,0)</f>
        <v>1</v>
      </c>
      <c r="L813" s="157">
        <v>1</v>
      </c>
      <c r="M813" s="157">
        <v>1</v>
      </c>
      <c r="N813" s="153">
        <f t="shared" si="133"/>
        <v>23</v>
      </c>
      <c r="O813" s="157"/>
      <c r="P813" s="157"/>
      <c r="Q813" s="153">
        <f ca="1">OFFSET(card_type!$A$1,MATCH(card!B813,card_type!B:B,0)-1,0)</f>
        <v>2001</v>
      </c>
      <c r="R813" s="153">
        <v>1</v>
      </c>
      <c r="S813" s="157">
        <f ca="1">ROUND(IF(R813=0,0,IF(R813=1,X813*$S$1,IF(R813=2,X813*$S$1*buff的资质计算!$E$2,IF(R813=3,X813*$S$1*buff的资质计算!$E$3,0)))),0)*0</f>
        <v>0</v>
      </c>
      <c r="T813" s="153">
        <v>1</v>
      </c>
      <c r="U813" s="153">
        <f ca="1" t="shared" si="135"/>
        <v>11</v>
      </c>
      <c r="V813" s="153">
        <f ca="1">ROUND((OFFSET(卡牌辅助配置表!$O$1,MATCH(U813,卡牌辅助配置表!M:M,0)-1,0)+(N813-1)*OFFSET(卡牌辅助配置表!$P$1,MATCH(U813,卡牌辅助配置表!M:M,0)-1,0))*M813,2)</f>
        <v>10.87</v>
      </c>
      <c r="W813" s="157">
        <f ca="1">ROUND(IF(R813=0,0,IF(R813=1,X813*$W$1,IF(R813=2,X813*$W$1*buff的资质计算!$E$2,IF(R813=3,X813*$W$1*buff的资质计算!$E$3,0)))),2)</f>
        <v>3.9</v>
      </c>
      <c r="X813" s="157">
        <f ca="1" t="shared" si="130"/>
        <v>13</v>
      </c>
      <c r="Y813" s="157">
        <f ca="1" t="shared" si="141"/>
        <v>13</v>
      </c>
      <c r="Z813" s="304">
        <f ca="1" t="shared" si="132"/>
        <v>13</v>
      </c>
      <c r="AA813" s="304">
        <f ca="1">OFFSET(卡牌辅助配置表!$AD$1,MATCH(AB813,卡牌辅助配置表!AB:AB,0)-1,0)</f>
        <v>558</v>
      </c>
      <c r="AB813" s="304">
        <f ca="1" t="shared" si="136"/>
        <v>1123</v>
      </c>
      <c r="AF813" s="153" t="str">
        <f ca="1" t="shared" si="139"/>
        <v>20010011|</v>
      </c>
      <c r="AJ813" s="205" t="str">
        <f ca="1" t="shared" si="137"/>
        <v>400023|9500|;</v>
      </c>
      <c r="AK813" s="205">
        <f ca="1">OFFSET([1]item_type!$A$1,MATCH(Q813,[1]item_type!$G:$G,0)-1,0)</f>
        <v>302001</v>
      </c>
      <c r="AL813" s="205"/>
      <c r="AM813" s="205">
        <f ca="1">IF(B813=B814,OFFSET(卡牌辅助配置表!$AE$1,MATCH(AB813,卡牌辅助配置表!AB:AB,0),0),0)</f>
        <v>9500</v>
      </c>
      <c r="AN813" s="153">
        <f ca="1" t="shared" si="138"/>
        <v>2001024</v>
      </c>
      <c r="AP813" s="153">
        <f ca="1">IF(AC813=0,0,IF(AC813=12,0,OFFSET(effect!$N$1,MATCH(K813,effect!M:M,0)-1,0)))</f>
        <v>0</v>
      </c>
    </row>
    <row r="814" spans="1:42">
      <c r="A814" s="153">
        <f ca="1" t="shared" si="134"/>
        <v>2001024</v>
      </c>
      <c r="B814" s="91" t="s">
        <v>403</v>
      </c>
      <c r="C814" s="186">
        <v>2</v>
      </c>
      <c r="D814" s="186">
        <v>1</v>
      </c>
      <c r="E814" s="165" t="s">
        <v>721</v>
      </c>
      <c r="F814" s="298"/>
      <c r="G814" s="186">
        <v>-3</v>
      </c>
      <c r="H814" s="186">
        <f ca="1" t="shared" si="140"/>
        <v>0</v>
      </c>
      <c r="I814" s="186"/>
      <c r="J814" s="186">
        <f ca="1">OFFSET(card_type!$F$1,MATCH(Q814,card_type!A:A,0)-1,0)</f>
        <v>1</v>
      </c>
      <c r="K814" s="243">
        <f ca="1">OFFSET(card_type!$G$1,MATCH(Q814,card_type!A:A,0)-1,0)</f>
        <v>1</v>
      </c>
      <c r="L814" s="157">
        <v>1</v>
      </c>
      <c r="M814" s="157">
        <v>1</v>
      </c>
      <c r="N814" s="153">
        <f t="shared" si="133"/>
        <v>24</v>
      </c>
      <c r="O814" s="157"/>
      <c r="P814" s="157"/>
      <c r="Q814" s="153">
        <f ca="1">OFFSET(card_type!$A$1,MATCH(card!B814,card_type!B:B,0)-1,0)</f>
        <v>2001</v>
      </c>
      <c r="R814" s="153">
        <v>1</v>
      </c>
      <c r="S814" s="157">
        <f ca="1">ROUND(IF(R814=0,0,IF(R814=1,X814*$S$1,IF(R814=2,X814*$S$1*buff的资质计算!$E$2,IF(R814=3,X814*$S$1*buff的资质计算!$E$3,0)))),0)*0</f>
        <v>0</v>
      </c>
      <c r="T814" s="153">
        <v>1</v>
      </c>
      <c r="U814" s="153">
        <f ca="1" t="shared" si="135"/>
        <v>11</v>
      </c>
      <c r="V814" s="153">
        <f ca="1">ROUND((OFFSET(卡牌辅助配置表!$O$1,MATCH(U814,卡牌辅助配置表!M:M,0)-1,0)+(N814-1)*OFFSET(卡牌辅助配置表!$P$1,MATCH(U814,卡牌辅助配置表!M:M,0)-1,0))*M814,2)</f>
        <v>11.08</v>
      </c>
      <c r="W814" s="157">
        <f ca="1">ROUND(IF(R814=0,0,IF(R814=1,X814*$W$1,IF(R814=2,X814*$W$1*buff的资质计算!$E$2,IF(R814=3,X814*$W$1*buff的资质计算!$E$3,0)))),2)</f>
        <v>4.05</v>
      </c>
      <c r="X814" s="157">
        <f ca="1" t="shared" si="130"/>
        <v>13.5</v>
      </c>
      <c r="Y814" s="157">
        <f ca="1" t="shared" si="141"/>
        <v>13.5</v>
      </c>
      <c r="Z814" s="304">
        <f ca="1" t="shared" si="132"/>
        <v>13.5</v>
      </c>
      <c r="AA814" s="304">
        <f ca="1">OFFSET(卡牌辅助配置表!$AD$1,MATCH(AB814,卡牌辅助配置表!AB:AB,0)-1,0)</f>
        <v>594</v>
      </c>
      <c r="AB814" s="304">
        <f ca="1" t="shared" si="136"/>
        <v>1124</v>
      </c>
      <c r="AF814" s="153" t="str">
        <f ca="1" t="shared" si="139"/>
        <v>20010011|</v>
      </c>
      <c r="AJ814" s="205" t="str">
        <f ca="1" t="shared" si="137"/>
        <v>400023|10300|;</v>
      </c>
      <c r="AK814" s="205">
        <f ca="1">OFFSET([1]item_type!$A$1,MATCH(Q814,[1]item_type!$G:$G,0)-1,0)</f>
        <v>302001</v>
      </c>
      <c r="AL814" s="205"/>
      <c r="AM814" s="205">
        <f ca="1">IF(B814=B815,OFFSET(卡牌辅助配置表!$AE$1,MATCH(AB814,卡牌辅助配置表!AB:AB,0),0),0)</f>
        <v>10300</v>
      </c>
      <c r="AN814" s="153">
        <f ca="1" t="shared" si="138"/>
        <v>2001025</v>
      </c>
      <c r="AP814" s="153">
        <f ca="1">IF(AC814=0,0,IF(AC814=12,0,OFFSET(effect!$N$1,MATCH(K814,effect!M:M,0)-1,0)))</f>
        <v>0</v>
      </c>
    </row>
    <row r="815" spans="1:42">
      <c r="A815" s="153">
        <f ca="1" t="shared" si="134"/>
        <v>2001025</v>
      </c>
      <c r="B815" s="91" t="s">
        <v>403</v>
      </c>
      <c r="C815" s="186">
        <v>2</v>
      </c>
      <c r="D815" s="186">
        <v>1</v>
      </c>
      <c r="E815" s="165" t="s">
        <v>721</v>
      </c>
      <c r="F815" s="298"/>
      <c r="G815" s="186">
        <v>-3</v>
      </c>
      <c r="H815" s="186">
        <f ca="1" t="shared" si="140"/>
        <v>0</v>
      </c>
      <c r="I815" s="186"/>
      <c r="J815" s="186">
        <f ca="1">OFFSET(card_type!$F$1,MATCH(Q815,card_type!A:A,0)-1,0)</f>
        <v>1</v>
      </c>
      <c r="K815" s="243">
        <f ca="1">OFFSET(card_type!$G$1,MATCH(Q815,card_type!A:A,0)-1,0)</f>
        <v>1</v>
      </c>
      <c r="L815" s="157">
        <v>1</v>
      </c>
      <c r="M815" s="157">
        <v>1</v>
      </c>
      <c r="N815" s="153">
        <f t="shared" si="133"/>
        <v>25</v>
      </c>
      <c r="O815" s="157"/>
      <c r="P815" s="157"/>
      <c r="Q815" s="153">
        <f ca="1">OFFSET(card_type!$A$1,MATCH(card!B815,card_type!B:B,0)-1,0)</f>
        <v>2001</v>
      </c>
      <c r="R815" s="153">
        <v>1</v>
      </c>
      <c r="S815" s="157">
        <f ca="1">ROUND(IF(R815=0,0,IF(R815=1,X815*$S$1,IF(R815=2,X815*$S$1*buff的资质计算!$E$2,IF(R815=3,X815*$S$1*buff的资质计算!$E$3,0)))),0)*0</f>
        <v>0</v>
      </c>
      <c r="T815" s="153">
        <v>1</v>
      </c>
      <c r="U815" s="153">
        <f ca="1" t="shared" si="135"/>
        <v>11</v>
      </c>
      <c r="V815" s="153">
        <f ca="1">ROUND((OFFSET(卡牌辅助配置表!$O$1,MATCH(U815,卡牌辅助配置表!M:M,0)-1,0)+(N815-1)*OFFSET(卡牌辅助配置表!$P$1,MATCH(U815,卡牌辅助配置表!M:M,0)-1,0))*M815,2)</f>
        <v>11.29</v>
      </c>
      <c r="W815" s="157">
        <f ca="1">ROUND(IF(R815=0,0,IF(R815=1,X815*$W$1,IF(R815=2,X815*$W$1*buff的资质计算!$E$2,IF(R815=3,X815*$W$1*buff的资质计算!$E$3,0)))),2)</f>
        <v>4.2</v>
      </c>
      <c r="X815" s="157">
        <f ca="1" t="shared" si="130"/>
        <v>14</v>
      </c>
      <c r="Y815" s="157">
        <f ca="1" t="shared" si="141"/>
        <v>14</v>
      </c>
      <c r="Z815" s="304">
        <f ca="1" t="shared" si="132"/>
        <v>14</v>
      </c>
      <c r="AA815" s="304">
        <f ca="1">OFFSET(卡牌辅助配置表!$AD$1,MATCH(AB815,卡牌辅助配置表!AB:AB,0)-1,0)</f>
        <v>630</v>
      </c>
      <c r="AB815" s="304">
        <f ca="1" t="shared" si="136"/>
        <v>1125</v>
      </c>
      <c r="AF815" s="153" t="str">
        <f ca="1" t="shared" si="139"/>
        <v>20010011|</v>
      </c>
      <c r="AJ815" s="205" t="str">
        <f ca="1" t="shared" si="137"/>
        <v>400023|11100|;</v>
      </c>
      <c r="AK815" s="205">
        <f ca="1">OFFSET([1]item_type!$A$1,MATCH(Q815,[1]item_type!$G:$G,0)-1,0)</f>
        <v>302001</v>
      </c>
      <c r="AL815" s="205"/>
      <c r="AM815" s="205">
        <f ca="1">IF(B815=B816,OFFSET(卡牌辅助配置表!$AE$1,MATCH(AB815,卡牌辅助配置表!AB:AB,0),0),0)</f>
        <v>11100</v>
      </c>
      <c r="AN815" s="153">
        <f ca="1" t="shared" si="138"/>
        <v>2001026</v>
      </c>
      <c r="AP815" s="153">
        <f ca="1">IF(AC815=0,0,IF(AC815=12,0,OFFSET(effect!$N$1,MATCH(K815,effect!M:M,0)-1,0)))</f>
        <v>0</v>
      </c>
    </row>
    <row r="816" spans="1:42">
      <c r="A816" s="153">
        <f ca="1" t="shared" si="134"/>
        <v>2001026</v>
      </c>
      <c r="B816" s="91" t="s">
        <v>403</v>
      </c>
      <c r="C816" s="186">
        <v>2</v>
      </c>
      <c r="D816" s="186">
        <v>1</v>
      </c>
      <c r="E816" s="165" t="s">
        <v>721</v>
      </c>
      <c r="F816" s="298"/>
      <c r="G816" s="186">
        <v>-3</v>
      </c>
      <c r="H816" s="186">
        <f ca="1" t="shared" si="140"/>
        <v>0</v>
      </c>
      <c r="I816" s="186"/>
      <c r="J816" s="186">
        <f ca="1">OFFSET(card_type!$F$1,MATCH(Q816,card_type!A:A,0)-1,0)</f>
        <v>1</v>
      </c>
      <c r="K816" s="243">
        <f ca="1">OFFSET(card_type!$G$1,MATCH(Q816,card_type!A:A,0)-1,0)</f>
        <v>1</v>
      </c>
      <c r="L816" s="157">
        <v>1</v>
      </c>
      <c r="M816" s="157">
        <v>1</v>
      </c>
      <c r="N816" s="153">
        <f t="shared" si="133"/>
        <v>26</v>
      </c>
      <c r="O816" s="157"/>
      <c r="P816" s="157"/>
      <c r="Q816" s="153">
        <f ca="1">OFFSET(card_type!$A$1,MATCH(card!B816,card_type!B:B,0)-1,0)</f>
        <v>2001</v>
      </c>
      <c r="R816" s="153">
        <v>1</v>
      </c>
      <c r="S816" s="157">
        <f ca="1">ROUND(IF(R816=0,0,IF(R816=1,X816*$S$1,IF(R816=2,X816*$S$1*buff的资质计算!$E$2,IF(R816=3,X816*$S$1*buff的资质计算!$E$3,0)))),0)*0</f>
        <v>0</v>
      </c>
      <c r="T816" s="153">
        <v>1</v>
      </c>
      <c r="U816" s="153">
        <f ca="1" t="shared" si="135"/>
        <v>11</v>
      </c>
      <c r="V816" s="153">
        <f ca="1">ROUND((OFFSET(卡牌辅助配置表!$O$1,MATCH(U816,卡牌辅助配置表!M:M,0)-1,0)+(N816-1)*OFFSET(卡牌辅助配置表!$P$1,MATCH(U816,卡牌辅助配置表!M:M,0)-1,0))*M816,2)</f>
        <v>11.5</v>
      </c>
      <c r="W816" s="157">
        <f ca="1">ROUND(IF(R816=0,0,IF(R816=1,X816*$W$1,IF(R816=2,X816*$W$1*buff的资质计算!$E$2,IF(R816=3,X816*$W$1*buff的资质计算!$E$3,0)))),2)</f>
        <v>4.35</v>
      </c>
      <c r="X816" s="157">
        <f ca="1" t="shared" si="130"/>
        <v>14.5</v>
      </c>
      <c r="Y816" s="157">
        <f ca="1" t="shared" si="141"/>
        <v>14.5</v>
      </c>
      <c r="Z816" s="304">
        <f ca="1" t="shared" si="132"/>
        <v>14.5</v>
      </c>
      <c r="AA816" s="304">
        <f ca="1">OFFSET(卡牌辅助配置表!$AD$1,MATCH(AB816,卡牌辅助配置表!AB:AB,0)-1,0)</f>
        <v>666</v>
      </c>
      <c r="AB816" s="304">
        <f ca="1" t="shared" si="136"/>
        <v>1126</v>
      </c>
      <c r="AF816" s="153" t="str">
        <f ca="1" t="shared" si="139"/>
        <v>20010011|</v>
      </c>
      <c r="AJ816" s="205" t="str">
        <f ca="1" t="shared" si="137"/>
        <v>400023|11900|;</v>
      </c>
      <c r="AK816" s="205">
        <f ca="1">OFFSET([1]item_type!$A$1,MATCH(Q816,[1]item_type!$G:$G,0)-1,0)</f>
        <v>302001</v>
      </c>
      <c r="AL816" s="205"/>
      <c r="AM816" s="205">
        <f ca="1">IF(B816=B817,OFFSET(卡牌辅助配置表!$AE$1,MATCH(AB816,卡牌辅助配置表!AB:AB,0),0),0)</f>
        <v>11900</v>
      </c>
      <c r="AN816" s="153">
        <f ca="1" t="shared" si="138"/>
        <v>2001027</v>
      </c>
      <c r="AP816" s="153">
        <f ca="1">IF(AC816=0,0,IF(AC816=12,0,OFFSET(effect!$N$1,MATCH(K816,effect!M:M,0)-1,0)))</f>
        <v>0</v>
      </c>
    </row>
    <row r="817" spans="1:42">
      <c r="A817" s="153">
        <f ca="1" t="shared" si="134"/>
        <v>2001027</v>
      </c>
      <c r="B817" s="91" t="s">
        <v>403</v>
      </c>
      <c r="C817" s="186">
        <v>2</v>
      </c>
      <c r="D817" s="186">
        <v>1</v>
      </c>
      <c r="E817" s="165" t="s">
        <v>721</v>
      </c>
      <c r="F817" s="298"/>
      <c r="G817" s="186">
        <v>-3</v>
      </c>
      <c r="H817" s="186">
        <f ca="1" t="shared" si="140"/>
        <v>0</v>
      </c>
      <c r="I817" s="186"/>
      <c r="J817" s="186">
        <f ca="1">OFFSET(card_type!$F$1,MATCH(Q817,card_type!A:A,0)-1,0)</f>
        <v>1</v>
      </c>
      <c r="K817" s="243">
        <f ca="1">OFFSET(card_type!$G$1,MATCH(Q817,card_type!A:A,0)-1,0)</f>
        <v>1</v>
      </c>
      <c r="L817" s="157">
        <v>1</v>
      </c>
      <c r="M817" s="157">
        <v>1</v>
      </c>
      <c r="N817" s="153">
        <f t="shared" si="133"/>
        <v>27</v>
      </c>
      <c r="O817" s="157"/>
      <c r="P817" s="157"/>
      <c r="Q817" s="153">
        <f ca="1">OFFSET(card_type!$A$1,MATCH(card!B817,card_type!B:B,0)-1,0)</f>
        <v>2001</v>
      </c>
      <c r="R817" s="153">
        <v>1</v>
      </c>
      <c r="S817" s="157">
        <f ca="1">ROUND(IF(R817=0,0,IF(R817=1,X817*$S$1,IF(R817=2,X817*$S$1*buff的资质计算!$E$2,IF(R817=3,X817*$S$1*buff的资质计算!$E$3,0)))),0)*0</f>
        <v>0</v>
      </c>
      <c r="T817" s="153">
        <v>1</v>
      </c>
      <c r="U817" s="153">
        <f ca="1" t="shared" si="135"/>
        <v>11</v>
      </c>
      <c r="V817" s="153">
        <f ca="1">ROUND((OFFSET(卡牌辅助配置表!$O$1,MATCH(U817,卡牌辅助配置表!M:M,0)-1,0)+(N817-1)*OFFSET(卡牌辅助配置表!$P$1,MATCH(U817,卡牌辅助配置表!M:M,0)-1,0))*M817,2)</f>
        <v>11.7</v>
      </c>
      <c r="W817" s="157">
        <f ca="1">ROUND(IF(R817=0,0,IF(R817=1,X817*$W$1,IF(R817=2,X817*$W$1*buff的资质计算!$E$2,IF(R817=3,X817*$W$1*buff的资质计算!$E$3,0)))),2)</f>
        <v>4.5</v>
      </c>
      <c r="X817" s="157">
        <f ca="1" t="shared" si="130"/>
        <v>15</v>
      </c>
      <c r="Y817" s="157">
        <f ca="1" t="shared" si="141"/>
        <v>15</v>
      </c>
      <c r="Z817" s="304">
        <f ca="1" t="shared" si="132"/>
        <v>15</v>
      </c>
      <c r="AA817" s="304">
        <f ca="1">OFFSET(卡牌辅助配置表!$AD$1,MATCH(AB817,卡牌辅助配置表!AB:AB,0)-1,0)</f>
        <v>702</v>
      </c>
      <c r="AB817" s="304">
        <f ca="1" t="shared" si="136"/>
        <v>1127</v>
      </c>
      <c r="AF817" s="153" t="str">
        <f ca="1" t="shared" si="139"/>
        <v>20010011|</v>
      </c>
      <c r="AJ817" s="205" t="str">
        <f ca="1" t="shared" si="137"/>
        <v>400023|12700|;</v>
      </c>
      <c r="AK817" s="205">
        <f ca="1">OFFSET([1]item_type!$A$1,MATCH(Q817,[1]item_type!$G:$G,0)-1,0)</f>
        <v>302001</v>
      </c>
      <c r="AL817" s="205"/>
      <c r="AM817" s="205">
        <f ca="1">IF(B817=B818,OFFSET(卡牌辅助配置表!$AE$1,MATCH(AB817,卡牌辅助配置表!AB:AB,0),0),0)</f>
        <v>12700</v>
      </c>
      <c r="AN817" s="153">
        <f ca="1" t="shared" si="138"/>
        <v>2001028</v>
      </c>
      <c r="AP817" s="153">
        <f ca="1">IF(AC817=0,0,IF(AC817=12,0,OFFSET(effect!$N$1,MATCH(K817,effect!M:M,0)-1,0)))</f>
        <v>0</v>
      </c>
    </row>
    <row r="818" spans="1:42">
      <c r="A818" s="153">
        <f ca="1" t="shared" si="134"/>
        <v>2001028</v>
      </c>
      <c r="B818" s="91" t="s">
        <v>403</v>
      </c>
      <c r="C818" s="186">
        <v>2</v>
      </c>
      <c r="D818" s="186">
        <v>1</v>
      </c>
      <c r="E818" s="165" t="s">
        <v>721</v>
      </c>
      <c r="F818" s="298"/>
      <c r="G818" s="186">
        <v>-3</v>
      </c>
      <c r="H818" s="186">
        <f ca="1" t="shared" si="140"/>
        <v>0</v>
      </c>
      <c r="I818" s="186"/>
      <c r="J818" s="186">
        <f ca="1">OFFSET(card_type!$F$1,MATCH(Q818,card_type!A:A,0)-1,0)</f>
        <v>1</v>
      </c>
      <c r="K818" s="243">
        <f ca="1">OFFSET(card_type!$G$1,MATCH(Q818,card_type!A:A,0)-1,0)</f>
        <v>1</v>
      </c>
      <c r="L818" s="157">
        <v>1</v>
      </c>
      <c r="M818" s="157">
        <v>1</v>
      </c>
      <c r="N818" s="153">
        <f t="shared" si="133"/>
        <v>28</v>
      </c>
      <c r="O818" s="157"/>
      <c r="P818" s="157"/>
      <c r="Q818" s="153">
        <f ca="1">OFFSET(card_type!$A$1,MATCH(card!B818,card_type!B:B,0)-1,0)</f>
        <v>2001</v>
      </c>
      <c r="R818" s="153">
        <v>1</v>
      </c>
      <c r="S818" s="157">
        <f ca="1">ROUND(IF(R818=0,0,IF(R818=1,X818*$S$1,IF(R818=2,X818*$S$1*buff的资质计算!$E$2,IF(R818=3,X818*$S$1*buff的资质计算!$E$3,0)))),0)*0</f>
        <v>0</v>
      </c>
      <c r="T818" s="153">
        <v>1</v>
      </c>
      <c r="U818" s="153">
        <f ca="1" t="shared" si="135"/>
        <v>11</v>
      </c>
      <c r="V818" s="153">
        <f ca="1">ROUND((OFFSET(卡牌辅助配置表!$O$1,MATCH(U818,卡牌辅助配置表!M:M,0)-1,0)+(N818-1)*OFFSET(卡牌辅助配置表!$P$1,MATCH(U818,卡牌辅助配置表!M:M,0)-1,0))*M818,2)</f>
        <v>11.91</v>
      </c>
      <c r="W818" s="157">
        <f ca="1">ROUND(IF(R818=0,0,IF(R818=1,X818*$W$1,IF(R818=2,X818*$W$1*buff的资质计算!$E$2,IF(R818=3,X818*$W$1*buff的资质计算!$E$3,0)))),2)</f>
        <v>4.65</v>
      </c>
      <c r="X818" s="157">
        <f ca="1" t="shared" si="130"/>
        <v>15.5</v>
      </c>
      <c r="Y818" s="157">
        <f ca="1" t="shared" si="141"/>
        <v>15.5</v>
      </c>
      <c r="Z818" s="304">
        <f ca="1" t="shared" si="132"/>
        <v>15.5</v>
      </c>
      <c r="AA818" s="304">
        <f ca="1">OFFSET(卡牌辅助配置表!$AD$1,MATCH(AB818,卡牌辅助配置表!AB:AB,0)-1,0)</f>
        <v>738</v>
      </c>
      <c r="AB818" s="304">
        <f ca="1" t="shared" si="136"/>
        <v>1128</v>
      </c>
      <c r="AF818" s="153" t="str">
        <f ca="1" t="shared" si="139"/>
        <v>20010011|</v>
      </c>
      <c r="AJ818" s="205" t="str">
        <f ca="1" t="shared" si="137"/>
        <v>400023|13500|;</v>
      </c>
      <c r="AK818" s="205">
        <f ca="1">OFFSET([1]item_type!$A$1,MATCH(Q818,[1]item_type!$G:$G,0)-1,0)</f>
        <v>302001</v>
      </c>
      <c r="AL818" s="205"/>
      <c r="AM818" s="205">
        <f ca="1">IF(B818=B819,OFFSET(卡牌辅助配置表!$AE$1,MATCH(AB818,卡牌辅助配置表!AB:AB,0),0),0)</f>
        <v>13500</v>
      </c>
      <c r="AN818" s="153">
        <f ca="1" t="shared" si="138"/>
        <v>2001029</v>
      </c>
      <c r="AP818" s="153">
        <f ca="1">IF(AC818=0,0,IF(AC818=12,0,OFFSET(effect!$N$1,MATCH(K818,effect!M:M,0)-1,0)))</f>
        <v>0</v>
      </c>
    </row>
    <row r="819" spans="1:42">
      <c r="A819" s="153">
        <f ca="1" t="shared" si="134"/>
        <v>2001029</v>
      </c>
      <c r="B819" s="91" t="s">
        <v>403</v>
      </c>
      <c r="C819" s="186">
        <v>2</v>
      </c>
      <c r="D819" s="186">
        <v>1</v>
      </c>
      <c r="E819" s="165" t="s">
        <v>721</v>
      </c>
      <c r="F819" s="298"/>
      <c r="G819" s="186">
        <v>-3</v>
      </c>
      <c r="H819" s="186">
        <f ca="1" t="shared" si="140"/>
        <v>0</v>
      </c>
      <c r="I819" s="186"/>
      <c r="J819" s="186">
        <f ca="1">OFFSET(card_type!$F$1,MATCH(Q819,card_type!A:A,0)-1,0)</f>
        <v>1</v>
      </c>
      <c r="K819" s="243">
        <f ca="1">OFFSET(card_type!$G$1,MATCH(Q819,card_type!A:A,0)-1,0)</f>
        <v>1</v>
      </c>
      <c r="L819" s="157">
        <v>1</v>
      </c>
      <c r="M819" s="157">
        <v>1</v>
      </c>
      <c r="N819" s="153">
        <f t="shared" si="133"/>
        <v>29</v>
      </c>
      <c r="O819" s="157"/>
      <c r="P819" s="157"/>
      <c r="Q819" s="153">
        <f ca="1">OFFSET(card_type!$A$1,MATCH(card!B819,card_type!B:B,0)-1,0)</f>
        <v>2001</v>
      </c>
      <c r="R819" s="153">
        <v>1</v>
      </c>
      <c r="S819" s="157">
        <f ca="1">ROUND(IF(R819=0,0,IF(R819=1,X819*$S$1,IF(R819=2,X819*$S$1*buff的资质计算!$E$2,IF(R819=3,X819*$S$1*buff的资质计算!$E$3,0)))),0)*0</f>
        <v>0</v>
      </c>
      <c r="T819" s="153">
        <v>1</v>
      </c>
      <c r="U819" s="153">
        <f ca="1" t="shared" si="135"/>
        <v>11</v>
      </c>
      <c r="V819" s="153">
        <f ca="1">ROUND((OFFSET(卡牌辅助配置表!$O$1,MATCH(U819,卡牌辅助配置表!M:M,0)-1,0)+(N819-1)*OFFSET(卡牌辅助配置表!$P$1,MATCH(U819,卡牌辅助配置表!M:M,0)-1,0))*M819,2)</f>
        <v>12.12</v>
      </c>
      <c r="W819" s="157">
        <f ca="1">ROUND(IF(R819=0,0,IF(R819=1,X819*$W$1,IF(R819=2,X819*$W$1*buff的资质计算!$E$2,IF(R819=3,X819*$W$1*buff的资质计算!$E$3,0)))),2)</f>
        <v>4.8</v>
      </c>
      <c r="X819" s="157">
        <f ca="1" t="shared" si="130"/>
        <v>16</v>
      </c>
      <c r="Y819" s="157">
        <f ca="1" t="shared" si="141"/>
        <v>16</v>
      </c>
      <c r="Z819" s="304">
        <f ca="1" t="shared" si="132"/>
        <v>16</v>
      </c>
      <c r="AA819" s="304">
        <f ca="1">OFFSET(卡牌辅助配置表!$AD$1,MATCH(AB819,卡牌辅助配置表!AB:AB,0)-1,0)</f>
        <v>774</v>
      </c>
      <c r="AB819" s="304">
        <f ca="1" t="shared" si="136"/>
        <v>1129</v>
      </c>
      <c r="AF819" s="153" t="str">
        <f ca="1" t="shared" si="139"/>
        <v>20010011|</v>
      </c>
      <c r="AJ819" s="205" t="str">
        <f ca="1" t="shared" si="137"/>
        <v>302001|30|;400023|14300|;</v>
      </c>
      <c r="AK819" s="205">
        <f ca="1">OFFSET([1]item_type!$A$1,MATCH(Q819,[1]item_type!$G:$G,0)-1,0)</f>
        <v>302001</v>
      </c>
      <c r="AL819" s="205">
        <v>30</v>
      </c>
      <c r="AM819" s="205">
        <f ca="1">IF(B819=B820,OFFSET(卡牌辅助配置表!$AE$1,MATCH(AB819,卡牌辅助配置表!AB:AB,0),0),0)</f>
        <v>14300</v>
      </c>
      <c r="AN819" s="153">
        <f ca="1" t="shared" si="138"/>
        <v>2001030</v>
      </c>
      <c r="AP819" s="153">
        <f ca="1">IF(AC819=0,0,IF(AC819=12,0,OFFSET(effect!$N$1,MATCH(K819,effect!M:M,0)-1,0)))</f>
        <v>0</v>
      </c>
    </row>
    <row r="820" spans="1:42">
      <c r="A820" s="153">
        <f ca="1" t="shared" si="134"/>
        <v>2001030</v>
      </c>
      <c r="B820" s="91" t="s">
        <v>403</v>
      </c>
      <c r="C820" s="186">
        <v>2</v>
      </c>
      <c r="D820" s="186">
        <v>1</v>
      </c>
      <c r="E820" s="165" t="s">
        <v>721</v>
      </c>
      <c r="F820" s="298"/>
      <c r="G820" s="186">
        <v>-3</v>
      </c>
      <c r="H820" s="186">
        <f ca="1" t="shared" si="140"/>
        <v>0</v>
      </c>
      <c r="I820" s="186"/>
      <c r="J820" s="186">
        <f ca="1">OFFSET(card_type!$F$1,MATCH(Q820,card_type!A:A,0)-1,0)</f>
        <v>1</v>
      </c>
      <c r="K820" s="243">
        <f ca="1">OFFSET(card_type!$G$1,MATCH(Q820,card_type!A:A,0)-1,0)</f>
        <v>1</v>
      </c>
      <c r="L820" s="157">
        <v>1</v>
      </c>
      <c r="M820" s="157">
        <v>1</v>
      </c>
      <c r="N820" s="153">
        <f t="shared" si="133"/>
        <v>30</v>
      </c>
      <c r="O820" s="157"/>
      <c r="P820" s="157"/>
      <c r="Q820" s="153">
        <f ca="1">OFFSET(card_type!$A$1,MATCH(card!B820,card_type!B:B,0)-1,0)</f>
        <v>2001</v>
      </c>
      <c r="R820" s="153">
        <v>1</v>
      </c>
      <c r="S820" s="157">
        <f ca="1">ROUND(IF(R820=0,0,IF(R820=1,X820*$S$1,IF(R820=2,X820*$S$1*buff的资质计算!$E$2,IF(R820=3,X820*$S$1*buff的资质计算!$E$3,0)))),0)*0</f>
        <v>0</v>
      </c>
      <c r="T820" s="153">
        <v>1</v>
      </c>
      <c r="U820" s="153">
        <f ca="1" t="shared" si="135"/>
        <v>11</v>
      </c>
      <c r="V820" s="153">
        <f ca="1">ROUND((OFFSET(卡牌辅助配置表!$O$1,MATCH(U820,卡牌辅助配置表!M:M,0)-1,0)+(N820-1)*OFFSET(卡牌辅助配置表!$P$1,MATCH(U820,卡牌辅助配置表!M:M,0)-1,0))*M820,2)</f>
        <v>12.33</v>
      </c>
      <c r="W820" s="157">
        <f ca="1">ROUND(IF(R820=0,0,IF(R820=1,X820*$W$1,IF(R820=2,X820*$W$1*buff的资质计算!$E$2,IF(R820=3,X820*$W$1*buff的资质计算!$E$3,0)))),2)</f>
        <v>4.95</v>
      </c>
      <c r="X820" s="157">
        <f ca="1" t="shared" ref="X820:X883" si="142">M820*($M$1+(J820-1)*$J$1+(K820-1)*$K$1)+G820+$J$1*(N820-1)/$N$1</f>
        <v>16.5</v>
      </c>
      <c r="Y820" s="157">
        <f ca="1" t="shared" si="141"/>
        <v>16.5</v>
      </c>
      <c r="Z820" s="304">
        <f ca="1" t="shared" ref="Z820:Z883" si="143">Y820/M820</f>
        <v>16.5</v>
      </c>
      <c r="AA820" s="304">
        <f ca="1">OFFSET(卡牌辅助配置表!$AD$1,MATCH(AB820,卡牌辅助配置表!AB:AB,0)-1,0)</f>
        <v>810</v>
      </c>
      <c r="AB820" s="304">
        <f ca="1" t="shared" si="136"/>
        <v>1130</v>
      </c>
      <c r="AF820" s="153" t="str">
        <f ca="1" t="shared" si="139"/>
        <v>20010011|</v>
      </c>
      <c r="AJ820" s="205">
        <f ca="1" t="shared" si="137"/>
        <v>0</v>
      </c>
      <c r="AK820" s="205">
        <f ca="1">OFFSET([1]item_type!$A$1,MATCH(Q820,[1]item_type!$G:$G,0)-1,0)</f>
        <v>302001</v>
      </c>
      <c r="AL820" s="205"/>
      <c r="AM820" s="205">
        <f ca="1">IF(B820=B821,OFFSET(卡牌辅助配置表!$AE$1,MATCH(AB820,卡牌辅助配置表!AB:AB,0),0),0)</f>
        <v>0</v>
      </c>
      <c r="AN820" s="153">
        <f ca="1" t="shared" si="138"/>
        <v>0</v>
      </c>
      <c r="AP820" s="153">
        <f ca="1">IF(AC820=0,0,IF(AC820=12,0,OFFSET(effect!$N$1,MATCH(K820,effect!M:M,0)-1,0)))</f>
        <v>0</v>
      </c>
    </row>
    <row r="821" spans="1:42">
      <c r="A821" s="153">
        <f ca="1" t="shared" si="134"/>
        <v>2002001</v>
      </c>
      <c r="B821" s="91" t="s">
        <v>401</v>
      </c>
      <c r="C821" s="186">
        <v>2</v>
      </c>
      <c r="D821" s="186">
        <v>1</v>
      </c>
      <c r="E821" s="165" t="s">
        <v>721</v>
      </c>
      <c r="F821" s="298"/>
      <c r="G821" s="186">
        <v>-3</v>
      </c>
      <c r="H821" s="186">
        <f ca="1" t="shared" si="140"/>
        <v>0</v>
      </c>
      <c r="I821" s="186"/>
      <c r="J821" s="186">
        <f ca="1">OFFSET(card_type!$F$1,MATCH(Q821,card_type!A:A,0)-1,0)</f>
        <v>1</v>
      </c>
      <c r="K821" s="243">
        <f ca="1">OFFSET(card_type!$G$1,MATCH(Q821,card_type!A:A,0)-1,0)</f>
        <v>1</v>
      </c>
      <c r="L821" s="157">
        <v>1</v>
      </c>
      <c r="M821" s="157">
        <v>1</v>
      </c>
      <c r="N821" s="153">
        <f t="shared" ref="N821:N884" si="144">IF(B820=B821,N820+1,1)</f>
        <v>1</v>
      </c>
      <c r="O821" s="157"/>
      <c r="P821" s="157"/>
      <c r="Q821" s="153">
        <f ca="1">OFFSET(card_type!$A$1,MATCH(card!B821,card_type!B:B,0)-1,0)</f>
        <v>2002</v>
      </c>
      <c r="R821" s="153">
        <v>1</v>
      </c>
      <c r="S821" s="157">
        <f ca="1">ROUND(IF(R821=0,0,IF(R821=1,X821*$S$1,IF(R821=2,X821*$S$1*buff的资质计算!$E$2,IF(R821=3,X821*$S$1*buff的资质计算!$E$3,0)))),0)*0</f>
        <v>0</v>
      </c>
      <c r="T821" s="153">
        <v>5</v>
      </c>
      <c r="U821" s="153">
        <f ca="1" t="shared" si="135"/>
        <v>11</v>
      </c>
      <c r="V821" s="153">
        <f ca="1">ROUND((OFFSET(卡牌辅助配置表!$O$1,MATCH(U821,卡牌辅助配置表!M:M,0)-1,0)+(N821-1)*OFFSET(卡牌辅助配置表!$P$1,MATCH(U821,卡牌辅助配置表!M:M,0)-1,0))*M821,2)</f>
        <v>6.27</v>
      </c>
      <c r="W821" s="157">
        <f ca="1">ROUND(IF(R821=0,0,IF(R821=1,X821*$W$1,IF(R821=2,X821*$W$1*buff的资质计算!$E$2,IF(R821=3,X821*$W$1*buff的资质计算!$E$3,0)))),2)</f>
        <v>0.6</v>
      </c>
      <c r="X821" s="157">
        <f ca="1" t="shared" si="142"/>
        <v>2</v>
      </c>
      <c r="Y821" s="157">
        <f ca="1" t="shared" si="141"/>
        <v>2</v>
      </c>
      <c r="Z821" s="304">
        <f ca="1" t="shared" si="143"/>
        <v>2</v>
      </c>
      <c r="AA821" s="304">
        <f ca="1">OFFSET(卡牌辅助配置表!$AD$1,MATCH(AB821,卡牌辅助配置表!AB:AB,0)-1,0)</f>
        <v>18</v>
      </c>
      <c r="AB821" s="304">
        <f ca="1" t="shared" si="136"/>
        <v>1101</v>
      </c>
      <c r="AF821" s="153" t="str">
        <f ca="1" t="shared" si="139"/>
        <v>20020011|</v>
      </c>
      <c r="AJ821" s="205" t="str">
        <f ca="1" t="shared" si="137"/>
        <v>400023|700|;</v>
      </c>
      <c r="AK821" s="205">
        <f ca="1">OFFSET([1]item_type!$A$1,MATCH(Q821,[1]item_type!$G:$G,0)-1,0)</f>
        <v>302002</v>
      </c>
      <c r="AL821" s="205"/>
      <c r="AM821" s="205">
        <f ca="1">IF(B821=B822,OFFSET(卡牌辅助配置表!$AE$1,MATCH(AB821,卡牌辅助配置表!AB:AB,0),0),0)</f>
        <v>700</v>
      </c>
      <c r="AN821" s="153">
        <f ca="1" t="shared" si="138"/>
        <v>2002002</v>
      </c>
      <c r="AP821" s="153">
        <f ca="1">IF(AC821=0,0,IF(AC821=12,0,OFFSET(effect!$N$1,MATCH(K821,effect!M:M,0)-1,0)))</f>
        <v>0</v>
      </c>
    </row>
    <row r="822" spans="1:42">
      <c r="A822" s="153">
        <f ca="1" t="shared" si="134"/>
        <v>2002002</v>
      </c>
      <c r="B822" s="91" t="s">
        <v>401</v>
      </c>
      <c r="C822" s="186">
        <v>2</v>
      </c>
      <c r="D822" s="186">
        <v>1</v>
      </c>
      <c r="E822" s="165" t="s">
        <v>721</v>
      </c>
      <c r="F822" s="298"/>
      <c r="G822" s="186">
        <v>-3</v>
      </c>
      <c r="H822" s="186">
        <f ca="1" t="shared" si="140"/>
        <v>0</v>
      </c>
      <c r="I822" s="186"/>
      <c r="J822" s="186">
        <f ca="1">OFFSET(card_type!$F$1,MATCH(Q822,card_type!A:A,0)-1,0)</f>
        <v>1</v>
      </c>
      <c r="K822" s="243">
        <f ca="1">OFFSET(card_type!$G$1,MATCH(Q822,card_type!A:A,0)-1,0)</f>
        <v>1</v>
      </c>
      <c r="L822" s="157">
        <v>1</v>
      </c>
      <c r="M822" s="157">
        <v>1</v>
      </c>
      <c r="N822" s="153">
        <f t="shared" si="144"/>
        <v>2</v>
      </c>
      <c r="O822" s="157"/>
      <c r="P822" s="157"/>
      <c r="Q822" s="153">
        <f ca="1">OFFSET(card_type!$A$1,MATCH(card!B822,card_type!B:B,0)-1,0)</f>
        <v>2002</v>
      </c>
      <c r="R822" s="153">
        <v>1</v>
      </c>
      <c r="S822" s="157">
        <f ca="1">ROUND(IF(R822=0,0,IF(R822=1,X822*$S$1,IF(R822=2,X822*$S$1*buff的资质计算!$E$2,IF(R822=3,X822*$S$1*buff的资质计算!$E$3,0)))),0)*0</f>
        <v>0</v>
      </c>
      <c r="T822" s="153">
        <v>5</v>
      </c>
      <c r="U822" s="153">
        <f ca="1" t="shared" si="135"/>
        <v>11</v>
      </c>
      <c r="V822" s="153">
        <f ca="1">ROUND((OFFSET(卡牌辅助配置表!$O$1,MATCH(U822,卡牌辅助配置表!M:M,0)-1,0)+(N822-1)*OFFSET(卡牌辅助配置表!$P$1,MATCH(U822,卡牌辅助配置表!M:M,0)-1,0))*M822,2)</f>
        <v>6.48</v>
      </c>
      <c r="W822" s="157">
        <f ca="1">ROUND(IF(R822=0,0,IF(R822=1,X822*$W$1,IF(R822=2,X822*$W$1*buff的资质计算!$E$2,IF(R822=3,X822*$W$1*buff的资质计算!$E$3,0)))),2)</f>
        <v>0.75</v>
      </c>
      <c r="X822" s="157">
        <f ca="1" t="shared" si="142"/>
        <v>2.5</v>
      </c>
      <c r="Y822" s="157">
        <f ca="1" t="shared" si="141"/>
        <v>2.5</v>
      </c>
      <c r="Z822" s="304">
        <f ca="1" t="shared" si="143"/>
        <v>2.5</v>
      </c>
      <c r="AA822" s="304">
        <f ca="1">OFFSET(卡牌辅助配置表!$AD$1,MATCH(AB822,卡牌辅助配置表!AB:AB,0)-1,0)</f>
        <v>36</v>
      </c>
      <c r="AB822" s="304">
        <f ca="1" t="shared" si="136"/>
        <v>1102</v>
      </c>
      <c r="AF822" s="153" t="str">
        <f ca="1" t="shared" si="139"/>
        <v>20020011|</v>
      </c>
      <c r="AJ822" s="205" t="str">
        <f ca="1" t="shared" si="137"/>
        <v>400023|900|;</v>
      </c>
      <c r="AK822" s="205">
        <f ca="1">OFFSET([1]item_type!$A$1,MATCH(Q822,[1]item_type!$G:$G,0)-1,0)</f>
        <v>302002</v>
      </c>
      <c r="AL822" s="205"/>
      <c r="AM822" s="205">
        <f ca="1">IF(B822=B823,OFFSET(卡牌辅助配置表!$AE$1,MATCH(AB822,卡牌辅助配置表!AB:AB,0),0),0)</f>
        <v>900</v>
      </c>
      <c r="AN822" s="153">
        <f ca="1" t="shared" si="138"/>
        <v>2002003</v>
      </c>
      <c r="AP822" s="153">
        <f ca="1">IF(AC822=0,0,IF(AC822=12,0,OFFSET(effect!$N$1,MATCH(K822,effect!M:M,0)-1,0)))</f>
        <v>0</v>
      </c>
    </row>
    <row r="823" spans="1:42">
      <c r="A823" s="153">
        <f ca="1" t="shared" si="134"/>
        <v>2002003</v>
      </c>
      <c r="B823" s="91" t="s">
        <v>401</v>
      </c>
      <c r="C823" s="186">
        <v>2</v>
      </c>
      <c r="D823" s="186">
        <v>1</v>
      </c>
      <c r="E823" s="165" t="s">
        <v>721</v>
      </c>
      <c r="F823" s="298"/>
      <c r="G823" s="186">
        <v>-3</v>
      </c>
      <c r="H823" s="186">
        <f ca="1" t="shared" si="140"/>
        <v>0</v>
      </c>
      <c r="I823" s="186"/>
      <c r="J823" s="186">
        <f ca="1">OFFSET(card_type!$F$1,MATCH(Q823,card_type!A:A,0)-1,0)</f>
        <v>1</v>
      </c>
      <c r="K823" s="243">
        <f ca="1">OFFSET(card_type!$G$1,MATCH(Q823,card_type!A:A,0)-1,0)</f>
        <v>1</v>
      </c>
      <c r="L823" s="157">
        <v>1</v>
      </c>
      <c r="M823" s="157">
        <v>1</v>
      </c>
      <c r="N823" s="153">
        <f t="shared" si="144"/>
        <v>3</v>
      </c>
      <c r="O823" s="157"/>
      <c r="P823" s="157"/>
      <c r="Q823" s="153">
        <f ca="1">OFFSET(card_type!$A$1,MATCH(card!B823,card_type!B:B,0)-1,0)</f>
        <v>2002</v>
      </c>
      <c r="R823" s="153">
        <v>1</v>
      </c>
      <c r="S823" s="157">
        <f ca="1">ROUND(IF(R823=0,0,IF(R823=1,X823*$S$1,IF(R823=2,X823*$S$1*buff的资质计算!$E$2,IF(R823=3,X823*$S$1*buff的资质计算!$E$3,0)))),0)*0</f>
        <v>0</v>
      </c>
      <c r="T823" s="153">
        <v>5</v>
      </c>
      <c r="U823" s="153">
        <f ca="1" t="shared" si="135"/>
        <v>11</v>
      </c>
      <c r="V823" s="153">
        <f ca="1">ROUND((OFFSET(卡牌辅助配置表!$O$1,MATCH(U823,卡牌辅助配置表!M:M,0)-1,0)+(N823-1)*OFFSET(卡牌辅助配置表!$P$1,MATCH(U823,卡牌辅助配置表!M:M,0)-1,0))*M823,2)</f>
        <v>6.69</v>
      </c>
      <c r="W823" s="157">
        <f ca="1">ROUND(IF(R823=0,0,IF(R823=1,X823*$W$1,IF(R823=2,X823*$W$1*buff的资质计算!$E$2,IF(R823=3,X823*$W$1*buff的资质计算!$E$3,0)))),2)</f>
        <v>0.9</v>
      </c>
      <c r="X823" s="157">
        <f ca="1" t="shared" si="142"/>
        <v>3</v>
      </c>
      <c r="Y823" s="157">
        <f ca="1" t="shared" si="141"/>
        <v>3</v>
      </c>
      <c r="Z823" s="304">
        <f ca="1" t="shared" si="143"/>
        <v>3</v>
      </c>
      <c r="AA823" s="304">
        <f ca="1">OFFSET(卡牌辅助配置表!$AD$1,MATCH(AB823,卡牌辅助配置表!AB:AB,0)-1,0)</f>
        <v>54</v>
      </c>
      <c r="AB823" s="304">
        <f ca="1" t="shared" si="136"/>
        <v>1103</v>
      </c>
      <c r="AF823" s="153" t="str">
        <f ca="1" t="shared" si="139"/>
        <v>20020011|</v>
      </c>
      <c r="AJ823" s="205" t="str">
        <f ca="1" t="shared" si="137"/>
        <v>400023|1100|;</v>
      </c>
      <c r="AK823" s="205">
        <f ca="1">OFFSET([1]item_type!$A$1,MATCH(Q823,[1]item_type!$G:$G,0)-1,0)</f>
        <v>302002</v>
      </c>
      <c r="AL823" s="205"/>
      <c r="AM823" s="205">
        <f ca="1">IF(B823=B824,OFFSET(卡牌辅助配置表!$AE$1,MATCH(AB823,卡牌辅助配置表!AB:AB,0),0),0)</f>
        <v>1100</v>
      </c>
      <c r="AN823" s="153">
        <f ca="1" t="shared" si="138"/>
        <v>2002004</v>
      </c>
      <c r="AP823" s="153">
        <f ca="1">IF(AC823=0,0,IF(AC823=12,0,OFFSET(effect!$N$1,MATCH(K823,effect!M:M,0)-1,0)))</f>
        <v>0</v>
      </c>
    </row>
    <row r="824" spans="1:42">
      <c r="A824" s="153">
        <f ca="1" t="shared" si="134"/>
        <v>2002004</v>
      </c>
      <c r="B824" s="91" t="s">
        <v>401</v>
      </c>
      <c r="C824" s="186">
        <v>2</v>
      </c>
      <c r="D824" s="186">
        <v>1</v>
      </c>
      <c r="E824" s="165" t="s">
        <v>721</v>
      </c>
      <c r="F824" s="298"/>
      <c r="G824" s="186">
        <v>-3</v>
      </c>
      <c r="H824" s="186">
        <f ca="1" t="shared" si="140"/>
        <v>0</v>
      </c>
      <c r="I824" s="186"/>
      <c r="J824" s="186">
        <f ca="1">OFFSET(card_type!$F$1,MATCH(Q824,card_type!A:A,0)-1,0)</f>
        <v>1</v>
      </c>
      <c r="K824" s="243">
        <f ca="1">OFFSET(card_type!$G$1,MATCH(Q824,card_type!A:A,0)-1,0)</f>
        <v>1</v>
      </c>
      <c r="L824" s="157">
        <v>1</v>
      </c>
      <c r="M824" s="157">
        <v>1</v>
      </c>
      <c r="N824" s="153">
        <f t="shared" si="144"/>
        <v>4</v>
      </c>
      <c r="O824" s="157"/>
      <c r="P824" s="157"/>
      <c r="Q824" s="153">
        <f ca="1">OFFSET(card_type!$A$1,MATCH(card!B824,card_type!B:B,0)-1,0)</f>
        <v>2002</v>
      </c>
      <c r="R824" s="153">
        <v>1</v>
      </c>
      <c r="S824" s="157">
        <f ca="1">ROUND(IF(R824=0,0,IF(R824=1,X824*$S$1,IF(R824=2,X824*$S$1*buff的资质计算!$E$2,IF(R824=3,X824*$S$1*buff的资质计算!$E$3,0)))),0)*0</f>
        <v>0</v>
      </c>
      <c r="T824" s="153">
        <v>5</v>
      </c>
      <c r="U824" s="153">
        <f ca="1" t="shared" si="135"/>
        <v>11</v>
      </c>
      <c r="V824" s="153">
        <f ca="1">ROUND((OFFSET(卡牌辅助配置表!$O$1,MATCH(U824,卡牌辅助配置表!M:M,0)-1,0)+(N824-1)*OFFSET(卡牌辅助配置表!$P$1,MATCH(U824,卡牌辅助配置表!M:M,0)-1,0))*M824,2)</f>
        <v>6.9</v>
      </c>
      <c r="W824" s="157">
        <f ca="1">ROUND(IF(R824=0,0,IF(R824=1,X824*$W$1,IF(R824=2,X824*$W$1*buff的资质计算!$E$2,IF(R824=3,X824*$W$1*buff的资质计算!$E$3,0)))),2)</f>
        <v>1.05</v>
      </c>
      <c r="X824" s="157">
        <f ca="1" t="shared" si="142"/>
        <v>3.5</v>
      </c>
      <c r="Y824" s="157">
        <f ca="1" t="shared" si="141"/>
        <v>3.5</v>
      </c>
      <c r="Z824" s="304">
        <f ca="1" t="shared" si="143"/>
        <v>3.5</v>
      </c>
      <c r="AA824" s="304">
        <f ca="1">OFFSET(卡牌辅助配置表!$AD$1,MATCH(AB824,卡牌辅助配置表!AB:AB,0)-1,0)</f>
        <v>72</v>
      </c>
      <c r="AB824" s="304">
        <f ca="1" t="shared" si="136"/>
        <v>1104</v>
      </c>
      <c r="AF824" s="153" t="str">
        <f ca="1" t="shared" si="139"/>
        <v>20020011|</v>
      </c>
      <c r="AJ824" s="205" t="str">
        <f ca="1" t="shared" si="137"/>
        <v>400023|1300|;</v>
      </c>
      <c r="AK824" s="205">
        <f ca="1">OFFSET([1]item_type!$A$1,MATCH(Q824,[1]item_type!$G:$G,0)-1,0)</f>
        <v>302002</v>
      </c>
      <c r="AL824" s="205"/>
      <c r="AM824" s="205">
        <f ca="1">IF(B824=B825,OFFSET(卡牌辅助配置表!$AE$1,MATCH(AB824,卡牌辅助配置表!AB:AB,0),0),0)</f>
        <v>1300</v>
      </c>
      <c r="AN824" s="153">
        <f ca="1" t="shared" si="138"/>
        <v>2002005</v>
      </c>
      <c r="AP824" s="153">
        <f ca="1">IF(AC824=0,0,IF(AC824=12,0,OFFSET(effect!$N$1,MATCH(K824,effect!M:M,0)-1,0)))</f>
        <v>0</v>
      </c>
    </row>
    <row r="825" spans="1:42">
      <c r="A825" s="153">
        <f ca="1" t="shared" si="134"/>
        <v>2002005</v>
      </c>
      <c r="B825" s="91" t="s">
        <v>401</v>
      </c>
      <c r="C825" s="186">
        <v>2</v>
      </c>
      <c r="D825" s="186">
        <v>1</v>
      </c>
      <c r="E825" s="165" t="s">
        <v>721</v>
      </c>
      <c r="F825" s="298"/>
      <c r="G825" s="186">
        <v>-3</v>
      </c>
      <c r="H825" s="186">
        <f ca="1" t="shared" si="140"/>
        <v>0</v>
      </c>
      <c r="I825" s="186"/>
      <c r="J825" s="186">
        <f ca="1">OFFSET(card_type!$F$1,MATCH(Q825,card_type!A:A,0)-1,0)</f>
        <v>1</v>
      </c>
      <c r="K825" s="243">
        <f ca="1">OFFSET(card_type!$G$1,MATCH(Q825,card_type!A:A,0)-1,0)</f>
        <v>1</v>
      </c>
      <c r="L825" s="157">
        <v>1</v>
      </c>
      <c r="M825" s="157">
        <v>1</v>
      </c>
      <c r="N825" s="153">
        <f t="shared" si="144"/>
        <v>5</v>
      </c>
      <c r="O825" s="157"/>
      <c r="P825" s="157"/>
      <c r="Q825" s="153">
        <f ca="1">OFFSET(card_type!$A$1,MATCH(card!B825,card_type!B:B,0)-1,0)</f>
        <v>2002</v>
      </c>
      <c r="R825" s="153">
        <v>1</v>
      </c>
      <c r="S825" s="157">
        <f ca="1">ROUND(IF(R825=0,0,IF(R825=1,X825*$S$1,IF(R825=2,X825*$S$1*buff的资质计算!$E$2,IF(R825=3,X825*$S$1*buff的资质计算!$E$3,0)))),0)*0</f>
        <v>0</v>
      </c>
      <c r="T825" s="153">
        <v>5</v>
      </c>
      <c r="U825" s="153">
        <f ca="1" t="shared" si="135"/>
        <v>11</v>
      </c>
      <c r="V825" s="153">
        <f ca="1">ROUND((OFFSET(卡牌辅助配置表!$O$1,MATCH(U825,卡牌辅助配置表!M:M,0)-1,0)+(N825-1)*OFFSET(卡牌辅助配置表!$P$1,MATCH(U825,卡牌辅助配置表!M:M,0)-1,0))*M825,2)</f>
        <v>7.11</v>
      </c>
      <c r="W825" s="157">
        <f ca="1">ROUND(IF(R825=0,0,IF(R825=1,X825*$W$1,IF(R825=2,X825*$W$1*buff的资质计算!$E$2,IF(R825=3,X825*$W$1*buff的资质计算!$E$3,0)))),2)</f>
        <v>1.2</v>
      </c>
      <c r="X825" s="157">
        <f ca="1" t="shared" si="142"/>
        <v>4</v>
      </c>
      <c r="Y825" s="157">
        <f ca="1" t="shared" si="141"/>
        <v>4</v>
      </c>
      <c r="Z825" s="304">
        <f ca="1" t="shared" si="143"/>
        <v>4</v>
      </c>
      <c r="AA825" s="304">
        <f ca="1">OFFSET(卡牌辅助配置表!$AD$1,MATCH(AB825,卡牌辅助配置表!AB:AB,0)-1,0)</f>
        <v>90</v>
      </c>
      <c r="AB825" s="304">
        <f ca="1" t="shared" si="136"/>
        <v>1105</v>
      </c>
      <c r="AF825" s="153" t="str">
        <f ca="1" t="shared" si="139"/>
        <v>20020011|</v>
      </c>
      <c r="AJ825" s="205" t="str">
        <f ca="1" t="shared" si="137"/>
        <v>400023|1500|;</v>
      </c>
      <c r="AK825" s="205">
        <f ca="1">OFFSET([1]item_type!$A$1,MATCH(Q825,[1]item_type!$G:$G,0)-1,0)</f>
        <v>302002</v>
      </c>
      <c r="AL825" s="205"/>
      <c r="AM825" s="205">
        <f ca="1">IF(B825=B826,OFFSET(卡牌辅助配置表!$AE$1,MATCH(AB825,卡牌辅助配置表!AB:AB,0),0),0)</f>
        <v>1500</v>
      </c>
      <c r="AN825" s="153">
        <f ca="1" t="shared" si="138"/>
        <v>2002006</v>
      </c>
      <c r="AP825" s="153">
        <f ca="1">IF(AC825=0,0,IF(AC825=12,0,OFFSET(effect!$N$1,MATCH(K825,effect!M:M,0)-1,0)))</f>
        <v>0</v>
      </c>
    </row>
    <row r="826" spans="1:42">
      <c r="A826" s="153">
        <f ca="1" t="shared" si="134"/>
        <v>2002006</v>
      </c>
      <c r="B826" s="91" t="s">
        <v>401</v>
      </c>
      <c r="C826" s="186">
        <v>2</v>
      </c>
      <c r="D826" s="186">
        <v>1</v>
      </c>
      <c r="E826" s="165" t="s">
        <v>721</v>
      </c>
      <c r="F826" s="298"/>
      <c r="G826" s="186">
        <v>-3</v>
      </c>
      <c r="H826" s="186">
        <f ca="1" t="shared" si="140"/>
        <v>0</v>
      </c>
      <c r="I826" s="186"/>
      <c r="J826" s="186">
        <f ca="1">OFFSET(card_type!$F$1,MATCH(Q826,card_type!A:A,0)-1,0)</f>
        <v>1</v>
      </c>
      <c r="K826" s="243">
        <f ca="1">OFFSET(card_type!$G$1,MATCH(Q826,card_type!A:A,0)-1,0)</f>
        <v>1</v>
      </c>
      <c r="L826" s="157">
        <v>1</v>
      </c>
      <c r="M826" s="157">
        <v>1</v>
      </c>
      <c r="N826" s="153">
        <f t="shared" si="144"/>
        <v>6</v>
      </c>
      <c r="O826" s="157"/>
      <c r="P826" s="157"/>
      <c r="Q826" s="153">
        <f ca="1">OFFSET(card_type!$A$1,MATCH(card!B826,card_type!B:B,0)-1,0)</f>
        <v>2002</v>
      </c>
      <c r="R826" s="153">
        <v>1</v>
      </c>
      <c r="S826" s="157">
        <f ca="1">ROUND(IF(R826=0,0,IF(R826=1,X826*$S$1,IF(R826=2,X826*$S$1*buff的资质计算!$E$2,IF(R826=3,X826*$S$1*buff的资质计算!$E$3,0)))),0)*0</f>
        <v>0</v>
      </c>
      <c r="T826" s="153">
        <v>5</v>
      </c>
      <c r="U826" s="153">
        <f ca="1" t="shared" si="135"/>
        <v>11</v>
      </c>
      <c r="V826" s="153">
        <f ca="1">ROUND((OFFSET(卡牌辅助配置表!$O$1,MATCH(U826,卡牌辅助配置表!M:M,0)-1,0)+(N826-1)*OFFSET(卡牌辅助配置表!$P$1,MATCH(U826,卡牌辅助配置表!M:M,0)-1,0))*M826,2)</f>
        <v>7.32</v>
      </c>
      <c r="W826" s="157">
        <f ca="1">ROUND(IF(R826=0,0,IF(R826=1,X826*$W$1,IF(R826=2,X826*$W$1*buff的资质计算!$E$2,IF(R826=3,X826*$W$1*buff的资质计算!$E$3,0)))),2)</f>
        <v>1.35</v>
      </c>
      <c r="X826" s="157">
        <f ca="1" t="shared" si="142"/>
        <v>4.5</v>
      </c>
      <c r="Y826" s="157">
        <f ca="1" t="shared" si="141"/>
        <v>4.5</v>
      </c>
      <c r="Z826" s="304">
        <f ca="1" t="shared" si="143"/>
        <v>4.5</v>
      </c>
      <c r="AA826" s="304">
        <f ca="1">OFFSET(卡牌辅助配置表!$AD$1,MATCH(AB826,卡牌辅助配置表!AB:AB,0)-1,0)</f>
        <v>108</v>
      </c>
      <c r="AB826" s="304">
        <f ca="1" t="shared" si="136"/>
        <v>1106</v>
      </c>
      <c r="AF826" s="153" t="str">
        <f ca="1" t="shared" si="139"/>
        <v>20020011|</v>
      </c>
      <c r="AJ826" s="205" t="str">
        <f ca="1" t="shared" si="137"/>
        <v>400023|1700|;</v>
      </c>
      <c r="AK826" s="205">
        <f ca="1">OFFSET([1]item_type!$A$1,MATCH(Q826,[1]item_type!$G:$G,0)-1,0)</f>
        <v>302002</v>
      </c>
      <c r="AL826" s="205"/>
      <c r="AM826" s="205">
        <f ca="1">IF(B826=B827,OFFSET(卡牌辅助配置表!$AE$1,MATCH(AB826,卡牌辅助配置表!AB:AB,0),0),0)</f>
        <v>1700</v>
      </c>
      <c r="AN826" s="153">
        <f ca="1" t="shared" si="138"/>
        <v>2002007</v>
      </c>
      <c r="AP826" s="153">
        <f ca="1">IF(AC826=0,0,IF(AC826=12,0,OFFSET(effect!$N$1,MATCH(K826,effect!M:M,0)-1,0)))</f>
        <v>0</v>
      </c>
    </row>
    <row r="827" spans="1:42">
      <c r="A827" s="153">
        <f ca="1" t="shared" si="134"/>
        <v>2002007</v>
      </c>
      <c r="B827" s="91" t="s">
        <v>401</v>
      </c>
      <c r="C827" s="186">
        <v>2</v>
      </c>
      <c r="D827" s="186">
        <v>1</v>
      </c>
      <c r="E827" s="165" t="s">
        <v>721</v>
      </c>
      <c r="F827" s="298"/>
      <c r="G827" s="186">
        <v>-3</v>
      </c>
      <c r="H827" s="186">
        <f ca="1" t="shared" si="140"/>
        <v>0</v>
      </c>
      <c r="I827" s="186"/>
      <c r="J827" s="186">
        <f ca="1">OFFSET(card_type!$F$1,MATCH(Q827,card_type!A:A,0)-1,0)</f>
        <v>1</v>
      </c>
      <c r="K827" s="243">
        <f ca="1">OFFSET(card_type!$G$1,MATCH(Q827,card_type!A:A,0)-1,0)</f>
        <v>1</v>
      </c>
      <c r="L827" s="157">
        <v>1</v>
      </c>
      <c r="M827" s="157">
        <v>1</v>
      </c>
      <c r="N827" s="153">
        <f t="shared" si="144"/>
        <v>7</v>
      </c>
      <c r="O827" s="157"/>
      <c r="P827" s="157"/>
      <c r="Q827" s="153">
        <f ca="1">OFFSET(card_type!$A$1,MATCH(card!B827,card_type!B:B,0)-1,0)</f>
        <v>2002</v>
      </c>
      <c r="R827" s="153">
        <v>1</v>
      </c>
      <c r="S827" s="157">
        <f ca="1">ROUND(IF(R827=0,0,IF(R827=1,X827*$S$1,IF(R827=2,X827*$S$1*buff的资质计算!$E$2,IF(R827=3,X827*$S$1*buff的资质计算!$E$3,0)))),0)*0</f>
        <v>0</v>
      </c>
      <c r="T827" s="153">
        <v>5</v>
      </c>
      <c r="U827" s="153">
        <f ca="1" t="shared" si="135"/>
        <v>11</v>
      </c>
      <c r="V827" s="153">
        <f ca="1">ROUND((OFFSET(卡牌辅助配置表!$O$1,MATCH(U827,卡牌辅助配置表!M:M,0)-1,0)+(N827-1)*OFFSET(卡牌辅助配置表!$P$1,MATCH(U827,卡牌辅助配置表!M:M,0)-1,0))*M827,2)</f>
        <v>7.52</v>
      </c>
      <c r="W827" s="157">
        <f ca="1">ROUND(IF(R827=0,0,IF(R827=1,X827*$W$1,IF(R827=2,X827*$W$1*buff的资质计算!$E$2,IF(R827=3,X827*$W$1*buff的资质计算!$E$3,0)))),2)</f>
        <v>1.5</v>
      </c>
      <c r="X827" s="157">
        <f ca="1" t="shared" si="142"/>
        <v>5</v>
      </c>
      <c r="Y827" s="157">
        <f ca="1" t="shared" si="141"/>
        <v>5</v>
      </c>
      <c r="Z827" s="304">
        <f ca="1" t="shared" si="143"/>
        <v>5</v>
      </c>
      <c r="AA827" s="304">
        <f ca="1">OFFSET(卡牌辅助配置表!$AD$1,MATCH(AB827,卡牌辅助配置表!AB:AB,0)-1,0)</f>
        <v>126</v>
      </c>
      <c r="AB827" s="304">
        <f ca="1" t="shared" si="136"/>
        <v>1107</v>
      </c>
      <c r="AF827" s="153" t="str">
        <f ca="1" t="shared" si="139"/>
        <v>20020011|</v>
      </c>
      <c r="AJ827" s="205" t="str">
        <f ca="1" t="shared" si="137"/>
        <v>400023|1900|;</v>
      </c>
      <c r="AK827" s="205">
        <f ca="1">OFFSET([1]item_type!$A$1,MATCH(Q827,[1]item_type!$G:$G,0)-1,0)</f>
        <v>302002</v>
      </c>
      <c r="AL827" s="205"/>
      <c r="AM827" s="205">
        <f ca="1">IF(B827=B828,OFFSET(卡牌辅助配置表!$AE$1,MATCH(AB827,卡牌辅助配置表!AB:AB,0),0),0)</f>
        <v>1900</v>
      </c>
      <c r="AN827" s="153">
        <f ca="1" t="shared" si="138"/>
        <v>2002008</v>
      </c>
      <c r="AP827" s="153">
        <f ca="1">IF(AC827=0,0,IF(AC827=12,0,OFFSET(effect!$N$1,MATCH(K827,effect!M:M,0)-1,0)))</f>
        <v>0</v>
      </c>
    </row>
    <row r="828" spans="1:42">
      <c r="A828" s="153">
        <f ca="1" t="shared" si="134"/>
        <v>2002008</v>
      </c>
      <c r="B828" s="91" t="s">
        <v>401</v>
      </c>
      <c r="C828" s="186">
        <v>2</v>
      </c>
      <c r="D828" s="186">
        <v>1</v>
      </c>
      <c r="E828" s="165" t="s">
        <v>721</v>
      </c>
      <c r="F828" s="298"/>
      <c r="G828" s="186">
        <v>-3</v>
      </c>
      <c r="H828" s="186">
        <f ca="1" t="shared" si="140"/>
        <v>0</v>
      </c>
      <c r="I828" s="186"/>
      <c r="J828" s="186">
        <f ca="1">OFFSET(card_type!$F$1,MATCH(Q828,card_type!A:A,0)-1,0)</f>
        <v>1</v>
      </c>
      <c r="K828" s="243">
        <f ca="1">OFFSET(card_type!$G$1,MATCH(Q828,card_type!A:A,0)-1,0)</f>
        <v>1</v>
      </c>
      <c r="L828" s="157">
        <v>1</v>
      </c>
      <c r="M828" s="157">
        <v>1</v>
      </c>
      <c r="N828" s="153">
        <f t="shared" si="144"/>
        <v>8</v>
      </c>
      <c r="O828" s="157"/>
      <c r="P828" s="157"/>
      <c r="Q828" s="153">
        <f ca="1">OFFSET(card_type!$A$1,MATCH(card!B828,card_type!B:B,0)-1,0)</f>
        <v>2002</v>
      </c>
      <c r="R828" s="153">
        <v>1</v>
      </c>
      <c r="S828" s="157">
        <f ca="1">ROUND(IF(R828=0,0,IF(R828=1,X828*$S$1,IF(R828=2,X828*$S$1*buff的资质计算!$E$2,IF(R828=3,X828*$S$1*buff的资质计算!$E$3,0)))),0)*0</f>
        <v>0</v>
      </c>
      <c r="T828" s="153">
        <v>5</v>
      </c>
      <c r="U828" s="153">
        <f ca="1" t="shared" si="135"/>
        <v>11</v>
      </c>
      <c r="V828" s="153">
        <f ca="1">ROUND((OFFSET(卡牌辅助配置表!$O$1,MATCH(U828,卡牌辅助配置表!M:M,0)-1,0)+(N828-1)*OFFSET(卡牌辅助配置表!$P$1,MATCH(U828,卡牌辅助配置表!M:M,0)-1,0))*M828,2)</f>
        <v>7.73</v>
      </c>
      <c r="W828" s="157">
        <f ca="1">ROUND(IF(R828=0,0,IF(R828=1,X828*$W$1,IF(R828=2,X828*$W$1*buff的资质计算!$E$2,IF(R828=3,X828*$W$1*buff的资质计算!$E$3,0)))),2)</f>
        <v>1.65</v>
      </c>
      <c r="X828" s="157">
        <f ca="1" t="shared" si="142"/>
        <v>5.5</v>
      </c>
      <c r="Y828" s="157">
        <f ca="1" t="shared" si="141"/>
        <v>5.5</v>
      </c>
      <c r="Z828" s="304">
        <f ca="1" t="shared" si="143"/>
        <v>5.5</v>
      </c>
      <c r="AA828" s="304">
        <f ca="1">OFFSET(卡牌辅助配置表!$AD$1,MATCH(AB828,卡牌辅助配置表!AB:AB,0)-1,0)</f>
        <v>144</v>
      </c>
      <c r="AB828" s="304">
        <f ca="1" t="shared" si="136"/>
        <v>1108</v>
      </c>
      <c r="AF828" s="153" t="str">
        <f ca="1" t="shared" si="139"/>
        <v>20020011|</v>
      </c>
      <c r="AJ828" s="205" t="str">
        <f ca="1" t="shared" si="137"/>
        <v>400023|2100|;</v>
      </c>
      <c r="AK828" s="205">
        <f ca="1">OFFSET([1]item_type!$A$1,MATCH(Q828,[1]item_type!$G:$G,0)-1,0)</f>
        <v>302002</v>
      </c>
      <c r="AL828" s="205"/>
      <c r="AM828" s="205">
        <f ca="1">IF(B828=B829,OFFSET(卡牌辅助配置表!$AE$1,MATCH(AB828,卡牌辅助配置表!AB:AB,0),0),0)</f>
        <v>2100</v>
      </c>
      <c r="AN828" s="153">
        <f ca="1" t="shared" si="138"/>
        <v>2002009</v>
      </c>
      <c r="AP828" s="153">
        <f ca="1">IF(AC828=0,0,IF(AC828=12,0,OFFSET(effect!$N$1,MATCH(K828,effect!M:M,0)-1,0)))</f>
        <v>0</v>
      </c>
    </row>
    <row r="829" spans="1:42">
      <c r="A829" s="153">
        <f ca="1" t="shared" si="134"/>
        <v>2002009</v>
      </c>
      <c r="B829" s="91" t="s">
        <v>401</v>
      </c>
      <c r="C829" s="186">
        <v>2</v>
      </c>
      <c r="D829" s="186">
        <v>1</v>
      </c>
      <c r="E829" s="165" t="s">
        <v>721</v>
      </c>
      <c r="F829" s="298"/>
      <c r="G829" s="186">
        <v>-3</v>
      </c>
      <c r="H829" s="186">
        <f ca="1" t="shared" si="140"/>
        <v>0</v>
      </c>
      <c r="I829" s="186"/>
      <c r="J829" s="186">
        <f ca="1">OFFSET(card_type!$F$1,MATCH(Q829,card_type!A:A,0)-1,0)</f>
        <v>1</v>
      </c>
      <c r="K829" s="243">
        <f ca="1">OFFSET(card_type!$G$1,MATCH(Q829,card_type!A:A,0)-1,0)</f>
        <v>1</v>
      </c>
      <c r="L829" s="157">
        <v>1</v>
      </c>
      <c r="M829" s="157">
        <v>1</v>
      </c>
      <c r="N829" s="153">
        <f t="shared" si="144"/>
        <v>9</v>
      </c>
      <c r="O829" s="157"/>
      <c r="P829" s="157"/>
      <c r="Q829" s="153">
        <f ca="1">OFFSET(card_type!$A$1,MATCH(card!B829,card_type!B:B,0)-1,0)</f>
        <v>2002</v>
      </c>
      <c r="R829" s="153">
        <v>1</v>
      </c>
      <c r="S829" s="157">
        <f ca="1">ROUND(IF(R829=0,0,IF(R829=1,X829*$S$1,IF(R829=2,X829*$S$1*buff的资质计算!$E$2,IF(R829=3,X829*$S$1*buff的资质计算!$E$3,0)))),0)*0</f>
        <v>0</v>
      </c>
      <c r="T829" s="153">
        <v>5</v>
      </c>
      <c r="U829" s="153">
        <f ca="1" t="shared" si="135"/>
        <v>11</v>
      </c>
      <c r="V829" s="153">
        <f ca="1">ROUND((OFFSET(卡牌辅助配置表!$O$1,MATCH(U829,卡牌辅助配置表!M:M,0)-1,0)+(N829-1)*OFFSET(卡牌辅助配置表!$P$1,MATCH(U829,卡牌辅助配置表!M:M,0)-1,0))*M829,2)</f>
        <v>7.94</v>
      </c>
      <c r="W829" s="157">
        <f ca="1">ROUND(IF(R829=0,0,IF(R829=1,X829*$W$1,IF(R829=2,X829*$W$1*buff的资质计算!$E$2,IF(R829=3,X829*$W$1*buff的资质计算!$E$3,0)))),2)</f>
        <v>1.8</v>
      </c>
      <c r="X829" s="157">
        <f ca="1" t="shared" si="142"/>
        <v>6</v>
      </c>
      <c r="Y829" s="157">
        <f ca="1" t="shared" si="141"/>
        <v>6</v>
      </c>
      <c r="Z829" s="304">
        <f ca="1" t="shared" si="143"/>
        <v>6</v>
      </c>
      <c r="AA829" s="304">
        <f ca="1">OFFSET(卡牌辅助配置表!$AD$1,MATCH(AB829,卡牌辅助配置表!AB:AB,0)-1,0)</f>
        <v>162</v>
      </c>
      <c r="AB829" s="304">
        <f ca="1" t="shared" si="136"/>
        <v>1109</v>
      </c>
      <c r="AF829" s="153" t="str">
        <f ca="1" t="shared" si="139"/>
        <v>20020011|</v>
      </c>
      <c r="AJ829" s="205" t="str">
        <f ca="1" t="shared" si="137"/>
        <v>302002|15|;400023|2300|;</v>
      </c>
      <c r="AK829" s="205">
        <f ca="1">OFFSET([1]item_type!$A$1,MATCH(Q829,[1]item_type!$G:$G,0)-1,0)</f>
        <v>302002</v>
      </c>
      <c r="AL829" s="205">
        <v>15</v>
      </c>
      <c r="AM829" s="205">
        <f ca="1">IF(B829=B830,OFFSET(卡牌辅助配置表!$AE$1,MATCH(AB829,卡牌辅助配置表!AB:AB,0),0),0)</f>
        <v>2300</v>
      </c>
      <c r="AN829" s="153">
        <f ca="1" t="shared" si="138"/>
        <v>2002010</v>
      </c>
      <c r="AP829" s="153">
        <f ca="1">IF(AC829=0,0,IF(AC829=12,0,OFFSET(effect!$N$1,MATCH(K829,effect!M:M,0)-1,0)))</f>
        <v>0</v>
      </c>
    </row>
    <row r="830" spans="1:42">
      <c r="A830" s="153">
        <f ca="1" t="shared" si="134"/>
        <v>2002010</v>
      </c>
      <c r="B830" s="91" t="s">
        <v>401</v>
      </c>
      <c r="C830" s="186">
        <v>2</v>
      </c>
      <c r="D830" s="186">
        <v>1</v>
      </c>
      <c r="E830" s="165" t="s">
        <v>721</v>
      </c>
      <c r="F830" s="298"/>
      <c r="G830" s="186">
        <v>-3</v>
      </c>
      <c r="H830" s="186">
        <f ca="1" t="shared" si="140"/>
        <v>0</v>
      </c>
      <c r="I830" s="186"/>
      <c r="J830" s="186">
        <f ca="1">OFFSET(card_type!$F$1,MATCH(Q830,card_type!A:A,0)-1,0)</f>
        <v>1</v>
      </c>
      <c r="K830" s="243">
        <f ca="1">OFFSET(card_type!$G$1,MATCH(Q830,card_type!A:A,0)-1,0)</f>
        <v>1</v>
      </c>
      <c r="L830" s="157">
        <v>1</v>
      </c>
      <c r="M830" s="157">
        <v>1</v>
      </c>
      <c r="N830" s="153">
        <f t="shared" si="144"/>
        <v>10</v>
      </c>
      <c r="O830" s="157"/>
      <c r="P830" s="157"/>
      <c r="Q830" s="153">
        <f ca="1">OFFSET(card_type!$A$1,MATCH(card!B830,card_type!B:B,0)-1,0)</f>
        <v>2002</v>
      </c>
      <c r="R830" s="153">
        <v>1</v>
      </c>
      <c r="S830" s="157">
        <f ca="1">ROUND(IF(R830=0,0,IF(R830=1,X830*$S$1,IF(R830=2,X830*$S$1*buff的资质计算!$E$2,IF(R830=3,X830*$S$1*buff的资质计算!$E$3,0)))),0)*0</f>
        <v>0</v>
      </c>
      <c r="T830" s="153">
        <v>5</v>
      </c>
      <c r="U830" s="153">
        <f ca="1" t="shared" si="135"/>
        <v>11</v>
      </c>
      <c r="V830" s="153">
        <f ca="1">ROUND((OFFSET(卡牌辅助配置表!$O$1,MATCH(U830,卡牌辅助配置表!M:M,0)-1,0)+(N830-1)*OFFSET(卡牌辅助配置表!$P$1,MATCH(U830,卡牌辅助配置表!M:M,0)-1,0))*M830,2)</f>
        <v>8.15</v>
      </c>
      <c r="W830" s="157">
        <f ca="1">ROUND(IF(R830=0,0,IF(R830=1,X830*$W$1,IF(R830=2,X830*$W$1*buff的资质计算!$E$2,IF(R830=3,X830*$W$1*buff的资质计算!$E$3,0)))),2)</f>
        <v>1.95</v>
      </c>
      <c r="X830" s="157">
        <f ca="1" t="shared" si="142"/>
        <v>6.5</v>
      </c>
      <c r="Y830" s="157">
        <f ca="1" t="shared" si="141"/>
        <v>6.5</v>
      </c>
      <c r="Z830" s="304">
        <f ca="1" t="shared" si="143"/>
        <v>6.5</v>
      </c>
      <c r="AA830" s="304">
        <f ca="1">OFFSET(卡牌辅助配置表!$AD$1,MATCH(AB830,卡牌辅助配置表!AB:AB,0)-1,0)</f>
        <v>180</v>
      </c>
      <c r="AB830" s="304">
        <f ca="1" t="shared" si="136"/>
        <v>1110</v>
      </c>
      <c r="AF830" s="153" t="str">
        <f ca="1" t="shared" si="139"/>
        <v>20020011|</v>
      </c>
      <c r="AJ830" s="205" t="str">
        <f ca="1" t="shared" si="137"/>
        <v>400023|2700|;</v>
      </c>
      <c r="AK830" s="205">
        <f ca="1">OFFSET([1]item_type!$A$1,MATCH(Q830,[1]item_type!$G:$G,0)-1,0)</f>
        <v>302002</v>
      </c>
      <c r="AL830" s="205"/>
      <c r="AM830" s="205">
        <f ca="1">IF(B830=B831,OFFSET(卡牌辅助配置表!$AE$1,MATCH(AB830,卡牌辅助配置表!AB:AB,0),0),0)</f>
        <v>2700</v>
      </c>
      <c r="AN830" s="153">
        <f ca="1" t="shared" si="138"/>
        <v>2002011</v>
      </c>
      <c r="AP830" s="153">
        <f ca="1">IF(AC830=0,0,IF(AC830=12,0,OFFSET(effect!$N$1,MATCH(K830,effect!M:M,0)-1,0)))</f>
        <v>0</v>
      </c>
    </row>
    <row r="831" spans="1:42">
      <c r="A831" s="153">
        <f ca="1" t="shared" si="134"/>
        <v>2002011</v>
      </c>
      <c r="B831" s="91" t="s">
        <v>401</v>
      </c>
      <c r="C831" s="186">
        <v>2</v>
      </c>
      <c r="D831" s="186">
        <v>1</v>
      </c>
      <c r="E831" s="165" t="s">
        <v>721</v>
      </c>
      <c r="F831" s="298"/>
      <c r="G831" s="186">
        <v>-3</v>
      </c>
      <c r="H831" s="186">
        <f ca="1" t="shared" si="140"/>
        <v>0</v>
      </c>
      <c r="I831" s="186"/>
      <c r="J831" s="186">
        <f ca="1">OFFSET(card_type!$F$1,MATCH(Q831,card_type!A:A,0)-1,0)</f>
        <v>1</v>
      </c>
      <c r="K831" s="243">
        <f ca="1">OFFSET(card_type!$G$1,MATCH(Q831,card_type!A:A,0)-1,0)</f>
        <v>1</v>
      </c>
      <c r="L831" s="157">
        <v>1</v>
      </c>
      <c r="M831" s="157">
        <v>1</v>
      </c>
      <c r="N831" s="153">
        <f t="shared" si="144"/>
        <v>11</v>
      </c>
      <c r="O831" s="157"/>
      <c r="P831" s="157"/>
      <c r="Q831" s="153">
        <f ca="1">OFFSET(card_type!$A$1,MATCH(card!B831,card_type!B:B,0)-1,0)</f>
        <v>2002</v>
      </c>
      <c r="R831" s="153">
        <v>1</v>
      </c>
      <c r="S831" s="157">
        <f ca="1">ROUND(IF(R831=0,0,IF(R831=1,X831*$S$1,IF(R831=2,X831*$S$1*buff的资质计算!$E$2,IF(R831=3,X831*$S$1*buff的资质计算!$E$3,0)))),0)*0</f>
        <v>0</v>
      </c>
      <c r="T831" s="153">
        <v>5</v>
      </c>
      <c r="U831" s="153">
        <f ca="1" t="shared" si="135"/>
        <v>11</v>
      </c>
      <c r="V831" s="153">
        <f ca="1">ROUND((OFFSET(卡牌辅助配置表!$O$1,MATCH(U831,卡牌辅助配置表!M:M,0)-1,0)+(N831-1)*OFFSET(卡牌辅助配置表!$P$1,MATCH(U831,卡牌辅助配置表!M:M,0)-1,0))*M831,2)</f>
        <v>8.36</v>
      </c>
      <c r="W831" s="157">
        <f ca="1">ROUND(IF(R831=0,0,IF(R831=1,X831*$W$1,IF(R831=2,X831*$W$1*buff的资质计算!$E$2,IF(R831=3,X831*$W$1*buff的资质计算!$E$3,0)))),2)</f>
        <v>2.1</v>
      </c>
      <c r="X831" s="157">
        <f ca="1" t="shared" si="142"/>
        <v>7</v>
      </c>
      <c r="Y831" s="157">
        <f ca="1" t="shared" si="141"/>
        <v>7</v>
      </c>
      <c r="Z831" s="304">
        <f ca="1" t="shared" si="143"/>
        <v>7</v>
      </c>
      <c r="AA831" s="304">
        <f ca="1">OFFSET(卡牌辅助配置表!$AD$1,MATCH(AB831,卡牌辅助配置表!AB:AB,0)-1,0)</f>
        <v>207</v>
      </c>
      <c r="AB831" s="304">
        <f ca="1" t="shared" si="136"/>
        <v>1111</v>
      </c>
      <c r="AF831" s="153" t="str">
        <f ca="1" t="shared" si="139"/>
        <v>20020011|</v>
      </c>
      <c r="AJ831" s="205" t="str">
        <f ca="1" t="shared" si="137"/>
        <v>400023|3100|;</v>
      </c>
      <c r="AK831" s="205">
        <f ca="1">OFFSET([1]item_type!$A$1,MATCH(Q831,[1]item_type!$G:$G,0)-1,0)</f>
        <v>302002</v>
      </c>
      <c r="AL831" s="205"/>
      <c r="AM831" s="205">
        <f ca="1">IF(B831=B832,OFFSET(卡牌辅助配置表!$AE$1,MATCH(AB831,卡牌辅助配置表!AB:AB,0),0),0)</f>
        <v>3100</v>
      </c>
      <c r="AN831" s="153">
        <f ca="1" t="shared" si="138"/>
        <v>2002012</v>
      </c>
      <c r="AP831" s="153">
        <f ca="1">IF(AC831=0,0,IF(AC831=12,0,OFFSET(effect!$N$1,MATCH(K831,effect!M:M,0)-1,0)))</f>
        <v>0</v>
      </c>
    </row>
    <row r="832" spans="1:42">
      <c r="A832" s="153">
        <f ca="1" t="shared" si="134"/>
        <v>2002012</v>
      </c>
      <c r="B832" s="91" t="s">
        <v>401</v>
      </c>
      <c r="C832" s="186">
        <v>2</v>
      </c>
      <c r="D832" s="186">
        <v>1</v>
      </c>
      <c r="E832" s="165" t="s">
        <v>721</v>
      </c>
      <c r="F832" s="298"/>
      <c r="G832" s="186">
        <v>-3</v>
      </c>
      <c r="H832" s="186">
        <f ca="1" t="shared" si="140"/>
        <v>0</v>
      </c>
      <c r="I832" s="186"/>
      <c r="J832" s="186">
        <f ca="1">OFFSET(card_type!$F$1,MATCH(Q832,card_type!A:A,0)-1,0)</f>
        <v>1</v>
      </c>
      <c r="K832" s="243">
        <f ca="1">OFFSET(card_type!$G$1,MATCH(Q832,card_type!A:A,0)-1,0)</f>
        <v>1</v>
      </c>
      <c r="L832" s="157">
        <v>1</v>
      </c>
      <c r="M832" s="157">
        <v>1</v>
      </c>
      <c r="N832" s="153">
        <f t="shared" si="144"/>
        <v>12</v>
      </c>
      <c r="O832" s="157"/>
      <c r="P832" s="157"/>
      <c r="Q832" s="153">
        <f ca="1">OFFSET(card_type!$A$1,MATCH(card!B832,card_type!B:B,0)-1,0)</f>
        <v>2002</v>
      </c>
      <c r="R832" s="153">
        <v>1</v>
      </c>
      <c r="S832" s="157">
        <f ca="1">ROUND(IF(R832=0,0,IF(R832=1,X832*$S$1,IF(R832=2,X832*$S$1*buff的资质计算!$E$2,IF(R832=3,X832*$S$1*buff的资质计算!$E$3,0)))),0)*0</f>
        <v>0</v>
      </c>
      <c r="T832" s="153">
        <v>5</v>
      </c>
      <c r="U832" s="153">
        <f ca="1" t="shared" si="135"/>
        <v>11</v>
      </c>
      <c r="V832" s="153">
        <f ca="1">ROUND((OFFSET(卡牌辅助配置表!$O$1,MATCH(U832,卡牌辅助配置表!M:M,0)-1,0)+(N832-1)*OFFSET(卡牌辅助配置表!$P$1,MATCH(U832,卡牌辅助配置表!M:M,0)-1,0))*M832,2)</f>
        <v>8.57</v>
      </c>
      <c r="W832" s="157">
        <f ca="1">ROUND(IF(R832=0,0,IF(R832=1,X832*$W$1,IF(R832=2,X832*$W$1*buff的资质计算!$E$2,IF(R832=3,X832*$W$1*buff的资质计算!$E$3,0)))),2)</f>
        <v>2.25</v>
      </c>
      <c r="X832" s="157">
        <f ca="1" t="shared" si="142"/>
        <v>7.5</v>
      </c>
      <c r="Y832" s="157">
        <f ca="1" t="shared" si="141"/>
        <v>7.5</v>
      </c>
      <c r="Z832" s="304">
        <f ca="1" t="shared" si="143"/>
        <v>7.5</v>
      </c>
      <c r="AA832" s="304">
        <f ca="1">OFFSET(卡牌辅助配置表!$AD$1,MATCH(AB832,卡牌辅助配置表!AB:AB,0)-1,0)</f>
        <v>234</v>
      </c>
      <c r="AB832" s="304">
        <f ca="1" t="shared" si="136"/>
        <v>1112</v>
      </c>
      <c r="AF832" s="153" t="str">
        <f ca="1" t="shared" si="139"/>
        <v>20020011|</v>
      </c>
      <c r="AJ832" s="205" t="str">
        <f ca="1" t="shared" si="137"/>
        <v>400023|3500|;</v>
      </c>
      <c r="AK832" s="205">
        <f ca="1">OFFSET([1]item_type!$A$1,MATCH(Q832,[1]item_type!$G:$G,0)-1,0)</f>
        <v>302002</v>
      </c>
      <c r="AL832" s="205"/>
      <c r="AM832" s="205">
        <f ca="1">IF(B832=B833,OFFSET(卡牌辅助配置表!$AE$1,MATCH(AB832,卡牌辅助配置表!AB:AB,0),0),0)</f>
        <v>3500</v>
      </c>
      <c r="AN832" s="153">
        <f ca="1" t="shared" si="138"/>
        <v>2002013</v>
      </c>
      <c r="AP832" s="153">
        <f ca="1">IF(AC832=0,0,IF(AC832=12,0,OFFSET(effect!$N$1,MATCH(K832,effect!M:M,0)-1,0)))</f>
        <v>0</v>
      </c>
    </row>
    <row r="833" spans="1:42">
      <c r="A833" s="153">
        <f ca="1" t="shared" si="134"/>
        <v>2002013</v>
      </c>
      <c r="B833" s="91" t="s">
        <v>401</v>
      </c>
      <c r="C833" s="186">
        <v>2</v>
      </c>
      <c r="D833" s="186">
        <v>1</v>
      </c>
      <c r="E833" s="165" t="s">
        <v>721</v>
      </c>
      <c r="F833" s="298"/>
      <c r="G833" s="186">
        <v>-3</v>
      </c>
      <c r="H833" s="186">
        <f ca="1" t="shared" si="140"/>
        <v>0</v>
      </c>
      <c r="I833" s="186"/>
      <c r="J833" s="186">
        <f ca="1">OFFSET(card_type!$F$1,MATCH(Q833,card_type!A:A,0)-1,0)</f>
        <v>1</v>
      </c>
      <c r="K833" s="243">
        <f ca="1">OFFSET(card_type!$G$1,MATCH(Q833,card_type!A:A,0)-1,0)</f>
        <v>1</v>
      </c>
      <c r="L833" s="157">
        <v>1</v>
      </c>
      <c r="M833" s="157">
        <v>1</v>
      </c>
      <c r="N833" s="153">
        <f t="shared" si="144"/>
        <v>13</v>
      </c>
      <c r="O833" s="157"/>
      <c r="P833" s="157"/>
      <c r="Q833" s="153">
        <f ca="1">OFFSET(card_type!$A$1,MATCH(card!B833,card_type!B:B,0)-1,0)</f>
        <v>2002</v>
      </c>
      <c r="R833" s="153">
        <v>1</v>
      </c>
      <c r="S833" s="157">
        <f ca="1">ROUND(IF(R833=0,0,IF(R833=1,X833*$S$1,IF(R833=2,X833*$S$1*buff的资质计算!$E$2,IF(R833=3,X833*$S$1*buff的资质计算!$E$3,0)))),0)*0</f>
        <v>0</v>
      </c>
      <c r="T833" s="153">
        <v>5</v>
      </c>
      <c r="U833" s="153">
        <f ca="1" t="shared" si="135"/>
        <v>11</v>
      </c>
      <c r="V833" s="153">
        <f ca="1">ROUND((OFFSET(卡牌辅助配置表!$O$1,MATCH(U833,卡牌辅助配置表!M:M,0)-1,0)+(N833-1)*OFFSET(卡牌辅助配置表!$P$1,MATCH(U833,卡牌辅助配置表!M:M,0)-1,0))*M833,2)</f>
        <v>8.78</v>
      </c>
      <c r="W833" s="157">
        <f ca="1">ROUND(IF(R833=0,0,IF(R833=1,X833*$W$1,IF(R833=2,X833*$W$1*buff的资质计算!$E$2,IF(R833=3,X833*$W$1*buff的资质计算!$E$3,0)))),2)</f>
        <v>2.4</v>
      </c>
      <c r="X833" s="157">
        <f ca="1" t="shared" si="142"/>
        <v>8</v>
      </c>
      <c r="Y833" s="157">
        <f ca="1" t="shared" si="141"/>
        <v>8</v>
      </c>
      <c r="Z833" s="304">
        <f ca="1" t="shared" si="143"/>
        <v>8</v>
      </c>
      <c r="AA833" s="304">
        <f ca="1">OFFSET(卡牌辅助配置表!$AD$1,MATCH(AB833,卡牌辅助配置表!AB:AB,0)-1,0)</f>
        <v>261</v>
      </c>
      <c r="AB833" s="304">
        <f ca="1" t="shared" si="136"/>
        <v>1113</v>
      </c>
      <c r="AF833" s="153" t="str">
        <f ca="1" t="shared" si="139"/>
        <v>20020011|</v>
      </c>
      <c r="AJ833" s="205" t="str">
        <f ca="1" t="shared" si="137"/>
        <v>400023|3900|;</v>
      </c>
      <c r="AK833" s="205">
        <f ca="1">OFFSET([1]item_type!$A$1,MATCH(Q833,[1]item_type!$G:$G,0)-1,0)</f>
        <v>302002</v>
      </c>
      <c r="AL833" s="205"/>
      <c r="AM833" s="205">
        <f ca="1">IF(B833=B834,OFFSET(卡牌辅助配置表!$AE$1,MATCH(AB833,卡牌辅助配置表!AB:AB,0),0),0)</f>
        <v>3900</v>
      </c>
      <c r="AN833" s="153">
        <f ca="1" t="shared" si="138"/>
        <v>2002014</v>
      </c>
      <c r="AP833" s="153">
        <f ca="1">IF(AC833=0,0,IF(AC833=12,0,OFFSET(effect!$N$1,MATCH(K833,effect!M:M,0)-1,0)))</f>
        <v>0</v>
      </c>
    </row>
    <row r="834" spans="1:42">
      <c r="A834" s="153">
        <f ca="1" t="shared" si="134"/>
        <v>2002014</v>
      </c>
      <c r="B834" s="91" t="s">
        <v>401</v>
      </c>
      <c r="C834" s="186">
        <v>2</v>
      </c>
      <c r="D834" s="186">
        <v>1</v>
      </c>
      <c r="E834" s="165" t="s">
        <v>721</v>
      </c>
      <c r="F834" s="298"/>
      <c r="G834" s="186">
        <v>-3</v>
      </c>
      <c r="H834" s="186">
        <f ca="1" t="shared" si="140"/>
        <v>0</v>
      </c>
      <c r="I834" s="186"/>
      <c r="J834" s="186">
        <f ca="1">OFFSET(card_type!$F$1,MATCH(Q834,card_type!A:A,0)-1,0)</f>
        <v>1</v>
      </c>
      <c r="K834" s="243">
        <f ca="1">OFFSET(card_type!$G$1,MATCH(Q834,card_type!A:A,0)-1,0)</f>
        <v>1</v>
      </c>
      <c r="L834" s="157">
        <v>1</v>
      </c>
      <c r="M834" s="157">
        <v>1</v>
      </c>
      <c r="N834" s="153">
        <f t="shared" si="144"/>
        <v>14</v>
      </c>
      <c r="O834" s="157"/>
      <c r="P834" s="157"/>
      <c r="Q834" s="153">
        <f ca="1">OFFSET(card_type!$A$1,MATCH(card!B834,card_type!B:B,0)-1,0)</f>
        <v>2002</v>
      </c>
      <c r="R834" s="153">
        <v>1</v>
      </c>
      <c r="S834" s="157">
        <f ca="1">ROUND(IF(R834=0,0,IF(R834=1,X834*$S$1,IF(R834=2,X834*$S$1*buff的资质计算!$E$2,IF(R834=3,X834*$S$1*buff的资质计算!$E$3,0)))),0)*0</f>
        <v>0</v>
      </c>
      <c r="T834" s="153">
        <v>5</v>
      </c>
      <c r="U834" s="153">
        <f ca="1" t="shared" si="135"/>
        <v>11</v>
      </c>
      <c r="V834" s="153">
        <f ca="1">ROUND((OFFSET(卡牌辅助配置表!$O$1,MATCH(U834,卡牌辅助配置表!M:M,0)-1,0)+(N834-1)*OFFSET(卡牌辅助配置表!$P$1,MATCH(U834,卡牌辅助配置表!M:M,0)-1,0))*M834,2)</f>
        <v>8.99</v>
      </c>
      <c r="W834" s="157">
        <f ca="1">ROUND(IF(R834=0,0,IF(R834=1,X834*$W$1,IF(R834=2,X834*$W$1*buff的资质计算!$E$2,IF(R834=3,X834*$W$1*buff的资质计算!$E$3,0)))),2)</f>
        <v>2.55</v>
      </c>
      <c r="X834" s="157">
        <f ca="1" t="shared" si="142"/>
        <v>8.5</v>
      </c>
      <c r="Y834" s="157">
        <f ca="1" t="shared" si="141"/>
        <v>8.5</v>
      </c>
      <c r="Z834" s="304">
        <f ca="1" t="shared" si="143"/>
        <v>8.5</v>
      </c>
      <c r="AA834" s="304">
        <f ca="1">OFFSET(卡牌辅助配置表!$AD$1,MATCH(AB834,卡牌辅助配置表!AB:AB,0)-1,0)</f>
        <v>288</v>
      </c>
      <c r="AB834" s="304">
        <f ca="1" t="shared" si="136"/>
        <v>1114</v>
      </c>
      <c r="AF834" s="153" t="str">
        <f ca="1" t="shared" si="139"/>
        <v>20020011|</v>
      </c>
      <c r="AJ834" s="205" t="str">
        <f ca="1" t="shared" si="137"/>
        <v>400023|4300|;</v>
      </c>
      <c r="AK834" s="205">
        <f ca="1">OFFSET([1]item_type!$A$1,MATCH(Q834,[1]item_type!$G:$G,0)-1,0)</f>
        <v>302002</v>
      </c>
      <c r="AL834" s="205"/>
      <c r="AM834" s="205">
        <f ca="1">IF(B834=B835,OFFSET(卡牌辅助配置表!$AE$1,MATCH(AB834,卡牌辅助配置表!AB:AB,0),0),0)</f>
        <v>4300</v>
      </c>
      <c r="AN834" s="153">
        <f ca="1" t="shared" si="138"/>
        <v>2002015</v>
      </c>
      <c r="AP834" s="153">
        <f ca="1">IF(AC834=0,0,IF(AC834=12,0,OFFSET(effect!$N$1,MATCH(K834,effect!M:M,0)-1,0)))</f>
        <v>0</v>
      </c>
    </row>
    <row r="835" spans="1:42">
      <c r="A835" s="153">
        <f ca="1" t="shared" si="134"/>
        <v>2002015</v>
      </c>
      <c r="B835" s="91" t="s">
        <v>401</v>
      </c>
      <c r="C835" s="186">
        <v>2</v>
      </c>
      <c r="D835" s="186">
        <v>1</v>
      </c>
      <c r="E835" s="165" t="s">
        <v>721</v>
      </c>
      <c r="F835" s="298"/>
      <c r="G835" s="186">
        <v>-3</v>
      </c>
      <c r="H835" s="186">
        <f ca="1" t="shared" si="140"/>
        <v>0</v>
      </c>
      <c r="I835" s="186"/>
      <c r="J835" s="186">
        <f ca="1">OFFSET(card_type!$F$1,MATCH(Q835,card_type!A:A,0)-1,0)</f>
        <v>1</v>
      </c>
      <c r="K835" s="243">
        <f ca="1">OFFSET(card_type!$G$1,MATCH(Q835,card_type!A:A,0)-1,0)</f>
        <v>1</v>
      </c>
      <c r="L835" s="157">
        <v>1</v>
      </c>
      <c r="M835" s="157">
        <v>1</v>
      </c>
      <c r="N835" s="153">
        <f t="shared" si="144"/>
        <v>15</v>
      </c>
      <c r="O835" s="157"/>
      <c r="P835" s="157"/>
      <c r="Q835" s="153">
        <f ca="1">OFFSET(card_type!$A$1,MATCH(card!B835,card_type!B:B,0)-1,0)</f>
        <v>2002</v>
      </c>
      <c r="R835" s="153">
        <v>1</v>
      </c>
      <c r="S835" s="157">
        <f ca="1">ROUND(IF(R835=0,0,IF(R835=1,X835*$S$1,IF(R835=2,X835*$S$1*buff的资质计算!$E$2,IF(R835=3,X835*$S$1*buff的资质计算!$E$3,0)))),0)*0</f>
        <v>0</v>
      </c>
      <c r="T835" s="153">
        <v>5</v>
      </c>
      <c r="U835" s="153">
        <f ca="1" t="shared" si="135"/>
        <v>11</v>
      </c>
      <c r="V835" s="153">
        <f ca="1">ROUND((OFFSET(卡牌辅助配置表!$O$1,MATCH(U835,卡牌辅助配置表!M:M,0)-1,0)+(N835-1)*OFFSET(卡牌辅助配置表!$P$1,MATCH(U835,卡牌辅助配置表!M:M,0)-1,0))*M835,2)</f>
        <v>9.2</v>
      </c>
      <c r="W835" s="157">
        <f ca="1">ROUND(IF(R835=0,0,IF(R835=1,X835*$W$1,IF(R835=2,X835*$W$1*buff的资质计算!$E$2,IF(R835=3,X835*$W$1*buff的资质计算!$E$3,0)))),2)</f>
        <v>2.7</v>
      </c>
      <c r="X835" s="157">
        <f ca="1" t="shared" si="142"/>
        <v>9</v>
      </c>
      <c r="Y835" s="157">
        <f ca="1" t="shared" si="141"/>
        <v>9</v>
      </c>
      <c r="Z835" s="304">
        <f ca="1" t="shared" si="143"/>
        <v>9</v>
      </c>
      <c r="AA835" s="304">
        <f ca="1">OFFSET(卡牌辅助配置表!$AD$1,MATCH(AB835,卡牌辅助配置表!AB:AB,0)-1,0)</f>
        <v>315</v>
      </c>
      <c r="AB835" s="304">
        <f ca="1" t="shared" si="136"/>
        <v>1115</v>
      </c>
      <c r="AF835" s="153" t="str">
        <f ca="1" t="shared" si="139"/>
        <v>20020011|</v>
      </c>
      <c r="AJ835" s="205" t="str">
        <f ca="1" t="shared" si="137"/>
        <v>400023|4700|;</v>
      </c>
      <c r="AK835" s="205">
        <f ca="1">OFFSET([1]item_type!$A$1,MATCH(Q835,[1]item_type!$G:$G,0)-1,0)</f>
        <v>302002</v>
      </c>
      <c r="AL835" s="205"/>
      <c r="AM835" s="205">
        <f ca="1">IF(B835=B836,OFFSET(卡牌辅助配置表!$AE$1,MATCH(AB835,卡牌辅助配置表!AB:AB,0),0),0)</f>
        <v>4700</v>
      </c>
      <c r="AN835" s="153">
        <f ca="1" t="shared" si="138"/>
        <v>2002016</v>
      </c>
      <c r="AP835" s="153">
        <f ca="1">IF(AC835=0,0,IF(AC835=12,0,OFFSET(effect!$N$1,MATCH(K835,effect!M:M,0)-1,0)))</f>
        <v>0</v>
      </c>
    </row>
    <row r="836" spans="1:42">
      <c r="A836" s="153">
        <f ca="1" t="shared" si="134"/>
        <v>2002016</v>
      </c>
      <c r="B836" s="91" t="s">
        <v>401</v>
      </c>
      <c r="C836" s="186">
        <v>2</v>
      </c>
      <c r="D836" s="186">
        <v>1</v>
      </c>
      <c r="E836" s="165" t="s">
        <v>721</v>
      </c>
      <c r="F836" s="298"/>
      <c r="G836" s="186">
        <v>-3</v>
      </c>
      <c r="H836" s="186">
        <f ca="1" t="shared" si="140"/>
        <v>0</v>
      </c>
      <c r="I836" s="186"/>
      <c r="J836" s="186">
        <f ca="1">OFFSET(card_type!$F$1,MATCH(Q836,card_type!A:A,0)-1,0)</f>
        <v>1</v>
      </c>
      <c r="K836" s="243">
        <f ca="1">OFFSET(card_type!$G$1,MATCH(Q836,card_type!A:A,0)-1,0)</f>
        <v>1</v>
      </c>
      <c r="L836" s="157">
        <v>1</v>
      </c>
      <c r="M836" s="157">
        <v>1</v>
      </c>
      <c r="N836" s="153">
        <f t="shared" si="144"/>
        <v>16</v>
      </c>
      <c r="O836" s="157"/>
      <c r="P836" s="157"/>
      <c r="Q836" s="153">
        <f ca="1">OFFSET(card_type!$A$1,MATCH(card!B836,card_type!B:B,0)-1,0)</f>
        <v>2002</v>
      </c>
      <c r="R836" s="153">
        <v>1</v>
      </c>
      <c r="S836" s="157">
        <f ca="1">ROUND(IF(R836=0,0,IF(R836=1,X836*$S$1,IF(R836=2,X836*$S$1*buff的资质计算!$E$2,IF(R836=3,X836*$S$1*buff的资质计算!$E$3,0)))),0)*0</f>
        <v>0</v>
      </c>
      <c r="T836" s="153">
        <v>5</v>
      </c>
      <c r="U836" s="153">
        <f ca="1" t="shared" si="135"/>
        <v>11</v>
      </c>
      <c r="V836" s="153">
        <f ca="1">ROUND((OFFSET(卡牌辅助配置表!$O$1,MATCH(U836,卡牌辅助配置表!M:M,0)-1,0)+(N836-1)*OFFSET(卡牌辅助配置表!$P$1,MATCH(U836,卡牌辅助配置表!M:M,0)-1,0))*M836,2)</f>
        <v>9.41</v>
      </c>
      <c r="W836" s="157">
        <f ca="1">ROUND(IF(R836=0,0,IF(R836=1,X836*$W$1,IF(R836=2,X836*$W$1*buff的资质计算!$E$2,IF(R836=3,X836*$W$1*buff的资质计算!$E$3,0)))),2)</f>
        <v>2.85</v>
      </c>
      <c r="X836" s="157">
        <f ca="1" t="shared" si="142"/>
        <v>9.5</v>
      </c>
      <c r="Y836" s="157">
        <f ca="1" t="shared" si="141"/>
        <v>9.5</v>
      </c>
      <c r="Z836" s="304">
        <f ca="1" t="shared" si="143"/>
        <v>9.5</v>
      </c>
      <c r="AA836" s="304">
        <f ca="1">OFFSET(卡牌辅助配置表!$AD$1,MATCH(AB836,卡牌辅助配置表!AB:AB,0)-1,0)</f>
        <v>342</v>
      </c>
      <c r="AB836" s="304">
        <f ca="1" t="shared" si="136"/>
        <v>1116</v>
      </c>
      <c r="AF836" s="153" t="str">
        <f ca="1" t="shared" si="139"/>
        <v>20020011|</v>
      </c>
      <c r="AJ836" s="205" t="str">
        <f ca="1" t="shared" si="137"/>
        <v>400023|5100|;</v>
      </c>
      <c r="AK836" s="205">
        <f ca="1">OFFSET([1]item_type!$A$1,MATCH(Q836,[1]item_type!$G:$G,0)-1,0)</f>
        <v>302002</v>
      </c>
      <c r="AL836" s="205"/>
      <c r="AM836" s="205">
        <f ca="1">IF(B836=B837,OFFSET(卡牌辅助配置表!$AE$1,MATCH(AB836,卡牌辅助配置表!AB:AB,0),0),0)</f>
        <v>5100</v>
      </c>
      <c r="AN836" s="153">
        <f ca="1" t="shared" si="138"/>
        <v>2002017</v>
      </c>
      <c r="AP836" s="153">
        <f ca="1">IF(AC836=0,0,IF(AC836=12,0,OFFSET(effect!$N$1,MATCH(K836,effect!M:M,0)-1,0)))</f>
        <v>0</v>
      </c>
    </row>
    <row r="837" spans="1:42">
      <c r="A837" s="153">
        <f ca="1" t="shared" si="134"/>
        <v>2002017</v>
      </c>
      <c r="B837" s="91" t="s">
        <v>401</v>
      </c>
      <c r="C837" s="186">
        <v>2</v>
      </c>
      <c r="D837" s="186">
        <v>1</v>
      </c>
      <c r="E837" s="165" t="s">
        <v>721</v>
      </c>
      <c r="F837" s="298"/>
      <c r="G837" s="186">
        <v>-3</v>
      </c>
      <c r="H837" s="186">
        <f ca="1" t="shared" si="140"/>
        <v>0</v>
      </c>
      <c r="I837" s="186"/>
      <c r="J837" s="186">
        <f ca="1">OFFSET(card_type!$F$1,MATCH(Q837,card_type!A:A,0)-1,0)</f>
        <v>1</v>
      </c>
      <c r="K837" s="243">
        <f ca="1">OFFSET(card_type!$G$1,MATCH(Q837,card_type!A:A,0)-1,0)</f>
        <v>1</v>
      </c>
      <c r="L837" s="157">
        <v>1</v>
      </c>
      <c r="M837" s="157">
        <v>1</v>
      </c>
      <c r="N837" s="153">
        <f t="shared" si="144"/>
        <v>17</v>
      </c>
      <c r="O837" s="157"/>
      <c r="P837" s="157"/>
      <c r="Q837" s="153">
        <f ca="1">OFFSET(card_type!$A$1,MATCH(card!B837,card_type!B:B,0)-1,0)</f>
        <v>2002</v>
      </c>
      <c r="R837" s="153">
        <v>1</v>
      </c>
      <c r="S837" s="157">
        <f ca="1">ROUND(IF(R837=0,0,IF(R837=1,X837*$S$1,IF(R837=2,X837*$S$1*buff的资质计算!$E$2,IF(R837=3,X837*$S$1*buff的资质计算!$E$3,0)))),0)*0</f>
        <v>0</v>
      </c>
      <c r="T837" s="153">
        <v>5</v>
      </c>
      <c r="U837" s="153">
        <f ca="1" t="shared" si="135"/>
        <v>11</v>
      </c>
      <c r="V837" s="153">
        <f ca="1">ROUND((OFFSET(卡牌辅助配置表!$O$1,MATCH(U837,卡牌辅助配置表!M:M,0)-1,0)+(N837-1)*OFFSET(卡牌辅助配置表!$P$1,MATCH(U837,卡牌辅助配置表!M:M,0)-1,0))*M837,2)</f>
        <v>9.61</v>
      </c>
      <c r="W837" s="157">
        <f ca="1">ROUND(IF(R837=0,0,IF(R837=1,X837*$W$1,IF(R837=2,X837*$W$1*buff的资质计算!$E$2,IF(R837=3,X837*$W$1*buff的资质计算!$E$3,0)))),2)</f>
        <v>3</v>
      </c>
      <c r="X837" s="157">
        <f ca="1" t="shared" si="142"/>
        <v>10</v>
      </c>
      <c r="Y837" s="157">
        <f ca="1" t="shared" si="141"/>
        <v>10</v>
      </c>
      <c r="Z837" s="304">
        <f ca="1" t="shared" si="143"/>
        <v>10</v>
      </c>
      <c r="AA837" s="304">
        <f ca="1">OFFSET(卡牌辅助配置表!$AD$1,MATCH(AB837,卡牌辅助配置表!AB:AB,0)-1,0)</f>
        <v>369</v>
      </c>
      <c r="AB837" s="304">
        <f ca="1" t="shared" si="136"/>
        <v>1117</v>
      </c>
      <c r="AF837" s="153" t="str">
        <f ca="1" t="shared" si="139"/>
        <v>20020011|</v>
      </c>
      <c r="AJ837" s="205" t="str">
        <f ca="1" t="shared" si="137"/>
        <v>400023|5500|;</v>
      </c>
      <c r="AK837" s="205">
        <f ca="1">OFFSET([1]item_type!$A$1,MATCH(Q837,[1]item_type!$G:$G,0)-1,0)</f>
        <v>302002</v>
      </c>
      <c r="AL837" s="205"/>
      <c r="AM837" s="205">
        <f ca="1">IF(B837=B838,OFFSET(卡牌辅助配置表!$AE$1,MATCH(AB837,卡牌辅助配置表!AB:AB,0),0),0)</f>
        <v>5500</v>
      </c>
      <c r="AN837" s="153">
        <f ca="1" t="shared" si="138"/>
        <v>2002018</v>
      </c>
      <c r="AP837" s="153">
        <f ca="1">IF(AC837=0,0,IF(AC837=12,0,OFFSET(effect!$N$1,MATCH(K837,effect!M:M,0)-1,0)))</f>
        <v>0</v>
      </c>
    </row>
    <row r="838" spans="1:42">
      <c r="A838" s="153">
        <f ca="1" t="shared" ref="A838:A901" si="145">Q838*1000+N838</f>
        <v>2002018</v>
      </c>
      <c r="B838" s="91" t="s">
        <v>401</v>
      </c>
      <c r="C838" s="186">
        <v>2</v>
      </c>
      <c r="D838" s="186">
        <v>1</v>
      </c>
      <c r="E838" s="165" t="s">
        <v>721</v>
      </c>
      <c r="F838" s="298"/>
      <c r="G838" s="186">
        <v>-3</v>
      </c>
      <c r="H838" s="186">
        <f ca="1" t="shared" si="140"/>
        <v>0</v>
      </c>
      <c r="I838" s="186"/>
      <c r="J838" s="186">
        <f ca="1">OFFSET(card_type!$F$1,MATCH(Q838,card_type!A:A,0)-1,0)</f>
        <v>1</v>
      </c>
      <c r="K838" s="243">
        <f ca="1">OFFSET(card_type!$G$1,MATCH(Q838,card_type!A:A,0)-1,0)</f>
        <v>1</v>
      </c>
      <c r="L838" s="157">
        <v>1</v>
      </c>
      <c r="M838" s="157">
        <v>1</v>
      </c>
      <c r="N838" s="153">
        <f t="shared" si="144"/>
        <v>18</v>
      </c>
      <c r="O838" s="157"/>
      <c r="P838" s="157"/>
      <c r="Q838" s="153">
        <f ca="1">OFFSET(card_type!$A$1,MATCH(card!B838,card_type!B:B,0)-1,0)</f>
        <v>2002</v>
      </c>
      <c r="R838" s="153">
        <v>1</v>
      </c>
      <c r="S838" s="157">
        <f ca="1">ROUND(IF(R838=0,0,IF(R838=1,X838*$S$1,IF(R838=2,X838*$S$1*buff的资质计算!$E$2,IF(R838=3,X838*$S$1*buff的资质计算!$E$3,0)))),0)*0</f>
        <v>0</v>
      </c>
      <c r="T838" s="153">
        <v>5</v>
      </c>
      <c r="U838" s="153">
        <f ca="1" t="shared" ref="U838:U901" si="146">J838*10+K838</f>
        <v>11</v>
      </c>
      <c r="V838" s="153">
        <f ca="1">ROUND((OFFSET(卡牌辅助配置表!$O$1,MATCH(U838,卡牌辅助配置表!M:M,0)-1,0)+(N838-1)*OFFSET(卡牌辅助配置表!$P$1,MATCH(U838,卡牌辅助配置表!M:M,0)-1,0))*M838,2)</f>
        <v>9.82</v>
      </c>
      <c r="W838" s="157">
        <f ca="1">ROUND(IF(R838=0,0,IF(R838=1,X838*$W$1,IF(R838=2,X838*$W$1*buff的资质计算!$E$2,IF(R838=3,X838*$W$1*buff的资质计算!$E$3,0)))),2)</f>
        <v>3.15</v>
      </c>
      <c r="X838" s="157">
        <f ca="1" t="shared" si="142"/>
        <v>10.5</v>
      </c>
      <c r="Y838" s="157">
        <f ca="1" t="shared" si="141"/>
        <v>10.5</v>
      </c>
      <c r="Z838" s="304">
        <f ca="1" t="shared" si="143"/>
        <v>10.5</v>
      </c>
      <c r="AA838" s="304">
        <f ca="1">OFFSET(卡牌辅助配置表!$AD$1,MATCH(AB838,卡牌辅助配置表!AB:AB,0)-1,0)</f>
        <v>396</v>
      </c>
      <c r="AB838" s="304">
        <f ca="1" t="shared" ref="AB838:AB901" si="147">J838*1000+K838*100+N838</f>
        <v>1118</v>
      </c>
      <c r="AF838" s="153" t="str">
        <f ca="1" t="shared" si="139"/>
        <v>20020011|</v>
      </c>
      <c r="AJ838" s="205" t="str">
        <f ca="1" t="shared" ref="AJ838:AJ901" si="148">IF(AN838=0,0,IF(AL838=0,$AM$1&amp;$AF$1&amp;AM838&amp;$AF$1&amp;$AJ$1,AK838&amp;$AF$1&amp;AL838&amp;$AF$1&amp;$AJ$1&amp;$AM$1&amp;$AF$1&amp;AM838&amp;$AF$1&amp;$AJ$1))</f>
        <v>400023|5900|;</v>
      </c>
      <c r="AK838" s="205">
        <f ca="1">OFFSET([1]item_type!$A$1,MATCH(Q838,[1]item_type!$G:$G,0)-1,0)</f>
        <v>302002</v>
      </c>
      <c r="AL838" s="205"/>
      <c r="AM838" s="205">
        <f ca="1">IF(B838=B839,OFFSET(卡牌辅助配置表!$AE$1,MATCH(AB838,卡牌辅助配置表!AB:AB,0),0),0)</f>
        <v>5900</v>
      </c>
      <c r="AN838" s="153">
        <f ca="1" t="shared" ref="AN838:AN901" si="149">IF(B838=B839,A838+1,0)</f>
        <v>2002019</v>
      </c>
      <c r="AP838" s="153">
        <f ca="1">IF(AC838=0,0,IF(AC838=12,0,OFFSET(effect!$N$1,MATCH(K838,effect!M:M,0)-1,0)))</f>
        <v>0</v>
      </c>
    </row>
    <row r="839" spans="1:42">
      <c r="A839" s="153">
        <f ca="1" t="shared" si="145"/>
        <v>2002019</v>
      </c>
      <c r="B839" s="91" t="s">
        <v>401</v>
      </c>
      <c r="C839" s="186">
        <v>2</v>
      </c>
      <c r="D839" s="186">
        <v>1</v>
      </c>
      <c r="E839" s="165" t="s">
        <v>721</v>
      </c>
      <c r="F839" s="298"/>
      <c r="G839" s="186">
        <v>-3</v>
      </c>
      <c r="H839" s="186">
        <f ca="1" t="shared" si="140"/>
        <v>0</v>
      </c>
      <c r="I839" s="186"/>
      <c r="J839" s="186">
        <f ca="1">OFFSET(card_type!$F$1,MATCH(Q839,card_type!A:A,0)-1,0)</f>
        <v>1</v>
      </c>
      <c r="K839" s="243">
        <f ca="1">OFFSET(card_type!$G$1,MATCH(Q839,card_type!A:A,0)-1,0)</f>
        <v>1</v>
      </c>
      <c r="L839" s="157">
        <v>1</v>
      </c>
      <c r="M839" s="157">
        <v>1</v>
      </c>
      <c r="N839" s="153">
        <f t="shared" si="144"/>
        <v>19</v>
      </c>
      <c r="O839" s="157"/>
      <c r="P839" s="157"/>
      <c r="Q839" s="153">
        <f ca="1">OFFSET(card_type!$A$1,MATCH(card!B839,card_type!B:B,0)-1,0)</f>
        <v>2002</v>
      </c>
      <c r="R839" s="153">
        <v>1</v>
      </c>
      <c r="S839" s="157">
        <f ca="1">ROUND(IF(R839=0,0,IF(R839=1,X839*$S$1,IF(R839=2,X839*$S$1*buff的资质计算!$E$2,IF(R839=3,X839*$S$1*buff的资质计算!$E$3,0)))),0)*0</f>
        <v>0</v>
      </c>
      <c r="T839" s="153">
        <v>5</v>
      </c>
      <c r="U839" s="153">
        <f ca="1" t="shared" si="146"/>
        <v>11</v>
      </c>
      <c r="V839" s="153">
        <f ca="1">ROUND((OFFSET(卡牌辅助配置表!$O$1,MATCH(U839,卡牌辅助配置表!M:M,0)-1,0)+(N839-1)*OFFSET(卡牌辅助配置表!$P$1,MATCH(U839,卡牌辅助配置表!M:M,0)-1,0))*M839,2)</f>
        <v>10.03</v>
      </c>
      <c r="W839" s="157">
        <f ca="1">ROUND(IF(R839=0,0,IF(R839=1,X839*$W$1,IF(R839=2,X839*$W$1*buff的资质计算!$E$2,IF(R839=3,X839*$W$1*buff的资质计算!$E$3,0)))),2)</f>
        <v>3.3</v>
      </c>
      <c r="X839" s="157">
        <f ca="1" t="shared" si="142"/>
        <v>11</v>
      </c>
      <c r="Y839" s="157">
        <f ca="1" t="shared" si="141"/>
        <v>11</v>
      </c>
      <c r="Z839" s="304">
        <f ca="1" t="shared" si="143"/>
        <v>11</v>
      </c>
      <c r="AA839" s="304">
        <f ca="1">OFFSET(卡牌辅助配置表!$AD$1,MATCH(AB839,卡牌辅助配置表!AB:AB,0)-1,0)</f>
        <v>423</v>
      </c>
      <c r="AB839" s="304">
        <f ca="1" t="shared" si="147"/>
        <v>1119</v>
      </c>
      <c r="AF839" s="153" t="str">
        <f ca="1" t="shared" si="139"/>
        <v>20020011|</v>
      </c>
      <c r="AJ839" s="205" t="str">
        <f ca="1" t="shared" si="148"/>
        <v>302002|20|;400023|6300|;</v>
      </c>
      <c r="AK839" s="205">
        <f ca="1">OFFSET([1]item_type!$A$1,MATCH(Q839,[1]item_type!$G:$G,0)-1,0)</f>
        <v>302002</v>
      </c>
      <c r="AL839" s="205">
        <v>20</v>
      </c>
      <c r="AM839" s="205">
        <f ca="1">IF(B839=B840,OFFSET(卡牌辅助配置表!$AE$1,MATCH(AB839,卡牌辅助配置表!AB:AB,0),0),0)</f>
        <v>6300</v>
      </c>
      <c r="AN839" s="153">
        <f ca="1" t="shared" si="149"/>
        <v>2002020</v>
      </c>
      <c r="AP839" s="153">
        <f ca="1">IF(AC839=0,0,IF(AC839=12,0,OFFSET(effect!$N$1,MATCH(K839,effect!M:M,0)-1,0)))</f>
        <v>0</v>
      </c>
    </row>
    <row r="840" spans="1:42">
      <c r="A840" s="153">
        <f ca="1" t="shared" si="145"/>
        <v>2002020</v>
      </c>
      <c r="B840" s="91" t="s">
        <v>401</v>
      </c>
      <c r="C840" s="186">
        <v>2</v>
      </c>
      <c r="D840" s="186">
        <v>1</v>
      </c>
      <c r="E840" s="165" t="s">
        <v>721</v>
      </c>
      <c r="F840" s="298"/>
      <c r="G840" s="186">
        <v>-3</v>
      </c>
      <c r="H840" s="186">
        <f ca="1" t="shared" si="140"/>
        <v>0</v>
      </c>
      <c r="I840" s="186"/>
      <c r="J840" s="186">
        <f ca="1">OFFSET(card_type!$F$1,MATCH(Q840,card_type!A:A,0)-1,0)</f>
        <v>1</v>
      </c>
      <c r="K840" s="243">
        <f ca="1">OFFSET(card_type!$G$1,MATCH(Q840,card_type!A:A,0)-1,0)</f>
        <v>1</v>
      </c>
      <c r="L840" s="157">
        <v>1</v>
      </c>
      <c r="M840" s="157">
        <v>1</v>
      </c>
      <c r="N840" s="153">
        <f t="shared" si="144"/>
        <v>20</v>
      </c>
      <c r="O840" s="157"/>
      <c r="P840" s="157"/>
      <c r="Q840" s="153">
        <f ca="1">OFFSET(card_type!$A$1,MATCH(card!B840,card_type!B:B,0)-1,0)</f>
        <v>2002</v>
      </c>
      <c r="R840" s="153">
        <v>1</v>
      </c>
      <c r="S840" s="157">
        <f ca="1">ROUND(IF(R840=0,0,IF(R840=1,X840*$S$1,IF(R840=2,X840*$S$1*buff的资质计算!$E$2,IF(R840=3,X840*$S$1*buff的资质计算!$E$3,0)))),0)*0</f>
        <v>0</v>
      </c>
      <c r="T840" s="153">
        <v>5</v>
      </c>
      <c r="U840" s="153">
        <f ca="1" t="shared" si="146"/>
        <v>11</v>
      </c>
      <c r="V840" s="153">
        <f ca="1">ROUND((OFFSET(卡牌辅助配置表!$O$1,MATCH(U840,卡牌辅助配置表!M:M,0)-1,0)+(N840-1)*OFFSET(卡牌辅助配置表!$P$1,MATCH(U840,卡牌辅助配置表!M:M,0)-1,0))*M840,2)</f>
        <v>10.24</v>
      </c>
      <c r="W840" s="157">
        <f ca="1">ROUND(IF(R840=0,0,IF(R840=1,X840*$W$1,IF(R840=2,X840*$W$1*buff的资质计算!$E$2,IF(R840=3,X840*$W$1*buff的资质计算!$E$3,0)))),2)</f>
        <v>3.45</v>
      </c>
      <c r="X840" s="157">
        <f ca="1" t="shared" si="142"/>
        <v>11.5</v>
      </c>
      <c r="Y840" s="157">
        <f ca="1" t="shared" si="141"/>
        <v>11.5</v>
      </c>
      <c r="Z840" s="304">
        <f ca="1" t="shared" si="143"/>
        <v>11.5</v>
      </c>
      <c r="AA840" s="304">
        <f ca="1">OFFSET(卡牌辅助配置表!$AD$1,MATCH(AB840,卡牌辅助配置表!AB:AB,0)-1,0)</f>
        <v>450</v>
      </c>
      <c r="AB840" s="304">
        <f ca="1" t="shared" si="147"/>
        <v>1120</v>
      </c>
      <c r="AF840" s="153" t="str">
        <f ca="1" t="shared" si="139"/>
        <v>20020011|</v>
      </c>
      <c r="AJ840" s="205" t="str">
        <f ca="1" t="shared" si="148"/>
        <v>400023|7100|;</v>
      </c>
      <c r="AK840" s="205">
        <f ca="1">OFFSET([1]item_type!$A$1,MATCH(Q840,[1]item_type!$G:$G,0)-1,0)</f>
        <v>302002</v>
      </c>
      <c r="AL840" s="205"/>
      <c r="AM840" s="205">
        <f ca="1">IF(B840=B841,OFFSET(卡牌辅助配置表!$AE$1,MATCH(AB840,卡牌辅助配置表!AB:AB,0),0),0)</f>
        <v>7100</v>
      </c>
      <c r="AN840" s="153">
        <f ca="1" t="shared" si="149"/>
        <v>2002021</v>
      </c>
      <c r="AP840" s="153">
        <f ca="1">IF(AC840=0,0,IF(AC840=12,0,OFFSET(effect!$N$1,MATCH(K840,effect!M:M,0)-1,0)))</f>
        <v>0</v>
      </c>
    </row>
    <row r="841" spans="1:42">
      <c r="A841" s="153">
        <f ca="1" t="shared" si="145"/>
        <v>2002021</v>
      </c>
      <c r="B841" s="91" t="s">
        <v>401</v>
      </c>
      <c r="C841" s="186">
        <v>2</v>
      </c>
      <c r="D841" s="186">
        <v>1</v>
      </c>
      <c r="E841" s="165" t="s">
        <v>721</v>
      </c>
      <c r="F841" s="298"/>
      <c r="G841" s="186">
        <v>-3</v>
      </c>
      <c r="H841" s="186">
        <f ca="1" t="shared" si="140"/>
        <v>0</v>
      </c>
      <c r="I841" s="186"/>
      <c r="J841" s="186">
        <f ca="1">OFFSET(card_type!$F$1,MATCH(Q841,card_type!A:A,0)-1,0)</f>
        <v>1</v>
      </c>
      <c r="K841" s="243">
        <f ca="1">OFFSET(card_type!$G$1,MATCH(Q841,card_type!A:A,0)-1,0)</f>
        <v>1</v>
      </c>
      <c r="L841" s="157">
        <v>1</v>
      </c>
      <c r="M841" s="157">
        <v>1</v>
      </c>
      <c r="N841" s="153">
        <f t="shared" si="144"/>
        <v>21</v>
      </c>
      <c r="O841" s="157"/>
      <c r="P841" s="157"/>
      <c r="Q841" s="153">
        <f ca="1">OFFSET(card_type!$A$1,MATCH(card!B841,card_type!B:B,0)-1,0)</f>
        <v>2002</v>
      </c>
      <c r="R841" s="153">
        <v>1</v>
      </c>
      <c r="S841" s="157">
        <f ca="1">ROUND(IF(R841=0,0,IF(R841=1,X841*$S$1,IF(R841=2,X841*$S$1*buff的资质计算!$E$2,IF(R841=3,X841*$S$1*buff的资质计算!$E$3,0)))),0)*0</f>
        <v>0</v>
      </c>
      <c r="T841" s="153">
        <v>5</v>
      </c>
      <c r="U841" s="153">
        <f ca="1" t="shared" si="146"/>
        <v>11</v>
      </c>
      <c r="V841" s="153">
        <f ca="1">ROUND((OFFSET(卡牌辅助配置表!$O$1,MATCH(U841,卡牌辅助配置表!M:M,0)-1,0)+(N841-1)*OFFSET(卡牌辅助配置表!$P$1,MATCH(U841,卡牌辅助配置表!M:M,0)-1,0))*M841,2)</f>
        <v>10.45</v>
      </c>
      <c r="W841" s="157">
        <f ca="1">ROUND(IF(R841=0,0,IF(R841=1,X841*$W$1,IF(R841=2,X841*$W$1*buff的资质计算!$E$2,IF(R841=3,X841*$W$1*buff的资质计算!$E$3,0)))),2)</f>
        <v>3.6</v>
      </c>
      <c r="X841" s="157">
        <f ca="1" t="shared" si="142"/>
        <v>12</v>
      </c>
      <c r="Y841" s="157">
        <f ca="1" t="shared" si="141"/>
        <v>12</v>
      </c>
      <c r="Z841" s="304">
        <f ca="1" t="shared" si="143"/>
        <v>12</v>
      </c>
      <c r="AA841" s="304">
        <f ca="1">OFFSET(卡牌辅助配置表!$AD$1,MATCH(AB841,卡牌辅助配置表!AB:AB,0)-1,0)</f>
        <v>486</v>
      </c>
      <c r="AB841" s="304">
        <f ca="1" t="shared" si="147"/>
        <v>1121</v>
      </c>
      <c r="AF841" s="153" t="str">
        <f ca="1" t="shared" si="139"/>
        <v>20020011|</v>
      </c>
      <c r="AJ841" s="205" t="str">
        <f ca="1" t="shared" si="148"/>
        <v>400023|7900|;</v>
      </c>
      <c r="AK841" s="205">
        <f ca="1">OFFSET([1]item_type!$A$1,MATCH(Q841,[1]item_type!$G:$G,0)-1,0)</f>
        <v>302002</v>
      </c>
      <c r="AL841" s="205"/>
      <c r="AM841" s="205">
        <f ca="1">IF(B841=B842,OFFSET(卡牌辅助配置表!$AE$1,MATCH(AB841,卡牌辅助配置表!AB:AB,0),0),0)</f>
        <v>7900</v>
      </c>
      <c r="AN841" s="153">
        <f ca="1" t="shared" si="149"/>
        <v>2002022</v>
      </c>
      <c r="AP841" s="153">
        <f ca="1">IF(AC841=0,0,IF(AC841=12,0,OFFSET(effect!$N$1,MATCH(K841,effect!M:M,0)-1,0)))</f>
        <v>0</v>
      </c>
    </row>
    <row r="842" spans="1:42">
      <c r="A842" s="153">
        <f ca="1" t="shared" si="145"/>
        <v>2002022</v>
      </c>
      <c r="B842" s="91" t="s">
        <v>401</v>
      </c>
      <c r="C842" s="186">
        <v>2</v>
      </c>
      <c r="D842" s="186">
        <v>1</v>
      </c>
      <c r="E842" s="165" t="s">
        <v>721</v>
      </c>
      <c r="F842" s="298"/>
      <c r="G842" s="186">
        <v>-3</v>
      </c>
      <c r="H842" s="186">
        <f ca="1" t="shared" si="140"/>
        <v>0</v>
      </c>
      <c r="I842" s="186"/>
      <c r="J842" s="186">
        <f ca="1">OFFSET(card_type!$F$1,MATCH(Q842,card_type!A:A,0)-1,0)</f>
        <v>1</v>
      </c>
      <c r="K842" s="243">
        <f ca="1">OFFSET(card_type!$G$1,MATCH(Q842,card_type!A:A,0)-1,0)</f>
        <v>1</v>
      </c>
      <c r="L842" s="157">
        <v>1</v>
      </c>
      <c r="M842" s="157">
        <v>1</v>
      </c>
      <c r="N842" s="153">
        <f t="shared" si="144"/>
        <v>22</v>
      </c>
      <c r="O842" s="157"/>
      <c r="P842" s="157"/>
      <c r="Q842" s="153">
        <f ca="1">OFFSET(card_type!$A$1,MATCH(card!B842,card_type!B:B,0)-1,0)</f>
        <v>2002</v>
      </c>
      <c r="R842" s="153">
        <v>1</v>
      </c>
      <c r="S842" s="157">
        <f ca="1">ROUND(IF(R842=0,0,IF(R842=1,X842*$S$1,IF(R842=2,X842*$S$1*buff的资质计算!$E$2,IF(R842=3,X842*$S$1*buff的资质计算!$E$3,0)))),0)*0</f>
        <v>0</v>
      </c>
      <c r="T842" s="153">
        <v>5</v>
      </c>
      <c r="U842" s="153">
        <f ca="1" t="shared" si="146"/>
        <v>11</v>
      </c>
      <c r="V842" s="153">
        <f ca="1">ROUND((OFFSET(卡牌辅助配置表!$O$1,MATCH(U842,卡牌辅助配置表!M:M,0)-1,0)+(N842-1)*OFFSET(卡牌辅助配置表!$P$1,MATCH(U842,卡牌辅助配置表!M:M,0)-1,0))*M842,2)</f>
        <v>10.66</v>
      </c>
      <c r="W842" s="157">
        <f ca="1">ROUND(IF(R842=0,0,IF(R842=1,X842*$W$1,IF(R842=2,X842*$W$1*buff的资质计算!$E$2,IF(R842=3,X842*$W$1*buff的资质计算!$E$3,0)))),2)</f>
        <v>3.75</v>
      </c>
      <c r="X842" s="157">
        <f ca="1" t="shared" si="142"/>
        <v>12.5</v>
      </c>
      <c r="Y842" s="157">
        <f ca="1" t="shared" si="141"/>
        <v>12.5</v>
      </c>
      <c r="Z842" s="304">
        <f ca="1" t="shared" si="143"/>
        <v>12.5</v>
      </c>
      <c r="AA842" s="304">
        <f ca="1">OFFSET(卡牌辅助配置表!$AD$1,MATCH(AB842,卡牌辅助配置表!AB:AB,0)-1,0)</f>
        <v>522</v>
      </c>
      <c r="AB842" s="304">
        <f ca="1" t="shared" si="147"/>
        <v>1122</v>
      </c>
      <c r="AF842" s="153" t="str">
        <f ca="1" t="shared" si="139"/>
        <v>20020011|</v>
      </c>
      <c r="AJ842" s="205" t="str">
        <f ca="1" t="shared" si="148"/>
        <v>400023|8700|;</v>
      </c>
      <c r="AK842" s="205">
        <f ca="1">OFFSET([1]item_type!$A$1,MATCH(Q842,[1]item_type!$G:$G,0)-1,0)</f>
        <v>302002</v>
      </c>
      <c r="AL842" s="205"/>
      <c r="AM842" s="205">
        <f ca="1">IF(B842=B843,OFFSET(卡牌辅助配置表!$AE$1,MATCH(AB842,卡牌辅助配置表!AB:AB,0),0),0)</f>
        <v>8700</v>
      </c>
      <c r="AN842" s="153">
        <f ca="1" t="shared" si="149"/>
        <v>2002023</v>
      </c>
      <c r="AP842" s="153">
        <f ca="1">IF(AC842=0,0,IF(AC842=12,0,OFFSET(effect!$N$1,MATCH(K842,effect!M:M,0)-1,0)))</f>
        <v>0</v>
      </c>
    </row>
    <row r="843" spans="1:42">
      <c r="A843" s="153">
        <f ca="1" t="shared" si="145"/>
        <v>2002023</v>
      </c>
      <c r="B843" s="91" t="s">
        <v>401</v>
      </c>
      <c r="C843" s="186">
        <v>2</v>
      </c>
      <c r="D843" s="186">
        <v>1</v>
      </c>
      <c r="E843" s="165" t="s">
        <v>721</v>
      </c>
      <c r="F843" s="298"/>
      <c r="G843" s="186">
        <v>-3</v>
      </c>
      <c r="H843" s="186">
        <f ca="1" t="shared" si="140"/>
        <v>0</v>
      </c>
      <c r="I843" s="186"/>
      <c r="J843" s="186">
        <f ca="1">OFFSET(card_type!$F$1,MATCH(Q843,card_type!A:A,0)-1,0)</f>
        <v>1</v>
      </c>
      <c r="K843" s="243">
        <f ca="1">OFFSET(card_type!$G$1,MATCH(Q843,card_type!A:A,0)-1,0)</f>
        <v>1</v>
      </c>
      <c r="L843" s="157">
        <v>1</v>
      </c>
      <c r="M843" s="157">
        <v>1</v>
      </c>
      <c r="N843" s="153">
        <f t="shared" si="144"/>
        <v>23</v>
      </c>
      <c r="O843" s="157"/>
      <c r="P843" s="157"/>
      <c r="Q843" s="153">
        <f ca="1">OFFSET(card_type!$A$1,MATCH(card!B843,card_type!B:B,0)-1,0)</f>
        <v>2002</v>
      </c>
      <c r="R843" s="153">
        <v>1</v>
      </c>
      <c r="S843" s="157">
        <f ca="1">ROUND(IF(R843=0,0,IF(R843=1,X843*$S$1,IF(R843=2,X843*$S$1*buff的资质计算!$E$2,IF(R843=3,X843*$S$1*buff的资质计算!$E$3,0)))),0)*0</f>
        <v>0</v>
      </c>
      <c r="T843" s="153">
        <v>5</v>
      </c>
      <c r="U843" s="153">
        <f ca="1" t="shared" si="146"/>
        <v>11</v>
      </c>
      <c r="V843" s="153">
        <f ca="1">ROUND((OFFSET(卡牌辅助配置表!$O$1,MATCH(U843,卡牌辅助配置表!M:M,0)-1,0)+(N843-1)*OFFSET(卡牌辅助配置表!$P$1,MATCH(U843,卡牌辅助配置表!M:M,0)-1,0))*M843,2)</f>
        <v>10.87</v>
      </c>
      <c r="W843" s="157">
        <f ca="1">ROUND(IF(R843=0,0,IF(R843=1,X843*$W$1,IF(R843=2,X843*$W$1*buff的资质计算!$E$2,IF(R843=3,X843*$W$1*buff的资质计算!$E$3,0)))),2)</f>
        <v>3.9</v>
      </c>
      <c r="X843" s="157">
        <f ca="1" t="shared" si="142"/>
        <v>13</v>
      </c>
      <c r="Y843" s="157">
        <f ca="1" t="shared" si="141"/>
        <v>13</v>
      </c>
      <c r="Z843" s="304">
        <f ca="1" t="shared" si="143"/>
        <v>13</v>
      </c>
      <c r="AA843" s="304">
        <f ca="1">OFFSET(卡牌辅助配置表!$AD$1,MATCH(AB843,卡牌辅助配置表!AB:AB,0)-1,0)</f>
        <v>558</v>
      </c>
      <c r="AB843" s="304">
        <f ca="1" t="shared" si="147"/>
        <v>1123</v>
      </c>
      <c r="AF843" s="153" t="str">
        <f ca="1" t="shared" si="139"/>
        <v>20020011|</v>
      </c>
      <c r="AJ843" s="205" t="str">
        <f ca="1" t="shared" si="148"/>
        <v>400023|9500|;</v>
      </c>
      <c r="AK843" s="205">
        <f ca="1">OFFSET([1]item_type!$A$1,MATCH(Q843,[1]item_type!$G:$G,0)-1,0)</f>
        <v>302002</v>
      </c>
      <c r="AL843" s="205"/>
      <c r="AM843" s="205">
        <f ca="1">IF(B843=B844,OFFSET(卡牌辅助配置表!$AE$1,MATCH(AB843,卡牌辅助配置表!AB:AB,0),0),0)</f>
        <v>9500</v>
      </c>
      <c r="AN843" s="153">
        <f ca="1" t="shared" si="149"/>
        <v>2002024</v>
      </c>
      <c r="AP843" s="153">
        <f ca="1">IF(AC843=0,0,IF(AC843=12,0,OFFSET(effect!$N$1,MATCH(K843,effect!M:M,0)-1,0)))</f>
        <v>0</v>
      </c>
    </row>
    <row r="844" spans="1:42">
      <c r="A844" s="153">
        <f ca="1" t="shared" si="145"/>
        <v>2002024</v>
      </c>
      <c r="B844" s="91" t="s">
        <v>401</v>
      </c>
      <c r="C844" s="186">
        <v>2</v>
      </c>
      <c r="D844" s="186">
        <v>1</v>
      </c>
      <c r="E844" s="165" t="s">
        <v>721</v>
      </c>
      <c r="F844" s="298"/>
      <c r="G844" s="186">
        <v>-3</v>
      </c>
      <c r="H844" s="186">
        <f ca="1" t="shared" si="140"/>
        <v>0</v>
      </c>
      <c r="I844" s="186"/>
      <c r="J844" s="186">
        <f ca="1">OFFSET(card_type!$F$1,MATCH(Q844,card_type!A:A,0)-1,0)</f>
        <v>1</v>
      </c>
      <c r="K844" s="243">
        <f ca="1">OFFSET(card_type!$G$1,MATCH(Q844,card_type!A:A,0)-1,0)</f>
        <v>1</v>
      </c>
      <c r="L844" s="157">
        <v>1</v>
      </c>
      <c r="M844" s="157">
        <v>1</v>
      </c>
      <c r="N844" s="153">
        <f t="shared" si="144"/>
        <v>24</v>
      </c>
      <c r="O844" s="157"/>
      <c r="P844" s="157"/>
      <c r="Q844" s="153">
        <f ca="1">OFFSET(card_type!$A$1,MATCH(card!B844,card_type!B:B,0)-1,0)</f>
        <v>2002</v>
      </c>
      <c r="R844" s="153">
        <v>1</v>
      </c>
      <c r="S844" s="157">
        <f ca="1">ROUND(IF(R844=0,0,IF(R844=1,X844*$S$1,IF(R844=2,X844*$S$1*buff的资质计算!$E$2,IF(R844=3,X844*$S$1*buff的资质计算!$E$3,0)))),0)*0</f>
        <v>0</v>
      </c>
      <c r="T844" s="153">
        <v>5</v>
      </c>
      <c r="U844" s="153">
        <f ca="1" t="shared" si="146"/>
        <v>11</v>
      </c>
      <c r="V844" s="153">
        <f ca="1">ROUND((OFFSET(卡牌辅助配置表!$O$1,MATCH(U844,卡牌辅助配置表!M:M,0)-1,0)+(N844-1)*OFFSET(卡牌辅助配置表!$P$1,MATCH(U844,卡牌辅助配置表!M:M,0)-1,0))*M844,2)</f>
        <v>11.08</v>
      </c>
      <c r="W844" s="157">
        <f ca="1">ROUND(IF(R844=0,0,IF(R844=1,X844*$W$1,IF(R844=2,X844*$W$1*buff的资质计算!$E$2,IF(R844=3,X844*$W$1*buff的资质计算!$E$3,0)))),2)</f>
        <v>4.05</v>
      </c>
      <c r="X844" s="157">
        <f ca="1" t="shared" si="142"/>
        <v>13.5</v>
      </c>
      <c r="Y844" s="157">
        <f ca="1" t="shared" si="141"/>
        <v>13.5</v>
      </c>
      <c r="Z844" s="304">
        <f ca="1" t="shared" si="143"/>
        <v>13.5</v>
      </c>
      <c r="AA844" s="304">
        <f ca="1">OFFSET(卡牌辅助配置表!$AD$1,MATCH(AB844,卡牌辅助配置表!AB:AB,0)-1,0)</f>
        <v>594</v>
      </c>
      <c r="AB844" s="304">
        <f ca="1" t="shared" si="147"/>
        <v>1124</v>
      </c>
      <c r="AF844" s="153" t="str">
        <f ca="1" t="shared" si="139"/>
        <v>20020011|</v>
      </c>
      <c r="AJ844" s="205" t="str">
        <f ca="1" t="shared" si="148"/>
        <v>400023|10300|;</v>
      </c>
      <c r="AK844" s="205">
        <f ca="1">OFFSET([1]item_type!$A$1,MATCH(Q844,[1]item_type!$G:$G,0)-1,0)</f>
        <v>302002</v>
      </c>
      <c r="AL844" s="205"/>
      <c r="AM844" s="205">
        <f ca="1">IF(B844=B845,OFFSET(卡牌辅助配置表!$AE$1,MATCH(AB844,卡牌辅助配置表!AB:AB,0),0),0)</f>
        <v>10300</v>
      </c>
      <c r="AN844" s="153">
        <f ca="1" t="shared" si="149"/>
        <v>2002025</v>
      </c>
      <c r="AP844" s="153">
        <f ca="1">IF(AC844=0,0,IF(AC844=12,0,OFFSET(effect!$N$1,MATCH(K844,effect!M:M,0)-1,0)))</f>
        <v>0</v>
      </c>
    </row>
    <row r="845" spans="1:42">
      <c r="A845" s="153">
        <f ca="1" t="shared" si="145"/>
        <v>2002025</v>
      </c>
      <c r="B845" s="91" t="s">
        <v>401</v>
      </c>
      <c r="C845" s="186">
        <v>2</v>
      </c>
      <c r="D845" s="186">
        <v>1</v>
      </c>
      <c r="E845" s="165" t="s">
        <v>721</v>
      </c>
      <c r="F845" s="298"/>
      <c r="G845" s="186">
        <v>-3</v>
      </c>
      <c r="H845" s="186">
        <f ca="1" t="shared" si="140"/>
        <v>0</v>
      </c>
      <c r="I845" s="186"/>
      <c r="J845" s="186">
        <f ca="1">OFFSET(card_type!$F$1,MATCH(Q845,card_type!A:A,0)-1,0)</f>
        <v>1</v>
      </c>
      <c r="K845" s="243">
        <f ca="1">OFFSET(card_type!$G$1,MATCH(Q845,card_type!A:A,0)-1,0)</f>
        <v>1</v>
      </c>
      <c r="L845" s="157">
        <v>1</v>
      </c>
      <c r="M845" s="157">
        <v>1</v>
      </c>
      <c r="N845" s="153">
        <f t="shared" si="144"/>
        <v>25</v>
      </c>
      <c r="O845" s="157"/>
      <c r="P845" s="157"/>
      <c r="Q845" s="153">
        <f ca="1">OFFSET(card_type!$A$1,MATCH(card!B845,card_type!B:B,0)-1,0)</f>
        <v>2002</v>
      </c>
      <c r="R845" s="153">
        <v>1</v>
      </c>
      <c r="S845" s="157">
        <f ca="1">ROUND(IF(R845=0,0,IF(R845=1,X845*$S$1,IF(R845=2,X845*$S$1*buff的资质计算!$E$2,IF(R845=3,X845*$S$1*buff的资质计算!$E$3,0)))),0)*0</f>
        <v>0</v>
      </c>
      <c r="T845" s="153">
        <v>5</v>
      </c>
      <c r="U845" s="153">
        <f ca="1" t="shared" si="146"/>
        <v>11</v>
      </c>
      <c r="V845" s="153">
        <f ca="1">ROUND((OFFSET(卡牌辅助配置表!$O$1,MATCH(U845,卡牌辅助配置表!M:M,0)-1,0)+(N845-1)*OFFSET(卡牌辅助配置表!$P$1,MATCH(U845,卡牌辅助配置表!M:M,0)-1,0))*M845,2)</f>
        <v>11.29</v>
      </c>
      <c r="W845" s="157">
        <f ca="1">ROUND(IF(R845=0,0,IF(R845=1,X845*$W$1,IF(R845=2,X845*$W$1*buff的资质计算!$E$2,IF(R845=3,X845*$W$1*buff的资质计算!$E$3,0)))),2)</f>
        <v>4.2</v>
      </c>
      <c r="X845" s="157">
        <f ca="1" t="shared" si="142"/>
        <v>14</v>
      </c>
      <c r="Y845" s="157">
        <f ca="1" t="shared" si="141"/>
        <v>14</v>
      </c>
      <c r="Z845" s="304">
        <f ca="1" t="shared" si="143"/>
        <v>14</v>
      </c>
      <c r="AA845" s="304">
        <f ca="1">OFFSET(卡牌辅助配置表!$AD$1,MATCH(AB845,卡牌辅助配置表!AB:AB,0)-1,0)</f>
        <v>630</v>
      </c>
      <c r="AB845" s="304">
        <f ca="1" t="shared" si="147"/>
        <v>1125</v>
      </c>
      <c r="AF845" s="153" t="str">
        <f ca="1" t="shared" si="139"/>
        <v>20020011|</v>
      </c>
      <c r="AJ845" s="205" t="str">
        <f ca="1" t="shared" si="148"/>
        <v>400023|11100|;</v>
      </c>
      <c r="AK845" s="205">
        <f ca="1">OFFSET([1]item_type!$A$1,MATCH(Q845,[1]item_type!$G:$G,0)-1,0)</f>
        <v>302002</v>
      </c>
      <c r="AL845" s="205"/>
      <c r="AM845" s="205">
        <f ca="1">IF(B845=B846,OFFSET(卡牌辅助配置表!$AE$1,MATCH(AB845,卡牌辅助配置表!AB:AB,0),0),0)</f>
        <v>11100</v>
      </c>
      <c r="AN845" s="153">
        <f ca="1" t="shared" si="149"/>
        <v>2002026</v>
      </c>
      <c r="AP845" s="153">
        <f ca="1">IF(AC845=0,0,IF(AC845=12,0,OFFSET(effect!$N$1,MATCH(K845,effect!M:M,0)-1,0)))</f>
        <v>0</v>
      </c>
    </row>
    <row r="846" spans="1:42">
      <c r="A846" s="153">
        <f ca="1" t="shared" si="145"/>
        <v>2002026</v>
      </c>
      <c r="B846" s="91" t="s">
        <v>401</v>
      </c>
      <c r="C846" s="186">
        <v>2</v>
      </c>
      <c r="D846" s="186">
        <v>1</v>
      </c>
      <c r="E846" s="165" t="s">
        <v>721</v>
      </c>
      <c r="F846" s="298"/>
      <c r="G846" s="186">
        <v>-3</v>
      </c>
      <c r="H846" s="186">
        <f ca="1" t="shared" si="140"/>
        <v>0</v>
      </c>
      <c r="I846" s="186"/>
      <c r="J846" s="186">
        <f ca="1">OFFSET(card_type!$F$1,MATCH(Q846,card_type!A:A,0)-1,0)</f>
        <v>1</v>
      </c>
      <c r="K846" s="243">
        <f ca="1">OFFSET(card_type!$G$1,MATCH(Q846,card_type!A:A,0)-1,0)</f>
        <v>1</v>
      </c>
      <c r="L846" s="157">
        <v>1</v>
      </c>
      <c r="M846" s="157">
        <v>1</v>
      </c>
      <c r="N846" s="153">
        <f t="shared" si="144"/>
        <v>26</v>
      </c>
      <c r="O846" s="157"/>
      <c r="P846" s="157"/>
      <c r="Q846" s="153">
        <f ca="1">OFFSET(card_type!$A$1,MATCH(card!B846,card_type!B:B,0)-1,0)</f>
        <v>2002</v>
      </c>
      <c r="R846" s="153">
        <v>1</v>
      </c>
      <c r="S846" s="157">
        <f ca="1">ROUND(IF(R846=0,0,IF(R846=1,X846*$S$1,IF(R846=2,X846*$S$1*buff的资质计算!$E$2,IF(R846=3,X846*$S$1*buff的资质计算!$E$3,0)))),0)*0</f>
        <v>0</v>
      </c>
      <c r="T846" s="153">
        <v>5</v>
      </c>
      <c r="U846" s="153">
        <f ca="1" t="shared" si="146"/>
        <v>11</v>
      </c>
      <c r="V846" s="153">
        <f ca="1">ROUND((OFFSET(卡牌辅助配置表!$O$1,MATCH(U846,卡牌辅助配置表!M:M,0)-1,0)+(N846-1)*OFFSET(卡牌辅助配置表!$P$1,MATCH(U846,卡牌辅助配置表!M:M,0)-1,0))*M846,2)</f>
        <v>11.5</v>
      </c>
      <c r="W846" s="157">
        <f ca="1">ROUND(IF(R846=0,0,IF(R846=1,X846*$W$1,IF(R846=2,X846*$W$1*buff的资质计算!$E$2,IF(R846=3,X846*$W$1*buff的资质计算!$E$3,0)))),2)</f>
        <v>4.35</v>
      </c>
      <c r="X846" s="157">
        <f ca="1" t="shared" si="142"/>
        <v>14.5</v>
      </c>
      <c r="Y846" s="157">
        <f ca="1" t="shared" si="141"/>
        <v>14.5</v>
      </c>
      <c r="Z846" s="304">
        <f ca="1" t="shared" si="143"/>
        <v>14.5</v>
      </c>
      <c r="AA846" s="304">
        <f ca="1">OFFSET(卡牌辅助配置表!$AD$1,MATCH(AB846,卡牌辅助配置表!AB:AB,0)-1,0)</f>
        <v>666</v>
      </c>
      <c r="AB846" s="304">
        <f ca="1" t="shared" si="147"/>
        <v>1126</v>
      </c>
      <c r="AF846" s="153" t="str">
        <f ca="1" t="shared" si="139"/>
        <v>20020011|</v>
      </c>
      <c r="AJ846" s="205" t="str">
        <f ca="1" t="shared" si="148"/>
        <v>400023|11900|;</v>
      </c>
      <c r="AK846" s="205">
        <f ca="1">OFFSET([1]item_type!$A$1,MATCH(Q846,[1]item_type!$G:$G,0)-1,0)</f>
        <v>302002</v>
      </c>
      <c r="AL846" s="205"/>
      <c r="AM846" s="205">
        <f ca="1">IF(B846=B847,OFFSET(卡牌辅助配置表!$AE$1,MATCH(AB846,卡牌辅助配置表!AB:AB,0),0),0)</f>
        <v>11900</v>
      </c>
      <c r="AN846" s="153">
        <f ca="1" t="shared" si="149"/>
        <v>2002027</v>
      </c>
      <c r="AP846" s="153">
        <f ca="1">IF(AC846=0,0,IF(AC846=12,0,OFFSET(effect!$N$1,MATCH(K846,effect!M:M,0)-1,0)))</f>
        <v>0</v>
      </c>
    </row>
    <row r="847" spans="1:42">
      <c r="A847" s="153">
        <f ca="1" t="shared" si="145"/>
        <v>2002027</v>
      </c>
      <c r="B847" s="91" t="s">
        <v>401</v>
      </c>
      <c r="C847" s="186">
        <v>2</v>
      </c>
      <c r="D847" s="186">
        <v>1</v>
      </c>
      <c r="E847" s="165" t="s">
        <v>721</v>
      </c>
      <c r="F847" s="298"/>
      <c r="G847" s="186">
        <v>-3</v>
      </c>
      <c r="H847" s="186">
        <f ca="1" t="shared" si="140"/>
        <v>0</v>
      </c>
      <c r="I847" s="186"/>
      <c r="J847" s="186">
        <f ca="1">OFFSET(card_type!$F$1,MATCH(Q847,card_type!A:A,0)-1,0)</f>
        <v>1</v>
      </c>
      <c r="K847" s="243">
        <f ca="1">OFFSET(card_type!$G$1,MATCH(Q847,card_type!A:A,0)-1,0)</f>
        <v>1</v>
      </c>
      <c r="L847" s="157">
        <v>1</v>
      </c>
      <c r="M847" s="157">
        <v>1</v>
      </c>
      <c r="N847" s="153">
        <f t="shared" si="144"/>
        <v>27</v>
      </c>
      <c r="O847" s="157"/>
      <c r="P847" s="157"/>
      <c r="Q847" s="153">
        <f ca="1">OFFSET(card_type!$A$1,MATCH(card!B847,card_type!B:B,0)-1,0)</f>
        <v>2002</v>
      </c>
      <c r="R847" s="153">
        <v>1</v>
      </c>
      <c r="S847" s="157">
        <f ca="1">ROUND(IF(R847=0,0,IF(R847=1,X847*$S$1,IF(R847=2,X847*$S$1*buff的资质计算!$E$2,IF(R847=3,X847*$S$1*buff的资质计算!$E$3,0)))),0)*0</f>
        <v>0</v>
      </c>
      <c r="T847" s="153">
        <v>5</v>
      </c>
      <c r="U847" s="153">
        <f ca="1" t="shared" si="146"/>
        <v>11</v>
      </c>
      <c r="V847" s="153">
        <f ca="1">ROUND((OFFSET(卡牌辅助配置表!$O$1,MATCH(U847,卡牌辅助配置表!M:M,0)-1,0)+(N847-1)*OFFSET(卡牌辅助配置表!$P$1,MATCH(U847,卡牌辅助配置表!M:M,0)-1,0))*M847,2)</f>
        <v>11.7</v>
      </c>
      <c r="W847" s="157">
        <f ca="1">ROUND(IF(R847=0,0,IF(R847=1,X847*$W$1,IF(R847=2,X847*$W$1*buff的资质计算!$E$2,IF(R847=3,X847*$W$1*buff的资质计算!$E$3,0)))),2)</f>
        <v>4.5</v>
      </c>
      <c r="X847" s="157">
        <f ca="1" t="shared" si="142"/>
        <v>15</v>
      </c>
      <c r="Y847" s="157">
        <f ca="1" t="shared" si="141"/>
        <v>15</v>
      </c>
      <c r="Z847" s="304">
        <f ca="1" t="shared" si="143"/>
        <v>15</v>
      </c>
      <c r="AA847" s="304">
        <f ca="1">OFFSET(卡牌辅助配置表!$AD$1,MATCH(AB847,卡牌辅助配置表!AB:AB,0)-1,0)</f>
        <v>702</v>
      </c>
      <c r="AB847" s="304">
        <f ca="1" t="shared" si="147"/>
        <v>1127</v>
      </c>
      <c r="AF847" s="153" t="str">
        <f ca="1" t="shared" si="139"/>
        <v>20020011|</v>
      </c>
      <c r="AJ847" s="205" t="str">
        <f ca="1" t="shared" si="148"/>
        <v>400023|12700|;</v>
      </c>
      <c r="AK847" s="205">
        <f ca="1">OFFSET([1]item_type!$A$1,MATCH(Q847,[1]item_type!$G:$G,0)-1,0)</f>
        <v>302002</v>
      </c>
      <c r="AL847" s="205"/>
      <c r="AM847" s="205">
        <f ca="1">IF(B847=B848,OFFSET(卡牌辅助配置表!$AE$1,MATCH(AB847,卡牌辅助配置表!AB:AB,0),0),0)</f>
        <v>12700</v>
      </c>
      <c r="AN847" s="153">
        <f ca="1" t="shared" si="149"/>
        <v>2002028</v>
      </c>
      <c r="AP847" s="153">
        <f ca="1">IF(AC847=0,0,IF(AC847=12,0,OFFSET(effect!$N$1,MATCH(K847,effect!M:M,0)-1,0)))</f>
        <v>0</v>
      </c>
    </row>
    <row r="848" spans="1:42">
      <c r="A848" s="153">
        <f ca="1" t="shared" si="145"/>
        <v>2002028</v>
      </c>
      <c r="B848" s="91" t="s">
        <v>401</v>
      </c>
      <c r="C848" s="186">
        <v>2</v>
      </c>
      <c r="D848" s="186">
        <v>1</v>
      </c>
      <c r="E848" s="165" t="s">
        <v>721</v>
      </c>
      <c r="F848" s="298"/>
      <c r="G848" s="186">
        <v>-3</v>
      </c>
      <c r="H848" s="186">
        <f ca="1" t="shared" si="140"/>
        <v>0</v>
      </c>
      <c r="I848" s="186"/>
      <c r="J848" s="186">
        <f ca="1">OFFSET(card_type!$F$1,MATCH(Q848,card_type!A:A,0)-1,0)</f>
        <v>1</v>
      </c>
      <c r="K848" s="243">
        <f ca="1">OFFSET(card_type!$G$1,MATCH(Q848,card_type!A:A,0)-1,0)</f>
        <v>1</v>
      </c>
      <c r="L848" s="157">
        <v>1</v>
      </c>
      <c r="M848" s="157">
        <v>1</v>
      </c>
      <c r="N848" s="153">
        <f t="shared" si="144"/>
        <v>28</v>
      </c>
      <c r="O848" s="157"/>
      <c r="P848" s="157"/>
      <c r="Q848" s="153">
        <f ca="1">OFFSET(card_type!$A$1,MATCH(card!B848,card_type!B:B,0)-1,0)</f>
        <v>2002</v>
      </c>
      <c r="R848" s="153">
        <v>1</v>
      </c>
      <c r="S848" s="157">
        <f ca="1">ROUND(IF(R848=0,0,IF(R848=1,X848*$S$1,IF(R848=2,X848*$S$1*buff的资质计算!$E$2,IF(R848=3,X848*$S$1*buff的资质计算!$E$3,0)))),0)*0</f>
        <v>0</v>
      </c>
      <c r="T848" s="153">
        <v>5</v>
      </c>
      <c r="U848" s="153">
        <f ca="1" t="shared" si="146"/>
        <v>11</v>
      </c>
      <c r="V848" s="153">
        <f ca="1">ROUND((OFFSET(卡牌辅助配置表!$O$1,MATCH(U848,卡牌辅助配置表!M:M,0)-1,0)+(N848-1)*OFFSET(卡牌辅助配置表!$P$1,MATCH(U848,卡牌辅助配置表!M:M,0)-1,0))*M848,2)</f>
        <v>11.91</v>
      </c>
      <c r="W848" s="157">
        <f ca="1">ROUND(IF(R848=0,0,IF(R848=1,X848*$W$1,IF(R848=2,X848*$W$1*buff的资质计算!$E$2,IF(R848=3,X848*$W$1*buff的资质计算!$E$3,0)))),2)</f>
        <v>4.65</v>
      </c>
      <c r="X848" s="157">
        <f ca="1" t="shared" si="142"/>
        <v>15.5</v>
      </c>
      <c r="Y848" s="157">
        <f ca="1" t="shared" si="141"/>
        <v>15.5</v>
      </c>
      <c r="Z848" s="304">
        <f ca="1" t="shared" si="143"/>
        <v>15.5</v>
      </c>
      <c r="AA848" s="304">
        <f ca="1">OFFSET(卡牌辅助配置表!$AD$1,MATCH(AB848,卡牌辅助配置表!AB:AB,0)-1,0)</f>
        <v>738</v>
      </c>
      <c r="AB848" s="304">
        <f ca="1" t="shared" si="147"/>
        <v>1128</v>
      </c>
      <c r="AF848" s="153" t="str">
        <f ca="1" t="shared" ref="AF848:AF911" si="150">((Q848*1000+1)*10+1)&amp;$AF$1</f>
        <v>20020011|</v>
      </c>
      <c r="AJ848" s="205" t="str">
        <f ca="1" t="shared" si="148"/>
        <v>400023|13500|;</v>
      </c>
      <c r="AK848" s="205">
        <f ca="1">OFFSET([1]item_type!$A$1,MATCH(Q848,[1]item_type!$G:$G,0)-1,0)</f>
        <v>302002</v>
      </c>
      <c r="AL848" s="205"/>
      <c r="AM848" s="205">
        <f ca="1">IF(B848=B849,OFFSET(卡牌辅助配置表!$AE$1,MATCH(AB848,卡牌辅助配置表!AB:AB,0),0),0)</f>
        <v>13500</v>
      </c>
      <c r="AN848" s="153">
        <f ca="1" t="shared" si="149"/>
        <v>2002029</v>
      </c>
      <c r="AP848" s="153">
        <f ca="1">IF(AC848=0,0,IF(AC848=12,0,OFFSET(effect!$N$1,MATCH(K848,effect!M:M,0)-1,0)))</f>
        <v>0</v>
      </c>
    </row>
    <row r="849" spans="1:42">
      <c r="A849" s="153">
        <f ca="1" t="shared" si="145"/>
        <v>2002029</v>
      </c>
      <c r="B849" s="91" t="s">
        <v>401</v>
      </c>
      <c r="C849" s="186">
        <v>2</v>
      </c>
      <c r="D849" s="186">
        <v>1</v>
      </c>
      <c r="E849" s="165" t="s">
        <v>721</v>
      </c>
      <c r="F849" s="298"/>
      <c r="G849" s="186">
        <v>-3</v>
      </c>
      <c r="H849" s="186">
        <f ca="1" t="shared" si="140"/>
        <v>0</v>
      </c>
      <c r="I849" s="186"/>
      <c r="J849" s="186">
        <f ca="1">OFFSET(card_type!$F$1,MATCH(Q849,card_type!A:A,0)-1,0)</f>
        <v>1</v>
      </c>
      <c r="K849" s="243">
        <f ca="1">OFFSET(card_type!$G$1,MATCH(Q849,card_type!A:A,0)-1,0)</f>
        <v>1</v>
      </c>
      <c r="L849" s="157">
        <v>1</v>
      </c>
      <c r="M849" s="157">
        <v>1</v>
      </c>
      <c r="N849" s="153">
        <f t="shared" si="144"/>
        <v>29</v>
      </c>
      <c r="O849" s="157"/>
      <c r="P849" s="157"/>
      <c r="Q849" s="153">
        <f ca="1">OFFSET(card_type!$A$1,MATCH(card!B849,card_type!B:B,0)-1,0)</f>
        <v>2002</v>
      </c>
      <c r="R849" s="153">
        <v>1</v>
      </c>
      <c r="S849" s="157">
        <f ca="1">ROUND(IF(R849=0,0,IF(R849=1,X849*$S$1,IF(R849=2,X849*$S$1*buff的资质计算!$E$2,IF(R849=3,X849*$S$1*buff的资质计算!$E$3,0)))),0)*0</f>
        <v>0</v>
      </c>
      <c r="T849" s="153">
        <v>5</v>
      </c>
      <c r="U849" s="153">
        <f ca="1" t="shared" si="146"/>
        <v>11</v>
      </c>
      <c r="V849" s="153">
        <f ca="1">ROUND((OFFSET(卡牌辅助配置表!$O$1,MATCH(U849,卡牌辅助配置表!M:M,0)-1,0)+(N849-1)*OFFSET(卡牌辅助配置表!$P$1,MATCH(U849,卡牌辅助配置表!M:M,0)-1,0))*M849,2)</f>
        <v>12.12</v>
      </c>
      <c r="W849" s="157">
        <f ca="1">ROUND(IF(R849=0,0,IF(R849=1,X849*$W$1,IF(R849=2,X849*$W$1*buff的资质计算!$E$2,IF(R849=3,X849*$W$1*buff的资质计算!$E$3,0)))),2)</f>
        <v>4.8</v>
      </c>
      <c r="X849" s="157">
        <f ca="1" t="shared" si="142"/>
        <v>16</v>
      </c>
      <c r="Y849" s="157">
        <f ca="1" t="shared" si="141"/>
        <v>16</v>
      </c>
      <c r="Z849" s="304">
        <f ca="1" t="shared" si="143"/>
        <v>16</v>
      </c>
      <c r="AA849" s="304">
        <f ca="1">OFFSET(卡牌辅助配置表!$AD$1,MATCH(AB849,卡牌辅助配置表!AB:AB,0)-1,0)</f>
        <v>774</v>
      </c>
      <c r="AB849" s="304">
        <f ca="1" t="shared" si="147"/>
        <v>1129</v>
      </c>
      <c r="AF849" s="153" t="str">
        <f ca="1" t="shared" si="150"/>
        <v>20020011|</v>
      </c>
      <c r="AJ849" s="205" t="str">
        <f ca="1" t="shared" si="148"/>
        <v>302002|30|;400023|14300|;</v>
      </c>
      <c r="AK849" s="205">
        <f ca="1">OFFSET([1]item_type!$A$1,MATCH(Q849,[1]item_type!$G:$G,0)-1,0)</f>
        <v>302002</v>
      </c>
      <c r="AL849" s="205">
        <v>30</v>
      </c>
      <c r="AM849" s="205">
        <f ca="1">IF(B849=B850,OFFSET(卡牌辅助配置表!$AE$1,MATCH(AB849,卡牌辅助配置表!AB:AB,0),0),0)</f>
        <v>14300</v>
      </c>
      <c r="AN849" s="153">
        <f ca="1" t="shared" si="149"/>
        <v>2002030</v>
      </c>
      <c r="AP849" s="153">
        <f ca="1">IF(AC849=0,0,IF(AC849=12,0,OFFSET(effect!$N$1,MATCH(K849,effect!M:M,0)-1,0)))</f>
        <v>0</v>
      </c>
    </row>
    <row r="850" spans="1:42">
      <c r="A850" s="153">
        <f ca="1" t="shared" si="145"/>
        <v>2002030</v>
      </c>
      <c r="B850" s="91" t="s">
        <v>401</v>
      </c>
      <c r="C850" s="186">
        <v>2</v>
      </c>
      <c r="D850" s="186">
        <v>1</v>
      </c>
      <c r="E850" s="165" t="s">
        <v>721</v>
      </c>
      <c r="F850" s="298"/>
      <c r="G850" s="186">
        <v>-3</v>
      </c>
      <c r="H850" s="186">
        <f ca="1" t="shared" si="140"/>
        <v>0</v>
      </c>
      <c r="I850" s="186"/>
      <c r="J850" s="186">
        <f ca="1">OFFSET(card_type!$F$1,MATCH(Q850,card_type!A:A,0)-1,0)</f>
        <v>1</v>
      </c>
      <c r="K850" s="243">
        <f ca="1">OFFSET(card_type!$G$1,MATCH(Q850,card_type!A:A,0)-1,0)</f>
        <v>1</v>
      </c>
      <c r="L850" s="157">
        <v>1</v>
      </c>
      <c r="M850" s="157">
        <v>1</v>
      </c>
      <c r="N850" s="153">
        <f t="shared" si="144"/>
        <v>30</v>
      </c>
      <c r="O850" s="157"/>
      <c r="P850" s="157"/>
      <c r="Q850" s="153">
        <f ca="1">OFFSET(card_type!$A$1,MATCH(card!B850,card_type!B:B,0)-1,0)</f>
        <v>2002</v>
      </c>
      <c r="R850" s="153">
        <v>1</v>
      </c>
      <c r="S850" s="157">
        <f ca="1">ROUND(IF(R850=0,0,IF(R850=1,X850*$S$1,IF(R850=2,X850*$S$1*buff的资质计算!$E$2,IF(R850=3,X850*$S$1*buff的资质计算!$E$3,0)))),0)*0</f>
        <v>0</v>
      </c>
      <c r="T850" s="153">
        <v>5</v>
      </c>
      <c r="U850" s="153">
        <f ca="1" t="shared" si="146"/>
        <v>11</v>
      </c>
      <c r="V850" s="153">
        <f ca="1">ROUND((OFFSET(卡牌辅助配置表!$O$1,MATCH(U850,卡牌辅助配置表!M:M,0)-1,0)+(N850-1)*OFFSET(卡牌辅助配置表!$P$1,MATCH(U850,卡牌辅助配置表!M:M,0)-1,0))*M850,2)</f>
        <v>12.33</v>
      </c>
      <c r="W850" s="157">
        <f ca="1">ROUND(IF(R850=0,0,IF(R850=1,X850*$W$1,IF(R850=2,X850*$W$1*buff的资质计算!$E$2,IF(R850=3,X850*$W$1*buff的资质计算!$E$3,0)))),2)</f>
        <v>4.95</v>
      </c>
      <c r="X850" s="157">
        <f ca="1" t="shared" si="142"/>
        <v>16.5</v>
      </c>
      <c r="Y850" s="157">
        <f ca="1" t="shared" si="141"/>
        <v>16.5</v>
      </c>
      <c r="Z850" s="304">
        <f ca="1" t="shared" si="143"/>
        <v>16.5</v>
      </c>
      <c r="AA850" s="304">
        <f ca="1">OFFSET(卡牌辅助配置表!$AD$1,MATCH(AB850,卡牌辅助配置表!AB:AB,0)-1,0)</f>
        <v>810</v>
      </c>
      <c r="AB850" s="304">
        <f ca="1" t="shared" si="147"/>
        <v>1130</v>
      </c>
      <c r="AF850" s="153" t="str">
        <f ca="1" t="shared" si="150"/>
        <v>20020011|</v>
      </c>
      <c r="AJ850" s="205">
        <f ca="1" t="shared" si="148"/>
        <v>0</v>
      </c>
      <c r="AK850" s="205">
        <f ca="1">OFFSET([1]item_type!$A$1,MATCH(Q850,[1]item_type!$G:$G,0)-1,0)</f>
        <v>302002</v>
      </c>
      <c r="AL850" s="205"/>
      <c r="AM850" s="205">
        <f ca="1">IF(B850=B851,OFFSET(卡牌辅助配置表!$AE$1,MATCH(AB850,卡牌辅助配置表!AB:AB,0),0),0)</f>
        <v>0</v>
      </c>
      <c r="AN850" s="153">
        <f ca="1" t="shared" si="149"/>
        <v>0</v>
      </c>
      <c r="AP850" s="153">
        <f ca="1">IF(AC850=0,0,IF(AC850=12,0,OFFSET(effect!$N$1,MATCH(K850,effect!M:M,0)-1,0)))</f>
        <v>0</v>
      </c>
    </row>
    <row r="851" spans="1:42">
      <c r="A851" s="153">
        <f ca="1" t="shared" si="145"/>
        <v>2003001</v>
      </c>
      <c r="B851" s="91" t="s">
        <v>379</v>
      </c>
      <c r="C851" s="186">
        <v>2</v>
      </c>
      <c r="D851" s="186">
        <v>1</v>
      </c>
      <c r="E851" s="165" t="s">
        <v>1058</v>
      </c>
      <c r="F851" s="165" t="str">
        <f>"上一招为剑法时，增加"&amp;skill!$O$68/100&amp;"%伤害"</f>
        <v>上一招为剑法时，增加35%伤害</v>
      </c>
      <c r="G851" s="186">
        <f ca="1">OFFSET(卡牌辅助配置表!$C$1,MATCH(AC851,卡牌辅助配置表!A:A,0)-1,0)</f>
        <v>3</v>
      </c>
      <c r="H851" s="186" t="e">
        <f ca="1">OFFSET(skill!$Q$1,MATCH(B851,skill!B:B,0)-1,0)</f>
        <v>#VALUE!</v>
      </c>
      <c r="I851" s="186"/>
      <c r="J851" s="186">
        <f ca="1">OFFSET(card_type!$F$1,MATCH(Q851,card_type!A:A,0)-1,0)</f>
        <v>1</v>
      </c>
      <c r="K851" s="243">
        <f ca="1">OFFSET(card_type!$G$1,MATCH(Q851,card_type!A:A,0)-1,0)</f>
        <v>2</v>
      </c>
      <c r="L851" s="157">
        <v>2</v>
      </c>
      <c r="M851" s="157">
        <v>2</v>
      </c>
      <c r="N851" s="153">
        <f t="shared" si="144"/>
        <v>1</v>
      </c>
      <c r="O851" s="157"/>
      <c r="P851" s="157"/>
      <c r="Q851" s="153">
        <f ca="1">OFFSET(card_type!$A$1,MATCH(card!B851,card_type!B:B,0)-1,0)</f>
        <v>2003</v>
      </c>
      <c r="R851" s="153">
        <v>1</v>
      </c>
      <c r="S851" s="157">
        <f ca="1">ROUND(IF(R851=0,0,IF(R851=1,X851*$S$1,IF(R851=2,X851*$S$1*buff的资质计算!$E$2,IF(R851=3,X851*$S$1*buff的资质计算!$E$3,0)))),0)*0</f>
        <v>0</v>
      </c>
      <c r="T851" s="153">
        <v>4</v>
      </c>
      <c r="U851" s="153">
        <f ca="1" t="shared" si="146"/>
        <v>12</v>
      </c>
      <c r="V851" s="153">
        <f ca="1">ROUND((OFFSET(卡牌辅助配置表!$O$1,MATCH(U851,卡牌辅助配置表!M:M,0)-1,0)+(N851-1)*OFFSET(卡牌辅助配置表!$P$1,MATCH(U851,卡牌辅助配置表!M:M,0)-1,0))*M851,2)</f>
        <v>19</v>
      </c>
      <c r="W851" s="157">
        <f ca="1">ROUND(IF(R851=0,0,IF(R851=1,X851*$W$1,IF(R851=2,X851*$W$1*buff的资质计算!$E$2,IF(R851=3,X851*$W$1*buff的资质计算!$E$3,0)))),2)</f>
        <v>6.3</v>
      </c>
      <c r="X851" s="157">
        <f ca="1" t="shared" si="142"/>
        <v>21</v>
      </c>
      <c r="Y851" s="157" t="e">
        <f ca="1" t="shared" ref="Y851:Y914" si="151">X851+H851</f>
        <v>#VALUE!</v>
      </c>
      <c r="Z851" s="304" t="e">
        <f ca="1" t="shared" si="143"/>
        <v>#VALUE!</v>
      </c>
      <c r="AA851" s="304">
        <f ca="1">OFFSET(卡牌辅助配置表!$AD$1,MATCH(AB851,卡牌辅助配置表!AB:AB,0)-1,0)</f>
        <v>36</v>
      </c>
      <c r="AB851" s="304">
        <f ca="1" t="shared" si="147"/>
        <v>1201</v>
      </c>
      <c r="AC851" s="153">
        <v>3</v>
      </c>
      <c r="AE851" s="153">
        <v>2</v>
      </c>
      <c r="AF851" s="153" t="str">
        <f ca="1" t="shared" si="150"/>
        <v>20030011|</v>
      </c>
      <c r="AJ851" s="205" t="str">
        <f ca="1" t="shared" si="148"/>
        <v>400023|1050|;</v>
      </c>
      <c r="AK851" s="205">
        <f ca="1">OFFSET([1]item_type!$A$1,MATCH(Q851,[1]item_type!$G:$G,0)-1,0)</f>
        <v>302003</v>
      </c>
      <c r="AL851" s="205"/>
      <c r="AM851" s="205">
        <f ca="1">IF(B851=B852,OFFSET(卡牌辅助配置表!$AE$1,MATCH(AB851,卡牌辅助配置表!AB:AB,0),0),0)</f>
        <v>1050</v>
      </c>
      <c r="AN851" s="153">
        <f ca="1" t="shared" si="149"/>
        <v>2003002</v>
      </c>
      <c r="AP851" s="153" t="str">
        <f ca="1">IF(AC851=0,0,IF(AC851=12,0,OFFSET(effect!$N$1,MATCH(K851,effect!M:M,0)-1,0)))</f>
        <v>kpsx_pt</v>
      </c>
    </row>
    <row r="852" spans="1:42">
      <c r="A852" s="153">
        <f ca="1" t="shared" si="145"/>
        <v>2003002</v>
      </c>
      <c r="B852" s="91" t="s">
        <v>379</v>
      </c>
      <c r="C852" s="186">
        <v>2</v>
      </c>
      <c r="D852" s="186">
        <v>1</v>
      </c>
      <c r="E852" s="165" t="s">
        <v>1058</v>
      </c>
      <c r="F852" s="165" t="str">
        <f>"上一招为剑法时，增加"&amp;skill!$O$68/100&amp;"%伤害"</f>
        <v>上一招为剑法时，增加35%伤害</v>
      </c>
      <c r="G852" s="186">
        <f ca="1">OFFSET(卡牌辅助配置表!$C$1,MATCH(AC852,卡牌辅助配置表!A:A,0)-1,0)</f>
        <v>3</v>
      </c>
      <c r="H852" s="186" t="e">
        <f ca="1">OFFSET(skill!$Q$1,MATCH(B852,skill!B:B,0)-1,0)</f>
        <v>#VALUE!</v>
      </c>
      <c r="I852" s="186"/>
      <c r="J852" s="186">
        <f ca="1">OFFSET(card_type!$F$1,MATCH(Q852,card_type!A:A,0)-1,0)</f>
        <v>1</v>
      </c>
      <c r="K852" s="243">
        <f ca="1">OFFSET(card_type!$G$1,MATCH(Q852,card_type!A:A,0)-1,0)</f>
        <v>2</v>
      </c>
      <c r="L852" s="157">
        <v>2</v>
      </c>
      <c r="M852" s="157">
        <v>2</v>
      </c>
      <c r="N852" s="153">
        <f t="shared" si="144"/>
        <v>2</v>
      </c>
      <c r="O852" s="157"/>
      <c r="P852" s="157"/>
      <c r="Q852" s="153">
        <f ca="1">OFFSET(card_type!$A$1,MATCH(card!B852,card_type!B:B,0)-1,0)</f>
        <v>2003</v>
      </c>
      <c r="R852" s="153">
        <v>1</v>
      </c>
      <c r="S852" s="157">
        <f ca="1">ROUND(IF(R852=0,0,IF(R852=1,X852*$S$1,IF(R852=2,X852*$S$1*buff的资质计算!$E$2,IF(R852=3,X852*$S$1*buff的资质计算!$E$3,0)))),0)*0</f>
        <v>0</v>
      </c>
      <c r="T852" s="153">
        <v>4</v>
      </c>
      <c r="U852" s="153">
        <f ca="1" t="shared" si="146"/>
        <v>12</v>
      </c>
      <c r="V852" s="153">
        <f ca="1">ROUND((OFFSET(卡牌辅助配置表!$O$1,MATCH(U852,卡牌辅助配置表!M:M,0)-1,0)+(N852-1)*OFFSET(卡牌辅助配置表!$P$1,MATCH(U852,卡牌辅助配置表!M:M,0)-1,0))*M852,2)</f>
        <v>19.63</v>
      </c>
      <c r="W852" s="157">
        <f ca="1">ROUND(IF(R852=0,0,IF(R852=1,X852*$W$1,IF(R852=2,X852*$W$1*buff的资质计算!$E$2,IF(R852=3,X852*$W$1*buff的资质计算!$E$3,0)))),2)</f>
        <v>6.45</v>
      </c>
      <c r="X852" s="157">
        <f ca="1" t="shared" si="142"/>
        <v>21.5</v>
      </c>
      <c r="Y852" s="157" t="e">
        <f ca="1" t="shared" si="151"/>
        <v>#VALUE!</v>
      </c>
      <c r="Z852" s="304" t="e">
        <f ca="1" t="shared" si="143"/>
        <v>#VALUE!</v>
      </c>
      <c r="AA852" s="304">
        <f ca="1">OFFSET(卡牌辅助配置表!$AD$1,MATCH(AB852,卡牌辅助配置表!AB:AB,0)-1,0)</f>
        <v>72</v>
      </c>
      <c r="AB852" s="304">
        <f ca="1" t="shared" si="147"/>
        <v>1202</v>
      </c>
      <c r="AC852" s="153">
        <v>3</v>
      </c>
      <c r="AE852" s="153">
        <v>2</v>
      </c>
      <c r="AF852" s="153" t="str">
        <f ca="1" t="shared" si="150"/>
        <v>20030011|</v>
      </c>
      <c r="AJ852" s="205" t="str">
        <f ca="1" t="shared" si="148"/>
        <v>400023|1350|;</v>
      </c>
      <c r="AK852" s="205">
        <f ca="1">OFFSET([1]item_type!$A$1,MATCH(Q852,[1]item_type!$G:$G,0)-1,0)</f>
        <v>302003</v>
      </c>
      <c r="AL852" s="205"/>
      <c r="AM852" s="205">
        <f ca="1">IF(B852=B853,OFFSET(卡牌辅助配置表!$AE$1,MATCH(AB852,卡牌辅助配置表!AB:AB,0),0),0)</f>
        <v>1350</v>
      </c>
      <c r="AN852" s="153">
        <f ca="1" t="shared" si="149"/>
        <v>2003003</v>
      </c>
      <c r="AP852" s="153" t="str">
        <f ca="1">IF(AC852=0,0,IF(AC852=12,0,OFFSET(effect!$N$1,MATCH(K852,effect!M:M,0)-1,0)))</f>
        <v>kpsx_pt</v>
      </c>
    </row>
    <row r="853" spans="1:42">
      <c r="A853" s="153">
        <f ca="1" t="shared" si="145"/>
        <v>2003003</v>
      </c>
      <c r="B853" s="91" t="s">
        <v>379</v>
      </c>
      <c r="C853" s="186">
        <v>2</v>
      </c>
      <c r="D853" s="186">
        <v>1</v>
      </c>
      <c r="E853" s="165" t="s">
        <v>1058</v>
      </c>
      <c r="F853" s="165" t="str">
        <f>"上一招为剑法时，增加"&amp;skill!$O$68/100&amp;"%伤害"</f>
        <v>上一招为剑法时，增加35%伤害</v>
      </c>
      <c r="G853" s="186">
        <f ca="1">OFFSET(卡牌辅助配置表!$C$1,MATCH(AC853,卡牌辅助配置表!A:A,0)-1,0)</f>
        <v>3</v>
      </c>
      <c r="H853" s="186" t="e">
        <f ca="1">OFFSET(skill!$Q$1,MATCH(B853,skill!B:B,0)-1,0)</f>
        <v>#VALUE!</v>
      </c>
      <c r="I853" s="186"/>
      <c r="J853" s="186">
        <f ca="1">OFFSET(card_type!$F$1,MATCH(Q853,card_type!A:A,0)-1,0)</f>
        <v>1</v>
      </c>
      <c r="K853" s="243">
        <f ca="1">OFFSET(card_type!$G$1,MATCH(Q853,card_type!A:A,0)-1,0)</f>
        <v>2</v>
      </c>
      <c r="L853" s="157">
        <v>2</v>
      </c>
      <c r="M853" s="157">
        <v>2</v>
      </c>
      <c r="N853" s="153">
        <f t="shared" si="144"/>
        <v>3</v>
      </c>
      <c r="O853" s="157"/>
      <c r="P853" s="157"/>
      <c r="Q853" s="153">
        <f ca="1">OFFSET(card_type!$A$1,MATCH(card!B853,card_type!B:B,0)-1,0)</f>
        <v>2003</v>
      </c>
      <c r="R853" s="153">
        <v>1</v>
      </c>
      <c r="S853" s="157">
        <f ca="1">ROUND(IF(R853=0,0,IF(R853=1,X853*$S$1,IF(R853=2,X853*$S$1*buff的资质计算!$E$2,IF(R853=3,X853*$S$1*buff的资质计算!$E$3,0)))),0)*0</f>
        <v>0</v>
      </c>
      <c r="T853" s="153">
        <v>4</v>
      </c>
      <c r="U853" s="153">
        <f ca="1" t="shared" si="146"/>
        <v>12</v>
      </c>
      <c r="V853" s="153">
        <f ca="1">ROUND((OFFSET(卡牌辅助配置表!$O$1,MATCH(U853,卡牌辅助配置表!M:M,0)-1,0)+(N853-1)*OFFSET(卡牌辅助配置表!$P$1,MATCH(U853,卡牌辅助配置表!M:M,0)-1,0))*M853,2)</f>
        <v>20.27</v>
      </c>
      <c r="W853" s="157">
        <f ca="1">ROUND(IF(R853=0,0,IF(R853=1,X853*$W$1,IF(R853=2,X853*$W$1*buff的资质计算!$E$2,IF(R853=3,X853*$W$1*buff的资质计算!$E$3,0)))),2)</f>
        <v>6.6</v>
      </c>
      <c r="X853" s="157">
        <f ca="1" t="shared" si="142"/>
        <v>22</v>
      </c>
      <c r="Y853" s="157" t="e">
        <f ca="1" t="shared" si="151"/>
        <v>#VALUE!</v>
      </c>
      <c r="Z853" s="304" t="e">
        <f ca="1" t="shared" si="143"/>
        <v>#VALUE!</v>
      </c>
      <c r="AA853" s="304">
        <f ca="1">OFFSET(卡牌辅助配置表!$AD$1,MATCH(AB853,卡牌辅助配置表!AB:AB,0)-1,0)</f>
        <v>108</v>
      </c>
      <c r="AB853" s="304">
        <f ca="1" t="shared" si="147"/>
        <v>1203</v>
      </c>
      <c r="AC853" s="153">
        <v>3</v>
      </c>
      <c r="AE853" s="153">
        <v>2</v>
      </c>
      <c r="AF853" s="153" t="str">
        <f ca="1" t="shared" si="150"/>
        <v>20030011|</v>
      </c>
      <c r="AJ853" s="205" t="str">
        <f ca="1" t="shared" si="148"/>
        <v>400023|1650|;</v>
      </c>
      <c r="AK853" s="205">
        <f ca="1">OFFSET([1]item_type!$A$1,MATCH(Q853,[1]item_type!$G:$G,0)-1,0)</f>
        <v>302003</v>
      </c>
      <c r="AL853" s="205"/>
      <c r="AM853" s="205">
        <f ca="1">IF(B853=B854,OFFSET(卡牌辅助配置表!$AE$1,MATCH(AB853,卡牌辅助配置表!AB:AB,0),0),0)</f>
        <v>1650</v>
      </c>
      <c r="AN853" s="153">
        <f ca="1" t="shared" si="149"/>
        <v>2003004</v>
      </c>
      <c r="AP853" s="153" t="str">
        <f ca="1">IF(AC853=0,0,IF(AC853=12,0,OFFSET(effect!$N$1,MATCH(K853,effect!M:M,0)-1,0)))</f>
        <v>kpsx_pt</v>
      </c>
    </row>
    <row r="854" spans="1:42">
      <c r="A854" s="153">
        <f ca="1" t="shared" si="145"/>
        <v>2003004</v>
      </c>
      <c r="B854" s="91" t="s">
        <v>379</v>
      </c>
      <c r="C854" s="186">
        <v>2</v>
      </c>
      <c r="D854" s="186">
        <v>1</v>
      </c>
      <c r="E854" s="165" t="s">
        <v>1058</v>
      </c>
      <c r="F854" s="165" t="str">
        <f>"上一招为剑法时，增加"&amp;skill!$O$68/100&amp;"%伤害"</f>
        <v>上一招为剑法时，增加35%伤害</v>
      </c>
      <c r="G854" s="186">
        <f ca="1">OFFSET(卡牌辅助配置表!$C$1,MATCH(AC854,卡牌辅助配置表!A:A,0)-1,0)</f>
        <v>3</v>
      </c>
      <c r="H854" s="186" t="e">
        <f ca="1">OFFSET(skill!$Q$1,MATCH(B854,skill!B:B,0)-1,0)</f>
        <v>#VALUE!</v>
      </c>
      <c r="I854" s="186"/>
      <c r="J854" s="186">
        <f ca="1">OFFSET(card_type!$F$1,MATCH(Q854,card_type!A:A,0)-1,0)</f>
        <v>1</v>
      </c>
      <c r="K854" s="243">
        <f ca="1">OFFSET(card_type!$G$1,MATCH(Q854,card_type!A:A,0)-1,0)</f>
        <v>2</v>
      </c>
      <c r="L854" s="157">
        <v>2</v>
      </c>
      <c r="M854" s="157">
        <v>2</v>
      </c>
      <c r="N854" s="153">
        <f t="shared" si="144"/>
        <v>4</v>
      </c>
      <c r="O854" s="157"/>
      <c r="P854" s="157"/>
      <c r="Q854" s="153">
        <f ca="1">OFFSET(card_type!$A$1,MATCH(card!B854,card_type!B:B,0)-1,0)</f>
        <v>2003</v>
      </c>
      <c r="R854" s="153">
        <v>1</v>
      </c>
      <c r="S854" s="157">
        <f ca="1">ROUND(IF(R854=0,0,IF(R854=1,X854*$S$1,IF(R854=2,X854*$S$1*buff的资质计算!$E$2,IF(R854=3,X854*$S$1*buff的资质计算!$E$3,0)))),0)*0</f>
        <v>0</v>
      </c>
      <c r="T854" s="153">
        <v>4</v>
      </c>
      <c r="U854" s="153">
        <f ca="1" t="shared" si="146"/>
        <v>12</v>
      </c>
      <c r="V854" s="153">
        <f ca="1">ROUND((OFFSET(卡牌辅助配置表!$O$1,MATCH(U854,卡牌辅助配置表!M:M,0)-1,0)+(N854-1)*OFFSET(卡牌辅助配置表!$P$1,MATCH(U854,卡牌辅助配置表!M:M,0)-1,0))*M854,2)</f>
        <v>20.9</v>
      </c>
      <c r="W854" s="157">
        <f ca="1">ROUND(IF(R854=0,0,IF(R854=1,X854*$W$1,IF(R854=2,X854*$W$1*buff的资质计算!$E$2,IF(R854=3,X854*$W$1*buff的资质计算!$E$3,0)))),2)</f>
        <v>6.75</v>
      </c>
      <c r="X854" s="157">
        <f ca="1" t="shared" si="142"/>
        <v>22.5</v>
      </c>
      <c r="Y854" s="157" t="e">
        <f ca="1" t="shared" si="151"/>
        <v>#VALUE!</v>
      </c>
      <c r="Z854" s="304" t="e">
        <f ca="1" t="shared" si="143"/>
        <v>#VALUE!</v>
      </c>
      <c r="AA854" s="304">
        <f ca="1">OFFSET(卡牌辅助配置表!$AD$1,MATCH(AB854,卡牌辅助配置表!AB:AB,0)-1,0)</f>
        <v>144</v>
      </c>
      <c r="AB854" s="304">
        <f ca="1" t="shared" si="147"/>
        <v>1204</v>
      </c>
      <c r="AC854" s="153">
        <v>3</v>
      </c>
      <c r="AE854" s="153">
        <v>2</v>
      </c>
      <c r="AF854" s="153" t="str">
        <f ca="1" t="shared" si="150"/>
        <v>20030011|</v>
      </c>
      <c r="AJ854" s="205" t="str">
        <f ca="1" t="shared" si="148"/>
        <v>400023|1950|;</v>
      </c>
      <c r="AK854" s="205">
        <f ca="1">OFFSET([1]item_type!$A$1,MATCH(Q854,[1]item_type!$G:$G,0)-1,0)</f>
        <v>302003</v>
      </c>
      <c r="AL854" s="205"/>
      <c r="AM854" s="205">
        <f ca="1">IF(B854=B855,OFFSET(卡牌辅助配置表!$AE$1,MATCH(AB854,卡牌辅助配置表!AB:AB,0),0),0)</f>
        <v>1950</v>
      </c>
      <c r="AN854" s="153">
        <f ca="1" t="shared" si="149"/>
        <v>2003005</v>
      </c>
      <c r="AP854" s="153" t="str">
        <f ca="1">IF(AC854=0,0,IF(AC854=12,0,OFFSET(effect!$N$1,MATCH(K854,effect!M:M,0)-1,0)))</f>
        <v>kpsx_pt</v>
      </c>
    </row>
    <row r="855" spans="1:42">
      <c r="A855" s="153">
        <f ca="1" t="shared" si="145"/>
        <v>2003005</v>
      </c>
      <c r="B855" s="91" t="s">
        <v>379</v>
      </c>
      <c r="C855" s="186">
        <v>2</v>
      </c>
      <c r="D855" s="186">
        <v>1</v>
      </c>
      <c r="E855" s="165" t="s">
        <v>1058</v>
      </c>
      <c r="F855" s="165" t="str">
        <f>"上一招为剑法时，增加"&amp;skill!$O$68/100&amp;"%伤害"</f>
        <v>上一招为剑法时，增加35%伤害</v>
      </c>
      <c r="G855" s="186">
        <f ca="1">OFFSET(卡牌辅助配置表!$C$1,MATCH(AC855,卡牌辅助配置表!A:A,0)-1,0)</f>
        <v>3</v>
      </c>
      <c r="H855" s="186" t="e">
        <f ca="1">OFFSET(skill!$Q$1,MATCH(B855,skill!B:B,0)-1,0)</f>
        <v>#VALUE!</v>
      </c>
      <c r="I855" s="186"/>
      <c r="J855" s="186">
        <f ca="1">OFFSET(card_type!$F$1,MATCH(Q855,card_type!A:A,0)-1,0)</f>
        <v>1</v>
      </c>
      <c r="K855" s="243">
        <f ca="1">OFFSET(card_type!$G$1,MATCH(Q855,card_type!A:A,0)-1,0)</f>
        <v>2</v>
      </c>
      <c r="L855" s="157">
        <v>2</v>
      </c>
      <c r="M855" s="157">
        <v>2</v>
      </c>
      <c r="N855" s="153">
        <f t="shared" si="144"/>
        <v>5</v>
      </c>
      <c r="O855" s="157"/>
      <c r="P855" s="157"/>
      <c r="Q855" s="153">
        <f ca="1">OFFSET(card_type!$A$1,MATCH(card!B855,card_type!B:B,0)-1,0)</f>
        <v>2003</v>
      </c>
      <c r="R855" s="153">
        <v>1</v>
      </c>
      <c r="S855" s="157">
        <f ca="1">ROUND(IF(R855=0,0,IF(R855=1,X855*$S$1,IF(R855=2,X855*$S$1*buff的资质计算!$E$2,IF(R855=3,X855*$S$1*buff的资质计算!$E$3,0)))),0)*0</f>
        <v>0</v>
      </c>
      <c r="T855" s="153">
        <v>4</v>
      </c>
      <c r="U855" s="153">
        <f ca="1" t="shared" si="146"/>
        <v>12</v>
      </c>
      <c r="V855" s="153">
        <f ca="1">ROUND((OFFSET(卡牌辅助配置表!$O$1,MATCH(U855,卡牌辅助配置表!M:M,0)-1,0)+(N855-1)*OFFSET(卡牌辅助配置表!$P$1,MATCH(U855,卡牌辅助配置表!M:M,0)-1,0))*M855,2)</f>
        <v>21.53</v>
      </c>
      <c r="W855" s="157">
        <f ca="1">ROUND(IF(R855=0,0,IF(R855=1,X855*$W$1,IF(R855=2,X855*$W$1*buff的资质计算!$E$2,IF(R855=3,X855*$W$1*buff的资质计算!$E$3,0)))),2)</f>
        <v>6.9</v>
      </c>
      <c r="X855" s="157">
        <f ca="1" t="shared" si="142"/>
        <v>23</v>
      </c>
      <c r="Y855" s="157" t="e">
        <f ca="1" t="shared" si="151"/>
        <v>#VALUE!</v>
      </c>
      <c r="Z855" s="304" t="e">
        <f ca="1" t="shared" si="143"/>
        <v>#VALUE!</v>
      </c>
      <c r="AA855" s="304">
        <f ca="1">OFFSET(卡牌辅助配置表!$AD$1,MATCH(AB855,卡牌辅助配置表!AB:AB,0)-1,0)</f>
        <v>180</v>
      </c>
      <c r="AB855" s="304">
        <f ca="1" t="shared" si="147"/>
        <v>1205</v>
      </c>
      <c r="AC855" s="153">
        <v>3</v>
      </c>
      <c r="AE855" s="153">
        <v>2</v>
      </c>
      <c r="AF855" s="153" t="str">
        <f ca="1" t="shared" si="150"/>
        <v>20030011|</v>
      </c>
      <c r="AJ855" s="205" t="str">
        <f ca="1" t="shared" si="148"/>
        <v>400023|2250|;</v>
      </c>
      <c r="AK855" s="205">
        <f ca="1">OFFSET([1]item_type!$A$1,MATCH(Q855,[1]item_type!$G:$G,0)-1,0)</f>
        <v>302003</v>
      </c>
      <c r="AL855" s="205"/>
      <c r="AM855" s="205">
        <f ca="1">IF(B855=B856,OFFSET(卡牌辅助配置表!$AE$1,MATCH(AB855,卡牌辅助配置表!AB:AB,0),0),0)</f>
        <v>2250</v>
      </c>
      <c r="AN855" s="153">
        <f ca="1" t="shared" si="149"/>
        <v>2003006</v>
      </c>
      <c r="AP855" s="153" t="str">
        <f ca="1">IF(AC855=0,0,IF(AC855=12,0,OFFSET(effect!$N$1,MATCH(K855,effect!M:M,0)-1,0)))</f>
        <v>kpsx_pt</v>
      </c>
    </row>
    <row r="856" spans="1:42">
      <c r="A856" s="153">
        <f ca="1" t="shared" si="145"/>
        <v>2003006</v>
      </c>
      <c r="B856" s="91" t="s">
        <v>379</v>
      </c>
      <c r="C856" s="186">
        <v>2</v>
      </c>
      <c r="D856" s="186">
        <v>1</v>
      </c>
      <c r="E856" s="165" t="s">
        <v>1058</v>
      </c>
      <c r="F856" s="165" t="str">
        <f>"上一招为剑法时，增加"&amp;skill!$O$68/100&amp;"%伤害"</f>
        <v>上一招为剑法时，增加35%伤害</v>
      </c>
      <c r="G856" s="186">
        <f ca="1">OFFSET(卡牌辅助配置表!$C$1,MATCH(AC856,卡牌辅助配置表!A:A,0)-1,0)</f>
        <v>3</v>
      </c>
      <c r="H856" s="186" t="e">
        <f ca="1">OFFSET(skill!$Q$1,MATCH(B856,skill!B:B,0)-1,0)</f>
        <v>#VALUE!</v>
      </c>
      <c r="I856" s="186"/>
      <c r="J856" s="186">
        <f ca="1">OFFSET(card_type!$F$1,MATCH(Q856,card_type!A:A,0)-1,0)</f>
        <v>1</v>
      </c>
      <c r="K856" s="243">
        <f ca="1">OFFSET(card_type!$G$1,MATCH(Q856,card_type!A:A,0)-1,0)</f>
        <v>2</v>
      </c>
      <c r="L856" s="157">
        <v>2</v>
      </c>
      <c r="M856" s="157">
        <v>2</v>
      </c>
      <c r="N856" s="153">
        <f t="shared" si="144"/>
        <v>6</v>
      </c>
      <c r="O856" s="157"/>
      <c r="P856" s="157"/>
      <c r="Q856" s="153">
        <f ca="1">OFFSET(card_type!$A$1,MATCH(card!B856,card_type!B:B,0)-1,0)</f>
        <v>2003</v>
      </c>
      <c r="R856" s="153">
        <v>1</v>
      </c>
      <c r="S856" s="157">
        <f ca="1">ROUND(IF(R856=0,0,IF(R856=1,X856*$S$1,IF(R856=2,X856*$S$1*buff的资质计算!$E$2,IF(R856=3,X856*$S$1*buff的资质计算!$E$3,0)))),0)*0</f>
        <v>0</v>
      </c>
      <c r="T856" s="153">
        <v>4</v>
      </c>
      <c r="U856" s="153">
        <f ca="1" t="shared" si="146"/>
        <v>12</v>
      </c>
      <c r="V856" s="153">
        <f ca="1">ROUND((OFFSET(卡牌辅助配置表!$O$1,MATCH(U856,卡牌辅助配置表!M:M,0)-1,0)+(N856-1)*OFFSET(卡牌辅助配置表!$P$1,MATCH(U856,卡牌辅助配置表!M:M,0)-1,0))*M856,2)</f>
        <v>22.17</v>
      </c>
      <c r="W856" s="157">
        <f ca="1">ROUND(IF(R856=0,0,IF(R856=1,X856*$W$1,IF(R856=2,X856*$W$1*buff的资质计算!$E$2,IF(R856=3,X856*$W$1*buff的资质计算!$E$3,0)))),2)</f>
        <v>7.05</v>
      </c>
      <c r="X856" s="157">
        <f ca="1" t="shared" si="142"/>
        <v>23.5</v>
      </c>
      <c r="Y856" s="157" t="e">
        <f ca="1" t="shared" si="151"/>
        <v>#VALUE!</v>
      </c>
      <c r="Z856" s="304" t="e">
        <f ca="1" t="shared" si="143"/>
        <v>#VALUE!</v>
      </c>
      <c r="AA856" s="304">
        <f ca="1">OFFSET(卡牌辅助配置表!$AD$1,MATCH(AB856,卡牌辅助配置表!AB:AB,0)-1,0)</f>
        <v>216</v>
      </c>
      <c r="AB856" s="304">
        <f ca="1" t="shared" si="147"/>
        <v>1206</v>
      </c>
      <c r="AC856" s="153">
        <v>3</v>
      </c>
      <c r="AE856" s="153">
        <v>2</v>
      </c>
      <c r="AF856" s="153" t="str">
        <f ca="1" t="shared" si="150"/>
        <v>20030011|</v>
      </c>
      <c r="AJ856" s="205" t="str">
        <f ca="1" t="shared" si="148"/>
        <v>400023|2550|;</v>
      </c>
      <c r="AK856" s="205">
        <f ca="1">OFFSET([1]item_type!$A$1,MATCH(Q856,[1]item_type!$G:$G,0)-1,0)</f>
        <v>302003</v>
      </c>
      <c r="AL856" s="205"/>
      <c r="AM856" s="205">
        <f ca="1">IF(B856=B857,OFFSET(卡牌辅助配置表!$AE$1,MATCH(AB856,卡牌辅助配置表!AB:AB,0),0),0)</f>
        <v>2550</v>
      </c>
      <c r="AN856" s="153">
        <f ca="1" t="shared" si="149"/>
        <v>2003007</v>
      </c>
      <c r="AP856" s="153" t="str">
        <f ca="1">IF(AC856=0,0,IF(AC856=12,0,OFFSET(effect!$N$1,MATCH(K856,effect!M:M,0)-1,0)))</f>
        <v>kpsx_pt</v>
      </c>
    </row>
    <row r="857" spans="1:42">
      <c r="A857" s="153">
        <f ca="1" t="shared" si="145"/>
        <v>2003007</v>
      </c>
      <c r="B857" s="91" t="s">
        <v>379</v>
      </c>
      <c r="C857" s="186">
        <v>2</v>
      </c>
      <c r="D857" s="186">
        <v>1</v>
      </c>
      <c r="E857" s="165" t="s">
        <v>1058</v>
      </c>
      <c r="F857" s="165" t="str">
        <f>"上一招为剑法时，增加"&amp;skill!$O$68/100&amp;"%伤害"</f>
        <v>上一招为剑法时，增加35%伤害</v>
      </c>
      <c r="G857" s="186">
        <f ca="1">OFFSET(卡牌辅助配置表!$C$1,MATCH(AC857,卡牌辅助配置表!A:A,0)-1,0)</f>
        <v>3</v>
      </c>
      <c r="H857" s="186" t="e">
        <f ca="1">OFFSET(skill!$Q$1,MATCH(B857,skill!B:B,0)-1,0)</f>
        <v>#VALUE!</v>
      </c>
      <c r="I857" s="186"/>
      <c r="J857" s="186">
        <f ca="1">OFFSET(card_type!$F$1,MATCH(Q857,card_type!A:A,0)-1,0)</f>
        <v>1</v>
      </c>
      <c r="K857" s="243">
        <f ca="1">OFFSET(card_type!$G$1,MATCH(Q857,card_type!A:A,0)-1,0)</f>
        <v>2</v>
      </c>
      <c r="L857" s="157">
        <v>2</v>
      </c>
      <c r="M857" s="157">
        <v>2</v>
      </c>
      <c r="N857" s="153">
        <f t="shared" si="144"/>
        <v>7</v>
      </c>
      <c r="O857" s="157"/>
      <c r="P857" s="157"/>
      <c r="Q857" s="153">
        <f ca="1">OFFSET(card_type!$A$1,MATCH(card!B857,card_type!B:B,0)-1,0)</f>
        <v>2003</v>
      </c>
      <c r="R857" s="153">
        <v>1</v>
      </c>
      <c r="S857" s="157">
        <f ca="1">ROUND(IF(R857=0,0,IF(R857=1,X857*$S$1,IF(R857=2,X857*$S$1*buff的资质计算!$E$2,IF(R857=3,X857*$S$1*buff的资质计算!$E$3,0)))),0)*0</f>
        <v>0</v>
      </c>
      <c r="T857" s="153">
        <v>4</v>
      </c>
      <c r="U857" s="153">
        <f ca="1" t="shared" si="146"/>
        <v>12</v>
      </c>
      <c r="V857" s="153">
        <f ca="1">ROUND((OFFSET(卡牌辅助配置表!$O$1,MATCH(U857,卡牌辅助配置表!M:M,0)-1,0)+(N857-1)*OFFSET(卡牌辅助配置表!$P$1,MATCH(U857,卡牌辅助配置表!M:M,0)-1,0))*M857,2)</f>
        <v>22.8</v>
      </c>
      <c r="W857" s="157">
        <f ca="1">ROUND(IF(R857=0,0,IF(R857=1,X857*$W$1,IF(R857=2,X857*$W$1*buff的资质计算!$E$2,IF(R857=3,X857*$W$1*buff的资质计算!$E$3,0)))),2)</f>
        <v>7.2</v>
      </c>
      <c r="X857" s="157">
        <f ca="1" t="shared" si="142"/>
        <v>24</v>
      </c>
      <c r="Y857" s="157" t="e">
        <f ca="1" t="shared" si="151"/>
        <v>#VALUE!</v>
      </c>
      <c r="Z857" s="304" t="e">
        <f ca="1" t="shared" si="143"/>
        <v>#VALUE!</v>
      </c>
      <c r="AA857" s="304">
        <f ca="1">OFFSET(卡牌辅助配置表!$AD$1,MATCH(AB857,卡牌辅助配置表!AB:AB,0)-1,0)</f>
        <v>252</v>
      </c>
      <c r="AB857" s="304">
        <f ca="1" t="shared" si="147"/>
        <v>1207</v>
      </c>
      <c r="AC857" s="153">
        <v>3</v>
      </c>
      <c r="AE857" s="153">
        <v>2</v>
      </c>
      <c r="AF857" s="153" t="str">
        <f ca="1" t="shared" si="150"/>
        <v>20030011|</v>
      </c>
      <c r="AJ857" s="205" t="str">
        <f ca="1" t="shared" si="148"/>
        <v>400023|2850|;</v>
      </c>
      <c r="AK857" s="205">
        <f ca="1">OFFSET([1]item_type!$A$1,MATCH(Q857,[1]item_type!$G:$G,0)-1,0)</f>
        <v>302003</v>
      </c>
      <c r="AL857" s="205"/>
      <c r="AM857" s="205">
        <f ca="1">IF(B857=B858,OFFSET(卡牌辅助配置表!$AE$1,MATCH(AB857,卡牌辅助配置表!AB:AB,0),0),0)</f>
        <v>2850</v>
      </c>
      <c r="AN857" s="153">
        <f ca="1" t="shared" si="149"/>
        <v>2003008</v>
      </c>
      <c r="AP857" s="153" t="str">
        <f ca="1">IF(AC857=0,0,IF(AC857=12,0,OFFSET(effect!$N$1,MATCH(K857,effect!M:M,0)-1,0)))</f>
        <v>kpsx_pt</v>
      </c>
    </row>
    <row r="858" spans="1:42">
      <c r="A858" s="153">
        <f ca="1" t="shared" si="145"/>
        <v>2003008</v>
      </c>
      <c r="B858" s="91" t="s">
        <v>379</v>
      </c>
      <c r="C858" s="186">
        <v>2</v>
      </c>
      <c r="D858" s="186">
        <v>1</v>
      </c>
      <c r="E858" s="165" t="s">
        <v>1058</v>
      </c>
      <c r="F858" s="165" t="str">
        <f>"上一招为剑法时，增加"&amp;skill!$O$68/100&amp;"%伤害"</f>
        <v>上一招为剑法时，增加35%伤害</v>
      </c>
      <c r="G858" s="186">
        <f ca="1">OFFSET(卡牌辅助配置表!$C$1,MATCH(AC858,卡牌辅助配置表!A:A,0)-1,0)</f>
        <v>3</v>
      </c>
      <c r="H858" s="186" t="e">
        <f ca="1">OFFSET(skill!$Q$1,MATCH(B858,skill!B:B,0)-1,0)</f>
        <v>#VALUE!</v>
      </c>
      <c r="I858" s="186"/>
      <c r="J858" s="186">
        <f ca="1">OFFSET(card_type!$F$1,MATCH(Q858,card_type!A:A,0)-1,0)</f>
        <v>1</v>
      </c>
      <c r="K858" s="243">
        <f ca="1">OFFSET(card_type!$G$1,MATCH(Q858,card_type!A:A,0)-1,0)</f>
        <v>2</v>
      </c>
      <c r="L858" s="157">
        <v>2</v>
      </c>
      <c r="M858" s="157">
        <v>2</v>
      </c>
      <c r="N858" s="153">
        <f t="shared" si="144"/>
        <v>8</v>
      </c>
      <c r="O858" s="157"/>
      <c r="P858" s="157"/>
      <c r="Q858" s="153">
        <f ca="1">OFFSET(card_type!$A$1,MATCH(card!B858,card_type!B:B,0)-1,0)</f>
        <v>2003</v>
      </c>
      <c r="R858" s="153">
        <v>1</v>
      </c>
      <c r="S858" s="157">
        <f ca="1">ROUND(IF(R858=0,0,IF(R858=1,X858*$S$1,IF(R858=2,X858*$S$1*buff的资质计算!$E$2,IF(R858=3,X858*$S$1*buff的资质计算!$E$3,0)))),0)*0</f>
        <v>0</v>
      </c>
      <c r="T858" s="153">
        <v>4</v>
      </c>
      <c r="U858" s="153">
        <f ca="1" t="shared" si="146"/>
        <v>12</v>
      </c>
      <c r="V858" s="153">
        <f ca="1">ROUND((OFFSET(卡牌辅助配置表!$O$1,MATCH(U858,卡牌辅助配置表!M:M,0)-1,0)+(N858-1)*OFFSET(卡牌辅助配置表!$P$1,MATCH(U858,卡牌辅助配置表!M:M,0)-1,0))*M858,2)</f>
        <v>23.43</v>
      </c>
      <c r="W858" s="157">
        <f ca="1">ROUND(IF(R858=0,0,IF(R858=1,X858*$W$1,IF(R858=2,X858*$W$1*buff的资质计算!$E$2,IF(R858=3,X858*$W$1*buff的资质计算!$E$3,0)))),2)</f>
        <v>7.35</v>
      </c>
      <c r="X858" s="157">
        <f ca="1" t="shared" si="142"/>
        <v>24.5</v>
      </c>
      <c r="Y858" s="157" t="e">
        <f ca="1" t="shared" si="151"/>
        <v>#VALUE!</v>
      </c>
      <c r="Z858" s="304" t="e">
        <f ca="1" t="shared" si="143"/>
        <v>#VALUE!</v>
      </c>
      <c r="AA858" s="304">
        <f ca="1">OFFSET(卡牌辅助配置表!$AD$1,MATCH(AB858,卡牌辅助配置表!AB:AB,0)-1,0)</f>
        <v>288</v>
      </c>
      <c r="AB858" s="304">
        <f ca="1" t="shared" si="147"/>
        <v>1208</v>
      </c>
      <c r="AC858" s="153">
        <v>3</v>
      </c>
      <c r="AE858" s="153">
        <v>2</v>
      </c>
      <c r="AF858" s="153" t="str">
        <f ca="1" t="shared" si="150"/>
        <v>20030011|</v>
      </c>
      <c r="AJ858" s="205" t="str">
        <f ca="1" t="shared" si="148"/>
        <v>400023|3150|;</v>
      </c>
      <c r="AK858" s="205">
        <f ca="1">OFFSET([1]item_type!$A$1,MATCH(Q858,[1]item_type!$G:$G,0)-1,0)</f>
        <v>302003</v>
      </c>
      <c r="AL858" s="205"/>
      <c r="AM858" s="205">
        <f ca="1">IF(B858=B859,OFFSET(卡牌辅助配置表!$AE$1,MATCH(AB858,卡牌辅助配置表!AB:AB,0),0),0)</f>
        <v>3150</v>
      </c>
      <c r="AN858" s="153">
        <f ca="1" t="shared" si="149"/>
        <v>2003009</v>
      </c>
      <c r="AP858" s="153" t="str">
        <f ca="1">IF(AC858=0,0,IF(AC858=12,0,OFFSET(effect!$N$1,MATCH(K858,effect!M:M,0)-1,0)))</f>
        <v>kpsx_pt</v>
      </c>
    </row>
    <row r="859" spans="1:42">
      <c r="A859" s="153">
        <f ca="1" t="shared" si="145"/>
        <v>2003009</v>
      </c>
      <c r="B859" s="91" t="s">
        <v>379</v>
      </c>
      <c r="C859" s="186">
        <v>2</v>
      </c>
      <c r="D859" s="186">
        <v>1</v>
      </c>
      <c r="E859" s="165" t="s">
        <v>1058</v>
      </c>
      <c r="F859" s="165" t="str">
        <f>"上一招为剑法时，增加"&amp;skill!$O$68/100&amp;"%伤害"</f>
        <v>上一招为剑法时，增加35%伤害</v>
      </c>
      <c r="G859" s="186">
        <f ca="1">OFFSET(卡牌辅助配置表!$C$1,MATCH(AC859,卡牌辅助配置表!A:A,0)-1,0)</f>
        <v>3</v>
      </c>
      <c r="H859" s="186" t="e">
        <f ca="1">OFFSET(skill!$Q$1,MATCH(B859,skill!B:B,0)-1,0)</f>
        <v>#VALUE!</v>
      </c>
      <c r="I859" s="186"/>
      <c r="J859" s="186">
        <f ca="1">OFFSET(card_type!$F$1,MATCH(Q859,card_type!A:A,0)-1,0)</f>
        <v>1</v>
      </c>
      <c r="K859" s="243">
        <f ca="1">OFFSET(card_type!$G$1,MATCH(Q859,card_type!A:A,0)-1,0)</f>
        <v>2</v>
      </c>
      <c r="L859" s="157">
        <v>2</v>
      </c>
      <c r="M859" s="157">
        <v>2</v>
      </c>
      <c r="N859" s="153">
        <f t="shared" si="144"/>
        <v>9</v>
      </c>
      <c r="O859" s="157"/>
      <c r="P859" s="157"/>
      <c r="Q859" s="153">
        <f ca="1">OFFSET(card_type!$A$1,MATCH(card!B859,card_type!B:B,0)-1,0)</f>
        <v>2003</v>
      </c>
      <c r="R859" s="153">
        <v>1</v>
      </c>
      <c r="S859" s="157">
        <f ca="1">ROUND(IF(R859=0,0,IF(R859=1,X859*$S$1,IF(R859=2,X859*$S$1*buff的资质计算!$E$2,IF(R859=3,X859*$S$1*buff的资质计算!$E$3,0)))),0)*0</f>
        <v>0</v>
      </c>
      <c r="T859" s="153">
        <v>4</v>
      </c>
      <c r="U859" s="153">
        <f ca="1" t="shared" si="146"/>
        <v>12</v>
      </c>
      <c r="V859" s="153">
        <f ca="1">ROUND((OFFSET(卡牌辅助配置表!$O$1,MATCH(U859,卡牌辅助配置表!M:M,0)-1,0)+(N859-1)*OFFSET(卡牌辅助配置表!$P$1,MATCH(U859,卡牌辅助配置表!M:M,0)-1,0))*M859,2)</f>
        <v>24.07</v>
      </c>
      <c r="W859" s="157">
        <f ca="1">ROUND(IF(R859=0,0,IF(R859=1,X859*$W$1,IF(R859=2,X859*$W$1*buff的资质计算!$E$2,IF(R859=3,X859*$W$1*buff的资质计算!$E$3,0)))),2)</f>
        <v>7.5</v>
      </c>
      <c r="X859" s="157">
        <f ca="1" t="shared" si="142"/>
        <v>25</v>
      </c>
      <c r="Y859" s="157" t="e">
        <f ca="1" t="shared" si="151"/>
        <v>#VALUE!</v>
      </c>
      <c r="Z859" s="304" t="e">
        <f ca="1" t="shared" si="143"/>
        <v>#VALUE!</v>
      </c>
      <c r="AA859" s="304">
        <f ca="1">OFFSET(卡牌辅助配置表!$AD$1,MATCH(AB859,卡牌辅助配置表!AB:AB,0)-1,0)</f>
        <v>324</v>
      </c>
      <c r="AB859" s="304">
        <f ca="1" t="shared" si="147"/>
        <v>1209</v>
      </c>
      <c r="AC859" s="153">
        <v>3</v>
      </c>
      <c r="AE859" s="153">
        <v>2</v>
      </c>
      <c r="AF859" s="153" t="str">
        <f ca="1" t="shared" si="150"/>
        <v>20030011|</v>
      </c>
      <c r="AJ859" s="205" t="str">
        <f ca="1" t="shared" si="148"/>
        <v>302003|15|;400023|3450|;</v>
      </c>
      <c r="AK859" s="205">
        <f ca="1">OFFSET([1]item_type!$A$1,MATCH(Q859,[1]item_type!$G:$G,0)-1,0)</f>
        <v>302003</v>
      </c>
      <c r="AL859" s="205">
        <v>15</v>
      </c>
      <c r="AM859" s="205">
        <f ca="1">IF(B859=B860,OFFSET(卡牌辅助配置表!$AE$1,MATCH(AB859,卡牌辅助配置表!AB:AB,0),0),0)</f>
        <v>3450</v>
      </c>
      <c r="AN859" s="153">
        <f ca="1" t="shared" si="149"/>
        <v>2003010</v>
      </c>
      <c r="AP859" s="153" t="str">
        <f ca="1">IF(AC859=0,0,IF(AC859=12,0,OFFSET(effect!$N$1,MATCH(K859,effect!M:M,0)-1,0)))</f>
        <v>kpsx_pt</v>
      </c>
    </row>
    <row r="860" spans="1:42">
      <c r="A860" s="153">
        <f ca="1" t="shared" si="145"/>
        <v>2003010</v>
      </c>
      <c r="B860" s="91" t="s">
        <v>379</v>
      </c>
      <c r="C860" s="186">
        <v>2</v>
      </c>
      <c r="D860" s="186">
        <v>1</v>
      </c>
      <c r="E860" s="165" t="s">
        <v>1058</v>
      </c>
      <c r="F860" s="165" t="str">
        <f>"上一招为剑法时，增加"&amp;skill!$O$68/100&amp;"%伤害"</f>
        <v>上一招为剑法时，增加35%伤害</v>
      </c>
      <c r="G860" s="186">
        <f ca="1">OFFSET(卡牌辅助配置表!$C$1,MATCH(AC860,卡牌辅助配置表!A:A,0)-1,0)</f>
        <v>3</v>
      </c>
      <c r="H860" s="186" t="e">
        <f ca="1">OFFSET(skill!$Q$1,MATCH(B860,skill!B:B,0)-1,0)</f>
        <v>#VALUE!</v>
      </c>
      <c r="I860" s="186"/>
      <c r="J860" s="186">
        <f ca="1">OFFSET(card_type!$F$1,MATCH(Q860,card_type!A:A,0)-1,0)</f>
        <v>1</v>
      </c>
      <c r="K860" s="243">
        <f ca="1">OFFSET(card_type!$G$1,MATCH(Q860,card_type!A:A,0)-1,0)</f>
        <v>2</v>
      </c>
      <c r="L860" s="157">
        <v>2</v>
      </c>
      <c r="M860" s="157">
        <v>2</v>
      </c>
      <c r="N860" s="153">
        <f t="shared" si="144"/>
        <v>10</v>
      </c>
      <c r="O860" s="157"/>
      <c r="P860" s="157"/>
      <c r="Q860" s="153">
        <f ca="1">OFFSET(card_type!$A$1,MATCH(card!B860,card_type!B:B,0)-1,0)</f>
        <v>2003</v>
      </c>
      <c r="R860" s="153">
        <v>1</v>
      </c>
      <c r="S860" s="157">
        <f ca="1">ROUND(IF(R860=0,0,IF(R860=1,X860*$S$1,IF(R860=2,X860*$S$1*buff的资质计算!$E$2,IF(R860=3,X860*$S$1*buff的资质计算!$E$3,0)))),0)*0</f>
        <v>0</v>
      </c>
      <c r="T860" s="153">
        <v>4</v>
      </c>
      <c r="U860" s="153">
        <f ca="1" t="shared" si="146"/>
        <v>12</v>
      </c>
      <c r="V860" s="153">
        <f ca="1">ROUND((OFFSET(卡牌辅助配置表!$O$1,MATCH(U860,卡牌辅助配置表!M:M,0)-1,0)+(N860-1)*OFFSET(卡牌辅助配置表!$P$1,MATCH(U860,卡牌辅助配置表!M:M,0)-1,0))*M860,2)</f>
        <v>24.7</v>
      </c>
      <c r="W860" s="157">
        <f ca="1">ROUND(IF(R860=0,0,IF(R860=1,X860*$W$1,IF(R860=2,X860*$W$1*buff的资质计算!$E$2,IF(R860=3,X860*$W$1*buff的资质计算!$E$3,0)))),2)</f>
        <v>7.65</v>
      </c>
      <c r="X860" s="157">
        <f ca="1" t="shared" si="142"/>
        <v>25.5</v>
      </c>
      <c r="Y860" s="157" t="e">
        <f ca="1" t="shared" si="151"/>
        <v>#VALUE!</v>
      </c>
      <c r="Z860" s="304" t="e">
        <f ca="1" t="shared" si="143"/>
        <v>#VALUE!</v>
      </c>
      <c r="AA860" s="304">
        <f ca="1">OFFSET(卡牌辅助配置表!$AD$1,MATCH(AB860,卡牌辅助配置表!AB:AB,0)-1,0)</f>
        <v>360</v>
      </c>
      <c r="AB860" s="304">
        <f ca="1" t="shared" si="147"/>
        <v>1210</v>
      </c>
      <c r="AC860" s="153">
        <v>3</v>
      </c>
      <c r="AE860" s="153">
        <v>2</v>
      </c>
      <c r="AF860" s="153" t="str">
        <f ca="1" t="shared" si="150"/>
        <v>20030011|</v>
      </c>
      <c r="AJ860" s="205" t="str">
        <f ca="1" t="shared" si="148"/>
        <v>400023|4050|;</v>
      </c>
      <c r="AK860" s="205">
        <f ca="1">OFFSET([1]item_type!$A$1,MATCH(Q860,[1]item_type!$G:$G,0)-1,0)</f>
        <v>302003</v>
      </c>
      <c r="AL860" s="205"/>
      <c r="AM860" s="205">
        <f ca="1">IF(B860=B861,OFFSET(卡牌辅助配置表!$AE$1,MATCH(AB860,卡牌辅助配置表!AB:AB,0),0),0)</f>
        <v>4050</v>
      </c>
      <c r="AN860" s="153">
        <f ca="1" t="shared" si="149"/>
        <v>2003011</v>
      </c>
      <c r="AP860" s="153" t="str">
        <f ca="1">IF(AC860=0,0,IF(AC860=12,0,OFFSET(effect!$N$1,MATCH(K860,effect!M:M,0)-1,0)))</f>
        <v>kpsx_pt</v>
      </c>
    </row>
    <row r="861" spans="1:42">
      <c r="A861" s="153">
        <f ca="1" t="shared" si="145"/>
        <v>2003011</v>
      </c>
      <c r="B861" s="91" t="s">
        <v>379</v>
      </c>
      <c r="C861" s="186">
        <v>2</v>
      </c>
      <c r="D861" s="186">
        <v>1</v>
      </c>
      <c r="E861" s="165" t="s">
        <v>1058</v>
      </c>
      <c r="F861" s="165" t="str">
        <f>"上一招为剑法时，增加"&amp;skill!$O$68/100&amp;"%伤害"</f>
        <v>上一招为剑法时，增加35%伤害</v>
      </c>
      <c r="G861" s="186">
        <f ca="1">OFFSET(卡牌辅助配置表!$C$1,MATCH(AC861,卡牌辅助配置表!A:A,0)-1,0)</f>
        <v>3</v>
      </c>
      <c r="H861" s="186" t="e">
        <f ca="1">OFFSET(skill!$Q$1,MATCH(B861,skill!B:B,0)-1,0)</f>
        <v>#VALUE!</v>
      </c>
      <c r="I861" s="186"/>
      <c r="J861" s="186">
        <f ca="1">OFFSET(card_type!$F$1,MATCH(Q861,card_type!A:A,0)-1,0)</f>
        <v>1</v>
      </c>
      <c r="K861" s="243">
        <f ca="1">OFFSET(card_type!$G$1,MATCH(Q861,card_type!A:A,0)-1,0)</f>
        <v>2</v>
      </c>
      <c r="L861" s="157">
        <v>2</v>
      </c>
      <c r="M861" s="157">
        <v>2</v>
      </c>
      <c r="N861" s="153">
        <f t="shared" si="144"/>
        <v>11</v>
      </c>
      <c r="O861" s="157"/>
      <c r="P861" s="157"/>
      <c r="Q861" s="153">
        <f ca="1">OFFSET(card_type!$A$1,MATCH(card!B861,card_type!B:B,0)-1,0)</f>
        <v>2003</v>
      </c>
      <c r="R861" s="153">
        <v>1</v>
      </c>
      <c r="S861" s="157">
        <f ca="1">ROUND(IF(R861=0,0,IF(R861=1,X861*$S$1,IF(R861=2,X861*$S$1*buff的资质计算!$E$2,IF(R861=3,X861*$S$1*buff的资质计算!$E$3,0)))),0)*0</f>
        <v>0</v>
      </c>
      <c r="T861" s="153">
        <v>4</v>
      </c>
      <c r="U861" s="153">
        <f ca="1" t="shared" si="146"/>
        <v>12</v>
      </c>
      <c r="V861" s="153">
        <f ca="1">ROUND((OFFSET(卡牌辅助配置表!$O$1,MATCH(U861,卡牌辅助配置表!M:M,0)-1,0)+(N861-1)*OFFSET(卡牌辅助配置表!$P$1,MATCH(U861,卡牌辅助配置表!M:M,0)-1,0))*M861,2)</f>
        <v>25.33</v>
      </c>
      <c r="W861" s="157">
        <f ca="1">ROUND(IF(R861=0,0,IF(R861=1,X861*$W$1,IF(R861=2,X861*$W$1*buff的资质计算!$E$2,IF(R861=3,X861*$W$1*buff的资质计算!$E$3,0)))),2)</f>
        <v>7.8</v>
      </c>
      <c r="X861" s="157">
        <f ca="1" t="shared" si="142"/>
        <v>26</v>
      </c>
      <c r="Y861" s="157" t="e">
        <f ca="1" t="shared" si="151"/>
        <v>#VALUE!</v>
      </c>
      <c r="Z861" s="304" t="e">
        <f ca="1" t="shared" si="143"/>
        <v>#VALUE!</v>
      </c>
      <c r="AA861" s="304">
        <f ca="1">OFFSET(卡牌辅助配置表!$AD$1,MATCH(AB861,卡牌辅助配置表!AB:AB,0)-1,0)</f>
        <v>415</v>
      </c>
      <c r="AB861" s="304">
        <f ca="1" t="shared" si="147"/>
        <v>1211</v>
      </c>
      <c r="AC861" s="153">
        <v>3</v>
      </c>
      <c r="AE861" s="153">
        <v>2</v>
      </c>
      <c r="AF861" s="153" t="str">
        <f ca="1" t="shared" si="150"/>
        <v>20030011|</v>
      </c>
      <c r="AJ861" s="205" t="str">
        <f ca="1" t="shared" si="148"/>
        <v>400023|4650|;</v>
      </c>
      <c r="AK861" s="205">
        <f ca="1">OFFSET([1]item_type!$A$1,MATCH(Q861,[1]item_type!$G:$G,0)-1,0)</f>
        <v>302003</v>
      </c>
      <c r="AL861" s="205"/>
      <c r="AM861" s="205">
        <f ca="1">IF(B861=B862,OFFSET(卡牌辅助配置表!$AE$1,MATCH(AB861,卡牌辅助配置表!AB:AB,0),0),0)</f>
        <v>4650</v>
      </c>
      <c r="AN861" s="153">
        <f ca="1" t="shared" si="149"/>
        <v>2003012</v>
      </c>
      <c r="AP861" s="153" t="str">
        <f ca="1">IF(AC861=0,0,IF(AC861=12,0,OFFSET(effect!$N$1,MATCH(K861,effect!M:M,0)-1,0)))</f>
        <v>kpsx_pt</v>
      </c>
    </row>
    <row r="862" spans="1:42">
      <c r="A862" s="153">
        <f ca="1" t="shared" si="145"/>
        <v>2003012</v>
      </c>
      <c r="B862" s="91" t="s">
        <v>379</v>
      </c>
      <c r="C862" s="186">
        <v>2</v>
      </c>
      <c r="D862" s="186">
        <v>1</v>
      </c>
      <c r="E862" s="165" t="s">
        <v>1058</v>
      </c>
      <c r="F862" s="165" t="str">
        <f>"上一招为剑法时，增加"&amp;skill!$O$68/100&amp;"%伤害"</f>
        <v>上一招为剑法时，增加35%伤害</v>
      </c>
      <c r="G862" s="186">
        <f ca="1">OFFSET(卡牌辅助配置表!$C$1,MATCH(AC862,卡牌辅助配置表!A:A,0)-1,0)</f>
        <v>3</v>
      </c>
      <c r="H862" s="186" t="e">
        <f ca="1">OFFSET(skill!$Q$1,MATCH(B862,skill!B:B,0)-1,0)</f>
        <v>#VALUE!</v>
      </c>
      <c r="I862" s="186"/>
      <c r="J862" s="186">
        <f ca="1">OFFSET(card_type!$F$1,MATCH(Q862,card_type!A:A,0)-1,0)</f>
        <v>1</v>
      </c>
      <c r="K862" s="243">
        <f ca="1">OFFSET(card_type!$G$1,MATCH(Q862,card_type!A:A,0)-1,0)</f>
        <v>2</v>
      </c>
      <c r="L862" s="157">
        <v>2</v>
      </c>
      <c r="M862" s="157">
        <v>2</v>
      </c>
      <c r="N862" s="153">
        <f t="shared" si="144"/>
        <v>12</v>
      </c>
      <c r="O862" s="157"/>
      <c r="P862" s="157"/>
      <c r="Q862" s="153">
        <f ca="1">OFFSET(card_type!$A$1,MATCH(card!B862,card_type!B:B,0)-1,0)</f>
        <v>2003</v>
      </c>
      <c r="R862" s="153">
        <v>1</v>
      </c>
      <c r="S862" s="157">
        <f ca="1">ROUND(IF(R862=0,0,IF(R862=1,X862*$S$1,IF(R862=2,X862*$S$1*buff的资质计算!$E$2,IF(R862=3,X862*$S$1*buff的资质计算!$E$3,0)))),0)*0</f>
        <v>0</v>
      </c>
      <c r="T862" s="153">
        <v>4</v>
      </c>
      <c r="U862" s="153">
        <f ca="1" t="shared" si="146"/>
        <v>12</v>
      </c>
      <c r="V862" s="153">
        <f ca="1">ROUND((OFFSET(卡牌辅助配置表!$O$1,MATCH(U862,卡牌辅助配置表!M:M,0)-1,0)+(N862-1)*OFFSET(卡牌辅助配置表!$P$1,MATCH(U862,卡牌辅助配置表!M:M,0)-1,0))*M862,2)</f>
        <v>25.97</v>
      </c>
      <c r="W862" s="157">
        <f ca="1">ROUND(IF(R862=0,0,IF(R862=1,X862*$W$1,IF(R862=2,X862*$W$1*buff的资质计算!$E$2,IF(R862=3,X862*$W$1*buff的资质计算!$E$3,0)))),2)</f>
        <v>7.95</v>
      </c>
      <c r="X862" s="157">
        <f ca="1" t="shared" si="142"/>
        <v>26.5</v>
      </c>
      <c r="Y862" s="157" t="e">
        <f ca="1" t="shared" si="151"/>
        <v>#VALUE!</v>
      </c>
      <c r="Z862" s="304" t="e">
        <f ca="1" t="shared" si="143"/>
        <v>#VALUE!</v>
      </c>
      <c r="AA862" s="304">
        <f ca="1">OFFSET(卡牌辅助配置表!$AD$1,MATCH(AB862,卡牌辅助配置表!AB:AB,0)-1,0)</f>
        <v>470</v>
      </c>
      <c r="AB862" s="304">
        <f ca="1" t="shared" si="147"/>
        <v>1212</v>
      </c>
      <c r="AC862" s="153">
        <v>3</v>
      </c>
      <c r="AE862" s="153">
        <v>2</v>
      </c>
      <c r="AF862" s="153" t="str">
        <f ca="1" t="shared" si="150"/>
        <v>20030011|</v>
      </c>
      <c r="AJ862" s="205" t="str">
        <f ca="1" t="shared" si="148"/>
        <v>400023|5250|;</v>
      </c>
      <c r="AK862" s="205">
        <f ca="1">OFFSET([1]item_type!$A$1,MATCH(Q862,[1]item_type!$G:$G,0)-1,0)</f>
        <v>302003</v>
      </c>
      <c r="AL862" s="205"/>
      <c r="AM862" s="205">
        <f ca="1">IF(B862=B863,OFFSET(卡牌辅助配置表!$AE$1,MATCH(AB862,卡牌辅助配置表!AB:AB,0),0),0)</f>
        <v>5250</v>
      </c>
      <c r="AN862" s="153">
        <f ca="1" t="shared" si="149"/>
        <v>2003013</v>
      </c>
      <c r="AP862" s="153" t="str">
        <f ca="1">IF(AC862=0,0,IF(AC862=12,0,OFFSET(effect!$N$1,MATCH(K862,effect!M:M,0)-1,0)))</f>
        <v>kpsx_pt</v>
      </c>
    </row>
    <row r="863" spans="1:42">
      <c r="A863" s="153">
        <f ca="1" t="shared" si="145"/>
        <v>2003013</v>
      </c>
      <c r="B863" s="91" t="s">
        <v>379</v>
      </c>
      <c r="C863" s="186">
        <v>2</v>
      </c>
      <c r="D863" s="186">
        <v>1</v>
      </c>
      <c r="E863" s="165" t="s">
        <v>1058</v>
      </c>
      <c r="F863" s="165" t="str">
        <f>"上一招为剑法时，增加"&amp;skill!$O$68/100&amp;"%伤害"</f>
        <v>上一招为剑法时，增加35%伤害</v>
      </c>
      <c r="G863" s="186">
        <f ca="1">OFFSET(卡牌辅助配置表!$C$1,MATCH(AC863,卡牌辅助配置表!A:A,0)-1,0)</f>
        <v>3</v>
      </c>
      <c r="H863" s="186" t="e">
        <f ca="1">OFFSET(skill!$Q$1,MATCH(B863,skill!B:B,0)-1,0)</f>
        <v>#VALUE!</v>
      </c>
      <c r="I863" s="186"/>
      <c r="J863" s="186">
        <f ca="1">OFFSET(card_type!$F$1,MATCH(Q863,card_type!A:A,0)-1,0)</f>
        <v>1</v>
      </c>
      <c r="K863" s="243">
        <f ca="1">OFFSET(card_type!$G$1,MATCH(Q863,card_type!A:A,0)-1,0)</f>
        <v>2</v>
      </c>
      <c r="L863" s="157">
        <v>2</v>
      </c>
      <c r="M863" s="157">
        <v>2</v>
      </c>
      <c r="N863" s="153">
        <f t="shared" si="144"/>
        <v>13</v>
      </c>
      <c r="O863" s="157"/>
      <c r="P863" s="157"/>
      <c r="Q863" s="153">
        <f ca="1">OFFSET(card_type!$A$1,MATCH(card!B863,card_type!B:B,0)-1,0)</f>
        <v>2003</v>
      </c>
      <c r="R863" s="153">
        <v>1</v>
      </c>
      <c r="S863" s="157">
        <f ca="1">ROUND(IF(R863=0,0,IF(R863=1,X863*$S$1,IF(R863=2,X863*$S$1*buff的资质计算!$E$2,IF(R863=3,X863*$S$1*buff的资质计算!$E$3,0)))),0)*0</f>
        <v>0</v>
      </c>
      <c r="T863" s="153">
        <v>4</v>
      </c>
      <c r="U863" s="153">
        <f ca="1" t="shared" si="146"/>
        <v>12</v>
      </c>
      <c r="V863" s="153">
        <f ca="1">ROUND((OFFSET(卡牌辅助配置表!$O$1,MATCH(U863,卡牌辅助配置表!M:M,0)-1,0)+(N863-1)*OFFSET(卡牌辅助配置表!$P$1,MATCH(U863,卡牌辅助配置表!M:M,0)-1,0))*M863,2)</f>
        <v>26.6</v>
      </c>
      <c r="W863" s="157">
        <f ca="1">ROUND(IF(R863=0,0,IF(R863=1,X863*$W$1,IF(R863=2,X863*$W$1*buff的资质计算!$E$2,IF(R863=3,X863*$W$1*buff的资质计算!$E$3,0)))),2)</f>
        <v>8.1</v>
      </c>
      <c r="X863" s="157">
        <f ca="1" t="shared" si="142"/>
        <v>27</v>
      </c>
      <c r="Y863" s="157" t="e">
        <f ca="1" t="shared" si="151"/>
        <v>#VALUE!</v>
      </c>
      <c r="Z863" s="304" t="e">
        <f ca="1" t="shared" si="143"/>
        <v>#VALUE!</v>
      </c>
      <c r="AA863" s="304">
        <f ca="1">OFFSET(卡牌辅助配置表!$AD$1,MATCH(AB863,卡牌辅助配置表!AB:AB,0)-1,0)</f>
        <v>525</v>
      </c>
      <c r="AB863" s="304">
        <f ca="1" t="shared" si="147"/>
        <v>1213</v>
      </c>
      <c r="AC863" s="153">
        <v>3</v>
      </c>
      <c r="AE863" s="153">
        <v>2</v>
      </c>
      <c r="AF863" s="153" t="str">
        <f ca="1" t="shared" si="150"/>
        <v>20030011|</v>
      </c>
      <c r="AJ863" s="205" t="str">
        <f ca="1" t="shared" si="148"/>
        <v>400023|5850|;</v>
      </c>
      <c r="AK863" s="205">
        <f ca="1">OFFSET([1]item_type!$A$1,MATCH(Q863,[1]item_type!$G:$G,0)-1,0)</f>
        <v>302003</v>
      </c>
      <c r="AL863" s="205"/>
      <c r="AM863" s="205">
        <f ca="1">IF(B863=B864,OFFSET(卡牌辅助配置表!$AE$1,MATCH(AB863,卡牌辅助配置表!AB:AB,0),0),0)</f>
        <v>5850</v>
      </c>
      <c r="AN863" s="153">
        <f ca="1" t="shared" si="149"/>
        <v>2003014</v>
      </c>
      <c r="AP863" s="153" t="str">
        <f ca="1">IF(AC863=0,0,IF(AC863=12,0,OFFSET(effect!$N$1,MATCH(K863,effect!M:M,0)-1,0)))</f>
        <v>kpsx_pt</v>
      </c>
    </row>
    <row r="864" spans="1:42">
      <c r="A864" s="153">
        <f ca="1" t="shared" si="145"/>
        <v>2003014</v>
      </c>
      <c r="B864" s="91" t="s">
        <v>379</v>
      </c>
      <c r="C864" s="186">
        <v>2</v>
      </c>
      <c r="D864" s="186">
        <v>1</v>
      </c>
      <c r="E864" s="165" t="s">
        <v>1058</v>
      </c>
      <c r="F864" s="165" t="str">
        <f>"上一招为剑法时，增加"&amp;skill!$O$68/100&amp;"%伤害"</f>
        <v>上一招为剑法时，增加35%伤害</v>
      </c>
      <c r="G864" s="186">
        <f ca="1">OFFSET(卡牌辅助配置表!$C$1,MATCH(AC864,卡牌辅助配置表!A:A,0)-1,0)</f>
        <v>3</v>
      </c>
      <c r="H864" s="186" t="e">
        <f ca="1">OFFSET(skill!$Q$1,MATCH(B864,skill!B:B,0)-1,0)</f>
        <v>#VALUE!</v>
      </c>
      <c r="I864" s="186"/>
      <c r="J864" s="186">
        <f ca="1">OFFSET(card_type!$F$1,MATCH(Q864,card_type!A:A,0)-1,0)</f>
        <v>1</v>
      </c>
      <c r="K864" s="243">
        <f ca="1">OFFSET(card_type!$G$1,MATCH(Q864,card_type!A:A,0)-1,0)</f>
        <v>2</v>
      </c>
      <c r="L864" s="157">
        <v>2</v>
      </c>
      <c r="M864" s="157">
        <v>2</v>
      </c>
      <c r="N864" s="153">
        <f t="shared" si="144"/>
        <v>14</v>
      </c>
      <c r="O864" s="157"/>
      <c r="P864" s="157"/>
      <c r="Q864" s="153">
        <f ca="1">OFFSET(card_type!$A$1,MATCH(card!B864,card_type!B:B,0)-1,0)</f>
        <v>2003</v>
      </c>
      <c r="R864" s="153">
        <v>1</v>
      </c>
      <c r="S864" s="157">
        <f ca="1">ROUND(IF(R864=0,0,IF(R864=1,X864*$S$1,IF(R864=2,X864*$S$1*buff的资质计算!$E$2,IF(R864=3,X864*$S$1*buff的资质计算!$E$3,0)))),0)*0</f>
        <v>0</v>
      </c>
      <c r="T864" s="153">
        <v>4</v>
      </c>
      <c r="U864" s="153">
        <f ca="1" t="shared" si="146"/>
        <v>12</v>
      </c>
      <c r="V864" s="153">
        <f ca="1">ROUND((OFFSET(卡牌辅助配置表!$O$1,MATCH(U864,卡牌辅助配置表!M:M,0)-1,0)+(N864-1)*OFFSET(卡牌辅助配置表!$P$1,MATCH(U864,卡牌辅助配置表!M:M,0)-1,0))*M864,2)</f>
        <v>27.23</v>
      </c>
      <c r="W864" s="157">
        <f ca="1">ROUND(IF(R864=0,0,IF(R864=1,X864*$W$1,IF(R864=2,X864*$W$1*buff的资质计算!$E$2,IF(R864=3,X864*$W$1*buff的资质计算!$E$3,0)))),2)</f>
        <v>8.25</v>
      </c>
      <c r="X864" s="157">
        <f ca="1" t="shared" si="142"/>
        <v>27.5</v>
      </c>
      <c r="Y864" s="157" t="e">
        <f ca="1" t="shared" si="151"/>
        <v>#VALUE!</v>
      </c>
      <c r="Z864" s="304" t="e">
        <f ca="1" t="shared" si="143"/>
        <v>#VALUE!</v>
      </c>
      <c r="AA864" s="304">
        <f ca="1">OFFSET(卡牌辅助配置表!$AD$1,MATCH(AB864,卡牌辅助配置表!AB:AB,0)-1,0)</f>
        <v>580</v>
      </c>
      <c r="AB864" s="304">
        <f ca="1" t="shared" si="147"/>
        <v>1214</v>
      </c>
      <c r="AC864" s="153">
        <v>3</v>
      </c>
      <c r="AE864" s="153">
        <v>2</v>
      </c>
      <c r="AF864" s="153" t="str">
        <f ca="1" t="shared" si="150"/>
        <v>20030011|</v>
      </c>
      <c r="AJ864" s="205" t="str">
        <f ca="1" t="shared" si="148"/>
        <v>400023|6450|;</v>
      </c>
      <c r="AK864" s="205">
        <f ca="1">OFFSET([1]item_type!$A$1,MATCH(Q864,[1]item_type!$G:$G,0)-1,0)</f>
        <v>302003</v>
      </c>
      <c r="AL864" s="205"/>
      <c r="AM864" s="205">
        <f ca="1">IF(B864=B865,OFFSET(卡牌辅助配置表!$AE$1,MATCH(AB864,卡牌辅助配置表!AB:AB,0),0),0)</f>
        <v>6450</v>
      </c>
      <c r="AN864" s="153">
        <f ca="1" t="shared" si="149"/>
        <v>2003015</v>
      </c>
      <c r="AP864" s="153" t="str">
        <f ca="1">IF(AC864=0,0,IF(AC864=12,0,OFFSET(effect!$N$1,MATCH(K864,effect!M:M,0)-1,0)))</f>
        <v>kpsx_pt</v>
      </c>
    </row>
    <row r="865" spans="1:42">
      <c r="A865" s="153">
        <f ca="1" t="shared" si="145"/>
        <v>2003015</v>
      </c>
      <c r="B865" s="91" t="s">
        <v>379</v>
      </c>
      <c r="C865" s="186">
        <v>2</v>
      </c>
      <c r="D865" s="186">
        <v>1</v>
      </c>
      <c r="E865" s="165" t="s">
        <v>1058</v>
      </c>
      <c r="F865" s="165" t="str">
        <f>"上一招为剑法时，增加"&amp;skill!$O$68/100&amp;"%伤害"</f>
        <v>上一招为剑法时，增加35%伤害</v>
      </c>
      <c r="G865" s="186">
        <f ca="1">OFFSET(卡牌辅助配置表!$C$1,MATCH(AC865,卡牌辅助配置表!A:A,0)-1,0)</f>
        <v>3</v>
      </c>
      <c r="H865" s="186" t="e">
        <f ca="1">OFFSET(skill!$Q$1,MATCH(B865,skill!B:B,0)-1,0)</f>
        <v>#VALUE!</v>
      </c>
      <c r="I865" s="186"/>
      <c r="J865" s="186">
        <f ca="1">OFFSET(card_type!$F$1,MATCH(Q865,card_type!A:A,0)-1,0)</f>
        <v>1</v>
      </c>
      <c r="K865" s="243">
        <f ca="1">OFFSET(card_type!$G$1,MATCH(Q865,card_type!A:A,0)-1,0)</f>
        <v>2</v>
      </c>
      <c r="L865" s="157">
        <v>2</v>
      </c>
      <c r="M865" s="157">
        <v>2</v>
      </c>
      <c r="N865" s="153">
        <f t="shared" si="144"/>
        <v>15</v>
      </c>
      <c r="O865" s="157"/>
      <c r="P865" s="157"/>
      <c r="Q865" s="153">
        <f ca="1">OFFSET(card_type!$A$1,MATCH(card!B865,card_type!B:B,0)-1,0)</f>
        <v>2003</v>
      </c>
      <c r="R865" s="153">
        <v>1</v>
      </c>
      <c r="S865" s="157">
        <f ca="1">ROUND(IF(R865=0,0,IF(R865=1,X865*$S$1,IF(R865=2,X865*$S$1*buff的资质计算!$E$2,IF(R865=3,X865*$S$1*buff的资质计算!$E$3,0)))),0)*0</f>
        <v>0</v>
      </c>
      <c r="T865" s="153">
        <v>4</v>
      </c>
      <c r="U865" s="153">
        <f ca="1" t="shared" si="146"/>
        <v>12</v>
      </c>
      <c r="V865" s="153">
        <f ca="1">ROUND((OFFSET(卡牌辅助配置表!$O$1,MATCH(U865,卡牌辅助配置表!M:M,0)-1,0)+(N865-1)*OFFSET(卡牌辅助配置表!$P$1,MATCH(U865,卡牌辅助配置表!M:M,0)-1,0))*M865,2)</f>
        <v>27.87</v>
      </c>
      <c r="W865" s="157">
        <f ca="1">ROUND(IF(R865=0,0,IF(R865=1,X865*$W$1,IF(R865=2,X865*$W$1*buff的资质计算!$E$2,IF(R865=3,X865*$W$1*buff的资质计算!$E$3,0)))),2)</f>
        <v>8.4</v>
      </c>
      <c r="X865" s="157">
        <f ca="1" t="shared" si="142"/>
        <v>28</v>
      </c>
      <c r="Y865" s="157" t="e">
        <f ca="1" t="shared" si="151"/>
        <v>#VALUE!</v>
      </c>
      <c r="Z865" s="304" t="e">
        <f ca="1" t="shared" si="143"/>
        <v>#VALUE!</v>
      </c>
      <c r="AA865" s="304">
        <f ca="1">OFFSET(卡牌辅助配置表!$AD$1,MATCH(AB865,卡牌辅助配置表!AB:AB,0)-1,0)</f>
        <v>635</v>
      </c>
      <c r="AB865" s="304">
        <f ca="1" t="shared" si="147"/>
        <v>1215</v>
      </c>
      <c r="AC865" s="153">
        <v>3</v>
      </c>
      <c r="AE865" s="153">
        <v>2</v>
      </c>
      <c r="AF865" s="153" t="str">
        <f ca="1" t="shared" si="150"/>
        <v>20030011|</v>
      </c>
      <c r="AJ865" s="205" t="str">
        <f ca="1" t="shared" si="148"/>
        <v>400023|7050|;</v>
      </c>
      <c r="AK865" s="205">
        <f ca="1">OFFSET([1]item_type!$A$1,MATCH(Q865,[1]item_type!$G:$G,0)-1,0)</f>
        <v>302003</v>
      </c>
      <c r="AL865" s="205"/>
      <c r="AM865" s="205">
        <f ca="1">IF(B865=B866,OFFSET(卡牌辅助配置表!$AE$1,MATCH(AB865,卡牌辅助配置表!AB:AB,0),0),0)</f>
        <v>7050</v>
      </c>
      <c r="AN865" s="153">
        <f ca="1" t="shared" si="149"/>
        <v>2003016</v>
      </c>
      <c r="AP865" s="153" t="str">
        <f ca="1">IF(AC865=0,0,IF(AC865=12,0,OFFSET(effect!$N$1,MATCH(K865,effect!M:M,0)-1,0)))</f>
        <v>kpsx_pt</v>
      </c>
    </row>
    <row r="866" spans="1:42">
      <c r="A866" s="153">
        <f ca="1" t="shared" si="145"/>
        <v>2003016</v>
      </c>
      <c r="B866" s="91" t="s">
        <v>379</v>
      </c>
      <c r="C866" s="186">
        <v>2</v>
      </c>
      <c r="D866" s="186">
        <v>1</v>
      </c>
      <c r="E866" s="165" t="s">
        <v>1058</v>
      </c>
      <c r="F866" s="165" t="str">
        <f>"上一招为剑法时，增加"&amp;skill!$O$68/100&amp;"%伤害"</f>
        <v>上一招为剑法时，增加35%伤害</v>
      </c>
      <c r="G866" s="186">
        <f ca="1">OFFSET(卡牌辅助配置表!$C$1,MATCH(AC866,卡牌辅助配置表!A:A,0)-1,0)</f>
        <v>3</v>
      </c>
      <c r="H866" s="186" t="e">
        <f ca="1">OFFSET(skill!$Q$1,MATCH(B866,skill!B:B,0)-1,0)</f>
        <v>#VALUE!</v>
      </c>
      <c r="I866" s="186"/>
      <c r="J866" s="186">
        <f ca="1">OFFSET(card_type!$F$1,MATCH(Q866,card_type!A:A,0)-1,0)</f>
        <v>1</v>
      </c>
      <c r="K866" s="243">
        <f ca="1">OFFSET(card_type!$G$1,MATCH(Q866,card_type!A:A,0)-1,0)</f>
        <v>2</v>
      </c>
      <c r="L866" s="157">
        <v>2</v>
      </c>
      <c r="M866" s="157">
        <v>2</v>
      </c>
      <c r="N866" s="153">
        <f t="shared" si="144"/>
        <v>16</v>
      </c>
      <c r="O866" s="157"/>
      <c r="P866" s="157"/>
      <c r="Q866" s="153">
        <f ca="1">OFFSET(card_type!$A$1,MATCH(card!B866,card_type!B:B,0)-1,0)</f>
        <v>2003</v>
      </c>
      <c r="R866" s="153">
        <v>1</v>
      </c>
      <c r="S866" s="157">
        <f ca="1">ROUND(IF(R866=0,0,IF(R866=1,X866*$S$1,IF(R866=2,X866*$S$1*buff的资质计算!$E$2,IF(R866=3,X866*$S$1*buff的资质计算!$E$3,0)))),0)*0</f>
        <v>0</v>
      </c>
      <c r="T866" s="153">
        <v>4</v>
      </c>
      <c r="U866" s="153">
        <f ca="1" t="shared" si="146"/>
        <v>12</v>
      </c>
      <c r="V866" s="153">
        <f ca="1">ROUND((OFFSET(卡牌辅助配置表!$O$1,MATCH(U866,卡牌辅助配置表!M:M,0)-1,0)+(N866-1)*OFFSET(卡牌辅助配置表!$P$1,MATCH(U866,卡牌辅助配置表!M:M,0)-1,0))*M866,2)</f>
        <v>28.5</v>
      </c>
      <c r="W866" s="157">
        <f ca="1">ROUND(IF(R866=0,0,IF(R866=1,X866*$W$1,IF(R866=2,X866*$W$1*buff的资质计算!$E$2,IF(R866=3,X866*$W$1*buff的资质计算!$E$3,0)))),2)</f>
        <v>8.55</v>
      </c>
      <c r="X866" s="157">
        <f ca="1" t="shared" si="142"/>
        <v>28.5</v>
      </c>
      <c r="Y866" s="157" t="e">
        <f ca="1" t="shared" si="151"/>
        <v>#VALUE!</v>
      </c>
      <c r="Z866" s="304" t="e">
        <f ca="1" t="shared" si="143"/>
        <v>#VALUE!</v>
      </c>
      <c r="AA866" s="304">
        <f ca="1">OFFSET(卡牌辅助配置表!$AD$1,MATCH(AB866,卡牌辅助配置表!AB:AB,0)-1,0)</f>
        <v>690</v>
      </c>
      <c r="AB866" s="304">
        <f ca="1" t="shared" si="147"/>
        <v>1216</v>
      </c>
      <c r="AC866" s="153">
        <v>3</v>
      </c>
      <c r="AE866" s="153">
        <v>2</v>
      </c>
      <c r="AF866" s="153" t="str">
        <f ca="1" t="shared" si="150"/>
        <v>20030011|</v>
      </c>
      <c r="AJ866" s="205" t="str">
        <f ca="1" t="shared" si="148"/>
        <v>400023|7650|;</v>
      </c>
      <c r="AK866" s="205">
        <f ca="1">OFFSET([1]item_type!$A$1,MATCH(Q866,[1]item_type!$G:$G,0)-1,0)</f>
        <v>302003</v>
      </c>
      <c r="AL866" s="205"/>
      <c r="AM866" s="205">
        <f ca="1">IF(B866=B867,OFFSET(卡牌辅助配置表!$AE$1,MATCH(AB866,卡牌辅助配置表!AB:AB,0),0),0)</f>
        <v>7650</v>
      </c>
      <c r="AN866" s="153">
        <f ca="1" t="shared" si="149"/>
        <v>2003017</v>
      </c>
      <c r="AP866" s="153" t="str">
        <f ca="1">IF(AC866=0,0,IF(AC866=12,0,OFFSET(effect!$N$1,MATCH(K866,effect!M:M,0)-1,0)))</f>
        <v>kpsx_pt</v>
      </c>
    </row>
    <row r="867" spans="1:42">
      <c r="A867" s="153">
        <f ca="1" t="shared" si="145"/>
        <v>2003017</v>
      </c>
      <c r="B867" s="91" t="s">
        <v>379</v>
      </c>
      <c r="C867" s="186">
        <v>2</v>
      </c>
      <c r="D867" s="186">
        <v>1</v>
      </c>
      <c r="E867" s="165" t="s">
        <v>1058</v>
      </c>
      <c r="F867" s="165" t="str">
        <f>"上一招为剑法时，增加"&amp;skill!$O$68/100&amp;"%伤害"</f>
        <v>上一招为剑法时，增加35%伤害</v>
      </c>
      <c r="G867" s="186">
        <f ca="1">OFFSET(卡牌辅助配置表!$C$1,MATCH(AC867,卡牌辅助配置表!A:A,0)-1,0)</f>
        <v>3</v>
      </c>
      <c r="H867" s="186" t="e">
        <f ca="1">OFFSET(skill!$Q$1,MATCH(B867,skill!B:B,0)-1,0)</f>
        <v>#VALUE!</v>
      </c>
      <c r="I867" s="186"/>
      <c r="J867" s="186">
        <f ca="1">OFFSET(card_type!$F$1,MATCH(Q867,card_type!A:A,0)-1,0)</f>
        <v>1</v>
      </c>
      <c r="K867" s="243">
        <f ca="1">OFFSET(card_type!$G$1,MATCH(Q867,card_type!A:A,0)-1,0)</f>
        <v>2</v>
      </c>
      <c r="L867" s="157">
        <v>2</v>
      </c>
      <c r="M867" s="157">
        <v>2</v>
      </c>
      <c r="N867" s="153">
        <f t="shared" si="144"/>
        <v>17</v>
      </c>
      <c r="O867" s="157"/>
      <c r="P867" s="157"/>
      <c r="Q867" s="153">
        <f ca="1">OFFSET(card_type!$A$1,MATCH(card!B867,card_type!B:B,0)-1,0)</f>
        <v>2003</v>
      </c>
      <c r="R867" s="153">
        <v>1</v>
      </c>
      <c r="S867" s="157">
        <f ca="1">ROUND(IF(R867=0,0,IF(R867=1,X867*$S$1,IF(R867=2,X867*$S$1*buff的资质计算!$E$2,IF(R867=3,X867*$S$1*buff的资质计算!$E$3,0)))),0)*0</f>
        <v>0</v>
      </c>
      <c r="T867" s="153">
        <v>4</v>
      </c>
      <c r="U867" s="153">
        <f ca="1" t="shared" si="146"/>
        <v>12</v>
      </c>
      <c r="V867" s="153">
        <f ca="1">ROUND((OFFSET(卡牌辅助配置表!$O$1,MATCH(U867,卡牌辅助配置表!M:M,0)-1,0)+(N867-1)*OFFSET(卡牌辅助配置表!$P$1,MATCH(U867,卡牌辅助配置表!M:M,0)-1,0))*M867,2)</f>
        <v>29.13</v>
      </c>
      <c r="W867" s="157">
        <f ca="1">ROUND(IF(R867=0,0,IF(R867=1,X867*$W$1,IF(R867=2,X867*$W$1*buff的资质计算!$E$2,IF(R867=3,X867*$W$1*buff的资质计算!$E$3,0)))),2)</f>
        <v>8.7</v>
      </c>
      <c r="X867" s="157">
        <f ca="1" t="shared" si="142"/>
        <v>29</v>
      </c>
      <c r="Y867" s="157" t="e">
        <f ca="1" t="shared" si="151"/>
        <v>#VALUE!</v>
      </c>
      <c r="Z867" s="304" t="e">
        <f ca="1" t="shared" si="143"/>
        <v>#VALUE!</v>
      </c>
      <c r="AA867" s="304">
        <f ca="1">OFFSET(卡牌辅助配置表!$AD$1,MATCH(AB867,卡牌辅助配置表!AB:AB,0)-1,0)</f>
        <v>745</v>
      </c>
      <c r="AB867" s="304">
        <f ca="1" t="shared" si="147"/>
        <v>1217</v>
      </c>
      <c r="AC867" s="153">
        <v>3</v>
      </c>
      <c r="AE867" s="153">
        <v>2</v>
      </c>
      <c r="AF867" s="153" t="str">
        <f ca="1" t="shared" si="150"/>
        <v>20030011|</v>
      </c>
      <c r="AJ867" s="205" t="str">
        <f ca="1" t="shared" si="148"/>
        <v>400023|8250|;</v>
      </c>
      <c r="AK867" s="205">
        <f ca="1">OFFSET([1]item_type!$A$1,MATCH(Q867,[1]item_type!$G:$G,0)-1,0)</f>
        <v>302003</v>
      </c>
      <c r="AL867" s="205"/>
      <c r="AM867" s="205">
        <f ca="1">IF(B867=B868,OFFSET(卡牌辅助配置表!$AE$1,MATCH(AB867,卡牌辅助配置表!AB:AB,0),0),0)</f>
        <v>8250</v>
      </c>
      <c r="AN867" s="153">
        <f ca="1" t="shared" si="149"/>
        <v>2003018</v>
      </c>
      <c r="AP867" s="153" t="str">
        <f ca="1">IF(AC867=0,0,IF(AC867=12,0,OFFSET(effect!$N$1,MATCH(K867,effect!M:M,0)-1,0)))</f>
        <v>kpsx_pt</v>
      </c>
    </row>
    <row r="868" spans="1:42">
      <c r="A868" s="153">
        <f ca="1" t="shared" si="145"/>
        <v>2003018</v>
      </c>
      <c r="B868" s="91" t="s">
        <v>379</v>
      </c>
      <c r="C868" s="186">
        <v>2</v>
      </c>
      <c r="D868" s="186">
        <v>1</v>
      </c>
      <c r="E868" s="165" t="s">
        <v>1058</v>
      </c>
      <c r="F868" s="165" t="str">
        <f>"上一招为剑法时，增加"&amp;skill!$O$68/100&amp;"%伤害"</f>
        <v>上一招为剑法时，增加35%伤害</v>
      </c>
      <c r="G868" s="186">
        <f ca="1">OFFSET(卡牌辅助配置表!$C$1,MATCH(AC868,卡牌辅助配置表!A:A,0)-1,0)</f>
        <v>3</v>
      </c>
      <c r="H868" s="186" t="e">
        <f ca="1">OFFSET(skill!$Q$1,MATCH(B868,skill!B:B,0)-1,0)</f>
        <v>#VALUE!</v>
      </c>
      <c r="I868" s="186"/>
      <c r="J868" s="186">
        <f ca="1">OFFSET(card_type!$F$1,MATCH(Q868,card_type!A:A,0)-1,0)</f>
        <v>1</v>
      </c>
      <c r="K868" s="243">
        <f ca="1">OFFSET(card_type!$G$1,MATCH(Q868,card_type!A:A,0)-1,0)</f>
        <v>2</v>
      </c>
      <c r="L868" s="157">
        <v>2</v>
      </c>
      <c r="M868" s="157">
        <v>2</v>
      </c>
      <c r="N868" s="153">
        <f t="shared" si="144"/>
        <v>18</v>
      </c>
      <c r="O868" s="157"/>
      <c r="P868" s="157"/>
      <c r="Q868" s="153">
        <f ca="1">OFFSET(card_type!$A$1,MATCH(card!B868,card_type!B:B,0)-1,0)</f>
        <v>2003</v>
      </c>
      <c r="R868" s="153">
        <v>1</v>
      </c>
      <c r="S868" s="157">
        <f ca="1">ROUND(IF(R868=0,0,IF(R868=1,X868*$S$1,IF(R868=2,X868*$S$1*buff的资质计算!$E$2,IF(R868=3,X868*$S$1*buff的资质计算!$E$3,0)))),0)*0</f>
        <v>0</v>
      </c>
      <c r="T868" s="153">
        <v>4</v>
      </c>
      <c r="U868" s="153">
        <f ca="1" t="shared" si="146"/>
        <v>12</v>
      </c>
      <c r="V868" s="153">
        <f ca="1">ROUND((OFFSET(卡牌辅助配置表!$O$1,MATCH(U868,卡牌辅助配置表!M:M,0)-1,0)+(N868-1)*OFFSET(卡牌辅助配置表!$P$1,MATCH(U868,卡牌辅助配置表!M:M,0)-1,0))*M868,2)</f>
        <v>29.77</v>
      </c>
      <c r="W868" s="157">
        <f ca="1">ROUND(IF(R868=0,0,IF(R868=1,X868*$W$1,IF(R868=2,X868*$W$1*buff的资质计算!$E$2,IF(R868=3,X868*$W$1*buff的资质计算!$E$3,0)))),2)</f>
        <v>8.85</v>
      </c>
      <c r="X868" s="157">
        <f ca="1" t="shared" si="142"/>
        <v>29.5</v>
      </c>
      <c r="Y868" s="157" t="e">
        <f ca="1" t="shared" si="151"/>
        <v>#VALUE!</v>
      </c>
      <c r="Z868" s="304" t="e">
        <f ca="1" t="shared" si="143"/>
        <v>#VALUE!</v>
      </c>
      <c r="AA868" s="304">
        <f ca="1">OFFSET(卡牌辅助配置表!$AD$1,MATCH(AB868,卡牌辅助配置表!AB:AB,0)-1,0)</f>
        <v>800</v>
      </c>
      <c r="AB868" s="304">
        <f ca="1" t="shared" si="147"/>
        <v>1218</v>
      </c>
      <c r="AC868" s="153">
        <v>3</v>
      </c>
      <c r="AE868" s="153">
        <v>2</v>
      </c>
      <c r="AF868" s="153" t="str">
        <f ca="1" t="shared" si="150"/>
        <v>20030011|</v>
      </c>
      <c r="AJ868" s="205" t="str">
        <f ca="1" t="shared" si="148"/>
        <v>400023|8850|;</v>
      </c>
      <c r="AK868" s="205">
        <f ca="1">OFFSET([1]item_type!$A$1,MATCH(Q868,[1]item_type!$G:$G,0)-1,0)</f>
        <v>302003</v>
      </c>
      <c r="AL868" s="205"/>
      <c r="AM868" s="205">
        <f ca="1">IF(B868=B869,OFFSET(卡牌辅助配置表!$AE$1,MATCH(AB868,卡牌辅助配置表!AB:AB,0),0),0)</f>
        <v>8850</v>
      </c>
      <c r="AN868" s="153">
        <f ca="1" t="shared" si="149"/>
        <v>2003019</v>
      </c>
      <c r="AP868" s="153" t="str">
        <f ca="1">IF(AC868=0,0,IF(AC868=12,0,OFFSET(effect!$N$1,MATCH(K868,effect!M:M,0)-1,0)))</f>
        <v>kpsx_pt</v>
      </c>
    </row>
    <row r="869" spans="1:42">
      <c r="A869" s="153">
        <f ca="1" t="shared" si="145"/>
        <v>2003019</v>
      </c>
      <c r="B869" s="91" t="s">
        <v>379</v>
      </c>
      <c r="C869" s="186">
        <v>2</v>
      </c>
      <c r="D869" s="186">
        <v>1</v>
      </c>
      <c r="E869" s="165" t="s">
        <v>1058</v>
      </c>
      <c r="F869" s="165" t="str">
        <f>"上一招为剑法时，增加"&amp;skill!$O$68/100&amp;"%伤害"</f>
        <v>上一招为剑法时，增加35%伤害</v>
      </c>
      <c r="G869" s="186">
        <f ca="1">OFFSET(卡牌辅助配置表!$C$1,MATCH(AC869,卡牌辅助配置表!A:A,0)-1,0)</f>
        <v>3</v>
      </c>
      <c r="H869" s="186" t="e">
        <f ca="1">OFFSET(skill!$Q$1,MATCH(B869,skill!B:B,0)-1,0)</f>
        <v>#VALUE!</v>
      </c>
      <c r="I869" s="186"/>
      <c r="J869" s="186">
        <f ca="1">OFFSET(card_type!$F$1,MATCH(Q869,card_type!A:A,0)-1,0)</f>
        <v>1</v>
      </c>
      <c r="K869" s="243">
        <f ca="1">OFFSET(card_type!$G$1,MATCH(Q869,card_type!A:A,0)-1,0)</f>
        <v>2</v>
      </c>
      <c r="L869" s="157">
        <v>2</v>
      </c>
      <c r="M869" s="157">
        <v>2</v>
      </c>
      <c r="N869" s="153">
        <f t="shared" si="144"/>
        <v>19</v>
      </c>
      <c r="O869" s="157"/>
      <c r="P869" s="157"/>
      <c r="Q869" s="153">
        <f ca="1">OFFSET(card_type!$A$1,MATCH(card!B869,card_type!B:B,0)-1,0)</f>
        <v>2003</v>
      </c>
      <c r="R869" s="153">
        <v>1</v>
      </c>
      <c r="S869" s="157">
        <f ca="1">ROUND(IF(R869=0,0,IF(R869=1,X869*$S$1,IF(R869=2,X869*$S$1*buff的资质计算!$E$2,IF(R869=3,X869*$S$1*buff的资质计算!$E$3,0)))),0)*0</f>
        <v>0</v>
      </c>
      <c r="T869" s="153">
        <v>4</v>
      </c>
      <c r="U869" s="153">
        <f ca="1" t="shared" si="146"/>
        <v>12</v>
      </c>
      <c r="V869" s="153">
        <f ca="1">ROUND((OFFSET(卡牌辅助配置表!$O$1,MATCH(U869,卡牌辅助配置表!M:M,0)-1,0)+(N869-1)*OFFSET(卡牌辅助配置表!$P$1,MATCH(U869,卡牌辅助配置表!M:M,0)-1,0))*M869,2)</f>
        <v>30.4</v>
      </c>
      <c r="W869" s="157">
        <f ca="1">ROUND(IF(R869=0,0,IF(R869=1,X869*$W$1,IF(R869=2,X869*$W$1*buff的资质计算!$E$2,IF(R869=3,X869*$W$1*buff的资质计算!$E$3,0)))),2)</f>
        <v>9</v>
      </c>
      <c r="X869" s="157">
        <f ca="1" t="shared" si="142"/>
        <v>30</v>
      </c>
      <c r="Y869" s="157" t="e">
        <f ca="1" t="shared" si="151"/>
        <v>#VALUE!</v>
      </c>
      <c r="Z869" s="304" t="e">
        <f ca="1" t="shared" si="143"/>
        <v>#VALUE!</v>
      </c>
      <c r="AA869" s="304">
        <f ca="1">OFFSET(卡牌辅助配置表!$AD$1,MATCH(AB869,卡牌辅助配置表!AB:AB,0)-1,0)</f>
        <v>855</v>
      </c>
      <c r="AB869" s="304">
        <f ca="1" t="shared" si="147"/>
        <v>1219</v>
      </c>
      <c r="AC869" s="153">
        <v>3</v>
      </c>
      <c r="AE869" s="153">
        <v>2</v>
      </c>
      <c r="AF869" s="153" t="str">
        <f ca="1" t="shared" si="150"/>
        <v>20030011|</v>
      </c>
      <c r="AJ869" s="205" t="str">
        <f ca="1" t="shared" si="148"/>
        <v>302003|20|;400023|9450|;</v>
      </c>
      <c r="AK869" s="205">
        <f ca="1">OFFSET([1]item_type!$A$1,MATCH(Q869,[1]item_type!$G:$G,0)-1,0)</f>
        <v>302003</v>
      </c>
      <c r="AL869" s="205">
        <v>20</v>
      </c>
      <c r="AM869" s="205">
        <f ca="1">IF(B869=B870,OFFSET(卡牌辅助配置表!$AE$1,MATCH(AB869,卡牌辅助配置表!AB:AB,0),0),0)</f>
        <v>9450</v>
      </c>
      <c r="AN869" s="153">
        <f ca="1" t="shared" si="149"/>
        <v>2003020</v>
      </c>
      <c r="AP869" s="153" t="str">
        <f ca="1">IF(AC869=0,0,IF(AC869=12,0,OFFSET(effect!$N$1,MATCH(K869,effect!M:M,0)-1,0)))</f>
        <v>kpsx_pt</v>
      </c>
    </row>
    <row r="870" spans="1:42">
      <c r="A870" s="153">
        <f ca="1" t="shared" si="145"/>
        <v>2003020</v>
      </c>
      <c r="B870" s="91" t="s">
        <v>379</v>
      </c>
      <c r="C870" s="186">
        <v>2</v>
      </c>
      <c r="D870" s="186">
        <v>1</v>
      </c>
      <c r="E870" s="165" t="s">
        <v>1058</v>
      </c>
      <c r="F870" s="165" t="str">
        <f>"上一招为剑法时，增加"&amp;skill!$O$68/100&amp;"%伤害"</f>
        <v>上一招为剑法时，增加35%伤害</v>
      </c>
      <c r="G870" s="186">
        <f ca="1">OFFSET(卡牌辅助配置表!$C$1,MATCH(AC870,卡牌辅助配置表!A:A,0)-1,0)</f>
        <v>3</v>
      </c>
      <c r="H870" s="186" t="e">
        <f ca="1">OFFSET(skill!$Q$1,MATCH(B870,skill!B:B,0)-1,0)</f>
        <v>#VALUE!</v>
      </c>
      <c r="I870" s="186"/>
      <c r="J870" s="186">
        <f ca="1">OFFSET(card_type!$F$1,MATCH(Q870,card_type!A:A,0)-1,0)</f>
        <v>1</v>
      </c>
      <c r="K870" s="243">
        <f ca="1">OFFSET(card_type!$G$1,MATCH(Q870,card_type!A:A,0)-1,0)</f>
        <v>2</v>
      </c>
      <c r="L870" s="157">
        <v>2</v>
      </c>
      <c r="M870" s="157">
        <v>2</v>
      </c>
      <c r="N870" s="153">
        <f t="shared" si="144"/>
        <v>20</v>
      </c>
      <c r="O870" s="157"/>
      <c r="P870" s="157"/>
      <c r="Q870" s="153">
        <f ca="1">OFFSET(card_type!$A$1,MATCH(card!B870,card_type!B:B,0)-1,0)</f>
        <v>2003</v>
      </c>
      <c r="R870" s="153">
        <v>1</v>
      </c>
      <c r="S870" s="157">
        <f ca="1">ROUND(IF(R870=0,0,IF(R870=1,X870*$S$1,IF(R870=2,X870*$S$1*buff的资质计算!$E$2,IF(R870=3,X870*$S$1*buff的资质计算!$E$3,0)))),0)*0</f>
        <v>0</v>
      </c>
      <c r="T870" s="153">
        <v>4</v>
      </c>
      <c r="U870" s="153">
        <f ca="1" t="shared" si="146"/>
        <v>12</v>
      </c>
      <c r="V870" s="153">
        <f ca="1">ROUND((OFFSET(卡牌辅助配置表!$O$1,MATCH(U870,卡牌辅助配置表!M:M,0)-1,0)+(N870-1)*OFFSET(卡牌辅助配置表!$P$1,MATCH(U870,卡牌辅助配置表!M:M,0)-1,0))*M870,2)</f>
        <v>31.03</v>
      </c>
      <c r="W870" s="157">
        <f ca="1">ROUND(IF(R870=0,0,IF(R870=1,X870*$W$1,IF(R870=2,X870*$W$1*buff的资质计算!$E$2,IF(R870=3,X870*$W$1*buff的资质计算!$E$3,0)))),2)</f>
        <v>9.15</v>
      </c>
      <c r="X870" s="157">
        <f ca="1" t="shared" si="142"/>
        <v>30.5</v>
      </c>
      <c r="Y870" s="157" t="e">
        <f ca="1" t="shared" si="151"/>
        <v>#VALUE!</v>
      </c>
      <c r="Z870" s="304" t="e">
        <f ca="1" t="shared" si="143"/>
        <v>#VALUE!</v>
      </c>
      <c r="AA870" s="304">
        <f ca="1">OFFSET(卡牌辅助配置表!$AD$1,MATCH(AB870,卡牌辅助配置表!AB:AB,0)-1,0)</f>
        <v>910</v>
      </c>
      <c r="AB870" s="304">
        <f ca="1" t="shared" si="147"/>
        <v>1220</v>
      </c>
      <c r="AC870" s="153">
        <v>3</v>
      </c>
      <c r="AE870" s="153">
        <v>2</v>
      </c>
      <c r="AF870" s="153" t="str">
        <f ca="1" t="shared" si="150"/>
        <v>20030011|</v>
      </c>
      <c r="AJ870" s="205" t="str">
        <f ca="1" t="shared" si="148"/>
        <v>400023|10650|;</v>
      </c>
      <c r="AK870" s="205">
        <f ca="1">OFFSET([1]item_type!$A$1,MATCH(Q870,[1]item_type!$G:$G,0)-1,0)</f>
        <v>302003</v>
      </c>
      <c r="AL870" s="205"/>
      <c r="AM870" s="205">
        <f ca="1">IF(B870=B871,OFFSET(卡牌辅助配置表!$AE$1,MATCH(AB870,卡牌辅助配置表!AB:AB,0),0),0)</f>
        <v>10650</v>
      </c>
      <c r="AN870" s="153">
        <f ca="1" t="shared" si="149"/>
        <v>2003021</v>
      </c>
      <c r="AP870" s="153" t="str">
        <f ca="1">IF(AC870=0,0,IF(AC870=12,0,OFFSET(effect!$N$1,MATCH(K870,effect!M:M,0)-1,0)))</f>
        <v>kpsx_pt</v>
      </c>
    </row>
    <row r="871" spans="1:42">
      <c r="A871" s="153">
        <f ca="1" t="shared" si="145"/>
        <v>2003021</v>
      </c>
      <c r="B871" s="91" t="s">
        <v>379</v>
      </c>
      <c r="C871" s="186">
        <v>2</v>
      </c>
      <c r="D871" s="186">
        <v>1</v>
      </c>
      <c r="E871" s="165" t="s">
        <v>1058</v>
      </c>
      <c r="F871" s="165" t="str">
        <f>"上一招为剑法时，增加"&amp;skill!$O$68/100&amp;"%伤害"</f>
        <v>上一招为剑法时，增加35%伤害</v>
      </c>
      <c r="G871" s="186">
        <f ca="1">OFFSET(卡牌辅助配置表!$C$1,MATCH(AC871,卡牌辅助配置表!A:A,0)-1,0)</f>
        <v>3</v>
      </c>
      <c r="H871" s="186" t="e">
        <f ca="1">OFFSET(skill!$Q$1,MATCH(B871,skill!B:B,0)-1,0)</f>
        <v>#VALUE!</v>
      </c>
      <c r="I871" s="186"/>
      <c r="J871" s="186">
        <f ca="1">OFFSET(card_type!$F$1,MATCH(Q871,card_type!A:A,0)-1,0)</f>
        <v>1</v>
      </c>
      <c r="K871" s="243">
        <f ca="1">OFFSET(card_type!$G$1,MATCH(Q871,card_type!A:A,0)-1,0)</f>
        <v>2</v>
      </c>
      <c r="L871" s="157">
        <v>2</v>
      </c>
      <c r="M871" s="157">
        <v>2</v>
      </c>
      <c r="N871" s="153">
        <f t="shared" si="144"/>
        <v>21</v>
      </c>
      <c r="O871" s="157"/>
      <c r="P871" s="157"/>
      <c r="Q871" s="153">
        <f ca="1">OFFSET(card_type!$A$1,MATCH(card!B871,card_type!B:B,0)-1,0)</f>
        <v>2003</v>
      </c>
      <c r="R871" s="153">
        <v>1</v>
      </c>
      <c r="S871" s="157">
        <f ca="1">ROUND(IF(R871=0,0,IF(R871=1,X871*$S$1,IF(R871=2,X871*$S$1*buff的资质计算!$E$2,IF(R871=3,X871*$S$1*buff的资质计算!$E$3,0)))),0)*0</f>
        <v>0</v>
      </c>
      <c r="T871" s="153">
        <v>4</v>
      </c>
      <c r="U871" s="153">
        <f ca="1" t="shared" si="146"/>
        <v>12</v>
      </c>
      <c r="V871" s="153">
        <f ca="1">ROUND((OFFSET(卡牌辅助配置表!$O$1,MATCH(U871,卡牌辅助配置表!M:M,0)-1,0)+(N871-1)*OFFSET(卡牌辅助配置表!$P$1,MATCH(U871,卡牌辅助配置表!M:M,0)-1,0))*M871,2)</f>
        <v>31.67</v>
      </c>
      <c r="W871" s="157">
        <f ca="1">ROUND(IF(R871=0,0,IF(R871=1,X871*$W$1,IF(R871=2,X871*$W$1*buff的资质计算!$E$2,IF(R871=3,X871*$W$1*buff的资质计算!$E$3,0)))),2)</f>
        <v>9.3</v>
      </c>
      <c r="X871" s="157">
        <f ca="1" t="shared" si="142"/>
        <v>31</v>
      </c>
      <c r="Y871" s="157" t="e">
        <f ca="1" t="shared" si="151"/>
        <v>#VALUE!</v>
      </c>
      <c r="Z871" s="304" t="e">
        <f ca="1" t="shared" si="143"/>
        <v>#VALUE!</v>
      </c>
      <c r="AA871" s="304">
        <f ca="1">OFFSET(卡牌辅助配置表!$AD$1,MATCH(AB871,卡牌辅助配置表!AB:AB,0)-1,0)</f>
        <v>983</v>
      </c>
      <c r="AB871" s="304">
        <f ca="1" t="shared" si="147"/>
        <v>1221</v>
      </c>
      <c r="AC871" s="153">
        <v>3</v>
      </c>
      <c r="AE871" s="153">
        <v>2</v>
      </c>
      <c r="AF871" s="153" t="str">
        <f ca="1" t="shared" si="150"/>
        <v>20030011|</v>
      </c>
      <c r="AJ871" s="205" t="str">
        <f ca="1" t="shared" si="148"/>
        <v>400023|11850|;</v>
      </c>
      <c r="AK871" s="205">
        <f ca="1">OFFSET([1]item_type!$A$1,MATCH(Q871,[1]item_type!$G:$G,0)-1,0)</f>
        <v>302003</v>
      </c>
      <c r="AL871" s="205"/>
      <c r="AM871" s="205">
        <f ca="1">IF(B871=B872,OFFSET(卡牌辅助配置表!$AE$1,MATCH(AB871,卡牌辅助配置表!AB:AB,0),0),0)</f>
        <v>11850</v>
      </c>
      <c r="AN871" s="153">
        <f ca="1" t="shared" si="149"/>
        <v>2003022</v>
      </c>
      <c r="AP871" s="153" t="str">
        <f ca="1">IF(AC871=0,0,IF(AC871=12,0,OFFSET(effect!$N$1,MATCH(K871,effect!M:M,0)-1,0)))</f>
        <v>kpsx_pt</v>
      </c>
    </row>
    <row r="872" spans="1:42">
      <c r="A872" s="153">
        <f ca="1" t="shared" si="145"/>
        <v>2003022</v>
      </c>
      <c r="B872" s="91" t="s">
        <v>379</v>
      </c>
      <c r="C872" s="186">
        <v>2</v>
      </c>
      <c r="D872" s="186">
        <v>1</v>
      </c>
      <c r="E872" s="165" t="s">
        <v>1058</v>
      </c>
      <c r="F872" s="165" t="str">
        <f>"上一招为剑法时，增加"&amp;skill!$O$68/100&amp;"%伤害"</f>
        <v>上一招为剑法时，增加35%伤害</v>
      </c>
      <c r="G872" s="186">
        <f ca="1">OFFSET(卡牌辅助配置表!$C$1,MATCH(AC872,卡牌辅助配置表!A:A,0)-1,0)</f>
        <v>3</v>
      </c>
      <c r="H872" s="186" t="e">
        <f ca="1">OFFSET(skill!$Q$1,MATCH(B872,skill!B:B,0)-1,0)</f>
        <v>#VALUE!</v>
      </c>
      <c r="I872" s="186"/>
      <c r="J872" s="186">
        <f ca="1">OFFSET(card_type!$F$1,MATCH(Q872,card_type!A:A,0)-1,0)</f>
        <v>1</v>
      </c>
      <c r="K872" s="243">
        <f ca="1">OFFSET(card_type!$G$1,MATCH(Q872,card_type!A:A,0)-1,0)</f>
        <v>2</v>
      </c>
      <c r="L872" s="157">
        <v>2</v>
      </c>
      <c r="M872" s="157">
        <v>2</v>
      </c>
      <c r="N872" s="153">
        <f t="shared" si="144"/>
        <v>22</v>
      </c>
      <c r="O872" s="157"/>
      <c r="P872" s="157"/>
      <c r="Q872" s="153">
        <f ca="1">OFFSET(card_type!$A$1,MATCH(card!B872,card_type!B:B,0)-1,0)</f>
        <v>2003</v>
      </c>
      <c r="R872" s="153">
        <v>1</v>
      </c>
      <c r="S872" s="157">
        <f ca="1">ROUND(IF(R872=0,0,IF(R872=1,X872*$S$1,IF(R872=2,X872*$S$1*buff的资质计算!$E$2,IF(R872=3,X872*$S$1*buff的资质计算!$E$3,0)))),0)*0</f>
        <v>0</v>
      </c>
      <c r="T872" s="153">
        <v>4</v>
      </c>
      <c r="U872" s="153">
        <f ca="1" t="shared" si="146"/>
        <v>12</v>
      </c>
      <c r="V872" s="153">
        <f ca="1">ROUND((OFFSET(卡牌辅助配置表!$O$1,MATCH(U872,卡牌辅助配置表!M:M,0)-1,0)+(N872-1)*OFFSET(卡牌辅助配置表!$P$1,MATCH(U872,卡牌辅助配置表!M:M,0)-1,0))*M872,2)</f>
        <v>32.3</v>
      </c>
      <c r="W872" s="157">
        <f ca="1">ROUND(IF(R872=0,0,IF(R872=1,X872*$W$1,IF(R872=2,X872*$W$1*buff的资质计算!$E$2,IF(R872=3,X872*$W$1*buff的资质计算!$E$3,0)))),2)</f>
        <v>9.45</v>
      </c>
      <c r="X872" s="157">
        <f ca="1" t="shared" si="142"/>
        <v>31.5</v>
      </c>
      <c r="Y872" s="157" t="e">
        <f ca="1" t="shared" si="151"/>
        <v>#VALUE!</v>
      </c>
      <c r="Z872" s="304" t="e">
        <f ca="1" t="shared" si="143"/>
        <v>#VALUE!</v>
      </c>
      <c r="AA872" s="304">
        <f ca="1">OFFSET(卡牌辅助配置表!$AD$1,MATCH(AB872,卡牌辅助配置表!AB:AB,0)-1,0)</f>
        <v>1056</v>
      </c>
      <c r="AB872" s="304">
        <f ca="1" t="shared" si="147"/>
        <v>1222</v>
      </c>
      <c r="AC872" s="153">
        <v>3</v>
      </c>
      <c r="AE872" s="153">
        <v>2</v>
      </c>
      <c r="AF872" s="153" t="str">
        <f ca="1" t="shared" si="150"/>
        <v>20030011|</v>
      </c>
      <c r="AJ872" s="205" t="str">
        <f ca="1" t="shared" si="148"/>
        <v>400023|13050|;</v>
      </c>
      <c r="AK872" s="205">
        <f ca="1">OFFSET([1]item_type!$A$1,MATCH(Q872,[1]item_type!$G:$G,0)-1,0)</f>
        <v>302003</v>
      </c>
      <c r="AL872" s="205"/>
      <c r="AM872" s="205">
        <f ca="1">IF(B872=B873,OFFSET(卡牌辅助配置表!$AE$1,MATCH(AB872,卡牌辅助配置表!AB:AB,0),0),0)</f>
        <v>13050</v>
      </c>
      <c r="AN872" s="153">
        <f ca="1" t="shared" si="149"/>
        <v>2003023</v>
      </c>
      <c r="AP872" s="153" t="str">
        <f ca="1">IF(AC872=0,0,IF(AC872=12,0,OFFSET(effect!$N$1,MATCH(K872,effect!M:M,0)-1,0)))</f>
        <v>kpsx_pt</v>
      </c>
    </row>
    <row r="873" spans="1:42">
      <c r="A873" s="153">
        <f ca="1" t="shared" si="145"/>
        <v>2003023</v>
      </c>
      <c r="B873" s="91" t="s">
        <v>379</v>
      </c>
      <c r="C873" s="186">
        <v>2</v>
      </c>
      <c r="D873" s="186">
        <v>1</v>
      </c>
      <c r="E873" s="165" t="s">
        <v>1058</v>
      </c>
      <c r="F873" s="165" t="str">
        <f>"上一招为剑法时，增加"&amp;skill!$O$68/100&amp;"%伤害"</f>
        <v>上一招为剑法时，增加35%伤害</v>
      </c>
      <c r="G873" s="186">
        <f ca="1">OFFSET(卡牌辅助配置表!$C$1,MATCH(AC873,卡牌辅助配置表!A:A,0)-1,0)</f>
        <v>3</v>
      </c>
      <c r="H873" s="186" t="e">
        <f ca="1">OFFSET(skill!$Q$1,MATCH(B873,skill!B:B,0)-1,0)</f>
        <v>#VALUE!</v>
      </c>
      <c r="I873" s="186"/>
      <c r="J873" s="186">
        <f ca="1">OFFSET(card_type!$F$1,MATCH(Q873,card_type!A:A,0)-1,0)</f>
        <v>1</v>
      </c>
      <c r="K873" s="243">
        <f ca="1">OFFSET(card_type!$G$1,MATCH(Q873,card_type!A:A,0)-1,0)</f>
        <v>2</v>
      </c>
      <c r="L873" s="157">
        <v>2</v>
      </c>
      <c r="M873" s="157">
        <v>2</v>
      </c>
      <c r="N873" s="153">
        <f t="shared" si="144"/>
        <v>23</v>
      </c>
      <c r="O873" s="157"/>
      <c r="P873" s="157"/>
      <c r="Q873" s="153">
        <f ca="1">OFFSET(card_type!$A$1,MATCH(card!B873,card_type!B:B,0)-1,0)</f>
        <v>2003</v>
      </c>
      <c r="R873" s="153">
        <v>1</v>
      </c>
      <c r="S873" s="157">
        <f ca="1">ROUND(IF(R873=0,0,IF(R873=1,X873*$S$1,IF(R873=2,X873*$S$1*buff的资质计算!$E$2,IF(R873=3,X873*$S$1*buff的资质计算!$E$3,0)))),0)*0</f>
        <v>0</v>
      </c>
      <c r="T873" s="153">
        <v>4</v>
      </c>
      <c r="U873" s="153">
        <f ca="1" t="shared" si="146"/>
        <v>12</v>
      </c>
      <c r="V873" s="153">
        <f ca="1">ROUND((OFFSET(卡牌辅助配置表!$O$1,MATCH(U873,卡牌辅助配置表!M:M,0)-1,0)+(N873-1)*OFFSET(卡牌辅助配置表!$P$1,MATCH(U873,卡牌辅助配置表!M:M,0)-1,0))*M873,2)</f>
        <v>32.93</v>
      </c>
      <c r="W873" s="157">
        <f ca="1">ROUND(IF(R873=0,0,IF(R873=1,X873*$W$1,IF(R873=2,X873*$W$1*buff的资质计算!$E$2,IF(R873=3,X873*$W$1*buff的资质计算!$E$3,0)))),2)</f>
        <v>9.6</v>
      </c>
      <c r="X873" s="157">
        <f ca="1" t="shared" si="142"/>
        <v>32</v>
      </c>
      <c r="Y873" s="157" t="e">
        <f ca="1" t="shared" si="151"/>
        <v>#VALUE!</v>
      </c>
      <c r="Z873" s="304" t="e">
        <f ca="1" t="shared" si="143"/>
        <v>#VALUE!</v>
      </c>
      <c r="AA873" s="304">
        <f ca="1">OFFSET(卡牌辅助配置表!$AD$1,MATCH(AB873,卡牌辅助配置表!AB:AB,0)-1,0)</f>
        <v>1129</v>
      </c>
      <c r="AB873" s="304">
        <f ca="1" t="shared" si="147"/>
        <v>1223</v>
      </c>
      <c r="AC873" s="153">
        <v>3</v>
      </c>
      <c r="AE873" s="153">
        <v>2</v>
      </c>
      <c r="AF873" s="153" t="str">
        <f ca="1" t="shared" si="150"/>
        <v>20030011|</v>
      </c>
      <c r="AJ873" s="205" t="str">
        <f ca="1" t="shared" si="148"/>
        <v>400023|14250|;</v>
      </c>
      <c r="AK873" s="205">
        <f ca="1">OFFSET([1]item_type!$A$1,MATCH(Q873,[1]item_type!$G:$G,0)-1,0)</f>
        <v>302003</v>
      </c>
      <c r="AL873" s="205"/>
      <c r="AM873" s="205">
        <f ca="1">IF(B873=B874,OFFSET(卡牌辅助配置表!$AE$1,MATCH(AB873,卡牌辅助配置表!AB:AB,0),0),0)</f>
        <v>14250</v>
      </c>
      <c r="AN873" s="153">
        <f ca="1" t="shared" si="149"/>
        <v>2003024</v>
      </c>
      <c r="AP873" s="153" t="str">
        <f ca="1">IF(AC873=0,0,IF(AC873=12,0,OFFSET(effect!$N$1,MATCH(K873,effect!M:M,0)-1,0)))</f>
        <v>kpsx_pt</v>
      </c>
    </row>
    <row r="874" spans="1:42">
      <c r="A874" s="153">
        <f ca="1" t="shared" si="145"/>
        <v>2003024</v>
      </c>
      <c r="B874" s="91" t="s">
        <v>379</v>
      </c>
      <c r="C874" s="186">
        <v>2</v>
      </c>
      <c r="D874" s="186">
        <v>1</v>
      </c>
      <c r="E874" s="165" t="s">
        <v>1058</v>
      </c>
      <c r="F874" s="165" t="str">
        <f>"上一招为剑法时，增加"&amp;skill!$O$68/100&amp;"%伤害"</f>
        <v>上一招为剑法时，增加35%伤害</v>
      </c>
      <c r="G874" s="186">
        <f ca="1">OFFSET(卡牌辅助配置表!$C$1,MATCH(AC874,卡牌辅助配置表!A:A,0)-1,0)</f>
        <v>3</v>
      </c>
      <c r="H874" s="186" t="e">
        <f ca="1">OFFSET(skill!$Q$1,MATCH(B874,skill!B:B,0)-1,0)</f>
        <v>#VALUE!</v>
      </c>
      <c r="I874" s="186"/>
      <c r="J874" s="186">
        <f ca="1">OFFSET(card_type!$F$1,MATCH(Q874,card_type!A:A,0)-1,0)</f>
        <v>1</v>
      </c>
      <c r="K874" s="243">
        <f ca="1">OFFSET(card_type!$G$1,MATCH(Q874,card_type!A:A,0)-1,0)</f>
        <v>2</v>
      </c>
      <c r="L874" s="157">
        <v>2</v>
      </c>
      <c r="M874" s="157">
        <v>2</v>
      </c>
      <c r="N874" s="153">
        <f t="shared" si="144"/>
        <v>24</v>
      </c>
      <c r="O874" s="157"/>
      <c r="P874" s="157"/>
      <c r="Q874" s="153">
        <f ca="1">OFFSET(card_type!$A$1,MATCH(card!B874,card_type!B:B,0)-1,0)</f>
        <v>2003</v>
      </c>
      <c r="R874" s="153">
        <v>1</v>
      </c>
      <c r="S874" s="157">
        <f ca="1">ROUND(IF(R874=0,0,IF(R874=1,X874*$S$1,IF(R874=2,X874*$S$1*buff的资质计算!$E$2,IF(R874=3,X874*$S$1*buff的资质计算!$E$3,0)))),0)*0</f>
        <v>0</v>
      </c>
      <c r="T874" s="153">
        <v>4</v>
      </c>
      <c r="U874" s="153">
        <f ca="1" t="shared" si="146"/>
        <v>12</v>
      </c>
      <c r="V874" s="153">
        <f ca="1">ROUND((OFFSET(卡牌辅助配置表!$O$1,MATCH(U874,卡牌辅助配置表!M:M,0)-1,0)+(N874-1)*OFFSET(卡牌辅助配置表!$P$1,MATCH(U874,卡牌辅助配置表!M:M,0)-1,0))*M874,2)</f>
        <v>33.57</v>
      </c>
      <c r="W874" s="157">
        <f ca="1">ROUND(IF(R874=0,0,IF(R874=1,X874*$W$1,IF(R874=2,X874*$W$1*buff的资质计算!$E$2,IF(R874=3,X874*$W$1*buff的资质计算!$E$3,0)))),2)</f>
        <v>9.75</v>
      </c>
      <c r="X874" s="157">
        <f ca="1" t="shared" si="142"/>
        <v>32.5</v>
      </c>
      <c r="Y874" s="157" t="e">
        <f ca="1" t="shared" si="151"/>
        <v>#VALUE!</v>
      </c>
      <c r="Z874" s="304" t="e">
        <f ca="1" t="shared" si="143"/>
        <v>#VALUE!</v>
      </c>
      <c r="AA874" s="304">
        <f ca="1">OFFSET(卡牌辅助配置表!$AD$1,MATCH(AB874,卡牌辅助配置表!AB:AB,0)-1,0)</f>
        <v>1202</v>
      </c>
      <c r="AB874" s="304">
        <f ca="1" t="shared" si="147"/>
        <v>1224</v>
      </c>
      <c r="AC874" s="153">
        <v>3</v>
      </c>
      <c r="AE874" s="153">
        <v>2</v>
      </c>
      <c r="AF874" s="153" t="str">
        <f ca="1" t="shared" si="150"/>
        <v>20030011|</v>
      </c>
      <c r="AJ874" s="205" t="str">
        <f ca="1" t="shared" si="148"/>
        <v>400023|15450|;</v>
      </c>
      <c r="AK874" s="205">
        <f ca="1">OFFSET([1]item_type!$A$1,MATCH(Q874,[1]item_type!$G:$G,0)-1,0)</f>
        <v>302003</v>
      </c>
      <c r="AL874" s="205"/>
      <c r="AM874" s="205">
        <f ca="1">IF(B874=B875,OFFSET(卡牌辅助配置表!$AE$1,MATCH(AB874,卡牌辅助配置表!AB:AB,0),0),0)</f>
        <v>15450</v>
      </c>
      <c r="AN874" s="153">
        <f ca="1" t="shared" si="149"/>
        <v>2003025</v>
      </c>
      <c r="AP874" s="153" t="str">
        <f ca="1">IF(AC874=0,0,IF(AC874=12,0,OFFSET(effect!$N$1,MATCH(K874,effect!M:M,0)-1,0)))</f>
        <v>kpsx_pt</v>
      </c>
    </row>
    <row r="875" spans="1:42">
      <c r="A875" s="153">
        <f ca="1" t="shared" si="145"/>
        <v>2003025</v>
      </c>
      <c r="B875" s="91" t="s">
        <v>379</v>
      </c>
      <c r="C875" s="186">
        <v>2</v>
      </c>
      <c r="D875" s="186">
        <v>1</v>
      </c>
      <c r="E875" s="165" t="s">
        <v>1058</v>
      </c>
      <c r="F875" s="165" t="str">
        <f>"上一招为剑法时，增加"&amp;skill!$O$68/100&amp;"%伤害"</f>
        <v>上一招为剑法时，增加35%伤害</v>
      </c>
      <c r="G875" s="186">
        <f ca="1">OFFSET(卡牌辅助配置表!$C$1,MATCH(AC875,卡牌辅助配置表!A:A,0)-1,0)</f>
        <v>3</v>
      </c>
      <c r="H875" s="186" t="e">
        <f ca="1">OFFSET(skill!$Q$1,MATCH(B875,skill!B:B,0)-1,0)</f>
        <v>#VALUE!</v>
      </c>
      <c r="I875" s="186"/>
      <c r="J875" s="186">
        <f ca="1">OFFSET(card_type!$F$1,MATCH(Q875,card_type!A:A,0)-1,0)</f>
        <v>1</v>
      </c>
      <c r="K875" s="243">
        <f ca="1">OFFSET(card_type!$G$1,MATCH(Q875,card_type!A:A,0)-1,0)</f>
        <v>2</v>
      </c>
      <c r="L875" s="157">
        <v>2</v>
      </c>
      <c r="M875" s="157">
        <v>2</v>
      </c>
      <c r="N875" s="153">
        <f t="shared" si="144"/>
        <v>25</v>
      </c>
      <c r="O875" s="157"/>
      <c r="P875" s="157"/>
      <c r="Q875" s="153">
        <f ca="1">OFFSET(card_type!$A$1,MATCH(card!B875,card_type!B:B,0)-1,0)</f>
        <v>2003</v>
      </c>
      <c r="R875" s="153">
        <v>1</v>
      </c>
      <c r="S875" s="157">
        <f ca="1">ROUND(IF(R875=0,0,IF(R875=1,X875*$S$1,IF(R875=2,X875*$S$1*buff的资质计算!$E$2,IF(R875=3,X875*$S$1*buff的资质计算!$E$3,0)))),0)*0</f>
        <v>0</v>
      </c>
      <c r="T875" s="153">
        <v>4</v>
      </c>
      <c r="U875" s="153">
        <f ca="1" t="shared" si="146"/>
        <v>12</v>
      </c>
      <c r="V875" s="153">
        <f ca="1">ROUND((OFFSET(卡牌辅助配置表!$O$1,MATCH(U875,卡牌辅助配置表!M:M,0)-1,0)+(N875-1)*OFFSET(卡牌辅助配置表!$P$1,MATCH(U875,卡牌辅助配置表!M:M,0)-1,0))*M875,2)</f>
        <v>34.2</v>
      </c>
      <c r="W875" s="157">
        <f ca="1">ROUND(IF(R875=0,0,IF(R875=1,X875*$W$1,IF(R875=2,X875*$W$1*buff的资质计算!$E$2,IF(R875=3,X875*$W$1*buff的资质计算!$E$3,0)))),2)</f>
        <v>9.9</v>
      </c>
      <c r="X875" s="157">
        <f ca="1" t="shared" si="142"/>
        <v>33</v>
      </c>
      <c r="Y875" s="157" t="e">
        <f ca="1" t="shared" si="151"/>
        <v>#VALUE!</v>
      </c>
      <c r="Z875" s="304" t="e">
        <f ca="1" t="shared" si="143"/>
        <v>#VALUE!</v>
      </c>
      <c r="AA875" s="304">
        <f ca="1">OFFSET(卡牌辅助配置表!$AD$1,MATCH(AB875,卡牌辅助配置表!AB:AB,0)-1,0)</f>
        <v>1275</v>
      </c>
      <c r="AB875" s="304">
        <f ca="1" t="shared" si="147"/>
        <v>1225</v>
      </c>
      <c r="AC875" s="153">
        <v>3</v>
      </c>
      <c r="AE875" s="153">
        <v>2</v>
      </c>
      <c r="AF875" s="153" t="str">
        <f ca="1" t="shared" si="150"/>
        <v>20030011|</v>
      </c>
      <c r="AJ875" s="205" t="str">
        <f ca="1" t="shared" si="148"/>
        <v>400023|16650|;</v>
      </c>
      <c r="AK875" s="205">
        <f ca="1">OFFSET([1]item_type!$A$1,MATCH(Q875,[1]item_type!$G:$G,0)-1,0)</f>
        <v>302003</v>
      </c>
      <c r="AL875" s="205"/>
      <c r="AM875" s="205">
        <f ca="1">IF(B875=B876,OFFSET(卡牌辅助配置表!$AE$1,MATCH(AB875,卡牌辅助配置表!AB:AB,0),0),0)</f>
        <v>16650</v>
      </c>
      <c r="AN875" s="153">
        <f ca="1" t="shared" si="149"/>
        <v>2003026</v>
      </c>
      <c r="AP875" s="153" t="str">
        <f ca="1">IF(AC875=0,0,IF(AC875=12,0,OFFSET(effect!$N$1,MATCH(K875,effect!M:M,0)-1,0)))</f>
        <v>kpsx_pt</v>
      </c>
    </row>
    <row r="876" spans="1:42">
      <c r="A876" s="153">
        <f ca="1" t="shared" si="145"/>
        <v>2003026</v>
      </c>
      <c r="B876" s="91" t="s">
        <v>379</v>
      </c>
      <c r="C876" s="186">
        <v>2</v>
      </c>
      <c r="D876" s="186">
        <v>1</v>
      </c>
      <c r="E876" s="165" t="s">
        <v>1058</v>
      </c>
      <c r="F876" s="165" t="str">
        <f>"上一招为剑法时，增加"&amp;skill!$O$68/100&amp;"%伤害"</f>
        <v>上一招为剑法时，增加35%伤害</v>
      </c>
      <c r="G876" s="186">
        <f ca="1">OFFSET(卡牌辅助配置表!$C$1,MATCH(AC876,卡牌辅助配置表!A:A,0)-1,0)</f>
        <v>3</v>
      </c>
      <c r="H876" s="186" t="e">
        <f ca="1">OFFSET(skill!$Q$1,MATCH(B876,skill!B:B,0)-1,0)</f>
        <v>#VALUE!</v>
      </c>
      <c r="I876" s="186"/>
      <c r="J876" s="186">
        <f ca="1">OFFSET(card_type!$F$1,MATCH(Q876,card_type!A:A,0)-1,0)</f>
        <v>1</v>
      </c>
      <c r="K876" s="243">
        <f ca="1">OFFSET(card_type!$G$1,MATCH(Q876,card_type!A:A,0)-1,0)</f>
        <v>2</v>
      </c>
      <c r="L876" s="157">
        <v>2</v>
      </c>
      <c r="M876" s="157">
        <v>2</v>
      </c>
      <c r="N876" s="153">
        <f t="shared" si="144"/>
        <v>26</v>
      </c>
      <c r="O876" s="157"/>
      <c r="P876" s="157"/>
      <c r="Q876" s="153">
        <f ca="1">OFFSET(card_type!$A$1,MATCH(card!B876,card_type!B:B,0)-1,0)</f>
        <v>2003</v>
      </c>
      <c r="R876" s="153">
        <v>1</v>
      </c>
      <c r="S876" s="157">
        <f ca="1">ROUND(IF(R876=0,0,IF(R876=1,X876*$S$1,IF(R876=2,X876*$S$1*buff的资质计算!$E$2,IF(R876=3,X876*$S$1*buff的资质计算!$E$3,0)))),0)*0</f>
        <v>0</v>
      </c>
      <c r="T876" s="153">
        <v>4</v>
      </c>
      <c r="U876" s="153">
        <f ca="1" t="shared" si="146"/>
        <v>12</v>
      </c>
      <c r="V876" s="153">
        <f ca="1">ROUND((OFFSET(卡牌辅助配置表!$O$1,MATCH(U876,卡牌辅助配置表!M:M,0)-1,0)+(N876-1)*OFFSET(卡牌辅助配置表!$P$1,MATCH(U876,卡牌辅助配置表!M:M,0)-1,0))*M876,2)</f>
        <v>34.83</v>
      </c>
      <c r="W876" s="157">
        <f ca="1">ROUND(IF(R876=0,0,IF(R876=1,X876*$W$1,IF(R876=2,X876*$W$1*buff的资质计算!$E$2,IF(R876=3,X876*$W$1*buff的资质计算!$E$3,0)))),2)</f>
        <v>10.05</v>
      </c>
      <c r="X876" s="157">
        <f ca="1" t="shared" si="142"/>
        <v>33.5</v>
      </c>
      <c r="Y876" s="157" t="e">
        <f ca="1" t="shared" si="151"/>
        <v>#VALUE!</v>
      </c>
      <c r="Z876" s="304" t="e">
        <f ca="1" t="shared" si="143"/>
        <v>#VALUE!</v>
      </c>
      <c r="AA876" s="304">
        <f ca="1">OFFSET(卡牌辅助配置表!$AD$1,MATCH(AB876,卡牌辅助配置表!AB:AB,0)-1,0)</f>
        <v>1348</v>
      </c>
      <c r="AB876" s="304">
        <f ca="1" t="shared" si="147"/>
        <v>1226</v>
      </c>
      <c r="AC876" s="153">
        <v>3</v>
      </c>
      <c r="AE876" s="153">
        <v>2</v>
      </c>
      <c r="AF876" s="153" t="str">
        <f ca="1" t="shared" si="150"/>
        <v>20030011|</v>
      </c>
      <c r="AJ876" s="205" t="str">
        <f ca="1" t="shared" si="148"/>
        <v>400023|17850|;</v>
      </c>
      <c r="AK876" s="205">
        <f ca="1">OFFSET([1]item_type!$A$1,MATCH(Q876,[1]item_type!$G:$G,0)-1,0)</f>
        <v>302003</v>
      </c>
      <c r="AL876" s="205"/>
      <c r="AM876" s="205">
        <f ca="1">IF(B876=B877,OFFSET(卡牌辅助配置表!$AE$1,MATCH(AB876,卡牌辅助配置表!AB:AB,0),0),0)</f>
        <v>17850</v>
      </c>
      <c r="AN876" s="153">
        <f ca="1" t="shared" si="149"/>
        <v>2003027</v>
      </c>
      <c r="AP876" s="153" t="str">
        <f ca="1">IF(AC876=0,0,IF(AC876=12,0,OFFSET(effect!$N$1,MATCH(K876,effect!M:M,0)-1,0)))</f>
        <v>kpsx_pt</v>
      </c>
    </row>
    <row r="877" spans="1:42">
      <c r="A877" s="153">
        <f ca="1" t="shared" si="145"/>
        <v>2003027</v>
      </c>
      <c r="B877" s="91" t="s">
        <v>379</v>
      </c>
      <c r="C877" s="186">
        <v>2</v>
      </c>
      <c r="D877" s="186">
        <v>1</v>
      </c>
      <c r="E877" s="165" t="s">
        <v>1058</v>
      </c>
      <c r="F877" s="165" t="str">
        <f>"上一招为剑法时，增加"&amp;skill!$O$68/100&amp;"%伤害"</f>
        <v>上一招为剑法时，增加35%伤害</v>
      </c>
      <c r="G877" s="186">
        <f ca="1">OFFSET(卡牌辅助配置表!$C$1,MATCH(AC877,卡牌辅助配置表!A:A,0)-1,0)</f>
        <v>3</v>
      </c>
      <c r="H877" s="186" t="e">
        <f ca="1">OFFSET(skill!$Q$1,MATCH(B877,skill!B:B,0)-1,0)</f>
        <v>#VALUE!</v>
      </c>
      <c r="I877" s="186"/>
      <c r="J877" s="186">
        <f ca="1">OFFSET(card_type!$F$1,MATCH(Q877,card_type!A:A,0)-1,0)</f>
        <v>1</v>
      </c>
      <c r="K877" s="243">
        <f ca="1">OFFSET(card_type!$G$1,MATCH(Q877,card_type!A:A,0)-1,0)</f>
        <v>2</v>
      </c>
      <c r="L877" s="157">
        <v>2</v>
      </c>
      <c r="M877" s="157">
        <v>2</v>
      </c>
      <c r="N877" s="153">
        <f t="shared" si="144"/>
        <v>27</v>
      </c>
      <c r="O877" s="157"/>
      <c r="P877" s="157"/>
      <c r="Q877" s="153">
        <f ca="1">OFFSET(card_type!$A$1,MATCH(card!B877,card_type!B:B,0)-1,0)</f>
        <v>2003</v>
      </c>
      <c r="R877" s="153">
        <v>1</v>
      </c>
      <c r="S877" s="157">
        <f ca="1">ROUND(IF(R877=0,0,IF(R877=1,X877*$S$1,IF(R877=2,X877*$S$1*buff的资质计算!$E$2,IF(R877=3,X877*$S$1*buff的资质计算!$E$3,0)))),0)*0</f>
        <v>0</v>
      </c>
      <c r="T877" s="153">
        <v>4</v>
      </c>
      <c r="U877" s="153">
        <f ca="1" t="shared" si="146"/>
        <v>12</v>
      </c>
      <c r="V877" s="153">
        <f ca="1">ROUND((OFFSET(卡牌辅助配置表!$O$1,MATCH(U877,卡牌辅助配置表!M:M,0)-1,0)+(N877-1)*OFFSET(卡牌辅助配置表!$P$1,MATCH(U877,卡牌辅助配置表!M:M,0)-1,0))*M877,2)</f>
        <v>35.47</v>
      </c>
      <c r="W877" s="157">
        <f ca="1">ROUND(IF(R877=0,0,IF(R877=1,X877*$W$1,IF(R877=2,X877*$W$1*buff的资质计算!$E$2,IF(R877=3,X877*$W$1*buff的资质计算!$E$3,0)))),2)</f>
        <v>10.2</v>
      </c>
      <c r="X877" s="157">
        <f ca="1" t="shared" si="142"/>
        <v>34</v>
      </c>
      <c r="Y877" s="157" t="e">
        <f ca="1" t="shared" si="151"/>
        <v>#VALUE!</v>
      </c>
      <c r="Z877" s="304" t="e">
        <f ca="1" t="shared" si="143"/>
        <v>#VALUE!</v>
      </c>
      <c r="AA877" s="304">
        <f ca="1">OFFSET(卡牌辅助配置表!$AD$1,MATCH(AB877,卡牌辅助配置表!AB:AB,0)-1,0)</f>
        <v>1421</v>
      </c>
      <c r="AB877" s="304">
        <f ca="1" t="shared" si="147"/>
        <v>1227</v>
      </c>
      <c r="AC877" s="153">
        <v>3</v>
      </c>
      <c r="AE877" s="153">
        <v>2</v>
      </c>
      <c r="AF877" s="153" t="str">
        <f ca="1" t="shared" si="150"/>
        <v>20030011|</v>
      </c>
      <c r="AJ877" s="205" t="str">
        <f ca="1" t="shared" si="148"/>
        <v>400023|19050|;</v>
      </c>
      <c r="AK877" s="205">
        <f ca="1">OFFSET([1]item_type!$A$1,MATCH(Q877,[1]item_type!$G:$G,0)-1,0)</f>
        <v>302003</v>
      </c>
      <c r="AL877" s="205"/>
      <c r="AM877" s="205">
        <f ca="1">IF(B877=B878,OFFSET(卡牌辅助配置表!$AE$1,MATCH(AB877,卡牌辅助配置表!AB:AB,0),0),0)</f>
        <v>19050</v>
      </c>
      <c r="AN877" s="153">
        <f ca="1" t="shared" si="149"/>
        <v>2003028</v>
      </c>
      <c r="AP877" s="153" t="str">
        <f ca="1">IF(AC877=0,0,IF(AC877=12,0,OFFSET(effect!$N$1,MATCH(K877,effect!M:M,0)-1,0)))</f>
        <v>kpsx_pt</v>
      </c>
    </row>
    <row r="878" spans="1:42">
      <c r="A878" s="153">
        <f ca="1" t="shared" si="145"/>
        <v>2003028</v>
      </c>
      <c r="B878" s="91" t="s">
        <v>379</v>
      </c>
      <c r="C878" s="186">
        <v>2</v>
      </c>
      <c r="D878" s="186">
        <v>1</v>
      </c>
      <c r="E878" s="165" t="s">
        <v>1058</v>
      </c>
      <c r="F878" s="165" t="str">
        <f>"上一招为剑法时，增加"&amp;skill!$O$68/100&amp;"%伤害"</f>
        <v>上一招为剑法时，增加35%伤害</v>
      </c>
      <c r="G878" s="186">
        <f ca="1">OFFSET(卡牌辅助配置表!$C$1,MATCH(AC878,卡牌辅助配置表!A:A,0)-1,0)</f>
        <v>3</v>
      </c>
      <c r="H878" s="186" t="e">
        <f ca="1">OFFSET(skill!$Q$1,MATCH(B878,skill!B:B,0)-1,0)</f>
        <v>#VALUE!</v>
      </c>
      <c r="I878" s="186"/>
      <c r="J878" s="186">
        <f ca="1">OFFSET(card_type!$F$1,MATCH(Q878,card_type!A:A,0)-1,0)</f>
        <v>1</v>
      </c>
      <c r="K878" s="243">
        <f ca="1">OFFSET(card_type!$G$1,MATCH(Q878,card_type!A:A,0)-1,0)</f>
        <v>2</v>
      </c>
      <c r="L878" s="157">
        <v>2</v>
      </c>
      <c r="M878" s="157">
        <v>2</v>
      </c>
      <c r="N878" s="153">
        <f t="shared" si="144"/>
        <v>28</v>
      </c>
      <c r="O878" s="157"/>
      <c r="P878" s="157"/>
      <c r="Q878" s="153">
        <f ca="1">OFFSET(card_type!$A$1,MATCH(card!B878,card_type!B:B,0)-1,0)</f>
        <v>2003</v>
      </c>
      <c r="R878" s="153">
        <v>1</v>
      </c>
      <c r="S878" s="157">
        <f ca="1">ROUND(IF(R878=0,0,IF(R878=1,X878*$S$1,IF(R878=2,X878*$S$1*buff的资质计算!$E$2,IF(R878=3,X878*$S$1*buff的资质计算!$E$3,0)))),0)*0</f>
        <v>0</v>
      </c>
      <c r="T878" s="153">
        <v>4</v>
      </c>
      <c r="U878" s="153">
        <f ca="1" t="shared" si="146"/>
        <v>12</v>
      </c>
      <c r="V878" s="153">
        <f ca="1">ROUND((OFFSET(卡牌辅助配置表!$O$1,MATCH(U878,卡牌辅助配置表!M:M,0)-1,0)+(N878-1)*OFFSET(卡牌辅助配置表!$P$1,MATCH(U878,卡牌辅助配置表!M:M,0)-1,0))*M878,2)</f>
        <v>36.1</v>
      </c>
      <c r="W878" s="157">
        <f ca="1">ROUND(IF(R878=0,0,IF(R878=1,X878*$W$1,IF(R878=2,X878*$W$1*buff的资质计算!$E$2,IF(R878=3,X878*$W$1*buff的资质计算!$E$3,0)))),2)</f>
        <v>10.35</v>
      </c>
      <c r="X878" s="157">
        <f ca="1" t="shared" si="142"/>
        <v>34.5</v>
      </c>
      <c r="Y878" s="157" t="e">
        <f ca="1" t="shared" si="151"/>
        <v>#VALUE!</v>
      </c>
      <c r="Z878" s="304" t="e">
        <f ca="1" t="shared" si="143"/>
        <v>#VALUE!</v>
      </c>
      <c r="AA878" s="304">
        <f ca="1">OFFSET(卡牌辅助配置表!$AD$1,MATCH(AB878,卡牌辅助配置表!AB:AB,0)-1,0)</f>
        <v>1494</v>
      </c>
      <c r="AB878" s="304">
        <f ca="1" t="shared" si="147"/>
        <v>1228</v>
      </c>
      <c r="AC878" s="153">
        <v>3</v>
      </c>
      <c r="AE878" s="153">
        <v>2</v>
      </c>
      <c r="AF878" s="153" t="str">
        <f ca="1" t="shared" si="150"/>
        <v>20030011|</v>
      </c>
      <c r="AJ878" s="205" t="str">
        <f ca="1" t="shared" si="148"/>
        <v>400023|20250|;</v>
      </c>
      <c r="AK878" s="205">
        <f ca="1">OFFSET([1]item_type!$A$1,MATCH(Q878,[1]item_type!$G:$G,0)-1,0)</f>
        <v>302003</v>
      </c>
      <c r="AL878" s="205"/>
      <c r="AM878" s="205">
        <f ca="1">IF(B878=B879,OFFSET(卡牌辅助配置表!$AE$1,MATCH(AB878,卡牌辅助配置表!AB:AB,0),0),0)</f>
        <v>20250</v>
      </c>
      <c r="AN878" s="153">
        <f ca="1" t="shared" si="149"/>
        <v>2003029</v>
      </c>
      <c r="AP878" s="153" t="str">
        <f ca="1">IF(AC878=0,0,IF(AC878=12,0,OFFSET(effect!$N$1,MATCH(K878,effect!M:M,0)-1,0)))</f>
        <v>kpsx_pt</v>
      </c>
    </row>
    <row r="879" spans="1:42">
      <c r="A879" s="153">
        <f ca="1" t="shared" si="145"/>
        <v>2003029</v>
      </c>
      <c r="B879" s="91" t="s">
        <v>379</v>
      </c>
      <c r="C879" s="186">
        <v>2</v>
      </c>
      <c r="D879" s="186">
        <v>1</v>
      </c>
      <c r="E879" s="165" t="s">
        <v>1058</v>
      </c>
      <c r="F879" s="165" t="str">
        <f>"上一招为剑法时，增加"&amp;skill!$O$68/100&amp;"%伤害"</f>
        <v>上一招为剑法时，增加35%伤害</v>
      </c>
      <c r="G879" s="186">
        <f ca="1">OFFSET(卡牌辅助配置表!$C$1,MATCH(AC879,卡牌辅助配置表!A:A,0)-1,0)</f>
        <v>3</v>
      </c>
      <c r="H879" s="186" t="e">
        <f ca="1">OFFSET(skill!$Q$1,MATCH(B879,skill!B:B,0)-1,0)</f>
        <v>#VALUE!</v>
      </c>
      <c r="I879" s="186"/>
      <c r="J879" s="186">
        <f ca="1">OFFSET(card_type!$F$1,MATCH(Q879,card_type!A:A,0)-1,0)</f>
        <v>1</v>
      </c>
      <c r="K879" s="243">
        <f ca="1">OFFSET(card_type!$G$1,MATCH(Q879,card_type!A:A,0)-1,0)</f>
        <v>2</v>
      </c>
      <c r="L879" s="157">
        <v>2</v>
      </c>
      <c r="M879" s="157">
        <v>2</v>
      </c>
      <c r="N879" s="153">
        <f t="shared" si="144"/>
        <v>29</v>
      </c>
      <c r="O879" s="157"/>
      <c r="P879" s="157"/>
      <c r="Q879" s="153">
        <f ca="1">OFFSET(card_type!$A$1,MATCH(card!B879,card_type!B:B,0)-1,0)</f>
        <v>2003</v>
      </c>
      <c r="R879" s="153">
        <v>1</v>
      </c>
      <c r="S879" s="157">
        <f ca="1">ROUND(IF(R879=0,0,IF(R879=1,X879*$S$1,IF(R879=2,X879*$S$1*buff的资质计算!$E$2,IF(R879=3,X879*$S$1*buff的资质计算!$E$3,0)))),0)*0</f>
        <v>0</v>
      </c>
      <c r="T879" s="153">
        <v>4</v>
      </c>
      <c r="U879" s="153">
        <f ca="1" t="shared" si="146"/>
        <v>12</v>
      </c>
      <c r="V879" s="153">
        <f ca="1">ROUND((OFFSET(卡牌辅助配置表!$O$1,MATCH(U879,卡牌辅助配置表!M:M,0)-1,0)+(N879-1)*OFFSET(卡牌辅助配置表!$P$1,MATCH(U879,卡牌辅助配置表!M:M,0)-1,0))*M879,2)</f>
        <v>36.73</v>
      </c>
      <c r="W879" s="157">
        <f ca="1">ROUND(IF(R879=0,0,IF(R879=1,X879*$W$1,IF(R879=2,X879*$W$1*buff的资质计算!$E$2,IF(R879=3,X879*$W$1*buff的资质计算!$E$3,0)))),2)</f>
        <v>10.5</v>
      </c>
      <c r="X879" s="157">
        <f ca="1" t="shared" si="142"/>
        <v>35</v>
      </c>
      <c r="Y879" s="157" t="e">
        <f ca="1" t="shared" si="151"/>
        <v>#VALUE!</v>
      </c>
      <c r="Z879" s="304" t="e">
        <f ca="1" t="shared" si="143"/>
        <v>#VALUE!</v>
      </c>
      <c r="AA879" s="304">
        <f ca="1">OFFSET(卡牌辅助配置表!$AD$1,MATCH(AB879,卡牌辅助配置表!AB:AB,0)-1,0)</f>
        <v>1567</v>
      </c>
      <c r="AB879" s="304">
        <f ca="1" t="shared" si="147"/>
        <v>1229</v>
      </c>
      <c r="AC879" s="153">
        <v>3</v>
      </c>
      <c r="AE879" s="153">
        <v>2</v>
      </c>
      <c r="AF879" s="153" t="str">
        <f ca="1" t="shared" si="150"/>
        <v>20030011|</v>
      </c>
      <c r="AJ879" s="205" t="str">
        <f ca="1" t="shared" si="148"/>
        <v>302003|30|;400023|21450|;</v>
      </c>
      <c r="AK879" s="205">
        <f ca="1">OFFSET([1]item_type!$A$1,MATCH(Q879,[1]item_type!$G:$G,0)-1,0)</f>
        <v>302003</v>
      </c>
      <c r="AL879" s="205">
        <v>30</v>
      </c>
      <c r="AM879" s="205">
        <f ca="1">IF(B879=B880,OFFSET(卡牌辅助配置表!$AE$1,MATCH(AB879,卡牌辅助配置表!AB:AB,0),0),0)</f>
        <v>21450</v>
      </c>
      <c r="AN879" s="153">
        <f ca="1" t="shared" si="149"/>
        <v>2003030</v>
      </c>
      <c r="AP879" s="153" t="str">
        <f ca="1">IF(AC879=0,0,IF(AC879=12,0,OFFSET(effect!$N$1,MATCH(K879,effect!M:M,0)-1,0)))</f>
        <v>kpsx_pt</v>
      </c>
    </row>
    <row r="880" spans="1:42">
      <c r="A880" s="153">
        <f ca="1" t="shared" si="145"/>
        <v>2003030</v>
      </c>
      <c r="B880" s="91" t="s">
        <v>379</v>
      </c>
      <c r="C880" s="186">
        <v>2</v>
      </c>
      <c r="D880" s="186">
        <v>1</v>
      </c>
      <c r="E880" s="165" t="s">
        <v>1058</v>
      </c>
      <c r="F880" s="165" t="str">
        <f>"上一招为剑法时，增加"&amp;skill!$O$68/100&amp;"%伤害"</f>
        <v>上一招为剑法时，增加35%伤害</v>
      </c>
      <c r="G880" s="186">
        <f ca="1">OFFSET(卡牌辅助配置表!$C$1,MATCH(AC880,卡牌辅助配置表!A:A,0)-1,0)</f>
        <v>3</v>
      </c>
      <c r="H880" s="186" t="e">
        <f ca="1">OFFSET(skill!$Q$1,MATCH(B880,skill!B:B,0)-1,0)</f>
        <v>#VALUE!</v>
      </c>
      <c r="I880" s="186"/>
      <c r="J880" s="186">
        <f ca="1">OFFSET(card_type!$F$1,MATCH(Q880,card_type!A:A,0)-1,0)</f>
        <v>1</v>
      </c>
      <c r="K880" s="243">
        <f ca="1">OFFSET(card_type!$G$1,MATCH(Q880,card_type!A:A,0)-1,0)</f>
        <v>2</v>
      </c>
      <c r="L880" s="157">
        <v>2</v>
      </c>
      <c r="M880" s="157">
        <v>2</v>
      </c>
      <c r="N880" s="153">
        <f t="shared" si="144"/>
        <v>30</v>
      </c>
      <c r="O880" s="157"/>
      <c r="P880" s="157"/>
      <c r="Q880" s="153">
        <f ca="1">OFFSET(card_type!$A$1,MATCH(card!B880,card_type!B:B,0)-1,0)</f>
        <v>2003</v>
      </c>
      <c r="R880" s="153">
        <v>1</v>
      </c>
      <c r="S880" s="157">
        <f ca="1">ROUND(IF(R880=0,0,IF(R880=1,X880*$S$1,IF(R880=2,X880*$S$1*buff的资质计算!$E$2,IF(R880=3,X880*$S$1*buff的资质计算!$E$3,0)))),0)*0</f>
        <v>0</v>
      </c>
      <c r="T880" s="153">
        <v>4</v>
      </c>
      <c r="U880" s="153">
        <f ca="1" t="shared" si="146"/>
        <v>12</v>
      </c>
      <c r="V880" s="153">
        <f ca="1">ROUND((OFFSET(卡牌辅助配置表!$O$1,MATCH(U880,卡牌辅助配置表!M:M,0)-1,0)+(N880-1)*OFFSET(卡牌辅助配置表!$P$1,MATCH(U880,卡牌辅助配置表!M:M,0)-1,0))*M880,2)</f>
        <v>37.37</v>
      </c>
      <c r="W880" s="157">
        <f ca="1">ROUND(IF(R880=0,0,IF(R880=1,X880*$W$1,IF(R880=2,X880*$W$1*buff的资质计算!$E$2,IF(R880=3,X880*$W$1*buff的资质计算!$E$3,0)))),2)</f>
        <v>10.65</v>
      </c>
      <c r="X880" s="157">
        <f ca="1" t="shared" si="142"/>
        <v>35.5</v>
      </c>
      <c r="Y880" s="157" t="e">
        <f ca="1" t="shared" si="151"/>
        <v>#VALUE!</v>
      </c>
      <c r="Z880" s="304" t="e">
        <f ca="1" t="shared" si="143"/>
        <v>#VALUE!</v>
      </c>
      <c r="AA880" s="304">
        <f ca="1">OFFSET(卡牌辅助配置表!$AD$1,MATCH(AB880,卡牌辅助配置表!AB:AB,0)-1,0)</f>
        <v>1640</v>
      </c>
      <c r="AB880" s="304">
        <f ca="1" t="shared" si="147"/>
        <v>1230</v>
      </c>
      <c r="AC880" s="153">
        <v>3</v>
      </c>
      <c r="AE880" s="153">
        <v>2</v>
      </c>
      <c r="AF880" s="153" t="str">
        <f ca="1" t="shared" si="150"/>
        <v>20030011|</v>
      </c>
      <c r="AJ880" s="205">
        <f ca="1" t="shared" si="148"/>
        <v>0</v>
      </c>
      <c r="AK880" s="205">
        <f ca="1">OFFSET([1]item_type!$A$1,MATCH(Q880,[1]item_type!$G:$G,0)-1,0)</f>
        <v>302003</v>
      </c>
      <c r="AL880" s="205"/>
      <c r="AM880" s="205">
        <f ca="1">IF(B880=B881,OFFSET(卡牌辅助配置表!$AE$1,MATCH(AB880,卡牌辅助配置表!AB:AB,0),0),0)</f>
        <v>0</v>
      </c>
      <c r="AN880" s="153">
        <f ca="1" t="shared" si="149"/>
        <v>0</v>
      </c>
      <c r="AP880" s="153" t="str">
        <f ca="1">IF(AC880=0,0,IF(AC880=12,0,OFFSET(effect!$N$1,MATCH(K880,effect!M:M,0)-1,0)))</f>
        <v>kpsx_pt</v>
      </c>
    </row>
    <row r="881" spans="1:42">
      <c r="A881" s="153">
        <f ca="1" t="shared" si="145"/>
        <v>2004001</v>
      </c>
      <c r="B881" s="91" t="s">
        <v>411</v>
      </c>
      <c r="C881" s="186">
        <v>2</v>
      </c>
      <c r="D881" s="186">
        <v>1</v>
      </c>
      <c r="E881" s="165" t="s">
        <v>1058</v>
      </c>
      <c r="F881" s="165" t="str">
        <f>"第一招打出时，增加"&amp;skill!$O$69/100&amp;"%伤害"</f>
        <v>第一招打出时，增加30%伤害</v>
      </c>
      <c r="G881" s="186"/>
      <c r="H881" s="186" t="e">
        <f ca="1">OFFSET(skill!$Q$1,MATCH(B881,skill!B:B,0)-1,0)</f>
        <v>#VALUE!</v>
      </c>
      <c r="I881" s="186"/>
      <c r="J881" s="186">
        <f ca="1">OFFSET(card_type!$F$1,MATCH(Q881,card_type!A:A,0)-1,0)</f>
        <v>1</v>
      </c>
      <c r="K881" s="243">
        <f ca="1">OFFSET(card_type!$G$1,MATCH(Q881,card_type!A:A,0)-1,0)</f>
        <v>1</v>
      </c>
      <c r="L881" s="157">
        <v>2</v>
      </c>
      <c r="M881" s="157">
        <v>2</v>
      </c>
      <c r="N881" s="153">
        <f t="shared" si="144"/>
        <v>1</v>
      </c>
      <c r="O881" s="157"/>
      <c r="P881" s="157"/>
      <c r="Q881" s="153">
        <f ca="1">OFFSET(card_type!$A$1,MATCH(card!B881,card_type!B:B,0)-1,0)</f>
        <v>2004</v>
      </c>
      <c r="R881" s="153">
        <v>1</v>
      </c>
      <c r="S881" s="157">
        <f ca="1">ROUND(IF(R881=0,0,IF(R881=1,X881*$S$1,IF(R881=2,X881*$S$1*buff的资质计算!$E$2,IF(R881=3,X881*$S$1*buff的资质计算!$E$3,0)))),0)*0</f>
        <v>0</v>
      </c>
      <c r="T881" s="153">
        <v>4</v>
      </c>
      <c r="U881" s="153">
        <f ca="1" t="shared" si="146"/>
        <v>11</v>
      </c>
      <c r="V881" s="153">
        <f ca="1">ROUND((OFFSET(卡牌辅助配置表!$O$1,MATCH(U881,卡牌辅助配置表!M:M,0)-1,0)+(N881-1)*OFFSET(卡牌辅助配置表!$P$1,MATCH(U881,卡牌辅助配置表!M:M,0)-1,0))*M881,2)</f>
        <v>12.54</v>
      </c>
      <c r="W881" s="157">
        <f ca="1">ROUND(IF(R881=0,0,IF(R881=1,X881*$W$1,IF(R881=2,X881*$W$1*buff的资质计算!$E$2,IF(R881=3,X881*$W$1*buff的资质计算!$E$3,0)))),2)</f>
        <v>3</v>
      </c>
      <c r="X881" s="157">
        <f ca="1" t="shared" si="142"/>
        <v>10</v>
      </c>
      <c r="Y881" s="157" t="e">
        <f ca="1" t="shared" si="151"/>
        <v>#VALUE!</v>
      </c>
      <c r="Z881" s="304" t="e">
        <f ca="1" t="shared" si="143"/>
        <v>#VALUE!</v>
      </c>
      <c r="AA881" s="304">
        <f ca="1">OFFSET(卡牌辅助配置表!$AD$1,MATCH(AB881,卡牌辅助配置表!AB:AB,0)-1,0)</f>
        <v>18</v>
      </c>
      <c r="AB881" s="304">
        <f ca="1" t="shared" si="147"/>
        <v>1101</v>
      </c>
      <c r="AC881" s="153">
        <v>8</v>
      </c>
      <c r="AE881" s="153">
        <v>1</v>
      </c>
      <c r="AF881" s="153" t="str">
        <f ca="1" t="shared" si="150"/>
        <v>20040011|</v>
      </c>
      <c r="AJ881" s="205" t="str">
        <f ca="1" t="shared" si="148"/>
        <v>400023|700|;</v>
      </c>
      <c r="AK881" s="205">
        <f ca="1">OFFSET([1]item_type!$A$1,MATCH(Q881,[1]item_type!$G:$G,0)-1,0)</f>
        <v>302004</v>
      </c>
      <c r="AL881" s="205"/>
      <c r="AM881" s="205">
        <f ca="1">IF(B881=B882,OFFSET(卡牌辅助配置表!$AE$1,MATCH(AB881,卡牌辅助配置表!AB:AB,0),0),0)</f>
        <v>700</v>
      </c>
      <c r="AN881" s="153">
        <f ca="1" t="shared" si="149"/>
        <v>2004002</v>
      </c>
      <c r="AP881" s="153" t="str">
        <f ca="1">IF(AC881=0,0,IF(AC881=12,0,OFFSET(effect!$N$1,MATCH(K881,effect!M:M,0)-1,0)))</f>
        <v>kpsx_pt</v>
      </c>
    </row>
    <row r="882" spans="1:42">
      <c r="A882" s="153">
        <f ca="1" t="shared" si="145"/>
        <v>2004002</v>
      </c>
      <c r="B882" s="91" t="s">
        <v>411</v>
      </c>
      <c r="C882" s="186">
        <v>2</v>
      </c>
      <c r="D882" s="186">
        <v>1</v>
      </c>
      <c r="E882" s="165" t="s">
        <v>1058</v>
      </c>
      <c r="F882" s="165" t="str">
        <f>"第一招打出时，增加"&amp;skill!$O$69/100&amp;"%伤害"</f>
        <v>第一招打出时，增加30%伤害</v>
      </c>
      <c r="G882" s="186"/>
      <c r="H882" s="186" t="e">
        <f ca="1">OFFSET(skill!$Q$1,MATCH(B882,skill!B:B,0)-1,0)</f>
        <v>#VALUE!</v>
      </c>
      <c r="I882" s="186"/>
      <c r="J882" s="186">
        <f ca="1">OFFSET(card_type!$F$1,MATCH(Q882,card_type!A:A,0)-1,0)</f>
        <v>1</v>
      </c>
      <c r="K882" s="243">
        <f ca="1">OFFSET(card_type!$G$1,MATCH(Q882,card_type!A:A,0)-1,0)</f>
        <v>1</v>
      </c>
      <c r="L882" s="157">
        <v>2</v>
      </c>
      <c r="M882" s="157">
        <v>2</v>
      </c>
      <c r="N882" s="153">
        <f t="shared" si="144"/>
        <v>2</v>
      </c>
      <c r="O882" s="157"/>
      <c r="P882" s="157"/>
      <c r="Q882" s="153">
        <f ca="1">OFFSET(card_type!$A$1,MATCH(card!B882,card_type!B:B,0)-1,0)</f>
        <v>2004</v>
      </c>
      <c r="R882" s="153">
        <v>1</v>
      </c>
      <c r="S882" s="157">
        <f ca="1">ROUND(IF(R882=0,0,IF(R882=1,X882*$S$1,IF(R882=2,X882*$S$1*buff的资质计算!$E$2,IF(R882=3,X882*$S$1*buff的资质计算!$E$3,0)))),0)*0</f>
        <v>0</v>
      </c>
      <c r="T882" s="153">
        <v>4</v>
      </c>
      <c r="U882" s="153">
        <f ca="1" t="shared" si="146"/>
        <v>11</v>
      </c>
      <c r="V882" s="153">
        <f ca="1">ROUND((OFFSET(卡牌辅助配置表!$O$1,MATCH(U882,卡牌辅助配置表!M:M,0)-1,0)+(N882-1)*OFFSET(卡牌辅助配置表!$P$1,MATCH(U882,卡牌辅助配置表!M:M,0)-1,0))*M882,2)</f>
        <v>12.96</v>
      </c>
      <c r="W882" s="157">
        <f ca="1">ROUND(IF(R882=0,0,IF(R882=1,X882*$W$1,IF(R882=2,X882*$W$1*buff的资质计算!$E$2,IF(R882=3,X882*$W$1*buff的资质计算!$E$3,0)))),2)</f>
        <v>3.15</v>
      </c>
      <c r="X882" s="157">
        <f ca="1" t="shared" si="142"/>
        <v>10.5</v>
      </c>
      <c r="Y882" s="157" t="e">
        <f ca="1" t="shared" si="151"/>
        <v>#VALUE!</v>
      </c>
      <c r="Z882" s="304" t="e">
        <f ca="1" t="shared" si="143"/>
        <v>#VALUE!</v>
      </c>
      <c r="AA882" s="304">
        <f ca="1">OFFSET(卡牌辅助配置表!$AD$1,MATCH(AB882,卡牌辅助配置表!AB:AB,0)-1,0)</f>
        <v>36</v>
      </c>
      <c r="AB882" s="304">
        <f ca="1" t="shared" si="147"/>
        <v>1102</v>
      </c>
      <c r="AC882" s="153">
        <v>8</v>
      </c>
      <c r="AE882" s="153">
        <v>1</v>
      </c>
      <c r="AF882" s="153" t="str">
        <f ca="1" t="shared" si="150"/>
        <v>20040011|</v>
      </c>
      <c r="AJ882" s="205" t="str">
        <f ca="1" t="shared" si="148"/>
        <v>400023|900|;</v>
      </c>
      <c r="AK882" s="205">
        <f ca="1">OFFSET([1]item_type!$A$1,MATCH(Q882,[1]item_type!$G:$G,0)-1,0)</f>
        <v>302004</v>
      </c>
      <c r="AL882" s="205"/>
      <c r="AM882" s="205">
        <f ca="1">IF(B882=B883,OFFSET(卡牌辅助配置表!$AE$1,MATCH(AB882,卡牌辅助配置表!AB:AB,0),0),0)</f>
        <v>900</v>
      </c>
      <c r="AN882" s="153">
        <f ca="1" t="shared" si="149"/>
        <v>2004003</v>
      </c>
      <c r="AP882" s="153" t="str">
        <f ca="1">IF(AC882=0,0,IF(AC882=12,0,OFFSET(effect!$N$1,MATCH(K882,effect!M:M,0)-1,0)))</f>
        <v>kpsx_pt</v>
      </c>
    </row>
    <row r="883" spans="1:42">
      <c r="A883" s="153">
        <f ca="1" t="shared" si="145"/>
        <v>2004003</v>
      </c>
      <c r="B883" s="91" t="s">
        <v>411</v>
      </c>
      <c r="C883" s="186">
        <v>2</v>
      </c>
      <c r="D883" s="186">
        <v>1</v>
      </c>
      <c r="E883" s="165" t="s">
        <v>1058</v>
      </c>
      <c r="F883" s="165" t="str">
        <f>"第一招打出时，增加"&amp;skill!$O$69/100&amp;"%伤害"</f>
        <v>第一招打出时，增加30%伤害</v>
      </c>
      <c r="G883" s="186"/>
      <c r="H883" s="186" t="e">
        <f ca="1">OFFSET(skill!$Q$1,MATCH(B883,skill!B:B,0)-1,0)</f>
        <v>#VALUE!</v>
      </c>
      <c r="I883" s="186"/>
      <c r="J883" s="186">
        <f ca="1">OFFSET(card_type!$F$1,MATCH(Q883,card_type!A:A,0)-1,0)</f>
        <v>1</v>
      </c>
      <c r="K883" s="243">
        <f ca="1">OFFSET(card_type!$G$1,MATCH(Q883,card_type!A:A,0)-1,0)</f>
        <v>1</v>
      </c>
      <c r="L883" s="157">
        <v>2</v>
      </c>
      <c r="M883" s="157">
        <v>2</v>
      </c>
      <c r="N883" s="153">
        <f t="shared" si="144"/>
        <v>3</v>
      </c>
      <c r="O883" s="157"/>
      <c r="P883" s="157"/>
      <c r="Q883" s="153">
        <f ca="1">OFFSET(card_type!$A$1,MATCH(card!B883,card_type!B:B,0)-1,0)</f>
        <v>2004</v>
      </c>
      <c r="R883" s="153">
        <v>1</v>
      </c>
      <c r="S883" s="157">
        <f ca="1">ROUND(IF(R883=0,0,IF(R883=1,X883*$S$1,IF(R883=2,X883*$S$1*buff的资质计算!$E$2,IF(R883=3,X883*$S$1*buff的资质计算!$E$3,0)))),0)*0</f>
        <v>0</v>
      </c>
      <c r="T883" s="153">
        <v>4</v>
      </c>
      <c r="U883" s="153">
        <f ca="1" t="shared" si="146"/>
        <v>11</v>
      </c>
      <c r="V883" s="153">
        <f ca="1">ROUND((OFFSET(卡牌辅助配置表!$O$1,MATCH(U883,卡牌辅助配置表!M:M,0)-1,0)+(N883-1)*OFFSET(卡牌辅助配置表!$P$1,MATCH(U883,卡牌辅助配置表!M:M,0)-1,0))*M883,2)</f>
        <v>13.38</v>
      </c>
      <c r="W883" s="157">
        <f ca="1">ROUND(IF(R883=0,0,IF(R883=1,X883*$W$1,IF(R883=2,X883*$W$1*buff的资质计算!$E$2,IF(R883=3,X883*$W$1*buff的资质计算!$E$3,0)))),2)</f>
        <v>3.3</v>
      </c>
      <c r="X883" s="157">
        <f ca="1" t="shared" si="142"/>
        <v>11</v>
      </c>
      <c r="Y883" s="157" t="e">
        <f ca="1" t="shared" si="151"/>
        <v>#VALUE!</v>
      </c>
      <c r="Z883" s="304" t="e">
        <f ca="1" t="shared" si="143"/>
        <v>#VALUE!</v>
      </c>
      <c r="AA883" s="304">
        <f ca="1">OFFSET(卡牌辅助配置表!$AD$1,MATCH(AB883,卡牌辅助配置表!AB:AB,0)-1,0)</f>
        <v>54</v>
      </c>
      <c r="AB883" s="304">
        <f ca="1" t="shared" si="147"/>
        <v>1103</v>
      </c>
      <c r="AC883" s="153">
        <v>8</v>
      </c>
      <c r="AE883" s="153">
        <v>1</v>
      </c>
      <c r="AF883" s="153" t="str">
        <f ca="1" t="shared" si="150"/>
        <v>20040011|</v>
      </c>
      <c r="AJ883" s="205" t="str">
        <f ca="1" t="shared" si="148"/>
        <v>400023|1100|;</v>
      </c>
      <c r="AK883" s="205">
        <f ca="1">OFFSET([1]item_type!$A$1,MATCH(Q883,[1]item_type!$G:$G,0)-1,0)</f>
        <v>302004</v>
      </c>
      <c r="AL883" s="205"/>
      <c r="AM883" s="205">
        <f ca="1">IF(B883=B884,OFFSET(卡牌辅助配置表!$AE$1,MATCH(AB883,卡牌辅助配置表!AB:AB,0),0),0)</f>
        <v>1100</v>
      </c>
      <c r="AN883" s="153">
        <f ca="1" t="shared" si="149"/>
        <v>2004004</v>
      </c>
      <c r="AP883" s="153" t="str">
        <f ca="1">IF(AC883=0,0,IF(AC883=12,0,OFFSET(effect!$N$1,MATCH(K883,effect!M:M,0)-1,0)))</f>
        <v>kpsx_pt</v>
      </c>
    </row>
    <row r="884" spans="1:42">
      <c r="A884" s="153">
        <f ca="1" t="shared" si="145"/>
        <v>2004004</v>
      </c>
      <c r="B884" s="91" t="s">
        <v>411</v>
      </c>
      <c r="C884" s="186">
        <v>2</v>
      </c>
      <c r="D884" s="186">
        <v>1</v>
      </c>
      <c r="E884" s="165" t="s">
        <v>1058</v>
      </c>
      <c r="F884" s="165" t="str">
        <f>"第一招打出时，增加"&amp;skill!$O$69/100&amp;"%伤害"</f>
        <v>第一招打出时，增加30%伤害</v>
      </c>
      <c r="G884" s="186"/>
      <c r="H884" s="186" t="e">
        <f ca="1">OFFSET(skill!$Q$1,MATCH(B884,skill!B:B,0)-1,0)</f>
        <v>#VALUE!</v>
      </c>
      <c r="I884" s="186"/>
      <c r="J884" s="186">
        <f ca="1">OFFSET(card_type!$F$1,MATCH(Q884,card_type!A:A,0)-1,0)</f>
        <v>1</v>
      </c>
      <c r="K884" s="243">
        <f ca="1">OFFSET(card_type!$G$1,MATCH(Q884,card_type!A:A,0)-1,0)</f>
        <v>1</v>
      </c>
      <c r="L884" s="157">
        <v>2</v>
      </c>
      <c r="M884" s="157">
        <v>2</v>
      </c>
      <c r="N884" s="153">
        <f t="shared" si="144"/>
        <v>4</v>
      </c>
      <c r="O884" s="157"/>
      <c r="P884" s="157"/>
      <c r="Q884" s="153">
        <f ca="1">OFFSET(card_type!$A$1,MATCH(card!B884,card_type!B:B,0)-1,0)</f>
        <v>2004</v>
      </c>
      <c r="R884" s="153">
        <v>1</v>
      </c>
      <c r="S884" s="157">
        <f ca="1">ROUND(IF(R884=0,0,IF(R884=1,X884*$S$1,IF(R884=2,X884*$S$1*buff的资质计算!$E$2,IF(R884=3,X884*$S$1*buff的资质计算!$E$3,0)))),0)*0</f>
        <v>0</v>
      </c>
      <c r="T884" s="153">
        <v>4</v>
      </c>
      <c r="U884" s="153">
        <f ca="1" t="shared" si="146"/>
        <v>11</v>
      </c>
      <c r="V884" s="153">
        <f ca="1">ROUND((OFFSET(卡牌辅助配置表!$O$1,MATCH(U884,卡牌辅助配置表!M:M,0)-1,0)+(N884-1)*OFFSET(卡牌辅助配置表!$P$1,MATCH(U884,卡牌辅助配置表!M:M,0)-1,0))*M884,2)</f>
        <v>13.79</v>
      </c>
      <c r="W884" s="157">
        <f ca="1">ROUND(IF(R884=0,0,IF(R884=1,X884*$W$1,IF(R884=2,X884*$W$1*buff的资质计算!$E$2,IF(R884=3,X884*$W$1*buff的资质计算!$E$3,0)))),2)</f>
        <v>3.45</v>
      </c>
      <c r="X884" s="157">
        <f ca="1" t="shared" ref="X884:X947" si="152">M884*($M$1+(J884-1)*$J$1+(K884-1)*$K$1)+G884+$J$1*(N884-1)/$N$1</f>
        <v>11.5</v>
      </c>
      <c r="Y884" s="157" t="e">
        <f ca="1" t="shared" si="151"/>
        <v>#VALUE!</v>
      </c>
      <c r="Z884" s="304" t="e">
        <f ca="1" t="shared" ref="Z884:Z947" si="153">Y884/M884</f>
        <v>#VALUE!</v>
      </c>
      <c r="AA884" s="304">
        <f ca="1">OFFSET(卡牌辅助配置表!$AD$1,MATCH(AB884,卡牌辅助配置表!AB:AB,0)-1,0)</f>
        <v>72</v>
      </c>
      <c r="AB884" s="304">
        <f ca="1" t="shared" si="147"/>
        <v>1104</v>
      </c>
      <c r="AC884" s="153">
        <v>8</v>
      </c>
      <c r="AE884" s="153">
        <v>1</v>
      </c>
      <c r="AF884" s="153" t="str">
        <f ca="1" t="shared" si="150"/>
        <v>20040011|</v>
      </c>
      <c r="AJ884" s="205" t="str">
        <f ca="1" t="shared" si="148"/>
        <v>400023|1300|;</v>
      </c>
      <c r="AK884" s="205">
        <f ca="1">OFFSET([1]item_type!$A$1,MATCH(Q884,[1]item_type!$G:$G,0)-1,0)</f>
        <v>302004</v>
      </c>
      <c r="AL884" s="205"/>
      <c r="AM884" s="205">
        <f ca="1">IF(B884=B885,OFFSET(卡牌辅助配置表!$AE$1,MATCH(AB884,卡牌辅助配置表!AB:AB,0),0),0)</f>
        <v>1300</v>
      </c>
      <c r="AN884" s="153">
        <f ca="1" t="shared" si="149"/>
        <v>2004005</v>
      </c>
      <c r="AP884" s="153" t="str">
        <f ca="1">IF(AC884=0,0,IF(AC884=12,0,OFFSET(effect!$N$1,MATCH(K884,effect!M:M,0)-1,0)))</f>
        <v>kpsx_pt</v>
      </c>
    </row>
    <row r="885" spans="1:42">
      <c r="A885" s="153">
        <f ca="1" t="shared" si="145"/>
        <v>2004005</v>
      </c>
      <c r="B885" s="91" t="s">
        <v>411</v>
      </c>
      <c r="C885" s="186">
        <v>2</v>
      </c>
      <c r="D885" s="186">
        <v>1</v>
      </c>
      <c r="E885" s="165" t="s">
        <v>1058</v>
      </c>
      <c r="F885" s="165" t="str">
        <f>"第一招打出时，增加"&amp;skill!$O$69/100&amp;"%伤害"</f>
        <v>第一招打出时，增加30%伤害</v>
      </c>
      <c r="G885" s="186"/>
      <c r="H885" s="186" t="e">
        <f ca="1">OFFSET(skill!$Q$1,MATCH(B885,skill!B:B,0)-1,0)</f>
        <v>#VALUE!</v>
      </c>
      <c r="I885" s="186"/>
      <c r="J885" s="186">
        <f ca="1">OFFSET(card_type!$F$1,MATCH(Q885,card_type!A:A,0)-1,0)</f>
        <v>1</v>
      </c>
      <c r="K885" s="243">
        <f ca="1">OFFSET(card_type!$G$1,MATCH(Q885,card_type!A:A,0)-1,0)</f>
        <v>1</v>
      </c>
      <c r="L885" s="157">
        <v>2</v>
      </c>
      <c r="M885" s="157">
        <v>2</v>
      </c>
      <c r="N885" s="153">
        <f t="shared" ref="N885:N948" si="154">IF(B884=B885,N884+1,1)</f>
        <v>5</v>
      </c>
      <c r="O885" s="157"/>
      <c r="P885" s="157"/>
      <c r="Q885" s="153">
        <f ca="1">OFFSET(card_type!$A$1,MATCH(card!B885,card_type!B:B,0)-1,0)</f>
        <v>2004</v>
      </c>
      <c r="R885" s="153">
        <v>1</v>
      </c>
      <c r="S885" s="157">
        <f ca="1">ROUND(IF(R885=0,0,IF(R885=1,X885*$S$1,IF(R885=2,X885*$S$1*buff的资质计算!$E$2,IF(R885=3,X885*$S$1*buff的资质计算!$E$3,0)))),0)*0</f>
        <v>0</v>
      </c>
      <c r="T885" s="153">
        <v>4</v>
      </c>
      <c r="U885" s="153">
        <f ca="1" t="shared" si="146"/>
        <v>11</v>
      </c>
      <c r="V885" s="153">
        <f ca="1">ROUND((OFFSET(卡牌辅助配置表!$O$1,MATCH(U885,卡牌辅助配置表!M:M,0)-1,0)+(N885-1)*OFFSET(卡牌辅助配置表!$P$1,MATCH(U885,卡牌辅助配置表!M:M,0)-1,0))*M885,2)</f>
        <v>14.21</v>
      </c>
      <c r="W885" s="157">
        <f ca="1">ROUND(IF(R885=0,0,IF(R885=1,X885*$W$1,IF(R885=2,X885*$W$1*buff的资质计算!$E$2,IF(R885=3,X885*$W$1*buff的资质计算!$E$3,0)))),2)</f>
        <v>3.6</v>
      </c>
      <c r="X885" s="157">
        <f ca="1" t="shared" si="152"/>
        <v>12</v>
      </c>
      <c r="Y885" s="157" t="e">
        <f ca="1" t="shared" si="151"/>
        <v>#VALUE!</v>
      </c>
      <c r="Z885" s="304" t="e">
        <f ca="1" t="shared" si="153"/>
        <v>#VALUE!</v>
      </c>
      <c r="AA885" s="304">
        <f ca="1">OFFSET(卡牌辅助配置表!$AD$1,MATCH(AB885,卡牌辅助配置表!AB:AB,0)-1,0)</f>
        <v>90</v>
      </c>
      <c r="AB885" s="304">
        <f ca="1" t="shared" si="147"/>
        <v>1105</v>
      </c>
      <c r="AC885" s="153">
        <v>8</v>
      </c>
      <c r="AE885" s="153">
        <v>1</v>
      </c>
      <c r="AF885" s="153" t="str">
        <f ca="1" t="shared" si="150"/>
        <v>20040011|</v>
      </c>
      <c r="AJ885" s="205" t="str">
        <f ca="1" t="shared" si="148"/>
        <v>400023|1500|;</v>
      </c>
      <c r="AK885" s="205">
        <f ca="1">OFFSET([1]item_type!$A$1,MATCH(Q885,[1]item_type!$G:$G,0)-1,0)</f>
        <v>302004</v>
      </c>
      <c r="AL885" s="205"/>
      <c r="AM885" s="205">
        <f ca="1">IF(B885=B886,OFFSET(卡牌辅助配置表!$AE$1,MATCH(AB885,卡牌辅助配置表!AB:AB,0),0),0)</f>
        <v>1500</v>
      </c>
      <c r="AN885" s="153">
        <f ca="1" t="shared" si="149"/>
        <v>2004006</v>
      </c>
      <c r="AP885" s="153" t="str">
        <f ca="1">IF(AC885=0,0,IF(AC885=12,0,OFFSET(effect!$N$1,MATCH(K885,effect!M:M,0)-1,0)))</f>
        <v>kpsx_pt</v>
      </c>
    </row>
    <row r="886" spans="1:42">
      <c r="A886" s="153">
        <f ca="1" t="shared" si="145"/>
        <v>2004006</v>
      </c>
      <c r="B886" s="91" t="s">
        <v>411</v>
      </c>
      <c r="C886" s="186">
        <v>2</v>
      </c>
      <c r="D886" s="186">
        <v>1</v>
      </c>
      <c r="E886" s="165" t="s">
        <v>1058</v>
      </c>
      <c r="F886" s="165" t="str">
        <f>"第一招打出时，增加"&amp;skill!$O$69/100&amp;"%伤害"</f>
        <v>第一招打出时，增加30%伤害</v>
      </c>
      <c r="G886" s="186"/>
      <c r="H886" s="186" t="e">
        <f ca="1">OFFSET(skill!$Q$1,MATCH(B886,skill!B:B,0)-1,0)</f>
        <v>#VALUE!</v>
      </c>
      <c r="I886" s="186"/>
      <c r="J886" s="186">
        <f ca="1">OFFSET(card_type!$F$1,MATCH(Q886,card_type!A:A,0)-1,0)</f>
        <v>1</v>
      </c>
      <c r="K886" s="243">
        <f ca="1">OFFSET(card_type!$G$1,MATCH(Q886,card_type!A:A,0)-1,0)</f>
        <v>1</v>
      </c>
      <c r="L886" s="157">
        <v>2</v>
      </c>
      <c r="M886" s="157">
        <v>2</v>
      </c>
      <c r="N886" s="153">
        <f t="shared" si="154"/>
        <v>6</v>
      </c>
      <c r="O886" s="157"/>
      <c r="P886" s="157"/>
      <c r="Q886" s="153">
        <f ca="1">OFFSET(card_type!$A$1,MATCH(card!B886,card_type!B:B,0)-1,0)</f>
        <v>2004</v>
      </c>
      <c r="R886" s="153">
        <v>1</v>
      </c>
      <c r="S886" s="157">
        <f ca="1">ROUND(IF(R886=0,0,IF(R886=1,X886*$S$1,IF(R886=2,X886*$S$1*buff的资质计算!$E$2,IF(R886=3,X886*$S$1*buff的资质计算!$E$3,0)))),0)*0</f>
        <v>0</v>
      </c>
      <c r="T886" s="153">
        <v>4</v>
      </c>
      <c r="U886" s="153">
        <f ca="1" t="shared" si="146"/>
        <v>11</v>
      </c>
      <c r="V886" s="153">
        <f ca="1">ROUND((OFFSET(卡牌辅助配置表!$O$1,MATCH(U886,卡牌辅助配置表!M:M,0)-1,0)+(N886-1)*OFFSET(卡牌辅助配置表!$P$1,MATCH(U886,卡牌辅助配置表!M:M,0)-1,0))*M886,2)</f>
        <v>14.63</v>
      </c>
      <c r="W886" s="157">
        <f ca="1">ROUND(IF(R886=0,0,IF(R886=1,X886*$W$1,IF(R886=2,X886*$W$1*buff的资质计算!$E$2,IF(R886=3,X886*$W$1*buff的资质计算!$E$3,0)))),2)</f>
        <v>3.75</v>
      </c>
      <c r="X886" s="157">
        <f ca="1" t="shared" si="152"/>
        <v>12.5</v>
      </c>
      <c r="Y886" s="157" t="e">
        <f ca="1" t="shared" si="151"/>
        <v>#VALUE!</v>
      </c>
      <c r="Z886" s="304" t="e">
        <f ca="1" t="shared" si="153"/>
        <v>#VALUE!</v>
      </c>
      <c r="AA886" s="304">
        <f ca="1">OFFSET(卡牌辅助配置表!$AD$1,MATCH(AB886,卡牌辅助配置表!AB:AB,0)-1,0)</f>
        <v>108</v>
      </c>
      <c r="AB886" s="304">
        <f ca="1" t="shared" si="147"/>
        <v>1106</v>
      </c>
      <c r="AC886" s="153">
        <v>8</v>
      </c>
      <c r="AE886" s="153">
        <v>1</v>
      </c>
      <c r="AF886" s="153" t="str">
        <f ca="1" t="shared" si="150"/>
        <v>20040011|</v>
      </c>
      <c r="AJ886" s="205" t="str">
        <f ca="1" t="shared" si="148"/>
        <v>400023|1700|;</v>
      </c>
      <c r="AK886" s="205">
        <f ca="1">OFFSET([1]item_type!$A$1,MATCH(Q886,[1]item_type!$G:$G,0)-1,0)</f>
        <v>302004</v>
      </c>
      <c r="AL886" s="205"/>
      <c r="AM886" s="205">
        <f ca="1">IF(B886=B887,OFFSET(卡牌辅助配置表!$AE$1,MATCH(AB886,卡牌辅助配置表!AB:AB,0),0),0)</f>
        <v>1700</v>
      </c>
      <c r="AN886" s="153">
        <f ca="1" t="shared" si="149"/>
        <v>2004007</v>
      </c>
      <c r="AP886" s="153" t="str">
        <f ca="1">IF(AC886=0,0,IF(AC886=12,0,OFFSET(effect!$N$1,MATCH(K886,effect!M:M,0)-1,0)))</f>
        <v>kpsx_pt</v>
      </c>
    </row>
    <row r="887" spans="1:42">
      <c r="A887" s="153">
        <f ca="1" t="shared" si="145"/>
        <v>2004007</v>
      </c>
      <c r="B887" s="91" t="s">
        <v>411</v>
      </c>
      <c r="C887" s="186">
        <v>2</v>
      </c>
      <c r="D887" s="186">
        <v>1</v>
      </c>
      <c r="E887" s="165" t="s">
        <v>1058</v>
      </c>
      <c r="F887" s="165" t="str">
        <f>"第一招打出时，增加"&amp;skill!$O$69/100&amp;"%伤害"</f>
        <v>第一招打出时，增加30%伤害</v>
      </c>
      <c r="G887" s="186"/>
      <c r="H887" s="186" t="e">
        <f ca="1">OFFSET(skill!$Q$1,MATCH(B887,skill!B:B,0)-1,0)</f>
        <v>#VALUE!</v>
      </c>
      <c r="I887" s="186"/>
      <c r="J887" s="186">
        <f ca="1">OFFSET(card_type!$F$1,MATCH(Q887,card_type!A:A,0)-1,0)</f>
        <v>1</v>
      </c>
      <c r="K887" s="243">
        <f ca="1">OFFSET(card_type!$G$1,MATCH(Q887,card_type!A:A,0)-1,0)</f>
        <v>1</v>
      </c>
      <c r="L887" s="157">
        <v>2</v>
      </c>
      <c r="M887" s="157">
        <v>2</v>
      </c>
      <c r="N887" s="153">
        <f t="shared" si="154"/>
        <v>7</v>
      </c>
      <c r="O887" s="157"/>
      <c r="P887" s="157"/>
      <c r="Q887" s="153">
        <f ca="1">OFFSET(card_type!$A$1,MATCH(card!B887,card_type!B:B,0)-1,0)</f>
        <v>2004</v>
      </c>
      <c r="R887" s="153">
        <v>1</v>
      </c>
      <c r="S887" s="157">
        <f ca="1">ROUND(IF(R887=0,0,IF(R887=1,X887*$S$1,IF(R887=2,X887*$S$1*buff的资质计算!$E$2,IF(R887=3,X887*$S$1*buff的资质计算!$E$3,0)))),0)*0</f>
        <v>0</v>
      </c>
      <c r="T887" s="153">
        <v>4</v>
      </c>
      <c r="U887" s="153">
        <f ca="1" t="shared" si="146"/>
        <v>11</v>
      </c>
      <c r="V887" s="153">
        <f ca="1">ROUND((OFFSET(卡牌辅助配置表!$O$1,MATCH(U887,卡牌辅助配置表!M:M,0)-1,0)+(N887-1)*OFFSET(卡牌辅助配置表!$P$1,MATCH(U887,卡牌辅助配置表!M:M,0)-1,0))*M887,2)</f>
        <v>15.05</v>
      </c>
      <c r="W887" s="157">
        <f ca="1">ROUND(IF(R887=0,0,IF(R887=1,X887*$W$1,IF(R887=2,X887*$W$1*buff的资质计算!$E$2,IF(R887=3,X887*$W$1*buff的资质计算!$E$3,0)))),2)</f>
        <v>3.9</v>
      </c>
      <c r="X887" s="157">
        <f ca="1" t="shared" si="152"/>
        <v>13</v>
      </c>
      <c r="Y887" s="157" t="e">
        <f ca="1" t="shared" si="151"/>
        <v>#VALUE!</v>
      </c>
      <c r="Z887" s="304" t="e">
        <f ca="1" t="shared" si="153"/>
        <v>#VALUE!</v>
      </c>
      <c r="AA887" s="304">
        <f ca="1">OFFSET(卡牌辅助配置表!$AD$1,MATCH(AB887,卡牌辅助配置表!AB:AB,0)-1,0)</f>
        <v>126</v>
      </c>
      <c r="AB887" s="304">
        <f ca="1" t="shared" si="147"/>
        <v>1107</v>
      </c>
      <c r="AC887" s="153">
        <v>8</v>
      </c>
      <c r="AE887" s="153">
        <v>1</v>
      </c>
      <c r="AF887" s="153" t="str">
        <f ca="1" t="shared" si="150"/>
        <v>20040011|</v>
      </c>
      <c r="AJ887" s="205" t="str">
        <f ca="1" t="shared" si="148"/>
        <v>400023|1900|;</v>
      </c>
      <c r="AK887" s="205">
        <f ca="1">OFFSET([1]item_type!$A$1,MATCH(Q887,[1]item_type!$G:$G,0)-1,0)</f>
        <v>302004</v>
      </c>
      <c r="AL887" s="205"/>
      <c r="AM887" s="205">
        <f ca="1">IF(B887=B888,OFFSET(卡牌辅助配置表!$AE$1,MATCH(AB887,卡牌辅助配置表!AB:AB,0),0),0)</f>
        <v>1900</v>
      </c>
      <c r="AN887" s="153">
        <f ca="1" t="shared" si="149"/>
        <v>2004008</v>
      </c>
      <c r="AP887" s="153" t="str">
        <f ca="1">IF(AC887=0,0,IF(AC887=12,0,OFFSET(effect!$N$1,MATCH(K887,effect!M:M,0)-1,0)))</f>
        <v>kpsx_pt</v>
      </c>
    </row>
    <row r="888" spans="1:42">
      <c r="A888" s="153">
        <f ca="1" t="shared" si="145"/>
        <v>2004008</v>
      </c>
      <c r="B888" s="91" t="s">
        <v>411</v>
      </c>
      <c r="C888" s="186">
        <v>2</v>
      </c>
      <c r="D888" s="186">
        <v>1</v>
      </c>
      <c r="E888" s="165" t="s">
        <v>1058</v>
      </c>
      <c r="F888" s="165" t="str">
        <f>"第一招打出时，增加"&amp;skill!$O$69/100&amp;"%伤害"</f>
        <v>第一招打出时，增加30%伤害</v>
      </c>
      <c r="G888" s="186"/>
      <c r="H888" s="186" t="e">
        <f ca="1">OFFSET(skill!$Q$1,MATCH(B888,skill!B:B,0)-1,0)</f>
        <v>#VALUE!</v>
      </c>
      <c r="I888" s="186"/>
      <c r="J888" s="186">
        <f ca="1">OFFSET(card_type!$F$1,MATCH(Q888,card_type!A:A,0)-1,0)</f>
        <v>1</v>
      </c>
      <c r="K888" s="243">
        <f ca="1">OFFSET(card_type!$G$1,MATCH(Q888,card_type!A:A,0)-1,0)</f>
        <v>1</v>
      </c>
      <c r="L888" s="157">
        <v>2</v>
      </c>
      <c r="M888" s="157">
        <v>2</v>
      </c>
      <c r="N888" s="153">
        <f t="shared" si="154"/>
        <v>8</v>
      </c>
      <c r="O888" s="157"/>
      <c r="P888" s="157"/>
      <c r="Q888" s="153">
        <f ca="1">OFFSET(card_type!$A$1,MATCH(card!B888,card_type!B:B,0)-1,0)</f>
        <v>2004</v>
      </c>
      <c r="R888" s="153">
        <v>1</v>
      </c>
      <c r="S888" s="157">
        <f ca="1">ROUND(IF(R888=0,0,IF(R888=1,X888*$S$1,IF(R888=2,X888*$S$1*buff的资质计算!$E$2,IF(R888=3,X888*$S$1*buff的资质计算!$E$3,0)))),0)*0</f>
        <v>0</v>
      </c>
      <c r="T888" s="153">
        <v>4</v>
      </c>
      <c r="U888" s="153">
        <f ca="1" t="shared" si="146"/>
        <v>11</v>
      </c>
      <c r="V888" s="153">
        <f ca="1">ROUND((OFFSET(卡牌辅助配置表!$O$1,MATCH(U888,卡牌辅助配置表!M:M,0)-1,0)+(N888-1)*OFFSET(卡牌辅助配置表!$P$1,MATCH(U888,卡牌辅助配置表!M:M,0)-1,0))*M888,2)</f>
        <v>15.47</v>
      </c>
      <c r="W888" s="157">
        <f ca="1">ROUND(IF(R888=0,0,IF(R888=1,X888*$W$1,IF(R888=2,X888*$W$1*buff的资质计算!$E$2,IF(R888=3,X888*$W$1*buff的资质计算!$E$3,0)))),2)</f>
        <v>4.05</v>
      </c>
      <c r="X888" s="157">
        <f ca="1" t="shared" si="152"/>
        <v>13.5</v>
      </c>
      <c r="Y888" s="157" t="e">
        <f ca="1" t="shared" si="151"/>
        <v>#VALUE!</v>
      </c>
      <c r="Z888" s="304" t="e">
        <f ca="1" t="shared" si="153"/>
        <v>#VALUE!</v>
      </c>
      <c r="AA888" s="304">
        <f ca="1">OFFSET(卡牌辅助配置表!$AD$1,MATCH(AB888,卡牌辅助配置表!AB:AB,0)-1,0)</f>
        <v>144</v>
      </c>
      <c r="AB888" s="304">
        <f ca="1" t="shared" si="147"/>
        <v>1108</v>
      </c>
      <c r="AC888" s="153">
        <v>8</v>
      </c>
      <c r="AE888" s="153">
        <v>1</v>
      </c>
      <c r="AF888" s="153" t="str">
        <f ca="1" t="shared" si="150"/>
        <v>20040011|</v>
      </c>
      <c r="AJ888" s="205" t="str">
        <f ca="1" t="shared" si="148"/>
        <v>400023|2100|;</v>
      </c>
      <c r="AK888" s="205">
        <f ca="1">OFFSET([1]item_type!$A$1,MATCH(Q888,[1]item_type!$G:$G,0)-1,0)</f>
        <v>302004</v>
      </c>
      <c r="AL888" s="205"/>
      <c r="AM888" s="205">
        <f ca="1">IF(B888=B889,OFFSET(卡牌辅助配置表!$AE$1,MATCH(AB888,卡牌辅助配置表!AB:AB,0),0),0)</f>
        <v>2100</v>
      </c>
      <c r="AN888" s="153">
        <f ca="1" t="shared" si="149"/>
        <v>2004009</v>
      </c>
      <c r="AP888" s="153" t="str">
        <f ca="1">IF(AC888=0,0,IF(AC888=12,0,OFFSET(effect!$N$1,MATCH(K888,effect!M:M,0)-1,0)))</f>
        <v>kpsx_pt</v>
      </c>
    </row>
    <row r="889" spans="1:42">
      <c r="A889" s="153">
        <f ca="1" t="shared" si="145"/>
        <v>2004009</v>
      </c>
      <c r="B889" s="91" t="s">
        <v>411</v>
      </c>
      <c r="C889" s="186">
        <v>2</v>
      </c>
      <c r="D889" s="186">
        <v>1</v>
      </c>
      <c r="E889" s="165" t="s">
        <v>1058</v>
      </c>
      <c r="F889" s="165" t="str">
        <f>"第一招打出时，增加"&amp;skill!$O$69/100&amp;"%伤害"</f>
        <v>第一招打出时，增加30%伤害</v>
      </c>
      <c r="G889" s="186"/>
      <c r="H889" s="186" t="e">
        <f ca="1">OFFSET(skill!$Q$1,MATCH(B889,skill!B:B,0)-1,0)</f>
        <v>#VALUE!</v>
      </c>
      <c r="I889" s="186"/>
      <c r="J889" s="186">
        <f ca="1">OFFSET(card_type!$F$1,MATCH(Q889,card_type!A:A,0)-1,0)</f>
        <v>1</v>
      </c>
      <c r="K889" s="243">
        <f ca="1">OFFSET(card_type!$G$1,MATCH(Q889,card_type!A:A,0)-1,0)</f>
        <v>1</v>
      </c>
      <c r="L889" s="157">
        <v>2</v>
      </c>
      <c r="M889" s="157">
        <v>2</v>
      </c>
      <c r="N889" s="153">
        <f t="shared" si="154"/>
        <v>9</v>
      </c>
      <c r="O889" s="157"/>
      <c r="P889" s="157"/>
      <c r="Q889" s="153">
        <f ca="1">OFFSET(card_type!$A$1,MATCH(card!B889,card_type!B:B,0)-1,0)</f>
        <v>2004</v>
      </c>
      <c r="R889" s="153">
        <v>1</v>
      </c>
      <c r="S889" s="157">
        <f ca="1">ROUND(IF(R889=0,0,IF(R889=1,X889*$S$1,IF(R889=2,X889*$S$1*buff的资质计算!$E$2,IF(R889=3,X889*$S$1*buff的资质计算!$E$3,0)))),0)*0</f>
        <v>0</v>
      </c>
      <c r="T889" s="153">
        <v>4</v>
      </c>
      <c r="U889" s="153">
        <f ca="1" t="shared" si="146"/>
        <v>11</v>
      </c>
      <c r="V889" s="153">
        <f ca="1">ROUND((OFFSET(卡牌辅助配置表!$O$1,MATCH(U889,卡牌辅助配置表!M:M,0)-1,0)+(N889-1)*OFFSET(卡牌辅助配置表!$P$1,MATCH(U889,卡牌辅助配置表!M:M,0)-1,0))*M889,2)</f>
        <v>15.88</v>
      </c>
      <c r="W889" s="157">
        <f ca="1">ROUND(IF(R889=0,0,IF(R889=1,X889*$W$1,IF(R889=2,X889*$W$1*buff的资质计算!$E$2,IF(R889=3,X889*$W$1*buff的资质计算!$E$3,0)))),2)</f>
        <v>4.2</v>
      </c>
      <c r="X889" s="157">
        <f ca="1" t="shared" si="152"/>
        <v>14</v>
      </c>
      <c r="Y889" s="157" t="e">
        <f ca="1" t="shared" si="151"/>
        <v>#VALUE!</v>
      </c>
      <c r="Z889" s="304" t="e">
        <f ca="1" t="shared" si="153"/>
        <v>#VALUE!</v>
      </c>
      <c r="AA889" s="304">
        <f ca="1">OFFSET(卡牌辅助配置表!$AD$1,MATCH(AB889,卡牌辅助配置表!AB:AB,0)-1,0)</f>
        <v>162</v>
      </c>
      <c r="AB889" s="304">
        <f ca="1" t="shared" si="147"/>
        <v>1109</v>
      </c>
      <c r="AC889" s="153">
        <v>8</v>
      </c>
      <c r="AE889" s="153">
        <v>1</v>
      </c>
      <c r="AF889" s="153" t="str">
        <f ca="1" t="shared" si="150"/>
        <v>20040011|</v>
      </c>
      <c r="AJ889" s="205" t="str">
        <f ca="1" t="shared" si="148"/>
        <v>302004|15|;400023|2300|;</v>
      </c>
      <c r="AK889" s="205">
        <f ca="1">OFFSET([1]item_type!$A$1,MATCH(Q889,[1]item_type!$G:$G,0)-1,0)</f>
        <v>302004</v>
      </c>
      <c r="AL889" s="205">
        <v>15</v>
      </c>
      <c r="AM889" s="205">
        <f ca="1">IF(B889=B890,OFFSET(卡牌辅助配置表!$AE$1,MATCH(AB889,卡牌辅助配置表!AB:AB,0),0),0)</f>
        <v>2300</v>
      </c>
      <c r="AN889" s="153">
        <f ca="1" t="shared" si="149"/>
        <v>2004010</v>
      </c>
      <c r="AP889" s="153" t="str">
        <f ca="1">IF(AC889=0,0,IF(AC889=12,0,OFFSET(effect!$N$1,MATCH(K889,effect!M:M,0)-1,0)))</f>
        <v>kpsx_pt</v>
      </c>
    </row>
    <row r="890" spans="1:42">
      <c r="A890" s="153">
        <f ca="1" t="shared" si="145"/>
        <v>2004010</v>
      </c>
      <c r="B890" s="91" t="s">
        <v>411</v>
      </c>
      <c r="C890" s="186">
        <v>2</v>
      </c>
      <c r="D890" s="186">
        <v>1</v>
      </c>
      <c r="E890" s="165" t="s">
        <v>1058</v>
      </c>
      <c r="F890" s="165" t="str">
        <f>"第一招打出时，增加"&amp;skill!$O$69/100&amp;"%伤害"</f>
        <v>第一招打出时，增加30%伤害</v>
      </c>
      <c r="G890" s="186"/>
      <c r="H890" s="186" t="e">
        <f ca="1">OFFSET(skill!$Q$1,MATCH(B890,skill!B:B,0)-1,0)</f>
        <v>#VALUE!</v>
      </c>
      <c r="I890" s="186"/>
      <c r="J890" s="186">
        <f ca="1">OFFSET(card_type!$F$1,MATCH(Q890,card_type!A:A,0)-1,0)</f>
        <v>1</v>
      </c>
      <c r="K890" s="243">
        <f ca="1">OFFSET(card_type!$G$1,MATCH(Q890,card_type!A:A,0)-1,0)</f>
        <v>1</v>
      </c>
      <c r="L890" s="157">
        <v>2</v>
      </c>
      <c r="M890" s="157">
        <v>2</v>
      </c>
      <c r="N890" s="153">
        <f t="shared" si="154"/>
        <v>10</v>
      </c>
      <c r="O890" s="157"/>
      <c r="P890" s="157"/>
      <c r="Q890" s="153">
        <f ca="1">OFFSET(card_type!$A$1,MATCH(card!B890,card_type!B:B,0)-1,0)</f>
        <v>2004</v>
      </c>
      <c r="R890" s="153">
        <v>1</v>
      </c>
      <c r="S890" s="157">
        <f ca="1">ROUND(IF(R890=0,0,IF(R890=1,X890*$S$1,IF(R890=2,X890*$S$1*buff的资质计算!$E$2,IF(R890=3,X890*$S$1*buff的资质计算!$E$3,0)))),0)*0</f>
        <v>0</v>
      </c>
      <c r="T890" s="153">
        <v>4</v>
      </c>
      <c r="U890" s="153">
        <f ca="1" t="shared" si="146"/>
        <v>11</v>
      </c>
      <c r="V890" s="153">
        <f ca="1">ROUND((OFFSET(卡牌辅助配置表!$O$1,MATCH(U890,卡牌辅助配置表!M:M,0)-1,0)+(N890-1)*OFFSET(卡牌辅助配置表!$P$1,MATCH(U890,卡牌辅助配置表!M:M,0)-1,0))*M890,2)</f>
        <v>16.3</v>
      </c>
      <c r="W890" s="157">
        <f ca="1">ROUND(IF(R890=0,0,IF(R890=1,X890*$W$1,IF(R890=2,X890*$W$1*buff的资质计算!$E$2,IF(R890=3,X890*$W$1*buff的资质计算!$E$3,0)))),2)</f>
        <v>4.35</v>
      </c>
      <c r="X890" s="157">
        <f ca="1" t="shared" si="152"/>
        <v>14.5</v>
      </c>
      <c r="Y890" s="157" t="e">
        <f ca="1" t="shared" si="151"/>
        <v>#VALUE!</v>
      </c>
      <c r="Z890" s="304" t="e">
        <f ca="1" t="shared" si="153"/>
        <v>#VALUE!</v>
      </c>
      <c r="AA890" s="304">
        <f ca="1">OFFSET(卡牌辅助配置表!$AD$1,MATCH(AB890,卡牌辅助配置表!AB:AB,0)-1,0)</f>
        <v>180</v>
      </c>
      <c r="AB890" s="304">
        <f ca="1" t="shared" si="147"/>
        <v>1110</v>
      </c>
      <c r="AC890" s="153">
        <v>8</v>
      </c>
      <c r="AE890" s="153">
        <v>1</v>
      </c>
      <c r="AF890" s="153" t="str">
        <f ca="1" t="shared" si="150"/>
        <v>20040011|</v>
      </c>
      <c r="AJ890" s="205" t="str">
        <f ca="1" t="shared" si="148"/>
        <v>400023|2700|;</v>
      </c>
      <c r="AK890" s="205">
        <f ca="1">OFFSET([1]item_type!$A$1,MATCH(Q890,[1]item_type!$G:$G,0)-1,0)</f>
        <v>302004</v>
      </c>
      <c r="AL890" s="205"/>
      <c r="AM890" s="205">
        <f ca="1">IF(B890=B891,OFFSET(卡牌辅助配置表!$AE$1,MATCH(AB890,卡牌辅助配置表!AB:AB,0),0),0)</f>
        <v>2700</v>
      </c>
      <c r="AN890" s="153">
        <f ca="1" t="shared" si="149"/>
        <v>2004011</v>
      </c>
      <c r="AP890" s="153" t="str">
        <f ca="1">IF(AC890=0,0,IF(AC890=12,0,OFFSET(effect!$N$1,MATCH(K890,effect!M:M,0)-1,0)))</f>
        <v>kpsx_pt</v>
      </c>
    </row>
    <row r="891" spans="1:42">
      <c r="A891" s="153">
        <f ca="1" t="shared" si="145"/>
        <v>2004011</v>
      </c>
      <c r="B891" s="91" t="s">
        <v>411</v>
      </c>
      <c r="C891" s="186">
        <v>2</v>
      </c>
      <c r="D891" s="186">
        <v>1</v>
      </c>
      <c r="E891" s="165" t="s">
        <v>1058</v>
      </c>
      <c r="F891" s="165" t="str">
        <f>"第一招打出时，增加"&amp;skill!$O$69/100&amp;"%伤害"</f>
        <v>第一招打出时，增加30%伤害</v>
      </c>
      <c r="G891" s="186"/>
      <c r="H891" s="186" t="e">
        <f ca="1">OFFSET(skill!$Q$1,MATCH(B891,skill!B:B,0)-1,0)</f>
        <v>#VALUE!</v>
      </c>
      <c r="I891" s="186"/>
      <c r="J891" s="186">
        <f ca="1">OFFSET(card_type!$F$1,MATCH(Q891,card_type!A:A,0)-1,0)</f>
        <v>1</v>
      </c>
      <c r="K891" s="243">
        <f ca="1">OFFSET(card_type!$G$1,MATCH(Q891,card_type!A:A,0)-1,0)</f>
        <v>1</v>
      </c>
      <c r="L891" s="157">
        <v>2</v>
      </c>
      <c r="M891" s="157">
        <v>2</v>
      </c>
      <c r="N891" s="153">
        <f t="shared" si="154"/>
        <v>11</v>
      </c>
      <c r="O891" s="157"/>
      <c r="P891" s="157"/>
      <c r="Q891" s="153">
        <f ca="1">OFFSET(card_type!$A$1,MATCH(card!B891,card_type!B:B,0)-1,0)</f>
        <v>2004</v>
      </c>
      <c r="R891" s="153">
        <v>1</v>
      </c>
      <c r="S891" s="157">
        <f ca="1">ROUND(IF(R891=0,0,IF(R891=1,X891*$S$1,IF(R891=2,X891*$S$1*buff的资质计算!$E$2,IF(R891=3,X891*$S$1*buff的资质计算!$E$3,0)))),0)*0</f>
        <v>0</v>
      </c>
      <c r="T891" s="153">
        <v>4</v>
      </c>
      <c r="U891" s="153">
        <f ca="1" t="shared" si="146"/>
        <v>11</v>
      </c>
      <c r="V891" s="153">
        <f ca="1">ROUND((OFFSET(卡牌辅助配置表!$O$1,MATCH(U891,卡牌辅助配置表!M:M,0)-1,0)+(N891-1)*OFFSET(卡牌辅助配置表!$P$1,MATCH(U891,卡牌辅助配置表!M:M,0)-1,0))*M891,2)</f>
        <v>16.72</v>
      </c>
      <c r="W891" s="157">
        <f ca="1">ROUND(IF(R891=0,0,IF(R891=1,X891*$W$1,IF(R891=2,X891*$W$1*buff的资质计算!$E$2,IF(R891=3,X891*$W$1*buff的资质计算!$E$3,0)))),2)</f>
        <v>4.5</v>
      </c>
      <c r="X891" s="157">
        <f ca="1" t="shared" si="152"/>
        <v>15</v>
      </c>
      <c r="Y891" s="157" t="e">
        <f ca="1" t="shared" si="151"/>
        <v>#VALUE!</v>
      </c>
      <c r="Z891" s="304" t="e">
        <f ca="1" t="shared" si="153"/>
        <v>#VALUE!</v>
      </c>
      <c r="AA891" s="304">
        <f ca="1">OFFSET(卡牌辅助配置表!$AD$1,MATCH(AB891,卡牌辅助配置表!AB:AB,0)-1,0)</f>
        <v>207</v>
      </c>
      <c r="AB891" s="304">
        <f ca="1" t="shared" si="147"/>
        <v>1111</v>
      </c>
      <c r="AC891" s="153">
        <v>8</v>
      </c>
      <c r="AE891" s="153">
        <v>1</v>
      </c>
      <c r="AF891" s="153" t="str">
        <f ca="1" t="shared" si="150"/>
        <v>20040011|</v>
      </c>
      <c r="AJ891" s="205" t="str">
        <f ca="1" t="shared" si="148"/>
        <v>400023|3100|;</v>
      </c>
      <c r="AK891" s="205">
        <f ca="1">OFFSET([1]item_type!$A$1,MATCH(Q891,[1]item_type!$G:$G,0)-1,0)</f>
        <v>302004</v>
      </c>
      <c r="AL891" s="205"/>
      <c r="AM891" s="205">
        <f ca="1">IF(B891=B892,OFFSET(卡牌辅助配置表!$AE$1,MATCH(AB891,卡牌辅助配置表!AB:AB,0),0),0)</f>
        <v>3100</v>
      </c>
      <c r="AN891" s="153">
        <f ca="1" t="shared" si="149"/>
        <v>2004012</v>
      </c>
      <c r="AP891" s="153" t="str">
        <f ca="1">IF(AC891=0,0,IF(AC891=12,0,OFFSET(effect!$N$1,MATCH(K891,effect!M:M,0)-1,0)))</f>
        <v>kpsx_pt</v>
      </c>
    </row>
    <row r="892" spans="1:42">
      <c r="A892" s="153">
        <f ca="1" t="shared" si="145"/>
        <v>2004012</v>
      </c>
      <c r="B892" s="91" t="s">
        <v>411</v>
      </c>
      <c r="C892" s="186">
        <v>2</v>
      </c>
      <c r="D892" s="186">
        <v>1</v>
      </c>
      <c r="E892" s="165" t="s">
        <v>1058</v>
      </c>
      <c r="F892" s="165" t="str">
        <f>"第一招打出时，增加"&amp;skill!$O$69/100&amp;"%伤害"</f>
        <v>第一招打出时，增加30%伤害</v>
      </c>
      <c r="G892" s="186"/>
      <c r="H892" s="186" t="e">
        <f ca="1">OFFSET(skill!$Q$1,MATCH(B892,skill!B:B,0)-1,0)</f>
        <v>#VALUE!</v>
      </c>
      <c r="I892" s="186"/>
      <c r="J892" s="186">
        <f ca="1">OFFSET(card_type!$F$1,MATCH(Q892,card_type!A:A,0)-1,0)</f>
        <v>1</v>
      </c>
      <c r="K892" s="243">
        <f ca="1">OFFSET(card_type!$G$1,MATCH(Q892,card_type!A:A,0)-1,0)</f>
        <v>1</v>
      </c>
      <c r="L892" s="157">
        <v>2</v>
      </c>
      <c r="M892" s="157">
        <v>2</v>
      </c>
      <c r="N892" s="153">
        <f t="shared" si="154"/>
        <v>12</v>
      </c>
      <c r="O892" s="157"/>
      <c r="P892" s="157"/>
      <c r="Q892" s="153">
        <f ca="1">OFFSET(card_type!$A$1,MATCH(card!B892,card_type!B:B,0)-1,0)</f>
        <v>2004</v>
      </c>
      <c r="R892" s="153">
        <v>1</v>
      </c>
      <c r="S892" s="157">
        <f ca="1">ROUND(IF(R892=0,0,IF(R892=1,X892*$S$1,IF(R892=2,X892*$S$1*buff的资质计算!$E$2,IF(R892=3,X892*$S$1*buff的资质计算!$E$3,0)))),0)*0</f>
        <v>0</v>
      </c>
      <c r="T892" s="153">
        <v>4</v>
      </c>
      <c r="U892" s="153">
        <f ca="1" t="shared" si="146"/>
        <v>11</v>
      </c>
      <c r="V892" s="153">
        <f ca="1">ROUND((OFFSET(卡牌辅助配置表!$O$1,MATCH(U892,卡牌辅助配置表!M:M,0)-1,0)+(N892-1)*OFFSET(卡牌辅助配置表!$P$1,MATCH(U892,卡牌辅助配置表!M:M,0)-1,0))*M892,2)</f>
        <v>17.14</v>
      </c>
      <c r="W892" s="157">
        <f ca="1">ROUND(IF(R892=0,0,IF(R892=1,X892*$W$1,IF(R892=2,X892*$W$1*buff的资质计算!$E$2,IF(R892=3,X892*$W$1*buff的资质计算!$E$3,0)))),2)</f>
        <v>4.65</v>
      </c>
      <c r="X892" s="157">
        <f ca="1" t="shared" si="152"/>
        <v>15.5</v>
      </c>
      <c r="Y892" s="157" t="e">
        <f ca="1" t="shared" si="151"/>
        <v>#VALUE!</v>
      </c>
      <c r="Z892" s="304" t="e">
        <f ca="1" t="shared" si="153"/>
        <v>#VALUE!</v>
      </c>
      <c r="AA892" s="304">
        <f ca="1">OFFSET(卡牌辅助配置表!$AD$1,MATCH(AB892,卡牌辅助配置表!AB:AB,0)-1,0)</f>
        <v>234</v>
      </c>
      <c r="AB892" s="304">
        <f ca="1" t="shared" si="147"/>
        <v>1112</v>
      </c>
      <c r="AC892" s="153">
        <v>8</v>
      </c>
      <c r="AE892" s="153">
        <v>1</v>
      </c>
      <c r="AF892" s="153" t="str">
        <f ca="1" t="shared" si="150"/>
        <v>20040011|</v>
      </c>
      <c r="AJ892" s="205" t="str">
        <f ca="1" t="shared" si="148"/>
        <v>400023|3500|;</v>
      </c>
      <c r="AK892" s="205">
        <f ca="1">OFFSET([1]item_type!$A$1,MATCH(Q892,[1]item_type!$G:$G,0)-1,0)</f>
        <v>302004</v>
      </c>
      <c r="AL892" s="205"/>
      <c r="AM892" s="205">
        <f ca="1">IF(B892=B893,OFFSET(卡牌辅助配置表!$AE$1,MATCH(AB892,卡牌辅助配置表!AB:AB,0),0),0)</f>
        <v>3500</v>
      </c>
      <c r="AN892" s="153">
        <f ca="1" t="shared" si="149"/>
        <v>2004013</v>
      </c>
      <c r="AP892" s="153" t="str">
        <f ca="1">IF(AC892=0,0,IF(AC892=12,0,OFFSET(effect!$N$1,MATCH(K892,effect!M:M,0)-1,0)))</f>
        <v>kpsx_pt</v>
      </c>
    </row>
    <row r="893" spans="1:42">
      <c r="A893" s="153">
        <f ca="1" t="shared" si="145"/>
        <v>2004013</v>
      </c>
      <c r="B893" s="91" t="s">
        <v>411</v>
      </c>
      <c r="C893" s="186">
        <v>2</v>
      </c>
      <c r="D893" s="186">
        <v>1</v>
      </c>
      <c r="E893" s="165" t="s">
        <v>1058</v>
      </c>
      <c r="F893" s="165" t="str">
        <f>"第一招打出时，增加"&amp;skill!$O$69/100&amp;"%伤害"</f>
        <v>第一招打出时，增加30%伤害</v>
      </c>
      <c r="G893" s="186"/>
      <c r="H893" s="186" t="e">
        <f ca="1">OFFSET(skill!$Q$1,MATCH(B893,skill!B:B,0)-1,0)</f>
        <v>#VALUE!</v>
      </c>
      <c r="I893" s="186"/>
      <c r="J893" s="186">
        <f ca="1">OFFSET(card_type!$F$1,MATCH(Q893,card_type!A:A,0)-1,0)</f>
        <v>1</v>
      </c>
      <c r="K893" s="243">
        <f ca="1">OFFSET(card_type!$G$1,MATCH(Q893,card_type!A:A,0)-1,0)</f>
        <v>1</v>
      </c>
      <c r="L893" s="157">
        <v>2</v>
      </c>
      <c r="M893" s="157">
        <v>2</v>
      </c>
      <c r="N893" s="153">
        <f t="shared" si="154"/>
        <v>13</v>
      </c>
      <c r="O893" s="157"/>
      <c r="P893" s="157"/>
      <c r="Q893" s="153">
        <f ca="1">OFFSET(card_type!$A$1,MATCH(card!B893,card_type!B:B,0)-1,0)</f>
        <v>2004</v>
      </c>
      <c r="R893" s="153">
        <v>1</v>
      </c>
      <c r="S893" s="157">
        <f ca="1">ROUND(IF(R893=0,0,IF(R893=1,X893*$S$1,IF(R893=2,X893*$S$1*buff的资质计算!$E$2,IF(R893=3,X893*$S$1*buff的资质计算!$E$3,0)))),0)*0</f>
        <v>0</v>
      </c>
      <c r="T893" s="153">
        <v>4</v>
      </c>
      <c r="U893" s="153">
        <f ca="1" t="shared" si="146"/>
        <v>11</v>
      </c>
      <c r="V893" s="153">
        <f ca="1">ROUND((OFFSET(卡牌辅助配置表!$O$1,MATCH(U893,卡牌辅助配置表!M:M,0)-1,0)+(N893-1)*OFFSET(卡牌辅助配置表!$P$1,MATCH(U893,卡牌辅助配置表!M:M,0)-1,0))*M893,2)</f>
        <v>17.56</v>
      </c>
      <c r="W893" s="157">
        <f ca="1">ROUND(IF(R893=0,0,IF(R893=1,X893*$W$1,IF(R893=2,X893*$W$1*buff的资质计算!$E$2,IF(R893=3,X893*$W$1*buff的资质计算!$E$3,0)))),2)</f>
        <v>4.8</v>
      </c>
      <c r="X893" s="157">
        <f ca="1" t="shared" si="152"/>
        <v>16</v>
      </c>
      <c r="Y893" s="157" t="e">
        <f ca="1" t="shared" si="151"/>
        <v>#VALUE!</v>
      </c>
      <c r="Z893" s="304" t="e">
        <f ca="1" t="shared" si="153"/>
        <v>#VALUE!</v>
      </c>
      <c r="AA893" s="304">
        <f ca="1">OFFSET(卡牌辅助配置表!$AD$1,MATCH(AB893,卡牌辅助配置表!AB:AB,0)-1,0)</f>
        <v>261</v>
      </c>
      <c r="AB893" s="304">
        <f ca="1" t="shared" si="147"/>
        <v>1113</v>
      </c>
      <c r="AC893" s="153">
        <v>8</v>
      </c>
      <c r="AE893" s="153">
        <v>1</v>
      </c>
      <c r="AF893" s="153" t="str">
        <f ca="1" t="shared" si="150"/>
        <v>20040011|</v>
      </c>
      <c r="AJ893" s="205" t="str">
        <f ca="1" t="shared" si="148"/>
        <v>400023|3900|;</v>
      </c>
      <c r="AK893" s="205">
        <f ca="1">OFFSET([1]item_type!$A$1,MATCH(Q893,[1]item_type!$G:$G,0)-1,0)</f>
        <v>302004</v>
      </c>
      <c r="AL893" s="205"/>
      <c r="AM893" s="205">
        <f ca="1">IF(B893=B894,OFFSET(卡牌辅助配置表!$AE$1,MATCH(AB893,卡牌辅助配置表!AB:AB,0),0),0)</f>
        <v>3900</v>
      </c>
      <c r="AN893" s="153">
        <f ca="1" t="shared" si="149"/>
        <v>2004014</v>
      </c>
      <c r="AP893" s="153" t="str">
        <f ca="1">IF(AC893=0,0,IF(AC893=12,0,OFFSET(effect!$N$1,MATCH(K893,effect!M:M,0)-1,0)))</f>
        <v>kpsx_pt</v>
      </c>
    </row>
    <row r="894" spans="1:42">
      <c r="A894" s="153">
        <f ca="1" t="shared" si="145"/>
        <v>2004014</v>
      </c>
      <c r="B894" s="91" t="s">
        <v>411</v>
      </c>
      <c r="C894" s="186">
        <v>2</v>
      </c>
      <c r="D894" s="186">
        <v>1</v>
      </c>
      <c r="E894" s="165" t="s">
        <v>1058</v>
      </c>
      <c r="F894" s="165" t="str">
        <f>"第一招打出时，增加"&amp;skill!$O$69/100&amp;"%伤害"</f>
        <v>第一招打出时，增加30%伤害</v>
      </c>
      <c r="G894" s="186"/>
      <c r="H894" s="186" t="e">
        <f ca="1">OFFSET(skill!$Q$1,MATCH(B894,skill!B:B,0)-1,0)</f>
        <v>#VALUE!</v>
      </c>
      <c r="I894" s="186"/>
      <c r="J894" s="186">
        <f ca="1">OFFSET(card_type!$F$1,MATCH(Q894,card_type!A:A,0)-1,0)</f>
        <v>1</v>
      </c>
      <c r="K894" s="243">
        <f ca="1">OFFSET(card_type!$G$1,MATCH(Q894,card_type!A:A,0)-1,0)</f>
        <v>1</v>
      </c>
      <c r="L894" s="157">
        <v>2</v>
      </c>
      <c r="M894" s="157">
        <v>2</v>
      </c>
      <c r="N894" s="153">
        <f t="shared" si="154"/>
        <v>14</v>
      </c>
      <c r="O894" s="157"/>
      <c r="P894" s="157"/>
      <c r="Q894" s="153">
        <f ca="1">OFFSET(card_type!$A$1,MATCH(card!B894,card_type!B:B,0)-1,0)</f>
        <v>2004</v>
      </c>
      <c r="R894" s="153">
        <v>1</v>
      </c>
      <c r="S894" s="157">
        <f ca="1">ROUND(IF(R894=0,0,IF(R894=1,X894*$S$1,IF(R894=2,X894*$S$1*buff的资质计算!$E$2,IF(R894=3,X894*$S$1*buff的资质计算!$E$3,0)))),0)*0</f>
        <v>0</v>
      </c>
      <c r="T894" s="153">
        <v>4</v>
      </c>
      <c r="U894" s="153">
        <f ca="1" t="shared" si="146"/>
        <v>11</v>
      </c>
      <c r="V894" s="153">
        <f ca="1">ROUND((OFFSET(卡牌辅助配置表!$O$1,MATCH(U894,卡牌辅助配置表!M:M,0)-1,0)+(N894-1)*OFFSET(卡牌辅助配置表!$P$1,MATCH(U894,卡牌辅助配置表!M:M,0)-1,0))*M894,2)</f>
        <v>17.97</v>
      </c>
      <c r="W894" s="157">
        <f ca="1">ROUND(IF(R894=0,0,IF(R894=1,X894*$W$1,IF(R894=2,X894*$W$1*buff的资质计算!$E$2,IF(R894=3,X894*$W$1*buff的资质计算!$E$3,0)))),2)</f>
        <v>4.95</v>
      </c>
      <c r="X894" s="157">
        <f ca="1" t="shared" si="152"/>
        <v>16.5</v>
      </c>
      <c r="Y894" s="157" t="e">
        <f ca="1" t="shared" si="151"/>
        <v>#VALUE!</v>
      </c>
      <c r="Z894" s="304" t="e">
        <f ca="1" t="shared" si="153"/>
        <v>#VALUE!</v>
      </c>
      <c r="AA894" s="304">
        <f ca="1">OFFSET(卡牌辅助配置表!$AD$1,MATCH(AB894,卡牌辅助配置表!AB:AB,0)-1,0)</f>
        <v>288</v>
      </c>
      <c r="AB894" s="304">
        <f ca="1" t="shared" si="147"/>
        <v>1114</v>
      </c>
      <c r="AC894" s="153">
        <v>8</v>
      </c>
      <c r="AE894" s="153">
        <v>1</v>
      </c>
      <c r="AF894" s="153" t="str">
        <f ca="1" t="shared" si="150"/>
        <v>20040011|</v>
      </c>
      <c r="AJ894" s="205" t="str">
        <f ca="1" t="shared" si="148"/>
        <v>400023|4300|;</v>
      </c>
      <c r="AK894" s="205">
        <f ca="1">OFFSET([1]item_type!$A$1,MATCH(Q894,[1]item_type!$G:$G,0)-1,0)</f>
        <v>302004</v>
      </c>
      <c r="AL894" s="205"/>
      <c r="AM894" s="205">
        <f ca="1">IF(B894=B895,OFFSET(卡牌辅助配置表!$AE$1,MATCH(AB894,卡牌辅助配置表!AB:AB,0),0),0)</f>
        <v>4300</v>
      </c>
      <c r="AN894" s="153">
        <f ca="1" t="shared" si="149"/>
        <v>2004015</v>
      </c>
      <c r="AP894" s="153" t="str">
        <f ca="1">IF(AC894=0,0,IF(AC894=12,0,OFFSET(effect!$N$1,MATCH(K894,effect!M:M,0)-1,0)))</f>
        <v>kpsx_pt</v>
      </c>
    </row>
    <row r="895" spans="1:42">
      <c r="A895" s="153">
        <f ca="1" t="shared" si="145"/>
        <v>2004015</v>
      </c>
      <c r="B895" s="91" t="s">
        <v>411</v>
      </c>
      <c r="C895" s="186">
        <v>2</v>
      </c>
      <c r="D895" s="186">
        <v>1</v>
      </c>
      <c r="E895" s="165" t="s">
        <v>1058</v>
      </c>
      <c r="F895" s="165" t="str">
        <f>"第一招打出时，增加"&amp;skill!$O$69/100&amp;"%伤害"</f>
        <v>第一招打出时，增加30%伤害</v>
      </c>
      <c r="G895" s="186"/>
      <c r="H895" s="186" t="e">
        <f ca="1">OFFSET(skill!$Q$1,MATCH(B895,skill!B:B,0)-1,0)</f>
        <v>#VALUE!</v>
      </c>
      <c r="I895" s="186"/>
      <c r="J895" s="186">
        <f ca="1">OFFSET(card_type!$F$1,MATCH(Q895,card_type!A:A,0)-1,0)</f>
        <v>1</v>
      </c>
      <c r="K895" s="243">
        <f ca="1">OFFSET(card_type!$G$1,MATCH(Q895,card_type!A:A,0)-1,0)</f>
        <v>1</v>
      </c>
      <c r="L895" s="157">
        <v>2</v>
      </c>
      <c r="M895" s="157">
        <v>2</v>
      </c>
      <c r="N895" s="153">
        <f t="shared" si="154"/>
        <v>15</v>
      </c>
      <c r="O895" s="157"/>
      <c r="P895" s="157"/>
      <c r="Q895" s="153">
        <f ca="1">OFFSET(card_type!$A$1,MATCH(card!B895,card_type!B:B,0)-1,0)</f>
        <v>2004</v>
      </c>
      <c r="R895" s="153">
        <v>1</v>
      </c>
      <c r="S895" s="157">
        <f ca="1">ROUND(IF(R895=0,0,IF(R895=1,X895*$S$1,IF(R895=2,X895*$S$1*buff的资质计算!$E$2,IF(R895=3,X895*$S$1*buff的资质计算!$E$3,0)))),0)*0</f>
        <v>0</v>
      </c>
      <c r="T895" s="153">
        <v>4</v>
      </c>
      <c r="U895" s="153">
        <f ca="1" t="shared" si="146"/>
        <v>11</v>
      </c>
      <c r="V895" s="153">
        <f ca="1">ROUND((OFFSET(卡牌辅助配置表!$O$1,MATCH(U895,卡牌辅助配置表!M:M,0)-1,0)+(N895-1)*OFFSET(卡牌辅助配置表!$P$1,MATCH(U895,卡牌辅助配置表!M:M,0)-1,0))*M895,2)</f>
        <v>18.39</v>
      </c>
      <c r="W895" s="157">
        <f ca="1">ROUND(IF(R895=0,0,IF(R895=1,X895*$W$1,IF(R895=2,X895*$W$1*buff的资质计算!$E$2,IF(R895=3,X895*$W$1*buff的资质计算!$E$3,0)))),2)</f>
        <v>5.1</v>
      </c>
      <c r="X895" s="157">
        <f ca="1" t="shared" si="152"/>
        <v>17</v>
      </c>
      <c r="Y895" s="157" t="e">
        <f ca="1" t="shared" si="151"/>
        <v>#VALUE!</v>
      </c>
      <c r="Z895" s="304" t="e">
        <f ca="1" t="shared" si="153"/>
        <v>#VALUE!</v>
      </c>
      <c r="AA895" s="304">
        <f ca="1">OFFSET(卡牌辅助配置表!$AD$1,MATCH(AB895,卡牌辅助配置表!AB:AB,0)-1,0)</f>
        <v>315</v>
      </c>
      <c r="AB895" s="304">
        <f ca="1" t="shared" si="147"/>
        <v>1115</v>
      </c>
      <c r="AC895" s="153">
        <v>8</v>
      </c>
      <c r="AE895" s="153">
        <v>1</v>
      </c>
      <c r="AF895" s="153" t="str">
        <f ca="1" t="shared" si="150"/>
        <v>20040011|</v>
      </c>
      <c r="AJ895" s="205" t="str">
        <f ca="1" t="shared" si="148"/>
        <v>400023|4700|;</v>
      </c>
      <c r="AK895" s="205">
        <f ca="1">OFFSET([1]item_type!$A$1,MATCH(Q895,[1]item_type!$G:$G,0)-1,0)</f>
        <v>302004</v>
      </c>
      <c r="AL895" s="205"/>
      <c r="AM895" s="205">
        <f ca="1">IF(B895=B896,OFFSET(卡牌辅助配置表!$AE$1,MATCH(AB895,卡牌辅助配置表!AB:AB,0),0),0)</f>
        <v>4700</v>
      </c>
      <c r="AN895" s="153">
        <f ca="1" t="shared" si="149"/>
        <v>2004016</v>
      </c>
      <c r="AP895" s="153" t="str">
        <f ca="1">IF(AC895=0,0,IF(AC895=12,0,OFFSET(effect!$N$1,MATCH(K895,effect!M:M,0)-1,0)))</f>
        <v>kpsx_pt</v>
      </c>
    </row>
    <row r="896" spans="1:42">
      <c r="A896" s="153">
        <f ca="1" t="shared" si="145"/>
        <v>2004016</v>
      </c>
      <c r="B896" s="91" t="s">
        <v>411</v>
      </c>
      <c r="C896" s="186">
        <v>2</v>
      </c>
      <c r="D896" s="186">
        <v>1</v>
      </c>
      <c r="E896" s="165" t="s">
        <v>1058</v>
      </c>
      <c r="F896" s="165" t="str">
        <f>"第一招打出时，增加"&amp;skill!$O$69/100&amp;"%伤害"</f>
        <v>第一招打出时，增加30%伤害</v>
      </c>
      <c r="G896" s="186"/>
      <c r="H896" s="186" t="e">
        <f ca="1">OFFSET(skill!$Q$1,MATCH(B896,skill!B:B,0)-1,0)</f>
        <v>#VALUE!</v>
      </c>
      <c r="I896" s="186"/>
      <c r="J896" s="186">
        <f ca="1">OFFSET(card_type!$F$1,MATCH(Q896,card_type!A:A,0)-1,0)</f>
        <v>1</v>
      </c>
      <c r="K896" s="243">
        <f ca="1">OFFSET(card_type!$G$1,MATCH(Q896,card_type!A:A,0)-1,0)</f>
        <v>1</v>
      </c>
      <c r="L896" s="157">
        <v>2</v>
      </c>
      <c r="M896" s="157">
        <v>2</v>
      </c>
      <c r="N896" s="153">
        <f t="shared" si="154"/>
        <v>16</v>
      </c>
      <c r="O896" s="157"/>
      <c r="P896" s="157"/>
      <c r="Q896" s="153">
        <f ca="1">OFFSET(card_type!$A$1,MATCH(card!B896,card_type!B:B,0)-1,0)</f>
        <v>2004</v>
      </c>
      <c r="R896" s="153">
        <v>1</v>
      </c>
      <c r="S896" s="157">
        <f ca="1">ROUND(IF(R896=0,0,IF(R896=1,X896*$S$1,IF(R896=2,X896*$S$1*buff的资质计算!$E$2,IF(R896=3,X896*$S$1*buff的资质计算!$E$3,0)))),0)*0</f>
        <v>0</v>
      </c>
      <c r="T896" s="153">
        <v>4</v>
      </c>
      <c r="U896" s="153">
        <f ca="1" t="shared" si="146"/>
        <v>11</v>
      </c>
      <c r="V896" s="153">
        <f ca="1">ROUND((OFFSET(卡牌辅助配置表!$O$1,MATCH(U896,卡牌辅助配置表!M:M,0)-1,0)+(N896-1)*OFFSET(卡牌辅助配置表!$P$1,MATCH(U896,卡牌辅助配置表!M:M,0)-1,0))*M896,2)</f>
        <v>18.81</v>
      </c>
      <c r="W896" s="157">
        <f ca="1">ROUND(IF(R896=0,0,IF(R896=1,X896*$W$1,IF(R896=2,X896*$W$1*buff的资质计算!$E$2,IF(R896=3,X896*$W$1*buff的资质计算!$E$3,0)))),2)</f>
        <v>5.25</v>
      </c>
      <c r="X896" s="157">
        <f ca="1" t="shared" si="152"/>
        <v>17.5</v>
      </c>
      <c r="Y896" s="157" t="e">
        <f ca="1" t="shared" si="151"/>
        <v>#VALUE!</v>
      </c>
      <c r="Z896" s="304" t="e">
        <f ca="1" t="shared" si="153"/>
        <v>#VALUE!</v>
      </c>
      <c r="AA896" s="304">
        <f ca="1">OFFSET(卡牌辅助配置表!$AD$1,MATCH(AB896,卡牌辅助配置表!AB:AB,0)-1,0)</f>
        <v>342</v>
      </c>
      <c r="AB896" s="304">
        <f ca="1" t="shared" si="147"/>
        <v>1116</v>
      </c>
      <c r="AC896" s="153">
        <v>8</v>
      </c>
      <c r="AE896" s="153">
        <v>1</v>
      </c>
      <c r="AF896" s="153" t="str">
        <f ca="1" t="shared" si="150"/>
        <v>20040011|</v>
      </c>
      <c r="AJ896" s="205" t="str">
        <f ca="1" t="shared" si="148"/>
        <v>400023|5100|;</v>
      </c>
      <c r="AK896" s="205">
        <f ca="1">OFFSET([1]item_type!$A$1,MATCH(Q896,[1]item_type!$G:$G,0)-1,0)</f>
        <v>302004</v>
      </c>
      <c r="AL896" s="205"/>
      <c r="AM896" s="205">
        <f ca="1">IF(B896=B897,OFFSET(卡牌辅助配置表!$AE$1,MATCH(AB896,卡牌辅助配置表!AB:AB,0),0),0)</f>
        <v>5100</v>
      </c>
      <c r="AN896" s="153">
        <f ca="1" t="shared" si="149"/>
        <v>2004017</v>
      </c>
      <c r="AP896" s="153" t="str">
        <f ca="1">IF(AC896=0,0,IF(AC896=12,0,OFFSET(effect!$N$1,MATCH(K896,effect!M:M,0)-1,0)))</f>
        <v>kpsx_pt</v>
      </c>
    </row>
    <row r="897" spans="1:42">
      <c r="A897" s="153">
        <f ca="1" t="shared" si="145"/>
        <v>2004017</v>
      </c>
      <c r="B897" s="91" t="s">
        <v>411</v>
      </c>
      <c r="C897" s="186">
        <v>2</v>
      </c>
      <c r="D897" s="186">
        <v>1</v>
      </c>
      <c r="E897" s="165" t="s">
        <v>1058</v>
      </c>
      <c r="F897" s="165" t="str">
        <f>"第一招打出时，增加"&amp;skill!$O$69/100&amp;"%伤害"</f>
        <v>第一招打出时，增加30%伤害</v>
      </c>
      <c r="G897" s="186"/>
      <c r="H897" s="186" t="e">
        <f ca="1">OFFSET(skill!$Q$1,MATCH(B897,skill!B:B,0)-1,0)</f>
        <v>#VALUE!</v>
      </c>
      <c r="I897" s="186"/>
      <c r="J897" s="186">
        <f ca="1">OFFSET(card_type!$F$1,MATCH(Q897,card_type!A:A,0)-1,0)</f>
        <v>1</v>
      </c>
      <c r="K897" s="243">
        <f ca="1">OFFSET(card_type!$G$1,MATCH(Q897,card_type!A:A,0)-1,0)</f>
        <v>1</v>
      </c>
      <c r="L897" s="157">
        <v>2</v>
      </c>
      <c r="M897" s="157">
        <v>2</v>
      </c>
      <c r="N897" s="153">
        <f t="shared" si="154"/>
        <v>17</v>
      </c>
      <c r="O897" s="157"/>
      <c r="P897" s="157"/>
      <c r="Q897" s="153">
        <f ca="1">OFFSET(card_type!$A$1,MATCH(card!B897,card_type!B:B,0)-1,0)</f>
        <v>2004</v>
      </c>
      <c r="R897" s="153">
        <v>1</v>
      </c>
      <c r="S897" s="157">
        <f ca="1">ROUND(IF(R897=0,0,IF(R897=1,X897*$S$1,IF(R897=2,X897*$S$1*buff的资质计算!$E$2,IF(R897=3,X897*$S$1*buff的资质计算!$E$3,0)))),0)*0</f>
        <v>0</v>
      </c>
      <c r="T897" s="153">
        <v>4</v>
      </c>
      <c r="U897" s="153">
        <f ca="1" t="shared" si="146"/>
        <v>11</v>
      </c>
      <c r="V897" s="153">
        <f ca="1">ROUND((OFFSET(卡牌辅助配置表!$O$1,MATCH(U897,卡牌辅助配置表!M:M,0)-1,0)+(N897-1)*OFFSET(卡牌辅助配置表!$P$1,MATCH(U897,卡牌辅助配置表!M:M,0)-1,0))*M897,2)</f>
        <v>19.23</v>
      </c>
      <c r="W897" s="157">
        <f ca="1">ROUND(IF(R897=0,0,IF(R897=1,X897*$W$1,IF(R897=2,X897*$W$1*buff的资质计算!$E$2,IF(R897=3,X897*$W$1*buff的资质计算!$E$3,0)))),2)</f>
        <v>5.4</v>
      </c>
      <c r="X897" s="157">
        <f ca="1" t="shared" si="152"/>
        <v>18</v>
      </c>
      <c r="Y897" s="157" t="e">
        <f ca="1" t="shared" si="151"/>
        <v>#VALUE!</v>
      </c>
      <c r="Z897" s="304" t="e">
        <f ca="1" t="shared" si="153"/>
        <v>#VALUE!</v>
      </c>
      <c r="AA897" s="304">
        <f ca="1">OFFSET(卡牌辅助配置表!$AD$1,MATCH(AB897,卡牌辅助配置表!AB:AB,0)-1,0)</f>
        <v>369</v>
      </c>
      <c r="AB897" s="304">
        <f ca="1" t="shared" si="147"/>
        <v>1117</v>
      </c>
      <c r="AC897" s="153">
        <v>8</v>
      </c>
      <c r="AE897" s="153">
        <v>1</v>
      </c>
      <c r="AF897" s="153" t="str">
        <f ca="1" t="shared" si="150"/>
        <v>20040011|</v>
      </c>
      <c r="AJ897" s="205" t="str">
        <f ca="1" t="shared" si="148"/>
        <v>400023|5500|;</v>
      </c>
      <c r="AK897" s="205">
        <f ca="1">OFFSET([1]item_type!$A$1,MATCH(Q897,[1]item_type!$G:$G,0)-1,0)</f>
        <v>302004</v>
      </c>
      <c r="AL897" s="205"/>
      <c r="AM897" s="205">
        <f ca="1">IF(B897=B898,OFFSET(卡牌辅助配置表!$AE$1,MATCH(AB897,卡牌辅助配置表!AB:AB,0),0),0)</f>
        <v>5500</v>
      </c>
      <c r="AN897" s="153">
        <f ca="1" t="shared" si="149"/>
        <v>2004018</v>
      </c>
      <c r="AP897" s="153" t="str">
        <f ca="1">IF(AC897=0,0,IF(AC897=12,0,OFFSET(effect!$N$1,MATCH(K897,effect!M:M,0)-1,0)))</f>
        <v>kpsx_pt</v>
      </c>
    </row>
    <row r="898" spans="1:42">
      <c r="A898" s="153">
        <f ca="1" t="shared" si="145"/>
        <v>2004018</v>
      </c>
      <c r="B898" s="91" t="s">
        <v>411</v>
      </c>
      <c r="C898" s="186">
        <v>2</v>
      </c>
      <c r="D898" s="186">
        <v>1</v>
      </c>
      <c r="E898" s="165" t="s">
        <v>1058</v>
      </c>
      <c r="F898" s="165" t="str">
        <f>"第一招打出时，增加"&amp;skill!$O$69/100&amp;"%伤害"</f>
        <v>第一招打出时，增加30%伤害</v>
      </c>
      <c r="G898" s="186"/>
      <c r="H898" s="186" t="e">
        <f ca="1">OFFSET(skill!$Q$1,MATCH(B898,skill!B:B,0)-1,0)</f>
        <v>#VALUE!</v>
      </c>
      <c r="I898" s="186"/>
      <c r="J898" s="186">
        <f ca="1">OFFSET(card_type!$F$1,MATCH(Q898,card_type!A:A,0)-1,0)</f>
        <v>1</v>
      </c>
      <c r="K898" s="243">
        <f ca="1">OFFSET(card_type!$G$1,MATCH(Q898,card_type!A:A,0)-1,0)</f>
        <v>1</v>
      </c>
      <c r="L898" s="157">
        <v>2</v>
      </c>
      <c r="M898" s="157">
        <v>2</v>
      </c>
      <c r="N898" s="153">
        <f t="shared" si="154"/>
        <v>18</v>
      </c>
      <c r="O898" s="157"/>
      <c r="P898" s="157"/>
      <c r="Q898" s="153">
        <f ca="1">OFFSET(card_type!$A$1,MATCH(card!B898,card_type!B:B,0)-1,0)</f>
        <v>2004</v>
      </c>
      <c r="R898" s="153">
        <v>1</v>
      </c>
      <c r="S898" s="157">
        <f ca="1">ROUND(IF(R898=0,0,IF(R898=1,X898*$S$1,IF(R898=2,X898*$S$1*buff的资质计算!$E$2,IF(R898=3,X898*$S$1*buff的资质计算!$E$3,0)))),0)*0</f>
        <v>0</v>
      </c>
      <c r="T898" s="153">
        <v>4</v>
      </c>
      <c r="U898" s="153">
        <f ca="1" t="shared" si="146"/>
        <v>11</v>
      </c>
      <c r="V898" s="153">
        <f ca="1">ROUND((OFFSET(卡牌辅助配置表!$O$1,MATCH(U898,卡牌辅助配置表!M:M,0)-1,0)+(N898-1)*OFFSET(卡牌辅助配置表!$P$1,MATCH(U898,卡牌辅助配置表!M:M,0)-1,0))*M898,2)</f>
        <v>19.65</v>
      </c>
      <c r="W898" s="157">
        <f ca="1">ROUND(IF(R898=0,0,IF(R898=1,X898*$W$1,IF(R898=2,X898*$W$1*buff的资质计算!$E$2,IF(R898=3,X898*$W$1*buff的资质计算!$E$3,0)))),2)</f>
        <v>5.55</v>
      </c>
      <c r="X898" s="157">
        <f ca="1" t="shared" si="152"/>
        <v>18.5</v>
      </c>
      <c r="Y898" s="157" t="e">
        <f ca="1" t="shared" si="151"/>
        <v>#VALUE!</v>
      </c>
      <c r="Z898" s="304" t="e">
        <f ca="1" t="shared" si="153"/>
        <v>#VALUE!</v>
      </c>
      <c r="AA898" s="304">
        <f ca="1">OFFSET(卡牌辅助配置表!$AD$1,MATCH(AB898,卡牌辅助配置表!AB:AB,0)-1,0)</f>
        <v>396</v>
      </c>
      <c r="AB898" s="304">
        <f ca="1" t="shared" si="147"/>
        <v>1118</v>
      </c>
      <c r="AC898" s="153">
        <v>8</v>
      </c>
      <c r="AE898" s="153">
        <v>1</v>
      </c>
      <c r="AF898" s="153" t="str">
        <f ca="1" t="shared" si="150"/>
        <v>20040011|</v>
      </c>
      <c r="AJ898" s="205" t="str">
        <f ca="1" t="shared" si="148"/>
        <v>400023|5900|;</v>
      </c>
      <c r="AK898" s="205">
        <f ca="1">OFFSET([1]item_type!$A$1,MATCH(Q898,[1]item_type!$G:$G,0)-1,0)</f>
        <v>302004</v>
      </c>
      <c r="AL898" s="205"/>
      <c r="AM898" s="205">
        <f ca="1">IF(B898=B899,OFFSET(卡牌辅助配置表!$AE$1,MATCH(AB898,卡牌辅助配置表!AB:AB,0),0),0)</f>
        <v>5900</v>
      </c>
      <c r="AN898" s="153">
        <f ca="1" t="shared" si="149"/>
        <v>2004019</v>
      </c>
      <c r="AP898" s="153" t="str">
        <f ca="1">IF(AC898=0,0,IF(AC898=12,0,OFFSET(effect!$N$1,MATCH(K898,effect!M:M,0)-1,0)))</f>
        <v>kpsx_pt</v>
      </c>
    </row>
    <row r="899" spans="1:42">
      <c r="A899" s="153">
        <f ca="1" t="shared" si="145"/>
        <v>2004019</v>
      </c>
      <c r="B899" s="91" t="s">
        <v>411</v>
      </c>
      <c r="C899" s="186">
        <v>2</v>
      </c>
      <c r="D899" s="186">
        <v>1</v>
      </c>
      <c r="E899" s="165" t="s">
        <v>1058</v>
      </c>
      <c r="F899" s="165" t="str">
        <f>"第一招打出时，增加"&amp;skill!$O$69/100&amp;"%伤害"</f>
        <v>第一招打出时，增加30%伤害</v>
      </c>
      <c r="G899" s="186"/>
      <c r="H899" s="186" t="e">
        <f ca="1">OFFSET(skill!$Q$1,MATCH(B899,skill!B:B,0)-1,0)</f>
        <v>#VALUE!</v>
      </c>
      <c r="I899" s="186"/>
      <c r="J899" s="186">
        <f ca="1">OFFSET(card_type!$F$1,MATCH(Q899,card_type!A:A,0)-1,0)</f>
        <v>1</v>
      </c>
      <c r="K899" s="243">
        <f ca="1">OFFSET(card_type!$G$1,MATCH(Q899,card_type!A:A,0)-1,0)</f>
        <v>1</v>
      </c>
      <c r="L899" s="157">
        <v>2</v>
      </c>
      <c r="M899" s="157">
        <v>2</v>
      </c>
      <c r="N899" s="153">
        <f t="shared" si="154"/>
        <v>19</v>
      </c>
      <c r="O899" s="157"/>
      <c r="P899" s="157"/>
      <c r="Q899" s="153">
        <f ca="1">OFFSET(card_type!$A$1,MATCH(card!B899,card_type!B:B,0)-1,0)</f>
        <v>2004</v>
      </c>
      <c r="R899" s="153">
        <v>1</v>
      </c>
      <c r="S899" s="157">
        <f ca="1">ROUND(IF(R899=0,0,IF(R899=1,X899*$S$1,IF(R899=2,X899*$S$1*buff的资质计算!$E$2,IF(R899=3,X899*$S$1*buff的资质计算!$E$3,0)))),0)*0</f>
        <v>0</v>
      </c>
      <c r="T899" s="153">
        <v>4</v>
      </c>
      <c r="U899" s="153">
        <f ca="1" t="shared" si="146"/>
        <v>11</v>
      </c>
      <c r="V899" s="153">
        <f ca="1">ROUND((OFFSET(卡牌辅助配置表!$O$1,MATCH(U899,卡牌辅助配置表!M:M,0)-1,0)+(N899-1)*OFFSET(卡牌辅助配置表!$P$1,MATCH(U899,卡牌辅助配置表!M:M,0)-1,0))*M899,2)</f>
        <v>20.06</v>
      </c>
      <c r="W899" s="157">
        <f ca="1">ROUND(IF(R899=0,0,IF(R899=1,X899*$W$1,IF(R899=2,X899*$W$1*buff的资质计算!$E$2,IF(R899=3,X899*$W$1*buff的资质计算!$E$3,0)))),2)</f>
        <v>5.7</v>
      </c>
      <c r="X899" s="157">
        <f ca="1" t="shared" si="152"/>
        <v>19</v>
      </c>
      <c r="Y899" s="157" t="e">
        <f ca="1" t="shared" si="151"/>
        <v>#VALUE!</v>
      </c>
      <c r="Z899" s="304" t="e">
        <f ca="1" t="shared" si="153"/>
        <v>#VALUE!</v>
      </c>
      <c r="AA899" s="304">
        <f ca="1">OFFSET(卡牌辅助配置表!$AD$1,MATCH(AB899,卡牌辅助配置表!AB:AB,0)-1,0)</f>
        <v>423</v>
      </c>
      <c r="AB899" s="304">
        <f ca="1" t="shared" si="147"/>
        <v>1119</v>
      </c>
      <c r="AC899" s="153">
        <v>8</v>
      </c>
      <c r="AE899" s="153">
        <v>1</v>
      </c>
      <c r="AF899" s="153" t="str">
        <f ca="1" t="shared" si="150"/>
        <v>20040011|</v>
      </c>
      <c r="AJ899" s="205" t="str">
        <f ca="1" t="shared" si="148"/>
        <v>302004|20|;400023|6300|;</v>
      </c>
      <c r="AK899" s="205">
        <f ca="1">OFFSET([1]item_type!$A$1,MATCH(Q899,[1]item_type!$G:$G,0)-1,0)</f>
        <v>302004</v>
      </c>
      <c r="AL899" s="205">
        <v>20</v>
      </c>
      <c r="AM899" s="205">
        <f ca="1">IF(B899=B900,OFFSET(卡牌辅助配置表!$AE$1,MATCH(AB899,卡牌辅助配置表!AB:AB,0),0),0)</f>
        <v>6300</v>
      </c>
      <c r="AN899" s="153">
        <f ca="1" t="shared" si="149"/>
        <v>2004020</v>
      </c>
      <c r="AP899" s="153" t="str">
        <f ca="1">IF(AC899=0,0,IF(AC899=12,0,OFFSET(effect!$N$1,MATCH(K899,effect!M:M,0)-1,0)))</f>
        <v>kpsx_pt</v>
      </c>
    </row>
    <row r="900" spans="1:42">
      <c r="A900" s="153">
        <f ca="1" t="shared" si="145"/>
        <v>2004020</v>
      </c>
      <c r="B900" s="91" t="s">
        <v>411</v>
      </c>
      <c r="C900" s="186">
        <v>2</v>
      </c>
      <c r="D900" s="186">
        <v>1</v>
      </c>
      <c r="E900" s="165" t="s">
        <v>1058</v>
      </c>
      <c r="F900" s="165" t="str">
        <f>"第一招打出时，增加"&amp;skill!$O$69/100&amp;"%伤害"</f>
        <v>第一招打出时，增加30%伤害</v>
      </c>
      <c r="G900" s="186"/>
      <c r="H900" s="186" t="e">
        <f ca="1">OFFSET(skill!$Q$1,MATCH(B900,skill!B:B,0)-1,0)</f>
        <v>#VALUE!</v>
      </c>
      <c r="I900" s="186"/>
      <c r="J900" s="186">
        <f ca="1">OFFSET(card_type!$F$1,MATCH(Q900,card_type!A:A,0)-1,0)</f>
        <v>1</v>
      </c>
      <c r="K900" s="243">
        <f ca="1">OFFSET(card_type!$G$1,MATCH(Q900,card_type!A:A,0)-1,0)</f>
        <v>1</v>
      </c>
      <c r="L900" s="157">
        <v>2</v>
      </c>
      <c r="M900" s="157">
        <v>2</v>
      </c>
      <c r="N900" s="153">
        <f t="shared" si="154"/>
        <v>20</v>
      </c>
      <c r="O900" s="157"/>
      <c r="P900" s="157"/>
      <c r="Q900" s="153">
        <f ca="1">OFFSET(card_type!$A$1,MATCH(card!B900,card_type!B:B,0)-1,0)</f>
        <v>2004</v>
      </c>
      <c r="R900" s="153">
        <v>1</v>
      </c>
      <c r="S900" s="157">
        <f ca="1">ROUND(IF(R900=0,0,IF(R900=1,X900*$S$1,IF(R900=2,X900*$S$1*buff的资质计算!$E$2,IF(R900=3,X900*$S$1*buff的资质计算!$E$3,0)))),0)*0</f>
        <v>0</v>
      </c>
      <c r="T900" s="153">
        <v>4</v>
      </c>
      <c r="U900" s="153">
        <f ca="1" t="shared" si="146"/>
        <v>11</v>
      </c>
      <c r="V900" s="153">
        <f ca="1">ROUND((OFFSET(卡牌辅助配置表!$O$1,MATCH(U900,卡牌辅助配置表!M:M,0)-1,0)+(N900-1)*OFFSET(卡牌辅助配置表!$P$1,MATCH(U900,卡牌辅助配置表!M:M,0)-1,0))*M900,2)</f>
        <v>20.48</v>
      </c>
      <c r="W900" s="157">
        <f ca="1">ROUND(IF(R900=0,0,IF(R900=1,X900*$W$1,IF(R900=2,X900*$W$1*buff的资质计算!$E$2,IF(R900=3,X900*$W$1*buff的资质计算!$E$3,0)))),2)</f>
        <v>5.85</v>
      </c>
      <c r="X900" s="157">
        <f ca="1" t="shared" si="152"/>
        <v>19.5</v>
      </c>
      <c r="Y900" s="157" t="e">
        <f ca="1" t="shared" si="151"/>
        <v>#VALUE!</v>
      </c>
      <c r="Z900" s="304" t="e">
        <f ca="1" t="shared" si="153"/>
        <v>#VALUE!</v>
      </c>
      <c r="AA900" s="304">
        <f ca="1">OFFSET(卡牌辅助配置表!$AD$1,MATCH(AB900,卡牌辅助配置表!AB:AB,0)-1,0)</f>
        <v>450</v>
      </c>
      <c r="AB900" s="304">
        <f ca="1" t="shared" si="147"/>
        <v>1120</v>
      </c>
      <c r="AC900" s="153">
        <v>8</v>
      </c>
      <c r="AE900" s="153">
        <v>1</v>
      </c>
      <c r="AF900" s="153" t="str">
        <f ca="1" t="shared" si="150"/>
        <v>20040011|</v>
      </c>
      <c r="AJ900" s="205" t="str">
        <f ca="1" t="shared" si="148"/>
        <v>400023|7100|;</v>
      </c>
      <c r="AK900" s="205">
        <f ca="1">OFFSET([1]item_type!$A$1,MATCH(Q900,[1]item_type!$G:$G,0)-1,0)</f>
        <v>302004</v>
      </c>
      <c r="AL900" s="205"/>
      <c r="AM900" s="205">
        <f ca="1">IF(B900=B901,OFFSET(卡牌辅助配置表!$AE$1,MATCH(AB900,卡牌辅助配置表!AB:AB,0),0),0)</f>
        <v>7100</v>
      </c>
      <c r="AN900" s="153">
        <f ca="1" t="shared" si="149"/>
        <v>2004021</v>
      </c>
      <c r="AP900" s="153" t="str">
        <f ca="1">IF(AC900=0,0,IF(AC900=12,0,OFFSET(effect!$N$1,MATCH(K900,effect!M:M,0)-1,0)))</f>
        <v>kpsx_pt</v>
      </c>
    </row>
    <row r="901" spans="1:42">
      <c r="A901" s="153">
        <f ca="1" t="shared" si="145"/>
        <v>2004021</v>
      </c>
      <c r="B901" s="91" t="s">
        <v>411</v>
      </c>
      <c r="C901" s="186">
        <v>2</v>
      </c>
      <c r="D901" s="186">
        <v>1</v>
      </c>
      <c r="E901" s="165" t="s">
        <v>1058</v>
      </c>
      <c r="F901" s="165" t="str">
        <f>"第一招打出时，增加"&amp;skill!$O$69/100&amp;"%伤害"</f>
        <v>第一招打出时，增加30%伤害</v>
      </c>
      <c r="G901" s="186"/>
      <c r="H901" s="186" t="e">
        <f ca="1">OFFSET(skill!$Q$1,MATCH(B901,skill!B:B,0)-1,0)</f>
        <v>#VALUE!</v>
      </c>
      <c r="I901" s="186"/>
      <c r="J901" s="186">
        <f ca="1">OFFSET(card_type!$F$1,MATCH(Q901,card_type!A:A,0)-1,0)</f>
        <v>1</v>
      </c>
      <c r="K901" s="243">
        <f ca="1">OFFSET(card_type!$G$1,MATCH(Q901,card_type!A:A,0)-1,0)</f>
        <v>1</v>
      </c>
      <c r="L901" s="157">
        <v>2</v>
      </c>
      <c r="M901" s="157">
        <v>2</v>
      </c>
      <c r="N901" s="153">
        <f t="shared" si="154"/>
        <v>21</v>
      </c>
      <c r="O901" s="157"/>
      <c r="P901" s="157"/>
      <c r="Q901" s="153">
        <f ca="1">OFFSET(card_type!$A$1,MATCH(card!B901,card_type!B:B,0)-1,0)</f>
        <v>2004</v>
      </c>
      <c r="R901" s="153">
        <v>1</v>
      </c>
      <c r="S901" s="157">
        <f ca="1">ROUND(IF(R901=0,0,IF(R901=1,X901*$S$1,IF(R901=2,X901*$S$1*buff的资质计算!$E$2,IF(R901=3,X901*$S$1*buff的资质计算!$E$3,0)))),0)*0</f>
        <v>0</v>
      </c>
      <c r="T901" s="153">
        <v>4</v>
      </c>
      <c r="U901" s="153">
        <f ca="1" t="shared" si="146"/>
        <v>11</v>
      </c>
      <c r="V901" s="153">
        <f ca="1">ROUND((OFFSET(卡牌辅助配置表!$O$1,MATCH(U901,卡牌辅助配置表!M:M,0)-1,0)+(N901-1)*OFFSET(卡牌辅助配置表!$P$1,MATCH(U901,卡牌辅助配置表!M:M,0)-1,0))*M901,2)</f>
        <v>20.9</v>
      </c>
      <c r="W901" s="157">
        <f ca="1">ROUND(IF(R901=0,0,IF(R901=1,X901*$W$1,IF(R901=2,X901*$W$1*buff的资质计算!$E$2,IF(R901=3,X901*$W$1*buff的资质计算!$E$3,0)))),2)</f>
        <v>6</v>
      </c>
      <c r="X901" s="157">
        <f ca="1" t="shared" si="152"/>
        <v>20</v>
      </c>
      <c r="Y901" s="157" t="e">
        <f ca="1" t="shared" si="151"/>
        <v>#VALUE!</v>
      </c>
      <c r="Z901" s="304" t="e">
        <f ca="1" t="shared" si="153"/>
        <v>#VALUE!</v>
      </c>
      <c r="AA901" s="304">
        <f ca="1">OFFSET(卡牌辅助配置表!$AD$1,MATCH(AB901,卡牌辅助配置表!AB:AB,0)-1,0)</f>
        <v>486</v>
      </c>
      <c r="AB901" s="304">
        <f ca="1" t="shared" si="147"/>
        <v>1121</v>
      </c>
      <c r="AC901" s="153">
        <v>8</v>
      </c>
      <c r="AE901" s="153">
        <v>1</v>
      </c>
      <c r="AF901" s="153" t="str">
        <f ca="1" t="shared" si="150"/>
        <v>20040011|</v>
      </c>
      <c r="AJ901" s="205" t="str">
        <f ca="1" t="shared" si="148"/>
        <v>400023|7900|;</v>
      </c>
      <c r="AK901" s="205">
        <f ca="1">OFFSET([1]item_type!$A$1,MATCH(Q901,[1]item_type!$G:$G,0)-1,0)</f>
        <v>302004</v>
      </c>
      <c r="AL901" s="205"/>
      <c r="AM901" s="205">
        <f ca="1">IF(B901=B902,OFFSET(卡牌辅助配置表!$AE$1,MATCH(AB901,卡牌辅助配置表!AB:AB,0),0),0)</f>
        <v>7900</v>
      </c>
      <c r="AN901" s="153">
        <f ca="1" t="shared" si="149"/>
        <v>2004022</v>
      </c>
      <c r="AP901" s="153" t="str">
        <f ca="1">IF(AC901=0,0,IF(AC901=12,0,OFFSET(effect!$N$1,MATCH(K901,effect!M:M,0)-1,0)))</f>
        <v>kpsx_pt</v>
      </c>
    </row>
    <row r="902" spans="1:42">
      <c r="A902" s="153">
        <f ca="1" t="shared" ref="A902:A965" si="155">Q902*1000+N902</f>
        <v>2004022</v>
      </c>
      <c r="B902" s="91" t="s">
        <v>411</v>
      </c>
      <c r="C902" s="186">
        <v>2</v>
      </c>
      <c r="D902" s="186">
        <v>1</v>
      </c>
      <c r="E902" s="165" t="s">
        <v>1058</v>
      </c>
      <c r="F902" s="165" t="str">
        <f>"第一招打出时，增加"&amp;skill!$O$69/100&amp;"%伤害"</f>
        <v>第一招打出时，增加30%伤害</v>
      </c>
      <c r="G902" s="186"/>
      <c r="H902" s="186" t="e">
        <f ca="1">OFFSET(skill!$Q$1,MATCH(B902,skill!B:B,0)-1,0)</f>
        <v>#VALUE!</v>
      </c>
      <c r="I902" s="186"/>
      <c r="J902" s="186">
        <f ca="1">OFFSET(card_type!$F$1,MATCH(Q902,card_type!A:A,0)-1,0)</f>
        <v>1</v>
      </c>
      <c r="K902" s="243">
        <f ca="1">OFFSET(card_type!$G$1,MATCH(Q902,card_type!A:A,0)-1,0)</f>
        <v>1</v>
      </c>
      <c r="L902" s="157">
        <v>2</v>
      </c>
      <c r="M902" s="157">
        <v>2</v>
      </c>
      <c r="N902" s="153">
        <f t="shared" si="154"/>
        <v>22</v>
      </c>
      <c r="O902" s="157"/>
      <c r="P902" s="157"/>
      <c r="Q902" s="153">
        <f ca="1">OFFSET(card_type!$A$1,MATCH(card!B902,card_type!B:B,0)-1,0)</f>
        <v>2004</v>
      </c>
      <c r="R902" s="153">
        <v>1</v>
      </c>
      <c r="S902" s="157">
        <f ca="1">ROUND(IF(R902=0,0,IF(R902=1,X902*$S$1,IF(R902=2,X902*$S$1*buff的资质计算!$E$2,IF(R902=3,X902*$S$1*buff的资质计算!$E$3,0)))),0)*0</f>
        <v>0</v>
      </c>
      <c r="T902" s="153">
        <v>4</v>
      </c>
      <c r="U902" s="153">
        <f ca="1" t="shared" ref="U902:U965" si="156">J902*10+K902</f>
        <v>11</v>
      </c>
      <c r="V902" s="153">
        <f ca="1">ROUND((OFFSET(卡牌辅助配置表!$O$1,MATCH(U902,卡牌辅助配置表!M:M,0)-1,0)+(N902-1)*OFFSET(卡牌辅助配置表!$P$1,MATCH(U902,卡牌辅助配置表!M:M,0)-1,0))*M902,2)</f>
        <v>21.32</v>
      </c>
      <c r="W902" s="157">
        <f ca="1">ROUND(IF(R902=0,0,IF(R902=1,X902*$W$1,IF(R902=2,X902*$W$1*buff的资质计算!$E$2,IF(R902=3,X902*$W$1*buff的资质计算!$E$3,0)))),2)</f>
        <v>6.15</v>
      </c>
      <c r="X902" s="157">
        <f ca="1" t="shared" si="152"/>
        <v>20.5</v>
      </c>
      <c r="Y902" s="157" t="e">
        <f ca="1" t="shared" si="151"/>
        <v>#VALUE!</v>
      </c>
      <c r="Z902" s="304" t="e">
        <f ca="1" t="shared" si="153"/>
        <v>#VALUE!</v>
      </c>
      <c r="AA902" s="304">
        <f ca="1">OFFSET(卡牌辅助配置表!$AD$1,MATCH(AB902,卡牌辅助配置表!AB:AB,0)-1,0)</f>
        <v>522</v>
      </c>
      <c r="AB902" s="304">
        <f ca="1" t="shared" ref="AB902:AB965" si="157">J902*1000+K902*100+N902</f>
        <v>1122</v>
      </c>
      <c r="AC902" s="153">
        <v>8</v>
      </c>
      <c r="AE902" s="153">
        <v>1</v>
      </c>
      <c r="AF902" s="153" t="str">
        <f ca="1" t="shared" si="150"/>
        <v>20040011|</v>
      </c>
      <c r="AJ902" s="205" t="str">
        <f ca="1" t="shared" ref="AJ902:AJ965" si="158">IF(AN902=0,0,IF(AL902=0,$AM$1&amp;$AF$1&amp;AM902&amp;$AF$1&amp;$AJ$1,AK902&amp;$AF$1&amp;AL902&amp;$AF$1&amp;$AJ$1&amp;$AM$1&amp;$AF$1&amp;AM902&amp;$AF$1&amp;$AJ$1))</f>
        <v>400023|8700|;</v>
      </c>
      <c r="AK902" s="205">
        <f ca="1">OFFSET([1]item_type!$A$1,MATCH(Q902,[1]item_type!$G:$G,0)-1,0)</f>
        <v>302004</v>
      </c>
      <c r="AL902" s="205"/>
      <c r="AM902" s="205">
        <f ca="1">IF(B902=B903,OFFSET(卡牌辅助配置表!$AE$1,MATCH(AB902,卡牌辅助配置表!AB:AB,0),0),0)</f>
        <v>8700</v>
      </c>
      <c r="AN902" s="153">
        <f ca="1" t="shared" ref="AN902:AN965" si="159">IF(B902=B903,A902+1,0)</f>
        <v>2004023</v>
      </c>
      <c r="AP902" s="153" t="str">
        <f ca="1">IF(AC902=0,0,IF(AC902=12,0,OFFSET(effect!$N$1,MATCH(K902,effect!M:M,0)-1,0)))</f>
        <v>kpsx_pt</v>
      </c>
    </row>
    <row r="903" spans="1:42">
      <c r="A903" s="153">
        <f ca="1" t="shared" si="155"/>
        <v>2004023</v>
      </c>
      <c r="B903" s="91" t="s">
        <v>411</v>
      </c>
      <c r="C903" s="186">
        <v>2</v>
      </c>
      <c r="D903" s="186">
        <v>1</v>
      </c>
      <c r="E903" s="165" t="s">
        <v>1058</v>
      </c>
      <c r="F903" s="165" t="str">
        <f>"第一招打出时，增加"&amp;skill!$O$69/100&amp;"%伤害"</f>
        <v>第一招打出时，增加30%伤害</v>
      </c>
      <c r="G903" s="186"/>
      <c r="H903" s="186" t="e">
        <f ca="1">OFFSET(skill!$Q$1,MATCH(B903,skill!B:B,0)-1,0)</f>
        <v>#VALUE!</v>
      </c>
      <c r="I903" s="186"/>
      <c r="J903" s="186">
        <f ca="1">OFFSET(card_type!$F$1,MATCH(Q903,card_type!A:A,0)-1,0)</f>
        <v>1</v>
      </c>
      <c r="K903" s="243">
        <f ca="1">OFFSET(card_type!$G$1,MATCH(Q903,card_type!A:A,0)-1,0)</f>
        <v>1</v>
      </c>
      <c r="L903" s="157">
        <v>2</v>
      </c>
      <c r="M903" s="157">
        <v>2</v>
      </c>
      <c r="N903" s="153">
        <f t="shared" si="154"/>
        <v>23</v>
      </c>
      <c r="O903" s="157"/>
      <c r="P903" s="157"/>
      <c r="Q903" s="153">
        <f ca="1">OFFSET(card_type!$A$1,MATCH(card!B903,card_type!B:B,0)-1,0)</f>
        <v>2004</v>
      </c>
      <c r="R903" s="153">
        <v>1</v>
      </c>
      <c r="S903" s="157">
        <f ca="1">ROUND(IF(R903=0,0,IF(R903=1,X903*$S$1,IF(R903=2,X903*$S$1*buff的资质计算!$E$2,IF(R903=3,X903*$S$1*buff的资质计算!$E$3,0)))),0)*0</f>
        <v>0</v>
      </c>
      <c r="T903" s="153">
        <v>4</v>
      </c>
      <c r="U903" s="153">
        <f ca="1" t="shared" si="156"/>
        <v>11</v>
      </c>
      <c r="V903" s="153">
        <f ca="1">ROUND((OFFSET(卡牌辅助配置表!$O$1,MATCH(U903,卡牌辅助配置表!M:M,0)-1,0)+(N903-1)*OFFSET(卡牌辅助配置表!$P$1,MATCH(U903,卡牌辅助配置表!M:M,0)-1,0))*M903,2)</f>
        <v>21.74</v>
      </c>
      <c r="W903" s="157">
        <f ca="1">ROUND(IF(R903=0,0,IF(R903=1,X903*$W$1,IF(R903=2,X903*$W$1*buff的资质计算!$E$2,IF(R903=3,X903*$W$1*buff的资质计算!$E$3,0)))),2)</f>
        <v>6.3</v>
      </c>
      <c r="X903" s="157">
        <f ca="1" t="shared" si="152"/>
        <v>21</v>
      </c>
      <c r="Y903" s="157" t="e">
        <f ca="1" t="shared" si="151"/>
        <v>#VALUE!</v>
      </c>
      <c r="Z903" s="304" t="e">
        <f ca="1" t="shared" si="153"/>
        <v>#VALUE!</v>
      </c>
      <c r="AA903" s="304">
        <f ca="1">OFFSET(卡牌辅助配置表!$AD$1,MATCH(AB903,卡牌辅助配置表!AB:AB,0)-1,0)</f>
        <v>558</v>
      </c>
      <c r="AB903" s="304">
        <f ca="1" t="shared" si="157"/>
        <v>1123</v>
      </c>
      <c r="AC903" s="153">
        <v>8</v>
      </c>
      <c r="AE903" s="153">
        <v>1</v>
      </c>
      <c r="AF903" s="153" t="str">
        <f ca="1" t="shared" si="150"/>
        <v>20040011|</v>
      </c>
      <c r="AJ903" s="205" t="str">
        <f ca="1" t="shared" si="158"/>
        <v>400023|9500|;</v>
      </c>
      <c r="AK903" s="205">
        <f ca="1">OFFSET([1]item_type!$A$1,MATCH(Q903,[1]item_type!$G:$G,0)-1,0)</f>
        <v>302004</v>
      </c>
      <c r="AL903" s="205"/>
      <c r="AM903" s="205">
        <f ca="1">IF(B903=B904,OFFSET(卡牌辅助配置表!$AE$1,MATCH(AB903,卡牌辅助配置表!AB:AB,0),0),0)</f>
        <v>9500</v>
      </c>
      <c r="AN903" s="153">
        <f ca="1" t="shared" si="159"/>
        <v>2004024</v>
      </c>
      <c r="AP903" s="153" t="str">
        <f ca="1">IF(AC903=0,0,IF(AC903=12,0,OFFSET(effect!$N$1,MATCH(K903,effect!M:M,0)-1,0)))</f>
        <v>kpsx_pt</v>
      </c>
    </row>
    <row r="904" spans="1:42">
      <c r="A904" s="153">
        <f ca="1" t="shared" si="155"/>
        <v>2004024</v>
      </c>
      <c r="B904" s="91" t="s">
        <v>411</v>
      </c>
      <c r="C904" s="186">
        <v>2</v>
      </c>
      <c r="D904" s="186">
        <v>1</v>
      </c>
      <c r="E904" s="165" t="s">
        <v>1058</v>
      </c>
      <c r="F904" s="165" t="str">
        <f>"第一招打出时，增加"&amp;skill!$O$69/100&amp;"%伤害"</f>
        <v>第一招打出时，增加30%伤害</v>
      </c>
      <c r="G904" s="186"/>
      <c r="H904" s="186" t="e">
        <f ca="1">OFFSET(skill!$Q$1,MATCH(B904,skill!B:B,0)-1,0)</f>
        <v>#VALUE!</v>
      </c>
      <c r="I904" s="186"/>
      <c r="J904" s="186">
        <f ca="1">OFFSET(card_type!$F$1,MATCH(Q904,card_type!A:A,0)-1,0)</f>
        <v>1</v>
      </c>
      <c r="K904" s="243">
        <f ca="1">OFFSET(card_type!$G$1,MATCH(Q904,card_type!A:A,0)-1,0)</f>
        <v>1</v>
      </c>
      <c r="L904" s="157">
        <v>2</v>
      </c>
      <c r="M904" s="157">
        <v>2</v>
      </c>
      <c r="N904" s="153">
        <f t="shared" si="154"/>
        <v>24</v>
      </c>
      <c r="O904" s="157"/>
      <c r="P904" s="157"/>
      <c r="Q904" s="153">
        <f ca="1">OFFSET(card_type!$A$1,MATCH(card!B904,card_type!B:B,0)-1,0)</f>
        <v>2004</v>
      </c>
      <c r="R904" s="153">
        <v>1</v>
      </c>
      <c r="S904" s="157">
        <f ca="1">ROUND(IF(R904=0,0,IF(R904=1,X904*$S$1,IF(R904=2,X904*$S$1*buff的资质计算!$E$2,IF(R904=3,X904*$S$1*buff的资质计算!$E$3,0)))),0)*0</f>
        <v>0</v>
      </c>
      <c r="T904" s="153">
        <v>4</v>
      </c>
      <c r="U904" s="153">
        <f ca="1" t="shared" si="156"/>
        <v>11</v>
      </c>
      <c r="V904" s="153">
        <f ca="1">ROUND((OFFSET(卡牌辅助配置表!$O$1,MATCH(U904,卡牌辅助配置表!M:M,0)-1,0)+(N904-1)*OFFSET(卡牌辅助配置表!$P$1,MATCH(U904,卡牌辅助配置表!M:M,0)-1,0))*M904,2)</f>
        <v>22.15</v>
      </c>
      <c r="W904" s="157">
        <f ca="1">ROUND(IF(R904=0,0,IF(R904=1,X904*$W$1,IF(R904=2,X904*$W$1*buff的资质计算!$E$2,IF(R904=3,X904*$W$1*buff的资质计算!$E$3,0)))),2)</f>
        <v>6.45</v>
      </c>
      <c r="X904" s="157">
        <f ca="1" t="shared" si="152"/>
        <v>21.5</v>
      </c>
      <c r="Y904" s="157" t="e">
        <f ca="1" t="shared" si="151"/>
        <v>#VALUE!</v>
      </c>
      <c r="Z904" s="304" t="e">
        <f ca="1" t="shared" si="153"/>
        <v>#VALUE!</v>
      </c>
      <c r="AA904" s="304">
        <f ca="1">OFFSET(卡牌辅助配置表!$AD$1,MATCH(AB904,卡牌辅助配置表!AB:AB,0)-1,0)</f>
        <v>594</v>
      </c>
      <c r="AB904" s="304">
        <f ca="1" t="shared" si="157"/>
        <v>1124</v>
      </c>
      <c r="AC904" s="153">
        <v>8</v>
      </c>
      <c r="AE904" s="153">
        <v>1</v>
      </c>
      <c r="AF904" s="153" t="str">
        <f ca="1" t="shared" si="150"/>
        <v>20040011|</v>
      </c>
      <c r="AJ904" s="205" t="str">
        <f ca="1" t="shared" si="158"/>
        <v>400023|10300|;</v>
      </c>
      <c r="AK904" s="205">
        <f ca="1">OFFSET([1]item_type!$A$1,MATCH(Q904,[1]item_type!$G:$G,0)-1,0)</f>
        <v>302004</v>
      </c>
      <c r="AL904" s="205"/>
      <c r="AM904" s="205">
        <f ca="1">IF(B904=B905,OFFSET(卡牌辅助配置表!$AE$1,MATCH(AB904,卡牌辅助配置表!AB:AB,0),0),0)</f>
        <v>10300</v>
      </c>
      <c r="AN904" s="153">
        <f ca="1" t="shared" si="159"/>
        <v>2004025</v>
      </c>
      <c r="AP904" s="153" t="str">
        <f ca="1">IF(AC904=0,0,IF(AC904=12,0,OFFSET(effect!$N$1,MATCH(K904,effect!M:M,0)-1,0)))</f>
        <v>kpsx_pt</v>
      </c>
    </row>
    <row r="905" spans="1:42">
      <c r="A905" s="153">
        <f ca="1" t="shared" si="155"/>
        <v>2004025</v>
      </c>
      <c r="B905" s="91" t="s">
        <v>411</v>
      </c>
      <c r="C905" s="186">
        <v>2</v>
      </c>
      <c r="D905" s="186">
        <v>1</v>
      </c>
      <c r="E905" s="165" t="s">
        <v>1058</v>
      </c>
      <c r="F905" s="165" t="str">
        <f>"第一招打出时，增加"&amp;skill!$O$69/100&amp;"%伤害"</f>
        <v>第一招打出时，增加30%伤害</v>
      </c>
      <c r="G905" s="186"/>
      <c r="H905" s="186" t="e">
        <f ca="1">OFFSET(skill!$Q$1,MATCH(B905,skill!B:B,0)-1,0)</f>
        <v>#VALUE!</v>
      </c>
      <c r="I905" s="186"/>
      <c r="J905" s="186">
        <f ca="1">OFFSET(card_type!$F$1,MATCH(Q905,card_type!A:A,0)-1,0)</f>
        <v>1</v>
      </c>
      <c r="K905" s="243">
        <f ca="1">OFFSET(card_type!$G$1,MATCH(Q905,card_type!A:A,0)-1,0)</f>
        <v>1</v>
      </c>
      <c r="L905" s="157">
        <v>2</v>
      </c>
      <c r="M905" s="157">
        <v>2</v>
      </c>
      <c r="N905" s="153">
        <f t="shared" si="154"/>
        <v>25</v>
      </c>
      <c r="O905" s="157"/>
      <c r="P905" s="157"/>
      <c r="Q905" s="153">
        <f ca="1">OFFSET(card_type!$A$1,MATCH(card!B905,card_type!B:B,0)-1,0)</f>
        <v>2004</v>
      </c>
      <c r="R905" s="153">
        <v>1</v>
      </c>
      <c r="S905" s="157">
        <f ca="1">ROUND(IF(R905=0,0,IF(R905=1,X905*$S$1,IF(R905=2,X905*$S$1*buff的资质计算!$E$2,IF(R905=3,X905*$S$1*buff的资质计算!$E$3,0)))),0)*0</f>
        <v>0</v>
      </c>
      <c r="T905" s="153">
        <v>4</v>
      </c>
      <c r="U905" s="153">
        <f ca="1" t="shared" si="156"/>
        <v>11</v>
      </c>
      <c r="V905" s="153">
        <f ca="1">ROUND((OFFSET(卡牌辅助配置表!$O$1,MATCH(U905,卡牌辅助配置表!M:M,0)-1,0)+(N905-1)*OFFSET(卡牌辅助配置表!$P$1,MATCH(U905,卡牌辅助配置表!M:M,0)-1,0))*M905,2)</f>
        <v>22.57</v>
      </c>
      <c r="W905" s="157">
        <f ca="1">ROUND(IF(R905=0,0,IF(R905=1,X905*$W$1,IF(R905=2,X905*$W$1*buff的资质计算!$E$2,IF(R905=3,X905*$W$1*buff的资质计算!$E$3,0)))),2)</f>
        <v>6.6</v>
      </c>
      <c r="X905" s="157">
        <f ca="1" t="shared" si="152"/>
        <v>22</v>
      </c>
      <c r="Y905" s="157" t="e">
        <f ca="1" t="shared" si="151"/>
        <v>#VALUE!</v>
      </c>
      <c r="Z905" s="304" t="e">
        <f ca="1" t="shared" si="153"/>
        <v>#VALUE!</v>
      </c>
      <c r="AA905" s="304">
        <f ca="1">OFFSET(卡牌辅助配置表!$AD$1,MATCH(AB905,卡牌辅助配置表!AB:AB,0)-1,0)</f>
        <v>630</v>
      </c>
      <c r="AB905" s="304">
        <f ca="1" t="shared" si="157"/>
        <v>1125</v>
      </c>
      <c r="AC905" s="153">
        <v>8</v>
      </c>
      <c r="AE905" s="153">
        <v>1</v>
      </c>
      <c r="AF905" s="153" t="str">
        <f ca="1" t="shared" si="150"/>
        <v>20040011|</v>
      </c>
      <c r="AJ905" s="205" t="str">
        <f ca="1" t="shared" si="158"/>
        <v>400023|11100|;</v>
      </c>
      <c r="AK905" s="205">
        <f ca="1">OFFSET([1]item_type!$A$1,MATCH(Q905,[1]item_type!$G:$G,0)-1,0)</f>
        <v>302004</v>
      </c>
      <c r="AL905" s="205"/>
      <c r="AM905" s="205">
        <f ca="1">IF(B905=B906,OFFSET(卡牌辅助配置表!$AE$1,MATCH(AB905,卡牌辅助配置表!AB:AB,0),0),0)</f>
        <v>11100</v>
      </c>
      <c r="AN905" s="153">
        <f ca="1" t="shared" si="159"/>
        <v>2004026</v>
      </c>
      <c r="AP905" s="153" t="str">
        <f ca="1">IF(AC905=0,0,IF(AC905=12,0,OFFSET(effect!$N$1,MATCH(K905,effect!M:M,0)-1,0)))</f>
        <v>kpsx_pt</v>
      </c>
    </row>
    <row r="906" spans="1:42">
      <c r="A906" s="153">
        <f ca="1" t="shared" si="155"/>
        <v>2004026</v>
      </c>
      <c r="B906" s="91" t="s">
        <v>411</v>
      </c>
      <c r="C906" s="186">
        <v>2</v>
      </c>
      <c r="D906" s="186">
        <v>1</v>
      </c>
      <c r="E906" s="165" t="s">
        <v>1058</v>
      </c>
      <c r="F906" s="165" t="str">
        <f>"第一招打出时，增加"&amp;skill!$O$69/100&amp;"%伤害"</f>
        <v>第一招打出时，增加30%伤害</v>
      </c>
      <c r="G906" s="186"/>
      <c r="H906" s="186" t="e">
        <f ca="1">OFFSET(skill!$Q$1,MATCH(B906,skill!B:B,0)-1,0)</f>
        <v>#VALUE!</v>
      </c>
      <c r="I906" s="186"/>
      <c r="J906" s="186">
        <f ca="1">OFFSET(card_type!$F$1,MATCH(Q906,card_type!A:A,0)-1,0)</f>
        <v>1</v>
      </c>
      <c r="K906" s="243">
        <f ca="1">OFFSET(card_type!$G$1,MATCH(Q906,card_type!A:A,0)-1,0)</f>
        <v>1</v>
      </c>
      <c r="L906" s="157">
        <v>2</v>
      </c>
      <c r="M906" s="157">
        <v>2</v>
      </c>
      <c r="N906" s="153">
        <f t="shared" si="154"/>
        <v>26</v>
      </c>
      <c r="O906" s="157"/>
      <c r="P906" s="157"/>
      <c r="Q906" s="153">
        <f ca="1">OFFSET(card_type!$A$1,MATCH(card!B906,card_type!B:B,0)-1,0)</f>
        <v>2004</v>
      </c>
      <c r="R906" s="153">
        <v>1</v>
      </c>
      <c r="S906" s="157">
        <f ca="1">ROUND(IF(R906=0,0,IF(R906=1,X906*$S$1,IF(R906=2,X906*$S$1*buff的资质计算!$E$2,IF(R906=3,X906*$S$1*buff的资质计算!$E$3,0)))),0)*0</f>
        <v>0</v>
      </c>
      <c r="T906" s="153">
        <v>4</v>
      </c>
      <c r="U906" s="153">
        <f ca="1" t="shared" si="156"/>
        <v>11</v>
      </c>
      <c r="V906" s="153">
        <f ca="1">ROUND((OFFSET(卡牌辅助配置表!$O$1,MATCH(U906,卡牌辅助配置表!M:M,0)-1,0)+(N906-1)*OFFSET(卡牌辅助配置表!$P$1,MATCH(U906,卡牌辅助配置表!M:M,0)-1,0))*M906,2)</f>
        <v>22.99</v>
      </c>
      <c r="W906" s="157">
        <f ca="1">ROUND(IF(R906=0,0,IF(R906=1,X906*$W$1,IF(R906=2,X906*$W$1*buff的资质计算!$E$2,IF(R906=3,X906*$W$1*buff的资质计算!$E$3,0)))),2)</f>
        <v>6.75</v>
      </c>
      <c r="X906" s="157">
        <f ca="1" t="shared" si="152"/>
        <v>22.5</v>
      </c>
      <c r="Y906" s="157" t="e">
        <f ca="1" t="shared" si="151"/>
        <v>#VALUE!</v>
      </c>
      <c r="Z906" s="304" t="e">
        <f ca="1" t="shared" si="153"/>
        <v>#VALUE!</v>
      </c>
      <c r="AA906" s="304">
        <f ca="1">OFFSET(卡牌辅助配置表!$AD$1,MATCH(AB906,卡牌辅助配置表!AB:AB,0)-1,0)</f>
        <v>666</v>
      </c>
      <c r="AB906" s="304">
        <f ca="1" t="shared" si="157"/>
        <v>1126</v>
      </c>
      <c r="AC906" s="153">
        <v>8</v>
      </c>
      <c r="AE906" s="153">
        <v>1</v>
      </c>
      <c r="AF906" s="153" t="str">
        <f ca="1" t="shared" si="150"/>
        <v>20040011|</v>
      </c>
      <c r="AJ906" s="205" t="str">
        <f ca="1" t="shared" si="158"/>
        <v>400023|11900|;</v>
      </c>
      <c r="AK906" s="205">
        <f ca="1">OFFSET([1]item_type!$A$1,MATCH(Q906,[1]item_type!$G:$G,0)-1,0)</f>
        <v>302004</v>
      </c>
      <c r="AL906" s="205"/>
      <c r="AM906" s="205">
        <f ca="1">IF(B906=B907,OFFSET(卡牌辅助配置表!$AE$1,MATCH(AB906,卡牌辅助配置表!AB:AB,0),0),0)</f>
        <v>11900</v>
      </c>
      <c r="AN906" s="153">
        <f ca="1" t="shared" si="159"/>
        <v>2004027</v>
      </c>
      <c r="AP906" s="153" t="str">
        <f ca="1">IF(AC906=0,0,IF(AC906=12,0,OFFSET(effect!$N$1,MATCH(K906,effect!M:M,0)-1,0)))</f>
        <v>kpsx_pt</v>
      </c>
    </row>
    <row r="907" spans="1:42">
      <c r="A907" s="153">
        <f ca="1" t="shared" si="155"/>
        <v>2004027</v>
      </c>
      <c r="B907" s="91" t="s">
        <v>411</v>
      </c>
      <c r="C907" s="186">
        <v>2</v>
      </c>
      <c r="D907" s="186">
        <v>1</v>
      </c>
      <c r="E907" s="165" t="s">
        <v>1058</v>
      </c>
      <c r="F907" s="165" t="str">
        <f>"第一招打出时，增加"&amp;skill!$O$69/100&amp;"%伤害"</f>
        <v>第一招打出时，增加30%伤害</v>
      </c>
      <c r="G907" s="186"/>
      <c r="H907" s="186" t="e">
        <f ca="1">OFFSET(skill!$Q$1,MATCH(B907,skill!B:B,0)-1,0)</f>
        <v>#VALUE!</v>
      </c>
      <c r="I907" s="186"/>
      <c r="J907" s="186">
        <f ca="1">OFFSET(card_type!$F$1,MATCH(Q907,card_type!A:A,0)-1,0)</f>
        <v>1</v>
      </c>
      <c r="K907" s="243">
        <f ca="1">OFFSET(card_type!$G$1,MATCH(Q907,card_type!A:A,0)-1,0)</f>
        <v>1</v>
      </c>
      <c r="L907" s="157">
        <v>2</v>
      </c>
      <c r="M907" s="157">
        <v>2</v>
      </c>
      <c r="N907" s="153">
        <f t="shared" si="154"/>
        <v>27</v>
      </c>
      <c r="O907" s="157"/>
      <c r="P907" s="157"/>
      <c r="Q907" s="153">
        <f ca="1">OFFSET(card_type!$A$1,MATCH(card!B907,card_type!B:B,0)-1,0)</f>
        <v>2004</v>
      </c>
      <c r="R907" s="153">
        <v>1</v>
      </c>
      <c r="S907" s="157">
        <f ca="1">ROUND(IF(R907=0,0,IF(R907=1,X907*$S$1,IF(R907=2,X907*$S$1*buff的资质计算!$E$2,IF(R907=3,X907*$S$1*buff的资质计算!$E$3,0)))),0)*0</f>
        <v>0</v>
      </c>
      <c r="T907" s="153">
        <v>4</v>
      </c>
      <c r="U907" s="153">
        <f ca="1" t="shared" si="156"/>
        <v>11</v>
      </c>
      <c r="V907" s="153">
        <f ca="1">ROUND((OFFSET(卡牌辅助配置表!$O$1,MATCH(U907,卡牌辅助配置表!M:M,0)-1,0)+(N907-1)*OFFSET(卡牌辅助配置表!$P$1,MATCH(U907,卡牌辅助配置表!M:M,0)-1,0))*M907,2)</f>
        <v>23.41</v>
      </c>
      <c r="W907" s="157">
        <f ca="1">ROUND(IF(R907=0,0,IF(R907=1,X907*$W$1,IF(R907=2,X907*$W$1*buff的资质计算!$E$2,IF(R907=3,X907*$W$1*buff的资质计算!$E$3,0)))),2)</f>
        <v>6.9</v>
      </c>
      <c r="X907" s="157">
        <f ca="1" t="shared" si="152"/>
        <v>23</v>
      </c>
      <c r="Y907" s="157" t="e">
        <f ca="1" t="shared" si="151"/>
        <v>#VALUE!</v>
      </c>
      <c r="Z907" s="304" t="e">
        <f ca="1" t="shared" si="153"/>
        <v>#VALUE!</v>
      </c>
      <c r="AA907" s="304">
        <f ca="1">OFFSET(卡牌辅助配置表!$AD$1,MATCH(AB907,卡牌辅助配置表!AB:AB,0)-1,0)</f>
        <v>702</v>
      </c>
      <c r="AB907" s="304">
        <f ca="1" t="shared" si="157"/>
        <v>1127</v>
      </c>
      <c r="AC907" s="153">
        <v>8</v>
      </c>
      <c r="AE907" s="153">
        <v>1</v>
      </c>
      <c r="AF907" s="153" t="str">
        <f ca="1" t="shared" si="150"/>
        <v>20040011|</v>
      </c>
      <c r="AJ907" s="205" t="str">
        <f ca="1" t="shared" si="158"/>
        <v>400023|12700|;</v>
      </c>
      <c r="AK907" s="205">
        <f ca="1">OFFSET([1]item_type!$A$1,MATCH(Q907,[1]item_type!$G:$G,0)-1,0)</f>
        <v>302004</v>
      </c>
      <c r="AL907" s="205"/>
      <c r="AM907" s="205">
        <f ca="1">IF(B907=B908,OFFSET(卡牌辅助配置表!$AE$1,MATCH(AB907,卡牌辅助配置表!AB:AB,0),0),0)</f>
        <v>12700</v>
      </c>
      <c r="AN907" s="153">
        <f ca="1" t="shared" si="159"/>
        <v>2004028</v>
      </c>
      <c r="AP907" s="153" t="str">
        <f ca="1">IF(AC907=0,0,IF(AC907=12,0,OFFSET(effect!$N$1,MATCH(K907,effect!M:M,0)-1,0)))</f>
        <v>kpsx_pt</v>
      </c>
    </row>
    <row r="908" spans="1:42">
      <c r="A908" s="153">
        <f ca="1" t="shared" si="155"/>
        <v>2004028</v>
      </c>
      <c r="B908" s="91" t="s">
        <v>411</v>
      </c>
      <c r="C908" s="186">
        <v>2</v>
      </c>
      <c r="D908" s="186">
        <v>1</v>
      </c>
      <c r="E908" s="165" t="s">
        <v>1058</v>
      </c>
      <c r="F908" s="165" t="str">
        <f>"第一招打出时，增加"&amp;skill!$O$69/100&amp;"%伤害"</f>
        <v>第一招打出时，增加30%伤害</v>
      </c>
      <c r="G908" s="186"/>
      <c r="H908" s="186" t="e">
        <f ca="1">OFFSET(skill!$Q$1,MATCH(B908,skill!B:B,0)-1,0)</f>
        <v>#VALUE!</v>
      </c>
      <c r="I908" s="186"/>
      <c r="J908" s="186">
        <f ca="1">OFFSET(card_type!$F$1,MATCH(Q908,card_type!A:A,0)-1,0)</f>
        <v>1</v>
      </c>
      <c r="K908" s="243">
        <f ca="1">OFFSET(card_type!$G$1,MATCH(Q908,card_type!A:A,0)-1,0)</f>
        <v>1</v>
      </c>
      <c r="L908" s="157">
        <v>2</v>
      </c>
      <c r="M908" s="157">
        <v>2</v>
      </c>
      <c r="N908" s="153">
        <f t="shared" si="154"/>
        <v>28</v>
      </c>
      <c r="O908" s="157"/>
      <c r="P908" s="157"/>
      <c r="Q908" s="153">
        <f ca="1">OFFSET(card_type!$A$1,MATCH(card!B908,card_type!B:B,0)-1,0)</f>
        <v>2004</v>
      </c>
      <c r="R908" s="153">
        <v>1</v>
      </c>
      <c r="S908" s="157">
        <f ca="1">ROUND(IF(R908=0,0,IF(R908=1,X908*$S$1,IF(R908=2,X908*$S$1*buff的资质计算!$E$2,IF(R908=3,X908*$S$1*buff的资质计算!$E$3,0)))),0)*0</f>
        <v>0</v>
      </c>
      <c r="T908" s="153">
        <v>4</v>
      </c>
      <c r="U908" s="153">
        <f ca="1" t="shared" si="156"/>
        <v>11</v>
      </c>
      <c r="V908" s="153">
        <f ca="1">ROUND((OFFSET(卡牌辅助配置表!$O$1,MATCH(U908,卡牌辅助配置表!M:M,0)-1,0)+(N908-1)*OFFSET(卡牌辅助配置表!$P$1,MATCH(U908,卡牌辅助配置表!M:M,0)-1,0))*M908,2)</f>
        <v>23.83</v>
      </c>
      <c r="W908" s="157">
        <f ca="1">ROUND(IF(R908=0,0,IF(R908=1,X908*$W$1,IF(R908=2,X908*$W$1*buff的资质计算!$E$2,IF(R908=3,X908*$W$1*buff的资质计算!$E$3,0)))),2)</f>
        <v>7.05</v>
      </c>
      <c r="X908" s="157">
        <f ca="1" t="shared" si="152"/>
        <v>23.5</v>
      </c>
      <c r="Y908" s="157" t="e">
        <f ca="1" t="shared" si="151"/>
        <v>#VALUE!</v>
      </c>
      <c r="Z908" s="304" t="e">
        <f ca="1" t="shared" si="153"/>
        <v>#VALUE!</v>
      </c>
      <c r="AA908" s="304">
        <f ca="1">OFFSET(卡牌辅助配置表!$AD$1,MATCH(AB908,卡牌辅助配置表!AB:AB,0)-1,0)</f>
        <v>738</v>
      </c>
      <c r="AB908" s="304">
        <f ca="1" t="shared" si="157"/>
        <v>1128</v>
      </c>
      <c r="AC908" s="153">
        <v>8</v>
      </c>
      <c r="AE908" s="153">
        <v>1</v>
      </c>
      <c r="AF908" s="153" t="str">
        <f ca="1" t="shared" si="150"/>
        <v>20040011|</v>
      </c>
      <c r="AJ908" s="205" t="str">
        <f ca="1" t="shared" si="158"/>
        <v>400023|13500|;</v>
      </c>
      <c r="AK908" s="205">
        <f ca="1">OFFSET([1]item_type!$A$1,MATCH(Q908,[1]item_type!$G:$G,0)-1,0)</f>
        <v>302004</v>
      </c>
      <c r="AL908" s="205"/>
      <c r="AM908" s="205">
        <f ca="1">IF(B908=B909,OFFSET(卡牌辅助配置表!$AE$1,MATCH(AB908,卡牌辅助配置表!AB:AB,0),0),0)</f>
        <v>13500</v>
      </c>
      <c r="AN908" s="153">
        <f ca="1" t="shared" si="159"/>
        <v>2004029</v>
      </c>
      <c r="AP908" s="153" t="str">
        <f ca="1">IF(AC908=0,0,IF(AC908=12,0,OFFSET(effect!$N$1,MATCH(K908,effect!M:M,0)-1,0)))</f>
        <v>kpsx_pt</v>
      </c>
    </row>
    <row r="909" spans="1:42">
      <c r="A909" s="153">
        <f ca="1" t="shared" si="155"/>
        <v>2004029</v>
      </c>
      <c r="B909" s="91" t="s">
        <v>411</v>
      </c>
      <c r="C909" s="186">
        <v>2</v>
      </c>
      <c r="D909" s="186">
        <v>1</v>
      </c>
      <c r="E909" s="165" t="s">
        <v>1058</v>
      </c>
      <c r="F909" s="165" t="str">
        <f>"第一招打出时，增加"&amp;skill!$O$69/100&amp;"%伤害"</f>
        <v>第一招打出时，增加30%伤害</v>
      </c>
      <c r="G909" s="186"/>
      <c r="H909" s="186" t="e">
        <f ca="1">OFFSET(skill!$Q$1,MATCH(B909,skill!B:B,0)-1,0)</f>
        <v>#VALUE!</v>
      </c>
      <c r="I909" s="186"/>
      <c r="J909" s="186">
        <f ca="1">OFFSET(card_type!$F$1,MATCH(Q909,card_type!A:A,0)-1,0)</f>
        <v>1</v>
      </c>
      <c r="K909" s="243">
        <f ca="1">OFFSET(card_type!$G$1,MATCH(Q909,card_type!A:A,0)-1,0)</f>
        <v>1</v>
      </c>
      <c r="L909" s="157">
        <v>2</v>
      </c>
      <c r="M909" s="157">
        <v>2</v>
      </c>
      <c r="N909" s="153">
        <f t="shared" si="154"/>
        <v>29</v>
      </c>
      <c r="O909" s="157"/>
      <c r="P909" s="157"/>
      <c r="Q909" s="153">
        <f ca="1">OFFSET(card_type!$A$1,MATCH(card!B909,card_type!B:B,0)-1,0)</f>
        <v>2004</v>
      </c>
      <c r="R909" s="153">
        <v>1</v>
      </c>
      <c r="S909" s="157">
        <f ca="1">ROUND(IF(R909=0,0,IF(R909=1,X909*$S$1,IF(R909=2,X909*$S$1*buff的资质计算!$E$2,IF(R909=3,X909*$S$1*buff的资质计算!$E$3,0)))),0)*0</f>
        <v>0</v>
      </c>
      <c r="T909" s="153">
        <v>4</v>
      </c>
      <c r="U909" s="153">
        <f ca="1" t="shared" si="156"/>
        <v>11</v>
      </c>
      <c r="V909" s="153">
        <f ca="1">ROUND((OFFSET(卡牌辅助配置表!$O$1,MATCH(U909,卡牌辅助配置表!M:M,0)-1,0)+(N909-1)*OFFSET(卡牌辅助配置表!$P$1,MATCH(U909,卡牌辅助配置表!M:M,0)-1,0))*M909,2)</f>
        <v>24.24</v>
      </c>
      <c r="W909" s="157">
        <f ca="1">ROUND(IF(R909=0,0,IF(R909=1,X909*$W$1,IF(R909=2,X909*$W$1*buff的资质计算!$E$2,IF(R909=3,X909*$W$1*buff的资质计算!$E$3,0)))),2)</f>
        <v>7.2</v>
      </c>
      <c r="X909" s="157">
        <f ca="1" t="shared" si="152"/>
        <v>24</v>
      </c>
      <c r="Y909" s="157" t="e">
        <f ca="1" t="shared" si="151"/>
        <v>#VALUE!</v>
      </c>
      <c r="Z909" s="304" t="e">
        <f ca="1" t="shared" si="153"/>
        <v>#VALUE!</v>
      </c>
      <c r="AA909" s="304">
        <f ca="1">OFFSET(卡牌辅助配置表!$AD$1,MATCH(AB909,卡牌辅助配置表!AB:AB,0)-1,0)</f>
        <v>774</v>
      </c>
      <c r="AB909" s="304">
        <f ca="1" t="shared" si="157"/>
        <v>1129</v>
      </c>
      <c r="AC909" s="153">
        <v>8</v>
      </c>
      <c r="AE909" s="153">
        <v>1</v>
      </c>
      <c r="AF909" s="153" t="str">
        <f ca="1" t="shared" si="150"/>
        <v>20040011|</v>
      </c>
      <c r="AJ909" s="205" t="str">
        <f ca="1" t="shared" si="158"/>
        <v>302004|30|;400023|14300|;</v>
      </c>
      <c r="AK909" s="205">
        <f ca="1">OFFSET([1]item_type!$A$1,MATCH(Q909,[1]item_type!$G:$G,0)-1,0)</f>
        <v>302004</v>
      </c>
      <c r="AL909" s="205">
        <v>30</v>
      </c>
      <c r="AM909" s="205">
        <f ca="1">IF(B909=B910,OFFSET(卡牌辅助配置表!$AE$1,MATCH(AB909,卡牌辅助配置表!AB:AB,0),0),0)</f>
        <v>14300</v>
      </c>
      <c r="AN909" s="153">
        <f ca="1" t="shared" si="159"/>
        <v>2004030</v>
      </c>
      <c r="AP909" s="153" t="str">
        <f ca="1">IF(AC909=0,0,IF(AC909=12,0,OFFSET(effect!$N$1,MATCH(K909,effect!M:M,0)-1,0)))</f>
        <v>kpsx_pt</v>
      </c>
    </row>
    <row r="910" spans="1:42">
      <c r="A910" s="153">
        <f ca="1" t="shared" si="155"/>
        <v>2004030</v>
      </c>
      <c r="B910" s="91" t="s">
        <v>411</v>
      </c>
      <c r="C910" s="186">
        <v>2</v>
      </c>
      <c r="D910" s="186">
        <v>1</v>
      </c>
      <c r="E910" s="165" t="s">
        <v>1058</v>
      </c>
      <c r="F910" s="165" t="str">
        <f>"第一招打出时，增加"&amp;skill!$O$69/100&amp;"%伤害"</f>
        <v>第一招打出时，增加30%伤害</v>
      </c>
      <c r="G910" s="186"/>
      <c r="H910" s="186" t="e">
        <f ca="1">OFFSET(skill!$Q$1,MATCH(B910,skill!B:B,0)-1,0)</f>
        <v>#VALUE!</v>
      </c>
      <c r="I910" s="186"/>
      <c r="J910" s="186">
        <f ca="1">OFFSET(card_type!$F$1,MATCH(Q910,card_type!A:A,0)-1,0)</f>
        <v>1</v>
      </c>
      <c r="K910" s="243">
        <f ca="1">OFFSET(card_type!$G$1,MATCH(Q910,card_type!A:A,0)-1,0)</f>
        <v>1</v>
      </c>
      <c r="L910" s="157">
        <v>2</v>
      </c>
      <c r="M910" s="157">
        <v>2</v>
      </c>
      <c r="N910" s="153">
        <f t="shared" si="154"/>
        <v>30</v>
      </c>
      <c r="O910" s="157"/>
      <c r="P910" s="157"/>
      <c r="Q910" s="153">
        <f ca="1">OFFSET(card_type!$A$1,MATCH(card!B910,card_type!B:B,0)-1,0)</f>
        <v>2004</v>
      </c>
      <c r="R910" s="153">
        <v>1</v>
      </c>
      <c r="S910" s="157">
        <f ca="1">ROUND(IF(R910=0,0,IF(R910=1,X910*$S$1,IF(R910=2,X910*$S$1*buff的资质计算!$E$2,IF(R910=3,X910*$S$1*buff的资质计算!$E$3,0)))),0)*0</f>
        <v>0</v>
      </c>
      <c r="T910" s="153">
        <v>4</v>
      </c>
      <c r="U910" s="153">
        <f ca="1" t="shared" si="156"/>
        <v>11</v>
      </c>
      <c r="V910" s="153">
        <f ca="1">ROUND((OFFSET(卡牌辅助配置表!$O$1,MATCH(U910,卡牌辅助配置表!M:M,0)-1,0)+(N910-1)*OFFSET(卡牌辅助配置表!$P$1,MATCH(U910,卡牌辅助配置表!M:M,0)-1,0))*M910,2)</f>
        <v>24.66</v>
      </c>
      <c r="W910" s="157">
        <f ca="1">ROUND(IF(R910=0,0,IF(R910=1,X910*$W$1,IF(R910=2,X910*$W$1*buff的资质计算!$E$2,IF(R910=3,X910*$W$1*buff的资质计算!$E$3,0)))),2)</f>
        <v>7.35</v>
      </c>
      <c r="X910" s="157">
        <f ca="1" t="shared" si="152"/>
        <v>24.5</v>
      </c>
      <c r="Y910" s="157" t="e">
        <f ca="1" t="shared" si="151"/>
        <v>#VALUE!</v>
      </c>
      <c r="Z910" s="304" t="e">
        <f ca="1" t="shared" si="153"/>
        <v>#VALUE!</v>
      </c>
      <c r="AA910" s="304">
        <f ca="1">OFFSET(卡牌辅助配置表!$AD$1,MATCH(AB910,卡牌辅助配置表!AB:AB,0)-1,0)</f>
        <v>810</v>
      </c>
      <c r="AB910" s="304">
        <f ca="1" t="shared" si="157"/>
        <v>1130</v>
      </c>
      <c r="AC910" s="153">
        <v>8</v>
      </c>
      <c r="AE910" s="153">
        <v>1</v>
      </c>
      <c r="AF910" s="153" t="str">
        <f ca="1" t="shared" si="150"/>
        <v>20040011|</v>
      </c>
      <c r="AJ910" s="205">
        <f ca="1" t="shared" si="158"/>
        <v>0</v>
      </c>
      <c r="AK910" s="205">
        <f ca="1">OFFSET([1]item_type!$A$1,MATCH(Q910,[1]item_type!$G:$G,0)-1,0)</f>
        <v>302004</v>
      </c>
      <c r="AL910" s="205"/>
      <c r="AM910" s="205">
        <f ca="1">IF(B910=B911,OFFSET(卡牌辅助配置表!$AE$1,MATCH(AB910,卡牌辅助配置表!AB:AB,0),0),0)</f>
        <v>0</v>
      </c>
      <c r="AN910" s="153">
        <f ca="1" t="shared" si="159"/>
        <v>0</v>
      </c>
      <c r="AP910" s="153" t="str">
        <f ca="1">IF(AC910=0,0,IF(AC910=12,0,OFFSET(effect!$N$1,MATCH(K910,effect!M:M,0)-1,0)))</f>
        <v>kpsx_pt</v>
      </c>
    </row>
    <row r="911" spans="1:42">
      <c r="A911" s="153">
        <f ca="1" t="shared" si="155"/>
        <v>2005001</v>
      </c>
      <c r="B911" s="91" t="s">
        <v>433</v>
      </c>
      <c r="C911" s="186">
        <v>2</v>
      </c>
      <c r="D911" s="186">
        <v>1</v>
      </c>
      <c r="E911" s="165" t="s">
        <v>1058</v>
      </c>
      <c r="F911" s="165" t="str">
        <f>"上一招为剑法时，增加"&amp;skill!$O$70/100&amp;"%伤害"</f>
        <v>上一招为剑法时，增加35%伤害</v>
      </c>
      <c r="G911" s="186">
        <f ca="1">OFFSET(卡牌辅助配置表!$C$1,MATCH(AC911,卡牌辅助配置表!A:A,0)-1,0)</f>
        <v>3</v>
      </c>
      <c r="H911" s="186">
        <f ca="1">OFFSET(skill!$Q$1,MATCH(B911,skill!B:B,0)-1,0)</f>
        <v>0.518518518518518</v>
      </c>
      <c r="I911" s="186"/>
      <c r="J911" s="186">
        <f ca="1">OFFSET(card_type!$F$1,MATCH(Q911,card_type!A:A,0)-1,0)</f>
        <v>1</v>
      </c>
      <c r="K911" s="243">
        <f ca="1">OFFSET(card_type!$G$1,MATCH(Q911,card_type!A:A,0)-1,0)</f>
        <v>2</v>
      </c>
      <c r="L911" s="157">
        <v>2</v>
      </c>
      <c r="M911" s="157">
        <v>2</v>
      </c>
      <c r="N911" s="153">
        <f t="shared" si="154"/>
        <v>1</v>
      </c>
      <c r="O911" s="157"/>
      <c r="P911" s="157"/>
      <c r="Q911" s="153">
        <f ca="1">OFFSET(card_type!$A$1,MATCH(card!B911,card_type!B:B,0)-1,0)</f>
        <v>2005</v>
      </c>
      <c r="R911" s="153">
        <v>1</v>
      </c>
      <c r="S911" s="157">
        <f ca="1">ROUND(IF(R911=0,0,IF(R911=1,X911*$S$1,IF(R911=2,X911*$S$1*buff的资质计算!$E$2,IF(R911=3,X911*$S$1*buff的资质计算!$E$3,0)))),0)*0</f>
        <v>0</v>
      </c>
      <c r="T911" s="153">
        <v>2</v>
      </c>
      <c r="U911" s="153">
        <f ca="1" t="shared" si="156"/>
        <v>12</v>
      </c>
      <c r="V911" s="153">
        <f ca="1">ROUND((OFFSET(卡牌辅助配置表!$O$1,MATCH(U911,卡牌辅助配置表!M:M,0)-1,0)+(N911-1)*OFFSET(卡牌辅助配置表!$P$1,MATCH(U911,卡牌辅助配置表!M:M,0)-1,0))*M911,2)</f>
        <v>19</v>
      </c>
      <c r="W911" s="157">
        <f ca="1">ROUND(IF(R911=0,0,IF(R911=1,X911*$W$1,IF(R911=2,X911*$W$1*buff的资质计算!$E$2,IF(R911=3,X911*$W$1*buff的资质计算!$E$3,0)))),2)</f>
        <v>6.3</v>
      </c>
      <c r="X911" s="157">
        <f ca="1" t="shared" si="152"/>
        <v>21</v>
      </c>
      <c r="Y911" s="157">
        <f ca="1" t="shared" si="151"/>
        <v>21.5185185185185</v>
      </c>
      <c r="Z911" s="304">
        <f ca="1" t="shared" si="153"/>
        <v>10.7592592592593</v>
      </c>
      <c r="AA911" s="304">
        <f ca="1">OFFSET(卡牌辅助配置表!$AD$1,MATCH(AB911,卡牌辅助配置表!AB:AB,0)-1,0)</f>
        <v>36</v>
      </c>
      <c r="AB911" s="304">
        <f ca="1" t="shared" si="157"/>
        <v>1201</v>
      </c>
      <c r="AC911" s="153">
        <v>3</v>
      </c>
      <c r="AE911" s="153">
        <v>2</v>
      </c>
      <c r="AF911" s="153" t="str">
        <f ca="1" t="shared" si="150"/>
        <v>20050011|</v>
      </c>
      <c r="AJ911" s="205" t="str">
        <f ca="1" t="shared" si="158"/>
        <v>400023|1050|;</v>
      </c>
      <c r="AK911" s="205">
        <f ca="1">OFFSET([1]item_type!$A$1,MATCH(Q911,[1]item_type!$G:$G,0)-1,0)</f>
        <v>302005</v>
      </c>
      <c r="AL911" s="205"/>
      <c r="AM911" s="205">
        <f ca="1">IF(B911=B912,OFFSET(卡牌辅助配置表!$AE$1,MATCH(AB911,卡牌辅助配置表!AB:AB,0),0),0)</f>
        <v>1050</v>
      </c>
      <c r="AN911" s="153">
        <f ca="1" t="shared" si="159"/>
        <v>2005002</v>
      </c>
      <c r="AP911" s="153" t="str">
        <f ca="1">IF(AC911=0,0,IF(AC911=12,0,OFFSET(effect!$N$1,MATCH(K911,effect!M:M,0)-1,0)))</f>
        <v>kpsx_pt</v>
      </c>
    </row>
    <row r="912" spans="1:42">
      <c r="A912" s="153">
        <f ca="1" t="shared" si="155"/>
        <v>2005002</v>
      </c>
      <c r="B912" s="91" t="s">
        <v>433</v>
      </c>
      <c r="C912" s="186">
        <v>2</v>
      </c>
      <c r="D912" s="186">
        <v>1</v>
      </c>
      <c r="E912" s="165" t="s">
        <v>1058</v>
      </c>
      <c r="F912" s="165" t="str">
        <f>"上一招为剑法时，增加"&amp;skill!$O$70/100&amp;"%伤害"</f>
        <v>上一招为剑法时，增加35%伤害</v>
      </c>
      <c r="G912" s="186">
        <f ca="1">OFFSET(卡牌辅助配置表!$C$1,MATCH(AC912,卡牌辅助配置表!A:A,0)-1,0)</f>
        <v>3</v>
      </c>
      <c r="H912" s="186">
        <f ca="1">OFFSET(skill!$Q$1,MATCH(B912,skill!B:B,0)-1,0)</f>
        <v>0.518518518518518</v>
      </c>
      <c r="I912" s="186"/>
      <c r="J912" s="186">
        <f ca="1">OFFSET(card_type!$F$1,MATCH(Q912,card_type!A:A,0)-1,0)</f>
        <v>1</v>
      </c>
      <c r="K912" s="243">
        <f ca="1">OFFSET(card_type!$G$1,MATCH(Q912,card_type!A:A,0)-1,0)</f>
        <v>2</v>
      </c>
      <c r="L912" s="157">
        <v>2</v>
      </c>
      <c r="M912" s="157">
        <v>2</v>
      </c>
      <c r="N912" s="153">
        <f t="shared" si="154"/>
        <v>2</v>
      </c>
      <c r="O912" s="157"/>
      <c r="P912" s="157"/>
      <c r="Q912" s="153">
        <f ca="1">OFFSET(card_type!$A$1,MATCH(card!B912,card_type!B:B,0)-1,0)</f>
        <v>2005</v>
      </c>
      <c r="R912" s="153">
        <v>1</v>
      </c>
      <c r="S912" s="157">
        <f ca="1">ROUND(IF(R912=0,0,IF(R912=1,X912*$S$1,IF(R912=2,X912*$S$1*buff的资质计算!$E$2,IF(R912=3,X912*$S$1*buff的资质计算!$E$3,0)))),0)*0</f>
        <v>0</v>
      </c>
      <c r="T912" s="153">
        <v>2</v>
      </c>
      <c r="U912" s="153">
        <f ca="1" t="shared" si="156"/>
        <v>12</v>
      </c>
      <c r="V912" s="153">
        <f ca="1">ROUND((OFFSET(卡牌辅助配置表!$O$1,MATCH(U912,卡牌辅助配置表!M:M,0)-1,0)+(N912-1)*OFFSET(卡牌辅助配置表!$P$1,MATCH(U912,卡牌辅助配置表!M:M,0)-1,0))*M912,2)</f>
        <v>19.63</v>
      </c>
      <c r="W912" s="157">
        <f ca="1">ROUND(IF(R912=0,0,IF(R912=1,X912*$W$1,IF(R912=2,X912*$W$1*buff的资质计算!$E$2,IF(R912=3,X912*$W$1*buff的资质计算!$E$3,0)))),2)</f>
        <v>6.45</v>
      </c>
      <c r="X912" s="157">
        <f ca="1" t="shared" si="152"/>
        <v>21.5</v>
      </c>
      <c r="Y912" s="157">
        <f ca="1" t="shared" si="151"/>
        <v>22.0185185185185</v>
      </c>
      <c r="Z912" s="304">
        <f ca="1" t="shared" si="153"/>
        <v>11.0092592592593</v>
      </c>
      <c r="AA912" s="304">
        <f ca="1">OFFSET(卡牌辅助配置表!$AD$1,MATCH(AB912,卡牌辅助配置表!AB:AB,0)-1,0)</f>
        <v>72</v>
      </c>
      <c r="AB912" s="304">
        <f ca="1" t="shared" si="157"/>
        <v>1202</v>
      </c>
      <c r="AC912" s="153">
        <v>3</v>
      </c>
      <c r="AE912" s="153">
        <v>2</v>
      </c>
      <c r="AF912" s="153" t="str">
        <f ca="1" t="shared" ref="AF912:AF975" si="160">((Q912*1000+1)*10+1)&amp;$AF$1</f>
        <v>20050011|</v>
      </c>
      <c r="AJ912" s="205" t="str">
        <f ca="1" t="shared" si="158"/>
        <v>400023|1350|;</v>
      </c>
      <c r="AK912" s="205">
        <f ca="1">OFFSET([1]item_type!$A$1,MATCH(Q912,[1]item_type!$G:$G,0)-1,0)</f>
        <v>302005</v>
      </c>
      <c r="AL912" s="205"/>
      <c r="AM912" s="205">
        <f ca="1">IF(B912=B913,OFFSET(卡牌辅助配置表!$AE$1,MATCH(AB912,卡牌辅助配置表!AB:AB,0),0),0)</f>
        <v>1350</v>
      </c>
      <c r="AN912" s="153">
        <f ca="1" t="shared" si="159"/>
        <v>2005003</v>
      </c>
      <c r="AP912" s="153" t="str">
        <f ca="1">IF(AC912=0,0,IF(AC912=12,0,OFFSET(effect!$N$1,MATCH(K912,effect!M:M,0)-1,0)))</f>
        <v>kpsx_pt</v>
      </c>
    </row>
    <row r="913" spans="1:42">
      <c r="A913" s="153">
        <f ca="1" t="shared" si="155"/>
        <v>2005003</v>
      </c>
      <c r="B913" s="91" t="s">
        <v>433</v>
      </c>
      <c r="C913" s="186">
        <v>2</v>
      </c>
      <c r="D913" s="186">
        <v>1</v>
      </c>
      <c r="E913" s="165" t="s">
        <v>1058</v>
      </c>
      <c r="F913" s="165" t="str">
        <f>"上一招为剑法时，增加"&amp;skill!$O$70/100&amp;"%伤害"</f>
        <v>上一招为剑法时，增加35%伤害</v>
      </c>
      <c r="G913" s="186">
        <f ca="1">OFFSET(卡牌辅助配置表!$C$1,MATCH(AC913,卡牌辅助配置表!A:A,0)-1,0)</f>
        <v>3</v>
      </c>
      <c r="H913" s="186">
        <f ca="1">OFFSET(skill!$Q$1,MATCH(B913,skill!B:B,0)-1,0)</f>
        <v>0.518518518518518</v>
      </c>
      <c r="I913" s="186"/>
      <c r="J913" s="186">
        <f ca="1">OFFSET(card_type!$F$1,MATCH(Q913,card_type!A:A,0)-1,0)</f>
        <v>1</v>
      </c>
      <c r="K913" s="243">
        <f ca="1">OFFSET(card_type!$G$1,MATCH(Q913,card_type!A:A,0)-1,0)</f>
        <v>2</v>
      </c>
      <c r="L913" s="157">
        <v>2</v>
      </c>
      <c r="M913" s="157">
        <v>2</v>
      </c>
      <c r="N913" s="153">
        <f t="shared" si="154"/>
        <v>3</v>
      </c>
      <c r="O913" s="157"/>
      <c r="P913" s="157"/>
      <c r="Q913" s="153">
        <f ca="1">OFFSET(card_type!$A$1,MATCH(card!B913,card_type!B:B,0)-1,0)</f>
        <v>2005</v>
      </c>
      <c r="R913" s="153">
        <v>1</v>
      </c>
      <c r="S913" s="157">
        <f ca="1">ROUND(IF(R913=0,0,IF(R913=1,X913*$S$1,IF(R913=2,X913*$S$1*buff的资质计算!$E$2,IF(R913=3,X913*$S$1*buff的资质计算!$E$3,0)))),0)*0</f>
        <v>0</v>
      </c>
      <c r="T913" s="153">
        <v>2</v>
      </c>
      <c r="U913" s="153">
        <f ca="1" t="shared" si="156"/>
        <v>12</v>
      </c>
      <c r="V913" s="153">
        <f ca="1">ROUND((OFFSET(卡牌辅助配置表!$O$1,MATCH(U913,卡牌辅助配置表!M:M,0)-1,0)+(N913-1)*OFFSET(卡牌辅助配置表!$P$1,MATCH(U913,卡牌辅助配置表!M:M,0)-1,0))*M913,2)</f>
        <v>20.27</v>
      </c>
      <c r="W913" s="157">
        <f ca="1">ROUND(IF(R913=0,0,IF(R913=1,X913*$W$1,IF(R913=2,X913*$W$1*buff的资质计算!$E$2,IF(R913=3,X913*$W$1*buff的资质计算!$E$3,0)))),2)</f>
        <v>6.6</v>
      </c>
      <c r="X913" s="157">
        <f ca="1" t="shared" si="152"/>
        <v>22</v>
      </c>
      <c r="Y913" s="157">
        <f ca="1" t="shared" si="151"/>
        <v>22.5185185185185</v>
      </c>
      <c r="Z913" s="304">
        <f ca="1" t="shared" si="153"/>
        <v>11.2592592592593</v>
      </c>
      <c r="AA913" s="304">
        <f ca="1">OFFSET(卡牌辅助配置表!$AD$1,MATCH(AB913,卡牌辅助配置表!AB:AB,0)-1,0)</f>
        <v>108</v>
      </c>
      <c r="AB913" s="304">
        <f ca="1" t="shared" si="157"/>
        <v>1203</v>
      </c>
      <c r="AC913" s="153">
        <v>3</v>
      </c>
      <c r="AE913" s="153">
        <v>2</v>
      </c>
      <c r="AF913" s="153" t="str">
        <f ca="1" t="shared" si="160"/>
        <v>20050011|</v>
      </c>
      <c r="AJ913" s="205" t="str">
        <f ca="1" t="shared" si="158"/>
        <v>400023|1650|;</v>
      </c>
      <c r="AK913" s="205">
        <f ca="1">OFFSET([1]item_type!$A$1,MATCH(Q913,[1]item_type!$G:$G,0)-1,0)</f>
        <v>302005</v>
      </c>
      <c r="AL913" s="205"/>
      <c r="AM913" s="205">
        <f ca="1">IF(B913=B914,OFFSET(卡牌辅助配置表!$AE$1,MATCH(AB913,卡牌辅助配置表!AB:AB,0),0),0)</f>
        <v>1650</v>
      </c>
      <c r="AN913" s="153">
        <f ca="1" t="shared" si="159"/>
        <v>2005004</v>
      </c>
      <c r="AP913" s="153" t="str">
        <f ca="1">IF(AC913=0,0,IF(AC913=12,0,OFFSET(effect!$N$1,MATCH(K913,effect!M:M,0)-1,0)))</f>
        <v>kpsx_pt</v>
      </c>
    </row>
    <row r="914" spans="1:42">
      <c r="A914" s="153">
        <f ca="1" t="shared" si="155"/>
        <v>2005004</v>
      </c>
      <c r="B914" s="91" t="s">
        <v>433</v>
      </c>
      <c r="C914" s="186">
        <v>2</v>
      </c>
      <c r="D914" s="186">
        <v>1</v>
      </c>
      <c r="E914" s="165" t="s">
        <v>1058</v>
      </c>
      <c r="F914" s="165" t="str">
        <f>"上一招为剑法时，增加"&amp;skill!$O$70/100&amp;"%伤害"</f>
        <v>上一招为剑法时，增加35%伤害</v>
      </c>
      <c r="G914" s="186">
        <f ca="1">OFFSET(卡牌辅助配置表!$C$1,MATCH(AC914,卡牌辅助配置表!A:A,0)-1,0)</f>
        <v>3</v>
      </c>
      <c r="H914" s="186">
        <f ca="1">OFFSET(skill!$Q$1,MATCH(B914,skill!B:B,0)-1,0)</f>
        <v>0.518518518518518</v>
      </c>
      <c r="I914" s="186"/>
      <c r="J914" s="186">
        <f ca="1">OFFSET(card_type!$F$1,MATCH(Q914,card_type!A:A,0)-1,0)</f>
        <v>1</v>
      </c>
      <c r="K914" s="243">
        <f ca="1">OFFSET(card_type!$G$1,MATCH(Q914,card_type!A:A,0)-1,0)</f>
        <v>2</v>
      </c>
      <c r="L914" s="157">
        <v>2</v>
      </c>
      <c r="M914" s="157">
        <v>2</v>
      </c>
      <c r="N914" s="153">
        <f t="shared" si="154"/>
        <v>4</v>
      </c>
      <c r="O914" s="157"/>
      <c r="P914" s="157"/>
      <c r="Q914" s="153">
        <f ca="1">OFFSET(card_type!$A$1,MATCH(card!B914,card_type!B:B,0)-1,0)</f>
        <v>2005</v>
      </c>
      <c r="R914" s="153">
        <v>1</v>
      </c>
      <c r="S914" s="157">
        <f ca="1">ROUND(IF(R914=0,0,IF(R914=1,X914*$S$1,IF(R914=2,X914*$S$1*buff的资质计算!$E$2,IF(R914=3,X914*$S$1*buff的资质计算!$E$3,0)))),0)*0</f>
        <v>0</v>
      </c>
      <c r="T914" s="153">
        <v>2</v>
      </c>
      <c r="U914" s="153">
        <f ca="1" t="shared" si="156"/>
        <v>12</v>
      </c>
      <c r="V914" s="153">
        <f ca="1">ROUND((OFFSET(卡牌辅助配置表!$O$1,MATCH(U914,卡牌辅助配置表!M:M,0)-1,0)+(N914-1)*OFFSET(卡牌辅助配置表!$P$1,MATCH(U914,卡牌辅助配置表!M:M,0)-1,0))*M914,2)</f>
        <v>20.9</v>
      </c>
      <c r="W914" s="157">
        <f ca="1">ROUND(IF(R914=0,0,IF(R914=1,X914*$W$1,IF(R914=2,X914*$W$1*buff的资质计算!$E$2,IF(R914=3,X914*$W$1*buff的资质计算!$E$3,0)))),2)</f>
        <v>6.75</v>
      </c>
      <c r="X914" s="157">
        <f ca="1" t="shared" si="152"/>
        <v>22.5</v>
      </c>
      <c r="Y914" s="157">
        <f ca="1" t="shared" si="151"/>
        <v>23.0185185185185</v>
      </c>
      <c r="Z914" s="304">
        <f ca="1" t="shared" si="153"/>
        <v>11.5092592592593</v>
      </c>
      <c r="AA914" s="304">
        <f ca="1">OFFSET(卡牌辅助配置表!$AD$1,MATCH(AB914,卡牌辅助配置表!AB:AB,0)-1,0)</f>
        <v>144</v>
      </c>
      <c r="AB914" s="304">
        <f ca="1" t="shared" si="157"/>
        <v>1204</v>
      </c>
      <c r="AC914" s="153">
        <v>3</v>
      </c>
      <c r="AE914" s="153">
        <v>2</v>
      </c>
      <c r="AF914" s="153" t="str">
        <f ca="1" t="shared" si="160"/>
        <v>20050011|</v>
      </c>
      <c r="AJ914" s="205" t="str">
        <f ca="1" t="shared" si="158"/>
        <v>400023|1950|;</v>
      </c>
      <c r="AK914" s="205">
        <f ca="1">OFFSET([1]item_type!$A$1,MATCH(Q914,[1]item_type!$G:$G,0)-1,0)</f>
        <v>302005</v>
      </c>
      <c r="AL914" s="205"/>
      <c r="AM914" s="205">
        <f ca="1">IF(B914=B915,OFFSET(卡牌辅助配置表!$AE$1,MATCH(AB914,卡牌辅助配置表!AB:AB,0),0),0)</f>
        <v>1950</v>
      </c>
      <c r="AN914" s="153">
        <f ca="1" t="shared" si="159"/>
        <v>2005005</v>
      </c>
      <c r="AP914" s="153" t="str">
        <f ca="1">IF(AC914=0,0,IF(AC914=12,0,OFFSET(effect!$N$1,MATCH(K914,effect!M:M,0)-1,0)))</f>
        <v>kpsx_pt</v>
      </c>
    </row>
    <row r="915" spans="1:42">
      <c r="A915" s="153">
        <f ca="1" t="shared" si="155"/>
        <v>2005005</v>
      </c>
      <c r="B915" s="91" t="s">
        <v>433</v>
      </c>
      <c r="C915" s="186">
        <v>2</v>
      </c>
      <c r="D915" s="186">
        <v>1</v>
      </c>
      <c r="E915" s="165" t="s">
        <v>1058</v>
      </c>
      <c r="F915" s="165" t="str">
        <f>"上一招为剑法时，增加"&amp;skill!$O$70/100&amp;"%伤害"</f>
        <v>上一招为剑法时，增加35%伤害</v>
      </c>
      <c r="G915" s="186">
        <f ca="1">OFFSET(卡牌辅助配置表!$C$1,MATCH(AC915,卡牌辅助配置表!A:A,0)-1,0)</f>
        <v>3</v>
      </c>
      <c r="H915" s="186">
        <f ca="1">OFFSET(skill!$Q$1,MATCH(B915,skill!B:B,0)-1,0)</f>
        <v>0.518518518518518</v>
      </c>
      <c r="I915" s="186"/>
      <c r="J915" s="186">
        <f ca="1">OFFSET(card_type!$F$1,MATCH(Q915,card_type!A:A,0)-1,0)</f>
        <v>1</v>
      </c>
      <c r="K915" s="243">
        <f ca="1">OFFSET(card_type!$G$1,MATCH(Q915,card_type!A:A,0)-1,0)</f>
        <v>2</v>
      </c>
      <c r="L915" s="157">
        <v>2</v>
      </c>
      <c r="M915" s="157">
        <v>2</v>
      </c>
      <c r="N915" s="153">
        <f t="shared" si="154"/>
        <v>5</v>
      </c>
      <c r="O915" s="157"/>
      <c r="P915" s="157"/>
      <c r="Q915" s="153">
        <f ca="1">OFFSET(card_type!$A$1,MATCH(card!B915,card_type!B:B,0)-1,0)</f>
        <v>2005</v>
      </c>
      <c r="R915" s="153">
        <v>1</v>
      </c>
      <c r="S915" s="157">
        <f ca="1">ROUND(IF(R915=0,0,IF(R915=1,X915*$S$1,IF(R915=2,X915*$S$1*buff的资质计算!$E$2,IF(R915=3,X915*$S$1*buff的资质计算!$E$3,0)))),0)*0</f>
        <v>0</v>
      </c>
      <c r="T915" s="153">
        <v>2</v>
      </c>
      <c r="U915" s="153">
        <f ca="1" t="shared" si="156"/>
        <v>12</v>
      </c>
      <c r="V915" s="153">
        <f ca="1">ROUND((OFFSET(卡牌辅助配置表!$O$1,MATCH(U915,卡牌辅助配置表!M:M,0)-1,0)+(N915-1)*OFFSET(卡牌辅助配置表!$P$1,MATCH(U915,卡牌辅助配置表!M:M,0)-1,0))*M915,2)</f>
        <v>21.53</v>
      </c>
      <c r="W915" s="157">
        <f ca="1">ROUND(IF(R915=0,0,IF(R915=1,X915*$W$1,IF(R915=2,X915*$W$1*buff的资质计算!$E$2,IF(R915=3,X915*$W$1*buff的资质计算!$E$3,0)))),2)</f>
        <v>6.9</v>
      </c>
      <c r="X915" s="157">
        <f ca="1" t="shared" si="152"/>
        <v>23</v>
      </c>
      <c r="Y915" s="157">
        <f ca="1" t="shared" ref="Y915:Y978" si="161">X915+H915</f>
        <v>23.5185185185185</v>
      </c>
      <c r="Z915" s="304">
        <f ca="1" t="shared" si="153"/>
        <v>11.7592592592593</v>
      </c>
      <c r="AA915" s="304">
        <f ca="1">OFFSET(卡牌辅助配置表!$AD$1,MATCH(AB915,卡牌辅助配置表!AB:AB,0)-1,0)</f>
        <v>180</v>
      </c>
      <c r="AB915" s="304">
        <f ca="1" t="shared" si="157"/>
        <v>1205</v>
      </c>
      <c r="AC915" s="153">
        <v>3</v>
      </c>
      <c r="AE915" s="153">
        <v>2</v>
      </c>
      <c r="AF915" s="153" t="str">
        <f ca="1" t="shared" si="160"/>
        <v>20050011|</v>
      </c>
      <c r="AJ915" s="205" t="str">
        <f ca="1" t="shared" si="158"/>
        <v>400023|2250|;</v>
      </c>
      <c r="AK915" s="205">
        <f ca="1">OFFSET([1]item_type!$A$1,MATCH(Q915,[1]item_type!$G:$G,0)-1,0)</f>
        <v>302005</v>
      </c>
      <c r="AL915" s="205"/>
      <c r="AM915" s="205">
        <f ca="1">IF(B915=B916,OFFSET(卡牌辅助配置表!$AE$1,MATCH(AB915,卡牌辅助配置表!AB:AB,0),0),0)</f>
        <v>2250</v>
      </c>
      <c r="AN915" s="153">
        <f ca="1" t="shared" si="159"/>
        <v>2005006</v>
      </c>
      <c r="AP915" s="153" t="str">
        <f ca="1">IF(AC915=0,0,IF(AC915=12,0,OFFSET(effect!$N$1,MATCH(K915,effect!M:M,0)-1,0)))</f>
        <v>kpsx_pt</v>
      </c>
    </row>
    <row r="916" spans="1:42">
      <c r="A916" s="153">
        <f ca="1" t="shared" si="155"/>
        <v>2005006</v>
      </c>
      <c r="B916" s="91" t="s">
        <v>433</v>
      </c>
      <c r="C916" s="186">
        <v>2</v>
      </c>
      <c r="D916" s="186">
        <v>1</v>
      </c>
      <c r="E916" s="165" t="s">
        <v>1058</v>
      </c>
      <c r="F916" s="165" t="str">
        <f>"上一招为剑法时，增加"&amp;skill!$O$70/100&amp;"%伤害"</f>
        <v>上一招为剑法时，增加35%伤害</v>
      </c>
      <c r="G916" s="186">
        <f ca="1">OFFSET(卡牌辅助配置表!$C$1,MATCH(AC916,卡牌辅助配置表!A:A,0)-1,0)</f>
        <v>3</v>
      </c>
      <c r="H916" s="186">
        <f ca="1">OFFSET(skill!$Q$1,MATCH(B916,skill!B:B,0)-1,0)</f>
        <v>0.518518518518518</v>
      </c>
      <c r="I916" s="186"/>
      <c r="J916" s="186">
        <f ca="1">OFFSET(card_type!$F$1,MATCH(Q916,card_type!A:A,0)-1,0)</f>
        <v>1</v>
      </c>
      <c r="K916" s="243">
        <f ca="1">OFFSET(card_type!$G$1,MATCH(Q916,card_type!A:A,0)-1,0)</f>
        <v>2</v>
      </c>
      <c r="L916" s="157">
        <v>2</v>
      </c>
      <c r="M916" s="157">
        <v>2</v>
      </c>
      <c r="N916" s="153">
        <f t="shared" si="154"/>
        <v>6</v>
      </c>
      <c r="O916" s="157"/>
      <c r="P916" s="157"/>
      <c r="Q916" s="153">
        <f ca="1">OFFSET(card_type!$A$1,MATCH(card!B916,card_type!B:B,0)-1,0)</f>
        <v>2005</v>
      </c>
      <c r="R916" s="153">
        <v>1</v>
      </c>
      <c r="S916" s="157">
        <f ca="1">ROUND(IF(R916=0,0,IF(R916=1,X916*$S$1,IF(R916=2,X916*$S$1*buff的资质计算!$E$2,IF(R916=3,X916*$S$1*buff的资质计算!$E$3,0)))),0)*0</f>
        <v>0</v>
      </c>
      <c r="T916" s="153">
        <v>2</v>
      </c>
      <c r="U916" s="153">
        <f ca="1" t="shared" si="156"/>
        <v>12</v>
      </c>
      <c r="V916" s="153">
        <f ca="1">ROUND((OFFSET(卡牌辅助配置表!$O$1,MATCH(U916,卡牌辅助配置表!M:M,0)-1,0)+(N916-1)*OFFSET(卡牌辅助配置表!$P$1,MATCH(U916,卡牌辅助配置表!M:M,0)-1,0))*M916,2)</f>
        <v>22.17</v>
      </c>
      <c r="W916" s="157">
        <f ca="1">ROUND(IF(R916=0,0,IF(R916=1,X916*$W$1,IF(R916=2,X916*$W$1*buff的资质计算!$E$2,IF(R916=3,X916*$W$1*buff的资质计算!$E$3,0)))),2)</f>
        <v>7.05</v>
      </c>
      <c r="X916" s="157">
        <f ca="1" t="shared" si="152"/>
        <v>23.5</v>
      </c>
      <c r="Y916" s="157">
        <f ca="1" t="shared" si="161"/>
        <v>24.0185185185185</v>
      </c>
      <c r="Z916" s="304">
        <f ca="1" t="shared" si="153"/>
        <v>12.0092592592593</v>
      </c>
      <c r="AA916" s="304">
        <f ca="1">OFFSET(卡牌辅助配置表!$AD$1,MATCH(AB916,卡牌辅助配置表!AB:AB,0)-1,0)</f>
        <v>216</v>
      </c>
      <c r="AB916" s="304">
        <f ca="1" t="shared" si="157"/>
        <v>1206</v>
      </c>
      <c r="AC916" s="153">
        <v>3</v>
      </c>
      <c r="AE916" s="153">
        <v>2</v>
      </c>
      <c r="AF916" s="153" t="str">
        <f ca="1" t="shared" si="160"/>
        <v>20050011|</v>
      </c>
      <c r="AJ916" s="205" t="str">
        <f ca="1" t="shared" si="158"/>
        <v>400023|2550|;</v>
      </c>
      <c r="AK916" s="205">
        <f ca="1">OFFSET([1]item_type!$A$1,MATCH(Q916,[1]item_type!$G:$G,0)-1,0)</f>
        <v>302005</v>
      </c>
      <c r="AL916" s="205"/>
      <c r="AM916" s="205">
        <f ca="1">IF(B916=B917,OFFSET(卡牌辅助配置表!$AE$1,MATCH(AB916,卡牌辅助配置表!AB:AB,0),0),0)</f>
        <v>2550</v>
      </c>
      <c r="AN916" s="153">
        <f ca="1" t="shared" si="159"/>
        <v>2005007</v>
      </c>
      <c r="AP916" s="153" t="str">
        <f ca="1">IF(AC916=0,0,IF(AC916=12,0,OFFSET(effect!$N$1,MATCH(K916,effect!M:M,0)-1,0)))</f>
        <v>kpsx_pt</v>
      </c>
    </row>
    <row r="917" spans="1:42">
      <c r="A917" s="153">
        <f ca="1" t="shared" si="155"/>
        <v>2005007</v>
      </c>
      <c r="B917" s="91" t="s">
        <v>433</v>
      </c>
      <c r="C917" s="186">
        <v>2</v>
      </c>
      <c r="D917" s="186">
        <v>1</v>
      </c>
      <c r="E917" s="165" t="s">
        <v>1058</v>
      </c>
      <c r="F917" s="165" t="str">
        <f>"上一招为剑法时，增加"&amp;skill!$O$70/100&amp;"%伤害"</f>
        <v>上一招为剑法时，增加35%伤害</v>
      </c>
      <c r="G917" s="186">
        <f ca="1">OFFSET(卡牌辅助配置表!$C$1,MATCH(AC917,卡牌辅助配置表!A:A,0)-1,0)</f>
        <v>3</v>
      </c>
      <c r="H917" s="186">
        <f ca="1">OFFSET(skill!$Q$1,MATCH(B917,skill!B:B,0)-1,0)</f>
        <v>0.518518518518518</v>
      </c>
      <c r="I917" s="186"/>
      <c r="J917" s="186">
        <f ca="1">OFFSET(card_type!$F$1,MATCH(Q917,card_type!A:A,0)-1,0)</f>
        <v>1</v>
      </c>
      <c r="K917" s="243">
        <f ca="1">OFFSET(card_type!$G$1,MATCH(Q917,card_type!A:A,0)-1,0)</f>
        <v>2</v>
      </c>
      <c r="L917" s="157">
        <v>2</v>
      </c>
      <c r="M917" s="157">
        <v>2</v>
      </c>
      <c r="N917" s="153">
        <f t="shared" si="154"/>
        <v>7</v>
      </c>
      <c r="O917" s="157"/>
      <c r="P917" s="157"/>
      <c r="Q917" s="153">
        <f ca="1">OFFSET(card_type!$A$1,MATCH(card!B917,card_type!B:B,0)-1,0)</f>
        <v>2005</v>
      </c>
      <c r="R917" s="153">
        <v>1</v>
      </c>
      <c r="S917" s="157">
        <f ca="1">ROUND(IF(R917=0,0,IF(R917=1,X917*$S$1,IF(R917=2,X917*$S$1*buff的资质计算!$E$2,IF(R917=3,X917*$S$1*buff的资质计算!$E$3,0)))),0)*0</f>
        <v>0</v>
      </c>
      <c r="T917" s="153">
        <v>2</v>
      </c>
      <c r="U917" s="153">
        <f ca="1" t="shared" si="156"/>
        <v>12</v>
      </c>
      <c r="V917" s="153">
        <f ca="1">ROUND((OFFSET(卡牌辅助配置表!$O$1,MATCH(U917,卡牌辅助配置表!M:M,0)-1,0)+(N917-1)*OFFSET(卡牌辅助配置表!$P$1,MATCH(U917,卡牌辅助配置表!M:M,0)-1,0))*M917,2)</f>
        <v>22.8</v>
      </c>
      <c r="W917" s="157">
        <f ca="1">ROUND(IF(R917=0,0,IF(R917=1,X917*$W$1,IF(R917=2,X917*$W$1*buff的资质计算!$E$2,IF(R917=3,X917*$W$1*buff的资质计算!$E$3,0)))),2)</f>
        <v>7.2</v>
      </c>
      <c r="X917" s="157">
        <f ca="1" t="shared" si="152"/>
        <v>24</v>
      </c>
      <c r="Y917" s="157">
        <f ca="1" t="shared" si="161"/>
        <v>24.5185185185185</v>
      </c>
      <c r="Z917" s="304">
        <f ca="1" t="shared" si="153"/>
        <v>12.2592592592593</v>
      </c>
      <c r="AA917" s="304">
        <f ca="1">OFFSET(卡牌辅助配置表!$AD$1,MATCH(AB917,卡牌辅助配置表!AB:AB,0)-1,0)</f>
        <v>252</v>
      </c>
      <c r="AB917" s="304">
        <f ca="1" t="shared" si="157"/>
        <v>1207</v>
      </c>
      <c r="AC917" s="153">
        <v>3</v>
      </c>
      <c r="AE917" s="153">
        <v>2</v>
      </c>
      <c r="AF917" s="153" t="str">
        <f ca="1" t="shared" si="160"/>
        <v>20050011|</v>
      </c>
      <c r="AJ917" s="205" t="str">
        <f ca="1" t="shared" si="158"/>
        <v>400023|2850|;</v>
      </c>
      <c r="AK917" s="205">
        <f ca="1">OFFSET([1]item_type!$A$1,MATCH(Q917,[1]item_type!$G:$G,0)-1,0)</f>
        <v>302005</v>
      </c>
      <c r="AL917" s="205"/>
      <c r="AM917" s="205">
        <f ca="1">IF(B917=B918,OFFSET(卡牌辅助配置表!$AE$1,MATCH(AB917,卡牌辅助配置表!AB:AB,0),0),0)</f>
        <v>2850</v>
      </c>
      <c r="AN917" s="153">
        <f ca="1" t="shared" si="159"/>
        <v>2005008</v>
      </c>
      <c r="AP917" s="153" t="str">
        <f ca="1">IF(AC917=0,0,IF(AC917=12,0,OFFSET(effect!$N$1,MATCH(K917,effect!M:M,0)-1,0)))</f>
        <v>kpsx_pt</v>
      </c>
    </row>
    <row r="918" spans="1:42">
      <c r="A918" s="153">
        <f ca="1" t="shared" si="155"/>
        <v>2005008</v>
      </c>
      <c r="B918" s="91" t="s">
        <v>433</v>
      </c>
      <c r="C918" s="186">
        <v>2</v>
      </c>
      <c r="D918" s="186">
        <v>1</v>
      </c>
      <c r="E918" s="165" t="s">
        <v>1058</v>
      </c>
      <c r="F918" s="165" t="str">
        <f>"上一招为剑法时，增加"&amp;skill!$O$70/100&amp;"%伤害"</f>
        <v>上一招为剑法时，增加35%伤害</v>
      </c>
      <c r="G918" s="186">
        <f ca="1">OFFSET(卡牌辅助配置表!$C$1,MATCH(AC918,卡牌辅助配置表!A:A,0)-1,0)</f>
        <v>3</v>
      </c>
      <c r="H918" s="186">
        <f ca="1">OFFSET(skill!$Q$1,MATCH(B918,skill!B:B,0)-1,0)</f>
        <v>0.518518518518518</v>
      </c>
      <c r="I918" s="186"/>
      <c r="J918" s="186">
        <f ca="1">OFFSET(card_type!$F$1,MATCH(Q918,card_type!A:A,0)-1,0)</f>
        <v>1</v>
      </c>
      <c r="K918" s="243">
        <f ca="1">OFFSET(card_type!$G$1,MATCH(Q918,card_type!A:A,0)-1,0)</f>
        <v>2</v>
      </c>
      <c r="L918" s="157">
        <v>2</v>
      </c>
      <c r="M918" s="157">
        <v>2</v>
      </c>
      <c r="N918" s="153">
        <f t="shared" si="154"/>
        <v>8</v>
      </c>
      <c r="O918" s="157"/>
      <c r="P918" s="157"/>
      <c r="Q918" s="153">
        <f ca="1">OFFSET(card_type!$A$1,MATCH(card!B918,card_type!B:B,0)-1,0)</f>
        <v>2005</v>
      </c>
      <c r="R918" s="153">
        <v>1</v>
      </c>
      <c r="S918" s="157">
        <f ca="1">ROUND(IF(R918=0,0,IF(R918=1,X918*$S$1,IF(R918=2,X918*$S$1*buff的资质计算!$E$2,IF(R918=3,X918*$S$1*buff的资质计算!$E$3,0)))),0)*0</f>
        <v>0</v>
      </c>
      <c r="T918" s="153">
        <v>2</v>
      </c>
      <c r="U918" s="153">
        <f ca="1" t="shared" si="156"/>
        <v>12</v>
      </c>
      <c r="V918" s="153">
        <f ca="1">ROUND((OFFSET(卡牌辅助配置表!$O$1,MATCH(U918,卡牌辅助配置表!M:M,0)-1,0)+(N918-1)*OFFSET(卡牌辅助配置表!$P$1,MATCH(U918,卡牌辅助配置表!M:M,0)-1,0))*M918,2)</f>
        <v>23.43</v>
      </c>
      <c r="W918" s="157">
        <f ca="1">ROUND(IF(R918=0,0,IF(R918=1,X918*$W$1,IF(R918=2,X918*$W$1*buff的资质计算!$E$2,IF(R918=3,X918*$W$1*buff的资质计算!$E$3,0)))),2)</f>
        <v>7.35</v>
      </c>
      <c r="X918" s="157">
        <f ca="1" t="shared" si="152"/>
        <v>24.5</v>
      </c>
      <c r="Y918" s="157">
        <f ca="1" t="shared" si="161"/>
        <v>25.0185185185185</v>
      </c>
      <c r="Z918" s="304">
        <f ca="1" t="shared" si="153"/>
        <v>12.5092592592593</v>
      </c>
      <c r="AA918" s="304">
        <f ca="1">OFFSET(卡牌辅助配置表!$AD$1,MATCH(AB918,卡牌辅助配置表!AB:AB,0)-1,0)</f>
        <v>288</v>
      </c>
      <c r="AB918" s="304">
        <f ca="1" t="shared" si="157"/>
        <v>1208</v>
      </c>
      <c r="AC918" s="153">
        <v>3</v>
      </c>
      <c r="AE918" s="153">
        <v>2</v>
      </c>
      <c r="AF918" s="153" t="str">
        <f ca="1" t="shared" si="160"/>
        <v>20050011|</v>
      </c>
      <c r="AJ918" s="205" t="str">
        <f ca="1" t="shared" si="158"/>
        <v>400023|3150|;</v>
      </c>
      <c r="AK918" s="205">
        <f ca="1">OFFSET([1]item_type!$A$1,MATCH(Q918,[1]item_type!$G:$G,0)-1,0)</f>
        <v>302005</v>
      </c>
      <c r="AL918" s="205"/>
      <c r="AM918" s="205">
        <f ca="1">IF(B918=B919,OFFSET(卡牌辅助配置表!$AE$1,MATCH(AB918,卡牌辅助配置表!AB:AB,0),0),0)</f>
        <v>3150</v>
      </c>
      <c r="AN918" s="153">
        <f ca="1" t="shared" si="159"/>
        <v>2005009</v>
      </c>
      <c r="AP918" s="153" t="str">
        <f ca="1">IF(AC918=0,0,IF(AC918=12,0,OFFSET(effect!$N$1,MATCH(K918,effect!M:M,0)-1,0)))</f>
        <v>kpsx_pt</v>
      </c>
    </row>
    <row r="919" spans="1:42">
      <c r="A919" s="153">
        <f ca="1" t="shared" si="155"/>
        <v>2005009</v>
      </c>
      <c r="B919" s="91" t="s">
        <v>433</v>
      </c>
      <c r="C919" s="186">
        <v>2</v>
      </c>
      <c r="D919" s="186">
        <v>1</v>
      </c>
      <c r="E919" s="165" t="s">
        <v>1058</v>
      </c>
      <c r="F919" s="165" t="str">
        <f>"上一招为剑法时，增加"&amp;skill!$O$70/100&amp;"%伤害"</f>
        <v>上一招为剑法时，增加35%伤害</v>
      </c>
      <c r="G919" s="186">
        <f ca="1">OFFSET(卡牌辅助配置表!$C$1,MATCH(AC919,卡牌辅助配置表!A:A,0)-1,0)</f>
        <v>3</v>
      </c>
      <c r="H919" s="186">
        <f ca="1">OFFSET(skill!$Q$1,MATCH(B919,skill!B:B,0)-1,0)</f>
        <v>0.518518518518518</v>
      </c>
      <c r="I919" s="186"/>
      <c r="J919" s="186">
        <f ca="1">OFFSET(card_type!$F$1,MATCH(Q919,card_type!A:A,0)-1,0)</f>
        <v>1</v>
      </c>
      <c r="K919" s="243">
        <f ca="1">OFFSET(card_type!$G$1,MATCH(Q919,card_type!A:A,0)-1,0)</f>
        <v>2</v>
      </c>
      <c r="L919" s="157">
        <v>2</v>
      </c>
      <c r="M919" s="157">
        <v>2</v>
      </c>
      <c r="N919" s="153">
        <f t="shared" si="154"/>
        <v>9</v>
      </c>
      <c r="O919" s="157"/>
      <c r="P919" s="157"/>
      <c r="Q919" s="153">
        <f ca="1">OFFSET(card_type!$A$1,MATCH(card!B919,card_type!B:B,0)-1,0)</f>
        <v>2005</v>
      </c>
      <c r="R919" s="153">
        <v>1</v>
      </c>
      <c r="S919" s="157">
        <f ca="1">ROUND(IF(R919=0,0,IF(R919=1,X919*$S$1,IF(R919=2,X919*$S$1*buff的资质计算!$E$2,IF(R919=3,X919*$S$1*buff的资质计算!$E$3,0)))),0)*0</f>
        <v>0</v>
      </c>
      <c r="T919" s="153">
        <v>2</v>
      </c>
      <c r="U919" s="153">
        <f ca="1" t="shared" si="156"/>
        <v>12</v>
      </c>
      <c r="V919" s="153">
        <f ca="1">ROUND((OFFSET(卡牌辅助配置表!$O$1,MATCH(U919,卡牌辅助配置表!M:M,0)-1,0)+(N919-1)*OFFSET(卡牌辅助配置表!$P$1,MATCH(U919,卡牌辅助配置表!M:M,0)-1,0))*M919,2)</f>
        <v>24.07</v>
      </c>
      <c r="W919" s="157">
        <f ca="1">ROUND(IF(R919=0,0,IF(R919=1,X919*$W$1,IF(R919=2,X919*$W$1*buff的资质计算!$E$2,IF(R919=3,X919*$W$1*buff的资质计算!$E$3,0)))),2)</f>
        <v>7.5</v>
      </c>
      <c r="X919" s="157">
        <f ca="1" t="shared" si="152"/>
        <v>25</v>
      </c>
      <c r="Y919" s="157">
        <f ca="1" t="shared" si="161"/>
        <v>25.5185185185185</v>
      </c>
      <c r="Z919" s="304">
        <f ca="1" t="shared" si="153"/>
        <v>12.7592592592593</v>
      </c>
      <c r="AA919" s="304">
        <f ca="1">OFFSET(卡牌辅助配置表!$AD$1,MATCH(AB919,卡牌辅助配置表!AB:AB,0)-1,0)</f>
        <v>324</v>
      </c>
      <c r="AB919" s="304">
        <f ca="1" t="shared" si="157"/>
        <v>1209</v>
      </c>
      <c r="AC919" s="153">
        <v>3</v>
      </c>
      <c r="AE919" s="153">
        <v>2</v>
      </c>
      <c r="AF919" s="153" t="str">
        <f ca="1" t="shared" si="160"/>
        <v>20050011|</v>
      </c>
      <c r="AJ919" s="205" t="str">
        <f ca="1" t="shared" si="158"/>
        <v>302005|15|;400023|3450|;</v>
      </c>
      <c r="AK919" s="205">
        <f ca="1">OFFSET([1]item_type!$A$1,MATCH(Q919,[1]item_type!$G:$G,0)-1,0)</f>
        <v>302005</v>
      </c>
      <c r="AL919" s="205">
        <v>15</v>
      </c>
      <c r="AM919" s="205">
        <f ca="1">IF(B919=B920,OFFSET(卡牌辅助配置表!$AE$1,MATCH(AB919,卡牌辅助配置表!AB:AB,0),0),0)</f>
        <v>3450</v>
      </c>
      <c r="AN919" s="153">
        <f ca="1" t="shared" si="159"/>
        <v>2005010</v>
      </c>
      <c r="AP919" s="153" t="str">
        <f ca="1">IF(AC919=0,0,IF(AC919=12,0,OFFSET(effect!$N$1,MATCH(K919,effect!M:M,0)-1,0)))</f>
        <v>kpsx_pt</v>
      </c>
    </row>
    <row r="920" spans="1:42">
      <c r="A920" s="153">
        <f ca="1" t="shared" si="155"/>
        <v>2005010</v>
      </c>
      <c r="B920" s="91" t="s">
        <v>433</v>
      </c>
      <c r="C920" s="186">
        <v>2</v>
      </c>
      <c r="D920" s="186">
        <v>1</v>
      </c>
      <c r="E920" s="165" t="s">
        <v>1058</v>
      </c>
      <c r="F920" s="165" t="str">
        <f>"上一招为剑法时，增加"&amp;skill!$O$70/100&amp;"%伤害"</f>
        <v>上一招为剑法时，增加35%伤害</v>
      </c>
      <c r="G920" s="186">
        <f ca="1">OFFSET(卡牌辅助配置表!$C$1,MATCH(AC920,卡牌辅助配置表!A:A,0)-1,0)</f>
        <v>3</v>
      </c>
      <c r="H920" s="186">
        <f ca="1">OFFSET(skill!$Q$1,MATCH(B920,skill!B:B,0)-1,0)</f>
        <v>0.518518518518518</v>
      </c>
      <c r="I920" s="186"/>
      <c r="J920" s="186">
        <f ca="1">OFFSET(card_type!$F$1,MATCH(Q920,card_type!A:A,0)-1,0)</f>
        <v>1</v>
      </c>
      <c r="K920" s="243">
        <f ca="1">OFFSET(card_type!$G$1,MATCH(Q920,card_type!A:A,0)-1,0)</f>
        <v>2</v>
      </c>
      <c r="L920" s="157">
        <v>2</v>
      </c>
      <c r="M920" s="157">
        <v>2</v>
      </c>
      <c r="N920" s="153">
        <f t="shared" si="154"/>
        <v>10</v>
      </c>
      <c r="O920" s="157"/>
      <c r="P920" s="157"/>
      <c r="Q920" s="153">
        <f ca="1">OFFSET(card_type!$A$1,MATCH(card!B920,card_type!B:B,0)-1,0)</f>
        <v>2005</v>
      </c>
      <c r="R920" s="153">
        <v>1</v>
      </c>
      <c r="S920" s="157">
        <f ca="1">ROUND(IF(R920=0,0,IF(R920=1,X920*$S$1,IF(R920=2,X920*$S$1*buff的资质计算!$E$2,IF(R920=3,X920*$S$1*buff的资质计算!$E$3,0)))),0)*0</f>
        <v>0</v>
      </c>
      <c r="T920" s="153">
        <v>2</v>
      </c>
      <c r="U920" s="153">
        <f ca="1" t="shared" si="156"/>
        <v>12</v>
      </c>
      <c r="V920" s="153">
        <f ca="1">ROUND((OFFSET(卡牌辅助配置表!$O$1,MATCH(U920,卡牌辅助配置表!M:M,0)-1,0)+(N920-1)*OFFSET(卡牌辅助配置表!$P$1,MATCH(U920,卡牌辅助配置表!M:M,0)-1,0))*M920,2)</f>
        <v>24.7</v>
      </c>
      <c r="W920" s="157">
        <f ca="1">ROUND(IF(R920=0,0,IF(R920=1,X920*$W$1,IF(R920=2,X920*$W$1*buff的资质计算!$E$2,IF(R920=3,X920*$W$1*buff的资质计算!$E$3,0)))),2)</f>
        <v>7.65</v>
      </c>
      <c r="X920" s="157">
        <f ca="1" t="shared" si="152"/>
        <v>25.5</v>
      </c>
      <c r="Y920" s="157">
        <f ca="1" t="shared" si="161"/>
        <v>26.0185185185185</v>
      </c>
      <c r="Z920" s="304">
        <f ca="1" t="shared" si="153"/>
        <v>13.0092592592593</v>
      </c>
      <c r="AA920" s="304">
        <f ca="1">OFFSET(卡牌辅助配置表!$AD$1,MATCH(AB920,卡牌辅助配置表!AB:AB,0)-1,0)</f>
        <v>360</v>
      </c>
      <c r="AB920" s="304">
        <f ca="1" t="shared" si="157"/>
        <v>1210</v>
      </c>
      <c r="AC920" s="153">
        <v>3</v>
      </c>
      <c r="AE920" s="153">
        <v>2</v>
      </c>
      <c r="AF920" s="153" t="str">
        <f ca="1" t="shared" si="160"/>
        <v>20050011|</v>
      </c>
      <c r="AJ920" s="205" t="str">
        <f ca="1" t="shared" si="158"/>
        <v>400023|4050|;</v>
      </c>
      <c r="AK920" s="205">
        <f ca="1">OFFSET([1]item_type!$A$1,MATCH(Q920,[1]item_type!$G:$G,0)-1,0)</f>
        <v>302005</v>
      </c>
      <c r="AL920" s="205"/>
      <c r="AM920" s="205">
        <f ca="1">IF(B920=B921,OFFSET(卡牌辅助配置表!$AE$1,MATCH(AB920,卡牌辅助配置表!AB:AB,0),0),0)</f>
        <v>4050</v>
      </c>
      <c r="AN920" s="153">
        <f ca="1" t="shared" si="159"/>
        <v>2005011</v>
      </c>
      <c r="AP920" s="153" t="str">
        <f ca="1">IF(AC920=0,0,IF(AC920=12,0,OFFSET(effect!$N$1,MATCH(K920,effect!M:M,0)-1,0)))</f>
        <v>kpsx_pt</v>
      </c>
    </row>
    <row r="921" spans="1:42">
      <c r="A921" s="153">
        <f ca="1" t="shared" si="155"/>
        <v>2005011</v>
      </c>
      <c r="B921" s="91" t="s">
        <v>433</v>
      </c>
      <c r="C921" s="186">
        <v>2</v>
      </c>
      <c r="D921" s="186">
        <v>1</v>
      </c>
      <c r="E921" s="165" t="s">
        <v>1058</v>
      </c>
      <c r="F921" s="165" t="str">
        <f>"上一招为剑法时，增加"&amp;skill!$O$70/100&amp;"%伤害"</f>
        <v>上一招为剑法时，增加35%伤害</v>
      </c>
      <c r="G921" s="186">
        <f ca="1">OFFSET(卡牌辅助配置表!$C$1,MATCH(AC921,卡牌辅助配置表!A:A,0)-1,0)</f>
        <v>3</v>
      </c>
      <c r="H921" s="186">
        <f ca="1">OFFSET(skill!$Q$1,MATCH(B921,skill!B:B,0)-1,0)</f>
        <v>0.518518518518518</v>
      </c>
      <c r="I921" s="186"/>
      <c r="J921" s="186">
        <f ca="1">OFFSET(card_type!$F$1,MATCH(Q921,card_type!A:A,0)-1,0)</f>
        <v>1</v>
      </c>
      <c r="K921" s="243">
        <f ca="1">OFFSET(card_type!$G$1,MATCH(Q921,card_type!A:A,0)-1,0)</f>
        <v>2</v>
      </c>
      <c r="L921" s="157">
        <v>2</v>
      </c>
      <c r="M921" s="157">
        <v>2</v>
      </c>
      <c r="N921" s="153">
        <f t="shared" si="154"/>
        <v>11</v>
      </c>
      <c r="O921" s="157"/>
      <c r="P921" s="157"/>
      <c r="Q921" s="153">
        <f ca="1">OFFSET(card_type!$A$1,MATCH(card!B921,card_type!B:B,0)-1,0)</f>
        <v>2005</v>
      </c>
      <c r="R921" s="153">
        <v>1</v>
      </c>
      <c r="S921" s="157">
        <f ca="1">ROUND(IF(R921=0,0,IF(R921=1,X921*$S$1,IF(R921=2,X921*$S$1*buff的资质计算!$E$2,IF(R921=3,X921*$S$1*buff的资质计算!$E$3,0)))),0)*0</f>
        <v>0</v>
      </c>
      <c r="T921" s="153">
        <v>2</v>
      </c>
      <c r="U921" s="153">
        <f ca="1" t="shared" si="156"/>
        <v>12</v>
      </c>
      <c r="V921" s="153">
        <f ca="1">ROUND((OFFSET(卡牌辅助配置表!$O$1,MATCH(U921,卡牌辅助配置表!M:M,0)-1,0)+(N921-1)*OFFSET(卡牌辅助配置表!$P$1,MATCH(U921,卡牌辅助配置表!M:M,0)-1,0))*M921,2)</f>
        <v>25.33</v>
      </c>
      <c r="W921" s="157">
        <f ca="1">ROUND(IF(R921=0,0,IF(R921=1,X921*$W$1,IF(R921=2,X921*$W$1*buff的资质计算!$E$2,IF(R921=3,X921*$W$1*buff的资质计算!$E$3,0)))),2)</f>
        <v>7.8</v>
      </c>
      <c r="X921" s="157">
        <f ca="1" t="shared" si="152"/>
        <v>26</v>
      </c>
      <c r="Y921" s="157">
        <f ca="1" t="shared" si="161"/>
        <v>26.5185185185185</v>
      </c>
      <c r="Z921" s="304">
        <f ca="1" t="shared" si="153"/>
        <v>13.2592592592593</v>
      </c>
      <c r="AA921" s="304">
        <f ca="1">OFFSET(卡牌辅助配置表!$AD$1,MATCH(AB921,卡牌辅助配置表!AB:AB,0)-1,0)</f>
        <v>415</v>
      </c>
      <c r="AB921" s="304">
        <f ca="1" t="shared" si="157"/>
        <v>1211</v>
      </c>
      <c r="AC921" s="153">
        <v>3</v>
      </c>
      <c r="AE921" s="153">
        <v>2</v>
      </c>
      <c r="AF921" s="153" t="str">
        <f ca="1" t="shared" si="160"/>
        <v>20050011|</v>
      </c>
      <c r="AJ921" s="205" t="str">
        <f ca="1" t="shared" si="158"/>
        <v>400023|4650|;</v>
      </c>
      <c r="AK921" s="205">
        <f ca="1">OFFSET([1]item_type!$A$1,MATCH(Q921,[1]item_type!$G:$G,0)-1,0)</f>
        <v>302005</v>
      </c>
      <c r="AL921" s="205"/>
      <c r="AM921" s="205">
        <f ca="1">IF(B921=B922,OFFSET(卡牌辅助配置表!$AE$1,MATCH(AB921,卡牌辅助配置表!AB:AB,0),0),0)</f>
        <v>4650</v>
      </c>
      <c r="AN921" s="153">
        <f ca="1" t="shared" si="159"/>
        <v>2005012</v>
      </c>
      <c r="AP921" s="153" t="str">
        <f ca="1">IF(AC921=0,0,IF(AC921=12,0,OFFSET(effect!$N$1,MATCH(K921,effect!M:M,0)-1,0)))</f>
        <v>kpsx_pt</v>
      </c>
    </row>
    <row r="922" spans="1:42">
      <c r="A922" s="153">
        <f ca="1" t="shared" si="155"/>
        <v>2005012</v>
      </c>
      <c r="B922" s="91" t="s">
        <v>433</v>
      </c>
      <c r="C922" s="186">
        <v>2</v>
      </c>
      <c r="D922" s="186">
        <v>1</v>
      </c>
      <c r="E922" s="165" t="s">
        <v>1058</v>
      </c>
      <c r="F922" s="165" t="str">
        <f>"上一招为剑法时，增加"&amp;skill!$O$70/100&amp;"%伤害"</f>
        <v>上一招为剑法时，增加35%伤害</v>
      </c>
      <c r="G922" s="186">
        <f ca="1">OFFSET(卡牌辅助配置表!$C$1,MATCH(AC922,卡牌辅助配置表!A:A,0)-1,0)</f>
        <v>3</v>
      </c>
      <c r="H922" s="186">
        <f ca="1">OFFSET(skill!$Q$1,MATCH(B922,skill!B:B,0)-1,0)</f>
        <v>0.518518518518518</v>
      </c>
      <c r="I922" s="186"/>
      <c r="J922" s="186">
        <f ca="1">OFFSET(card_type!$F$1,MATCH(Q922,card_type!A:A,0)-1,0)</f>
        <v>1</v>
      </c>
      <c r="K922" s="243">
        <f ca="1">OFFSET(card_type!$G$1,MATCH(Q922,card_type!A:A,0)-1,0)</f>
        <v>2</v>
      </c>
      <c r="L922" s="157">
        <v>2</v>
      </c>
      <c r="M922" s="157">
        <v>2</v>
      </c>
      <c r="N922" s="153">
        <f t="shared" si="154"/>
        <v>12</v>
      </c>
      <c r="O922" s="157"/>
      <c r="P922" s="157"/>
      <c r="Q922" s="153">
        <f ca="1">OFFSET(card_type!$A$1,MATCH(card!B922,card_type!B:B,0)-1,0)</f>
        <v>2005</v>
      </c>
      <c r="R922" s="153">
        <v>1</v>
      </c>
      <c r="S922" s="157">
        <f ca="1">ROUND(IF(R922=0,0,IF(R922=1,X922*$S$1,IF(R922=2,X922*$S$1*buff的资质计算!$E$2,IF(R922=3,X922*$S$1*buff的资质计算!$E$3,0)))),0)*0</f>
        <v>0</v>
      </c>
      <c r="T922" s="153">
        <v>2</v>
      </c>
      <c r="U922" s="153">
        <f ca="1" t="shared" si="156"/>
        <v>12</v>
      </c>
      <c r="V922" s="153">
        <f ca="1">ROUND((OFFSET(卡牌辅助配置表!$O$1,MATCH(U922,卡牌辅助配置表!M:M,0)-1,0)+(N922-1)*OFFSET(卡牌辅助配置表!$P$1,MATCH(U922,卡牌辅助配置表!M:M,0)-1,0))*M922,2)</f>
        <v>25.97</v>
      </c>
      <c r="W922" s="157">
        <f ca="1">ROUND(IF(R922=0,0,IF(R922=1,X922*$W$1,IF(R922=2,X922*$W$1*buff的资质计算!$E$2,IF(R922=3,X922*$W$1*buff的资质计算!$E$3,0)))),2)</f>
        <v>7.95</v>
      </c>
      <c r="X922" s="157">
        <f ca="1" t="shared" si="152"/>
        <v>26.5</v>
      </c>
      <c r="Y922" s="157">
        <f ca="1" t="shared" si="161"/>
        <v>27.0185185185185</v>
      </c>
      <c r="Z922" s="304">
        <f ca="1" t="shared" si="153"/>
        <v>13.5092592592593</v>
      </c>
      <c r="AA922" s="304">
        <f ca="1">OFFSET(卡牌辅助配置表!$AD$1,MATCH(AB922,卡牌辅助配置表!AB:AB,0)-1,0)</f>
        <v>470</v>
      </c>
      <c r="AB922" s="304">
        <f ca="1" t="shared" si="157"/>
        <v>1212</v>
      </c>
      <c r="AC922" s="153">
        <v>3</v>
      </c>
      <c r="AE922" s="153">
        <v>2</v>
      </c>
      <c r="AF922" s="153" t="str">
        <f ca="1" t="shared" si="160"/>
        <v>20050011|</v>
      </c>
      <c r="AJ922" s="205" t="str">
        <f ca="1" t="shared" si="158"/>
        <v>400023|5250|;</v>
      </c>
      <c r="AK922" s="205">
        <f ca="1">OFFSET([1]item_type!$A$1,MATCH(Q922,[1]item_type!$G:$G,0)-1,0)</f>
        <v>302005</v>
      </c>
      <c r="AL922" s="205"/>
      <c r="AM922" s="205">
        <f ca="1">IF(B922=B923,OFFSET(卡牌辅助配置表!$AE$1,MATCH(AB922,卡牌辅助配置表!AB:AB,0),0),0)</f>
        <v>5250</v>
      </c>
      <c r="AN922" s="153">
        <f ca="1" t="shared" si="159"/>
        <v>2005013</v>
      </c>
      <c r="AP922" s="153" t="str">
        <f ca="1">IF(AC922=0,0,IF(AC922=12,0,OFFSET(effect!$N$1,MATCH(K922,effect!M:M,0)-1,0)))</f>
        <v>kpsx_pt</v>
      </c>
    </row>
    <row r="923" spans="1:42">
      <c r="A923" s="153">
        <f ca="1" t="shared" si="155"/>
        <v>2005013</v>
      </c>
      <c r="B923" s="91" t="s">
        <v>433</v>
      </c>
      <c r="C923" s="186">
        <v>2</v>
      </c>
      <c r="D923" s="186">
        <v>1</v>
      </c>
      <c r="E923" s="165" t="s">
        <v>1058</v>
      </c>
      <c r="F923" s="165" t="str">
        <f>"上一招为剑法时，增加"&amp;skill!$O$70/100&amp;"%伤害"</f>
        <v>上一招为剑法时，增加35%伤害</v>
      </c>
      <c r="G923" s="186">
        <f ca="1">OFFSET(卡牌辅助配置表!$C$1,MATCH(AC923,卡牌辅助配置表!A:A,0)-1,0)</f>
        <v>3</v>
      </c>
      <c r="H923" s="186">
        <f ca="1">OFFSET(skill!$Q$1,MATCH(B923,skill!B:B,0)-1,0)</f>
        <v>0.518518518518518</v>
      </c>
      <c r="I923" s="186"/>
      <c r="J923" s="186">
        <f ca="1">OFFSET(card_type!$F$1,MATCH(Q923,card_type!A:A,0)-1,0)</f>
        <v>1</v>
      </c>
      <c r="K923" s="243">
        <f ca="1">OFFSET(card_type!$G$1,MATCH(Q923,card_type!A:A,0)-1,0)</f>
        <v>2</v>
      </c>
      <c r="L923" s="157">
        <v>2</v>
      </c>
      <c r="M923" s="157">
        <v>2</v>
      </c>
      <c r="N923" s="153">
        <f t="shared" si="154"/>
        <v>13</v>
      </c>
      <c r="O923" s="157"/>
      <c r="P923" s="157"/>
      <c r="Q923" s="153">
        <f ca="1">OFFSET(card_type!$A$1,MATCH(card!B923,card_type!B:B,0)-1,0)</f>
        <v>2005</v>
      </c>
      <c r="R923" s="153">
        <v>1</v>
      </c>
      <c r="S923" s="157">
        <f ca="1">ROUND(IF(R923=0,0,IF(R923=1,X923*$S$1,IF(R923=2,X923*$S$1*buff的资质计算!$E$2,IF(R923=3,X923*$S$1*buff的资质计算!$E$3,0)))),0)*0</f>
        <v>0</v>
      </c>
      <c r="T923" s="153">
        <v>2</v>
      </c>
      <c r="U923" s="153">
        <f ca="1" t="shared" si="156"/>
        <v>12</v>
      </c>
      <c r="V923" s="153">
        <f ca="1">ROUND((OFFSET(卡牌辅助配置表!$O$1,MATCH(U923,卡牌辅助配置表!M:M,0)-1,0)+(N923-1)*OFFSET(卡牌辅助配置表!$P$1,MATCH(U923,卡牌辅助配置表!M:M,0)-1,0))*M923,2)</f>
        <v>26.6</v>
      </c>
      <c r="W923" s="157">
        <f ca="1">ROUND(IF(R923=0,0,IF(R923=1,X923*$W$1,IF(R923=2,X923*$W$1*buff的资质计算!$E$2,IF(R923=3,X923*$W$1*buff的资质计算!$E$3,0)))),2)</f>
        <v>8.1</v>
      </c>
      <c r="X923" s="157">
        <f ca="1" t="shared" si="152"/>
        <v>27</v>
      </c>
      <c r="Y923" s="157">
        <f ca="1" t="shared" si="161"/>
        <v>27.5185185185185</v>
      </c>
      <c r="Z923" s="304">
        <f ca="1" t="shared" si="153"/>
        <v>13.7592592592593</v>
      </c>
      <c r="AA923" s="304">
        <f ca="1">OFFSET(卡牌辅助配置表!$AD$1,MATCH(AB923,卡牌辅助配置表!AB:AB,0)-1,0)</f>
        <v>525</v>
      </c>
      <c r="AB923" s="304">
        <f ca="1" t="shared" si="157"/>
        <v>1213</v>
      </c>
      <c r="AC923" s="153">
        <v>3</v>
      </c>
      <c r="AE923" s="153">
        <v>2</v>
      </c>
      <c r="AF923" s="153" t="str">
        <f ca="1" t="shared" si="160"/>
        <v>20050011|</v>
      </c>
      <c r="AJ923" s="205" t="str">
        <f ca="1" t="shared" si="158"/>
        <v>400023|5850|;</v>
      </c>
      <c r="AK923" s="205">
        <f ca="1">OFFSET([1]item_type!$A$1,MATCH(Q923,[1]item_type!$G:$G,0)-1,0)</f>
        <v>302005</v>
      </c>
      <c r="AL923" s="205"/>
      <c r="AM923" s="205">
        <f ca="1">IF(B923=B924,OFFSET(卡牌辅助配置表!$AE$1,MATCH(AB923,卡牌辅助配置表!AB:AB,0),0),0)</f>
        <v>5850</v>
      </c>
      <c r="AN923" s="153">
        <f ca="1" t="shared" si="159"/>
        <v>2005014</v>
      </c>
      <c r="AP923" s="153" t="str">
        <f ca="1">IF(AC923=0,0,IF(AC923=12,0,OFFSET(effect!$N$1,MATCH(K923,effect!M:M,0)-1,0)))</f>
        <v>kpsx_pt</v>
      </c>
    </row>
    <row r="924" spans="1:42">
      <c r="A924" s="153">
        <f ca="1" t="shared" si="155"/>
        <v>2005014</v>
      </c>
      <c r="B924" s="91" t="s">
        <v>433</v>
      </c>
      <c r="C924" s="186">
        <v>2</v>
      </c>
      <c r="D924" s="186">
        <v>1</v>
      </c>
      <c r="E924" s="165" t="s">
        <v>1058</v>
      </c>
      <c r="F924" s="165" t="str">
        <f>"上一招为剑法时，增加"&amp;skill!$O$70/100&amp;"%伤害"</f>
        <v>上一招为剑法时，增加35%伤害</v>
      </c>
      <c r="G924" s="186">
        <f ca="1">OFFSET(卡牌辅助配置表!$C$1,MATCH(AC924,卡牌辅助配置表!A:A,0)-1,0)</f>
        <v>3</v>
      </c>
      <c r="H924" s="186">
        <f ca="1">OFFSET(skill!$Q$1,MATCH(B924,skill!B:B,0)-1,0)</f>
        <v>0.518518518518518</v>
      </c>
      <c r="I924" s="186"/>
      <c r="J924" s="186">
        <f ca="1">OFFSET(card_type!$F$1,MATCH(Q924,card_type!A:A,0)-1,0)</f>
        <v>1</v>
      </c>
      <c r="K924" s="243">
        <f ca="1">OFFSET(card_type!$G$1,MATCH(Q924,card_type!A:A,0)-1,0)</f>
        <v>2</v>
      </c>
      <c r="L924" s="157">
        <v>2</v>
      </c>
      <c r="M924" s="157">
        <v>2</v>
      </c>
      <c r="N924" s="153">
        <f t="shared" si="154"/>
        <v>14</v>
      </c>
      <c r="O924" s="157"/>
      <c r="P924" s="157"/>
      <c r="Q924" s="153">
        <f ca="1">OFFSET(card_type!$A$1,MATCH(card!B924,card_type!B:B,0)-1,0)</f>
        <v>2005</v>
      </c>
      <c r="R924" s="153">
        <v>1</v>
      </c>
      <c r="S924" s="157">
        <f ca="1">ROUND(IF(R924=0,0,IF(R924=1,X924*$S$1,IF(R924=2,X924*$S$1*buff的资质计算!$E$2,IF(R924=3,X924*$S$1*buff的资质计算!$E$3,0)))),0)*0</f>
        <v>0</v>
      </c>
      <c r="T924" s="153">
        <v>2</v>
      </c>
      <c r="U924" s="153">
        <f ca="1" t="shared" si="156"/>
        <v>12</v>
      </c>
      <c r="V924" s="153">
        <f ca="1">ROUND((OFFSET(卡牌辅助配置表!$O$1,MATCH(U924,卡牌辅助配置表!M:M,0)-1,0)+(N924-1)*OFFSET(卡牌辅助配置表!$P$1,MATCH(U924,卡牌辅助配置表!M:M,0)-1,0))*M924,2)</f>
        <v>27.23</v>
      </c>
      <c r="W924" s="157">
        <f ca="1">ROUND(IF(R924=0,0,IF(R924=1,X924*$W$1,IF(R924=2,X924*$W$1*buff的资质计算!$E$2,IF(R924=3,X924*$W$1*buff的资质计算!$E$3,0)))),2)</f>
        <v>8.25</v>
      </c>
      <c r="X924" s="157">
        <f ca="1" t="shared" si="152"/>
        <v>27.5</v>
      </c>
      <c r="Y924" s="157">
        <f ca="1" t="shared" si="161"/>
        <v>28.0185185185185</v>
      </c>
      <c r="Z924" s="304">
        <f ca="1" t="shared" si="153"/>
        <v>14.0092592592593</v>
      </c>
      <c r="AA924" s="304">
        <f ca="1">OFFSET(卡牌辅助配置表!$AD$1,MATCH(AB924,卡牌辅助配置表!AB:AB,0)-1,0)</f>
        <v>580</v>
      </c>
      <c r="AB924" s="304">
        <f ca="1" t="shared" si="157"/>
        <v>1214</v>
      </c>
      <c r="AC924" s="153">
        <v>3</v>
      </c>
      <c r="AE924" s="153">
        <v>2</v>
      </c>
      <c r="AF924" s="153" t="str">
        <f ca="1" t="shared" si="160"/>
        <v>20050011|</v>
      </c>
      <c r="AJ924" s="205" t="str">
        <f ca="1" t="shared" si="158"/>
        <v>400023|6450|;</v>
      </c>
      <c r="AK924" s="205">
        <f ca="1">OFFSET([1]item_type!$A$1,MATCH(Q924,[1]item_type!$G:$G,0)-1,0)</f>
        <v>302005</v>
      </c>
      <c r="AL924" s="205"/>
      <c r="AM924" s="205">
        <f ca="1">IF(B924=B925,OFFSET(卡牌辅助配置表!$AE$1,MATCH(AB924,卡牌辅助配置表!AB:AB,0),0),0)</f>
        <v>6450</v>
      </c>
      <c r="AN924" s="153">
        <f ca="1" t="shared" si="159"/>
        <v>2005015</v>
      </c>
      <c r="AP924" s="153" t="str">
        <f ca="1">IF(AC924=0,0,IF(AC924=12,0,OFFSET(effect!$N$1,MATCH(K924,effect!M:M,0)-1,0)))</f>
        <v>kpsx_pt</v>
      </c>
    </row>
    <row r="925" spans="1:42">
      <c r="A925" s="153">
        <f ca="1" t="shared" si="155"/>
        <v>2005015</v>
      </c>
      <c r="B925" s="91" t="s">
        <v>433</v>
      </c>
      <c r="C925" s="186">
        <v>2</v>
      </c>
      <c r="D925" s="186">
        <v>1</v>
      </c>
      <c r="E925" s="165" t="s">
        <v>1058</v>
      </c>
      <c r="F925" s="165" t="str">
        <f>"上一招为剑法时，增加"&amp;skill!$O$70/100&amp;"%伤害"</f>
        <v>上一招为剑法时，增加35%伤害</v>
      </c>
      <c r="G925" s="186">
        <f ca="1">OFFSET(卡牌辅助配置表!$C$1,MATCH(AC925,卡牌辅助配置表!A:A,0)-1,0)</f>
        <v>3</v>
      </c>
      <c r="H925" s="186">
        <f ca="1">OFFSET(skill!$Q$1,MATCH(B925,skill!B:B,0)-1,0)</f>
        <v>0.518518518518518</v>
      </c>
      <c r="I925" s="186"/>
      <c r="J925" s="186">
        <f ca="1">OFFSET(card_type!$F$1,MATCH(Q925,card_type!A:A,0)-1,0)</f>
        <v>1</v>
      </c>
      <c r="K925" s="243">
        <f ca="1">OFFSET(card_type!$G$1,MATCH(Q925,card_type!A:A,0)-1,0)</f>
        <v>2</v>
      </c>
      <c r="L925" s="157">
        <v>2</v>
      </c>
      <c r="M925" s="157">
        <v>2</v>
      </c>
      <c r="N925" s="153">
        <f t="shared" si="154"/>
        <v>15</v>
      </c>
      <c r="O925" s="157"/>
      <c r="P925" s="157"/>
      <c r="Q925" s="153">
        <f ca="1">OFFSET(card_type!$A$1,MATCH(card!B925,card_type!B:B,0)-1,0)</f>
        <v>2005</v>
      </c>
      <c r="R925" s="153">
        <v>1</v>
      </c>
      <c r="S925" s="157">
        <f ca="1">ROUND(IF(R925=0,0,IF(R925=1,X925*$S$1,IF(R925=2,X925*$S$1*buff的资质计算!$E$2,IF(R925=3,X925*$S$1*buff的资质计算!$E$3,0)))),0)*0</f>
        <v>0</v>
      </c>
      <c r="T925" s="153">
        <v>2</v>
      </c>
      <c r="U925" s="153">
        <f ca="1" t="shared" si="156"/>
        <v>12</v>
      </c>
      <c r="V925" s="153">
        <f ca="1">ROUND((OFFSET(卡牌辅助配置表!$O$1,MATCH(U925,卡牌辅助配置表!M:M,0)-1,0)+(N925-1)*OFFSET(卡牌辅助配置表!$P$1,MATCH(U925,卡牌辅助配置表!M:M,0)-1,0))*M925,2)</f>
        <v>27.87</v>
      </c>
      <c r="W925" s="157">
        <f ca="1">ROUND(IF(R925=0,0,IF(R925=1,X925*$W$1,IF(R925=2,X925*$W$1*buff的资质计算!$E$2,IF(R925=3,X925*$W$1*buff的资质计算!$E$3,0)))),2)</f>
        <v>8.4</v>
      </c>
      <c r="X925" s="157">
        <f ca="1" t="shared" si="152"/>
        <v>28</v>
      </c>
      <c r="Y925" s="157">
        <f ca="1" t="shared" si="161"/>
        <v>28.5185185185185</v>
      </c>
      <c r="Z925" s="304">
        <f ca="1" t="shared" si="153"/>
        <v>14.2592592592593</v>
      </c>
      <c r="AA925" s="304">
        <f ca="1">OFFSET(卡牌辅助配置表!$AD$1,MATCH(AB925,卡牌辅助配置表!AB:AB,0)-1,0)</f>
        <v>635</v>
      </c>
      <c r="AB925" s="304">
        <f ca="1" t="shared" si="157"/>
        <v>1215</v>
      </c>
      <c r="AC925" s="153">
        <v>3</v>
      </c>
      <c r="AE925" s="153">
        <v>2</v>
      </c>
      <c r="AF925" s="153" t="str">
        <f ca="1" t="shared" si="160"/>
        <v>20050011|</v>
      </c>
      <c r="AJ925" s="205" t="str">
        <f ca="1" t="shared" si="158"/>
        <v>400023|7050|;</v>
      </c>
      <c r="AK925" s="205">
        <f ca="1">OFFSET([1]item_type!$A$1,MATCH(Q925,[1]item_type!$G:$G,0)-1,0)</f>
        <v>302005</v>
      </c>
      <c r="AL925" s="205"/>
      <c r="AM925" s="205">
        <f ca="1">IF(B925=B926,OFFSET(卡牌辅助配置表!$AE$1,MATCH(AB925,卡牌辅助配置表!AB:AB,0),0),0)</f>
        <v>7050</v>
      </c>
      <c r="AN925" s="153">
        <f ca="1" t="shared" si="159"/>
        <v>2005016</v>
      </c>
      <c r="AP925" s="153" t="str">
        <f ca="1">IF(AC925=0,0,IF(AC925=12,0,OFFSET(effect!$N$1,MATCH(K925,effect!M:M,0)-1,0)))</f>
        <v>kpsx_pt</v>
      </c>
    </row>
    <row r="926" spans="1:42">
      <c r="A926" s="153">
        <f ca="1" t="shared" si="155"/>
        <v>2005016</v>
      </c>
      <c r="B926" s="91" t="s">
        <v>433</v>
      </c>
      <c r="C926" s="186">
        <v>2</v>
      </c>
      <c r="D926" s="186">
        <v>1</v>
      </c>
      <c r="E926" s="165" t="s">
        <v>1058</v>
      </c>
      <c r="F926" s="165" t="str">
        <f>"上一招为剑法时，增加"&amp;skill!$O$70/100&amp;"%伤害"</f>
        <v>上一招为剑法时，增加35%伤害</v>
      </c>
      <c r="G926" s="186">
        <f ca="1">OFFSET(卡牌辅助配置表!$C$1,MATCH(AC926,卡牌辅助配置表!A:A,0)-1,0)</f>
        <v>3</v>
      </c>
      <c r="H926" s="186">
        <f ca="1">OFFSET(skill!$Q$1,MATCH(B926,skill!B:B,0)-1,0)</f>
        <v>0.518518518518518</v>
      </c>
      <c r="I926" s="186"/>
      <c r="J926" s="186">
        <f ca="1">OFFSET(card_type!$F$1,MATCH(Q926,card_type!A:A,0)-1,0)</f>
        <v>1</v>
      </c>
      <c r="K926" s="243">
        <f ca="1">OFFSET(card_type!$G$1,MATCH(Q926,card_type!A:A,0)-1,0)</f>
        <v>2</v>
      </c>
      <c r="L926" s="157">
        <v>2</v>
      </c>
      <c r="M926" s="157">
        <v>2</v>
      </c>
      <c r="N926" s="153">
        <f t="shared" si="154"/>
        <v>16</v>
      </c>
      <c r="O926" s="157"/>
      <c r="P926" s="157"/>
      <c r="Q926" s="153">
        <f ca="1">OFFSET(card_type!$A$1,MATCH(card!B926,card_type!B:B,0)-1,0)</f>
        <v>2005</v>
      </c>
      <c r="R926" s="153">
        <v>1</v>
      </c>
      <c r="S926" s="157">
        <f ca="1">ROUND(IF(R926=0,0,IF(R926=1,X926*$S$1,IF(R926=2,X926*$S$1*buff的资质计算!$E$2,IF(R926=3,X926*$S$1*buff的资质计算!$E$3,0)))),0)*0</f>
        <v>0</v>
      </c>
      <c r="T926" s="153">
        <v>2</v>
      </c>
      <c r="U926" s="153">
        <f ca="1" t="shared" si="156"/>
        <v>12</v>
      </c>
      <c r="V926" s="153">
        <f ca="1">ROUND((OFFSET(卡牌辅助配置表!$O$1,MATCH(U926,卡牌辅助配置表!M:M,0)-1,0)+(N926-1)*OFFSET(卡牌辅助配置表!$P$1,MATCH(U926,卡牌辅助配置表!M:M,0)-1,0))*M926,2)</f>
        <v>28.5</v>
      </c>
      <c r="W926" s="157">
        <f ca="1">ROUND(IF(R926=0,0,IF(R926=1,X926*$W$1,IF(R926=2,X926*$W$1*buff的资质计算!$E$2,IF(R926=3,X926*$W$1*buff的资质计算!$E$3,0)))),2)</f>
        <v>8.55</v>
      </c>
      <c r="X926" s="157">
        <f ca="1" t="shared" si="152"/>
        <v>28.5</v>
      </c>
      <c r="Y926" s="157">
        <f ca="1" t="shared" si="161"/>
        <v>29.0185185185185</v>
      </c>
      <c r="Z926" s="304">
        <f ca="1" t="shared" si="153"/>
        <v>14.5092592592593</v>
      </c>
      <c r="AA926" s="304">
        <f ca="1">OFFSET(卡牌辅助配置表!$AD$1,MATCH(AB926,卡牌辅助配置表!AB:AB,0)-1,0)</f>
        <v>690</v>
      </c>
      <c r="AB926" s="304">
        <f ca="1" t="shared" si="157"/>
        <v>1216</v>
      </c>
      <c r="AC926" s="153">
        <v>3</v>
      </c>
      <c r="AE926" s="153">
        <v>2</v>
      </c>
      <c r="AF926" s="153" t="str">
        <f ca="1" t="shared" si="160"/>
        <v>20050011|</v>
      </c>
      <c r="AJ926" s="205" t="str">
        <f ca="1" t="shared" si="158"/>
        <v>400023|7650|;</v>
      </c>
      <c r="AK926" s="205">
        <f ca="1">OFFSET([1]item_type!$A$1,MATCH(Q926,[1]item_type!$G:$G,0)-1,0)</f>
        <v>302005</v>
      </c>
      <c r="AL926" s="205"/>
      <c r="AM926" s="205">
        <f ca="1">IF(B926=B927,OFFSET(卡牌辅助配置表!$AE$1,MATCH(AB926,卡牌辅助配置表!AB:AB,0),0),0)</f>
        <v>7650</v>
      </c>
      <c r="AN926" s="153">
        <f ca="1" t="shared" si="159"/>
        <v>2005017</v>
      </c>
      <c r="AP926" s="153" t="str">
        <f ca="1">IF(AC926=0,0,IF(AC926=12,0,OFFSET(effect!$N$1,MATCH(K926,effect!M:M,0)-1,0)))</f>
        <v>kpsx_pt</v>
      </c>
    </row>
    <row r="927" spans="1:42">
      <c r="A927" s="153">
        <f ca="1" t="shared" si="155"/>
        <v>2005017</v>
      </c>
      <c r="B927" s="91" t="s">
        <v>433</v>
      </c>
      <c r="C927" s="186">
        <v>2</v>
      </c>
      <c r="D927" s="186">
        <v>1</v>
      </c>
      <c r="E927" s="165" t="s">
        <v>1058</v>
      </c>
      <c r="F927" s="165" t="str">
        <f>"上一招为剑法时，增加"&amp;skill!$O$70/100&amp;"%伤害"</f>
        <v>上一招为剑法时，增加35%伤害</v>
      </c>
      <c r="G927" s="186">
        <f ca="1">OFFSET(卡牌辅助配置表!$C$1,MATCH(AC927,卡牌辅助配置表!A:A,0)-1,0)</f>
        <v>3</v>
      </c>
      <c r="H927" s="186">
        <f ca="1">OFFSET(skill!$Q$1,MATCH(B927,skill!B:B,0)-1,0)</f>
        <v>0.518518518518518</v>
      </c>
      <c r="I927" s="186"/>
      <c r="J927" s="186">
        <f ca="1">OFFSET(card_type!$F$1,MATCH(Q927,card_type!A:A,0)-1,0)</f>
        <v>1</v>
      </c>
      <c r="K927" s="243">
        <f ca="1">OFFSET(card_type!$G$1,MATCH(Q927,card_type!A:A,0)-1,0)</f>
        <v>2</v>
      </c>
      <c r="L927" s="157">
        <v>2</v>
      </c>
      <c r="M927" s="157">
        <v>2</v>
      </c>
      <c r="N927" s="153">
        <f t="shared" si="154"/>
        <v>17</v>
      </c>
      <c r="O927" s="157"/>
      <c r="P927" s="157"/>
      <c r="Q927" s="153">
        <f ca="1">OFFSET(card_type!$A$1,MATCH(card!B927,card_type!B:B,0)-1,0)</f>
        <v>2005</v>
      </c>
      <c r="R927" s="153">
        <v>1</v>
      </c>
      <c r="S927" s="157">
        <f ca="1">ROUND(IF(R927=0,0,IF(R927=1,X927*$S$1,IF(R927=2,X927*$S$1*buff的资质计算!$E$2,IF(R927=3,X927*$S$1*buff的资质计算!$E$3,0)))),0)*0</f>
        <v>0</v>
      </c>
      <c r="T927" s="153">
        <v>2</v>
      </c>
      <c r="U927" s="153">
        <f ca="1" t="shared" si="156"/>
        <v>12</v>
      </c>
      <c r="V927" s="153">
        <f ca="1">ROUND((OFFSET(卡牌辅助配置表!$O$1,MATCH(U927,卡牌辅助配置表!M:M,0)-1,0)+(N927-1)*OFFSET(卡牌辅助配置表!$P$1,MATCH(U927,卡牌辅助配置表!M:M,0)-1,0))*M927,2)</f>
        <v>29.13</v>
      </c>
      <c r="W927" s="157">
        <f ca="1">ROUND(IF(R927=0,0,IF(R927=1,X927*$W$1,IF(R927=2,X927*$W$1*buff的资质计算!$E$2,IF(R927=3,X927*$W$1*buff的资质计算!$E$3,0)))),2)</f>
        <v>8.7</v>
      </c>
      <c r="X927" s="157">
        <f ca="1" t="shared" si="152"/>
        <v>29</v>
      </c>
      <c r="Y927" s="157">
        <f ca="1" t="shared" si="161"/>
        <v>29.5185185185185</v>
      </c>
      <c r="Z927" s="304">
        <f ca="1" t="shared" si="153"/>
        <v>14.7592592592593</v>
      </c>
      <c r="AA927" s="304">
        <f ca="1">OFFSET(卡牌辅助配置表!$AD$1,MATCH(AB927,卡牌辅助配置表!AB:AB,0)-1,0)</f>
        <v>745</v>
      </c>
      <c r="AB927" s="304">
        <f ca="1" t="shared" si="157"/>
        <v>1217</v>
      </c>
      <c r="AC927" s="153">
        <v>3</v>
      </c>
      <c r="AE927" s="153">
        <v>2</v>
      </c>
      <c r="AF927" s="153" t="str">
        <f ca="1" t="shared" si="160"/>
        <v>20050011|</v>
      </c>
      <c r="AJ927" s="205" t="str">
        <f ca="1" t="shared" si="158"/>
        <v>400023|8250|;</v>
      </c>
      <c r="AK927" s="205">
        <f ca="1">OFFSET([1]item_type!$A$1,MATCH(Q927,[1]item_type!$G:$G,0)-1,0)</f>
        <v>302005</v>
      </c>
      <c r="AL927" s="205"/>
      <c r="AM927" s="205">
        <f ca="1">IF(B927=B928,OFFSET(卡牌辅助配置表!$AE$1,MATCH(AB927,卡牌辅助配置表!AB:AB,0),0),0)</f>
        <v>8250</v>
      </c>
      <c r="AN927" s="153">
        <f ca="1" t="shared" si="159"/>
        <v>2005018</v>
      </c>
      <c r="AP927" s="153" t="str">
        <f ca="1">IF(AC927=0,0,IF(AC927=12,0,OFFSET(effect!$N$1,MATCH(K927,effect!M:M,0)-1,0)))</f>
        <v>kpsx_pt</v>
      </c>
    </row>
    <row r="928" spans="1:42">
      <c r="A928" s="153">
        <f ca="1" t="shared" si="155"/>
        <v>2005018</v>
      </c>
      <c r="B928" s="91" t="s">
        <v>433</v>
      </c>
      <c r="C928" s="186">
        <v>2</v>
      </c>
      <c r="D928" s="186">
        <v>1</v>
      </c>
      <c r="E928" s="165" t="s">
        <v>1058</v>
      </c>
      <c r="F928" s="165" t="str">
        <f>"上一招为剑法时，增加"&amp;skill!$O$70/100&amp;"%伤害"</f>
        <v>上一招为剑法时，增加35%伤害</v>
      </c>
      <c r="G928" s="186">
        <f ca="1">OFFSET(卡牌辅助配置表!$C$1,MATCH(AC928,卡牌辅助配置表!A:A,0)-1,0)</f>
        <v>3</v>
      </c>
      <c r="H928" s="186">
        <f ca="1">OFFSET(skill!$Q$1,MATCH(B928,skill!B:B,0)-1,0)</f>
        <v>0.518518518518518</v>
      </c>
      <c r="I928" s="186"/>
      <c r="J928" s="186">
        <f ca="1">OFFSET(card_type!$F$1,MATCH(Q928,card_type!A:A,0)-1,0)</f>
        <v>1</v>
      </c>
      <c r="K928" s="243">
        <f ca="1">OFFSET(card_type!$G$1,MATCH(Q928,card_type!A:A,0)-1,0)</f>
        <v>2</v>
      </c>
      <c r="L928" s="157">
        <v>2</v>
      </c>
      <c r="M928" s="157">
        <v>2</v>
      </c>
      <c r="N928" s="153">
        <f t="shared" si="154"/>
        <v>18</v>
      </c>
      <c r="O928" s="157"/>
      <c r="P928" s="157"/>
      <c r="Q928" s="153">
        <f ca="1">OFFSET(card_type!$A$1,MATCH(card!B928,card_type!B:B,0)-1,0)</f>
        <v>2005</v>
      </c>
      <c r="R928" s="153">
        <v>1</v>
      </c>
      <c r="S928" s="157">
        <f ca="1">ROUND(IF(R928=0,0,IF(R928=1,X928*$S$1,IF(R928=2,X928*$S$1*buff的资质计算!$E$2,IF(R928=3,X928*$S$1*buff的资质计算!$E$3,0)))),0)*0</f>
        <v>0</v>
      </c>
      <c r="T928" s="153">
        <v>2</v>
      </c>
      <c r="U928" s="153">
        <f ca="1" t="shared" si="156"/>
        <v>12</v>
      </c>
      <c r="V928" s="153">
        <f ca="1">ROUND((OFFSET(卡牌辅助配置表!$O$1,MATCH(U928,卡牌辅助配置表!M:M,0)-1,0)+(N928-1)*OFFSET(卡牌辅助配置表!$P$1,MATCH(U928,卡牌辅助配置表!M:M,0)-1,0))*M928,2)</f>
        <v>29.77</v>
      </c>
      <c r="W928" s="157">
        <f ca="1">ROUND(IF(R928=0,0,IF(R928=1,X928*$W$1,IF(R928=2,X928*$W$1*buff的资质计算!$E$2,IF(R928=3,X928*$W$1*buff的资质计算!$E$3,0)))),2)</f>
        <v>8.85</v>
      </c>
      <c r="X928" s="157">
        <f ca="1" t="shared" si="152"/>
        <v>29.5</v>
      </c>
      <c r="Y928" s="157">
        <f ca="1" t="shared" si="161"/>
        <v>30.0185185185185</v>
      </c>
      <c r="Z928" s="304">
        <f ca="1" t="shared" si="153"/>
        <v>15.0092592592593</v>
      </c>
      <c r="AA928" s="304">
        <f ca="1">OFFSET(卡牌辅助配置表!$AD$1,MATCH(AB928,卡牌辅助配置表!AB:AB,0)-1,0)</f>
        <v>800</v>
      </c>
      <c r="AB928" s="304">
        <f ca="1" t="shared" si="157"/>
        <v>1218</v>
      </c>
      <c r="AC928" s="153">
        <v>3</v>
      </c>
      <c r="AE928" s="153">
        <v>2</v>
      </c>
      <c r="AF928" s="153" t="str">
        <f ca="1" t="shared" si="160"/>
        <v>20050011|</v>
      </c>
      <c r="AJ928" s="205" t="str">
        <f ca="1" t="shared" si="158"/>
        <v>400023|8850|;</v>
      </c>
      <c r="AK928" s="205">
        <f ca="1">OFFSET([1]item_type!$A$1,MATCH(Q928,[1]item_type!$G:$G,0)-1,0)</f>
        <v>302005</v>
      </c>
      <c r="AL928" s="205"/>
      <c r="AM928" s="205">
        <f ca="1">IF(B928=B929,OFFSET(卡牌辅助配置表!$AE$1,MATCH(AB928,卡牌辅助配置表!AB:AB,0),0),0)</f>
        <v>8850</v>
      </c>
      <c r="AN928" s="153">
        <f ca="1" t="shared" si="159"/>
        <v>2005019</v>
      </c>
      <c r="AP928" s="153" t="str">
        <f ca="1">IF(AC928=0,0,IF(AC928=12,0,OFFSET(effect!$N$1,MATCH(K928,effect!M:M,0)-1,0)))</f>
        <v>kpsx_pt</v>
      </c>
    </row>
    <row r="929" spans="1:42">
      <c r="A929" s="153">
        <f ca="1" t="shared" si="155"/>
        <v>2005019</v>
      </c>
      <c r="B929" s="91" t="s">
        <v>433</v>
      </c>
      <c r="C929" s="186">
        <v>2</v>
      </c>
      <c r="D929" s="186">
        <v>1</v>
      </c>
      <c r="E929" s="165" t="s">
        <v>1058</v>
      </c>
      <c r="F929" s="165" t="str">
        <f>"上一招为剑法时，增加"&amp;skill!$O$70/100&amp;"%伤害"</f>
        <v>上一招为剑法时，增加35%伤害</v>
      </c>
      <c r="G929" s="186">
        <f ca="1">OFFSET(卡牌辅助配置表!$C$1,MATCH(AC929,卡牌辅助配置表!A:A,0)-1,0)</f>
        <v>3</v>
      </c>
      <c r="H929" s="186">
        <f ca="1">OFFSET(skill!$Q$1,MATCH(B929,skill!B:B,0)-1,0)</f>
        <v>0.518518518518518</v>
      </c>
      <c r="I929" s="186"/>
      <c r="J929" s="186">
        <f ca="1">OFFSET(card_type!$F$1,MATCH(Q929,card_type!A:A,0)-1,0)</f>
        <v>1</v>
      </c>
      <c r="K929" s="243">
        <f ca="1">OFFSET(card_type!$G$1,MATCH(Q929,card_type!A:A,0)-1,0)</f>
        <v>2</v>
      </c>
      <c r="L929" s="157">
        <v>2</v>
      </c>
      <c r="M929" s="157">
        <v>2</v>
      </c>
      <c r="N929" s="153">
        <f t="shared" si="154"/>
        <v>19</v>
      </c>
      <c r="O929" s="157"/>
      <c r="P929" s="157"/>
      <c r="Q929" s="153">
        <f ca="1">OFFSET(card_type!$A$1,MATCH(card!B929,card_type!B:B,0)-1,0)</f>
        <v>2005</v>
      </c>
      <c r="R929" s="153">
        <v>1</v>
      </c>
      <c r="S929" s="157">
        <f ca="1">ROUND(IF(R929=0,0,IF(R929=1,X929*$S$1,IF(R929=2,X929*$S$1*buff的资质计算!$E$2,IF(R929=3,X929*$S$1*buff的资质计算!$E$3,0)))),0)*0</f>
        <v>0</v>
      </c>
      <c r="T929" s="153">
        <v>2</v>
      </c>
      <c r="U929" s="153">
        <f ca="1" t="shared" si="156"/>
        <v>12</v>
      </c>
      <c r="V929" s="153">
        <f ca="1">ROUND((OFFSET(卡牌辅助配置表!$O$1,MATCH(U929,卡牌辅助配置表!M:M,0)-1,0)+(N929-1)*OFFSET(卡牌辅助配置表!$P$1,MATCH(U929,卡牌辅助配置表!M:M,0)-1,0))*M929,2)</f>
        <v>30.4</v>
      </c>
      <c r="W929" s="157">
        <f ca="1">ROUND(IF(R929=0,0,IF(R929=1,X929*$W$1,IF(R929=2,X929*$W$1*buff的资质计算!$E$2,IF(R929=3,X929*$W$1*buff的资质计算!$E$3,0)))),2)</f>
        <v>9</v>
      </c>
      <c r="X929" s="157">
        <f ca="1" t="shared" si="152"/>
        <v>30</v>
      </c>
      <c r="Y929" s="157">
        <f ca="1" t="shared" si="161"/>
        <v>30.5185185185185</v>
      </c>
      <c r="Z929" s="304">
        <f ca="1" t="shared" si="153"/>
        <v>15.2592592592593</v>
      </c>
      <c r="AA929" s="304">
        <f ca="1">OFFSET(卡牌辅助配置表!$AD$1,MATCH(AB929,卡牌辅助配置表!AB:AB,0)-1,0)</f>
        <v>855</v>
      </c>
      <c r="AB929" s="304">
        <f ca="1" t="shared" si="157"/>
        <v>1219</v>
      </c>
      <c r="AC929" s="153">
        <v>3</v>
      </c>
      <c r="AE929" s="153">
        <v>2</v>
      </c>
      <c r="AF929" s="153" t="str">
        <f ca="1" t="shared" si="160"/>
        <v>20050011|</v>
      </c>
      <c r="AJ929" s="205" t="str">
        <f ca="1" t="shared" si="158"/>
        <v>302005|20|;400023|9450|;</v>
      </c>
      <c r="AK929" s="205">
        <f ca="1">OFFSET([1]item_type!$A$1,MATCH(Q929,[1]item_type!$G:$G,0)-1,0)</f>
        <v>302005</v>
      </c>
      <c r="AL929" s="205">
        <v>20</v>
      </c>
      <c r="AM929" s="205">
        <f ca="1">IF(B929=B930,OFFSET(卡牌辅助配置表!$AE$1,MATCH(AB929,卡牌辅助配置表!AB:AB,0),0),0)</f>
        <v>9450</v>
      </c>
      <c r="AN929" s="153">
        <f ca="1" t="shared" si="159"/>
        <v>2005020</v>
      </c>
      <c r="AP929" s="153" t="str">
        <f ca="1">IF(AC929=0,0,IF(AC929=12,0,OFFSET(effect!$N$1,MATCH(K929,effect!M:M,0)-1,0)))</f>
        <v>kpsx_pt</v>
      </c>
    </row>
    <row r="930" spans="1:42">
      <c r="A930" s="153">
        <f ca="1" t="shared" si="155"/>
        <v>2005020</v>
      </c>
      <c r="B930" s="91" t="s">
        <v>433</v>
      </c>
      <c r="C930" s="186">
        <v>2</v>
      </c>
      <c r="D930" s="186">
        <v>1</v>
      </c>
      <c r="E930" s="165" t="s">
        <v>1058</v>
      </c>
      <c r="F930" s="165" t="str">
        <f>"上一招为剑法时，增加"&amp;skill!$O$70/100&amp;"%伤害"</f>
        <v>上一招为剑法时，增加35%伤害</v>
      </c>
      <c r="G930" s="186">
        <f ca="1">OFFSET(卡牌辅助配置表!$C$1,MATCH(AC930,卡牌辅助配置表!A:A,0)-1,0)</f>
        <v>3</v>
      </c>
      <c r="H930" s="186">
        <f ca="1">OFFSET(skill!$Q$1,MATCH(B930,skill!B:B,0)-1,0)</f>
        <v>0.518518518518518</v>
      </c>
      <c r="I930" s="186"/>
      <c r="J930" s="186">
        <f ca="1">OFFSET(card_type!$F$1,MATCH(Q930,card_type!A:A,0)-1,0)</f>
        <v>1</v>
      </c>
      <c r="K930" s="243">
        <f ca="1">OFFSET(card_type!$G$1,MATCH(Q930,card_type!A:A,0)-1,0)</f>
        <v>2</v>
      </c>
      <c r="L930" s="157">
        <v>2</v>
      </c>
      <c r="M930" s="157">
        <v>2</v>
      </c>
      <c r="N930" s="153">
        <f t="shared" si="154"/>
        <v>20</v>
      </c>
      <c r="O930" s="157"/>
      <c r="P930" s="157"/>
      <c r="Q930" s="153">
        <f ca="1">OFFSET(card_type!$A$1,MATCH(card!B930,card_type!B:B,0)-1,0)</f>
        <v>2005</v>
      </c>
      <c r="R930" s="153">
        <v>1</v>
      </c>
      <c r="S930" s="157">
        <f ca="1">ROUND(IF(R930=0,0,IF(R930=1,X930*$S$1,IF(R930=2,X930*$S$1*buff的资质计算!$E$2,IF(R930=3,X930*$S$1*buff的资质计算!$E$3,0)))),0)*0</f>
        <v>0</v>
      </c>
      <c r="T930" s="153">
        <v>2</v>
      </c>
      <c r="U930" s="153">
        <f ca="1" t="shared" si="156"/>
        <v>12</v>
      </c>
      <c r="V930" s="153">
        <f ca="1">ROUND((OFFSET(卡牌辅助配置表!$O$1,MATCH(U930,卡牌辅助配置表!M:M,0)-1,0)+(N930-1)*OFFSET(卡牌辅助配置表!$P$1,MATCH(U930,卡牌辅助配置表!M:M,0)-1,0))*M930,2)</f>
        <v>31.03</v>
      </c>
      <c r="W930" s="157">
        <f ca="1">ROUND(IF(R930=0,0,IF(R930=1,X930*$W$1,IF(R930=2,X930*$W$1*buff的资质计算!$E$2,IF(R930=3,X930*$W$1*buff的资质计算!$E$3,0)))),2)</f>
        <v>9.15</v>
      </c>
      <c r="X930" s="157">
        <f ca="1" t="shared" si="152"/>
        <v>30.5</v>
      </c>
      <c r="Y930" s="157">
        <f ca="1" t="shared" si="161"/>
        <v>31.0185185185185</v>
      </c>
      <c r="Z930" s="304">
        <f ca="1" t="shared" si="153"/>
        <v>15.5092592592593</v>
      </c>
      <c r="AA930" s="304">
        <f ca="1">OFFSET(卡牌辅助配置表!$AD$1,MATCH(AB930,卡牌辅助配置表!AB:AB,0)-1,0)</f>
        <v>910</v>
      </c>
      <c r="AB930" s="304">
        <f ca="1" t="shared" si="157"/>
        <v>1220</v>
      </c>
      <c r="AC930" s="153">
        <v>3</v>
      </c>
      <c r="AE930" s="153">
        <v>2</v>
      </c>
      <c r="AF930" s="153" t="str">
        <f ca="1" t="shared" si="160"/>
        <v>20050011|</v>
      </c>
      <c r="AJ930" s="205" t="str">
        <f ca="1" t="shared" si="158"/>
        <v>400023|10650|;</v>
      </c>
      <c r="AK930" s="205">
        <f ca="1">OFFSET([1]item_type!$A$1,MATCH(Q930,[1]item_type!$G:$G,0)-1,0)</f>
        <v>302005</v>
      </c>
      <c r="AL930" s="205"/>
      <c r="AM930" s="205">
        <f ca="1">IF(B930=B931,OFFSET(卡牌辅助配置表!$AE$1,MATCH(AB930,卡牌辅助配置表!AB:AB,0),0),0)</f>
        <v>10650</v>
      </c>
      <c r="AN930" s="153">
        <f ca="1" t="shared" si="159"/>
        <v>2005021</v>
      </c>
      <c r="AP930" s="153" t="str">
        <f ca="1">IF(AC930=0,0,IF(AC930=12,0,OFFSET(effect!$N$1,MATCH(K930,effect!M:M,0)-1,0)))</f>
        <v>kpsx_pt</v>
      </c>
    </row>
    <row r="931" spans="1:42">
      <c r="A931" s="153">
        <f ca="1" t="shared" si="155"/>
        <v>2005021</v>
      </c>
      <c r="B931" s="91" t="s">
        <v>433</v>
      </c>
      <c r="C931" s="186">
        <v>2</v>
      </c>
      <c r="D931" s="186">
        <v>1</v>
      </c>
      <c r="E931" s="165" t="s">
        <v>1058</v>
      </c>
      <c r="F931" s="165" t="str">
        <f>"上一招为剑法时，增加"&amp;skill!$O$70/100&amp;"%伤害"</f>
        <v>上一招为剑法时，增加35%伤害</v>
      </c>
      <c r="G931" s="186">
        <f ca="1">OFFSET(卡牌辅助配置表!$C$1,MATCH(AC931,卡牌辅助配置表!A:A,0)-1,0)</f>
        <v>3</v>
      </c>
      <c r="H931" s="186">
        <f ca="1">OFFSET(skill!$Q$1,MATCH(B931,skill!B:B,0)-1,0)</f>
        <v>0.518518518518518</v>
      </c>
      <c r="I931" s="186"/>
      <c r="J931" s="186">
        <f ca="1">OFFSET(card_type!$F$1,MATCH(Q931,card_type!A:A,0)-1,0)</f>
        <v>1</v>
      </c>
      <c r="K931" s="243">
        <f ca="1">OFFSET(card_type!$G$1,MATCH(Q931,card_type!A:A,0)-1,0)</f>
        <v>2</v>
      </c>
      <c r="L931" s="157">
        <v>2</v>
      </c>
      <c r="M931" s="157">
        <v>2</v>
      </c>
      <c r="N931" s="153">
        <f t="shared" si="154"/>
        <v>21</v>
      </c>
      <c r="O931" s="157"/>
      <c r="P931" s="157"/>
      <c r="Q931" s="153">
        <f ca="1">OFFSET(card_type!$A$1,MATCH(card!B931,card_type!B:B,0)-1,0)</f>
        <v>2005</v>
      </c>
      <c r="R931" s="153">
        <v>1</v>
      </c>
      <c r="S931" s="157">
        <f ca="1">ROUND(IF(R931=0,0,IF(R931=1,X931*$S$1,IF(R931=2,X931*$S$1*buff的资质计算!$E$2,IF(R931=3,X931*$S$1*buff的资质计算!$E$3,0)))),0)*0</f>
        <v>0</v>
      </c>
      <c r="T931" s="153">
        <v>2</v>
      </c>
      <c r="U931" s="153">
        <f ca="1" t="shared" si="156"/>
        <v>12</v>
      </c>
      <c r="V931" s="153">
        <f ca="1">ROUND((OFFSET(卡牌辅助配置表!$O$1,MATCH(U931,卡牌辅助配置表!M:M,0)-1,0)+(N931-1)*OFFSET(卡牌辅助配置表!$P$1,MATCH(U931,卡牌辅助配置表!M:M,0)-1,0))*M931,2)</f>
        <v>31.67</v>
      </c>
      <c r="W931" s="157">
        <f ca="1">ROUND(IF(R931=0,0,IF(R931=1,X931*$W$1,IF(R931=2,X931*$W$1*buff的资质计算!$E$2,IF(R931=3,X931*$W$1*buff的资质计算!$E$3,0)))),2)</f>
        <v>9.3</v>
      </c>
      <c r="X931" s="157">
        <f ca="1" t="shared" si="152"/>
        <v>31</v>
      </c>
      <c r="Y931" s="157">
        <f ca="1" t="shared" si="161"/>
        <v>31.5185185185185</v>
      </c>
      <c r="Z931" s="304">
        <f ca="1" t="shared" si="153"/>
        <v>15.7592592592593</v>
      </c>
      <c r="AA931" s="304">
        <f ca="1">OFFSET(卡牌辅助配置表!$AD$1,MATCH(AB931,卡牌辅助配置表!AB:AB,0)-1,0)</f>
        <v>983</v>
      </c>
      <c r="AB931" s="304">
        <f ca="1" t="shared" si="157"/>
        <v>1221</v>
      </c>
      <c r="AC931" s="153">
        <v>3</v>
      </c>
      <c r="AE931" s="153">
        <v>2</v>
      </c>
      <c r="AF931" s="153" t="str">
        <f ca="1" t="shared" si="160"/>
        <v>20050011|</v>
      </c>
      <c r="AJ931" s="205" t="str">
        <f ca="1" t="shared" si="158"/>
        <v>400023|11850|;</v>
      </c>
      <c r="AK931" s="205">
        <f ca="1">OFFSET([1]item_type!$A$1,MATCH(Q931,[1]item_type!$G:$G,0)-1,0)</f>
        <v>302005</v>
      </c>
      <c r="AL931" s="205"/>
      <c r="AM931" s="205">
        <f ca="1">IF(B931=B932,OFFSET(卡牌辅助配置表!$AE$1,MATCH(AB931,卡牌辅助配置表!AB:AB,0),0),0)</f>
        <v>11850</v>
      </c>
      <c r="AN931" s="153">
        <f ca="1" t="shared" si="159"/>
        <v>2005022</v>
      </c>
      <c r="AP931" s="153" t="str">
        <f ca="1">IF(AC931=0,0,IF(AC931=12,0,OFFSET(effect!$N$1,MATCH(K931,effect!M:M,0)-1,0)))</f>
        <v>kpsx_pt</v>
      </c>
    </row>
    <row r="932" spans="1:42">
      <c r="A932" s="153">
        <f ca="1" t="shared" si="155"/>
        <v>2005022</v>
      </c>
      <c r="B932" s="91" t="s">
        <v>433</v>
      </c>
      <c r="C932" s="186">
        <v>2</v>
      </c>
      <c r="D932" s="186">
        <v>1</v>
      </c>
      <c r="E932" s="165" t="s">
        <v>1058</v>
      </c>
      <c r="F932" s="165" t="str">
        <f>"上一招为剑法时，增加"&amp;skill!$O$70/100&amp;"%伤害"</f>
        <v>上一招为剑法时，增加35%伤害</v>
      </c>
      <c r="G932" s="186">
        <f ca="1">OFFSET(卡牌辅助配置表!$C$1,MATCH(AC932,卡牌辅助配置表!A:A,0)-1,0)</f>
        <v>3</v>
      </c>
      <c r="H932" s="186">
        <f ca="1">OFFSET(skill!$Q$1,MATCH(B932,skill!B:B,0)-1,0)</f>
        <v>0.518518518518518</v>
      </c>
      <c r="I932" s="186"/>
      <c r="J932" s="186">
        <f ca="1">OFFSET(card_type!$F$1,MATCH(Q932,card_type!A:A,0)-1,0)</f>
        <v>1</v>
      </c>
      <c r="K932" s="243">
        <f ca="1">OFFSET(card_type!$G$1,MATCH(Q932,card_type!A:A,0)-1,0)</f>
        <v>2</v>
      </c>
      <c r="L932" s="157">
        <v>2</v>
      </c>
      <c r="M932" s="157">
        <v>2</v>
      </c>
      <c r="N932" s="153">
        <f t="shared" si="154"/>
        <v>22</v>
      </c>
      <c r="O932" s="157"/>
      <c r="P932" s="157"/>
      <c r="Q932" s="153">
        <f ca="1">OFFSET(card_type!$A$1,MATCH(card!B932,card_type!B:B,0)-1,0)</f>
        <v>2005</v>
      </c>
      <c r="R932" s="153">
        <v>1</v>
      </c>
      <c r="S932" s="157">
        <f ca="1">ROUND(IF(R932=0,0,IF(R932=1,X932*$S$1,IF(R932=2,X932*$S$1*buff的资质计算!$E$2,IF(R932=3,X932*$S$1*buff的资质计算!$E$3,0)))),0)*0</f>
        <v>0</v>
      </c>
      <c r="T932" s="153">
        <v>2</v>
      </c>
      <c r="U932" s="153">
        <f ca="1" t="shared" si="156"/>
        <v>12</v>
      </c>
      <c r="V932" s="153">
        <f ca="1">ROUND((OFFSET(卡牌辅助配置表!$O$1,MATCH(U932,卡牌辅助配置表!M:M,0)-1,0)+(N932-1)*OFFSET(卡牌辅助配置表!$P$1,MATCH(U932,卡牌辅助配置表!M:M,0)-1,0))*M932,2)</f>
        <v>32.3</v>
      </c>
      <c r="W932" s="157">
        <f ca="1">ROUND(IF(R932=0,0,IF(R932=1,X932*$W$1,IF(R932=2,X932*$W$1*buff的资质计算!$E$2,IF(R932=3,X932*$W$1*buff的资质计算!$E$3,0)))),2)</f>
        <v>9.45</v>
      </c>
      <c r="X932" s="157">
        <f ca="1" t="shared" si="152"/>
        <v>31.5</v>
      </c>
      <c r="Y932" s="157">
        <f ca="1" t="shared" si="161"/>
        <v>32.0185185185185</v>
      </c>
      <c r="Z932" s="304">
        <f ca="1" t="shared" si="153"/>
        <v>16.0092592592593</v>
      </c>
      <c r="AA932" s="304">
        <f ca="1">OFFSET(卡牌辅助配置表!$AD$1,MATCH(AB932,卡牌辅助配置表!AB:AB,0)-1,0)</f>
        <v>1056</v>
      </c>
      <c r="AB932" s="304">
        <f ca="1" t="shared" si="157"/>
        <v>1222</v>
      </c>
      <c r="AC932" s="153">
        <v>3</v>
      </c>
      <c r="AE932" s="153">
        <v>2</v>
      </c>
      <c r="AF932" s="153" t="str">
        <f ca="1" t="shared" si="160"/>
        <v>20050011|</v>
      </c>
      <c r="AJ932" s="205" t="str">
        <f ca="1" t="shared" si="158"/>
        <v>400023|13050|;</v>
      </c>
      <c r="AK932" s="205">
        <f ca="1">OFFSET([1]item_type!$A$1,MATCH(Q932,[1]item_type!$G:$G,0)-1,0)</f>
        <v>302005</v>
      </c>
      <c r="AL932" s="205"/>
      <c r="AM932" s="205">
        <f ca="1">IF(B932=B933,OFFSET(卡牌辅助配置表!$AE$1,MATCH(AB932,卡牌辅助配置表!AB:AB,0),0),0)</f>
        <v>13050</v>
      </c>
      <c r="AN932" s="153">
        <f ca="1" t="shared" si="159"/>
        <v>2005023</v>
      </c>
      <c r="AP932" s="153" t="str">
        <f ca="1">IF(AC932=0,0,IF(AC932=12,0,OFFSET(effect!$N$1,MATCH(K932,effect!M:M,0)-1,0)))</f>
        <v>kpsx_pt</v>
      </c>
    </row>
    <row r="933" spans="1:42">
      <c r="A933" s="153">
        <f ca="1" t="shared" si="155"/>
        <v>2005023</v>
      </c>
      <c r="B933" s="91" t="s">
        <v>433</v>
      </c>
      <c r="C933" s="186">
        <v>2</v>
      </c>
      <c r="D933" s="186">
        <v>1</v>
      </c>
      <c r="E933" s="165" t="s">
        <v>1058</v>
      </c>
      <c r="F933" s="165" t="str">
        <f>"上一招为剑法时，增加"&amp;skill!$O$70/100&amp;"%伤害"</f>
        <v>上一招为剑法时，增加35%伤害</v>
      </c>
      <c r="G933" s="186">
        <f ca="1">OFFSET(卡牌辅助配置表!$C$1,MATCH(AC933,卡牌辅助配置表!A:A,0)-1,0)</f>
        <v>3</v>
      </c>
      <c r="H933" s="186">
        <f ca="1">OFFSET(skill!$Q$1,MATCH(B933,skill!B:B,0)-1,0)</f>
        <v>0.518518518518518</v>
      </c>
      <c r="I933" s="186"/>
      <c r="J933" s="186">
        <f ca="1">OFFSET(card_type!$F$1,MATCH(Q933,card_type!A:A,0)-1,0)</f>
        <v>1</v>
      </c>
      <c r="K933" s="243">
        <f ca="1">OFFSET(card_type!$G$1,MATCH(Q933,card_type!A:A,0)-1,0)</f>
        <v>2</v>
      </c>
      <c r="L933" s="157">
        <v>2</v>
      </c>
      <c r="M933" s="157">
        <v>2</v>
      </c>
      <c r="N933" s="153">
        <f t="shared" si="154"/>
        <v>23</v>
      </c>
      <c r="O933" s="157"/>
      <c r="P933" s="157"/>
      <c r="Q933" s="153">
        <f ca="1">OFFSET(card_type!$A$1,MATCH(card!B933,card_type!B:B,0)-1,0)</f>
        <v>2005</v>
      </c>
      <c r="R933" s="153">
        <v>1</v>
      </c>
      <c r="S933" s="157">
        <f ca="1">ROUND(IF(R933=0,0,IF(R933=1,X933*$S$1,IF(R933=2,X933*$S$1*buff的资质计算!$E$2,IF(R933=3,X933*$S$1*buff的资质计算!$E$3,0)))),0)*0</f>
        <v>0</v>
      </c>
      <c r="T933" s="153">
        <v>2</v>
      </c>
      <c r="U933" s="153">
        <f ca="1" t="shared" si="156"/>
        <v>12</v>
      </c>
      <c r="V933" s="153">
        <f ca="1">ROUND((OFFSET(卡牌辅助配置表!$O$1,MATCH(U933,卡牌辅助配置表!M:M,0)-1,0)+(N933-1)*OFFSET(卡牌辅助配置表!$P$1,MATCH(U933,卡牌辅助配置表!M:M,0)-1,0))*M933,2)</f>
        <v>32.93</v>
      </c>
      <c r="W933" s="157">
        <f ca="1">ROUND(IF(R933=0,0,IF(R933=1,X933*$W$1,IF(R933=2,X933*$W$1*buff的资质计算!$E$2,IF(R933=3,X933*$W$1*buff的资质计算!$E$3,0)))),2)</f>
        <v>9.6</v>
      </c>
      <c r="X933" s="157">
        <f ca="1" t="shared" si="152"/>
        <v>32</v>
      </c>
      <c r="Y933" s="157">
        <f ca="1" t="shared" si="161"/>
        <v>32.5185185185185</v>
      </c>
      <c r="Z933" s="304">
        <f ca="1" t="shared" si="153"/>
        <v>16.2592592592593</v>
      </c>
      <c r="AA933" s="304">
        <f ca="1">OFFSET(卡牌辅助配置表!$AD$1,MATCH(AB933,卡牌辅助配置表!AB:AB,0)-1,0)</f>
        <v>1129</v>
      </c>
      <c r="AB933" s="304">
        <f ca="1" t="shared" si="157"/>
        <v>1223</v>
      </c>
      <c r="AC933" s="153">
        <v>3</v>
      </c>
      <c r="AE933" s="153">
        <v>2</v>
      </c>
      <c r="AF933" s="153" t="str">
        <f ca="1" t="shared" si="160"/>
        <v>20050011|</v>
      </c>
      <c r="AJ933" s="205" t="str">
        <f ca="1" t="shared" si="158"/>
        <v>400023|14250|;</v>
      </c>
      <c r="AK933" s="205">
        <f ca="1">OFFSET([1]item_type!$A$1,MATCH(Q933,[1]item_type!$G:$G,0)-1,0)</f>
        <v>302005</v>
      </c>
      <c r="AL933" s="205"/>
      <c r="AM933" s="205">
        <f ca="1">IF(B933=B934,OFFSET(卡牌辅助配置表!$AE$1,MATCH(AB933,卡牌辅助配置表!AB:AB,0),0),0)</f>
        <v>14250</v>
      </c>
      <c r="AN933" s="153">
        <f ca="1" t="shared" si="159"/>
        <v>2005024</v>
      </c>
      <c r="AP933" s="153" t="str">
        <f ca="1">IF(AC933=0,0,IF(AC933=12,0,OFFSET(effect!$N$1,MATCH(K933,effect!M:M,0)-1,0)))</f>
        <v>kpsx_pt</v>
      </c>
    </row>
    <row r="934" spans="1:42">
      <c r="A934" s="153">
        <f ca="1" t="shared" si="155"/>
        <v>2005024</v>
      </c>
      <c r="B934" s="91" t="s">
        <v>433</v>
      </c>
      <c r="C934" s="186">
        <v>2</v>
      </c>
      <c r="D934" s="186">
        <v>1</v>
      </c>
      <c r="E934" s="165" t="s">
        <v>1058</v>
      </c>
      <c r="F934" s="165" t="str">
        <f>"上一招为剑法时，增加"&amp;skill!$O$70/100&amp;"%伤害"</f>
        <v>上一招为剑法时，增加35%伤害</v>
      </c>
      <c r="G934" s="186">
        <f ca="1">OFFSET(卡牌辅助配置表!$C$1,MATCH(AC934,卡牌辅助配置表!A:A,0)-1,0)</f>
        <v>3</v>
      </c>
      <c r="H934" s="186">
        <f ca="1">OFFSET(skill!$Q$1,MATCH(B934,skill!B:B,0)-1,0)</f>
        <v>0.518518518518518</v>
      </c>
      <c r="I934" s="186"/>
      <c r="J934" s="186">
        <f ca="1">OFFSET(card_type!$F$1,MATCH(Q934,card_type!A:A,0)-1,0)</f>
        <v>1</v>
      </c>
      <c r="K934" s="243">
        <f ca="1">OFFSET(card_type!$G$1,MATCH(Q934,card_type!A:A,0)-1,0)</f>
        <v>2</v>
      </c>
      <c r="L934" s="157">
        <v>2</v>
      </c>
      <c r="M934" s="157">
        <v>2</v>
      </c>
      <c r="N934" s="153">
        <f t="shared" si="154"/>
        <v>24</v>
      </c>
      <c r="O934" s="157"/>
      <c r="P934" s="157"/>
      <c r="Q934" s="153">
        <f ca="1">OFFSET(card_type!$A$1,MATCH(card!B934,card_type!B:B,0)-1,0)</f>
        <v>2005</v>
      </c>
      <c r="R934" s="153">
        <v>1</v>
      </c>
      <c r="S934" s="157">
        <f ca="1">ROUND(IF(R934=0,0,IF(R934=1,X934*$S$1,IF(R934=2,X934*$S$1*buff的资质计算!$E$2,IF(R934=3,X934*$S$1*buff的资质计算!$E$3,0)))),0)*0</f>
        <v>0</v>
      </c>
      <c r="T934" s="153">
        <v>2</v>
      </c>
      <c r="U934" s="153">
        <f ca="1" t="shared" si="156"/>
        <v>12</v>
      </c>
      <c r="V934" s="153">
        <f ca="1">ROUND((OFFSET(卡牌辅助配置表!$O$1,MATCH(U934,卡牌辅助配置表!M:M,0)-1,0)+(N934-1)*OFFSET(卡牌辅助配置表!$P$1,MATCH(U934,卡牌辅助配置表!M:M,0)-1,0))*M934,2)</f>
        <v>33.57</v>
      </c>
      <c r="W934" s="157">
        <f ca="1">ROUND(IF(R934=0,0,IF(R934=1,X934*$W$1,IF(R934=2,X934*$W$1*buff的资质计算!$E$2,IF(R934=3,X934*$W$1*buff的资质计算!$E$3,0)))),2)</f>
        <v>9.75</v>
      </c>
      <c r="X934" s="157">
        <f ca="1" t="shared" si="152"/>
        <v>32.5</v>
      </c>
      <c r="Y934" s="157">
        <f ca="1" t="shared" si="161"/>
        <v>33.0185185185185</v>
      </c>
      <c r="Z934" s="304">
        <f ca="1" t="shared" si="153"/>
        <v>16.5092592592593</v>
      </c>
      <c r="AA934" s="304">
        <f ca="1">OFFSET(卡牌辅助配置表!$AD$1,MATCH(AB934,卡牌辅助配置表!AB:AB,0)-1,0)</f>
        <v>1202</v>
      </c>
      <c r="AB934" s="304">
        <f ca="1" t="shared" si="157"/>
        <v>1224</v>
      </c>
      <c r="AC934" s="153">
        <v>3</v>
      </c>
      <c r="AE934" s="153">
        <v>2</v>
      </c>
      <c r="AF934" s="153" t="str">
        <f ca="1" t="shared" si="160"/>
        <v>20050011|</v>
      </c>
      <c r="AJ934" s="205" t="str">
        <f ca="1" t="shared" si="158"/>
        <v>400023|15450|;</v>
      </c>
      <c r="AK934" s="205">
        <f ca="1">OFFSET([1]item_type!$A$1,MATCH(Q934,[1]item_type!$G:$G,0)-1,0)</f>
        <v>302005</v>
      </c>
      <c r="AL934" s="205"/>
      <c r="AM934" s="205">
        <f ca="1">IF(B934=B935,OFFSET(卡牌辅助配置表!$AE$1,MATCH(AB934,卡牌辅助配置表!AB:AB,0),0),0)</f>
        <v>15450</v>
      </c>
      <c r="AN934" s="153">
        <f ca="1" t="shared" si="159"/>
        <v>2005025</v>
      </c>
      <c r="AP934" s="153" t="str">
        <f ca="1">IF(AC934=0,0,IF(AC934=12,0,OFFSET(effect!$N$1,MATCH(K934,effect!M:M,0)-1,0)))</f>
        <v>kpsx_pt</v>
      </c>
    </row>
    <row r="935" spans="1:42">
      <c r="A935" s="153">
        <f ca="1" t="shared" si="155"/>
        <v>2005025</v>
      </c>
      <c r="B935" s="91" t="s">
        <v>433</v>
      </c>
      <c r="C935" s="186">
        <v>2</v>
      </c>
      <c r="D935" s="186">
        <v>1</v>
      </c>
      <c r="E935" s="165" t="s">
        <v>1058</v>
      </c>
      <c r="F935" s="165" t="str">
        <f>"上一招为剑法时，增加"&amp;skill!$O$70/100&amp;"%伤害"</f>
        <v>上一招为剑法时，增加35%伤害</v>
      </c>
      <c r="G935" s="186">
        <f ca="1">OFFSET(卡牌辅助配置表!$C$1,MATCH(AC935,卡牌辅助配置表!A:A,0)-1,0)</f>
        <v>3</v>
      </c>
      <c r="H935" s="186">
        <f ca="1">OFFSET(skill!$Q$1,MATCH(B935,skill!B:B,0)-1,0)</f>
        <v>0.518518518518518</v>
      </c>
      <c r="I935" s="186"/>
      <c r="J935" s="186">
        <f ca="1">OFFSET(card_type!$F$1,MATCH(Q935,card_type!A:A,0)-1,0)</f>
        <v>1</v>
      </c>
      <c r="K935" s="243">
        <f ca="1">OFFSET(card_type!$G$1,MATCH(Q935,card_type!A:A,0)-1,0)</f>
        <v>2</v>
      </c>
      <c r="L935" s="157">
        <v>2</v>
      </c>
      <c r="M935" s="157">
        <v>2</v>
      </c>
      <c r="N935" s="153">
        <f t="shared" si="154"/>
        <v>25</v>
      </c>
      <c r="O935" s="157"/>
      <c r="P935" s="157"/>
      <c r="Q935" s="153">
        <f ca="1">OFFSET(card_type!$A$1,MATCH(card!B935,card_type!B:B,0)-1,0)</f>
        <v>2005</v>
      </c>
      <c r="R935" s="153">
        <v>1</v>
      </c>
      <c r="S935" s="157">
        <f ca="1">ROUND(IF(R935=0,0,IF(R935=1,X935*$S$1,IF(R935=2,X935*$S$1*buff的资质计算!$E$2,IF(R935=3,X935*$S$1*buff的资质计算!$E$3,0)))),0)*0</f>
        <v>0</v>
      </c>
      <c r="T935" s="153">
        <v>2</v>
      </c>
      <c r="U935" s="153">
        <f ca="1" t="shared" si="156"/>
        <v>12</v>
      </c>
      <c r="V935" s="153">
        <f ca="1">ROUND((OFFSET(卡牌辅助配置表!$O$1,MATCH(U935,卡牌辅助配置表!M:M,0)-1,0)+(N935-1)*OFFSET(卡牌辅助配置表!$P$1,MATCH(U935,卡牌辅助配置表!M:M,0)-1,0))*M935,2)</f>
        <v>34.2</v>
      </c>
      <c r="W935" s="157">
        <f ca="1">ROUND(IF(R935=0,0,IF(R935=1,X935*$W$1,IF(R935=2,X935*$W$1*buff的资质计算!$E$2,IF(R935=3,X935*$W$1*buff的资质计算!$E$3,0)))),2)</f>
        <v>9.9</v>
      </c>
      <c r="X935" s="157">
        <f ca="1" t="shared" si="152"/>
        <v>33</v>
      </c>
      <c r="Y935" s="157">
        <f ca="1" t="shared" si="161"/>
        <v>33.5185185185185</v>
      </c>
      <c r="Z935" s="304">
        <f ca="1" t="shared" si="153"/>
        <v>16.7592592592593</v>
      </c>
      <c r="AA935" s="304">
        <f ca="1">OFFSET(卡牌辅助配置表!$AD$1,MATCH(AB935,卡牌辅助配置表!AB:AB,0)-1,0)</f>
        <v>1275</v>
      </c>
      <c r="AB935" s="304">
        <f ca="1" t="shared" si="157"/>
        <v>1225</v>
      </c>
      <c r="AC935" s="153">
        <v>3</v>
      </c>
      <c r="AE935" s="153">
        <v>2</v>
      </c>
      <c r="AF935" s="153" t="str">
        <f ca="1" t="shared" si="160"/>
        <v>20050011|</v>
      </c>
      <c r="AJ935" s="205" t="str">
        <f ca="1" t="shared" si="158"/>
        <v>400023|16650|;</v>
      </c>
      <c r="AK935" s="205">
        <f ca="1">OFFSET([1]item_type!$A$1,MATCH(Q935,[1]item_type!$G:$G,0)-1,0)</f>
        <v>302005</v>
      </c>
      <c r="AL935" s="205"/>
      <c r="AM935" s="205">
        <f ca="1">IF(B935=B936,OFFSET(卡牌辅助配置表!$AE$1,MATCH(AB935,卡牌辅助配置表!AB:AB,0),0),0)</f>
        <v>16650</v>
      </c>
      <c r="AN935" s="153">
        <f ca="1" t="shared" si="159"/>
        <v>2005026</v>
      </c>
      <c r="AP935" s="153" t="str">
        <f ca="1">IF(AC935=0,0,IF(AC935=12,0,OFFSET(effect!$N$1,MATCH(K935,effect!M:M,0)-1,0)))</f>
        <v>kpsx_pt</v>
      </c>
    </row>
    <row r="936" spans="1:42">
      <c r="A936" s="153">
        <f ca="1" t="shared" si="155"/>
        <v>2005026</v>
      </c>
      <c r="B936" s="91" t="s">
        <v>433</v>
      </c>
      <c r="C936" s="186">
        <v>2</v>
      </c>
      <c r="D936" s="186">
        <v>1</v>
      </c>
      <c r="E936" s="165" t="s">
        <v>1058</v>
      </c>
      <c r="F936" s="165" t="str">
        <f>"上一招为剑法时，增加"&amp;skill!$O$70/100&amp;"%伤害"</f>
        <v>上一招为剑法时，增加35%伤害</v>
      </c>
      <c r="G936" s="186">
        <f ca="1">OFFSET(卡牌辅助配置表!$C$1,MATCH(AC936,卡牌辅助配置表!A:A,0)-1,0)</f>
        <v>3</v>
      </c>
      <c r="H936" s="186">
        <f ca="1">OFFSET(skill!$Q$1,MATCH(B936,skill!B:B,0)-1,0)</f>
        <v>0.518518518518518</v>
      </c>
      <c r="I936" s="186"/>
      <c r="J936" s="186">
        <f ca="1">OFFSET(card_type!$F$1,MATCH(Q936,card_type!A:A,0)-1,0)</f>
        <v>1</v>
      </c>
      <c r="K936" s="243">
        <f ca="1">OFFSET(card_type!$G$1,MATCH(Q936,card_type!A:A,0)-1,0)</f>
        <v>2</v>
      </c>
      <c r="L936" s="157">
        <v>2</v>
      </c>
      <c r="M936" s="157">
        <v>2</v>
      </c>
      <c r="N936" s="153">
        <f t="shared" si="154"/>
        <v>26</v>
      </c>
      <c r="O936" s="157"/>
      <c r="P936" s="157"/>
      <c r="Q936" s="153">
        <f ca="1">OFFSET(card_type!$A$1,MATCH(card!B936,card_type!B:B,0)-1,0)</f>
        <v>2005</v>
      </c>
      <c r="R936" s="153">
        <v>1</v>
      </c>
      <c r="S936" s="157">
        <f ca="1">ROUND(IF(R936=0,0,IF(R936=1,X936*$S$1,IF(R936=2,X936*$S$1*buff的资质计算!$E$2,IF(R936=3,X936*$S$1*buff的资质计算!$E$3,0)))),0)*0</f>
        <v>0</v>
      </c>
      <c r="T936" s="153">
        <v>2</v>
      </c>
      <c r="U936" s="153">
        <f ca="1" t="shared" si="156"/>
        <v>12</v>
      </c>
      <c r="V936" s="153">
        <f ca="1">ROUND((OFFSET(卡牌辅助配置表!$O$1,MATCH(U936,卡牌辅助配置表!M:M,0)-1,0)+(N936-1)*OFFSET(卡牌辅助配置表!$P$1,MATCH(U936,卡牌辅助配置表!M:M,0)-1,0))*M936,2)</f>
        <v>34.83</v>
      </c>
      <c r="W936" s="157">
        <f ca="1">ROUND(IF(R936=0,0,IF(R936=1,X936*$W$1,IF(R936=2,X936*$W$1*buff的资质计算!$E$2,IF(R936=3,X936*$W$1*buff的资质计算!$E$3,0)))),2)</f>
        <v>10.05</v>
      </c>
      <c r="X936" s="157">
        <f ca="1" t="shared" si="152"/>
        <v>33.5</v>
      </c>
      <c r="Y936" s="157">
        <f ca="1" t="shared" si="161"/>
        <v>34.0185185185185</v>
      </c>
      <c r="Z936" s="304">
        <f ca="1" t="shared" si="153"/>
        <v>17.0092592592593</v>
      </c>
      <c r="AA936" s="304">
        <f ca="1">OFFSET(卡牌辅助配置表!$AD$1,MATCH(AB936,卡牌辅助配置表!AB:AB,0)-1,0)</f>
        <v>1348</v>
      </c>
      <c r="AB936" s="304">
        <f ca="1" t="shared" si="157"/>
        <v>1226</v>
      </c>
      <c r="AC936" s="153">
        <v>3</v>
      </c>
      <c r="AE936" s="153">
        <v>2</v>
      </c>
      <c r="AF936" s="153" t="str">
        <f ca="1" t="shared" si="160"/>
        <v>20050011|</v>
      </c>
      <c r="AJ936" s="205" t="str">
        <f ca="1" t="shared" si="158"/>
        <v>400023|17850|;</v>
      </c>
      <c r="AK936" s="205">
        <f ca="1">OFFSET([1]item_type!$A$1,MATCH(Q936,[1]item_type!$G:$G,0)-1,0)</f>
        <v>302005</v>
      </c>
      <c r="AL936" s="205"/>
      <c r="AM936" s="205">
        <f ca="1">IF(B936=B937,OFFSET(卡牌辅助配置表!$AE$1,MATCH(AB936,卡牌辅助配置表!AB:AB,0),0),0)</f>
        <v>17850</v>
      </c>
      <c r="AN936" s="153">
        <f ca="1" t="shared" si="159"/>
        <v>2005027</v>
      </c>
      <c r="AP936" s="153" t="str">
        <f ca="1">IF(AC936=0,0,IF(AC936=12,0,OFFSET(effect!$N$1,MATCH(K936,effect!M:M,0)-1,0)))</f>
        <v>kpsx_pt</v>
      </c>
    </row>
    <row r="937" spans="1:42">
      <c r="A937" s="153">
        <f ca="1" t="shared" si="155"/>
        <v>2005027</v>
      </c>
      <c r="B937" s="91" t="s">
        <v>433</v>
      </c>
      <c r="C937" s="186">
        <v>2</v>
      </c>
      <c r="D937" s="186">
        <v>1</v>
      </c>
      <c r="E937" s="165" t="s">
        <v>1058</v>
      </c>
      <c r="F937" s="165" t="str">
        <f>"上一招为剑法时，增加"&amp;skill!$O$70/100&amp;"%伤害"</f>
        <v>上一招为剑法时，增加35%伤害</v>
      </c>
      <c r="G937" s="186">
        <f ca="1">OFFSET(卡牌辅助配置表!$C$1,MATCH(AC937,卡牌辅助配置表!A:A,0)-1,0)</f>
        <v>3</v>
      </c>
      <c r="H937" s="186">
        <f ca="1">OFFSET(skill!$Q$1,MATCH(B937,skill!B:B,0)-1,0)</f>
        <v>0.518518518518518</v>
      </c>
      <c r="I937" s="186"/>
      <c r="J937" s="186">
        <f ca="1">OFFSET(card_type!$F$1,MATCH(Q937,card_type!A:A,0)-1,0)</f>
        <v>1</v>
      </c>
      <c r="K937" s="243">
        <f ca="1">OFFSET(card_type!$G$1,MATCH(Q937,card_type!A:A,0)-1,0)</f>
        <v>2</v>
      </c>
      <c r="L937" s="157">
        <v>2</v>
      </c>
      <c r="M937" s="157">
        <v>2</v>
      </c>
      <c r="N937" s="153">
        <f t="shared" si="154"/>
        <v>27</v>
      </c>
      <c r="O937" s="157"/>
      <c r="P937" s="157"/>
      <c r="Q937" s="153">
        <f ca="1">OFFSET(card_type!$A$1,MATCH(card!B937,card_type!B:B,0)-1,0)</f>
        <v>2005</v>
      </c>
      <c r="R937" s="153">
        <v>1</v>
      </c>
      <c r="S937" s="157">
        <f ca="1">ROUND(IF(R937=0,0,IF(R937=1,X937*$S$1,IF(R937=2,X937*$S$1*buff的资质计算!$E$2,IF(R937=3,X937*$S$1*buff的资质计算!$E$3,0)))),0)*0</f>
        <v>0</v>
      </c>
      <c r="T937" s="153">
        <v>2</v>
      </c>
      <c r="U937" s="153">
        <f ca="1" t="shared" si="156"/>
        <v>12</v>
      </c>
      <c r="V937" s="153">
        <f ca="1">ROUND((OFFSET(卡牌辅助配置表!$O$1,MATCH(U937,卡牌辅助配置表!M:M,0)-1,0)+(N937-1)*OFFSET(卡牌辅助配置表!$P$1,MATCH(U937,卡牌辅助配置表!M:M,0)-1,0))*M937,2)</f>
        <v>35.47</v>
      </c>
      <c r="W937" s="157">
        <f ca="1">ROUND(IF(R937=0,0,IF(R937=1,X937*$W$1,IF(R937=2,X937*$W$1*buff的资质计算!$E$2,IF(R937=3,X937*$W$1*buff的资质计算!$E$3,0)))),2)</f>
        <v>10.2</v>
      </c>
      <c r="X937" s="157">
        <f ca="1" t="shared" si="152"/>
        <v>34</v>
      </c>
      <c r="Y937" s="157">
        <f ca="1" t="shared" si="161"/>
        <v>34.5185185185185</v>
      </c>
      <c r="Z937" s="304">
        <f ca="1" t="shared" si="153"/>
        <v>17.2592592592593</v>
      </c>
      <c r="AA937" s="304">
        <f ca="1">OFFSET(卡牌辅助配置表!$AD$1,MATCH(AB937,卡牌辅助配置表!AB:AB,0)-1,0)</f>
        <v>1421</v>
      </c>
      <c r="AB937" s="304">
        <f ca="1" t="shared" si="157"/>
        <v>1227</v>
      </c>
      <c r="AC937" s="153">
        <v>3</v>
      </c>
      <c r="AE937" s="153">
        <v>2</v>
      </c>
      <c r="AF937" s="153" t="str">
        <f ca="1" t="shared" si="160"/>
        <v>20050011|</v>
      </c>
      <c r="AJ937" s="205" t="str">
        <f ca="1" t="shared" si="158"/>
        <v>400023|19050|;</v>
      </c>
      <c r="AK937" s="205">
        <f ca="1">OFFSET([1]item_type!$A$1,MATCH(Q937,[1]item_type!$G:$G,0)-1,0)</f>
        <v>302005</v>
      </c>
      <c r="AL937" s="205"/>
      <c r="AM937" s="205">
        <f ca="1">IF(B937=B938,OFFSET(卡牌辅助配置表!$AE$1,MATCH(AB937,卡牌辅助配置表!AB:AB,0),0),0)</f>
        <v>19050</v>
      </c>
      <c r="AN937" s="153">
        <f ca="1" t="shared" si="159"/>
        <v>2005028</v>
      </c>
      <c r="AP937" s="153" t="str">
        <f ca="1">IF(AC937=0,0,IF(AC937=12,0,OFFSET(effect!$N$1,MATCH(K937,effect!M:M,0)-1,0)))</f>
        <v>kpsx_pt</v>
      </c>
    </row>
    <row r="938" spans="1:42">
      <c r="A938" s="153">
        <f ca="1" t="shared" si="155"/>
        <v>2005028</v>
      </c>
      <c r="B938" s="91" t="s">
        <v>433</v>
      </c>
      <c r="C938" s="186">
        <v>2</v>
      </c>
      <c r="D938" s="186">
        <v>1</v>
      </c>
      <c r="E938" s="165" t="s">
        <v>1058</v>
      </c>
      <c r="F938" s="165" t="str">
        <f>"上一招为剑法时，增加"&amp;skill!$O$70/100&amp;"%伤害"</f>
        <v>上一招为剑法时，增加35%伤害</v>
      </c>
      <c r="G938" s="186">
        <f ca="1">OFFSET(卡牌辅助配置表!$C$1,MATCH(AC938,卡牌辅助配置表!A:A,0)-1,0)</f>
        <v>3</v>
      </c>
      <c r="H938" s="186">
        <f ca="1">OFFSET(skill!$Q$1,MATCH(B938,skill!B:B,0)-1,0)</f>
        <v>0.518518518518518</v>
      </c>
      <c r="I938" s="186"/>
      <c r="J938" s="186">
        <f ca="1">OFFSET(card_type!$F$1,MATCH(Q938,card_type!A:A,0)-1,0)</f>
        <v>1</v>
      </c>
      <c r="K938" s="243">
        <f ca="1">OFFSET(card_type!$G$1,MATCH(Q938,card_type!A:A,0)-1,0)</f>
        <v>2</v>
      </c>
      <c r="L938" s="157">
        <v>2</v>
      </c>
      <c r="M938" s="157">
        <v>2</v>
      </c>
      <c r="N938" s="153">
        <f t="shared" si="154"/>
        <v>28</v>
      </c>
      <c r="O938" s="157"/>
      <c r="P938" s="157"/>
      <c r="Q938" s="153">
        <f ca="1">OFFSET(card_type!$A$1,MATCH(card!B938,card_type!B:B,0)-1,0)</f>
        <v>2005</v>
      </c>
      <c r="R938" s="153">
        <v>1</v>
      </c>
      <c r="S938" s="157">
        <f ca="1">ROUND(IF(R938=0,0,IF(R938=1,X938*$S$1,IF(R938=2,X938*$S$1*buff的资质计算!$E$2,IF(R938=3,X938*$S$1*buff的资质计算!$E$3,0)))),0)*0</f>
        <v>0</v>
      </c>
      <c r="T938" s="153">
        <v>2</v>
      </c>
      <c r="U938" s="153">
        <f ca="1" t="shared" si="156"/>
        <v>12</v>
      </c>
      <c r="V938" s="153">
        <f ca="1">ROUND((OFFSET(卡牌辅助配置表!$O$1,MATCH(U938,卡牌辅助配置表!M:M,0)-1,0)+(N938-1)*OFFSET(卡牌辅助配置表!$P$1,MATCH(U938,卡牌辅助配置表!M:M,0)-1,0))*M938,2)</f>
        <v>36.1</v>
      </c>
      <c r="W938" s="157">
        <f ca="1">ROUND(IF(R938=0,0,IF(R938=1,X938*$W$1,IF(R938=2,X938*$W$1*buff的资质计算!$E$2,IF(R938=3,X938*$W$1*buff的资质计算!$E$3,0)))),2)</f>
        <v>10.35</v>
      </c>
      <c r="X938" s="157">
        <f ca="1" t="shared" si="152"/>
        <v>34.5</v>
      </c>
      <c r="Y938" s="157">
        <f ca="1" t="shared" si="161"/>
        <v>35.0185185185185</v>
      </c>
      <c r="Z938" s="304">
        <f ca="1" t="shared" si="153"/>
        <v>17.5092592592593</v>
      </c>
      <c r="AA938" s="304">
        <f ca="1">OFFSET(卡牌辅助配置表!$AD$1,MATCH(AB938,卡牌辅助配置表!AB:AB,0)-1,0)</f>
        <v>1494</v>
      </c>
      <c r="AB938" s="304">
        <f ca="1" t="shared" si="157"/>
        <v>1228</v>
      </c>
      <c r="AC938" s="153">
        <v>3</v>
      </c>
      <c r="AE938" s="153">
        <v>2</v>
      </c>
      <c r="AF938" s="153" t="str">
        <f ca="1" t="shared" si="160"/>
        <v>20050011|</v>
      </c>
      <c r="AJ938" s="205" t="str">
        <f ca="1" t="shared" si="158"/>
        <v>400023|20250|;</v>
      </c>
      <c r="AK938" s="205">
        <f ca="1">OFFSET([1]item_type!$A$1,MATCH(Q938,[1]item_type!$G:$G,0)-1,0)</f>
        <v>302005</v>
      </c>
      <c r="AL938" s="205"/>
      <c r="AM938" s="205">
        <f ca="1">IF(B938=B939,OFFSET(卡牌辅助配置表!$AE$1,MATCH(AB938,卡牌辅助配置表!AB:AB,0),0),0)</f>
        <v>20250</v>
      </c>
      <c r="AN938" s="153">
        <f ca="1" t="shared" si="159"/>
        <v>2005029</v>
      </c>
      <c r="AP938" s="153" t="str">
        <f ca="1">IF(AC938=0,0,IF(AC938=12,0,OFFSET(effect!$N$1,MATCH(K938,effect!M:M,0)-1,0)))</f>
        <v>kpsx_pt</v>
      </c>
    </row>
    <row r="939" spans="1:42">
      <c r="A939" s="153">
        <f ca="1" t="shared" si="155"/>
        <v>2005029</v>
      </c>
      <c r="B939" s="91" t="s">
        <v>433</v>
      </c>
      <c r="C939" s="186">
        <v>2</v>
      </c>
      <c r="D939" s="186">
        <v>1</v>
      </c>
      <c r="E939" s="165" t="s">
        <v>1058</v>
      </c>
      <c r="F939" s="165" t="str">
        <f>"上一招为剑法时，增加"&amp;skill!$O$70/100&amp;"%伤害"</f>
        <v>上一招为剑法时，增加35%伤害</v>
      </c>
      <c r="G939" s="186">
        <f ca="1">OFFSET(卡牌辅助配置表!$C$1,MATCH(AC939,卡牌辅助配置表!A:A,0)-1,0)</f>
        <v>3</v>
      </c>
      <c r="H939" s="186">
        <f ca="1">OFFSET(skill!$Q$1,MATCH(B939,skill!B:B,0)-1,0)</f>
        <v>0.518518518518518</v>
      </c>
      <c r="I939" s="186"/>
      <c r="J939" s="186">
        <f ca="1">OFFSET(card_type!$F$1,MATCH(Q939,card_type!A:A,0)-1,0)</f>
        <v>1</v>
      </c>
      <c r="K939" s="243">
        <f ca="1">OFFSET(card_type!$G$1,MATCH(Q939,card_type!A:A,0)-1,0)</f>
        <v>2</v>
      </c>
      <c r="L939" s="157">
        <v>2</v>
      </c>
      <c r="M939" s="157">
        <v>2</v>
      </c>
      <c r="N939" s="153">
        <f t="shared" si="154"/>
        <v>29</v>
      </c>
      <c r="O939" s="157"/>
      <c r="P939" s="157"/>
      <c r="Q939" s="153">
        <f ca="1">OFFSET(card_type!$A$1,MATCH(card!B939,card_type!B:B,0)-1,0)</f>
        <v>2005</v>
      </c>
      <c r="R939" s="153">
        <v>1</v>
      </c>
      <c r="S939" s="157">
        <f ca="1">ROUND(IF(R939=0,0,IF(R939=1,X939*$S$1,IF(R939=2,X939*$S$1*buff的资质计算!$E$2,IF(R939=3,X939*$S$1*buff的资质计算!$E$3,0)))),0)*0</f>
        <v>0</v>
      </c>
      <c r="T939" s="153">
        <v>2</v>
      </c>
      <c r="U939" s="153">
        <f ca="1" t="shared" si="156"/>
        <v>12</v>
      </c>
      <c r="V939" s="153">
        <f ca="1">ROUND((OFFSET(卡牌辅助配置表!$O$1,MATCH(U939,卡牌辅助配置表!M:M,0)-1,0)+(N939-1)*OFFSET(卡牌辅助配置表!$P$1,MATCH(U939,卡牌辅助配置表!M:M,0)-1,0))*M939,2)</f>
        <v>36.73</v>
      </c>
      <c r="W939" s="157">
        <f ca="1">ROUND(IF(R939=0,0,IF(R939=1,X939*$W$1,IF(R939=2,X939*$W$1*buff的资质计算!$E$2,IF(R939=3,X939*$W$1*buff的资质计算!$E$3,0)))),2)</f>
        <v>10.5</v>
      </c>
      <c r="X939" s="157">
        <f ca="1" t="shared" si="152"/>
        <v>35</v>
      </c>
      <c r="Y939" s="157">
        <f ca="1" t="shared" si="161"/>
        <v>35.5185185185185</v>
      </c>
      <c r="Z939" s="304">
        <f ca="1" t="shared" si="153"/>
        <v>17.7592592592593</v>
      </c>
      <c r="AA939" s="304">
        <f ca="1">OFFSET(卡牌辅助配置表!$AD$1,MATCH(AB939,卡牌辅助配置表!AB:AB,0)-1,0)</f>
        <v>1567</v>
      </c>
      <c r="AB939" s="304">
        <f ca="1" t="shared" si="157"/>
        <v>1229</v>
      </c>
      <c r="AC939" s="153">
        <v>3</v>
      </c>
      <c r="AE939" s="153">
        <v>2</v>
      </c>
      <c r="AF939" s="153" t="str">
        <f ca="1" t="shared" si="160"/>
        <v>20050011|</v>
      </c>
      <c r="AJ939" s="205" t="str">
        <f ca="1" t="shared" si="158"/>
        <v>302005|30|;400023|21450|;</v>
      </c>
      <c r="AK939" s="205">
        <f ca="1">OFFSET([1]item_type!$A$1,MATCH(Q939,[1]item_type!$G:$G,0)-1,0)</f>
        <v>302005</v>
      </c>
      <c r="AL939" s="205">
        <v>30</v>
      </c>
      <c r="AM939" s="205">
        <f ca="1">IF(B939=B940,OFFSET(卡牌辅助配置表!$AE$1,MATCH(AB939,卡牌辅助配置表!AB:AB,0),0),0)</f>
        <v>21450</v>
      </c>
      <c r="AN939" s="153">
        <f ca="1" t="shared" si="159"/>
        <v>2005030</v>
      </c>
      <c r="AP939" s="153" t="str">
        <f ca="1">IF(AC939=0,0,IF(AC939=12,0,OFFSET(effect!$N$1,MATCH(K939,effect!M:M,0)-1,0)))</f>
        <v>kpsx_pt</v>
      </c>
    </row>
    <row r="940" spans="1:42">
      <c r="A940" s="153">
        <f ca="1" t="shared" si="155"/>
        <v>2005030</v>
      </c>
      <c r="B940" s="91" t="s">
        <v>433</v>
      </c>
      <c r="C940" s="186">
        <v>2</v>
      </c>
      <c r="D940" s="186">
        <v>1</v>
      </c>
      <c r="E940" s="165" t="s">
        <v>1058</v>
      </c>
      <c r="F940" s="165" t="str">
        <f>"上一招为剑法时，增加"&amp;skill!$O$70/100&amp;"%伤害"</f>
        <v>上一招为剑法时，增加35%伤害</v>
      </c>
      <c r="G940" s="186">
        <f ca="1">OFFSET(卡牌辅助配置表!$C$1,MATCH(AC940,卡牌辅助配置表!A:A,0)-1,0)</f>
        <v>3</v>
      </c>
      <c r="H940" s="186">
        <f ca="1">OFFSET(skill!$Q$1,MATCH(B940,skill!B:B,0)-1,0)</f>
        <v>0.518518518518518</v>
      </c>
      <c r="I940" s="186"/>
      <c r="J940" s="186">
        <f ca="1">OFFSET(card_type!$F$1,MATCH(Q940,card_type!A:A,0)-1,0)</f>
        <v>1</v>
      </c>
      <c r="K940" s="243">
        <f ca="1">OFFSET(card_type!$G$1,MATCH(Q940,card_type!A:A,0)-1,0)</f>
        <v>2</v>
      </c>
      <c r="L940" s="157">
        <v>2</v>
      </c>
      <c r="M940" s="157">
        <v>2</v>
      </c>
      <c r="N940" s="153">
        <f t="shared" si="154"/>
        <v>30</v>
      </c>
      <c r="O940" s="157"/>
      <c r="P940" s="157"/>
      <c r="Q940" s="153">
        <f ca="1">OFFSET(card_type!$A$1,MATCH(card!B940,card_type!B:B,0)-1,0)</f>
        <v>2005</v>
      </c>
      <c r="R940" s="153">
        <v>1</v>
      </c>
      <c r="S940" s="157">
        <f ca="1">ROUND(IF(R940=0,0,IF(R940=1,X940*$S$1,IF(R940=2,X940*$S$1*buff的资质计算!$E$2,IF(R940=3,X940*$S$1*buff的资质计算!$E$3,0)))),0)*0</f>
        <v>0</v>
      </c>
      <c r="T940" s="153">
        <v>2</v>
      </c>
      <c r="U940" s="153">
        <f ca="1" t="shared" si="156"/>
        <v>12</v>
      </c>
      <c r="V940" s="153">
        <f ca="1">ROUND((OFFSET(卡牌辅助配置表!$O$1,MATCH(U940,卡牌辅助配置表!M:M,0)-1,0)+(N940-1)*OFFSET(卡牌辅助配置表!$P$1,MATCH(U940,卡牌辅助配置表!M:M,0)-1,0))*M940,2)</f>
        <v>37.37</v>
      </c>
      <c r="W940" s="157">
        <f ca="1">ROUND(IF(R940=0,0,IF(R940=1,X940*$W$1,IF(R940=2,X940*$W$1*buff的资质计算!$E$2,IF(R940=3,X940*$W$1*buff的资质计算!$E$3,0)))),2)</f>
        <v>10.65</v>
      </c>
      <c r="X940" s="157">
        <f ca="1" t="shared" si="152"/>
        <v>35.5</v>
      </c>
      <c r="Y940" s="157">
        <f ca="1" t="shared" si="161"/>
        <v>36.0185185185185</v>
      </c>
      <c r="Z940" s="304">
        <f ca="1" t="shared" si="153"/>
        <v>18.0092592592593</v>
      </c>
      <c r="AA940" s="304">
        <f ca="1">OFFSET(卡牌辅助配置表!$AD$1,MATCH(AB940,卡牌辅助配置表!AB:AB,0)-1,0)</f>
        <v>1640</v>
      </c>
      <c r="AB940" s="304">
        <f ca="1" t="shared" si="157"/>
        <v>1230</v>
      </c>
      <c r="AC940" s="153">
        <v>3</v>
      </c>
      <c r="AE940" s="153">
        <v>2</v>
      </c>
      <c r="AF940" s="153" t="str">
        <f ca="1" t="shared" si="160"/>
        <v>20050011|</v>
      </c>
      <c r="AJ940" s="205">
        <f ca="1" t="shared" si="158"/>
        <v>0</v>
      </c>
      <c r="AK940" s="205">
        <f ca="1">OFFSET([1]item_type!$A$1,MATCH(Q940,[1]item_type!$G:$G,0)-1,0)</f>
        <v>302005</v>
      </c>
      <c r="AL940" s="205"/>
      <c r="AM940" s="205">
        <f ca="1">IF(B940=B941,OFFSET(卡牌辅助配置表!$AE$1,MATCH(AB940,卡牌辅助配置表!AB:AB,0),0),0)</f>
        <v>0</v>
      </c>
      <c r="AN940" s="153">
        <f ca="1" t="shared" si="159"/>
        <v>0</v>
      </c>
      <c r="AP940" s="153" t="str">
        <f ca="1">IF(AC940=0,0,IF(AC940=12,0,OFFSET(effect!$N$1,MATCH(K940,effect!M:M,0)-1,0)))</f>
        <v>kpsx_pt</v>
      </c>
    </row>
    <row r="941" spans="1:42">
      <c r="A941" s="153">
        <f ca="1" t="shared" si="155"/>
        <v>2006001</v>
      </c>
      <c r="B941" s="91" t="s">
        <v>740</v>
      </c>
      <c r="C941" s="186">
        <v>2</v>
      </c>
      <c r="D941" s="186">
        <v>4</v>
      </c>
      <c r="E941" s="165" t="s">
        <v>1058</v>
      </c>
      <c r="F941" s="179" t="s">
        <v>1054</v>
      </c>
      <c r="G941" s="186">
        <f ca="1">OFFSET(卡牌辅助配置表!$C$1,MATCH(AC941,卡牌辅助配置表!A:A,0)-1,0)</f>
        <v>0</v>
      </c>
      <c r="H941" s="186">
        <f ca="1">OFFSET(skill!$Q$1,MATCH(B941,skill!B:B,0)-1,0)</f>
        <v>5</v>
      </c>
      <c r="I941" s="186"/>
      <c r="J941" s="186">
        <f ca="1">OFFSET(card_type!$F$1,MATCH(Q941,card_type!A:A,0)-1,0)</f>
        <v>1</v>
      </c>
      <c r="K941" s="243">
        <f ca="1">OFFSET(card_type!$G$1,MATCH(Q941,card_type!A:A,0)-1,0)</f>
        <v>1</v>
      </c>
      <c r="L941" s="157">
        <v>2</v>
      </c>
      <c r="M941" s="157">
        <v>2</v>
      </c>
      <c r="N941" s="153">
        <f t="shared" si="154"/>
        <v>1</v>
      </c>
      <c r="O941" s="157"/>
      <c r="P941" s="157"/>
      <c r="Q941" s="153">
        <f ca="1">OFFSET(card_type!$A$1,MATCH(card!B941,card_type!B:B,0)-1,0)</f>
        <v>2006</v>
      </c>
      <c r="R941" s="153">
        <v>1</v>
      </c>
      <c r="S941" s="157">
        <f ca="1">ROUND(IF(R941=0,0,IF(R941=1,X941*$S$1,IF(R941=2,X941*$S$1*buff的资质计算!$E$2,IF(R941=3,X941*$S$1*buff的资质计算!$E$3,0)))),0)*0</f>
        <v>0</v>
      </c>
      <c r="T941" s="153">
        <v>3</v>
      </c>
      <c r="U941" s="153">
        <f ca="1" t="shared" si="156"/>
        <v>11</v>
      </c>
      <c r="V941" s="153">
        <f ca="1">ROUND((OFFSET(卡牌辅助配置表!$O$1,MATCH(U941,卡牌辅助配置表!M:M,0)-1,0)+(N941-1)*OFFSET(卡牌辅助配置表!$P$1,MATCH(U941,卡牌辅助配置表!M:M,0)-1,0))*M941,2)</f>
        <v>12.54</v>
      </c>
      <c r="W941" s="157">
        <f ca="1">ROUND(IF(R941=0,0,IF(R941=1,X941*$W$1,IF(R941=2,X941*$W$1*buff的资质计算!$E$2,IF(R941=3,X941*$W$1*buff的资质计算!$E$3,0)))),2)</f>
        <v>3</v>
      </c>
      <c r="X941" s="157">
        <f ca="1" t="shared" si="152"/>
        <v>10</v>
      </c>
      <c r="Y941" s="157">
        <f ca="1" t="shared" si="161"/>
        <v>15</v>
      </c>
      <c r="Z941" s="304">
        <f ca="1" t="shared" si="153"/>
        <v>7.5</v>
      </c>
      <c r="AA941" s="304">
        <f ca="1">OFFSET(卡牌辅助配置表!$AD$1,MATCH(AB941,卡牌辅助配置表!AB:AB,0)-1,0)</f>
        <v>18</v>
      </c>
      <c r="AB941" s="304">
        <f ca="1" t="shared" si="157"/>
        <v>1101</v>
      </c>
      <c r="AC941" s="153">
        <v>12</v>
      </c>
      <c r="AF941" s="153" t="str">
        <f ca="1" t="shared" si="160"/>
        <v>20060011|</v>
      </c>
      <c r="AJ941" s="205" t="str">
        <f ca="1" t="shared" si="158"/>
        <v>400023|700|;</v>
      </c>
      <c r="AK941" s="205">
        <f ca="1">OFFSET([1]item_type!$A$1,MATCH(Q941,[1]item_type!$G:$G,0)-1,0)</f>
        <v>302006</v>
      </c>
      <c r="AL941" s="205"/>
      <c r="AM941" s="205">
        <f ca="1">IF(B941=B942,OFFSET(卡牌辅助配置表!$AE$1,MATCH(AB941,卡牌辅助配置表!AB:AB,0),0),0)</f>
        <v>700</v>
      </c>
      <c r="AN941" s="153">
        <f ca="1" t="shared" si="159"/>
        <v>2006002</v>
      </c>
      <c r="AP941" s="153">
        <f ca="1">IF(AC941=0,0,IF(AC941=12,0,OFFSET(effect!$N$1,MATCH(K941,effect!M:M,0)-1,0)))</f>
        <v>0</v>
      </c>
    </row>
    <row r="942" spans="1:42">
      <c r="A942" s="153">
        <f ca="1" t="shared" si="155"/>
        <v>2006002</v>
      </c>
      <c r="B942" s="91" t="s">
        <v>740</v>
      </c>
      <c r="C942" s="186">
        <v>2</v>
      </c>
      <c r="D942" s="186">
        <v>4</v>
      </c>
      <c r="E942" s="165" t="s">
        <v>1058</v>
      </c>
      <c r="F942" s="179" t="s">
        <v>1054</v>
      </c>
      <c r="G942" s="186">
        <f ca="1">OFFSET(卡牌辅助配置表!$C$1,MATCH(AC942,卡牌辅助配置表!A:A,0)-1,0)</f>
        <v>0</v>
      </c>
      <c r="H942" s="186">
        <f ca="1">OFFSET(skill!$Q$1,MATCH(B942,skill!B:B,0)-1,0)</f>
        <v>5</v>
      </c>
      <c r="I942" s="186"/>
      <c r="J942" s="186">
        <f ca="1">OFFSET(card_type!$F$1,MATCH(Q942,card_type!A:A,0)-1,0)</f>
        <v>1</v>
      </c>
      <c r="K942" s="243">
        <f ca="1">OFFSET(card_type!$G$1,MATCH(Q942,card_type!A:A,0)-1,0)</f>
        <v>1</v>
      </c>
      <c r="L942" s="157">
        <v>2</v>
      </c>
      <c r="M942" s="157">
        <v>2</v>
      </c>
      <c r="N942" s="153">
        <f t="shared" si="154"/>
        <v>2</v>
      </c>
      <c r="O942" s="157"/>
      <c r="P942" s="157"/>
      <c r="Q942" s="153">
        <f ca="1">OFFSET(card_type!$A$1,MATCH(card!B942,card_type!B:B,0)-1,0)</f>
        <v>2006</v>
      </c>
      <c r="R942" s="153">
        <v>1</v>
      </c>
      <c r="S942" s="157">
        <f ca="1">ROUND(IF(R942=0,0,IF(R942=1,X942*$S$1,IF(R942=2,X942*$S$1*buff的资质计算!$E$2,IF(R942=3,X942*$S$1*buff的资质计算!$E$3,0)))),0)*0</f>
        <v>0</v>
      </c>
      <c r="T942" s="153">
        <v>3</v>
      </c>
      <c r="U942" s="153">
        <f ca="1" t="shared" si="156"/>
        <v>11</v>
      </c>
      <c r="V942" s="153">
        <f ca="1">ROUND((OFFSET(卡牌辅助配置表!$O$1,MATCH(U942,卡牌辅助配置表!M:M,0)-1,0)+(N942-1)*OFFSET(卡牌辅助配置表!$P$1,MATCH(U942,卡牌辅助配置表!M:M,0)-1,0))*M942,2)</f>
        <v>12.96</v>
      </c>
      <c r="W942" s="157">
        <f ca="1">ROUND(IF(R942=0,0,IF(R942=1,X942*$W$1,IF(R942=2,X942*$W$1*buff的资质计算!$E$2,IF(R942=3,X942*$W$1*buff的资质计算!$E$3,0)))),2)</f>
        <v>3.15</v>
      </c>
      <c r="X942" s="157">
        <f ca="1" t="shared" si="152"/>
        <v>10.5</v>
      </c>
      <c r="Y942" s="157">
        <f ca="1" t="shared" si="161"/>
        <v>15.5</v>
      </c>
      <c r="Z942" s="304">
        <f ca="1" t="shared" si="153"/>
        <v>7.75</v>
      </c>
      <c r="AA942" s="304">
        <f ca="1">OFFSET(卡牌辅助配置表!$AD$1,MATCH(AB942,卡牌辅助配置表!AB:AB,0)-1,0)</f>
        <v>36</v>
      </c>
      <c r="AB942" s="304">
        <f ca="1" t="shared" si="157"/>
        <v>1102</v>
      </c>
      <c r="AC942" s="153">
        <v>12</v>
      </c>
      <c r="AF942" s="153" t="str">
        <f ca="1" t="shared" si="160"/>
        <v>20060011|</v>
      </c>
      <c r="AJ942" s="205" t="str">
        <f ca="1" t="shared" si="158"/>
        <v>400023|900|;</v>
      </c>
      <c r="AK942" s="205">
        <f ca="1">OFFSET([1]item_type!$A$1,MATCH(Q942,[1]item_type!$G:$G,0)-1,0)</f>
        <v>302006</v>
      </c>
      <c r="AL942" s="205"/>
      <c r="AM942" s="205">
        <f ca="1">IF(B942=B943,OFFSET(卡牌辅助配置表!$AE$1,MATCH(AB942,卡牌辅助配置表!AB:AB,0),0),0)</f>
        <v>900</v>
      </c>
      <c r="AN942" s="153">
        <f ca="1" t="shared" si="159"/>
        <v>2006003</v>
      </c>
      <c r="AP942" s="153">
        <f ca="1">IF(AC942=0,0,IF(AC942=12,0,OFFSET(effect!$N$1,MATCH(K942,effect!M:M,0)-1,0)))</f>
        <v>0</v>
      </c>
    </row>
    <row r="943" spans="1:42">
      <c r="A943" s="153">
        <f ca="1" t="shared" si="155"/>
        <v>2006003</v>
      </c>
      <c r="B943" s="91" t="s">
        <v>740</v>
      </c>
      <c r="C943" s="186">
        <v>2</v>
      </c>
      <c r="D943" s="186">
        <v>4</v>
      </c>
      <c r="E943" s="165" t="s">
        <v>1058</v>
      </c>
      <c r="F943" s="179" t="s">
        <v>1054</v>
      </c>
      <c r="G943" s="186">
        <f ca="1">OFFSET(卡牌辅助配置表!$C$1,MATCH(AC943,卡牌辅助配置表!A:A,0)-1,0)</f>
        <v>0</v>
      </c>
      <c r="H943" s="186">
        <f ca="1">OFFSET(skill!$Q$1,MATCH(B943,skill!B:B,0)-1,0)</f>
        <v>5</v>
      </c>
      <c r="I943" s="186"/>
      <c r="J943" s="186">
        <f ca="1">OFFSET(card_type!$F$1,MATCH(Q943,card_type!A:A,0)-1,0)</f>
        <v>1</v>
      </c>
      <c r="K943" s="243">
        <f ca="1">OFFSET(card_type!$G$1,MATCH(Q943,card_type!A:A,0)-1,0)</f>
        <v>1</v>
      </c>
      <c r="L943" s="157">
        <v>2</v>
      </c>
      <c r="M943" s="157">
        <v>2</v>
      </c>
      <c r="N943" s="153">
        <f t="shared" si="154"/>
        <v>3</v>
      </c>
      <c r="O943" s="157"/>
      <c r="P943" s="157"/>
      <c r="Q943" s="153">
        <f ca="1">OFFSET(card_type!$A$1,MATCH(card!B943,card_type!B:B,0)-1,0)</f>
        <v>2006</v>
      </c>
      <c r="R943" s="153">
        <v>1</v>
      </c>
      <c r="S943" s="157">
        <f ca="1">ROUND(IF(R943=0,0,IF(R943=1,X943*$S$1,IF(R943=2,X943*$S$1*buff的资质计算!$E$2,IF(R943=3,X943*$S$1*buff的资质计算!$E$3,0)))),0)*0</f>
        <v>0</v>
      </c>
      <c r="T943" s="153">
        <v>3</v>
      </c>
      <c r="U943" s="153">
        <f ca="1" t="shared" si="156"/>
        <v>11</v>
      </c>
      <c r="V943" s="153">
        <f ca="1">ROUND((OFFSET(卡牌辅助配置表!$O$1,MATCH(U943,卡牌辅助配置表!M:M,0)-1,0)+(N943-1)*OFFSET(卡牌辅助配置表!$P$1,MATCH(U943,卡牌辅助配置表!M:M,0)-1,0))*M943,2)</f>
        <v>13.38</v>
      </c>
      <c r="W943" s="157">
        <f ca="1">ROUND(IF(R943=0,0,IF(R943=1,X943*$W$1,IF(R943=2,X943*$W$1*buff的资质计算!$E$2,IF(R943=3,X943*$W$1*buff的资质计算!$E$3,0)))),2)</f>
        <v>3.3</v>
      </c>
      <c r="X943" s="157">
        <f ca="1" t="shared" si="152"/>
        <v>11</v>
      </c>
      <c r="Y943" s="157">
        <f ca="1" t="shared" si="161"/>
        <v>16</v>
      </c>
      <c r="Z943" s="304">
        <f ca="1" t="shared" si="153"/>
        <v>8</v>
      </c>
      <c r="AA943" s="304">
        <f ca="1">OFFSET(卡牌辅助配置表!$AD$1,MATCH(AB943,卡牌辅助配置表!AB:AB,0)-1,0)</f>
        <v>54</v>
      </c>
      <c r="AB943" s="304">
        <f ca="1" t="shared" si="157"/>
        <v>1103</v>
      </c>
      <c r="AC943" s="153">
        <v>12</v>
      </c>
      <c r="AF943" s="153" t="str">
        <f ca="1" t="shared" si="160"/>
        <v>20060011|</v>
      </c>
      <c r="AJ943" s="205" t="str">
        <f ca="1" t="shared" si="158"/>
        <v>400023|1100|;</v>
      </c>
      <c r="AK943" s="205">
        <f ca="1">OFFSET([1]item_type!$A$1,MATCH(Q943,[1]item_type!$G:$G,0)-1,0)</f>
        <v>302006</v>
      </c>
      <c r="AL943" s="205"/>
      <c r="AM943" s="205">
        <f ca="1">IF(B943=B944,OFFSET(卡牌辅助配置表!$AE$1,MATCH(AB943,卡牌辅助配置表!AB:AB,0),0),0)</f>
        <v>1100</v>
      </c>
      <c r="AN943" s="153">
        <f ca="1" t="shared" si="159"/>
        <v>2006004</v>
      </c>
      <c r="AP943" s="153">
        <f ca="1">IF(AC943=0,0,IF(AC943=12,0,OFFSET(effect!$N$1,MATCH(K943,effect!M:M,0)-1,0)))</f>
        <v>0</v>
      </c>
    </row>
    <row r="944" spans="1:42">
      <c r="A944" s="153">
        <f ca="1" t="shared" si="155"/>
        <v>2006004</v>
      </c>
      <c r="B944" s="91" t="s">
        <v>740</v>
      </c>
      <c r="C944" s="186">
        <v>2</v>
      </c>
      <c r="D944" s="186">
        <v>4</v>
      </c>
      <c r="E944" s="165" t="s">
        <v>1058</v>
      </c>
      <c r="F944" s="179" t="s">
        <v>1054</v>
      </c>
      <c r="G944" s="186">
        <f ca="1">OFFSET(卡牌辅助配置表!$C$1,MATCH(AC944,卡牌辅助配置表!A:A,0)-1,0)</f>
        <v>0</v>
      </c>
      <c r="H944" s="186">
        <f ca="1">OFFSET(skill!$Q$1,MATCH(B944,skill!B:B,0)-1,0)</f>
        <v>5</v>
      </c>
      <c r="I944" s="186"/>
      <c r="J944" s="186">
        <f ca="1">OFFSET(card_type!$F$1,MATCH(Q944,card_type!A:A,0)-1,0)</f>
        <v>1</v>
      </c>
      <c r="K944" s="243">
        <f ca="1">OFFSET(card_type!$G$1,MATCH(Q944,card_type!A:A,0)-1,0)</f>
        <v>1</v>
      </c>
      <c r="L944" s="157">
        <v>2</v>
      </c>
      <c r="M944" s="157">
        <v>2</v>
      </c>
      <c r="N944" s="153">
        <f t="shared" si="154"/>
        <v>4</v>
      </c>
      <c r="O944" s="157"/>
      <c r="P944" s="157"/>
      <c r="Q944" s="153">
        <f ca="1">OFFSET(card_type!$A$1,MATCH(card!B944,card_type!B:B,0)-1,0)</f>
        <v>2006</v>
      </c>
      <c r="R944" s="153">
        <v>1</v>
      </c>
      <c r="S944" s="157">
        <f ca="1">ROUND(IF(R944=0,0,IF(R944=1,X944*$S$1,IF(R944=2,X944*$S$1*buff的资质计算!$E$2,IF(R944=3,X944*$S$1*buff的资质计算!$E$3,0)))),0)*0</f>
        <v>0</v>
      </c>
      <c r="T944" s="153">
        <v>3</v>
      </c>
      <c r="U944" s="153">
        <f ca="1" t="shared" si="156"/>
        <v>11</v>
      </c>
      <c r="V944" s="153">
        <f ca="1">ROUND((OFFSET(卡牌辅助配置表!$O$1,MATCH(U944,卡牌辅助配置表!M:M,0)-1,0)+(N944-1)*OFFSET(卡牌辅助配置表!$P$1,MATCH(U944,卡牌辅助配置表!M:M,0)-1,0))*M944,2)</f>
        <v>13.79</v>
      </c>
      <c r="W944" s="157">
        <f ca="1">ROUND(IF(R944=0,0,IF(R944=1,X944*$W$1,IF(R944=2,X944*$W$1*buff的资质计算!$E$2,IF(R944=3,X944*$W$1*buff的资质计算!$E$3,0)))),2)</f>
        <v>3.45</v>
      </c>
      <c r="X944" s="157">
        <f ca="1" t="shared" si="152"/>
        <v>11.5</v>
      </c>
      <c r="Y944" s="157">
        <f ca="1" t="shared" si="161"/>
        <v>16.5</v>
      </c>
      <c r="Z944" s="304">
        <f ca="1" t="shared" si="153"/>
        <v>8.25</v>
      </c>
      <c r="AA944" s="304">
        <f ca="1">OFFSET(卡牌辅助配置表!$AD$1,MATCH(AB944,卡牌辅助配置表!AB:AB,0)-1,0)</f>
        <v>72</v>
      </c>
      <c r="AB944" s="304">
        <f ca="1" t="shared" si="157"/>
        <v>1104</v>
      </c>
      <c r="AC944" s="153">
        <v>12</v>
      </c>
      <c r="AF944" s="153" t="str">
        <f ca="1" t="shared" si="160"/>
        <v>20060011|</v>
      </c>
      <c r="AJ944" s="205" t="str">
        <f ca="1" t="shared" si="158"/>
        <v>400023|1300|;</v>
      </c>
      <c r="AK944" s="205">
        <f ca="1">OFFSET([1]item_type!$A$1,MATCH(Q944,[1]item_type!$G:$G,0)-1,0)</f>
        <v>302006</v>
      </c>
      <c r="AL944" s="205"/>
      <c r="AM944" s="205">
        <f ca="1">IF(B944=B945,OFFSET(卡牌辅助配置表!$AE$1,MATCH(AB944,卡牌辅助配置表!AB:AB,0),0),0)</f>
        <v>1300</v>
      </c>
      <c r="AN944" s="153">
        <f ca="1" t="shared" si="159"/>
        <v>2006005</v>
      </c>
      <c r="AP944" s="153">
        <f ca="1">IF(AC944=0,0,IF(AC944=12,0,OFFSET(effect!$N$1,MATCH(K944,effect!M:M,0)-1,0)))</f>
        <v>0</v>
      </c>
    </row>
    <row r="945" spans="1:42">
      <c r="A945" s="153">
        <f ca="1" t="shared" si="155"/>
        <v>2006005</v>
      </c>
      <c r="B945" s="91" t="s">
        <v>740</v>
      </c>
      <c r="C945" s="186">
        <v>2</v>
      </c>
      <c r="D945" s="186">
        <v>4</v>
      </c>
      <c r="E945" s="165" t="s">
        <v>1058</v>
      </c>
      <c r="F945" s="179" t="s">
        <v>1054</v>
      </c>
      <c r="G945" s="186">
        <f ca="1">OFFSET(卡牌辅助配置表!$C$1,MATCH(AC945,卡牌辅助配置表!A:A,0)-1,0)</f>
        <v>0</v>
      </c>
      <c r="H945" s="186">
        <f ca="1">OFFSET(skill!$Q$1,MATCH(B945,skill!B:B,0)-1,0)</f>
        <v>5</v>
      </c>
      <c r="I945" s="186"/>
      <c r="J945" s="186">
        <f ca="1">OFFSET(card_type!$F$1,MATCH(Q945,card_type!A:A,0)-1,0)</f>
        <v>1</v>
      </c>
      <c r="K945" s="243">
        <f ca="1">OFFSET(card_type!$G$1,MATCH(Q945,card_type!A:A,0)-1,0)</f>
        <v>1</v>
      </c>
      <c r="L945" s="157">
        <v>2</v>
      </c>
      <c r="M945" s="157">
        <v>2</v>
      </c>
      <c r="N945" s="153">
        <f t="shared" si="154"/>
        <v>5</v>
      </c>
      <c r="O945" s="157"/>
      <c r="P945" s="157"/>
      <c r="Q945" s="153">
        <f ca="1">OFFSET(card_type!$A$1,MATCH(card!B945,card_type!B:B,0)-1,0)</f>
        <v>2006</v>
      </c>
      <c r="R945" s="153">
        <v>1</v>
      </c>
      <c r="S945" s="157">
        <f ca="1">ROUND(IF(R945=0,0,IF(R945=1,X945*$S$1,IF(R945=2,X945*$S$1*buff的资质计算!$E$2,IF(R945=3,X945*$S$1*buff的资质计算!$E$3,0)))),0)*0</f>
        <v>0</v>
      </c>
      <c r="T945" s="153">
        <v>3</v>
      </c>
      <c r="U945" s="153">
        <f ca="1" t="shared" si="156"/>
        <v>11</v>
      </c>
      <c r="V945" s="153">
        <f ca="1">ROUND((OFFSET(卡牌辅助配置表!$O$1,MATCH(U945,卡牌辅助配置表!M:M,0)-1,0)+(N945-1)*OFFSET(卡牌辅助配置表!$P$1,MATCH(U945,卡牌辅助配置表!M:M,0)-1,0))*M945,2)</f>
        <v>14.21</v>
      </c>
      <c r="W945" s="157">
        <f ca="1">ROUND(IF(R945=0,0,IF(R945=1,X945*$W$1,IF(R945=2,X945*$W$1*buff的资质计算!$E$2,IF(R945=3,X945*$W$1*buff的资质计算!$E$3,0)))),2)</f>
        <v>3.6</v>
      </c>
      <c r="X945" s="157">
        <f ca="1" t="shared" si="152"/>
        <v>12</v>
      </c>
      <c r="Y945" s="157">
        <f ca="1" t="shared" si="161"/>
        <v>17</v>
      </c>
      <c r="Z945" s="304">
        <f ca="1" t="shared" si="153"/>
        <v>8.5</v>
      </c>
      <c r="AA945" s="304">
        <f ca="1">OFFSET(卡牌辅助配置表!$AD$1,MATCH(AB945,卡牌辅助配置表!AB:AB,0)-1,0)</f>
        <v>90</v>
      </c>
      <c r="AB945" s="304">
        <f ca="1" t="shared" si="157"/>
        <v>1105</v>
      </c>
      <c r="AC945" s="153">
        <v>12</v>
      </c>
      <c r="AF945" s="153" t="str">
        <f ca="1" t="shared" si="160"/>
        <v>20060011|</v>
      </c>
      <c r="AJ945" s="205" t="str">
        <f ca="1" t="shared" si="158"/>
        <v>400023|1500|;</v>
      </c>
      <c r="AK945" s="205">
        <f ca="1">OFFSET([1]item_type!$A$1,MATCH(Q945,[1]item_type!$G:$G,0)-1,0)</f>
        <v>302006</v>
      </c>
      <c r="AL945" s="205"/>
      <c r="AM945" s="205">
        <f ca="1">IF(B945=B946,OFFSET(卡牌辅助配置表!$AE$1,MATCH(AB945,卡牌辅助配置表!AB:AB,0),0),0)</f>
        <v>1500</v>
      </c>
      <c r="AN945" s="153">
        <f ca="1" t="shared" si="159"/>
        <v>2006006</v>
      </c>
      <c r="AP945" s="153">
        <f ca="1">IF(AC945=0,0,IF(AC945=12,0,OFFSET(effect!$N$1,MATCH(K945,effect!M:M,0)-1,0)))</f>
        <v>0</v>
      </c>
    </row>
    <row r="946" spans="1:42">
      <c r="A946" s="153">
        <f ca="1" t="shared" si="155"/>
        <v>2006006</v>
      </c>
      <c r="B946" s="91" t="s">
        <v>740</v>
      </c>
      <c r="C946" s="186">
        <v>2</v>
      </c>
      <c r="D946" s="186">
        <v>4</v>
      </c>
      <c r="E946" s="165" t="s">
        <v>1058</v>
      </c>
      <c r="F946" s="179" t="s">
        <v>1054</v>
      </c>
      <c r="G946" s="186">
        <f ca="1">OFFSET(卡牌辅助配置表!$C$1,MATCH(AC946,卡牌辅助配置表!A:A,0)-1,0)</f>
        <v>0</v>
      </c>
      <c r="H946" s="186">
        <f ca="1">OFFSET(skill!$Q$1,MATCH(B946,skill!B:B,0)-1,0)</f>
        <v>5</v>
      </c>
      <c r="I946" s="186"/>
      <c r="J946" s="186">
        <f ca="1">OFFSET(card_type!$F$1,MATCH(Q946,card_type!A:A,0)-1,0)</f>
        <v>1</v>
      </c>
      <c r="K946" s="243">
        <f ca="1">OFFSET(card_type!$G$1,MATCH(Q946,card_type!A:A,0)-1,0)</f>
        <v>1</v>
      </c>
      <c r="L946" s="157">
        <v>2</v>
      </c>
      <c r="M946" s="157">
        <v>2</v>
      </c>
      <c r="N946" s="153">
        <f t="shared" si="154"/>
        <v>6</v>
      </c>
      <c r="O946" s="157"/>
      <c r="P946" s="157"/>
      <c r="Q946" s="153">
        <f ca="1">OFFSET(card_type!$A$1,MATCH(card!B946,card_type!B:B,0)-1,0)</f>
        <v>2006</v>
      </c>
      <c r="R946" s="153">
        <v>1</v>
      </c>
      <c r="S946" s="157">
        <f ca="1">ROUND(IF(R946=0,0,IF(R946=1,X946*$S$1,IF(R946=2,X946*$S$1*buff的资质计算!$E$2,IF(R946=3,X946*$S$1*buff的资质计算!$E$3,0)))),0)*0</f>
        <v>0</v>
      </c>
      <c r="T946" s="153">
        <v>3</v>
      </c>
      <c r="U946" s="153">
        <f ca="1" t="shared" si="156"/>
        <v>11</v>
      </c>
      <c r="V946" s="153">
        <f ca="1">ROUND((OFFSET(卡牌辅助配置表!$O$1,MATCH(U946,卡牌辅助配置表!M:M,0)-1,0)+(N946-1)*OFFSET(卡牌辅助配置表!$P$1,MATCH(U946,卡牌辅助配置表!M:M,0)-1,0))*M946,2)</f>
        <v>14.63</v>
      </c>
      <c r="W946" s="157">
        <f ca="1">ROUND(IF(R946=0,0,IF(R946=1,X946*$W$1,IF(R946=2,X946*$W$1*buff的资质计算!$E$2,IF(R946=3,X946*$W$1*buff的资质计算!$E$3,0)))),2)</f>
        <v>3.75</v>
      </c>
      <c r="X946" s="157">
        <f ca="1" t="shared" si="152"/>
        <v>12.5</v>
      </c>
      <c r="Y946" s="157">
        <f ca="1" t="shared" si="161"/>
        <v>17.5</v>
      </c>
      <c r="Z946" s="304">
        <f ca="1" t="shared" si="153"/>
        <v>8.75</v>
      </c>
      <c r="AA946" s="304">
        <f ca="1">OFFSET(卡牌辅助配置表!$AD$1,MATCH(AB946,卡牌辅助配置表!AB:AB,0)-1,0)</f>
        <v>108</v>
      </c>
      <c r="AB946" s="304">
        <f ca="1" t="shared" si="157"/>
        <v>1106</v>
      </c>
      <c r="AC946" s="153">
        <v>12</v>
      </c>
      <c r="AF946" s="153" t="str">
        <f ca="1" t="shared" si="160"/>
        <v>20060011|</v>
      </c>
      <c r="AJ946" s="205" t="str">
        <f ca="1" t="shared" si="158"/>
        <v>400023|1700|;</v>
      </c>
      <c r="AK946" s="205">
        <f ca="1">OFFSET([1]item_type!$A$1,MATCH(Q946,[1]item_type!$G:$G,0)-1,0)</f>
        <v>302006</v>
      </c>
      <c r="AL946" s="205"/>
      <c r="AM946" s="205">
        <f ca="1">IF(B946=B947,OFFSET(卡牌辅助配置表!$AE$1,MATCH(AB946,卡牌辅助配置表!AB:AB,0),0),0)</f>
        <v>1700</v>
      </c>
      <c r="AN946" s="153">
        <f ca="1" t="shared" si="159"/>
        <v>2006007</v>
      </c>
      <c r="AP946" s="153">
        <f ca="1">IF(AC946=0,0,IF(AC946=12,0,OFFSET(effect!$N$1,MATCH(K946,effect!M:M,0)-1,0)))</f>
        <v>0</v>
      </c>
    </row>
    <row r="947" spans="1:42">
      <c r="A947" s="153">
        <f ca="1" t="shared" si="155"/>
        <v>2006007</v>
      </c>
      <c r="B947" s="91" t="s">
        <v>740</v>
      </c>
      <c r="C947" s="186">
        <v>2</v>
      </c>
      <c r="D947" s="186">
        <v>4</v>
      </c>
      <c r="E947" s="165" t="s">
        <v>1058</v>
      </c>
      <c r="F947" s="179" t="s">
        <v>1054</v>
      </c>
      <c r="G947" s="186">
        <f ca="1">OFFSET(卡牌辅助配置表!$C$1,MATCH(AC947,卡牌辅助配置表!A:A,0)-1,0)</f>
        <v>0</v>
      </c>
      <c r="H947" s="186">
        <f ca="1">OFFSET(skill!$Q$1,MATCH(B947,skill!B:B,0)-1,0)</f>
        <v>5</v>
      </c>
      <c r="I947" s="186"/>
      <c r="J947" s="186">
        <f ca="1">OFFSET(card_type!$F$1,MATCH(Q947,card_type!A:A,0)-1,0)</f>
        <v>1</v>
      </c>
      <c r="K947" s="243">
        <f ca="1">OFFSET(card_type!$G$1,MATCH(Q947,card_type!A:A,0)-1,0)</f>
        <v>1</v>
      </c>
      <c r="L947" s="157">
        <v>2</v>
      </c>
      <c r="M947" s="157">
        <v>2</v>
      </c>
      <c r="N947" s="153">
        <f t="shared" si="154"/>
        <v>7</v>
      </c>
      <c r="O947" s="157"/>
      <c r="P947" s="157"/>
      <c r="Q947" s="153">
        <f ca="1">OFFSET(card_type!$A$1,MATCH(card!B947,card_type!B:B,0)-1,0)</f>
        <v>2006</v>
      </c>
      <c r="R947" s="153">
        <v>1</v>
      </c>
      <c r="S947" s="157">
        <f ca="1">ROUND(IF(R947=0,0,IF(R947=1,X947*$S$1,IF(R947=2,X947*$S$1*buff的资质计算!$E$2,IF(R947=3,X947*$S$1*buff的资质计算!$E$3,0)))),0)*0</f>
        <v>0</v>
      </c>
      <c r="T947" s="153">
        <v>3</v>
      </c>
      <c r="U947" s="153">
        <f ca="1" t="shared" si="156"/>
        <v>11</v>
      </c>
      <c r="V947" s="153">
        <f ca="1">ROUND((OFFSET(卡牌辅助配置表!$O$1,MATCH(U947,卡牌辅助配置表!M:M,0)-1,0)+(N947-1)*OFFSET(卡牌辅助配置表!$P$1,MATCH(U947,卡牌辅助配置表!M:M,0)-1,0))*M947,2)</f>
        <v>15.05</v>
      </c>
      <c r="W947" s="157">
        <f ca="1">ROUND(IF(R947=0,0,IF(R947=1,X947*$W$1,IF(R947=2,X947*$W$1*buff的资质计算!$E$2,IF(R947=3,X947*$W$1*buff的资质计算!$E$3,0)))),2)</f>
        <v>3.9</v>
      </c>
      <c r="X947" s="157">
        <f ca="1" t="shared" si="152"/>
        <v>13</v>
      </c>
      <c r="Y947" s="157">
        <f ca="1" t="shared" si="161"/>
        <v>18</v>
      </c>
      <c r="Z947" s="304">
        <f ca="1" t="shared" si="153"/>
        <v>9</v>
      </c>
      <c r="AA947" s="304">
        <f ca="1">OFFSET(卡牌辅助配置表!$AD$1,MATCH(AB947,卡牌辅助配置表!AB:AB,0)-1,0)</f>
        <v>126</v>
      </c>
      <c r="AB947" s="304">
        <f ca="1" t="shared" si="157"/>
        <v>1107</v>
      </c>
      <c r="AC947" s="153">
        <v>12</v>
      </c>
      <c r="AF947" s="153" t="str">
        <f ca="1" t="shared" si="160"/>
        <v>20060011|</v>
      </c>
      <c r="AJ947" s="205" t="str">
        <f ca="1" t="shared" si="158"/>
        <v>400023|1900|;</v>
      </c>
      <c r="AK947" s="205">
        <f ca="1">OFFSET([1]item_type!$A$1,MATCH(Q947,[1]item_type!$G:$G,0)-1,0)</f>
        <v>302006</v>
      </c>
      <c r="AL947" s="205"/>
      <c r="AM947" s="205">
        <f ca="1">IF(B947=B948,OFFSET(卡牌辅助配置表!$AE$1,MATCH(AB947,卡牌辅助配置表!AB:AB,0),0),0)</f>
        <v>1900</v>
      </c>
      <c r="AN947" s="153">
        <f ca="1" t="shared" si="159"/>
        <v>2006008</v>
      </c>
      <c r="AP947" s="153">
        <f ca="1">IF(AC947=0,0,IF(AC947=12,0,OFFSET(effect!$N$1,MATCH(K947,effect!M:M,0)-1,0)))</f>
        <v>0</v>
      </c>
    </row>
    <row r="948" spans="1:42">
      <c r="A948" s="153">
        <f ca="1" t="shared" si="155"/>
        <v>2006008</v>
      </c>
      <c r="B948" s="91" t="s">
        <v>740</v>
      </c>
      <c r="C948" s="186">
        <v>2</v>
      </c>
      <c r="D948" s="186">
        <v>4</v>
      </c>
      <c r="E948" s="165" t="s">
        <v>1058</v>
      </c>
      <c r="F948" s="179" t="s">
        <v>1054</v>
      </c>
      <c r="G948" s="186">
        <f ca="1">OFFSET(卡牌辅助配置表!$C$1,MATCH(AC948,卡牌辅助配置表!A:A,0)-1,0)</f>
        <v>0</v>
      </c>
      <c r="H948" s="186">
        <f ca="1">OFFSET(skill!$Q$1,MATCH(B948,skill!B:B,0)-1,0)</f>
        <v>5</v>
      </c>
      <c r="I948" s="186"/>
      <c r="J948" s="186">
        <f ca="1">OFFSET(card_type!$F$1,MATCH(Q948,card_type!A:A,0)-1,0)</f>
        <v>1</v>
      </c>
      <c r="K948" s="243">
        <f ca="1">OFFSET(card_type!$G$1,MATCH(Q948,card_type!A:A,0)-1,0)</f>
        <v>1</v>
      </c>
      <c r="L948" s="157">
        <v>2</v>
      </c>
      <c r="M948" s="157">
        <v>2</v>
      </c>
      <c r="N948" s="153">
        <f t="shared" si="154"/>
        <v>8</v>
      </c>
      <c r="O948" s="157"/>
      <c r="P948" s="157"/>
      <c r="Q948" s="153">
        <f ca="1">OFFSET(card_type!$A$1,MATCH(card!B948,card_type!B:B,0)-1,0)</f>
        <v>2006</v>
      </c>
      <c r="R948" s="153">
        <v>1</v>
      </c>
      <c r="S948" s="157">
        <f ca="1">ROUND(IF(R948=0,0,IF(R948=1,X948*$S$1,IF(R948=2,X948*$S$1*buff的资质计算!$E$2,IF(R948=3,X948*$S$1*buff的资质计算!$E$3,0)))),0)*0</f>
        <v>0</v>
      </c>
      <c r="T948" s="153">
        <v>3</v>
      </c>
      <c r="U948" s="153">
        <f ca="1" t="shared" si="156"/>
        <v>11</v>
      </c>
      <c r="V948" s="153">
        <f ca="1">ROUND((OFFSET(卡牌辅助配置表!$O$1,MATCH(U948,卡牌辅助配置表!M:M,0)-1,0)+(N948-1)*OFFSET(卡牌辅助配置表!$P$1,MATCH(U948,卡牌辅助配置表!M:M,0)-1,0))*M948,2)</f>
        <v>15.47</v>
      </c>
      <c r="W948" s="157">
        <f ca="1">ROUND(IF(R948=0,0,IF(R948=1,X948*$W$1,IF(R948=2,X948*$W$1*buff的资质计算!$E$2,IF(R948=3,X948*$W$1*buff的资质计算!$E$3,0)))),2)</f>
        <v>4.05</v>
      </c>
      <c r="X948" s="157">
        <f ca="1" t="shared" ref="X948:X1011" si="162">M948*($M$1+(J948-1)*$J$1+(K948-1)*$K$1)+G948+$J$1*(N948-1)/$N$1</f>
        <v>13.5</v>
      </c>
      <c r="Y948" s="157">
        <f ca="1" t="shared" si="161"/>
        <v>18.5</v>
      </c>
      <c r="Z948" s="304">
        <f ca="1" t="shared" ref="Z948:Z1011" si="163">Y948/M948</f>
        <v>9.25</v>
      </c>
      <c r="AA948" s="304">
        <f ca="1">OFFSET(卡牌辅助配置表!$AD$1,MATCH(AB948,卡牌辅助配置表!AB:AB,0)-1,0)</f>
        <v>144</v>
      </c>
      <c r="AB948" s="304">
        <f ca="1" t="shared" si="157"/>
        <v>1108</v>
      </c>
      <c r="AC948" s="153">
        <v>12</v>
      </c>
      <c r="AF948" s="153" t="str">
        <f ca="1" t="shared" si="160"/>
        <v>20060011|</v>
      </c>
      <c r="AJ948" s="205" t="str">
        <f ca="1" t="shared" si="158"/>
        <v>400023|2100|;</v>
      </c>
      <c r="AK948" s="205">
        <f ca="1">OFFSET([1]item_type!$A$1,MATCH(Q948,[1]item_type!$G:$G,0)-1,0)</f>
        <v>302006</v>
      </c>
      <c r="AL948" s="205"/>
      <c r="AM948" s="205">
        <f ca="1">IF(B948=B949,OFFSET(卡牌辅助配置表!$AE$1,MATCH(AB948,卡牌辅助配置表!AB:AB,0),0),0)</f>
        <v>2100</v>
      </c>
      <c r="AN948" s="153">
        <f ca="1" t="shared" si="159"/>
        <v>2006009</v>
      </c>
      <c r="AP948" s="153">
        <f ca="1">IF(AC948=0,0,IF(AC948=12,0,OFFSET(effect!$N$1,MATCH(K948,effect!M:M,0)-1,0)))</f>
        <v>0</v>
      </c>
    </row>
    <row r="949" spans="1:42">
      <c r="A949" s="153">
        <f ca="1" t="shared" si="155"/>
        <v>2006009</v>
      </c>
      <c r="B949" s="91" t="s">
        <v>740</v>
      </c>
      <c r="C949" s="186">
        <v>2</v>
      </c>
      <c r="D949" s="186">
        <v>4</v>
      </c>
      <c r="E949" s="165" t="s">
        <v>1058</v>
      </c>
      <c r="F949" s="179" t="s">
        <v>1054</v>
      </c>
      <c r="G949" s="186">
        <f ca="1">OFFSET(卡牌辅助配置表!$C$1,MATCH(AC949,卡牌辅助配置表!A:A,0)-1,0)</f>
        <v>0</v>
      </c>
      <c r="H949" s="186">
        <f ca="1">OFFSET(skill!$Q$1,MATCH(B949,skill!B:B,0)-1,0)</f>
        <v>5</v>
      </c>
      <c r="I949" s="186"/>
      <c r="J949" s="186">
        <f ca="1">OFFSET(card_type!$F$1,MATCH(Q949,card_type!A:A,0)-1,0)</f>
        <v>1</v>
      </c>
      <c r="K949" s="243">
        <f ca="1">OFFSET(card_type!$G$1,MATCH(Q949,card_type!A:A,0)-1,0)</f>
        <v>1</v>
      </c>
      <c r="L949" s="157">
        <v>2</v>
      </c>
      <c r="M949" s="157">
        <v>2</v>
      </c>
      <c r="N949" s="153">
        <f t="shared" ref="N949:N1012" si="164">IF(B948=B949,N948+1,1)</f>
        <v>9</v>
      </c>
      <c r="O949" s="157"/>
      <c r="P949" s="157"/>
      <c r="Q949" s="153">
        <f ca="1">OFFSET(card_type!$A$1,MATCH(card!B949,card_type!B:B,0)-1,0)</f>
        <v>2006</v>
      </c>
      <c r="R949" s="153">
        <v>1</v>
      </c>
      <c r="S949" s="157">
        <f ca="1">ROUND(IF(R949=0,0,IF(R949=1,X949*$S$1,IF(R949=2,X949*$S$1*buff的资质计算!$E$2,IF(R949=3,X949*$S$1*buff的资质计算!$E$3,0)))),0)*0</f>
        <v>0</v>
      </c>
      <c r="T949" s="153">
        <v>3</v>
      </c>
      <c r="U949" s="153">
        <f ca="1" t="shared" si="156"/>
        <v>11</v>
      </c>
      <c r="V949" s="153">
        <f ca="1">ROUND((OFFSET(卡牌辅助配置表!$O$1,MATCH(U949,卡牌辅助配置表!M:M,0)-1,0)+(N949-1)*OFFSET(卡牌辅助配置表!$P$1,MATCH(U949,卡牌辅助配置表!M:M,0)-1,0))*M949,2)</f>
        <v>15.88</v>
      </c>
      <c r="W949" s="157">
        <f ca="1">ROUND(IF(R949=0,0,IF(R949=1,X949*$W$1,IF(R949=2,X949*$W$1*buff的资质计算!$E$2,IF(R949=3,X949*$W$1*buff的资质计算!$E$3,0)))),2)</f>
        <v>4.2</v>
      </c>
      <c r="X949" s="157">
        <f ca="1" t="shared" si="162"/>
        <v>14</v>
      </c>
      <c r="Y949" s="157">
        <f ca="1" t="shared" si="161"/>
        <v>19</v>
      </c>
      <c r="Z949" s="304">
        <f ca="1" t="shared" si="163"/>
        <v>9.5</v>
      </c>
      <c r="AA949" s="304">
        <f ca="1">OFFSET(卡牌辅助配置表!$AD$1,MATCH(AB949,卡牌辅助配置表!AB:AB,0)-1,0)</f>
        <v>162</v>
      </c>
      <c r="AB949" s="304">
        <f ca="1" t="shared" si="157"/>
        <v>1109</v>
      </c>
      <c r="AC949" s="153">
        <v>12</v>
      </c>
      <c r="AF949" s="153" t="str">
        <f ca="1" t="shared" si="160"/>
        <v>20060011|</v>
      </c>
      <c r="AJ949" s="205" t="str">
        <f ca="1" t="shared" si="158"/>
        <v>302006|15|;400023|2300|;</v>
      </c>
      <c r="AK949" s="205">
        <f ca="1">OFFSET([1]item_type!$A$1,MATCH(Q949,[1]item_type!$G:$G,0)-1,0)</f>
        <v>302006</v>
      </c>
      <c r="AL949" s="205">
        <v>15</v>
      </c>
      <c r="AM949" s="205">
        <f ca="1">IF(B949=B950,OFFSET(卡牌辅助配置表!$AE$1,MATCH(AB949,卡牌辅助配置表!AB:AB,0),0),0)</f>
        <v>2300</v>
      </c>
      <c r="AN949" s="153">
        <f ca="1" t="shared" si="159"/>
        <v>2006010</v>
      </c>
      <c r="AP949" s="153">
        <f ca="1">IF(AC949=0,0,IF(AC949=12,0,OFFSET(effect!$N$1,MATCH(K949,effect!M:M,0)-1,0)))</f>
        <v>0</v>
      </c>
    </row>
    <row r="950" spans="1:42">
      <c r="A950" s="153">
        <f ca="1" t="shared" si="155"/>
        <v>2006010</v>
      </c>
      <c r="B950" s="91" t="s">
        <v>740</v>
      </c>
      <c r="C950" s="186">
        <v>2</v>
      </c>
      <c r="D950" s="186">
        <v>4</v>
      </c>
      <c r="E950" s="165" t="s">
        <v>1058</v>
      </c>
      <c r="F950" s="179" t="s">
        <v>1054</v>
      </c>
      <c r="G950" s="186">
        <f ca="1">OFFSET(卡牌辅助配置表!$C$1,MATCH(AC950,卡牌辅助配置表!A:A,0)-1,0)</f>
        <v>0</v>
      </c>
      <c r="H950" s="186">
        <f ca="1">OFFSET(skill!$Q$1,MATCH(B950,skill!B:B,0)-1,0)</f>
        <v>5</v>
      </c>
      <c r="I950" s="186"/>
      <c r="J950" s="186">
        <f ca="1">OFFSET(card_type!$F$1,MATCH(Q950,card_type!A:A,0)-1,0)</f>
        <v>1</v>
      </c>
      <c r="K950" s="243">
        <f ca="1">OFFSET(card_type!$G$1,MATCH(Q950,card_type!A:A,0)-1,0)</f>
        <v>1</v>
      </c>
      <c r="L950" s="157">
        <v>2</v>
      </c>
      <c r="M950" s="157">
        <v>2</v>
      </c>
      <c r="N950" s="153">
        <f t="shared" si="164"/>
        <v>10</v>
      </c>
      <c r="O950" s="157"/>
      <c r="P950" s="157"/>
      <c r="Q950" s="153">
        <f ca="1">OFFSET(card_type!$A$1,MATCH(card!B950,card_type!B:B,0)-1,0)</f>
        <v>2006</v>
      </c>
      <c r="R950" s="153">
        <v>1</v>
      </c>
      <c r="S950" s="157">
        <f ca="1">ROUND(IF(R950=0,0,IF(R950=1,X950*$S$1,IF(R950=2,X950*$S$1*buff的资质计算!$E$2,IF(R950=3,X950*$S$1*buff的资质计算!$E$3,0)))),0)*0</f>
        <v>0</v>
      </c>
      <c r="T950" s="153">
        <v>3</v>
      </c>
      <c r="U950" s="153">
        <f ca="1" t="shared" si="156"/>
        <v>11</v>
      </c>
      <c r="V950" s="153">
        <f ca="1">ROUND((OFFSET(卡牌辅助配置表!$O$1,MATCH(U950,卡牌辅助配置表!M:M,0)-1,0)+(N950-1)*OFFSET(卡牌辅助配置表!$P$1,MATCH(U950,卡牌辅助配置表!M:M,0)-1,0))*M950,2)</f>
        <v>16.3</v>
      </c>
      <c r="W950" s="157">
        <f ca="1">ROUND(IF(R950=0,0,IF(R950=1,X950*$W$1,IF(R950=2,X950*$W$1*buff的资质计算!$E$2,IF(R950=3,X950*$W$1*buff的资质计算!$E$3,0)))),2)</f>
        <v>4.35</v>
      </c>
      <c r="X950" s="157">
        <f ca="1" t="shared" si="162"/>
        <v>14.5</v>
      </c>
      <c r="Y950" s="157">
        <f ca="1" t="shared" si="161"/>
        <v>19.5</v>
      </c>
      <c r="Z950" s="304">
        <f ca="1" t="shared" si="163"/>
        <v>9.75</v>
      </c>
      <c r="AA950" s="304">
        <f ca="1">OFFSET(卡牌辅助配置表!$AD$1,MATCH(AB950,卡牌辅助配置表!AB:AB,0)-1,0)</f>
        <v>180</v>
      </c>
      <c r="AB950" s="304">
        <f ca="1" t="shared" si="157"/>
        <v>1110</v>
      </c>
      <c r="AC950" s="153">
        <v>12</v>
      </c>
      <c r="AF950" s="153" t="str">
        <f ca="1" t="shared" si="160"/>
        <v>20060011|</v>
      </c>
      <c r="AJ950" s="205" t="str">
        <f ca="1" t="shared" si="158"/>
        <v>400023|2700|;</v>
      </c>
      <c r="AK950" s="205">
        <f ca="1">OFFSET([1]item_type!$A$1,MATCH(Q950,[1]item_type!$G:$G,0)-1,0)</f>
        <v>302006</v>
      </c>
      <c r="AL950" s="205"/>
      <c r="AM950" s="205">
        <f ca="1">IF(B950=B951,OFFSET(卡牌辅助配置表!$AE$1,MATCH(AB950,卡牌辅助配置表!AB:AB,0),0),0)</f>
        <v>2700</v>
      </c>
      <c r="AN950" s="153">
        <f ca="1" t="shared" si="159"/>
        <v>2006011</v>
      </c>
      <c r="AP950" s="153">
        <f ca="1">IF(AC950=0,0,IF(AC950=12,0,OFFSET(effect!$N$1,MATCH(K950,effect!M:M,0)-1,0)))</f>
        <v>0</v>
      </c>
    </row>
    <row r="951" spans="1:42">
      <c r="A951" s="153">
        <f ca="1" t="shared" si="155"/>
        <v>2006011</v>
      </c>
      <c r="B951" s="91" t="s">
        <v>740</v>
      </c>
      <c r="C951" s="186">
        <v>2</v>
      </c>
      <c r="D951" s="186">
        <v>4</v>
      </c>
      <c r="E951" s="165" t="s">
        <v>1058</v>
      </c>
      <c r="F951" s="179" t="s">
        <v>1054</v>
      </c>
      <c r="G951" s="186">
        <f ca="1">OFFSET(卡牌辅助配置表!$C$1,MATCH(AC951,卡牌辅助配置表!A:A,0)-1,0)</f>
        <v>0</v>
      </c>
      <c r="H951" s="186">
        <f ca="1">OFFSET(skill!$Q$1,MATCH(B951,skill!B:B,0)-1,0)</f>
        <v>5</v>
      </c>
      <c r="I951" s="186"/>
      <c r="J951" s="186">
        <f ca="1">OFFSET(card_type!$F$1,MATCH(Q951,card_type!A:A,0)-1,0)</f>
        <v>1</v>
      </c>
      <c r="K951" s="243">
        <f ca="1">OFFSET(card_type!$G$1,MATCH(Q951,card_type!A:A,0)-1,0)</f>
        <v>1</v>
      </c>
      <c r="L951" s="157">
        <v>2</v>
      </c>
      <c r="M951" s="157">
        <v>2</v>
      </c>
      <c r="N951" s="153">
        <f t="shared" si="164"/>
        <v>11</v>
      </c>
      <c r="O951" s="157"/>
      <c r="P951" s="157"/>
      <c r="Q951" s="153">
        <f ca="1">OFFSET(card_type!$A$1,MATCH(card!B951,card_type!B:B,0)-1,0)</f>
        <v>2006</v>
      </c>
      <c r="R951" s="153">
        <v>1</v>
      </c>
      <c r="S951" s="157">
        <f ca="1">ROUND(IF(R951=0,0,IF(R951=1,X951*$S$1,IF(R951=2,X951*$S$1*buff的资质计算!$E$2,IF(R951=3,X951*$S$1*buff的资质计算!$E$3,0)))),0)*0</f>
        <v>0</v>
      </c>
      <c r="T951" s="153">
        <v>3</v>
      </c>
      <c r="U951" s="153">
        <f ca="1" t="shared" si="156"/>
        <v>11</v>
      </c>
      <c r="V951" s="153">
        <f ca="1">ROUND((OFFSET(卡牌辅助配置表!$O$1,MATCH(U951,卡牌辅助配置表!M:M,0)-1,0)+(N951-1)*OFFSET(卡牌辅助配置表!$P$1,MATCH(U951,卡牌辅助配置表!M:M,0)-1,0))*M951,2)</f>
        <v>16.72</v>
      </c>
      <c r="W951" s="157">
        <f ca="1">ROUND(IF(R951=0,0,IF(R951=1,X951*$W$1,IF(R951=2,X951*$W$1*buff的资质计算!$E$2,IF(R951=3,X951*$W$1*buff的资质计算!$E$3,0)))),2)</f>
        <v>4.5</v>
      </c>
      <c r="X951" s="157">
        <f ca="1" t="shared" si="162"/>
        <v>15</v>
      </c>
      <c r="Y951" s="157">
        <f ca="1" t="shared" si="161"/>
        <v>20</v>
      </c>
      <c r="Z951" s="304">
        <f ca="1" t="shared" si="163"/>
        <v>10</v>
      </c>
      <c r="AA951" s="304">
        <f ca="1">OFFSET(卡牌辅助配置表!$AD$1,MATCH(AB951,卡牌辅助配置表!AB:AB,0)-1,0)</f>
        <v>207</v>
      </c>
      <c r="AB951" s="304">
        <f ca="1" t="shared" si="157"/>
        <v>1111</v>
      </c>
      <c r="AC951" s="153">
        <v>12</v>
      </c>
      <c r="AF951" s="153" t="str">
        <f ca="1" t="shared" si="160"/>
        <v>20060011|</v>
      </c>
      <c r="AJ951" s="205" t="str">
        <f ca="1" t="shared" si="158"/>
        <v>400023|3100|;</v>
      </c>
      <c r="AK951" s="205">
        <f ca="1">OFFSET([1]item_type!$A$1,MATCH(Q951,[1]item_type!$G:$G,0)-1,0)</f>
        <v>302006</v>
      </c>
      <c r="AL951" s="205"/>
      <c r="AM951" s="205">
        <f ca="1">IF(B951=B952,OFFSET(卡牌辅助配置表!$AE$1,MATCH(AB951,卡牌辅助配置表!AB:AB,0),0),0)</f>
        <v>3100</v>
      </c>
      <c r="AN951" s="153">
        <f ca="1" t="shared" si="159"/>
        <v>2006012</v>
      </c>
      <c r="AP951" s="153">
        <f ca="1">IF(AC951=0,0,IF(AC951=12,0,OFFSET(effect!$N$1,MATCH(K951,effect!M:M,0)-1,0)))</f>
        <v>0</v>
      </c>
    </row>
    <row r="952" spans="1:42">
      <c r="A952" s="153">
        <f ca="1" t="shared" si="155"/>
        <v>2006012</v>
      </c>
      <c r="B952" s="91" t="s">
        <v>740</v>
      </c>
      <c r="C952" s="186">
        <v>2</v>
      </c>
      <c r="D952" s="186">
        <v>4</v>
      </c>
      <c r="E952" s="165" t="s">
        <v>1058</v>
      </c>
      <c r="F952" s="179" t="s">
        <v>1054</v>
      </c>
      <c r="G952" s="186">
        <f ca="1">OFFSET(卡牌辅助配置表!$C$1,MATCH(AC952,卡牌辅助配置表!A:A,0)-1,0)</f>
        <v>0</v>
      </c>
      <c r="H952" s="186">
        <f ca="1">OFFSET(skill!$Q$1,MATCH(B952,skill!B:B,0)-1,0)</f>
        <v>5</v>
      </c>
      <c r="I952" s="186"/>
      <c r="J952" s="186">
        <f ca="1">OFFSET(card_type!$F$1,MATCH(Q952,card_type!A:A,0)-1,0)</f>
        <v>1</v>
      </c>
      <c r="K952" s="243">
        <f ca="1">OFFSET(card_type!$G$1,MATCH(Q952,card_type!A:A,0)-1,0)</f>
        <v>1</v>
      </c>
      <c r="L952" s="157">
        <v>2</v>
      </c>
      <c r="M952" s="157">
        <v>2</v>
      </c>
      <c r="N952" s="153">
        <f t="shared" si="164"/>
        <v>12</v>
      </c>
      <c r="O952" s="157"/>
      <c r="P952" s="157"/>
      <c r="Q952" s="153">
        <f ca="1">OFFSET(card_type!$A$1,MATCH(card!B952,card_type!B:B,0)-1,0)</f>
        <v>2006</v>
      </c>
      <c r="R952" s="153">
        <v>1</v>
      </c>
      <c r="S952" s="157">
        <f ca="1">ROUND(IF(R952=0,0,IF(R952=1,X952*$S$1,IF(R952=2,X952*$S$1*buff的资质计算!$E$2,IF(R952=3,X952*$S$1*buff的资质计算!$E$3,0)))),0)*0</f>
        <v>0</v>
      </c>
      <c r="T952" s="153">
        <v>3</v>
      </c>
      <c r="U952" s="153">
        <f ca="1" t="shared" si="156"/>
        <v>11</v>
      </c>
      <c r="V952" s="153">
        <f ca="1">ROUND((OFFSET(卡牌辅助配置表!$O$1,MATCH(U952,卡牌辅助配置表!M:M,0)-1,0)+(N952-1)*OFFSET(卡牌辅助配置表!$P$1,MATCH(U952,卡牌辅助配置表!M:M,0)-1,0))*M952,2)</f>
        <v>17.14</v>
      </c>
      <c r="W952" s="157">
        <f ca="1">ROUND(IF(R952=0,0,IF(R952=1,X952*$W$1,IF(R952=2,X952*$W$1*buff的资质计算!$E$2,IF(R952=3,X952*$W$1*buff的资质计算!$E$3,0)))),2)</f>
        <v>4.65</v>
      </c>
      <c r="X952" s="157">
        <f ca="1" t="shared" si="162"/>
        <v>15.5</v>
      </c>
      <c r="Y952" s="157">
        <f ca="1" t="shared" si="161"/>
        <v>20.5</v>
      </c>
      <c r="Z952" s="304">
        <f ca="1" t="shared" si="163"/>
        <v>10.25</v>
      </c>
      <c r="AA952" s="304">
        <f ca="1">OFFSET(卡牌辅助配置表!$AD$1,MATCH(AB952,卡牌辅助配置表!AB:AB,0)-1,0)</f>
        <v>234</v>
      </c>
      <c r="AB952" s="304">
        <f ca="1" t="shared" si="157"/>
        <v>1112</v>
      </c>
      <c r="AC952" s="153">
        <v>12</v>
      </c>
      <c r="AF952" s="153" t="str">
        <f ca="1" t="shared" si="160"/>
        <v>20060011|</v>
      </c>
      <c r="AJ952" s="205" t="str">
        <f ca="1" t="shared" si="158"/>
        <v>400023|3500|;</v>
      </c>
      <c r="AK952" s="205">
        <f ca="1">OFFSET([1]item_type!$A$1,MATCH(Q952,[1]item_type!$G:$G,0)-1,0)</f>
        <v>302006</v>
      </c>
      <c r="AL952" s="205"/>
      <c r="AM952" s="205">
        <f ca="1">IF(B952=B953,OFFSET(卡牌辅助配置表!$AE$1,MATCH(AB952,卡牌辅助配置表!AB:AB,0),0),0)</f>
        <v>3500</v>
      </c>
      <c r="AN952" s="153">
        <f ca="1" t="shared" si="159"/>
        <v>2006013</v>
      </c>
      <c r="AP952" s="153">
        <f ca="1">IF(AC952=0,0,IF(AC952=12,0,OFFSET(effect!$N$1,MATCH(K952,effect!M:M,0)-1,0)))</f>
        <v>0</v>
      </c>
    </row>
    <row r="953" spans="1:42">
      <c r="A953" s="153">
        <f ca="1" t="shared" si="155"/>
        <v>2006013</v>
      </c>
      <c r="B953" s="91" t="s">
        <v>740</v>
      </c>
      <c r="C953" s="186">
        <v>2</v>
      </c>
      <c r="D953" s="186">
        <v>4</v>
      </c>
      <c r="E953" s="165" t="s">
        <v>1058</v>
      </c>
      <c r="F953" s="179" t="s">
        <v>1054</v>
      </c>
      <c r="G953" s="186">
        <f ca="1">OFFSET(卡牌辅助配置表!$C$1,MATCH(AC953,卡牌辅助配置表!A:A,0)-1,0)</f>
        <v>0</v>
      </c>
      <c r="H953" s="186">
        <f ca="1">OFFSET(skill!$Q$1,MATCH(B953,skill!B:B,0)-1,0)</f>
        <v>5</v>
      </c>
      <c r="I953" s="186"/>
      <c r="J953" s="186">
        <f ca="1">OFFSET(card_type!$F$1,MATCH(Q953,card_type!A:A,0)-1,0)</f>
        <v>1</v>
      </c>
      <c r="K953" s="243">
        <f ca="1">OFFSET(card_type!$G$1,MATCH(Q953,card_type!A:A,0)-1,0)</f>
        <v>1</v>
      </c>
      <c r="L953" s="157">
        <v>2</v>
      </c>
      <c r="M953" s="157">
        <v>2</v>
      </c>
      <c r="N953" s="153">
        <f t="shared" si="164"/>
        <v>13</v>
      </c>
      <c r="O953" s="157"/>
      <c r="P953" s="157"/>
      <c r="Q953" s="153">
        <f ca="1">OFFSET(card_type!$A$1,MATCH(card!B953,card_type!B:B,0)-1,0)</f>
        <v>2006</v>
      </c>
      <c r="R953" s="153">
        <v>1</v>
      </c>
      <c r="S953" s="157">
        <f ca="1">ROUND(IF(R953=0,0,IF(R953=1,X953*$S$1,IF(R953=2,X953*$S$1*buff的资质计算!$E$2,IF(R953=3,X953*$S$1*buff的资质计算!$E$3,0)))),0)*0</f>
        <v>0</v>
      </c>
      <c r="T953" s="153">
        <v>3</v>
      </c>
      <c r="U953" s="153">
        <f ca="1" t="shared" si="156"/>
        <v>11</v>
      </c>
      <c r="V953" s="153">
        <f ca="1">ROUND((OFFSET(卡牌辅助配置表!$O$1,MATCH(U953,卡牌辅助配置表!M:M,0)-1,0)+(N953-1)*OFFSET(卡牌辅助配置表!$P$1,MATCH(U953,卡牌辅助配置表!M:M,0)-1,0))*M953,2)</f>
        <v>17.56</v>
      </c>
      <c r="W953" s="157">
        <f ca="1">ROUND(IF(R953=0,0,IF(R953=1,X953*$W$1,IF(R953=2,X953*$W$1*buff的资质计算!$E$2,IF(R953=3,X953*$W$1*buff的资质计算!$E$3,0)))),2)</f>
        <v>4.8</v>
      </c>
      <c r="X953" s="157">
        <f ca="1" t="shared" si="162"/>
        <v>16</v>
      </c>
      <c r="Y953" s="157">
        <f ca="1" t="shared" si="161"/>
        <v>21</v>
      </c>
      <c r="Z953" s="304">
        <f ca="1" t="shared" si="163"/>
        <v>10.5</v>
      </c>
      <c r="AA953" s="304">
        <f ca="1">OFFSET(卡牌辅助配置表!$AD$1,MATCH(AB953,卡牌辅助配置表!AB:AB,0)-1,0)</f>
        <v>261</v>
      </c>
      <c r="AB953" s="304">
        <f ca="1" t="shared" si="157"/>
        <v>1113</v>
      </c>
      <c r="AC953" s="153">
        <v>12</v>
      </c>
      <c r="AF953" s="153" t="str">
        <f ca="1" t="shared" si="160"/>
        <v>20060011|</v>
      </c>
      <c r="AJ953" s="205" t="str">
        <f ca="1" t="shared" si="158"/>
        <v>400023|3900|;</v>
      </c>
      <c r="AK953" s="205">
        <f ca="1">OFFSET([1]item_type!$A$1,MATCH(Q953,[1]item_type!$G:$G,0)-1,0)</f>
        <v>302006</v>
      </c>
      <c r="AL953" s="205"/>
      <c r="AM953" s="205">
        <f ca="1">IF(B953=B954,OFFSET(卡牌辅助配置表!$AE$1,MATCH(AB953,卡牌辅助配置表!AB:AB,0),0),0)</f>
        <v>3900</v>
      </c>
      <c r="AN953" s="153">
        <f ca="1" t="shared" si="159"/>
        <v>2006014</v>
      </c>
      <c r="AP953" s="153">
        <f ca="1">IF(AC953=0,0,IF(AC953=12,0,OFFSET(effect!$N$1,MATCH(K953,effect!M:M,0)-1,0)))</f>
        <v>0</v>
      </c>
    </row>
    <row r="954" spans="1:42">
      <c r="A954" s="153">
        <f ca="1" t="shared" si="155"/>
        <v>2006014</v>
      </c>
      <c r="B954" s="91" t="s">
        <v>740</v>
      </c>
      <c r="C954" s="186">
        <v>2</v>
      </c>
      <c r="D954" s="186">
        <v>4</v>
      </c>
      <c r="E954" s="165" t="s">
        <v>1058</v>
      </c>
      <c r="F954" s="179" t="s">
        <v>1054</v>
      </c>
      <c r="G954" s="186">
        <f ca="1">OFFSET(卡牌辅助配置表!$C$1,MATCH(AC954,卡牌辅助配置表!A:A,0)-1,0)</f>
        <v>0</v>
      </c>
      <c r="H954" s="186">
        <f ca="1">OFFSET(skill!$Q$1,MATCH(B954,skill!B:B,0)-1,0)</f>
        <v>5</v>
      </c>
      <c r="I954" s="186"/>
      <c r="J954" s="186">
        <f ca="1">OFFSET(card_type!$F$1,MATCH(Q954,card_type!A:A,0)-1,0)</f>
        <v>1</v>
      </c>
      <c r="K954" s="243">
        <f ca="1">OFFSET(card_type!$G$1,MATCH(Q954,card_type!A:A,0)-1,0)</f>
        <v>1</v>
      </c>
      <c r="L954" s="157">
        <v>2</v>
      </c>
      <c r="M954" s="157">
        <v>2</v>
      </c>
      <c r="N954" s="153">
        <f t="shared" si="164"/>
        <v>14</v>
      </c>
      <c r="O954" s="157"/>
      <c r="P954" s="157"/>
      <c r="Q954" s="153">
        <f ca="1">OFFSET(card_type!$A$1,MATCH(card!B954,card_type!B:B,0)-1,0)</f>
        <v>2006</v>
      </c>
      <c r="R954" s="153">
        <v>1</v>
      </c>
      <c r="S954" s="157">
        <f ca="1">ROUND(IF(R954=0,0,IF(R954=1,X954*$S$1,IF(R954=2,X954*$S$1*buff的资质计算!$E$2,IF(R954=3,X954*$S$1*buff的资质计算!$E$3,0)))),0)*0</f>
        <v>0</v>
      </c>
      <c r="T954" s="153">
        <v>3</v>
      </c>
      <c r="U954" s="153">
        <f ca="1" t="shared" si="156"/>
        <v>11</v>
      </c>
      <c r="V954" s="153">
        <f ca="1">ROUND((OFFSET(卡牌辅助配置表!$O$1,MATCH(U954,卡牌辅助配置表!M:M,0)-1,0)+(N954-1)*OFFSET(卡牌辅助配置表!$P$1,MATCH(U954,卡牌辅助配置表!M:M,0)-1,0))*M954,2)</f>
        <v>17.97</v>
      </c>
      <c r="W954" s="157">
        <f ca="1">ROUND(IF(R954=0,0,IF(R954=1,X954*$W$1,IF(R954=2,X954*$W$1*buff的资质计算!$E$2,IF(R954=3,X954*$W$1*buff的资质计算!$E$3,0)))),2)</f>
        <v>4.95</v>
      </c>
      <c r="X954" s="157">
        <f ca="1" t="shared" si="162"/>
        <v>16.5</v>
      </c>
      <c r="Y954" s="157">
        <f ca="1" t="shared" si="161"/>
        <v>21.5</v>
      </c>
      <c r="Z954" s="304">
        <f ca="1" t="shared" si="163"/>
        <v>10.75</v>
      </c>
      <c r="AA954" s="304">
        <f ca="1">OFFSET(卡牌辅助配置表!$AD$1,MATCH(AB954,卡牌辅助配置表!AB:AB,0)-1,0)</f>
        <v>288</v>
      </c>
      <c r="AB954" s="304">
        <f ca="1" t="shared" si="157"/>
        <v>1114</v>
      </c>
      <c r="AC954" s="153">
        <v>12</v>
      </c>
      <c r="AF954" s="153" t="str">
        <f ca="1" t="shared" si="160"/>
        <v>20060011|</v>
      </c>
      <c r="AJ954" s="205" t="str">
        <f ca="1" t="shared" si="158"/>
        <v>400023|4300|;</v>
      </c>
      <c r="AK954" s="205">
        <f ca="1">OFFSET([1]item_type!$A$1,MATCH(Q954,[1]item_type!$G:$G,0)-1,0)</f>
        <v>302006</v>
      </c>
      <c r="AL954" s="205"/>
      <c r="AM954" s="205">
        <f ca="1">IF(B954=B955,OFFSET(卡牌辅助配置表!$AE$1,MATCH(AB954,卡牌辅助配置表!AB:AB,0),0),0)</f>
        <v>4300</v>
      </c>
      <c r="AN954" s="153">
        <f ca="1" t="shared" si="159"/>
        <v>2006015</v>
      </c>
      <c r="AP954" s="153">
        <f ca="1">IF(AC954=0,0,IF(AC954=12,0,OFFSET(effect!$N$1,MATCH(K954,effect!M:M,0)-1,0)))</f>
        <v>0</v>
      </c>
    </row>
    <row r="955" spans="1:42">
      <c r="A955" s="153">
        <f ca="1" t="shared" si="155"/>
        <v>2006015</v>
      </c>
      <c r="B955" s="91" t="s">
        <v>740</v>
      </c>
      <c r="C955" s="186">
        <v>2</v>
      </c>
      <c r="D955" s="186">
        <v>4</v>
      </c>
      <c r="E955" s="165" t="s">
        <v>1058</v>
      </c>
      <c r="F955" s="179" t="s">
        <v>1054</v>
      </c>
      <c r="G955" s="186">
        <f ca="1">OFFSET(卡牌辅助配置表!$C$1,MATCH(AC955,卡牌辅助配置表!A:A,0)-1,0)</f>
        <v>0</v>
      </c>
      <c r="H955" s="186">
        <f ca="1">OFFSET(skill!$Q$1,MATCH(B955,skill!B:B,0)-1,0)</f>
        <v>5</v>
      </c>
      <c r="I955" s="186"/>
      <c r="J955" s="186">
        <f ca="1">OFFSET(card_type!$F$1,MATCH(Q955,card_type!A:A,0)-1,0)</f>
        <v>1</v>
      </c>
      <c r="K955" s="243">
        <f ca="1">OFFSET(card_type!$G$1,MATCH(Q955,card_type!A:A,0)-1,0)</f>
        <v>1</v>
      </c>
      <c r="L955" s="157">
        <v>2</v>
      </c>
      <c r="M955" s="157">
        <v>2</v>
      </c>
      <c r="N955" s="153">
        <f t="shared" si="164"/>
        <v>15</v>
      </c>
      <c r="O955" s="157"/>
      <c r="P955" s="157"/>
      <c r="Q955" s="153">
        <f ca="1">OFFSET(card_type!$A$1,MATCH(card!B955,card_type!B:B,0)-1,0)</f>
        <v>2006</v>
      </c>
      <c r="R955" s="153">
        <v>1</v>
      </c>
      <c r="S955" s="157">
        <f ca="1">ROUND(IF(R955=0,0,IF(R955=1,X955*$S$1,IF(R955=2,X955*$S$1*buff的资质计算!$E$2,IF(R955=3,X955*$S$1*buff的资质计算!$E$3,0)))),0)*0</f>
        <v>0</v>
      </c>
      <c r="T955" s="153">
        <v>3</v>
      </c>
      <c r="U955" s="153">
        <f ca="1" t="shared" si="156"/>
        <v>11</v>
      </c>
      <c r="V955" s="153">
        <f ca="1">ROUND((OFFSET(卡牌辅助配置表!$O$1,MATCH(U955,卡牌辅助配置表!M:M,0)-1,0)+(N955-1)*OFFSET(卡牌辅助配置表!$P$1,MATCH(U955,卡牌辅助配置表!M:M,0)-1,0))*M955,2)</f>
        <v>18.39</v>
      </c>
      <c r="W955" s="157">
        <f ca="1">ROUND(IF(R955=0,0,IF(R955=1,X955*$W$1,IF(R955=2,X955*$W$1*buff的资质计算!$E$2,IF(R955=3,X955*$W$1*buff的资质计算!$E$3,0)))),2)</f>
        <v>5.1</v>
      </c>
      <c r="X955" s="157">
        <f ca="1" t="shared" si="162"/>
        <v>17</v>
      </c>
      <c r="Y955" s="157">
        <f ca="1" t="shared" si="161"/>
        <v>22</v>
      </c>
      <c r="Z955" s="304">
        <f ca="1" t="shared" si="163"/>
        <v>11</v>
      </c>
      <c r="AA955" s="304">
        <f ca="1">OFFSET(卡牌辅助配置表!$AD$1,MATCH(AB955,卡牌辅助配置表!AB:AB,0)-1,0)</f>
        <v>315</v>
      </c>
      <c r="AB955" s="304">
        <f ca="1" t="shared" si="157"/>
        <v>1115</v>
      </c>
      <c r="AC955" s="153">
        <v>12</v>
      </c>
      <c r="AF955" s="153" t="str">
        <f ca="1" t="shared" si="160"/>
        <v>20060011|</v>
      </c>
      <c r="AJ955" s="205" t="str">
        <f ca="1" t="shared" si="158"/>
        <v>400023|4700|;</v>
      </c>
      <c r="AK955" s="205">
        <f ca="1">OFFSET([1]item_type!$A$1,MATCH(Q955,[1]item_type!$G:$G,0)-1,0)</f>
        <v>302006</v>
      </c>
      <c r="AL955" s="205"/>
      <c r="AM955" s="205">
        <f ca="1">IF(B955=B956,OFFSET(卡牌辅助配置表!$AE$1,MATCH(AB955,卡牌辅助配置表!AB:AB,0),0),0)</f>
        <v>4700</v>
      </c>
      <c r="AN955" s="153">
        <f ca="1" t="shared" si="159"/>
        <v>2006016</v>
      </c>
      <c r="AP955" s="153">
        <f ca="1">IF(AC955=0,0,IF(AC955=12,0,OFFSET(effect!$N$1,MATCH(K955,effect!M:M,0)-1,0)))</f>
        <v>0</v>
      </c>
    </row>
    <row r="956" spans="1:42">
      <c r="A956" s="153">
        <f ca="1" t="shared" si="155"/>
        <v>2006016</v>
      </c>
      <c r="B956" s="91" t="s">
        <v>740</v>
      </c>
      <c r="C956" s="186">
        <v>2</v>
      </c>
      <c r="D956" s="186">
        <v>4</v>
      </c>
      <c r="E956" s="165" t="s">
        <v>1058</v>
      </c>
      <c r="F956" s="179" t="s">
        <v>1054</v>
      </c>
      <c r="G956" s="186">
        <f ca="1">OFFSET(卡牌辅助配置表!$C$1,MATCH(AC956,卡牌辅助配置表!A:A,0)-1,0)</f>
        <v>0</v>
      </c>
      <c r="H956" s="186">
        <f ca="1">OFFSET(skill!$Q$1,MATCH(B956,skill!B:B,0)-1,0)</f>
        <v>5</v>
      </c>
      <c r="I956" s="186"/>
      <c r="J956" s="186">
        <f ca="1">OFFSET(card_type!$F$1,MATCH(Q956,card_type!A:A,0)-1,0)</f>
        <v>1</v>
      </c>
      <c r="K956" s="243">
        <f ca="1">OFFSET(card_type!$G$1,MATCH(Q956,card_type!A:A,0)-1,0)</f>
        <v>1</v>
      </c>
      <c r="L956" s="157">
        <v>2</v>
      </c>
      <c r="M956" s="157">
        <v>2</v>
      </c>
      <c r="N956" s="153">
        <f t="shared" si="164"/>
        <v>16</v>
      </c>
      <c r="O956" s="157"/>
      <c r="P956" s="157"/>
      <c r="Q956" s="153">
        <f ca="1">OFFSET(card_type!$A$1,MATCH(card!B956,card_type!B:B,0)-1,0)</f>
        <v>2006</v>
      </c>
      <c r="R956" s="153">
        <v>1</v>
      </c>
      <c r="S956" s="157">
        <f ca="1">ROUND(IF(R956=0,0,IF(R956=1,X956*$S$1,IF(R956=2,X956*$S$1*buff的资质计算!$E$2,IF(R956=3,X956*$S$1*buff的资质计算!$E$3,0)))),0)*0</f>
        <v>0</v>
      </c>
      <c r="T956" s="153">
        <v>3</v>
      </c>
      <c r="U956" s="153">
        <f ca="1" t="shared" si="156"/>
        <v>11</v>
      </c>
      <c r="V956" s="153">
        <f ca="1">ROUND((OFFSET(卡牌辅助配置表!$O$1,MATCH(U956,卡牌辅助配置表!M:M,0)-1,0)+(N956-1)*OFFSET(卡牌辅助配置表!$P$1,MATCH(U956,卡牌辅助配置表!M:M,0)-1,0))*M956,2)</f>
        <v>18.81</v>
      </c>
      <c r="W956" s="157">
        <f ca="1">ROUND(IF(R956=0,0,IF(R956=1,X956*$W$1,IF(R956=2,X956*$W$1*buff的资质计算!$E$2,IF(R956=3,X956*$W$1*buff的资质计算!$E$3,0)))),2)</f>
        <v>5.25</v>
      </c>
      <c r="X956" s="157">
        <f ca="1" t="shared" si="162"/>
        <v>17.5</v>
      </c>
      <c r="Y956" s="157">
        <f ca="1" t="shared" si="161"/>
        <v>22.5</v>
      </c>
      <c r="Z956" s="304">
        <f ca="1" t="shared" si="163"/>
        <v>11.25</v>
      </c>
      <c r="AA956" s="304">
        <f ca="1">OFFSET(卡牌辅助配置表!$AD$1,MATCH(AB956,卡牌辅助配置表!AB:AB,0)-1,0)</f>
        <v>342</v>
      </c>
      <c r="AB956" s="304">
        <f ca="1" t="shared" si="157"/>
        <v>1116</v>
      </c>
      <c r="AC956" s="153">
        <v>12</v>
      </c>
      <c r="AF956" s="153" t="str">
        <f ca="1" t="shared" si="160"/>
        <v>20060011|</v>
      </c>
      <c r="AJ956" s="205" t="str">
        <f ca="1" t="shared" si="158"/>
        <v>400023|5100|;</v>
      </c>
      <c r="AK956" s="205">
        <f ca="1">OFFSET([1]item_type!$A$1,MATCH(Q956,[1]item_type!$G:$G,0)-1,0)</f>
        <v>302006</v>
      </c>
      <c r="AL956" s="205"/>
      <c r="AM956" s="205">
        <f ca="1">IF(B956=B957,OFFSET(卡牌辅助配置表!$AE$1,MATCH(AB956,卡牌辅助配置表!AB:AB,0),0),0)</f>
        <v>5100</v>
      </c>
      <c r="AN956" s="153">
        <f ca="1" t="shared" si="159"/>
        <v>2006017</v>
      </c>
      <c r="AP956" s="153">
        <f ca="1">IF(AC956=0,0,IF(AC956=12,0,OFFSET(effect!$N$1,MATCH(K956,effect!M:M,0)-1,0)))</f>
        <v>0</v>
      </c>
    </row>
    <row r="957" spans="1:42">
      <c r="A957" s="153">
        <f ca="1" t="shared" si="155"/>
        <v>2006017</v>
      </c>
      <c r="B957" s="91" t="s">
        <v>740</v>
      </c>
      <c r="C957" s="186">
        <v>2</v>
      </c>
      <c r="D957" s="186">
        <v>4</v>
      </c>
      <c r="E957" s="165" t="s">
        <v>1058</v>
      </c>
      <c r="F957" s="179" t="s">
        <v>1054</v>
      </c>
      <c r="G957" s="186">
        <f ca="1">OFFSET(卡牌辅助配置表!$C$1,MATCH(AC957,卡牌辅助配置表!A:A,0)-1,0)</f>
        <v>0</v>
      </c>
      <c r="H957" s="186">
        <f ca="1">OFFSET(skill!$Q$1,MATCH(B957,skill!B:B,0)-1,0)</f>
        <v>5</v>
      </c>
      <c r="I957" s="186"/>
      <c r="J957" s="186">
        <f ca="1">OFFSET(card_type!$F$1,MATCH(Q957,card_type!A:A,0)-1,0)</f>
        <v>1</v>
      </c>
      <c r="K957" s="243">
        <f ca="1">OFFSET(card_type!$G$1,MATCH(Q957,card_type!A:A,0)-1,0)</f>
        <v>1</v>
      </c>
      <c r="L957" s="157">
        <v>2</v>
      </c>
      <c r="M957" s="157">
        <v>2</v>
      </c>
      <c r="N957" s="153">
        <f t="shared" si="164"/>
        <v>17</v>
      </c>
      <c r="O957" s="157"/>
      <c r="P957" s="157"/>
      <c r="Q957" s="153">
        <f ca="1">OFFSET(card_type!$A$1,MATCH(card!B957,card_type!B:B,0)-1,0)</f>
        <v>2006</v>
      </c>
      <c r="R957" s="153">
        <v>1</v>
      </c>
      <c r="S957" s="157">
        <f ca="1">ROUND(IF(R957=0,0,IF(R957=1,X957*$S$1,IF(R957=2,X957*$S$1*buff的资质计算!$E$2,IF(R957=3,X957*$S$1*buff的资质计算!$E$3,0)))),0)*0</f>
        <v>0</v>
      </c>
      <c r="T957" s="153">
        <v>3</v>
      </c>
      <c r="U957" s="153">
        <f ca="1" t="shared" si="156"/>
        <v>11</v>
      </c>
      <c r="V957" s="153">
        <f ca="1">ROUND((OFFSET(卡牌辅助配置表!$O$1,MATCH(U957,卡牌辅助配置表!M:M,0)-1,0)+(N957-1)*OFFSET(卡牌辅助配置表!$P$1,MATCH(U957,卡牌辅助配置表!M:M,0)-1,0))*M957,2)</f>
        <v>19.23</v>
      </c>
      <c r="W957" s="157">
        <f ca="1">ROUND(IF(R957=0,0,IF(R957=1,X957*$W$1,IF(R957=2,X957*$W$1*buff的资质计算!$E$2,IF(R957=3,X957*$W$1*buff的资质计算!$E$3,0)))),2)</f>
        <v>5.4</v>
      </c>
      <c r="X957" s="157">
        <f ca="1" t="shared" si="162"/>
        <v>18</v>
      </c>
      <c r="Y957" s="157">
        <f ca="1" t="shared" si="161"/>
        <v>23</v>
      </c>
      <c r="Z957" s="304">
        <f ca="1" t="shared" si="163"/>
        <v>11.5</v>
      </c>
      <c r="AA957" s="304">
        <f ca="1">OFFSET(卡牌辅助配置表!$AD$1,MATCH(AB957,卡牌辅助配置表!AB:AB,0)-1,0)</f>
        <v>369</v>
      </c>
      <c r="AB957" s="304">
        <f ca="1" t="shared" si="157"/>
        <v>1117</v>
      </c>
      <c r="AC957" s="153">
        <v>12</v>
      </c>
      <c r="AF957" s="153" t="str">
        <f ca="1" t="shared" si="160"/>
        <v>20060011|</v>
      </c>
      <c r="AJ957" s="205" t="str">
        <f ca="1" t="shared" si="158"/>
        <v>400023|5500|;</v>
      </c>
      <c r="AK957" s="205">
        <f ca="1">OFFSET([1]item_type!$A$1,MATCH(Q957,[1]item_type!$G:$G,0)-1,0)</f>
        <v>302006</v>
      </c>
      <c r="AL957" s="205"/>
      <c r="AM957" s="205">
        <f ca="1">IF(B957=B958,OFFSET(卡牌辅助配置表!$AE$1,MATCH(AB957,卡牌辅助配置表!AB:AB,0),0),0)</f>
        <v>5500</v>
      </c>
      <c r="AN957" s="153">
        <f ca="1" t="shared" si="159"/>
        <v>2006018</v>
      </c>
      <c r="AP957" s="153">
        <f ca="1">IF(AC957=0,0,IF(AC957=12,0,OFFSET(effect!$N$1,MATCH(K957,effect!M:M,0)-1,0)))</f>
        <v>0</v>
      </c>
    </row>
    <row r="958" spans="1:42">
      <c r="A958" s="153">
        <f ca="1" t="shared" si="155"/>
        <v>2006018</v>
      </c>
      <c r="B958" s="91" t="s">
        <v>740</v>
      </c>
      <c r="C958" s="186">
        <v>2</v>
      </c>
      <c r="D958" s="186">
        <v>4</v>
      </c>
      <c r="E958" s="165" t="s">
        <v>1058</v>
      </c>
      <c r="F958" s="179" t="s">
        <v>1054</v>
      </c>
      <c r="G958" s="186">
        <f ca="1">OFFSET(卡牌辅助配置表!$C$1,MATCH(AC958,卡牌辅助配置表!A:A,0)-1,0)</f>
        <v>0</v>
      </c>
      <c r="H958" s="186">
        <f ca="1">OFFSET(skill!$Q$1,MATCH(B958,skill!B:B,0)-1,0)</f>
        <v>5</v>
      </c>
      <c r="I958" s="186"/>
      <c r="J958" s="186">
        <f ca="1">OFFSET(card_type!$F$1,MATCH(Q958,card_type!A:A,0)-1,0)</f>
        <v>1</v>
      </c>
      <c r="K958" s="243">
        <f ca="1">OFFSET(card_type!$G$1,MATCH(Q958,card_type!A:A,0)-1,0)</f>
        <v>1</v>
      </c>
      <c r="L958" s="157">
        <v>2</v>
      </c>
      <c r="M958" s="157">
        <v>2</v>
      </c>
      <c r="N958" s="153">
        <f t="shared" si="164"/>
        <v>18</v>
      </c>
      <c r="O958" s="157"/>
      <c r="P958" s="157"/>
      <c r="Q958" s="153">
        <f ca="1">OFFSET(card_type!$A$1,MATCH(card!B958,card_type!B:B,0)-1,0)</f>
        <v>2006</v>
      </c>
      <c r="R958" s="153">
        <v>1</v>
      </c>
      <c r="S958" s="157">
        <f ca="1">ROUND(IF(R958=0,0,IF(R958=1,X958*$S$1,IF(R958=2,X958*$S$1*buff的资质计算!$E$2,IF(R958=3,X958*$S$1*buff的资质计算!$E$3,0)))),0)*0</f>
        <v>0</v>
      </c>
      <c r="T958" s="153">
        <v>3</v>
      </c>
      <c r="U958" s="153">
        <f ca="1" t="shared" si="156"/>
        <v>11</v>
      </c>
      <c r="V958" s="153">
        <f ca="1">ROUND((OFFSET(卡牌辅助配置表!$O$1,MATCH(U958,卡牌辅助配置表!M:M,0)-1,0)+(N958-1)*OFFSET(卡牌辅助配置表!$P$1,MATCH(U958,卡牌辅助配置表!M:M,0)-1,0))*M958,2)</f>
        <v>19.65</v>
      </c>
      <c r="W958" s="157">
        <f ca="1">ROUND(IF(R958=0,0,IF(R958=1,X958*$W$1,IF(R958=2,X958*$W$1*buff的资质计算!$E$2,IF(R958=3,X958*$W$1*buff的资质计算!$E$3,0)))),2)</f>
        <v>5.55</v>
      </c>
      <c r="X958" s="157">
        <f ca="1" t="shared" si="162"/>
        <v>18.5</v>
      </c>
      <c r="Y958" s="157">
        <f ca="1" t="shared" si="161"/>
        <v>23.5</v>
      </c>
      <c r="Z958" s="304">
        <f ca="1" t="shared" si="163"/>
        <v>11.75</v>
      </c>
      <c r="AA958" s="304">
        <f ca="1">OFFSET(卡牌辅助配置表!$AD$1,MATCH(AB958,卡牌辅助配置表!AB:AB,0)-1,0)</f>
        <v>396</v>
      </c>
      <c r="AB958" s="304">
        <f ca="1" t="shared" si="157"/>
        <v>1118</v>
      </c>
      <c r="AC958" s="153">
        <v>12</v>
      </c>
      <c r="AF958" s="153" t="str">
        <f ca="1" t="shared" si="160"/>
        <v>20060011|</v>
      </c>
      <c r="AJ958" s="205" t="str">
        <f ca="1" t="shared" si="158"/>
        <v>400023|5900|;</v>
      </c>
      <c r="AK958" s="205">
        <f ca="1">OFFSET([1]item_type!$A$1,MATCH(Q958,[1]item_type!$G:$G,0)-1,0)</f>
        <v>302006</v>
      </c>
      <c r="AL958" s="205"/>
      <c r="AM958" s="205">
        <f ca="1">IF(B958=B959,OFFSET(卡牌辅助配置表!$AE$1,MATCH(AB958,卡牌辅助配置表!AB:AB,0),0),0)</f>
        <v>5900</v>
      </c>
      <c r="AN958" s="153">
        <f ca="1" t="shared" si="159"/>
        <v>2006019</v>
      </c>
      <c r="AP958" s="153">
        <f ca="1">IF(AC958=0,0,IF(AC958=12,0,OFFSET(effect!$N$1,MATCH(K958,effect!M:M,0)-1,0)))</f>
        <v>0</v>
      </c>
    </row>
    <row r="959" spans="1:42">
      <c r="A959" s="153">
        <f ca="1" t="shared" si="155"/>
        <v>2006019</v>
      </c>
      <c r="B959" s="91" t="s">
        <v>740</v>
      </c>
      <c r="C959" s="186">
        <v>2</v>
      </c>
      <c r="D959" s="186">
        <v>4</v>
      </c>
      <c r="E959" s="165" t="s">
        <v>1058</v>
      </c>
      <c r="F959" s="179" t="s">
        <v>1054</v>
      </c>
      <c r="G959" s="186">
        <f ca="1">OFFSET(卡牌辅助配置表!$C$1,MATCH(AC959,卡牌辅助配置表!A:A,0)-1,0)</f>
        <v>0</v>
      </c>
      <c r="H959" s="186">
        <f ca="1">OFFSET(skill!$Q$1,MATCH(B959,skill!B:B,0)-1,0)</f>
        <v>5</v>
      </c>
      <c r="I959" s="186"/>
      <c r="J959" s="186">
        <f ca="1">OFFSET(card_type!$F$1,MATCH(Q959,card_type!A:A,0)-1,0)</f>
        <v>1</v>
      </c>
      <c r="K959" s="243">
        <f ca="1">OFFSET(card_type!$G$1,MATCH(Q959,card_type!A:A,0)-1,0)</f>
        <v>1</v>
      </c>
      <c r="L959" s="157">
        <v>2</v>
      </c>
      <c r="M959" s="157">
        <v>2</v>
      </c>
      <c r="N959" s="153">
        <f t="shared" si="164"/>
        <v>19</v>
      </c>
      <c r="O959" s="157"/>
      <c r="P959" s="157"/>
      <c r="Q959" s="153">
        <f ca="1">OFFSET(card_type!$A$1,MATCH(card!B959,card_type!B:B,0)-1,0)</f>
        <v>2006</v>
      </c>
      <c r="R959" s="153">
        <v>1</v>
      </c>
      <c r="S959" s="157">
        <f ca="1">ROUND(IF(R959=0,0,IF(R959=1,X959*$S$1,IF(R959=2,X959*$S$1*buff的资质计算!$E$2,IF(R959=3,X959*$S$1*buff的资质计算!$E$3,0)))),0)*0</f>
        <v>0</v>
      </c>
      <c r="T959" s="153">
        <v>3</v>
      </c>
      <c r="U959" s="153">
        <f ca="1" t="shared" si="156"/>
        <v>11</v>
      </c>
      <c r="V959" s="153">
        <f ca="1">ROUND((OFFSET(卡牌辅助配置表!$O$1,MATCH(U959,卡牌辅助配置表!M:M,0)-1,0)+(N959-1)*OFFSET(卡牌辅助配置表!$P$1,MATCH(U959,卡牌辅助配置表!M:M,0)-1,0))*M959,2)</f>
        <v>20.06</v>
      </c>
      <c r="W959" s="157">
        <f ca="1">ROUND(IF(R959=0,0,IF(R959=1,X959*$W$1,IF(R959=2,X959*$W$1*buff的资质计算!$E$2,IF(R959=3,X959*$W$1*buff的资质计算!$E$3,0)))),2)</f>
        <v>5.7</v>
      </c>
      <c r="X959" s="157">
        <f ca="1" t="shared" si="162"/>
        <v>19</v>
      </c>
      <c r="Y959" s="157">
        <f ca="1" t="shared" si="161"/>
        <v>24</v>
      </c>
      <c r="Z959" s="304">
        <f ca="1" t="shared" si="163"/>
        <v>12</v>
      </c>
      <c r="AA959" s="304">
        <f ca="1">OFFSET(卡牌辅助配置表!$AD$1,MATCH(AB959,卡牌辅助配置表!AB:AB,0)-1,0)</f>
        <v>423</v>
      </c>
      <c r="AB959" s="304">
        <f ca="1" t="shared" si="157"/>
        <v>1119</v>
      </c>
      <c r="AC959" s="153">
        <v>12</v>
      </c>
      <c r="AF959" s="153" t="str">
        <f ca="1" t="shared" si="160"/>
        <v>20060011|</v>
      </c>
      <c r="AJ959" s="205" t="str">
        <f ca="1" t="shared" si="158"/>
        <v>302006|20|;400023|6300|;</v>
      </c>
      <c r="AK959" s="205">
        <f ca="1">OFFSET([1]item_type!$A$1,MATCH(Q959,[1]item_type!$G:$G,0)-1,0)</f>
        <v>302006</v>
      </c>
      <c r="AL959" s="205">
        <v>20</v>
      </c>
      <c r="AM959" s="205">
        <f ca="1">IF(B959=B960,OFFSET(卡牌辅助配置表!$AE$1,MATCH(AB959,卡牌辅助配置表!AB:AB,0),0),0)</f>
        <v>6300</v>
      </c>
      <c r="AN959" s="153">
        <f ca="1" t="shared" si="159"/>
        <v>2006020</v>
      </c>
      <c r="AP959" s="153">
        <f ca="1">IF(AC959=0,0,IF(AC959=12,0,OFFSET(effect!$N$1,MATCH(K959,effect!M:M,0)-1,0)))</f>
        <v>0</v>
      </c>
    </row>
    <row r="960" spans="1:42">
      <c r="A960" s="153">
        <f ca="1" t="shared" si="155"/>
        <v>2006020</v>
      </c>
      <c r="B960" s="91" t="s">
        <v>740</v>
      </c>
      <c r="C960" s="186">
        <v>2</v>
      </c>
      <c r="D960" s="186">
        <v>4</v>
      </c>
      <c r="E960" s="165" t="s">
        <v>1058</v>
      </c>
      <c r="F960" s="179" t="s">
        <v>1054</v>
      </c>
      <c r="G960" s="186">
        <f ca="1">OFFSET(卡牌辅助配置表!$C$1,MATCH(AC960,卡牌辅助配置表!A:A,0)-1,0)</f>
        <v>0</v>
      </c>
      <c r="H960" s="186">
        <f ca="1">OFFSET(skill!$Q$1,MATCH(B960,skill!B:B,0)-1,0)</f>
        <v>5</v>
      </c>
      <c r="I960" s="186"/>
      <c r="J960" s="186">
        <f ca="1">OFFSET(card_type!$F$1,MATCH(Q960,card_type!A:A,0)-1,0)</f>
        <v>1</v>
      </c>
      <c r="K960" s="243">
        <f ca="1">OFFSET(card_type!$G$1,MATCH(Q960,card_type!A:A,0)-1,0)</f>
        <v>1</v>
      </c>
      <c r="L960" s="157">
        <v>2</v>
      </c>
      <c r="M960" s="157">
        <v>2</v>
      </c>
      <c r="N960" s="153">
        <f t="shared" si="164"/>
        <v>20</v>
      </c>
      <c r="O960" s="157"/>
      <c r="P960" s="157"/>
      <c r="Q960" s="153">
        <f ca="1">OFFSET(card_type!$A$1,MATCH(card!B960,card_type!B:B,0)-1,0)</f>
        <v>2006</v>
      </c>
      <c r="R960" s="153">
        <v>1</v>
      </c>
      <c r="S960" s="157">
        <f ca="1">ROUND(IF(R960=0,0,IF(R960=1,X960*$S$1,IF(R960=2,X960*$S$1*buff的资质计算!$E$2,IF(R960=3,X960*$S$1*buff的资质计算!$E$3,0)))),0)*0</f>
        <v>0</v>
      </c>
      <c r="T960" s="153">
        <v>3</v>
      </c>
      <c r="U960" s="153">
        <f ca="1" t="shared" si="156"/>
        <v>11</v>
      </c>
      <c r="V960" s="153">
        <f ca="1">ROUND((OFFSET(卡牌辅助配置表!$O$1,MATCH(U960,卡牌辅助配置表!M:M,0)-1,0)+(N960-1)*OFFSET(卡牌辅助配置表!$P$1,MATCH(U960,卡牌辅助配置表!M:M,0)-1,0))*M960,2)</f>
        <v>20.48</v>
      </c>
      <c r="W960" s="157">
        <f ca="1">ROUND(IF(R960=0,0,IF(R960=1,X960*$W$1,IF(R960=2,X960*$W$1*buff的资质计算!$E$2,IF(R960=3,X960*$W$1*buff的资质计算!$E$3,0)))),2)</f>
        <v>5.85</v>
      </c>
      <c r="X960" s="157">
        <f ca="1" t="shared" si="162"/>
        <v>19.5</v>
      </c>
      <c r="Y960" s="157">
        <f ca="1" t="shared" si="161"/>
        <v>24.5</v>
      </c>
      <c r="Z960" s="304">
        <f ca="1" t="shared" si="163"/>
        <v>12.25</v>
      </c>
      <c r="AA960" s="304">
        <f ca="1">OFFSET(卡牌辅助配置表!$AD$1,MATCH(AB960,卡牌辅助配置表!AB:AB,0)-1,0)</f>
        <v>450</v>
      </c>
      <c r="AB960" s="304">
        <f ca="1" t="shared" si="157"/>
        <v>1120</v>
      </c>
      <c r="AC960" s="153">
        <v>12</v>
      </c>
      <c r="AF960" s="153" t="str">
        <f ca="1" t="shared" si="160"/>
        <v>20060011|</v>
      </c>
      <c r="AJ960" s="205" t="str">
        <f ca="1" t="shared" si="158"/>
        <v>400023|7100|;</v>
      </c>
      <c r="AK960" s="205">
        <f ca="1">OFFSET([1]item_type!$A$1,MATCH(Q960,[1]item_type!$G:$G,0)-1,0)</f>
        <v>302006</v>
      </c>
      <c r="AL960" s="205"/>
      <c r="AM960" s="205">
        <f ca="1">IF(B960=B961,OFFSET(卡牌辅助配置表!$AE$1,MATCH(AB960,卡牌辅助配置表!AB:AB,0),0),0)</f>
        <v>7100</v>
      </c>
      <c r="AN960" s="153">
        <f ca="1" t="shared" si="159"/>
        <v>2006021</v>
      </c>
      <c r="AP960" s="153">
        <f ca="1">IF(AC960=0,0,IF(AC960=12,0,OFFSET(effect!$N$1,MATCH(K960,effect!M:M,0)-1,0)))</f>
        <v>0</v>
      </c>
    </row>
    <row r="961" spans="1:42">
      <c r="A961" s="153">
        <f ca="1" t="shared" si="155"/>
        <v>2006021</v>
      </c>
      <c r="B961" s="91" t="s">
        <v>740</v>
      </c>
      <c r="C961" s="186">
        <v>2</v>
      </c>
      <c r="D961" s="186">
        <v>4</v>
      </c>
      <c r="E961" s="165" t="s">
        <v>1058</v>
      </c>
      <c r="F961" s="179" t="s">
        <v>1054</v>
      </c>
      <c r="G961" s="186">
        <f ca="1">OFFSET(卡牌辅助配置表!$C$1,MATCH(AC961,卡牌辅助配置表!A:A,0)-1,0)</f>
        <v>0</v>
      </c>
      <c r="H961" s="186">
        <f ca="1">OFFSET(skill!$Q$1,MATCH(B961,skill!B:B,0)-1,0)</f>
        <v>5</v>
      </c>
      <c r="I961" s="186"/>
      <c r="J961" s="186">
        <f ca="1">OFFSET(card_type!$F$1,MATCH(Q961,card_type!A:A,0)-1,0)</f>
        <v>1</v>
      </c>
      <c r="K961" s="243">
        <f ca="1">OFFSET(card_type!$G$1,MATCH(Q961,card_type!A:A,0)-1,0)</f>
        <v>1</v>
      </c>
      <c r="L961" s="157">
        <v>2</v>
      </c>
      <c r="M961" s="157">
        <v>2</v>
      </c>
      <c r="N961" s="153">
        <f t="shared" si="164"/>
        <v>21</v>
      </c>
      <c r="O961" s="157"/>
      <c r="P961" s="157"/>
      <c r="Q961" s="153">
        <f ca="1">OFFSET(card_type!$A$1,MATCH(card!B961,card_type!B:B,0)-1,0)</f>
        <v>2006</v>
      </c>
      <c r="R961" s="153">
        <v>1</v>
      </c>
      <c r="S961" s="157">
        <f ca="1">ROUND(IF(R961=0,0,IF(R961=1,X961*$S$1,IF(R961=2,X961*$S$1*buff的资质计算!$E$2,IF(R961=3,X961*$S$1*buff的资质计算!$E$3,0)))),0)*0</f>
        <v>0</v>
      </c>
      <c r="T961" s="153">
        <v>3</v>
      </c>
      <c r="U961" s="153">
        <f ca="1" t="shared" si="156"/>
        <v>11</v>
      </c>
      <c r="V961" s="153">
        <f ca="1">ROUND((OFFSET(卡牌辅助配置表!$O$1,MATCH(U961,卡牌辅助配置表!M:M,0)-1,0)+(N961-1)*OFFSET(卡牌辅助配置表!$P$1,MATCH(U961,卡牌辅助配置表!M:M,0)-1,0))*M961,2)</f>
        <v>20.9</v>
      </c>
      <c r="W961" s="157">
        <f ca="1">ROUND(IF(R961=0,0,IF(R961=1,X961*$W$1,IF(R961=2,X961*$W$1*buff的资质计算!$E$2,IF(R961=3,X961*$W$1*buff的资质计算!$E$3,0)))),2)</f>
        <v>6</v>
      </c>
      <c r="X961" s="157">
        <f ca="1" t="shared" si="162"/>
        <v>20</v>
      </c>
      <c r="Y961" s="157">
        <f ca="1" t="shared" si="161"/>
        <v>25</v>
      </c>
      <c r="Z961" s="304">
        <f ca="1" t="shared" si="163"/>
        <v>12.5</v>
      </c>
      <c r="AA961" s="304">
        <f ca="1">OFFSET(卡牌辅助配置表!$AD$1,MATCH(AB961,卡牌辅助配置表!AB:AB,0)-1,0)</f>
        <v>486</v>
      </c>
      <c r="AB961" s="304">
        <f ca="1" t="shared" si="157"/>
        <v>1121</v>
      </c>
      <c r="AC961" s="153">
        <v>12</v>
      </c>
      <c r="AF961" s="153" t="str">
        <f ca="1" t="shared" si="160"/>
        <v>20060011|</v>
      </c>
      <c r="AJ961" s="205" t="str">
        <f ca="1" t="shared" si="158"/>
        <v>400023|7900|;</v>
      </c>
      <c r="AK961" s="205">
        <f ca="1">OFFSET([1]item_type!$A$1,MATCH(Q961,[1]item_type!$G:$G,0)-1,0)</f>
        <v>302006</v>
      </c>
      <c r="AL961" s="205"/>
      <c r="AM961" s="205">
        <f ca="1">IF(B961=B962,OFFSET(卡牌辅助配置表!$AE$1,MATCH(AB961,卡牌辅助配置表!AB:AB,0),0),0)</f>
        <v>7900</v>
      </c>
      <c r="AN961" s="153">
        <f ca="1" t="shared" si="159"/>
        <v>2006022</v>
      </c>
      <c r="AP961" s="153">
        <f ca="1">IF(AC961=0,0,IF(AC961=12,0,OFFSET(effect!$N$1,MATCH(K961,effect!M:M,0)-1,0)))</f>
        <v>0</v>
      </c>
    </row>
    <row r="962" spans="1:42">
      <c r="A962" s="153">
        <f ca="1" t="shared" si="155"/>
        <v>2006022</v>
      </c>
      <c r="B962" s="91" t="s">
        <v>740</v>
      </c>
      <c r="C962" s="186">
        <v>2</v>
      </c>
      <c r="D962" s="186">
        <v>4</v>
      </c>
      <c r="E962" s="165" t="s">
        <v>1058</v>
      </c>
      <c r="F962" s="179" t="s">
        <v>1054</v>
      </c>
      <c r="G962" s="186">
        <f ca="1">OFFSET(卡牌辅助配置表!$C$1,MATCH(AC962,卡牌辅助配置表!A:A,0)-1,0)</f>
        <v>0</v>
      </c>
      <c r="H962" s="186">
        <f ca="1">OFFSET(skill!$Q$1,MATCH(B962,skill!B:B,0)-1,0)</f>
        <v>5</v>
      </c>
      <c r="I962" s="186"/>
      <c r="J962" s="186">
        <f ca="1">OFFSET(card_type!$F$1,MATCH(Q962,card_type!A:A,0)-1,0)</f>
        <v>1</v>
      </c>
      <c r="K962" s="243">
        <f ca="1">OFFSET(card_type!$G$1,MATCH(Q962,card_type!A:A,0)-1,0)</f>
        <v>1</v>
      </c>
      <c r="L962" s="157">
        <v>2</v>
      </c>
      <c r="M962" s="157">
        <v>2</v>
      </c>
      <c r="N962" s="153">
        <f t="shared" si="164"/>
        <v>22</v>
      </c>
      <c r="O962" s="157"/>
      <c r="P962" s="157"/>
      <c r="Q962" s="153">
        <f ca="1">OFFSET(card_type!$A$1,MATCH(card!B962,card_type!B:B,0)-1,0)</f>
        <v>2006</v>
      </c>
      <c r="R962" s="153">
        <v>1</v>
      </c>
      <c r="S962" s="157">
        <f ca="1">ROUND(IF(R962=0,0,IF(R962=1,X962*$S$1,IF(R962=2,X962*$S$1*buff的资质计算!$E$2,IF(R962=3,X962*$S$1*buff的资质计算!$E$3,0)))),0)*0</f>
        <v>0</v>
      </c>
      <c r="T962" s="153">
        <v>3</v>
      </c>
      <c r="U962" s="153">
        <f ca="1" t="shared" si="156"/>
        <v>11</v>
      </c>
      <c r="V962" s="153">
        <f ca="1">ROUND((OFFSET(卡牌辅助配置表!$O$1,MATCH(U962,卡牌辅助配置表!M:M,0)-1,0)+(N962-1)*OFFSET(卡牌辅助配置表!$P$1,MATCH(U962,卡牌辅助配置表!M:M,0)-1,0))*M962,2)</f>
        <v>21.32</v>
      </c>
      <c r="W962" s="157">
        <f ca="1">ROUND(IF(R962=0,0,IF(R962=1,X962*$W$1,IF(R962=2,X962*$W$1*buff的资质计算!$E$2,IF(R962=3,X962*$W$1*buff的资质计算!$E$3,0)))),2)</f>
        <v>6.15</v>
      </c>
      <c r="X962" s="157">
        <f ca="1" t="shared" si="162"/>
        <v>20.5</v>
      </c>
      <c r="Y962" s="157">
        <f ca="1" t="shared" si="161"/>
        <v>25.5</v>
      </c>
      <c r="Z962" s="304">
        <f ca="1" t="shared" si="163"/>
        <v>12.75</v>
      </c>
      <c r="AA962" s="304">
        <f ca="1">OFFSET(卡牌辅助配置表!$AD$1,MATCH(AB962,卡牌辅助配置表!AB:AB,0)-1,0)</f>
        <v>522</v>
      </c>
      <c r="AB962" s="304">
        <f ca="1" t="shared" si="157"/>
        <v>1122</v>
      </c>
      <c r="AC962" s="153">
        <v>12</v>
      </c>
      <c r="AF962" s="153" t="str">
        <f ca="1" t="shared" si="160"/>
        <v>20060011|</v>
      </c>
      <c r="AJ962" s="205" t="str">
        <f ca="1" t="shared" si="158"/>
        <v>400023|8700|;</v>
      </c>
      <c r="AK962" s="205">
        <f ca="1">OFFSET([1]item_type!$A$1,MATCH(Q962,[1]item_type!$G:$G,0)-1,0)</f>
        <v>302006</v>
      </c>
      <c r="AL962" s="205"/>
      <c r="AM962" s="205">
        <f ca="1">IF(B962=B963,OFFSET(卡牌辅助配置表!$AE$1,MATCH(AB962,卡牌辅助配置表!AB:AB,0),0),0)</f>
        <v>8700</v>
      </c>
      <c r="AN962" s="153">
        <f ca="1" t="shared" si="159"/>
        <v>2006023</v>
      </c>
      <c r="AP962" s="153">
        <f ca="1">IF(AC962=0,0,IF(AC962=12,0,OFFSET(effect!$N$1,MATCH(K962,effect!M:M,0)-1,0)))</f>
        <v>0</v>
      </c>
    </row>
    <row r="963" spans="1:42">
      <c r="A963" s="153">
        <f ca="1" t="shared" si="155"/>
        <v>2006023</v>
      </c>
      <c r="B963" s="91" t="s">
        <v>740</v>
      </c>
      <c r="C963" s="186">
        <v>2</v>
      </c>
      <c r="D963" s="186">
        <v>4</v>
      </c>
      <c r="E963" s="165" t="s">
        <v>1058</v>
      </c>
      <c r="F963" s="179" t="s">
        <v>1054</v>
      </c>
      <c r="G963" s="186">
        <f ca="1">OFFSET(卡牌辅助配置表!$C$1,MATCH(AC963,卡牌辅助配置表!A:A,0)-1,0)</f>
        <v>0</v>
      </c>
      <c r="H963" s="186">
        <f ca="1">OFFSET(skill!$Q$1,MATCH(B963,skill!B:B,0)-1,0)</f>
        <v>5</v>
      </c>
      <c r="I963" s="186"/>
      <c r="J963" s="186">
        <f ca="1">OFFSET(card_type!$F$1,MATCH(Q963,card_type!A:A,0)-1,0)</f>
        <v>1</v>
      </c>
      <c r="K963" s="243">
        <f ca="1">OFFSET(card_type!$G$1,MATCH(Q963,card_type!A:A,0)-1,0)</f>
        <v>1</v>
      </c>
      <c r="L963" s="157">
        <v>2</v>
      </c>
      <c r="M963" s="157">
        <v>2</v>
      </c>
      <c r="N963" s="153">
        <f t="shared" si="164"/>
        <v>23</v>
      </c>
      <c r="O963" s="157"/>
      <c r="P963" s="157"/>
      <c r="Q963" s="153">
        <f ca="1">OFFSET(card_type!$A$1,MATCH(card!B963,card_type!B:B,0)-1,0)</f>
        <v>2006</v>
      </c>
      <c r="R963" s="153">
        <v>1</v>
      </c>
      <c r="S963" s="157">
        <f ca="1">ROUND(IF(R963=0,0,IF(R963=1,X963*$S$1,IF(R963=2,X963*$S$1*buff的资质计算!$E$2,IF(R963=3,X963*$S$1*buff的资质计算!$E$3,0)))),0)*0</f>
        <v>0</v>
      </c>
      <c r="T963" s="153">
        <v>3</v>
      </c>
      <c r="U963" s="153">
        <f ca="1" t="shared" si="156"/>
        <v>11</v>
      </c>
      <c r="V963" s="153">
        <f ca="1">ROUND((OFFSET(卡牌辅助配置表!$O$1,MATCH(U963,卡牌辅助配置表!M:M,0)-1,0)+(N963-1)*OFFSET(卡牌辅助配置表!$P$1,MATCH(U963,卡牌辅助配置表!M:M,0)-1,0))*M963,2)</f>
        <v>21.74</v>
      </c>
      <c r="W963" s="157">
        <f ca="1">ROUND(IF(R963=0,0,IF(R963=1,X963*$W$1,IF(R963=2,X963*$W$1*buff的资质计算!$E$2,IF(R963=3,X963*$W$1*buff的资质计算!$E$3,0)))),2)</f>
        <v>6.3</v>
      </c>
      <c r="X963" s="157">
        <f ca="1" t="shared" si="162"/>
        <v>21</v>
      </c>
      <c r="Y963" s="157">
        <f ca="1" t="shared" si="161"/>
        <v>26</v>
      </c>
      <c r="Z963" s="304">
        <f ca="1" t="shared" si="163"/>
        <v>13</v>
      </c>
      <c r="AA963" s="304">
        <f ca="1">OFFSET(卡牌辅助配置表!$AD$1,MATCH(AB963,卡牌辅助配置表!AB:AB,0)-1,0)</f>
        <v>558</v>
      </c>
      <c r="AB963" s="304">
        <f ca="1" t="shared" si="157"/>
        <v>1123</v>
      </c>
      <c r="AC963" s="153">
        <v>12</v>
      </c>
      <c r="AF963" s="153" t="str">
        <f ca="1" t="shared" si="160"/>
        <v>20060011|</v>
      </c>
      <c r="AJ963" s="205" t="str">
        <f ca="1" t="shared" si="158"/>
        <v>400023|9500|;</v>
      </c>
      <c r="AK963" s="205">
        <f ca="1">OFFSET([1]item_type!$A$1,MATCH(Q963,[1]item_type!$G:$G,0)-1,0)</f>
        <v>302006</v>
      </c>
      <c r="AL963" s="205"/>
      <c r="AM963" s="205">
        <f ca="1">IF(B963=B964,OFFSET(卡牌辅助配置表!$AE$1,MATCH(AB963,卡牌辅助配置表!AB:AB,0),0),0)</f>
        <v>9500</v>
      </c>
      <c r="AN963" s="153">
        <f ca="1" t="shared" si="159"/>
        <v>2006024</v>
      </c>
      <c r="AP963" s="153">
        <f ca="1">IF(AC963=0,0,IF(AC963=12,0,OFFSET(effect!$N$1,MATCH(K963,effect!M:M,0)-1,0)))</f>
        <v>0</v>
      </c>
    </row>
    <row r="964" spans="1:42">
      <c r="A964" s="153">
        <f ca="1" t="shared" si="155"/>
        <v>2006024</v>
      </c>
      <c r="B964" s="91" t="s">
        <v>740</v>
      </c>
      <c r="C964" s="186">
        <v>2</v>
      </c>
      <c r="D964" s="186">
        <v>4</v>
      </c>
      <c r="E964" s="165" t="s">
        <v>1058</v>
      </c>
      <c r="F964" s="179" t="s">
        <v>1054</v>
      </c>
      <c r="G964" s="186">
        <f ca="1">OFFSET(卡牌辅助配置表!$C$1,MATCH(AC964,卡牌辅助配置表!A:A,0)-1,0)</f>
        <v>0</v>
      </c>
      <c r="H964" s="186">
        <f ca="1">OFFSET(skill!$Q$1,MATCH(B964,skill!B:B,0)-1,0)</f>
        <v>5</v>
      </c>
      <c r="I964" s="186"/>
      <c r="J964" s="186">
        <f ca="1">OFFSET(card_type!$F$1,MATCH(Q964,card_type!A:A,0)-1,0)</f>
        <v>1</v>
      </c>
      <c r="K964" s="243">
        <f ca="1">OFFSET(card_type!$G$1,MATCH(Q964,card_type!A:A,0)-1,0)</f>
        <v>1</v>
      </c>
      <c r="L964" s="157">
        <v>2</v>
      </c>
      <c r="M964" s="157">
        <v>2</v>
      </c>
      <c r="N964" s="153">
        <f t="shared" si="164"/>
        <v>24</v>
      </c>
      <c r="O964" s="157"/>
      <c r="P964" s="157"/>
      <c r="Q964" s="153">
        <f ca="1">OFFSET(card_type!$A$1,MATCH(card!B964,card_type!B:B,0)-1,0)</f>
        <v>2006</v>
      </c>
      <c r="R964" s="153">
        <v>1</v>
      </c>
      <c r="S964" s="157">
        <f ca="1">ROUND(IF(R964=0,0,IF(R964=1,X964*$S$1,IF(R964=2,X964*$S$1*buff的资质计算!$E$2,IF(R964=3,X964*$S$1*buff的资质计算!$E$3,0)))),0)*0</f>
        <v>0</v>
      </c>
      <c r="T964" s="153">
        <v>3</v>
      </c>
      <c r="U964" s="153">
        <f ca="1" t="shared" si="156"/>
        <v>11</v>
      </c>
      <c r="V964" s="153">
        <f ca="1">ROUND((OFFSET(卡牌辅助配置表!$O$1,MATCH(U964,卡牌辅助配置表!M:M,0)-1,0)+(N964-1)*OFFSET(卡牌辅助配置表!$P$1,MATCH(U964,卡牌辅助配置表!M:M,0)-1,0))*M964,2)</f>
        <v>22.15</v>
      </c>
      <c r="W964" s="157">
        <f ca="1">ROUND(IF(R964=0,0,IF(R964=1,X964*$W$1,IF(R964=2,X964*$W$1*buff的资质计算!$E$2,IF(R964=3,X964*$W$1*buff的资质计算!$E$3,0)))),2)</f>
        <v>6.45</v>
      </c>
      <c r="X964" s="157">
        <f ca="1" t="shared" si="162"/>
        <v>21.5</v>
      </c>
      <c r="Y964" s="157">
        <f ca="1" t="shared" si="161"/>
        <v>26.5</v>
      </c>
      <c r="Z964" s="304">
        <f ca="1" t="shared" si="163"/>
        <v>13.25</v>
      </c>
      <c r="AA964" s="304">
        <f ca="1">OFFSET(卡牌辅助配置表!$AD$1,MATCH(AB964,卡牌辅助配置表!AB:AB,0)-1,0)</f>
        <v>594</v>
      </c>
      <c r="AB964" s="304">
        <f ca="1" t="shared" si="157"/>
        <v>1124</v>
      </c>
      <c r="AC964" s="153">
        <v>12</v>
      </c>
      <c r="AF964" s="153" t="str">
        <f ca="1" t="shared" si="160"/>
        <v>20060011|</v>
      </c>
      <c r="AJ964" s="205" t="str">
        <f ca="1" t="shared" si="158"/>
        <v>400023|10300|;</v>
      </c>
      <c r="AK964" s="205">
        <f ca="1">OFFSET([1]item_type!$A$1,MATCH(Q964,[1]item_type!$G:$G,0)-1,0)</f>
        <v>302006</v>
      </c>
      <c r="AL964" s="205"/>
      <c r="AM964" s="205">
        <f ca="1">IF(B964=B965,OFFSET(卡牌辅助配置表!$AE$1,MATCH(AB964,卡牌辅助配置表!AB:AB,0),0),0)</f>
        <v>10300</v>
      </c>
      <c r="AN964" s="153">
        <f ca="1" t="shared" si="159"/>
        <v>2006025</v>
      </c>
      <c r="AP964" s="153">
        <f ca="1">IF(AC964=0,0,IF(AC964=12,0,OFFSET(effect!$N$1,MATCH(K964,effect!M:M,0)-1,0)))</f>
        <v>0</v>
      </c>
    </row>
    <row r="965" spans="1:42">
      <c r="A965" s="153">
        <f ca="1" t="shared" si="155"/>
        <v>2006025</v>
      </c>
      <c r="B965" s="91" t="s">
        <v>740</v>
      </c>
      <c r="C965" s="186">
        <v>2</v>
      </c>
      <c r="D965" s="186">
        <v>4</v>
      </c>
      <c r="E965" s="165" t="s">
        <v>1058</v>
      </c>
      <c r="F965" s="179" t="s">
        <v>1054</v>
      </c>
      <c r="G965" s="186">
        <f ca="1">OFFSET(卡牌辅助配置表!$C$1,MATCH(AC965,卡牌辅助配置表!A:A,0)-1,0)</f>
        <v>0</v>
      </c>
      <c r="H965" s="186">
        <f ca="1">OFFSET(skill!$Q$1,MATCH(B965,skill!B:B,0)-1,0)</f>
        <v>5</v>
      </c>
      <c r="I965" s="186"/>
      <c r="J965" s="186">
        <f ca="1">OFFSET(card_type!$F$1,MATCH(Q965,card_type!A:A,0)-1,0)</f>
        <v>1</v>
      </c>
      <c r="K965" s="243">
        <f ca="1">OFFSET(card_type!$G$1,MATCH(Q965,card_type!A:A,0)-1,0)</f>
        <v>1</v>
      </c>
      <c r="L965" s="157">
        <v>2</v>
      </c>
      <c r="M965" s="157">
        <v>2</v>
      </c>
      <c r="N965" s="153">
        <f t="shared" si="164"/>
        <v>25</v>
      </c>
      <c r="O965" s="157"/>
      <c r="P965" s="157"/>
      <c r="Q965" s="153">
        <f ca="1">OFFSET(card_type!$A$1,MATCH(card!B965,card_type!B:B,0)-1,0)</f>
        <v>2006</v>
      </c>
      <c r="R965" s="153">
        <v>1</v>
      </c>
      <c r="S965" s="157">
        <f ca="1">ROUND(IF(R965=0,0,IF(R965=1,X965*$S$1,IF(R965=2,X965*$S$1*buff的资质计算!$E$2,IF(R965=3,X965*$S$1*buff的资质计算!$E$3,0)))),0)*0</f>
        <v>0</v>
      </c>
      <c r="T965" s="153">
        <v>3</v>
      </c>
      <c r="U965" s="153">
        <f ca="1" t="shared" si="156"/>
        <v>11</v>
      </c>
      <c r="V965" s="153">
        <f ca="1">ROUND((OFFSET(卡牌辅助配置表!$O$1,MATCH(U965,卡牌辅助配置表!M:M,0)-1,0)+(N965-1)*OFFSET(卡牌辅助配置表!$P$1,MATCH(U965,卡牌辅助配置表!M:M,0)-1,0))*M965,2)</f>
        <v>22.57</v>
      </c>
      <c r="W965" s="157">
        <f ca="1">ROUND(IF(R965=0,0,IF(R965=1,X965*$W$1,IF(R965=2,X965*$W$1*buff的资质计算!$E$2,IF(R965=3,X965*$W$1*buff的资质计算!$E$3,0)))),2)</f>
        <v>6.6</v>
      </c>
      <c r="X965" s="157">
        <f ca="1" t="shared" si="162"/>
        <v>22</v>
      </c>
      <c r="Y965" s="157">
        <f ca="1" t="shared" si="161"/>
        <v>27</v>
      </c>
      <c r="Z965" s="304">
        <f ca="1" t="shared" si="163"/>
        <v>13.5</v>
      </c>
      <c r="AA965" s="304">
        <f ca="1">OFFSET(卡牌辅助配置表!$AD$1,MATCH(AB965,卡牌辅助配置表!AB:AB,0)-1,0)</f>
        <v>630</v>
      </c>
      <c r="AB965" s="304">
        <f ca="1" t="shared" si="157"/>
        <v>1125</v>
      </c>
      <c r="AC965" s="153">
        <v>12</v>
      </c>
      <c r="AF965" s="153" t="str">
        <f ca="1" t="shared" si="160"/>
        <v>20060011|</v>
      </c>
      <c r="AJ965" s="205" t="str">
        <f ca="1" t="shared" si="158"/>
        <v>400023|11100|;</v>
      </c>
      <c r="AK965" s="205">
        <f ca="1">OFFSET([1]item_type!$A$1,MATCH(Q965,[1]item_type!$G:$G,0)-1,0)</f>
        <v>302006</v>
      </c>
      <c r="AL965" s="205"/>
      <c r="AM965" s="205">
        <f ca="1">IF(B965=B966,OFFSET(卡牌辅助配置表!$AE$1,MATCH(AB965,卡牌辅助配置表!AB:AB,0),0),0)</f>
        <v>11100</v>
      </c>
      <c r="AN965" s="153">
        <f ca="1" t="shared" si="159"/>
        <v>2006026</v>
      </c>
      <c r="AP965" s="153">
        <f ca="1">IF(AC965=0,0,IF(AC965=12,0,OFFSET(effect!$N$1,MATCH(K965,effect!M:M,0)-1,0)))</f>
        <v>0</v>
      </c>
    </row>
    <row r="966" spans="1:42">
      <c r="A966" s="153">
        <f ca="1" t="shared" ref="A966:A1029" si="165">Q966*1000+N966</f>
        <v>2006026</v>
      </c>
      <c r="B966" s="91" t="s">
        <v>740</v>
      </c>
      <c r="C966" s="186">
        <v>2</v>
      </c>
      <c r="D966" s="186">
        <v>4</v>
      </c>
      <c r="E966" s="165" t="s">
        <v>1058</v>
      </c>
      <c r="F966" s="179" t="s">
        <v>1054</v>
      </c>
      <c r="G966" s="186">
        <f ca="1">OFFSET(卡牌辅助配置表!$C$1,MATCH(AC966,卡牌辅助配置表!A:A,0)-1,0)</f>
        <v>0</v>
      </c>
      <c r="H966" s="186">
        <f ca="1">OFFSET(skill!$Q$1,MATCH(B966,skill!B:B,0)-1,0)</f>
        <v>5</v>
      </c>
      <c r="I966" s="186"/>
      <c r="J966" s="186">
        <f ca="1">OFFSET(card_type!$F$1,MATCH(Q966,card_type!A:A,0)-1,0)</f>
        <v>1</v>
      </c>
      <c r="K966" s="243">
        <f ca="1">OFFSET(card_type!$G$1,MATCH(Q966,card_type!A:A,0)-1,0)</f>
        <v>1</v>
      </c>
      <c r="L966" s="157">
        <v>2</v>
      </c>
      <c r="M966" s="157">
        <v>2</v>
      </c>
      <c r="N966" s="153">
        <f t="shared" si="164"/>
        <v>26</v>
      </c>
      <c r="O966" s="157"/>
      <c r="P966" s="157"/>
      <c r="Q966" s="153">
        <f ca="1">OFFSET(card_type!$A$1,MATCH(card!B966,card_type!B:B,0)-1,0)</f>
        <v>2006</v>
      </c>
      <c r="R966" s="153">
        <v>1</v>
      </c>
      <c r="S966" s="157">
        <f ca="1">ROUND(IF(R966=0,0,IF(R966=1,X966*$S$1,IF(R966=2,X966*$S$1*buff的资质计算!$E$2,IF(R966=3,X966*$S$1*buff的资质计算!$E$3,0)))),0)*0</f>
        <v>0</v>
      </c>
      <c r="T966" s="153">
        <v>3</v>
      </c>
      <c r="U966" s="153">
        <f ca="1" t="shared" ref="U966:U1029" si="166">J966*10+K966</f>
        <v>11</v>
      </c>
      <c r="V966" s="153">
        <f ca="1">ROUND((OFFSET(卡牌辅助配置表!$O$1,MATCH(U966,卡牌辅助配置表!M:M,0)-1,0)+(N966-1)*OFFSET(卡牌辅助配置表!$P$1,MATCH(U966,卡牌辅助配置表!M:M,0)-1,0))*M966,2)</f>
        <v>22.99</v>
      </c>
      <c r="W966" s="157">
        <f ca="1">ROUND(IF(R966=0,0,IF(R966=1,X966*$W$1,IF(R966=2,X966*$W$1*buff的资质计算!$E$2,IF(R966=3,X966*$W$1*buff的资质计算!$E$3,0)))),2)</f>
        <v>6.75</v>
      </c>
      <c r="X966" s="157">
        <f ca="1" t="shared" si="162"/>
        <v>22.5</v>
      </c>
      <c r="Y966" s="157">
        <f ca="1" t="shared" si="161"/>
        <v>27.5</v>
      </c>
      <c r="Z966" s="304">
        <f ca="1" t="shared" si="163"/>
        <v>13.75</v>
      </c>
      <c r="AA966" s="304">
        <f ca="1">OFFSET(卡牌辅助配置表!$AD$1,MATCH(AB966,卡牌辅助配置表!AB:AB,0)-1,0)</f>
        <v>666</v>
      </c>
      <c r="AB966" s="304">
        <f ca="1" t="shared" ref="AB966:AB1029" si="167">J966*1000+K966*100+N966</f>
        <v>1126</v>
      </c>
      <c r="AC966" s="153">
        <v>12</v>
      </c>
      <c r="AF966" s="153" t="str">
        <f ca="1" t="shared" si="160"/>
        <v>20060011|</v>
      </c>
      <c r="AJ966" s="205" t="str">
        <f ca="1" t="shared" ref="AJ966:AJ1029" si="168">IF(AN966=0,0,IF(AL966=0,$AM$1&amp;$AF$1&amp;AM966&amp;$AF$1&amp;$AJ$1,AK966&amp;$AF$1&amp;AL966&amp;$AF$1&amp;$AJ$1&amp;$AM$1&amp;$AF$1&amp;AM966&amp;$AF$1&amp;$AJ$1))</f>
        <v>400023|11900|;</v>
      </c>
      <c r="AK966" s="205">
        <f ca="1">OFFSET([1]item_type!$A$1,MATCH(Q966,[1]item_type!$G:$G,0)-1,0)</f>
        <v>302006</v>
      </c>
      <c r="AL966" s="205"/>
      <c r="AM966" s="205">
        <f ca="1">IF(B966=B967,OFFSET(卡牌辅助配置表!$AE$1,MATCH(AB966,卡牌辅助配置表!AB:AB,0),0),0)</f>
        <v>11900</v>
      </c>
      <c r="AN966" s="153">
        <f ca="1" t="shared" ref="AN966:AN1029" si="169">IF(B966=B967,A966+1,0)</f>
        <v>2006027</v>
      </c>
      <c r="AP966" s="153">
        <f ca="1">IF(AC966=0,0,IF(AC966=12,0,OFFSET(effect!$N$1,MATCH(K966,effect!M:M,0)-1,0)))</f>
        <v>0</v>
      </c>
    </row>
    <row r="967" spans="1:42">
      <c r="A967" s="153">
        <f ca="1" t="shared" si="165"/>
        <v>2006027</v>
      </c>
      <c r="B967" s="91" t="s">
        <v>740</v>
      </c>
      <c r="C967" s="186">
        <v>2</v>
      </c>
      <c r="D967" s="186">
        <v>4</v>
      </c>
      <c r="E967" s="165" t="s">
        <v>1058</v>
      </c>
      <c r="F967" s="179" t="s">
        <v>1054</v>
      </c>
      <c r="G967" s="186">
        <f ca="1">OFFSET(卡牌辅助配置表!$C$1,MATCH(AC967,卡牌辅助配置表!A:A,0)-1,0)</f>
        <v>0</v>
      </c>
      <c r="H967" s="186">
        <f ca="1">OFFSET(skill!$Q$1,MATCH(B967,skill!B:B,0)-1,0)</f>
        <v>5</v>
      </c>
      <c r="I967" s="186"/>
      <c r="J967" s="186">
        <f ca="1">OFFSET(card_type!$F$1,MATCH(Q967,card_type!A:A,0)-1,0)</f>
        <v>1</v>
      </c>
      <c r="K967" s="243">
        <f ca="1">OFFSET(card_type!$G$1,MATCH(Q967,card_type!A:A,0)-1,0)</f>
        <v>1</v>
      </c>
      <c r="L967" s="157">
        <v>2</v>
      </c>
      <c r="M967" s="157">
        <v>2</v>
      </c>
      <c r="N967" s="153">
        <f t="shared" si="164"/>
        <v>27</v>
      </c>
      <c r="O967" s="157"/>
      <c r="P967" s="157"/>
      <c r="Q967" s="153">
        <f ca="1">OFFSET(card_type!$A$1,MATCH(card!B967,card_type!B:B,0)-1,0)</f>
        <v>2006</v>
      </c>
      <c r="R967" s="153">
        <v>1</v>
      </c>
      <c r="S967" s="157">
        <f ca="1">ROUND(IF(R967=0,0,IF(R967=1,X967*$S$1,IF(R967=2,X967*$S$1*buff的资质计算!$E$2,IF(R967=3,X967*$S$1*buff的资质计算!$E$3,0)))),0)*0</f>
        <v>0</v>
      </c>
      <c r="T967" s="153">
        <v>3</v>
      </c>
      <c r="U967" s="153">
        <f ca="1" t="shared" si="166"/>
        <v>11</v>
      </c>
      <c r="V967" s="153">
        <f ca="1">ROUND((OFFSET(卡牌辅助配置表!$O$1,MATCH(U967,卡牌辅助配置表!M:M,0)-1,0)+(N967-1)*OFFSET(卡牌辅助配置表!$P$1,MATCH(U967,卡牌辅助配置表!M:M,0)-1,0))*M967,2)</f>
        <v>23.41</v>
      </c>
      <c r="W967" s="157">
        <f ca="1">ROUND(IF(R967=0,0,IF(R967=1,X967*$W$1,IF(R967=2,X967*$W$1*buff的资质计算!$E$2,IF(R967=3,X967*$W$1*buff的资质计算!$E$3,0)))),2)</f>
        <v>6.9</v>
      </c>
      <c r="X967" s="157">
        <f ca="1" t="shared" si="162"/>
        <v>23</v>
      </c>
      <c r="Y967" s="157">
        <f ca="1" t="shared" si="161"/>
        <v>28</v>
      </c>
      <c r="Z967" s="304">
        <f ca="1" t="shared" si="163"/>
        <v>14</v>
      </c>
      <c r="AA967" s="304">
        <f ca="1">OFFSET(卡牌辅助配置表!$AD$1,MATCH(AB967,卡牌辅助配置表!AB:AB,0)-1,0)</f>
        <v>702</v>
      </c>
      <c r="AB967" s="304">
        <f ca="1" t="shared" si="167"/>
        <v>1127</v>
      </c>
      <c r="AC967" s="153">
        <v>12</v>
      </c>
      <c r="AF967" s="153" t="str">
        <f ca="1" t="shared" si="160"/>
        <v>20060011|</v>
      </c>
      <c r="AJ967" s="205" t="str">
        <f ca="1" t="shared" si="168"/>
        <v>400023|12700|;</v>
      </c>
      <c r="AK967" s="205">
        <f ca="1">OFFSET([1]item_type!$A$1,MATCH(Q967,[1]item_type!$G:$G,0)-1,0)</f>
        <v>302006</v>
      </c>
      <c r="AL967" s="205"/>
      <c r="AM967" s="205">
        <f ca="1">IF(B967=B968,OFFSET(卡牌辅助配置表!$AE$1,MATCH(AB967,卡牌辅助配置表!AB:AB,0),0),0)</f>
        <v>12700</v>
      </c>
      <c r="AN967" s="153">
        <f ca="1" t="shared" si="169"/>
        <v>2006028</v>
      </c>
      <c r="AP967" s="153">
        <f ca="1">IF(AC967=0,0,IF(AC967=12,0,OFFSET(effect!$N$1,MATCH(K967,effect!M:M,0)-1,0)))</f>
        <v>0</v>
      </c>
    </row>
    <row r="968" spans="1:42">
      <c r="A968" s="153">
        <f ca="1" t="shared" si="165"/>
        <v>2006028</v>
      </c>
      <c r="B968" s="91" t="s">
        <v>740</v>
      </c>
      <c r="C968" s="186">
        <v>2</v>
      </c>
      <c r="D968" s="186">
        <v>4</v>
      </c>
      <c r="E968" s="165" t="s">
        <v>1058</v>
      </c>
      <c r="F968" s="179" t="s">
        <v>1054</v>
      </c>
      <c r="G968" s="186">
        <f ca="1">OFFSET(卡牌辅助配置表!$C$1,MATCH(AC968,卡牌辅助配置表!A:A,0)-1,0)</f>
        <v>0</v>
      </c>
      <c r="H968" s="186">
        <f ca="1">OFFSET(skill!$Q$1,MATCH(B968,skill!B:B,0)-1,0)</f>
        <v>5</v>
      </c>
      <c r="I968" s="186"/>
      <c r="J968" s="186">
        <f ca="1">OFFSET(card_type!$F$1,MATCH(Q968,card_type!A:A,0)-1,0)</f>
        <v>1</v>
      </c>
      <c r="K968" s="243">
        <f ca="1">OFFSET(card_type!$G$1,MATCH(Q968,card_type!A:A,0)-1,0)</f>
        <v>1</v>
      </c>
      <c r="L968" s="157">
        <v>2</v>
      </c>
      <c r="M968" s="157">
        <v>2</v>
      </c>
      <c r="N968" s="153">
        <f t="shared" si="164"/>
        <v>28</v>
      </c>
      <c r="O968" s="157"/>
      <c r="P968" s="157"/>
      <c r="Q968" s="153">
        <f ca="1">OFFSET(card_type!$A$1,MATCH(card!B968,card_type!B:B,0)-1,0)</f>
        <v>2006</v>
      </c>
      <c r="R968" s="153">
        <v>1</v>
      </c>
      <c r="S968" s="157">
        <f ca="1">ROUND(IF(R968=0,0,IF(R968=1,X968*$S$1,IF(R968=2,X968*$S$1*buff的资质计算!$E$2,IF(R968=3,X968*$S$1*buff的资质计算!$E$3,0)))),0)*0</f>
        <v>0</v>
      </c>
      <c r="T968" s="153">
        <v>3</v>
      </c>
      <c r="U968" s="153">
        <f ca="1" t="shared" si="166"/>
        <v>11</v>
      </c>
      <c r="V968" s="153">
        <f ca="1">ROUND((OFFSET(卡牌辅助配置表!$O$1,MATCH(U968,卡牌辅助配置表!M:M,0)-1,0)+(N968-1)*OFFSET(卡牌辅助配置表!$P$1,MATCH(U968,卡牌辅助配置表!M:M,0)-1,0))*M968,2)</f>
        <v>23.83</v>
      </c>
      <c r="W968" s="157">
        <f ca="1">ROUND(IF(R968=0,0,IF(R968=1,X968*$W$1,IF(R968=2,X968*$W$1*buff的资质计算!$E$2,IF(R968=3,X968*$W$1*buff的资质计算!$E$3,0)))),2)</f>
        <v>7.05</v>
      </c>
      <c r="X968" s="157">
        <f ca="1" t="shared" si="162"/>
        <v>23.5</v>
      </c>
      <c r="Y968" s="157">
        <f ca="1" t="shared" si="161"/>
        <v>28.5</v>
      </c>
      <c r="Z968" s="304">
        <f ca="1" t="shared" si="163"/>
        <v>14.25</v>
      </c>
      <c r="AA968" s="304">
        <f ca="1">OFFSET(卡牌辅助配置表!$AD$1,MATCH(AB968,卡牌辅助配置表!AB:AB,0)-1,0)</f>
        <v>738</v>
      </c>
      <c r="AB968" s="304">
        <f ca="1" t="shared" si="167"/>
        <v>1128</v>
      </c>
      <c r="AC968" s="153">
        <v>12</v>
      </c>
      <c r="AF968" s="153" t="str">
        <f ca="1" t="shared" si="160"/>
        <v>20060011|</v>
      </c>
      <c r="AJ968" s="205" t="str">
        <f ca="1" t="shared" si="168"/>
        <v>400023|13500|;</v>
      </c>
      <c r="AK968" s="205">
        <f ca="1">OFFSET([1]item_type!$A$1,MATCH(Q968,[1]item_type!$G:$G,0)-1,0)</f>
        <v>302006</v>
      </c>
      <c r="AL968" s="205"/>
      <c r="AM968" s="205">
        <f ca="1">IF(B968=B969,OFFSET(卡牌辅助配置表!$AE$1,MATCH(AB968,卡牌辅助配置表!AB:AB,0),0),0)</f>
        <v>13500</v>
      </c>
      <c r="AN968" s="153">
        <f ca="1" t="shared" si="169"/>
        <v>2006029</v>
      </c>
      <c r="AP968" s="153">
        <f ca="1">IF(AC968=0,0,IF(AC968=12,0,OFFSET(effect!$N$1,MATCH(K968,effect!M:M,0)-1,0)))</f>
        <v>0</v>
      </c>
    </row>
    <row r="969" spans="1:42">
      <c r="A969" s="153">
        <f ca="1" t="shared" si="165"/>
        <v>2006029</v>
      </c>
      <c r="B969" s="91" t="s">
        <v>740</v>
      </c>
      <c r="C969" s="186">
        <v>2</v>
      </c>
      <c r="D969" s="186">
        <v>4</v>
      </c>
      <c r="E969" s="165" t="s">
        <v>1058</v>
      </c>
      <c r="F969" s="179" t="s">
        <v>1054</v>
      </c>
      <c r="G969" s="186">
        <f ca="1">OFFSET(卡牌辅助配置表!$C$1,MATCH(AC969,卡牌辅助配置表!A:A,0)-1,0)</f>
        <v>0</v>
      </c>
      <c r="H969" s="186">
        <f ca="1">OFFSET(skill!$Q$1,MATCH(B969,skill!B:B,0)-1,0)</f>
        <v>5</v>
      </c>
      <c r="I969" s="186"/>
      <c r="J969" s="186">
        <f ca="1">OFFSET(card_type!$F$1,MATCH(Q969,card_type!A:A,0)-1,0)</f>
        <v>1</v>
      </c>
      <c r="K969" s="243">
        <f ca="1">OFFSET(card_type!$G$1,MATCH(Q969,card_type!A:A,0)-1,0)</f>
        <v>1</v>
      </c>
      <c r="L969" s="157">
        <v>2</v>
      </c>
      <c r="M969" s="157">
        <v>2</v>
      </c>
      <c r="N969" s="153">
        <f t="shared" si="164"/>
        <v>29</v>
      </c>
      <c r="O969" s="157"/>
      <c r="P969" s="157"/>
      <c r="Q969" s="153">
        <f ca="1">OFFSET(card_type!$A$1,MATCH(card!B969,card_type!B:B,0)-1,0)</f>
        <v>2006</v>
      </c>
      <c r="R969" s="153">
        <v>1</v>
      </c>
      <c r="S969" s="157">
        <f ca="1">ROUND(IF(R969=0,0,IF(R969=1,X969*$S$1,IF(R969=2,X969*$S$1*buff的资质计算!$E$2,IF(R969=3,X969*$S$1*buff的资质计算!$E$3,0)))),0)*0</f>
        <v>0</v>
      </c>
      <c r="T969" s="153">
        <v>3</v>
      </c>
      <c r="U969" s="153">
        <f ca="1" t="shared" si="166"/>
        <v>11</v>
      </c>
      <c r="V969" s="153">
        <f ca="1">ROUND((OFFSET(卡牌辅助配置表!$O$1,MATCH(U969,卡牌辅助配置表!M:M,0)-1,0)+(N969-1)*OFFSET(卡牌辅助配置表!$P$1,MATCH(U969,卡牌辅助配置表!M:M,0)-1,0))*M969,2)</f>
        <v>24.24</v>
      </c>
      <c r="W969" s="157">
        <f ca="1">ROUND(IF(R969=0,0,IF(R969=1,X969*$W$1,IF(R969=2,X969*$W$1*buff的资质计算!$E$2,IF(R969=3,X969*$W$1*buff的资质计算!$E$3,0)))),2)</f>
        <v>7.2</v>
      </c>
      <c r="X969" s="157">
        <f ca="1" t="shared" si="162"/>
        <v>24</v>
      </c>
      <c r="Y969" s="157">
        <f ca="1" t="shared" si="161"/>
        <v>29</v>
      </c>
      <c r="Z969" s="304">
        <f ca="1" t="shared" si="163"/>
        <v>14.5</v>
      </c>
      <c r="AA969" s="304">
        <f ca="1">OFFSET(卡牌辅助配置表!$AD$1,MATCH(AB969,卡牌辅助配置表!AB:AB,0)-1,0)</f>
        <v>774</v>
      </c>
      <c r="AB969" s="304">
        <f ca="1" t="shared" si="167"/>
        <v>1129</v>
      </c>
      <c r="AC969" s="153">
        <v>12</v>
      </c>
      <c r="AF969" s="153" t="str">
        <f ca="1" t="shared" si="160"/>
        <v>20060011|</v>
      </c>
      <c r="AJ969" s="205" t="str">
        <f ca="1" t="shared" si="168"/>
        <v>302006|30|;400023|14300|;</v>
      </c>
      <c r="AK969" s="205">
        <f ca="1">OFFSET([1]item_type!$A$1,MATCH(Q969,[1]item_type!$G:$G,0)-1,0)</f>
        <v>302006</v>
      </c>
      <c r="AL969" s="205">
        <v>30</v>
      </c>
      <c r="AM969" s="205">
        <f ca="1">IF(B969=B970,OFFSET(卡牌辅助配置表!$AE$1,MATCH(AB969,卡牌辅助配置表!AB:AB,0),0),0)</f>
        <v>14300</v>
      </c>
      <c r="AN969" s="153">
        <f ca="1" t="shared" si="169"/>
        <v>2006030</v>
      </c>
      <c r="AP969" s="153">
        <f ca="1">IF(AC969=0,0,IF(AC969=12,0,OFFSET(effect!$N$1,MATCH(K969,effect!M:M,0)-1,0)))</f>
        <v>0</v>
      </c>
    </row>
    <row r="970" spans="1:42">
      <c r="A970" s="153">
        <f ca="1" t="shared" si="165"/>
        <v>2006030</v>
      </c>
      <c r="B970" s="91" t="s">
        <v>740</v>
      </c>
      <c r="C970" s="186">
        <v>2</v>
      </c>
      <c r="D970" s="186">
        <v>4</v>
      </c>
      <c r="E970" s="165" t="s">
        <v>1058</v>
      </c>
      <c r="F970" s="179" t="s">
        <v>1054</v>
      </c>
      <c r="G970" s="186">
        <f ca="1">OFFSET(卡牌辅助配置表!$C$1,MATCH(AC970,卡牌辅助配置表!A:A,0)-1,0)</f>
        <v>0</v>
      </c>
      <c r="H970" s="186">
        <f ca="1">OFFSET(skill!$Q$1,MATCH(B970,skill!B:B,0)-1,0)</f>
        <v>5</v>
      </c>
      <c r="I970" s="186"/>
      <c r="J970" s="186">
        <f ca="1">OFFSET(card_type!$F$1,MATCH(Q970,card_type!A:A,0)-1,0)</f>
        <v>1</v>
      </c>
      <c r="K970" s="243">
        <f ca="1">OFFSET(card_type!$G$1,MATCH(Q970,card_type!A:A,0)-1,0)</f>
        <v>1</v>
      </c>
      <c r="L970" s="157">
        <v>2</v>
      </c>
      <c r="M970" s="157">
        <v>2</v>
      </c>
      <c r="N970" s="153">
        <f t="shared" si="164"/>
        <v>30</v>
      </c>
      <c r="O970" s="157"/>
      <c r="P970" s="157"/>
      <c r="Q970" s="153">
        <f ca="1">OFFSET(card_type!$A$1,MATCH(card!B970,card_type!B:B,0)-1,0)</f>
        <v>2006</v>
      </c>
      <c r="R970" s="153">
        <v>1</v>
      </c>
      <c r="S970" s="157">
        <f ca="1">ROUND(IF(R970=0,0,IF(R970=1,X970*$S$1,IF(R970=2,X970*$S$1*buff的资质计算!$E$2,IF(R970=3,X970*$S$1*buff的资质计算!$E$3,0)))),0)*0</f>
        <v>0</v>
      </c>
      <c r="T970" s="153">
        <v>3</v>
      </c>
      <c r="U970" s="153">
        <f ca="1" t="shared" si="166"/>
        <v>11</v>
      </c>
      <c r="V970" s="153">
        <f ca="1">ROUND((OFFSET(卡牌辅助配置表!$O$1,MATCH(U970,卡牌辅助配置表!M:M,0)-1,0)+(N970-1)*OFFSET(卡牌辅助配置表!$P$1,MATCH(U970,卡牌辅助配置表!M:M,0)-1,0))*M970,2)</f>
        <v>24.66</v>
      </c>
      <c r="W970" s="157">
        <f ca="1">ROUND(IF(R970=0,0,IF(R970=1,X970*$W$1,IF(R970=2,X970*$W$1*buff的资质计算!$E$2,IF(R970=3,X970*$W$1*buff的资质计算!$E$3,0)))),2)</f>
        <v>7.35</v>
      </c>
      <c r="X970" s="157">
        <f ca="1" t="shared" si="162"/>
        <v>24.5</v>
      </c>
      <c r="Y970" s="157">
        <f ca="1" t="shared" si="161"/>
        <v>29.5</v>
      </c>
      <c r="Z970" s="304">
        <f ca="1" t="shared" si="163"/>
        <v>14.75</v>
      </c>
      <c r="AA970" s="304">
        <f ca="1">OFFSET(卡牌辅助配置表!$AD$1,MATCH(AB970,卡牌辅助配置表!AB:AB,0)-1,0)</f>
        <v>810</v>
      </c>
      <c r="AB970" s="304">
        <f ca="1" t="shared" si="167"/>
        <v>1130</v>
      </c>
      <c r="AC970" s="153">
        <v>12</v>
      </c>
      <c r="AF970" s="153" t="str">
        <f ca="1" t="shared" si="160"/>
        <v>20060011|</v>
      </c>
      <c r="AJ970" s="205">
        <f ca="1" t="shared" si="168"/>
        <v>0</v>
      </c>
      <c r="AK970" s="205">
        <f ca="1">OFFSET([1]item_type!$A$1,MATCH(Q970,[1]item_type!$G:$G,0)-1,0)</f>
        <v>302006</v>
      </c>
      <c r="AL970" s="205"/>
      <c r="AM970" s="205">
        <f ca="1">IF(B970=B971,OFFSET(卡牌辅助配置表!$AE$1,MATCH(AB970,卡牌辅助配置表!AB:AB,0),0),0)</f>
        <v>0</v>
      </c>
      <c r="AN970" s="153">
        <f ca="1" t="shared" si="169"/>
        <v>0</v>
      </c>
      <c r="AP970" s="153">
        <f ca="1">IF(AC970=0,0,IF(AC970=12,0,OFFSET(effect!$N$1,MATCH(K970,effect!M:M,0)-1,0)))</f>
        <v>0</v>
      </c>
    </row>
    <row r="971" spans="1:42">
      <c r="A971" s="153">
        <f ca="1" t="shared" si="165"/>
        <v>2007001</v>
      </c>
      <c r="B971" s="91" t="s">
        <v>341</v>
      </c>
      <c r="C971" s="186">
        <v>2</v>
      </c>
      <c r="D971" s="186">
        <v>3</v>
      </c>
      <c r="E971" s="165" t="s">
        <v>1058</v>
      </c>
      <c r="F971" s="179" t="s">
        <v>1059</v>
      </c>
      <c r="G971" s="186">
        <f ca="1">OFFSET(卡牌辅助配置表!$C$1,MATCH(AC971,卡牌辅助配置表!A:A,0)-1,0)</f>
        <v>0</v>
      </c>
      <c r="H971" s="186">
        <f ca="1">OFFSET(skill!$Q$1,MATCH(B971,skill!B:B,0)-1,0)</f>
        <v>5</v>
      </c>
      <c r="I971" s="186"/>
      <c r="J971" s="186">
        <f ca="1">OFFSET(card_type!$F$1,MATCH(Q971,card_type!A:A,0)-1,0)</f>
        <v>1</v>
      </c>
      <c r="K971" s="243">
        <f ca="1">OFFSET(card_type!$G$1,MATCH(Q971,card_type!A:A,0)-1,0)</f>
        <v>1</v>
      </c>
      <c r="L971" s="157">
        <v>2</v>
      </c>
      <c r="M971" s="157">
        <v>2</v>
      </c>
      <c r="N971" s="153">
        <f t="shared" si="164"/>
        <v>1</v>
      </c>
      <c r="O971" s="157"/>
      <c r="P971" s="157"/>
      <c r="Q971" s="153">
        <f ca="1">OFFSET(card_type!$A$1,MATCH(card!B971,card_type!B:B,0)-1,0)</f>
        <v>2007</v>
      </c>
      <c r="R971" s="153">
        <v>1</v>
      </c>
      <c r="S971" s="157">
        <f ca="1">ROUND(IF(R971=0,0,IF(R971=1,X971*$S$1,IF(R971=2,X971*$S$1*buff的资质计算!$E$2,IF(R971=3,X971*$S$1*buff的资质计算!$E$3,0)))),0)*0</f>
        <v>0</v>
      </c>
      <c r="T971" s="153">
        <v>4</v>
      </c>
      <c r="U971" s="153">
        <f ca="1" t="shared" si="166"/>
        <v>11</v>
      </c>
      <c r="V971" s="153">
        <f ca="1">ROUND((OFFSET(卡牌辅助配置表!$O$1,MATCH(U971,卡牌辅助配置表!M:M,0)-1,0)+(N971-1)*OFFSET(卡牌辅助配置表!$P$1,MATCH(U971,卡牌辅助配置表!M:M,0)-1,0))*M971,2)</f>
        <v>12.54</v>
      </c>
      <c r="W971" s="157">
        <f ca="1">ROUND(IF(R971=0,0,IF(R971=1,X971*$W$1,IF(R971=2,X971*$W$1*buff的资质计算!$E$2,IF(R971=3,X971*$W$1*buff的资质计算!$E$3,0)))),2)</f>
        <v>3</v>
      </c>
      <c r="X971" s="157">
        <f ca="1" t="shared" si="162"/>
        <v>10</v>
      </c>
      <c r="Y971" s="157">
        <f ca="1" t="shared" si="161"/>
        <v>15</v>
      </c>
      <c r="Z971" s="304">
        <f ca="1" t="shared" si="163"/>
        <v>7.5</v>
      </c>
      <c r="AA971" s="304">
        <f ca="1">OFFSET(卡牌辅助配置表!$AD$1,MATCH(AB971,卡牌辅助配置表!AB:AB,0)-1,0)</f>
        <v>18</v>
      </c>
      <c r="AB971" s="304">
        <f ca="1" t="shared" si="167"/>
        <v>1101</v>
      </c>
      <c r="AC971" s="153">
        <v>12</v>
      </c>
      <c r="AF971" s="153" t="str">
        <f ca="1" t="shared" si="160"/>
        <v>20070011|</v>
      </c>
      <c r="AJ971" s="205" t="str">
        <f ca="1" t="shared" si="168"/>
        <v>400023|700|;</v>
      </c>
      <c r="AK971" s="205">
        <f ca="1">OFFSET([1]item_type!$A$1,MATCH(Q971,[1]item_type!$G:$G,0)-1,0)</f>
        <v>302007</v>
      </c>
      <c r="AL971" s="205"/>
      <c r="AM971" s="205">
        <f ca="1">IF(B971=B972,OFFSET(卡牌辅助配置表!$AE$1,MATCH(AB971,卡牌辅助配置表!AB:AB,0),0),0)</f>
        <v>700</v>
      </c>
      <c r="AN971" s="153">
        <f ca="1" t="shared" si="169"/>
        <v>2007002</v>
      </c>
      <c r="AP971" s="153">
        <f ca="1">IF(AC971=0,0,IF(AC971=12,0,OFFSET(effect!$N$1,MATCH(K971,effect!M:M,0)-1,0)))</f>
        <v>0</v>
      </c>
    </row>
    <row r="972" spans="1:42">
      <c r="A972" s="153">
        <f ca="1" t="shared" si="165"/>
        <v>2007002</v>
      </c>
      <c r="B972" s="91" t="s">
        <v>341</v>
      </c>
      <c r="C972" s="186">
        <v>2</v>
      </c>
      <c r="D972" s="186">
        <v>3</v>
      </c>
      <c r="E972" s="165" t="s">
        <v>1058</v>
      </c>
      <c r="F972" s="179" t="s">
        <v>1059</v>
      </c>
      <c r="G972" s="186">
        <f ca="1">OFFSET(卡牌辅助配置表!$C$1,MATCH(AC972,卡牌辅助配置表!A:A,0)-1,0)</f>
        <v>0</v>
      </c>
      <c r="H972" s="186">
        <f ca="1">OFFSET(skill!$Q$1,MATCH(B972,skill!B:B,0)-1,0)</f>
        <v>5</v>
      </c>
      <c r="I972" s="186"/>
      <c r="J972" s="186">
        <f ca="1">OFFSET(card_type!$F$1,MATCH(Q972,card_type!A:A,0)-1,0)</f>
        <v>1</v>
      </c>
      <c r="K972" s="243">
        <f ca="1">OFFSET(card_type!$G$1,MATCH(Q972,card_type!A:A,0)-1,0)</f>
        <v>1</v>
      </c>
      <c r="L972" s="157">
        <v>2</v>
      </c>
      <c r="M972" s="157">
        <v>2</v>
      </c>
      <c r="N972" s="153">
        <f t="shared" si="164"/>
        <v>2</v>
      </c>
      <c r="O972" s="157"/>
      <c r="P972" s="157"/>
      <c r="Q972" s="153">
        <f ca="1">OFFSET(card_type!$A$1,MATCH(card!B972,card_type!B:B,0)-1,0)</f>
        <v>2007</v>
      </c>
      <c r="R972" s="153">
        <v>1</v>
      </c>
      <c r="S972" s="157">
        <f ca="1">ROUND(IF(R972=0,0,IF(R972=1,X972*$S$1,IF(R972=2,X972*$S$1*buff的资质计算!$E$2,IF(R972=3,X972*$S$1*buff的资质计算!$E$3,0)))),0)*0</f>
        <v>0</v>
      </c>
      <c r="T972" s="153">
        <v>4</v>
      </c>
      <c r="U972" s="153">
        <f ca="1" t="shared" si="166"/>
        <v>11</v>
      </c>
      <c r="V972" s="153">
        <f ca="1">ROUND((OFFSET(卡牌辅助配置表!$O$1,MATCH(U972,卡牌辅助配置表!M:M,0)-1,0)+(N972-1)*OFFSET(卡牌辅助配置表!$P$1,MATCH(U972,卡牌辅助配置表!M:M,0)-1,0))*M972,2)</f>
        <v>12.96</v>
      </c>
      <c r="W972" s="157">
        <f ca="1">ROUND(IF(R972=0,0,IF(R972=1,X972*$W$1,IF(R972=2,X972*$W$1*buff的资质计算!$E$2,IF(R972=3,X972*$W$1*buff的资质计算!$E$3,0)))),2)</f>
        <v>3.15</v>
      </c>
      <c r="X972" s="157">
        <f ca="1" t="shared" si="162"/>
        <v>10.5</v>
      </c>
      <c r="Y972" s="157">
        <f ca="1" t="shared" si="161"/>
        <v>15.5</v>
      </c>
      <c r="Z972" s="304">
        <f ca="1" t="shared" si="163"/>
        <v>7.75</v>
      </c>
      <c r="AA972" s="304">
        <f ca="1">OFFSET(卡牌辅助配置表!$AD$1,MATCH(AB972,卡牌辅助配置表!AB:AB,0)-1,0)</f>
        <v>36</v>
      </c>
      <c r="AB972" s="304">
        <f ca="1" t="shared" si="167"/>
        <v>1102</v>
      </c>
      <c r="AC972" s="153">
        <v>12</v>
      </c>
      <c r="AF972" s="153" t="str">
        <f ca="1" t="shared" si="160"/>
        <v>20070011|</v>
      </c>
      <c r="AJ972" s="205" t="str">
        <f ca="1" t="shared" si="168"/>
        <v>400023|900|;</v>
      </c>
      <c r="AK972" s="205">
        <f ca="1">OFFSET([1]item_type!$A$1,MATCH(Q972,[1]item_type!$G:$G,0)-1,0)</f>
        <v>302007</v>
      </c>
      <c r="AL972" s="205"/>
      <c r="AM972" s="205">
        <f ca="1">IF(B972=B973,OFFSET(卡牌辅助配置表!$AE$1,MATCH(AB972,卡牌辅助配置表!AB:AB,0),0),0)</f>
        <v>900</v>
      </c>
      <c r="AN972" s="153">
        <f ca="1" t="shared" si="169"/>
        <v>2007003</v>
      </c>
      <c r="AP972" s="153">
        <f ca="1">IF(AC972=0,0,IF(AC972=12,0,OFFSET(effect!$N$1,MATCH(K972,effect!M:M,0)-1,0)))</f>
        <v>0</v>
      </c>
    </row>
    <row r="973" spans="1:42">
      <c r="A973" s="153">
        <f ca="1" t="shared" si="165"/>
        <v>2007003</v>
      </c>
      <c r="B973" s="91" t="s">
        <v>341</v>
      </c>
      <c r="C973" s="186">
        <v>2</v>
      </c>
      <c r="D973" s="186">
        <v>3</v>
      </c>
      <c r="E973" s="165" t="s">
        <v>1058</v>
      </c>
      <c r="F973" s="179" t="s">
        <v>1059</v>
      </c>
      <c r="G973" s="186">
        <f ca="1">OFFSET(卡牌辅助配置表!$C$1,MATCH(AC973,卡牌辅助配置表!A:A,0)-1,0)</f>
        <v>0</v>
      </c>
      <c r="H973" s="186">
        <f ca="1">OFFSET(skill!$Q$1,MATCH(B973,skill!B:B,0)-1,0)</f>
        <v>5</v>
      </c>
      <c r="I973" s="186"/>
      <c r="J973" s="186">
        <f ca="1">OFFSET(card_type!$F$1,MATCH(Q973,card_type!A:A,0)-1,0)</f>
        <v>1</v>
      </c>
      <c r="K973" s="243">
        <f ca="1">OFFSET(card_type!$G$1,MATCH(Q973,card_type!A:A,0)-1,0)</f>
        <v>1</v>
      </c>
      <c r="L973" s="157">
        <v>2</v>
      </c>
      <c r="M973" s="157">
        <v>2</v>
      </c>
      <c r="N973" s="153">
        <f t="shared" si="164"/>
        <v>3</v>
      </c>
      <c r="O973" s="157"/>
      <c r="P973" s="157"/>
      <c r="Q973" s="153">
        <f ca="1">OFFSET(card_type!$A$1,MATCH(card!B973,card_type!B:B,0)-1,0)</f>
        <v>2007</v>
      </c>
      <c r="R973" s="153">
        <v>1</v>
      </c>
      <c r="S973" s="157">
        <f ca="1">ROUND(IF(R973=0,0,IF(R973=1,X973*$S$1,IF(R973=2,X973*$S$1*buff的资质计算!$E$2,IF(R973=3,X973*$S$1*buff的资质计算!$E$3,0)))),0)*0</f>
        <v>0</v>
      </c>
      <c r="T973" s="153">
        <v>4</v>
      </c>
      <c r="U973" s="153">
        <f ca="1" t="shared" si="166"/>
        <v>11</v>
      </c>
      <c r="V973" s="153">
        <f ca="1">ROUND((OFFSET(卡牌辅助配置表!$O$1,MATCH(U973,卡牌辅助配置表!M:M,0)-1,0)+(N973-1)*OFFSET(卡牌辅助配置表!$P$1,MATCH(U973,卡牌辅助配置表!M:M,0)-1,0))*M973,2)</f>
        <v>13.38</v>
      </c>
      <c r="W973" s="157">
        <f ca="1">ROUND(IF(R973=0,0,IF(R973=1,X973*$W$1,IF(R973=2,X973*$W$1*buff的资质计算!$E$2,IF(R973=3,X973*$W$1*buff的资质计算!$E$3,0)))),2)</f>
        <v>3.3</v>
      </c>
      <c r="X973" s="157">
        <f ca="1" t="shared" si="162"/>
        <v>11</v>
      </c>
      <c r="Y973" s="157">
        <f ca="1" t="shared" si="161"/>
        <v>16</v>
      </c>
      <c r="Z973" s="304">
        <f ca="1" t="shared" si="163"/>
        <v>8</v>
      </c>
      <c r="AA973" s="304">
        <f ca="1">OFFSET(卡牌辅助配置表!$AD$1,MATCH(AB973,卡牌辅助配置表!AB:AB,0)-1,0)</f>
        <v>54</v>
      </c>
      <c r="AB973" s="304">
        <f ca="1" t="shared" si="167"/>
        <v>1103</v>
      </c>
      <c r="AC973" s="153">
        <v>12</v>
      </c>
      <c r="AF973" s="153" t="str">
        <f ca="1" t="shared" si="160"/>
        <v>20070011|</v>
      </c>
      <c r="AJ973" s="205" t="str">
        <f ca="1" t="shared" si="168"/>
        <v>400023|1100|;</v>
      </c>
      <c r="AK973" s="205">
        <f ca="1">OFFSET([1]item_type!$A$1,MATCH(Q973,[1]item_type!$G:$G,0)-1,0)</f>
        <v>302007</v>
      </c>
      <c r="AL973" s="205"/>
      <c r="AM973" s="205">
        <f ca="1">IF(B973=B974,OFFSET(卡牌辅助配置表!$AE$1,MATCH(AB973,卡牌辅助配置表!AB:AB,0),0),0)</f>
        <v>1100</v>
      </c>
      <c r="AN973" s="153">
        <f ca="1" t="shared" si="169"/>
        <v>2007004</v>
      </c>
      <c r="AP973" s="153">
        <f ca="1">IF(AC973=0,0,IF(AC973=12,0,OFFSET(effect!$N$1,MATCH(K973,effect!M:M,0)-1,0)))</f>
        <v>0</v>
      </c>
    </row>
    <row r="974" spans="1:42">
      <c r="A974" s="153">
        <f ca="1" t="shared" si="165"/>
        <v>2007004</v>
      </c>
      <c r="B974" s="91" t="s">
        <v>341</v>
      </c>
      <c r="C974" s="186">
        <v>2</v>
      </c>
      <c r="D974" s="186">
        <v>3</v>
      </c>
      <c r="E974" s="165" t="s">
        <v>1058</v>
      </c>
      <c r="F974" s="179" t="s">
        <v>1059</v>
      </c>
      <c r="G974" s="186">
        <f ca="1">OFFSET(卡牌辅助配置表!$C$1,MATCH(AC974,卡牌辅助配置表!A:A,0)-1,0)</f>
        <v>0</v>
      </c>
      <c r="H974" s="186">
        <f ca="1">OFFSET(skill!$Q$1,MATCH(B974,skill!B:B,0)-1,0)</f>
        <v>5</v>
      </c>
      <c r="I974" s="186"/>
      <c r="J974" s="186">
        <f ca="1">OFFSET(card_type!$F$1,MATCH(Q974,card_type!A:A,0)-1,0)</f>
        <v>1</v>
      </c>
      <c r="K974" s="243">
        <f ca="1">OFFSET(card_type!$G$1,MATCH(Q974,card_type!A:A,0)-1,0)</f>
        <v>1</v>
      </c>
      <c r="L974" s="157">
        <v>2</v>
      </c>
      <c r="M974" s="157">
        <v>2</v>
      </c>
      <c r="N974" s="153">
        <f t="shared" si="164"/>
        <v>4</v>
      </c>
      <c r="O974" s="157"/>
      <c r="P974" s="157"/>
      <c r="Q974" s="153">
        <f ca="1">OFFSET(card_type!$A$1,MATCH(card!B974,card_type!B:B,0)-1,0)</f>
        <v>2007</v>
      </c>
      <c r="R974" s="153">
        <v>1</v>
      </c>
      <c r="S974" s="157">
        <f ca="1">ROUND(IF(R974=0,0,IF(R974=1,X974*$S$1,IF(R974=2,X974*$S$1*buff的资质计算!$E$2,IF(R974=3,X974*$S$1*buff的资质计算!$E$3,0)))),0)*0</f>
        <v>0</v>
      </c>
      <c r="T974" s="153">
        <v>4</v>
      </c>
      <c r="U974" s="153">
        <f ca="1" t="shared" si="166"/>
        <v>11</v>
      </c>
      <c r="V974" s="153">
        <f ca="1">ROUND((OFFSET(卡牌辅助配置表!$O$1,MATCH(U974,卡牌辅助配置表!M:M,0)-1,0)+(N974-1)*OFFSET(卡牌辅助配置表!$P$1,MATCH(U974,卡牌辅助配置表!M:M,0)-1,0))*M974,2)</f>
        <v>13.79</v>
      </c>
      <c r="W974" s="157">
        <f ca="1">ROUND(IF(R974=0,0,IF(R974=1,X974*$W$1,IF(R974=2,X974*$W$1*buff的资质计算!$E$2,IF(R974=3,X974*$W$1*buff的资质计算!$E$3,0)))),2)</f>
        <v>3.45</v>
      </c>
      <c r="X974" s="157">
        <f ca="1" t="shared" si="162"/>
        <v>11.5</v>
      </c>
      <c r="Y974" s="157">
        <f ca="1" t="shared" si="161"/>
        <v>16.5</v>
      </c>
      <c r="Z974" s="304">
        <f ca="1" t="shared" si="163"/>
        <v>8.25</v>
      </c>
      <c r="AA974" s="304">
        <f ca="1">OFFSET(卡牌辅助配置表!$AD$1,MATCH(AB974,卡牌辅助配置表!AB:AB,0)-1,0)</f>
        <v>72</v>
      </c>
      <c r="AB974" s="304">
        <f ca="1" t="shared" si="167"/>
        <v>1104</v>
      </c>
      <c r="AC974" s="153">
        <v>12</v>
      </c>
      <c r="AF974" s="153" t="str">
        <f ca="1" t="shared" si="160"/>
        <v>20070011|</v>
      </c>
      <c r="AJ974" s="205" t="str">
        <f ca="1" t="shared" si="168"/>
        <v>400023|1300|;</v>
      </c>
      <c r="AK974" s="205">
        <f ca="1">OFFSET([1]item_type!$A$1,MATCH(Q974,[1]item_type!$G:$G,0)-1,0)</f>
        <v>302007</v>
      </c>
      <c r="AL974" s="205"/>
      <c r="AM974" s="205">
        <f ca="1">IF(B974=B975,OFFSET(卡牌辅助配置表!$AE$1,MATCH(AB974,卡牌辅助配置表!AB:AB,0),0),0)</f>
        <v>1300</v>
      </c>
      <c r="AN974" s="153">
        <f ca="1" t="shared" si="169"/>
        <v>2007005</v>
      </c>
      <c r="AP974" s="153">
        <f ca="1">IF(AC974=0,0,IF(AC974=12,0,OFFSET(effect!$N$1,MATCH(K974,effect!M:M,0)-1,0)))</f>
        <v>0</v>
      </c>
    </row>
    <row r="975" spans="1:42">
      <c r="A975" s="153">
        <f ca="1" t="shared" si="165"/>
        <v>2007005</v>
      </c>
      <c r="B975" s="91" t="s">
        <v>341</v>
      </c>
      <c r="C975" s="186">
        <v>2</v>
      </c>
      <c r="D975" s="186">
        <v>3</v>
      </c>
      <c r="E975" s="165" t="s">
        <v>1058</v>
      </c>
      <c r="F975" s="179" t="s">
        <v>1059</v>
      </c>
      <c r="G975" s="186">
        <f ca="1">OFFSET(卡牌辅助配置表!$C$1,MATCH(AC975,卡牌辅助配置表!A:A,0)-1,0)</f>
        <v>0</v>
      </c>
      <c r="H975" s="186">
        <f ca="1">OFFSET(skill!$Q$1,MATCH(B975,skill!B:B,0)-1,0)</f>
        <v>5</v>
      </c>
      <c r="I975" s="186"/>
      <c r="J975" s="186">
        <f ca="1">OFFSET(card_type!$F$1,MATCH(Q975,card_type!A:A,0)-1,0)</f>
        <v>1</v>
      </c>
      <c r="K975" s="243">
        <f ca="1">OFFSET(card_type!$G$1,MATCH(Q975,card_type!A:A,0)-1,0)</f>
        <v>1</v>
      </c>
      <c r="L975" s="157">
        <v>2</v>
      </c>
      <c r="M975" s="157">
        <v>2</v>
      </c>
      <c r="N975" s="153">
        <f t="shared" si="164"/>
        <v>5</v>
      </c>
      <c r="O975" s="157"/>
      <c r="P975" s="157"/>
      <c r="Q975" s="153">
        <f ca="1">OFFSET(card_type!$A$1,MATCH(card!B975,card_type!B:B,0)-1,0)</f>
        <v>2007</v>
      </c>
      <c r="R975" s="153">
        <v>1</v>
      </c>
      <c r="S975" s="157">
        <f ca="1">ROUND(IF(R975=0,0,IF(R975=1,X975*$S$1,IF(R975=2,X975*$S$1*buff的资质计算!$E$2,IF(R975=3,X975*$S$1*buff的资质计算!$E$3,0)))),0)*0</f>
        <v>0</v>
      </c>
      <c r="T975" s="153">
        <v>4</v>
      </c>
      <c r="U975" s="153">
        <f ca="1" t="shared" si="166"/>
        <v>11</v>
      </c>
      <c r="V975" s="153">
        <f ca="1">ROUND((OFFSET(卡牌辅助配置表!$O$1,MATCH(U975,卡牌辅助配置表!M:M,0)-1,0)+(N975-1)*OFFSET(卡牌辅助配置表!$P$1,MATCH(U975,卡牌辅助配置表!M:M,0)-1,0))*M975,2)</f>
        <v>14.21</v>
      </c>
      <c r="W975" s="157">
        <f ca="1">ROUND(IF(R975=0,0,IF(R975=1,X975*$W$1,IF(R975=2,X975*$W$1*buff的资质计算!$E$2,IF(R975=3,X975*$W$1*buff的资质计算!$E$3,0)))),2)</f>
        <v>3.6</v>
      </c>
      <c r="X975" s="157">
        <f ca="1" t="shared" si="162"/>
        <v>12</v>
      </c>
      <c r="Y975" s="157">
        <f ca="1" t="shared" si="161"/>
        <v>17</v>
      </c>
      <c r="Z975" s="304">
        <f ca="1" t="shared" si="163"/>
        <v>8.5</v>
      </c>
      <c r="AA975" s="304">
        <f ca="1">OFFSET(卡牌辅助配置表!$AD$1,MATCH(AB975,卡牌辅助配置表!AB:AB,0)-1,0)</f>
        <v>90</v>
      </c>
      <c r="AB975" s="304">
        <f ca="1" t="shared" si="167"/>
        <v>1105</v>
      </c>
      <c r="AC975" s="153">
        <v>12</v>
      </c>
      <c r="AF975" s="153" t="str">
        <f ca="1" t="shared" si="160"/>
        <v>20070011|</v>
      </c>
      <c r="AJ975" s="205" t="str">
        <f ca="1" t="shared" si="168"/>
        <v>400023|1500|;</v>
      </c>
      <c r="AK975" s="205">
        <f ca="1">OFFSET([1]item_type!$A$1,MATCH(Q975,[1]item_type!$G:$G,0)-1,0)</f>
        <v>302007</v>
      </c>
      <c r="AL975" s="205"/>
      <c r="AM975" s="205">
        <f ca="1">IF(B975=B976,OFFSET(卡牌辅助配置表!$AE$1,MATCH(AB975,卡牌辅助配置表!AB:AB,0),0),0)</f>
        <v>1500</v>
      </c>
      <c r="AN975" s="153">
        <f ca="1" t="shared" si="169"/>
        <v>2007006</v>
      </c>
      <c r="AP975" s="153">
        <f ca="1">IF(AC975=0,0,IF(AC975=12,0,OFFSET(effect!$N$1,MATCH(K975,effect!M:M,0)-1,0)))</f>
        <v>0</v>
      </c>
    </row>
    <row r="976" spans="1:42">
      <c r="A976" s="153">
        <f ca="1" t="shared" si="165"/>
        <v>2007006</v>
      </c>
      <c r="B976" s="91" t="s">
        <v>341</v>
      </c>
      <c r="C976" s="186">
        <v>2</v>
      </c>
      <c r="D976" s="186">
        <v>3</v>
      </c>
      <c r="E976" s="165" t="s">
        <v>1058</v>
      </c>
      <c r="F976" s="179" t="s">
        <v>1059</v>
      </c>
      <c r="G976" s="186">
        <f ca="1">OFFSET(卡牌辅助配置表!$C$1,MATCH(AC976,卡牌辅助配置表!A:A,0)-1,0)</f>
        <v>0</v>
      </c>
      <c r="H976" s="186">
        <f ca="1">OFFSET(skill!$Q$1,MATCH(B976,skill!B:B,0)-1,0)</f>
        <v>5</v>
      </c>
      <c r="I976" s="186"/>
      <c r="J976" s="186">
        <f ca="1">OFFSET(card_type!$F$1,MATCH(Q976,card_type!A:A,0)-1,0)</f>
        <v>1</v>
      </c>
      <c r="K976" s="243">
        <f ca="1">OFFSET(card_type!$G$1,MATCH(Q976,card_type!A:A,0)-1,0)</f>
        <v>1</v>
      </c>
      <c r="L976" s="157">
        <v>2</v>
      </c>
      <c r="M976" s="157">
        <v>2</v>
      </c>
      <c r="N976" s="153">
        <f t="shared" si="164"/>
        <v>6</v>
      </c>
      <c r="O976" s="157"/>
      <c r="P976" s="157"/>
      <c r="Q976" s="153">
        <f ca="1">OFFSET(card_type!$A$1,MATCH(card!B976,card_type!B:B,0)-1,0)</f>
        <v>2007</v>
      </c>
      <c r="R976" s="153">
        <v>1</v>
      </c>
      <c r="S976" s="157">
        <f ca="1">ROUND(IF(R976=0,0,IF(R976=1,X976*$S$1,IF(R976=2,X976*$S$1*buff的资质计算!$E$2,IF(R976=3,X976*$S$1*buff的资质计算!$E$3,0)))),0)*0</f>
        <v>0</v>
      </c>
      <c r="T976" s="153">
        <v>4</v>
      </c>
      <c r="U976" s="153">
        <f ca="1" t="shared" si="166"/>
        <v>11</v>
      </c>
      <c r="V976" s="153">
        <f ca="1">ROUND((OFFSET(卡牌辅助配置表!$O$1,MATCH(U976,卡牌辅助配置表!M:M,0)-1,0)+(N976-1)*OFFSET(卡牌辅助配置表!$P$1,MATCH(U976,卡牌辅助配置表!M:M,0)-1,0))*M976,2)</f>
        <v>14.63</v>
      </c>
      <c r="W976" s="157">
        <f ca="1">ROUND(IF(R976=0,0,IF(R976=1,X976*$W$1,IF(R976=2,X976*$W$1*buff的资质计算!$E$2,IF(R976=3,X976*$W$1*buff的资质计算!$E$3,0)))),2)</f>
        <v>3.75</v>
      </c>
      <c r="X976" s="157">
        <f ca="1" t="shared" si="162"/>
        <v>12.5</v>
      </c>
      <c r="Y976" s="157">
        <f ca="1" t="shared" si="161"/>
        <v>17.5</v>
      </c>
      <c r="Z976" s="304">
        <f ca="1" t="shared" si="163"/>
        <v>8.75</v>
      </c>
      <c r="AA976" s="304">
        <f ca="1">OFFSET(卡牌辅助配置表!$AD$1,MATCH(AB976,卡牌辅助配置表!AB:AB,0)-1,0)</f>
        <v>108</v>
      </c>
      <c r="AB976" s="304">
        <f ca="1" t="shared" si="167"/>
        <v>1106</v>
      </c>
      <c r="AC976" s="153">
        <v>12</v>
      </c>
      <c r="AF976" s="153" t="str">
        <f ca="1" t="shared" ref="AF976:AF1039" si="170">((Q976*1000+1)*10+1)&amp;$AF$1</f>
        <v>20070011|</v>
      </c>
      <c r="AJ976" s="205" t="str">
        <f ca="1" t="shared" si="168"/>
        <v>400023|1700|;</v>
      </c>
      <c r="AK976" s="205">
        <f ca="1">OFFSET([1]item_type!$A$1,MATCH(Q976,[1]item_type!$G:$G,0)-1,0)</f>
        <v>302007</v>
      </c>
      <c r="AL976" s="205"/>
      <c r="AM976" s="205">
        <f ca="1">IF(B976=B977,OFFSET(卡牌辅助配置表!$AE$1,MATCH(AB976,卡牌辅助配置表!AB:AB,0),0),0)</f>
        <v>1700</v>
      </c>
      <c r="AN976" s="153">
        <f ca="1" t="shared" si="169"/>
        <v>2007007</v>
      </c>
      <c r="AP976" s="153">
        <f ca="1">IF(AC976=0,0,IF(AC976=12,0,OFFSET(effect!$N$1,MATCH(K976,effect!M:M,0)-1,0)))</f>
        <v>0</v>
      </c>
    </row>
    <row r="977" spans="1:42">
      <c r="A977" s="153">
        <f ca="1" t="shared" si="165"/>
        <v>2007007</v>
      </c>
      <c r="B977" s="91" t="s">
        <v>341</v>
      </c>
      <c r="C977" s="186">
        <v>2</v>
      </c>
      <c r="D977" s="186">
        <v>3</v>
      </c>
      <c r="E977" s="165" t="s">
        <v>1058</v>
      </c>
      <c r="F977" s="179" t="s">
        <v>1059</v>
      </c>
      <c r="G977" s="186">
        <f ca="1">OFFSET(卡牌辅助配置表!$C$1,MATCH(AC977,卡牌辅助配置表!A:A,0)-1,0)</f>
        <v>0</v>
      </c>
      <c r="H977" s="186">
        <f ca="1">OFFSET(skill!$Q$1,MATCH(B977,skill!B:B,0)-1,0)</f>
        <v>5</v>
      </c>
      <c r="I977" s="186"/>
      <c r="J977" s="186">
        <f ca="1">OFFSET(card_type!$F$1,MATCH(Q977,card_type!A:A,0)-1,0)</f>
        <v>1</v>
      </c>
      <c r="K977" s="243">
        <f ca="1">OFFSET(card_type!$G$1,MATCH(Q977,card_type!A:A,0)-1,0)</f>
        <v>1</v>
      </c>
      <c r="L977" s="157">
        <v>2</v>
      </c>
      <c r="M977" s="157">
        <v>2</v>
      </c>
      <c r="N977" s="153">
        <f t="shared" si="164"/>
        <v>7</v>
      </c>
      <c r="O977" s="157"/>
      <c r="P977" s="157"/>
      <c r="Q977" s="153">
        <f ca="1">OFFSET(card_type!$A$1,MATCH(card!B977,card_type!B:B,0)-1,0)</f>
        <v>2007</v>
      </c>
      <c r="R977" s="153">
        <v>1</v>
      </c>
      <c r="S977" s="157">
        <f ca="1">ROUND(IF(R977=0,0,IF(R977=1,X977*$S$1,IF(R977=2,X977*$S$1*buff的资质计算!$E$2,IF(R977=3,X977*$S$1*buff的资质计算!$E$3,0)))),0)*0</f>
        <v>0</v>
      </c>
      <c r="T977" s="153">
        <v>4</v>
      </c>
      <c r="U977" s="153">
        <f ca="1" t="shared" si="166"/>
        <v>11</v>
      </c>
      <c r="V977" s="153">
        <f ca="1">ROUND((OFFSET(卡牌辅助配置表!$O$1,MATCH(U977,卡牌辅助配置表!M:M,0)-1,0)+(N977-1)*OFFSET(卡牌辅助配置表!$P$1,MATCH(U977,卡牌辅助配置表!M:M,0)-1,0))*M977,2)</f>
        <v>15.05</v>
      </c>
      <c r="W977" s="157">
        <f ca="1">ROUND(IF(R977=0,0,IF(R977=1,X977*$W$1,IF(R977=2,X977*$W$1*buff的资质计算!$E$2,IF(R977=3,X977*$W$1*buff的资质计算!$E$3,0)))),2)</f>
        <v>3.9</v>
      </c>
      <c r="X977" s="157">
        <f ca="1" t="shared" si="162"/>
        <v>13</v>
      </c>
      <c r="Y977" s="157">
        <f ca="1" t="shared" si="161"/>
        <v>18</v>
      </c>
      <c r="Z977" s="304">
        <f ca="1" t="shared" si="163"/>
        <v>9</v>
      </c>
      <c r="AA977" s="304">
        <f ca="1">OFFSET(卡牌辅助配置表!$AD$1,MATCH(AB977,卡牌辅助配置表!AB:AB,0)-1,0)</f>
        <v>126</v>
      </c>
      <c r="AB977" s="304">
        <f ca="1" t="shared" si="167"/>
        <v>1107</v>
      </c>
      <c r="AC977" s="153">
        <v>12</v>
      </c>
      <c r="AF977" s="153" t="str">
        <f ca="1" t="shared" si="170"/>
        <v>20070011|</v>
      </c>
      <c r="AJ977" s="205" t="str">
        <f ca="1" t="shared" si="168"/>
        <v>400023|1900|;</v>
      </c>
      <c r="AK977" s="205">
        <f ca="1">OFFSET([1]item_type!$A$1,MATCH(Q977,[1]item_type!$G:$G,0)-1,0)</f>
        <v>302007</v>
      </c>
      <c r="AL977" s="205"/>
      <c r="AM977" s="205">
        <f ca="1">IF(B977=B978,OFFSET(卡牌辅助配置表!$AE$1,MATCH(AB977,卡牌辅助配置表!AB:AB,0),0),0)</f>
        <v>1900</v>
      </c>
      <c r="AN977" s="153">
        <f ca="1" t="shared" si="169"/>
        <v>2007008</v>
      </c>
      <c r="AP977" s="153">
        <f ca="1">IF(AC977=0,0,IF(AC977=12,0,OFFSET(effect!$N$1,MATCH(K977,effect!M:M,0)-1,0)))</f>
        <v>0</v>
      </c>
    </row>
    <row r="978" spans="1:42">
      <c r="A978" s="153">
        <f ca="1" t="shared" si="165"/>
        <v>2007008</v>
      </c>
      <c r="B978" s="91" t="s">
        <v>341</v>
      </c>
      <c r="C978" s="186">
        <v>2</v>
      </c>
      <c r="D978" s="186">
        <v>3</v>
      </c>
      <c r="E978" s="165" t="s">
        <v>1058</v>
      </c>
      <c r="F978" s="179" t="s">
        <v>1059</v>
      </c>
      <c r="G978" s="186">
        <f ca="1">OFFSET(卡牌辅助配置表!$C$1,MATCH(AC978,卡牌辅助配置表!A:A,0)-1,0)</f>
        <v>0</v>
      </c>
      <c r="H978" s="186">
        <f ca="1">OFFSET(skill!$Q$1,MATCH(B978,skill!B:B,0)-1,0)</f>
        <v>5</v>
      </c>
      <c r="I978" s="186"/>
      <c r="J978" s="186">
        <f ca="1">OFFSET(card_type!$F$1,MATCH(Q978,card_type!A:A,0)-1,0)</f>
        <v>1</v>
      </c>
      <c r="K978" s="243">
        <f ca="1">OFFSET(card_type!$G$1,MATCH(Q978,card_type!A:A,0)-1,0)</f>
        <v>1</v>
      </c>
      <c r="L978" s="157">
        <v>2</v>
      </c>
      <c r="M978" s="157">
        <v>2</v>
      </c>
      <c r="N978" s="153">
        <f t="shared" si="164"/>
        <v>8</v>
      </c>
      <c r="O978" s="157"/>
      <c r="P978" s="157"/>
      <c r="Q978" s="153">
        <f ca="1">OFFSET(card_type!$A$1,MATCH(card!B978,card_type!B:B,0)-1,0)</f>
        <v>2007</v>
      </c>
      <c r="R978" s="153">
        <v>1</v>
      </c>
      <c r="S978" s="157">
        <f ca="1">ROUND(IF(R978=0,0,IF(R978=1,X978*$S$1,IF(R978=2,X978*$S$1*buff的资质计算!$E$2,IF(R978=3,X978*$S$1*buff的资质计算!$E$3,0)))),0)*0</f>
        <v>0</v>
      </c>
      <c r="T978" s="153">
        <v>4</v>
      </c>
      <c r="U978" s="153">
        <f ca="1" t="shared" si="166"/>
        <v>11</v>
      </c>
      <c r="V978" s="153">
        <f ca="1">ROUND((OFFSET(卡牌辅助配置表!$O$1,MATCH(U978,卡牌辅助配置表!M:M,0)-1,0)+(N978-1)*OFFSET(卡牌辅助配置表!$P$1,MATCH(U978,卡牌辅助配置表!M:M,0)-1,0))*M978,2)</f>
        <v>15.47</v>
      </c>
      <c r="W978" s="157">
        <f ca="1">ROUND(IF(R978=0,0,IF(R978=1,X978*$W$1,IF(R978=2,X978*$W$1*buff的资质计算!$E$2,IF(R978=3,X978*$W$1*buff的资质计算!$E$3,0)))),2)</f>
        <v>4.05</v>
      </c>
      <c r="X978" s="157">
        <f ca="1" t="shared" si="162"/>
        <v>13.5</v>
      </c>
      <c r="Y978" s="157">
        <f ca="1" t="shared" si="161"/>
        <v>18.5</v>
      </c>
      <c r="Z978" s="304">
        <f ca="1" t="shared" si="163"/>
        <v>9.25</v>
      </c>
      <c r="AA978" s="304">
        <f ca="1">OFFSET(卡牌辅助配置表!$AD$1,MATCH(AB978,卡牌辅助配置表!AB:AB,0)-1,0)</f>
        <v>144</v>
      </c>
      <c r="AB978" s="304">
        <f ca="1" t="shared" si="167"/>
        <v>1108</v>
      </c>
      <c r="AC978" s="153">
        <v>12</v>
      </c>
      <c r="AF978" s="153" t="str">
        <f ca="1" t="shared" si="170"/>
        <v>20070011|</v>
      </c>
      <c r="AJ978" s="205" t="str">
        <f ca="1" t="shared" si="168"/>
        <v>400023|2100|;</v>
      </c>
      <c r="AK978" s="205">
        <f ca="1">OFFSET([1]item_type!$A$1,MATCH(Q978,[1]item_type!$G:$G,0)-1,0)</f>
        <v>302007</v>
      </c>
      <c r="AL978" s="205"/>
      <c r="AM978" s="205">
        <f ca="1">IF(B978=B979,OFFSET(卡牌辅助配置表!$AE$1,MATCH(AB978,卡牌辅助配置表!AB:AB,0),0),0)</f>
        <v>2100</v>
      </c>
      <c r="AN978" s="153">
        <f ca="1" t="shared" si="169"/>
        <v>2007009</v>
      </c>
      <c r="AP978" s="153">
        <f ca="1">IF(AC978=0,0,IF(AC978=12,0,OFFSET(effect!$N$1,MATCH(K978,effect!M:M,0)-1,0)))</f>
        <v>0</v>
      </c>
    </row>
    <row r="979" spans="1:42">
      <c r="A979" s="153">
        <f ca="1" t="shared" si="165"/>
        <v>2007009</v>
      </c>
      <c r="B979" s="91" t="s">
        <v>341</v>
      </c>
      <c r="C979" s="186">
        <v>2</v>
      </c>
      <c r="D979" s="186">
        <v>3</v>
      </c>
      <c r="E979" s="165" t="s">
        <v>1058</v>
      </c>
      <c r="F979" s="179" t="s">
        <v>1059</v>
      </c>
      <c r="G979" s="186">
        <f ca="1">OFFSET(卡牌辅助配置表!$C$1,MATCH(AC979,卡牌辅助配置表!A:A,0)-1,0)</f>
        <v>0</v>
      </c>
      <c r="H979" s="186">
        <f ca="1">OFFSET(skill!$Q$1,MATCH(B979,skill!B:B,0)-1,0)</f>
        <v>5</v>
      </c>
      <c r="I979" s="186"/>
      <c r="J979" s="186">
        <f ca="1">OFFSET(card_type!$F$1,MATCH(Q979,card_type!A:A,0)-1,0)</f>
        <v>1</v>
      </c>
      <c r="K979" s="243">
        <f ca="1">OFFSET(card_type!$G$1,MATCH(Q979,card_type!A:A,0)-1,0)</f>
        <v>1</v>
      </c>
      <c r="L979" s="157">
        <v>2</v>
      </c>
      <c r="M979" s="157">
        <v>2</v>
      </c>
      <c r="N979" s="153">
        <f t="shared" si="164"/>
        <v>9</v>
      </c>
      <c r="O979" s="157"/>
      <c r="P979" s="157"/>
      <c r="Q979" s="153">
        <f ca="1">OFFSET(card_type!$A$1,MATCH(card!B979,card_type!B:B,0)-1,0)</f>
        <v>2007</v>
      </c>
      <c r="R979" s="153">
        <v>1</v>
      </c>
      <c r="S979" s="157">
        <f ca="1">ROUND(IF(R979=0,0,IF(R979=1,X979*$S$1,IF(R979=2,X979*$S$1*buff的资质计算!$E$2,IF(R979=3,X979*$S$1*buff的资质计算!$E$3,0)))),0)*0</f>
        <v>0</v>
      </c>
      <c r="T979" s="153">
        <v>4</v>
      </c>
      <c r="U979" s="153">
        <f ca="1" t="shared" si="166"/>
        <v>11</v>
      </c>
      <c r="V979" s="153">
        <f ca="1">ROUND((OFFSET(卡牌辅助配置表!$O$1,MATCH(U979,卡牌辅助配置表!M:M,0)-1,0)+(N979-1)*OFFSET(卡牌辅助配置表!$P$1,MATCH(U979,卡牌辅助配置表!M:M,0)-1,0))*M979,2)</f>
        <v>15.88</v>
      </c>
      <c r="W979" s="157">
        <f ca="1">ROUND(IF(R979=0,0,IF(R979=1,X979*$W$1,IF(R979=2,X979*$W$1*buff的资质计算!$E$2,IF(R979=3,X979*$W$1*buff的资质计算!$E$3,0)))),2)</f>
        <v>4.2</v>
      </c>
      <c r="X979" s="157">
        <f ca="1" t="shared" si="162"/>
        <v>14</v>
      </c>
      <c r="Y979" s="157">
        <f ca="1" t="shared" ref="Y979:Y1042" si="171">X979+H979</f>
        <v>19</v>
      </c>
      <c r="Z979" s="304">
        <f ca="1" t="shared" si="163"/>
        <v>9.5</v>
      </c>
      <c r="AA979" s="304">
        <f ca="1">OFFSET(卡牌辅助配置表!$AD$1,MATCH(AB979,卡牌辅助配置表!AB:AB,0)-1,0)</f>
        <v>162</v>
      </c>
      <c r="AB979" s="304">
        <f ca="1" t="shared" si="167"/>
        <v>1109</v>
      </c>
      <c r="AC979" s="153">
        <v>12</v>
      </c>
      <c r="AF979" s="153" t="str">
        <f ca="1" t="shared" si="170"/>
        <v>20070011|</v>
      </c>
      <c r="AJ979" s="205" t="str">
        <f ca="1" t="shared" si="168"/>
        <v>302007|15|;400023|2300|;</v>
      </c>
      <c r="AK979" s="205">
        <f ca="1">OFFSET([1]item_type!$A$1,MATCH(Q979,[1]item_type!$G:$G,0)-1,0)</f>
        <v>302007</v>
      </c>
      <c r="AL979" s="205">
        <v>15</v>
      </c>
      <c r="AM979" s="205">
        <f ca="1">IF(B979=B980,OFFSET(卡牌辅助配置表!$AE$1,MATCH(AB979,卡牌辅助配置表!AB:AB,0),0),0)</f>
        <v>2300</v>
      </c>
      <c r="AN979" s="153">
        <f ca="1" t="shared" si="169"/>
        <v>2007010</v>
      </c>
      <c r="AP979" s="153">
        <f ca="1">IF(AC979=0,0,IF(AC979=12,0,OFFSET(effect!$N$1,MATCH(K979,effect!M:M,0)-1,0)))</f>
        <v>0</v>
      </c>
    </row>
    <row r="980" spans="1:42">
      <c r="A980" s="153">
        <f ca="1" t="shared" si="165"/>
        <v>2007010</v>
      </c>
      <c r="B980" s="91" t="s">
        <v>341</v>
      </c>
      <c r="C980" s="186">
        <v>2</v>
      </c>
      <c r="D980" s="186">
        <v>3</v>
      </c>
      <c r="E980" s="165" t="s">
        <v>1058</v>
      </c>
      <c r="F980" s="179" t="s">
        <v>1059</v>
      </c>
      <c r="G980" s="186">
        <f ca="1">OFFSET(卡牌辅助配置表!$C$1,MATCH(AC980,卡牌辅助配置表!A:A,0)-1,0)</f>
        <v>0</v>
      </c>
      <c r="H980" s="186">
        <f ca="1">OFFSET(skill!$Q$1,MATCH(B980,skill!B:B,0)-1,0)</f>
        <v>5</v>
      </c>
      <c r="I980" s="186"/>
      <c r="J980" s="186">
        <f ca="1">OFFSET(card_type!$F$1,MATCH(Q980,card_type!A:A,0)-1,0)</f>
        <v>1</v>
      </c>
      <c r="K980" s="243">
        <f ca="1">OFFSET(card_type!$G$1,MATCH(Q980,card_type!A:A,0)-1,0)</f>
        <v>1</v>
      </c>
      <c r="L980" s="157">
        <v>2</v>
      </c>
      <c r="M980" s="157">
        <v>2</v>
      </c>
      <c r="N980" s="153">
        <f t="shared" si="164"/>
        <v>10</v>
      </c>
      <c r="O980" s="157"/>
      <c r="P980" s="157"/>
      <c r="Q980" s="153">
        <f ca="1">OFFSET(card_type!$A$1,MATCH(card!B980,card_type!B:B,0)-1,0)</f>
        <v>2007</v>
      </c>
      <c r="R980" s="153">
        <v>1</v>
      </c>
      <c r="S980" s="157">
        <f ca="1">ROUND(IF(R980=0,0,IF(R980=1,X980*$S$1,IF(R980=2,X980*$S$1*buff的资质计算!$E$2,IF(R980=3,X980*$S$1*buff的资质计算!$E$3,0)))),0)*0</f>
        <v>0</v>
      </c>
      <c r="T980" s="153">
        <v>4</v>
      </c>
      <c r="U980" s="153">
        <f ca="1" t="shared" si="166"/>
        <v>11</v>
      </c>
      <c r="V980" s="153">
        <f ca="1">ROUND((OFFSET(卡牌辅助配置表!$O$1,MATCH(U980,卡牌辅助配置表!M:M,0)-1,0)+(N980-1)*OFFSET(卡牌辅助配置表!$P$1,MATCH(U980,卡牌辅助配置表!M:M,0)-1,0))*M980,2)</f>
        <v>16.3</v>
      </c>
      <c r="W980" s="157">
        <f ca="1">ROUND(IF(R980=0,0,IF(R980=1,X980*$W$1,IF(R980=2,X980*$W$1*buff的资质计算!$E$2,IF(R980=3,X980*$W$1*buff的资质计算!$E$3,0)))),2)</f>
        <v>4.35</v>
      </c>
      <c r="X980" s="157">
        <f ca="1" t="shared" si="162"/>
        <v>14.5</v>
      </c>
      <c r="Y980" s="157">
        <f ca="1" t="shared" si="171"/>
        <v>19.5</v>
      </c>
      <c r="Z980" s="304">
        <f ca="1" t="shared" si="163"/>
        <v>9.75</v>
      </c>
      <c r="AA980" s="304">
        <f ca="1">OFFSET(卡牌辅助配置表!$AD$1,MATCH(AB980,卡牌辅助配置表!AB:AB,0)-1,0)</f>
        <v>180</v>
      </c>
      <c r="AB980" s="304">
        <f ca="1" t="shared" si="167"/>
        <v>1110</v>
      </c>
      <c r="AC980" s="153">
        <v>12</v>
      </c>
      <c r="AF980" s="153" t="str">
        <f ca="1" t="shared" si="170"/>
        <v>20070011|</v>
      </c>
      <c r="AJ980" s="205" t="str">
        <f ca="1" t="shared" si="168"/>
        <v>400023|2700|;</v>
      </c>
      <c r="AK980" s="205">
        <f ca="1">OFFSET([1]item_type!$A$1,MATCH(Q980,[1]item_type!$G:$G,0)-1,0)</f>
        <v>302007</v>
      </c>
      <c r="AL980" s="205"/>
      <c r="AM980" s="205">
        <f ca="1">IF(B980=B981,OFFSET(卡牌辅助配置表!$AE$1,MATCH(AB980,卡牌辅助配置表!AB:AB,0),0),0)</f>
        <v>2700</v>
      </c>
      <c r="AN980" s="153">
        <f ca="1" t="shared" si="169"/>
        <v>2007011</v>
      </c>
      <c r="AP980" s="153">
        <f ca="1">IF(AC980=0,0,IF(AC980=12,0,OFFSET(effect!$N$1,MATCH(K980,effect!M:M,0)-1,0)))</f>
        <v>0</v>
      </c>
    </row>
    <row r="981" spans="1:42">
      <c r="A981" s="153">
        <f ca="1" t="shared" si="165"/>
        <v>2007011</v>
      </c>
      <c r="B981" s="91" t="s">
        <v>341</v>
      </c>
      <c r="C981" s="186">
        <v>2</v>
      </c>
      <c r="D981" s="186">
        <v>3</v>
      </c>
      <c r="E981" s="165" t="s">
        <v>1058</v>
      </c>
      <c r="F981" s="179" t="s">
        <v>1059</v>
      </c>
      <c r="G981" s="186">
        <f ca="1">OFFSET(卡牌辅助配置表!$C$1,MATCH(AC981,卡牌辅助配置表!A:A,0)-1,0)</f>
        <v>0</v>
      </c>
      <c r="H981" s="186">
        <f ca="1">OFFSET(skill!$Q$1,MATCH(B981,skill!B:B,0)-1,0)</f>
        <v>5</v>
      </c>
      <c r="I981" s="186"/>
      <c r="J981" s="186">
        <f ca="1">OFFSET(card_type!$F$1,MATCH(Q981,card_type!A:A,0)-1,0)</f>
        <v>1</v>
      </c>
      <c r="K981" s="243">
        <f ca="1">OFFSET(card_type!$G$1,MATCH(Q981,card_type!A:A,0)-1,0)</f>
        <v>1</v>
      </c>
      <c r="L981" s="157">
        <v>2</v>
      </c>
      <c r="M981" s="157">
        <v>2</v>
      </c>
      <c r="N981" s="153">
        <f t="shared" si="164"/>
        <v>11</v>
      </c>
      <c r="O981" s="157"/>
      <c r="P981" s="157"/>
      <c r="Q981" s="153">
        <f ca="1">OFFSET(card_type!$A$1,MATCH(card!B981,card_type!B:B,0)-1,0)</f>
        <v>2007</v>
      </c>
      <c r="R981" s="153">
        <v>1</v>
      </c>
      <c r="S981" s="157">
        <f ca="1">ROUND(IF(R981=0,0,IF(R981=1,X981*$S$1,IF(R981=2,X981*$S$1*buff的资质计算!$E$2,IF(R981=3,X981*$S$1*buff的资质计算!$E$3,0)))),0)*0</f>
        <v>0</v>
      </c>
      <c r="T981" s="153">
        <v>4</v>
      </c>
      <c r="U981" s="153">
        <f ca="1" t="shared" si="166"/>
        <v>11</v>
      </c>
      <c r="V981" s="153">
        <f ca="1">ROUND((OFFSET(卡牌辅助配置表!$O$1,MATCH(U981,卡牌辅助配置表!M:M,0)-1,0)+(N981-1)*OFFSET(卡牌辅助配置表!$P$1,MATCH(U981,卡牌辅助配置表!M:M,0)-1,0))*M981,2)</f>
        <v>16.72</v>
      </c>
      <c r="W981" s="157">
        <f ca="1">ROUND(IF(R981=0,0,IF(R981=1,X981*$W$1,IF(R981=2,X981*$W$1*buff的资质计算!$E$2,IF(R981=3,X981*$W$1*buff的资质计算!$E$3,0)))),2)</f>
        <v>4.5</v>
      </c>
      <c r="X981" s="157">
        <f ca="1" t="shared" si="162"/>
        <v>15</v>
      </c>
      <c r="Y981" s="157">
        <f ca="1" t="shared" si="171"/>
        <v>20</v>
      </c>
      <c r="Z981" s="304">
        <f ca="1" t="shared" si="163"/>
        <v>10</v>
      </c>
      <c r="AA981" s="304">
        <f ca="1">OFFSET(卡牌辅助配置表!$AD$1,MATCH(AB981,卡牌辅助配置表!AB:AB,0)-1,0)</f>
        <v>207</v>
      </c>
      <c r="AB981" s="304">
        <f ca="1" t="shared" si="167"/>
        <v>1111</v>
      </c>
      <c r="AC981" s="153">
        <v>12</v>
      </c>
      <c r="AF981" s="153" t="str">
        <f ca="1" t="shared" si="170"/>
        <v>20070011|</v>
      </c>
      <c r="AJ981" s="205" t="str">
        <f ca="1" t="shared" si="168"/>
        <v>400023|3100|;</v>
      </c>
      <c r="AK981" s="205">
        <f ca="1">OFFSET([1]item_type!$A$1,MATCH(Q981,[1]item_type!$G:$G,0)-1,0)</f>
        <v>302007</v>
      </c>
      <c r="AL981" s="205"/>
      <c r="AM981" s="205">
        <f ca="1">IF(B981=B982,OFFSET(卡牌辅助配置表!$AE$1,MATCH(AB981,卡牌辅助配置表!AB:AB,0),0),0)</f>
        <v>3100</v>
      </c>
      <c r="AN981" s="153">
        <f ca="1" t="shared" si="169"/>
        <v>2007012</v>
      </c>
      <c r="AP981" s="153">
        <f ca="1">IF(AC981=0,0,IF(AC981=12,0,OFFSET(effect!$N$1,MATCH(K981,effect!M:M,0)-1,0)))</f>
        <v>0</v>
      </c>
    </row>
    <row r="982" spans="1:42">
      <c r="A982" s="153">
        <f ca="1" t="shared" si="165"/>
        <v>2007012</v>
      </c>
      <c r="B982" s="91" t="s">
        <v>341</v>
      </c>
      <c r="C982" s="186">
        <v>2</v>
      </c>
      <c r="D982" s="186">
        <v>3</v>
      </c>
      <c r="E982" s="165" t="s">
        <v>1058</v>
      </c>
      <c r="F982" s="179" t="s">
        <v>1059</v>
      </c>
      <c r="G982" s="186">
        <f ca="1">OFFSET(卡牌辅助配置表!$C$1,MATCH(AC982,卡牌辅助配置表!A:A,0)-1,0)</f>
        <v>0</v>
      </c>
      <c r="H982" s="186">
        <f ca="1">OFFSET(skill!$Q$1,MATCH(B982,skill!B:B,0)-1,0)</f>
        <v>5</v>
      </c>
      <c r="I982" s="186"/>
      <c r="J982" s="186">
        <f ca="1">OFFSET(card_type!$F$1,MATCH(Q982,card_type!A:A,0)-1,0)</f>
        <v>1</v>
      </c>
      <c r="K982" s="243">
        <f ca="1">OFFSET(card_type!$G$1,MATCH(Q982,card_type!A:A,0)-1,0)</f>
        <v>1</v>
      </c>
      <c r="L982" s="157">
        <v>2</v>
      </c>
      <c r="M982" s="157">
        <v>2</v>
      </c>
      <c r="N982" s="153">
        <f t="shared" si="164"/>
        <v>12</v>
      </c>
      <c r="O982" s="157"/>
      <c r="P982" s="157"/>
      <c r="Q982" s="153">
        <f ca="1">OFFSET(card_type!$A$1,MATCH(card!B982,card_type!B:B,0)-1,0)</f>
        <v>2007</v>
      </c>
      <c r="R982" s="153">
        <v>1</v>
      </c>
      <c r="S982" s="157">
        <f ca="1">ROUND(IF(R982=0,0,IF(R982=1,X982*$S$1,IF(R982=2,X982*$S$1*buff的资质计算!$E$2,IF(R982=3,X982*$S$1*buff的资质计算!$E$3,0)))),0)*0</f>
        <v>0</v>
      </c>
      <c r="T982" s="153">
        <v>4</v>
      </c>
      <c r="U982" s="153">
        <f ca="1" t="shared" si="166"/>
        <v>11</v>
      </c>
      <c r="V982" s="153">
        <f ca="1">ROUND((OFFSET(卡牌辅助配置表!$O$1,MATCH(U982,卡牌辅助配置表!M:M,0)-1,0)+(N982-1)*OFFSET(卡牌辅助配置表!$P$1,MATCH(U982,卡牌辅助配置表!M:M,0)-1,0))*M982,2)</f>
        <v>17.14</v>
      </c>
      <c r="W982" s="157">
        <f ca="1">ROUND(IF(R982=0,0,IF(R982=1,X982*$W$1,IF(R982=2,X982*$W$1*buff的资质计算!$E$2,IF(R982=3,X982*$W$1*buff的资质计算!$E$3,0)))),2)</f>
        <v>4.65</v>
      </c>
      <c r="X982" s="157">
        <f ca="1" t="shared" si="162"/>
        <v>15.5</v>
      </c>
      <c r="Y982" s="157">
        <f ca="1" t="shared" si="171"/>
        <v>20.5</v>
      </c>
      <c r="Z982" s="304">
        <f ca="1" t="shared" si="163"/>
        <v>10.25</v>
      </c>
      <c r="AA982" s="304">
        <f ca="1">OFFSET(卡牌辅助配置表!$AD$1,MATCH(AB982,卡牌辅助配置表!AB:AB,0)-1,0)</f>
        <v>234</v>
      </c>
      <c r="AB982" s="304">
        <f ca="1" t="shared" si="167"/>
        <v>1112</v>
      </c>
      <c r="AC982" s="153">
        <v>12</v>
      </c>
      <c r="AF982" s="153" t="str">
        <f ca="1" t="shared" si="170"/>
        <v>20070011|</v>
      </c>
      <c r="AJ982" s="205" t="str">
        <f ca="1" t="shared" si="168"/>
        <v>400023|3500|;</v>
      </c>
      <c r="AK982" s="205">
        <f ca="1">OFFSET([1]item_type!$A$1,MATCH(Q982,[1]item_type!$G:$G,0)-1,0)</f>
        <v>302007</v>
      </c>
      <c r="AL982" s="205"/>
      <c r="AM982" s="205">
        <f ca="1">IF(B982=B983,OFFSET(卡牌辅助配置表!$AE$1,MATCH(AB982,卡牌辅助配置表!AB:AB,0),0),0)</f>
        <v>3500</v>
      </c>
      <c r="AN982" s="153">
        <f ca="1" t="shared" si="169"/>
        <v>2007013</v>
      </c>
      <c r="AP982" s="153">
        <f ca="1">IF(AC982=0,0,IF(AC982=12,0,OFFSET(effect!$N$1,MATCH(K982,effect!M:M,0)-1,0)))</f>
        <v>0</v>
      </c>
    </row>
    <row r="983" spans="1:42">
      <c r="A983" s="153">
        <f ca="1" t="shared" si="165"/>
        <v>2007013</v>
      </c>
      <c r="B983" s="91" t="s">
        <v>341</v>
      </c>
      <c r="C983" s="186">
        <v>2</v>
      </c>
      <c r="D983" s="186">
        <v>3</v>
      </c>
      <c r="E983" s="165" t="s">
        <v>1058</v>
      </c>
      <c r="F983" s="179" t="s">
        <v>1059</v>
      </c>
      <c r="G983" s="186">
        <f ca="1">OFFSET(卡牌辅助配置表!$C$1,MATCH(AC983,卡牌辅助配置表!A:A,0)-1,0)</f>
        <v>0</v>
      </c>
      <c r="H983" s="186">
        <f ca="1">OFFSET(skill!$Q$1,MATCH(B983,skill!B:B,0)-1,0)</f>
        <v>5</v>
      </c>
      <c r="I983" s="186"/>
      <c r="J983" s="186">
        <f ca="1">OFFSET(card_type!$F$1,MATCH(Q983,card_type!A:A,0)-1,0)</f>
        <v>1</v>
      </c>
      <c r="K983" s="243">
        <f ca="1">OFFSET(card_type!$G$1,MATCH(Q983,card_type!A:A,0)-1,0)</f>
        <v>1</v>
      </c>
      <c r="L983" s="157">
        <v>2</v>
      </c>
      <c r="M983" s="157">
        <v>2</v>
      </c>
      <c r="N983" s="153">
        <f t="shared" si="164"/>
        <v>13</v>
      </c>
      <c r="O983" s="157"/>
      <c r="P983" s="157"/>
      <c r="Q983" s="153">
        <f ca="1">OFFSET(card_type!$A$1,MATCH(card!B983,card_type!B:B,0)-1,0)</f>
        <v>2007</v>
      </c>
      <c r="R983" s="153">
        <v>1</v>
      </c>
      <c r="S983" s="157">
        <f ca="1">ROUND(IF(R983=0,0,IF(R983=1,X983*$S$1,IF(R983=2,X983*$S$1*buff的资质计算!$E$2,IF(R983=3,X983*$S$1*buff的资质计算!$E$3,0)))),0)*0</f>
        <v>0</v>
      </c>
      <c r="T983" s="153">
        <v>4</v>
      </c>
      <c r="U983" s="153">
        <f ca="1" t="shared" si="166"/>
        <v>11</v>
      </c>
      <c r="V983" s="153">
        <f ca="1">ROUND((OFFSET(卡牌辅助配置表!$O$1,MATCH(U983,卡牌辅助配置表!M:M,0)-1,0)+(N983-1)*OFFSET(卡牌辅助配置表!$P$1,MATCH(U983,卡牌辅助配置表!M:M,0)-1,0))*M983,2)</f>
        <v>17.56</v>
      </c>
      <c r="W983" s="157">
        <f ca="1">ROUND(IF(R983=0,0,IF(R983=1,X983*$W$1,IF(R983=2,X983*$W$1*buff的资质计算!$E$2,IF(R983=3,X983*$W$1*buff的资质计算!$E$3,0)))),2)</f>
        <v>4.8</v>
      </c>
      <c r="X983" s="157">
        <f ca="1" t="shared" si="162"/>
        <v>16</v>
      </c>
      <c r="Y983" s="157">
        <f ca="1" t="shared" si="171"/>
        <v>21</v>
      </c>
      <c r="Z983" s="304">
        <f ca="1" t="shared" si="163"/>
        <v>10.5</v>
      </c>
      <c r="AA983" s="304">
        <f ca="1">OFFSET(卡牌辅助配置表!$AD$1,MATCH(AB983,卡牌辅助配置表!AB:AB,0)-1,0)</f>
        <v>261</v>
      </c>
      <c r="AB983" s="304">
        <f ca="1" t="shared" si="167"/>
        <v>1113</v>
      </c>
      <c r="AC983" s="153">
        <v>12</v>
      </c>
      <c r="AF983" s="153" t="str">
        <f ca="1" t="shared" si="170"/>
        <v>20070011|</v>
      </c>
      <c r="AJ983" s="205" t="str">
        <f ca="1" t="shared" si="168"/>
        <v>400023|3900|;</v>
      </c>
      <c r="AK983" s="205">
        <f ca="1">OFFSET([1]item_type!$A$1,MATCH(Q983,[1]item_type!$G:$G,0)-1,0)</f>
        <v>302007</v>
      </c>
      <c r="AL983" s="205"/>
      <c r="AM983" s="205">
        <f ca="1">IF(B983=B984,OFFSET(卡牌辅助配置表!$AE$1,MATCH(AB983,卡牌辅助配置表!AB:AB,0),0),0)</f>
        <v>3900</v>
      </c>
      <c r="AN983" s="153">
        <f ca="1" t="shared" si="169"/>
        <v>2007014</v>
      </c>
      <c r="AP983" s="153">
        <f ca="1">IF(AC983=0,0,IF(AC983=12,0,OFFSET(effect!$N$1,MATCH(K983,effect!M:M,0)-1,0)))</f>
        <v>0</v>
      </c>
    </row>
    <row r="984" spans="1:42">
      <c r="A984" s="153">
        <f ca="1" t="shared" si="165"/>
        <v>2007014</v>
      </c>
      <c r="B984" s="91" t="s">
        <v>341</v>
      </c>
      <c r="C984" s="186">
        <v>2</v>
      </c>
      <c r="D984" s="186">
        <v>3</v>
      </c>
      <c r="E984" s="165" t="s">
        <v>1058</v>
      </c>
      <c r="F984" s="179" t="s">
        <v>1059</v>
      </c>
      <c r="G984" s="186">
        <f ca="1">OFFSET(卡牌辅助配置表!$C$1,MATCH(AC984,卡牌辅助配置表!A:A,0)-1,0)</f>
        <v>0</v>
      </c>
      <c r="H984" s="186">
        <f ca="1">OFFSET(skill!$Q$1,MATCH(B984,skill!B:B,0)-1,0)</f>
        <v>5</v>
      </c>
      <c r="I984" s="186"/>
      <c r="J984" s="186">
        <f ca="1">OFFSET(card_type!$F$1,MATCH(Q984,card_type!A:A,0)-1,0)</f>
        <v>1</v>
      </c>
      <c r="K984" s="243">
        <f ca="1">OFFSET(card_type!$G$1,MATCH(Q984,card_type!A:A,0)-1,0)</f>
        <v>1</v>
      </c>
      <c r="L984" s="157">
        <v>2</v>
      </c>
      <c r="M984" s="157">
        <v>2</v>
      </c>
      <c r="N984" s="153">
        <f t="shared" si="164"/>
        <v>14</v>
      </c>
      <c r="O984" s="157"/>
      <c r="P984" s="157"/>
      <c r="Q984" s="153">
        <f ca="1">OFFSET(card_type!$A$1,MATCH(card!B984,card_type!B:B,0)-1,0)</f>
        <v>2007</v>
      </c>
      <c r="R984" s="153">
        <v>1</v>
      </c>
      <c r="S984" s="157">
        <f ca="1">ROUND(IF(R984=0,0,IF(R984=1,X984*$S$1,IF(R984=2,X984*$S$1*buff的资质计算!$E$2,IF(R984=3,X984*$S$1*buff的资质计算!$E$3,0)))),0)*0</f>
        <v>0</v>
      </c>
      <c r="T984" s="153">
        <v>4</v>
      </c>
      <c r="U984" s="153">
        <f ca="1" t="shared" si="166"/>
        <v>11</v>
      </c>
      <c r="V984" s="153">
        <f ca="1">ROUND((OFFSET(卡牌辅助配置表!$O$1,MATCH(U984,卡牌辅助配置表!M:M,0)-1,0)+(N984-1)*OFFSET(卡牌辅助配置表!$P$1,MATCH(U984,卡牌辅助配置表!M:M,0)-1,0))*M984,2)</f>
        <v>17.97</v>
      </c>
      <c r="W984" s="157">
        <f ca="1">ROUND(IF(R984=0,0,IF(R984=1,X984*$W$1,IF(R984=2,X984*$W$1*buff的资质计算!$E$2,IF(R984=3,X984*$W$1*buff的资质计算!$E$3,0)))),2)</f>
        <v>4.95</v>
      </c>
      <c r="X984" s="157">
        <f ca="1" t="shared" si="162"/>
        <v>16.5</v>
      </c>
      <c r="Y984" s="157">
        <f ca="1" t="shared" si="171"/>
        <v>21.5</v>
      </c>
      <c r="Z984" s="304">
        <f ca="1" t="shared" si="163"/>
        <v>10.75</v>
      </c>
      <c r="AA984" s="304">
        <f ca="1">OFFSET(卡牌辅助配置表!$AD$1,MATCH(AB984,卡牌辅助配置表!AB:AB,0)-1,0)</f>
        <v>288</v>
      </c>
      <c r="AB984" s="304">
        <f ca="1" t="shared" si="167"/>
        <v>1114</v>
      </c>
      <c r="AC984" s="153">
        <v>12</v>
      </c>
      <c r="AF984" s="153" t="str">
        <f ca="1" t="shared" si="170"/>
        <v>20070011|</v>
      </c>
      <c r="AJ984" s="205" t="str">
        <f ca="1" t="shared" si="168"/>
        <v>400023|4300|;</v>
      </c>
      <c r="AK984" s="205">
        <f ca="1">OFFSET([1]item_type!$A$1,MATCH(Q984,[1]item_type!$G:$G,0)-1,0)</f>
        <v>302007</v>
      </c>
      <c r="AL984" s="205"/>
      <c r="AM984" s="205">
        <f ca="1">IF(B984=B985,OFFSET(卡牌辅助配置表!$AE$1,MATCH(AB984,卡牌辅助配置表!AB:AB,0),0),0)</f>
        <v>4300</v>
      </c>
      <c r="AN984" s="153">
        <f ca="1" t="shared" si="169"/>
        <v>2007015</v>
      </c>
      <c r="AP984" s="153">
        <f ca="1">IF(AC984=0,0,IF(AC984=12,0,OFFSET(effect!$N$1,MATCH(K984,effect!M:M,0)-1,0)))</f>
        <v>0</v>
      </c>
    </row>
    <row r="985" spans="1:42">
      <c r="A985" s="153">
        <f ca="1" t="shared" si="165"/>
        <v>2007015</v>
      </c>
      <c r="B985" s="91" t="s">
        <v>341</v>
      </c>
      <c r="C985" s="186">
        <v>2</v>
      </c>
      <c r="D985" s="186">
        <v>3</v>
      </c>
      <c r="E985" s="165" t="s">
        <v>1058</v>
      </c>
      <c r="F985" s="179" t="s">
        <v>1059</v>
      </c>
      <c r="G985" s="186">
        <f ca="1">OFFSET(卡牌辅助配置表!$C$1,MATCH(AC985,卡牌辅助配置表!A:A,0)-1,0)</f>
        <v>0</v>
      </c>
      <c r="H985" s="186">
        <f ca="1">OFFSET(skill!$Q$1,MATCH(B985,skill!B:B,0)-1,0)</f>
        <v>5</v>
      </c>
      <c r="I985" s="186"/>
      <c r="J985" s="186">
        <f ca="1">OFFSET(card_type!$F$1,MATCH(Q985,card_type!A:A,0)-1,0)</f>
        <v>1</v>
      </c>
      <c r="K985" s="243">
        <f ca="1">OFFSET(card_type!$G$1,MATCH(Q985,card_type!A:A,0)-1,0)</f>
        <v>1</v>
      </c>
      <c r="L985" s="157">
        <v>2</v>
      </c>
      <c r="M985" s="157">
        <v>2</v>
      </c>
      <c r="N985" s="153">
        <f t="shared" si="164"/>
        <v>15</v>
      </c>
      <c r="O985" s="157"/>
      <c r="P985" s="157"/>
      <c r="Q985" s="153">
        <f ca="1">OFFSET(card_type!$A$1,MATCH(card!B985,card_type!B:B,0)-1,0)</f>
        <v>2007</v>
      </c>
      <c r="R985" s="153">
        <v>1</v>
      </c>
      <c r="S985" s="157">
        <f ca="1">ROUND(IF(R985=0,0,IF(R985=1,X985*$S$1,IF(R985=2,X985*$S$1*buff的资质计算!$E$2,IF(R985=3,X985*$S$1*buff的资质计算!$E$3,0)))),0)*0</f>
        <v>0</v>
      </c>
      <c r="T985" s="153">
        <v>4</v>
      </c>
      <c r="U985" s="153">
        <f ca="1" t="shared" si="166"/>
        <v>11</v>
      </c>
      <c r="V985" s="153">
        <f ca="1">ROUND((OFFSET(卡牌辅助配置表!$O$1,MATCH(U985,卡牌辅助配置表!M:M,0)-1,0)+(N985-1)*OFFSET(卡牌辅助配置表!$P$1,MATCH(U985,卡牌辅助配置表!M:M,0)-1,0))*M985,2)</f>
        <v>18.39</v>
      </c>
      <c r="W985" s="157">
        <f ca="1">ROUND(IF(R985=0,0,IF(R985=1,X985*$W$1,IF(R985=2,X985*$W$1*buff的资质计算!$E$2,IF(R985=3,X985*$W$1*buff的资质计算!$E$3,0)))),2)</f>
        <v>5.1</v>
      </c>
      <c r="X985" s="157">
        <f ca="1" t="shared" si="162"/>
        <v>17</v>
      </c>
      <c r="Y985" s="157">
        <f ca="1" t="shared" si="171"/>
        <v>22</v>
      </c>
      <c r="Z985" s="304">
        <f ca="1" t="shared" si="163"/>
        <v>11</v>
      </c>
      <c r="AA985" s="304">
        <f ca="1">OFFSET(卡牌辅助配置表!$AD$1,MATCH(AB985,卡牌辅助配置表!AB:AB,0)-1,0)</f>
        <v>315</v>
      </c>
      <c r="AB985" s="304">
        <f ca="1" t="shared" si="167"/>
        <v>1115</v>
      </c>
      <c r="AC985" s="153">
        <v>12</v>
      </c>
      <c r="AF985" s="153" t="str">
        <f ca="1" t="shared" si="170"/>
        <v>20070011|</v>
      </c>
      <c r="AJ985" s="205" t="str">
        <f ca="1" t="shared" si="168"/>
        <v>400023|4700|;</v>
      </c>
      <c r="AK985" s="205">
        <f ca="1">OFFSET([1]item_type!$A$1,MATCH(Q985,[1]item_type!$G:$G,0)-1,0)</f>
        <v>302007</v>
      </c>
      <c r="AL985" s="205"/>
      <c r="AM985" s="205">
        <f ca="1">IF(B985=B986,OFFSET(卡牌辅助配置表!$AE$1,MATCH(AB985,卡牌辅助配置表!AB:AB,0),0),0)</f>
        <v>4700</v>
      </c>
      <c r="AN985" s="153">
        <f ca="1" t="shared" si="169"/>
        <v>2007016</v>
      </c>
      <c r="AP985" s="153">
        <f ca="1">IF(AC985=0,0,IF(AC985=12,0,OFFSET(effect!$N$1,MATCH(K985,effect!M:M,0)-1,0)))</f>
        <v>0</v>
      </c>
    </row>
    <row r="986" spans="1:42">
      <c r="A986" s="153">
        <f ca="1" t="shared" si="165"/>
        <v>2007016</v>
      </c>
      <c r="B986" s="91" t="s">
        <v>341</v>
      </c>
      <c r="C986" s="186">
        <v>2</v>
      </c>
      <c r="D986" s="186">
        <v>3</v>
      </c>
      <c r="E986" s="165" t="s">
        <v>1058</v>
      </c>
      <c r="F986" s="179" t="s">
        <v>1059</v>
      </c>
      <c r="G986" s="186">
        <f ca="1">OFFSET(卡牌辅助配置表!$C$1,MATCH(AC986,卡牌辅助配置表!A:A,0)-1,0)</f>
        <v>0</v>
      </c>
      <c r="H986" s="186">
        <f ca="1">OFFSET(skill!$Q$1,MATCH(B986,skill!B:B,0)-1,0)</f>
        <v>5</v>
      </c>
      <c r="I986" s="186"/>
      <c r="J986" s="186">
        <f ca="1">OFFSET(card_type!$F$1,MATCH(Q986,card_type!A:A,0)-1,0)</f>
        <v>1</v>
      </c>
      <c r="K986" s="243">
        <f ca="1">OFFSET(card_type!$G$1,MATCH(Q986,card_type!A:A,0)-1,0)</f>
        <v>1</v>
      </c>
      <c r="L986" s="157">
        <v>2</v>
      </c>
      <c r="M986" s="157">
        <v>2</v>
      </c>
      <c r="N986" s="153">
        <f t="shared" si="164"/>
        <v>16</v>
      </c>
      <c r="O986" s="157"/>
      <c r="P986" s="157"/>
      <c r="Q986" s="153">
        <f ca="1">OFFSET(card_type!$A$1,MATCH(card!B986,card_type!B:B,0)-1,0)</f>
        <v>2007</v>
      </c>
      <c r="R986" s="153">
        <v>1</v>
      </c>
      <c r="S986" s="157">
        <f ca="1">ROUND(IF(R986=0,0,IF(R986=1,X986*$S$1,IF(R986=2,X986*$S$1*buff的资质计算!$E$2,IF(R986=3,X986*$S$1*buff的资质计算!$E$3,0)))),0)*0</f>
        <v>0</v>
      </c>
      <c r="T986" s="153">
        <v>4</v>
      </c>
      <c r="U986" s="153">
        <f ca="1" t="shared" si="166"/>
        <v>11</v>
      </c>
      <c r="V986" s="153">
        <f ca="1">ROUND((OFFSET(卡牌辅助配置表!$O$1,MATCH(U986,卡牌辅助配置表!M:M,0)-1,0)+(N986-1)*OFFSET(卡牌辅助配置表!$P$1,MATCH(U986,卡牌辅助配置表!M:M,0)-1,0))*M986,2)</f>
        <v>18.81</v>
      </c>
      <c r="W986" s="157">
        <f ca="1">ROUND(IF(R986=0,0,IF(R986=1,X986*$W$1,IF(R986=2,X986*$W$1*buff的资质计算!$E$2,IF(R986=3,X986*$W$1*buff的资质计算!$E$3,0)))),2)</f>
        <v>5.25</v>
      </c>
      <c r="X986" s="157">
        <f ca="1" t="shared" si="162"/>
        <v>17.5</v>
      </c>
      <c r="Y986" s="157">
        <f ca="1" t="shared" si="171"/>
        <v>22.5</v>
      </c>
      <c r="Z986" s="304">
        <f ca="1" t="shared" si="163"/>
        <v>11.25</v>
      </c>
      <c r="AA986" s="304">
        <f ca="1">OFFSET(卡牌辅助配置表!$AD$1,MATCH(AB986,卡牌辅助配置表!AB:AB,0)-1,0)</f>
        <v>342</v>
      </c>
      <c r="AB986" s="304">
        <f ca="1" t="shared" si="167"/>
        <v>1116</v>
      </c>
      <c r="AC986" s="153">
        <v>12</v>
      </c>
      <c r="AF986" s="153" t="str">
        <f ca="1" t="shared" si="170"/>
        <v>20070011|</v>
      </c>
      <c r="AJ986" s="205" t="str">
        <f ca="1" t="shared" si="168"/>
        <v>400023|5100|;</v>
      </c>
      <c r="AK986" s="205">
        <f ca="1">OFFSET([1]item_type!$A$1,MATCH(Q986,[1]item_type!$G:$G,0)-1,0)</f>
        <v>302007</v>
      </c>
      <c r="AL986" s="205"/>
      <c r="AM986" s="205">
        <f ca="1">IF(B986=B987,OFFSET(卡牌辅助配置表!$AE$1,MATCH(AB986,卡牌辅助配置表!AB:AB,0),0),0)</f>
        <v>5100</v>
      </c>
      <c r="AN986" s="153">
        <f ca="1" t="shared" si="169"/>
        <v>2007017</v>
      </c>
      <c r="AP986" s="153">
        <f ca="1">IF(AC986=0,0,IF(AC986=12,0,OFFSET(effect!$N$1,MATCH(K986,effect!M:M,0)-1,0)))</f>
        <v>0</v>
      </c>
    </row>
    <row r="987" spans="1:42">
      <c r="A987" s="153">
        <f ca="1" t="shared" si="165"/>
        <v>2007017</v>
      </c>
      <c r="B987" s="91" t="s">
        <v>341</v>
      </c>
      <c r="C987" s="186">
        <v>2</v>
      </c>
      <c r="D987" s="186">
        <v>3</v>
      </c>
      <c r="E987" s="165" t="s">
        <v>1058</v>
      </c>
      <c r="F987" s="179" t="s">
        <v>1059</v>
      </c>
      <c r="G987" s="186">
        <f ca="1">OFFSET(卡牌辅助配置表!$C$1,MATCH(AC987,卡牌辅助配置表!A:A,0)-1,0)</f>
        <v>0</v>
      </c>
      <c r="H987" s="186">
        <f ca="1">OFFSET(skill!$Q$1,MATCH(B987,skill!B:B,0)-1,0)</f>
        <v>5</v>
      </c>
      <c r="I987" s="186"/>
      <c r="J987" s="186">
        <f ca="1">OFFSET(card_type!$F$1,MATCH(Q987,card_type!A:A,0)-1,0)</f>
        <v>1</v>
      </c>
      <c r="K987" s="243">
        <f ca="1">OFFSET(card_type!$G$1,MATCH(Q987,card_type!A:A,0)-1,0)</f>
        <v>1</v>
      </c>
      <c r="L987" s="157">
        <v>2</v>
      </c>
      <c r="M987" s="157">
        <v>2</v>
      </c>
      <c r="N987" s="153">
        <f t="shared" si="164"/>
        <v>17</v>
      </c>
      <c r="O987" s="157"/>
      <c r="P987" s="157"/>
      <c r="Q987" s="153">
        <f ca="1">OFFSET(card_type!$A$1,MATCH(card!B987,card_type!B:B,0)-1,0)</f>
        <v>2007</v>
      </c>
      <c r="R987" s="153">
        <v>1</v>
      </c>
      <c r="S987" s="157">
        <f ca="1">ROUND(IF(R987=0,0,IF(R987=1,X987*$S$1,IF(R987=2,X987*$S$1*buff的资质计算!$E$2,IF(R987=3,X987*$S$1*buff的资质计算!$E$3,0)))),0)*0</f>
        <v>0</v>
      </c>
      <c r="T987" s="153">
        <v>4</v>
      </c>
      <c r="U987" s="153">
        <f ca="1" t="shared" si="166"/>
        <v>11</v>
      </c>
      <c r="V987" s="153">
        <f ca="1">ROUND((OFFSET(卡牌辅助配置表!$O$1,MATCH(U987,卡牌辅助配置表!M:M,0)-1,0)+(N987-1)*OFFSET(卡牌辅助配置表!$P$1,MATCH(U987,卡牌辅助配置表!M:M,0)-1,0))*M987,2)</f>
        <v>19.23</v>
      </c>
      <c r="W987" s="157">
        <f ca="1">ROUND(IF(R987=0,0,IF(R987=1,X987*$W$1,IF(R987=2,X987*$W$1*buff的资质计算!$E$2,IF(R987=3,X987*$W$1*buff的资质计算!$E$3,0)))),2)</f>
        <v>5.4</v>
      </c>
      <c r="X987" s="157">
        <f ca="1" t="shared" si="162"/>
        <v>18</v>
      </c>
      <c r="Y987" s="157">
        <f ca="1" t="shared" si="171"/>
        <v>23</v>
      </c>
      <c r="Z987" s="304">
        <f ca="1" t="shared" si="163"/>
        <v>11.5</v>
      </c>
      <c r="AA987" s="304">
        <f ca="1">OFFSET(卡牌辅助配置表!$AD$1,MATCH(AB987,卡牌辅助配置表!AB:AB,0)-1,0)</f>
        <v>369</v>
      </c>
      <c r="AB987" s="304">
        <f ca="1" t="shared" si="167"/>
        <v>1117</v>
      </c>
      <c r="AC987" s="153">
        <v>12</v>
      </c>
      <c r="AF987" s="153" t="str">
        <f ca="1" t="shared" si="170"/>
        <v>20070011|</v>
      </c>
      <c r="AJ987" s="205" t="str">
        <f ca="1" t="shared" si="168"/>
        <v>400023|5500|;</v>
      </c>
      <c r="AK987" s="205">
        <f ca="1">OFFSET([1]item_type!$A$1,MATCH(Q987,[1]item_type!$G:$G,0)-1,0)</f>
        <v>302007</v>
      </c>
      <c r="AL987" s="205"/>
      <c r="AM987" s="205">
        <f ca="1">IF(B987=B988,OFFSET(卡牌辅助配置表!$AE$1,MATCH(AB987,卡牌辅助配置表!AB:AB,0),0),0)</f>
        <v>5500</v>
      </c>
      <c r="AN987" s="153">
        <f ca="1" t="shared" si="169"/>
        <v>2007018</v>
      </c>
      <c r="AP987" s="153">
        <f ca="1">IF(AC987=0,0,IF(AC987=12,0,OFFSET(effect!$N$1,MATCH(K987,effect!M:M,0)-1,0)))</f>
        <v>0</v>
      </c>
    </row>
    <row r="988" spans="1:42">
      <c r="A988" s="153">
        <f ca="1" t="shared" si="165"/>
        <v>2007018</v>
      </c>
      <c r="B988" s="91" t="s">
        <v>341</v>
      </c>
      <c r="C988" s="186">
        <v>2</v>
      </c>
      <c r="D988" s="186">
        <v>3</v>
      </c>
      <c r="E988" s="165" t="s">
        <v>1058</v>
      </c>
      <c r="F988" s="179" t="s">
        <v>1059</v>
      </c>
      <c r="G988" s="186">
        <f ca="1">OFFSET(卡牌辅助配置表!$C$1,MATCH(AC988,卡牌辅助配置表!A:A,0)-1,0)</f>
        <v>0</v>
      </c>
      <c r="H988" s="186">
        <f ca="1">OFFSET(skill!$Q$1,MATCH(B988,skill!B:B,0)-1,0)</f>
        <v>5</v>
      </c>
      <c r="I988" s="186"/>
      <c r="J988" s="186">
        <f ca="1">OFFSET(card_type!$F$1,MATCH(Q988,card_type!A:A,0)-1,0)</f>
        <v>1</v>
      </c>
      <c r="K988" s="243">
        <f ca="1">OFFSET(card_type!$G$1,MATCH(Q988,card_type!A:A,0)-1,0)</f>
        <v>1</v>
      </c>
      <c r="L988" s="157">
        <v>2</v>
      </c>
      <c r="M988" s="157">
        <v>2</v>
      </c>
      <c r="N988" s="153">
        <f t="shared" si="164"/>
        <v>18</v>
      </c>
      <c r="O988" s="157"/>
      <c r="P988" s="157"/>
      <c r="Q988" s="153">
        <f ca="1">OFFSET(card_type!$A$1,MATCH(card!B988,card_type!B:B,0)-1,0)</f>
        <v>2007</v>
      </c>
      <c r="R988" s="153">
        <v>1</v>
      </c>
      <c r="S988" s="157">
        <f ca="1">ROUND(IF(R988=0,0,IF(R988=1,X988*$S$1,IF(R988=2,X988*$S$1*buff的资质计算!$E$2,IF(R988=3,X988*$S$1*buff的资质计算!$E$3,0)))),0)*0</f>
        <v>0</v>
      </c>
      <c r="T988" s="153">
        <v>4</v>
      </c>
      <c r="U988" s="153">
        <f ca="1" t="shared" si="166"/>
        <v>11</v>
      </c>
      <c r="V988" s="153">
        <f ca="1">ROUND((OFFSET(卡牌辅助配置表!$O$1,MATCH(U988,卡牌辅助配置表!M:M,0)-1,0)+(N988-1)*OFFSET(卡牌辅助配置表!$P$1,MATCH(U988,卡牌辅助配置表!M:M,0)-1,0))*M988,2)</f>
        <v>19.65</v>
      </c>
      <c r="W988" s="157">
        <f ca="1">ROUND(IF(R988=0,0,IF(R988=1,X988*$W$1,IF(R988=2,X988*$W$1*buff的资质计算!$E$2,IF(R988=3,X988*$W$1*buff的资质计算!$E$3,0)))),2)</f>
        <v>5.55</v>
      </c>
      <c r="X988" s="157">
        <f ca="1" t="shared" si="162"/>
        <v>18.5</v>
      </c>
      <c r="Y988" s="157">
        <f ca="1" t="shared" si="171"/>
        <v>23.5</v>
      </c>
      <c r="Z988" s="304">
        <f ca="1" t="shared" si="163"/>
        <v>11.75</v>
      </c>
      <c r="AA988" s="304">
        <f ca="1">OFFSET(卡牌辅助配置表!$AD$1,MATCH(AB988,卡牌辅助配置表!AB:AB,0)-1,0)</f>
        <v>396</v>
      </c>
      <c r="AB988" s="304">
        <f ca="1" t="shared" si="167"/>
        <v>1118</v>
      </c>
      <c r="AC988" s="153">
        <v>12</v>
      </c>
      <c r="AF988" s="153" t="str">
        <f ca="1" t="shared" si="170"/>
        <v>20070011|</v>
      </c>
      <c r="AJ988" s="205" t="str">
        <f ca="1" t="shared" si="168"/>
        <v>400023|5900|;</v>
      </c>
      <c r="AK988" s="205">
        <f ca="1">OFFSET([1]item_type!$A$1,MATCH(Q988,[1]item_type!$G:$G,0)-1,0)</f>
        <v>302007</v>
      </c>
      <c r="AL988" s="205"/>
      <c r="AM988" s="205">
        <f ca="1">IF(B988=B989,OFFSET(卡牌辅助配置表!$AE$1,MATCH(AB988,卡牌辅助配置表!AB:AB,0),0),0)</f>
        <v>5900</v>
      </c>
      <c r="AN988" s="153">
        <f ca="1" t="shared" si="169"/>
        <v>2007019</v>
      </c>
      <c r="AP988" s="153">
        <f ca="1">IF(AC988=0,0,IF(AC988=12,0,OFFSET(effect!$N$1,MATCH(K988,effect!M:M,0)-1,0)))</f>
        <v>0</v>
      </c>
    </row>
    <row r="989" spans="1:42">
      <c r="A989" s="153">
        <f ca="1" t="shared" si="165"/>
        <v>2007019</v>
      </c>
      <c r="B989" s="91" t="s">
        <v>341</v>
      </c>
      <c r="C989" s="186">
        <v>2</v>
      </c>
      <c r="D989" s="186">
        <v>3</v>
      </c>
      <c r="E989" s="165" t="s">
        <v>1058</v>
      </c>
      <c r="F989" s="179" t="s">
        <v>1059</v>
      </c>
      <c r="G989" s="186">
        <f ca="1">OFFSET(卡牌辅助配置表!$C$1,MATCH(AC989,卡牌辅助配置表!A:A,0)-1,0)</f>
        <v>0</v>
      </c>
      <c r="H989" s="186">
        <f ca="1">OFFSET(skill!$Q$1,MATCH(B989,skill!B:B,0)-1,0)</f>
        <v>5</v>
      </c>
      <c r="I989" s="186"/>
      <c r="J989" s="186">
        <f ca="1">OFFSET(card_type!$F$1,MATCH(Q989,card_type!A:A,0)-1,0)</f>
        <v>1</v>
      </c>
      <c r="K989" s="243">
        <f ca="1">OFFSET(card_type!$G$1,MATCH(Q989,card_type!A:A,0)-1,0)</f>
        <v>1</v>
      </c>
      <c r="L989" s="157">
        <v>2</v>
      </c>
      <c r="M989" s="157">
        <v>2</v>
      </c>
      <c r="N989" s="153">
        <f t="shared" si="164"/>
        <v>19</v>
      </c>
      <c r="O989" s="157"/>
      <c r="P989" s="157"/>
      <c r="Q989" s="153">
        <f ca="1">OFFSET(card_type!$A$1,MATCH(card!B989,card_type!B:B,0)-1,0)</f>
        <v>2007</v>
      </c>
      <c r="R989" s="153">
        <v>1</v>
      </c>
      <c r="S989" s="157">
        <f ca="1">ROUND(IF(R989=0,0,IF(R989=1,X989*$S$1,IF(R989=2,X989*$S$1*buff的资质计算!$E$2,IF(R989=3,X989*$S$1*buff的资质计算!$E$3,0)))),0)*0</f>
        <v>0</v>
      </c>
      <c r="T989" s="153">
        <v>4</v>
      </c>
      <c r="U989" s="153">
        <f ca="1" t="shared" si="166"/>
        <v>11</v>
      </c>
      <c r="V989" s="153">
        <f ca="1">ROUND((OFFSET(卡牌辅助配置表!$O$1,MATCH(U989,卡牌辅助配置表!M:M,0)-1,0)+(N989-1)*OFFSET(卡牌辅助配置表!$P$1,MATCH(U989,卡牌辅助配置表!M:M,0)-1,0))*M989,2)</f>
        <v>20.06</v>
      </c>
      <c r="W989" s="157">
        <f ca="1">ROUND(IF(R989=0,0,IF(R989=1,X989*$W$1,IF(R989=2,X989*$W$1*buff的资质计算!$E$2,IF(R989=3,X989*$W$1*buff的资质计算!$E$3,0)))),2)</f>
        <v>5.7</v>
      </c>
      <c r="X989" s="157">
        <f ca="1" t="shared" si="162"/>
        <v>19</v>
      </c>
      <c r="Y989" s="157">
        <f ca="1" t="shared" si="171"/>
        <v>24</v>
      </c>
      <c r="Z989" s="304">
        <f ca="1" t="shared" si="163"/>
        <v>12</v>
      </c>
      <c r="AA989" s="304">
        <f ca="1">OFFSET(卡牌辅助配置表!$AD$1,MATCH(AB989,卡牌辅助配置表!AB:AB,0)-1,0)</f>
        <v>423</v>
      </c>
      <c r="AB989" s="304">
        <f ca="1" t="shared" si="167"/>
        <v>1119</v>
      </c>
      <c r="AC989" s="153">
        <v>12</v>
      </c>
      <c r="AF989" s="153" t="str">
        <f ca="1" t="shared" si="170"/>
        <v>20070011|</v>
      </c>
      <c r="AJ989" s="205" t="str">
        <f ca="1" t="shared" si="168"/>
        <v>302007|20|;400023|6300|;</v>
      </c>
      <c r="AK989" s="205">
        <f ca="1">OFFSET([1]item_type!$A$1,MATCH(Q989,[1]item_type!$G:$G,0)-1,0)</f>
        <v>302007</v>
      </c>
      <c r="AL989" s="205">
        <v>20</v>
      </c>
      <c r="AM989" s="205">
        <f ca="1">IF(B989=B990,OFFSET(卡牌辅助配置表!$AE$1,MATCH(AB989,卡牌辅助配置表!AB:AB,0),0),0)</f>
        <v>6300</v>
      </c>
      <c r="AN989" s="153">
        <f ca="1" t="shared" si="169"/>
        <v>2007020</v>
      </c>
      <c r="AP989" s="153">
        <f ca="1">IF(AC989=0,0,IF(AC989=12,0,OFFSET(effect!$N$1,MATCH(K989,effect!M:M,0)-1,0)))</f>
        <v>0</v>
      </c>
    </row>
    <row r="990" spans="1:42">
      <c r="A990" s="153">
        <f ca="1" t="shared" si="165"/>
        <v>2007020</v>
      </c>
      <c r="B990" s="91" t="s">
        <v>341</v>
      </c>
      <c r="C990" s="186">
        <v>2</v>
      </c>
      <c r="D990" s="186">
        <v>3</v>
      </c>
      <c r="E990" s="165" t="s">
        <v>1058</v>
      </c>
      <c r="F990" s="179" t="s">
        <v>1059</v>
      </c>
      <c r="G990" s="186">
        <f ca="1">OFFSET(卡牌辅助配置表!$C$1,MATCH(AC990,卡牌辅助配置表!A:A,0)-1,0)</f>
        <v>0</v>
      </c>
      <c r="H990" s="186">
        <f ca="1">OFFSET(skill!$Q$1,MATCH(B990,skill!B:B,0)-1,0)</f>
        <v>5</v>
      </c>
      <c r="I990" s="186"/>
      <c r="J990" s="186">
        <f ca="1">OFFSET(card_type!$F$1,MATCH(Q990,card_type!A:A,0)-1,0)</f>
        <v>1</v>
      </c>
      <c r="K990" s="243">
        <f ca="1">OFFSET(card_type!$G$1,MATCH(Q990,card_type!A:A,0)-1,0)</f>
        <v>1</v>
      </c>
      <c r="L990" s="157">
        <v>2</v>
      </c>
      <c r="M990" s="157">
        <v>2</v>
      </c>
      <c r="N990" s="153">
        <f t="shared" si="164"/>
        <v>20</v>
      </c>
      <c r="O990" s="157"/>
      <c r="P990" s="157"/>
      <c r="Q990" s="153">
        <f ca="1">OFFSET(card_type!$A$1,MATCH(card!B990,card_type!B:B,0)-1,0)</f>
        <v>2007</v>
      </c>
      <c r="R990" s="153">
        <v>1</v>
      </c>
      <c r="S990" s="157">
        <f ca="1">ROUND(IF(R990=0,0,IF(R990=1,X990*$S$1,IF(R990=2,X990*$S$1*buff的资质计算!$E$2,IF(R990=3,X990*$S$1*buff的资质计算!$E$3,0)))),0)*0</f>
        <v>0</v>
      </c>
      <c r="T990" s="153">
        <v>4</v>
      </c>
      <c r="U990" s="153">
        <f ca="1" t="shared" si="166"/>
        <v>11</v>
      </c>
      <c r="V990" s="153">
        <f ca="1">ROUND((OFFSET(卡牌辅助配置表!$O$1,MATCH(U990,卡牌辅助配置表!M:M,0)-1,0)+(N990-1)*OFFSET(卡牌辅助配置表!$P$1,MATCH(U990,卡牌辅助配置表!M:M,0)-1,0))*M990,2)</f>
        <v>20.48</v>
      </c>
      <c r="W990" s="157">
        <f ca="1">ROUND(IF(R990=0,0,IF(R990=1,X990*$W$1,IF(R990=2,X990*$W$1*buff的资质计算!$E$2,IF(R990=3,X990*$W$1*buff的资质计算!$E$3,0)))),2)</f>
        <v>5.85</v>
      </c>
      <c r="X990" s="157">
        <f ca="1" t="shared" si="162"/>
        <v>19.5</v>
      </c>
      <c r="Y990" s="157">
        <f ca="1" t="shared" si="171"/>
        <v>24.5</v>
      </c>
      <c r="Z990" s="304">
        <f ca="1" t="shared" si="163"/>
        <v>12.25</v>
      </c>
      <c r="AA990" s="304">
        <f ca="1">OFFSET(卡牌辅助配置表!$AD$1,MATCH(AB990,卡牌辅助配置表!AB:AB,0)-1,0)</f>
        <v>450</v>
      </c>
      <c r="AB990" s="304">
        <f ca="1" t="shared" si="167"/>
        <v>1120</v>
      </c>
      <c r="AC990" s="153">
        <v>12</v>
      </c>
      <c r="AF990" s="153" t="str">
        <f ca="1" t="shared" si="170"/>
        <v>20070011|</v>
      </c>
      <c r="AJ990" s="205" t="str">
        <f ca="1" t="shared" si="168"/>
        <v>400023|7100|;</v>
      </c>
      <c r="AK990" s="205">
        <f ca="1">OFFSET([1]item_type!$A$1,MATCH(Q990,[1]item_type!$G:$G,0)-1,0)</f>
        <v>302007</v>
      </c>
      <c r="AL990" s="205"/>
      <c r="AM990" s="205">
        <f ca="1">IF(B990=B991,OFFSET(卡牌辅助配置表!$AE$1,MATCH(AB990,卡牌辅助配置表!AB:AB,0),0),0)</f>
        <v>7100</v>
      </c>
      <c r="AN990" s="153">
        <f ca="1" t="shared" si="169"/>
        <v>2007021</v>
      </c>
      <c r="AP990" s="153">
        <f ca="1">IF(AC990=0,0,IF(AC990=12,0,OFFSET(effect!$N$1,MATCH(K990,effect!M:M,0)-1,0)))</f>
        <v>0</v>
      </c>
    </row>
    <row r="991" spans="1:42">
      <c r="A991" s="153">
        <f ca="1" t="shared" si="165"/>
        <v>2007021</v>
      </c>
      <c r="B991" s="91" t="s">
        <v>341</v>
      </c>
      <c r="C991" s="186">
        <v>2</v>
      </c>
      <c r="D991" s="186">
        <v>3</v>
      </c>
      <c r="E991" s="165" t="s">
        <v>1058</v>
      </c>
      <c r="F991" s="179" t="s">
        <v>1059</v>
      </c>
      <c r="G991" s="186">
        <f ca="1">OFFSET(卡牌辅助配置表!$C$1,MATCH(AC991,卡牌辅助配置表!A:A,0)-1,0)</f>
        <v>0</v>
      </c>
      <c r="H991" s="186">
        <f ca="1">OFFSET(skill!$Q$1,MATCH(B991,skill!B:B,0)-1,0)</f>
        <v>5</v>
      </c>
      <c r="I991" s="186"/>
      <c r="J991" s="186">
        <f ca="1">OFFSET(card_type!$F$1,MATCH(Q991,card_type!A:A,0)-1,0)</f>
        <v>1</v>
      </c>
      <c r="K991" s="243">
        <f ca="1">OFFSET(card_type!$G$1,MATCH(Q991,card_type!A:A,0)-1,0)</f>
        <v>1</v>
      </c>
      <c r="L991" s="157">
        <v>2</v>
      </c>
      <c r="M991" s="157">
        <v>2</v>
      </c>
      <c r="N991" s="153">
        <f t="shared" si="164"/>
        <v>21</v>
      </c>
      <c r="O991" s="157"/>
      <c r="P991" s="157"/>
      <c r="Q991" s="153">
        <f ca="1">OFFSET(card_type!$A$1,MATCH(card!B991,card_type!B:B,0)-1,0)</f>
        <v>2007</v>
      </c>
      <c r="R991" s="153">
        <v>1</v>
      </c>
      <c r="S991" s="157">
        <f ca="1">ROUND(IF(R991=0,0,IF(R991=1,X991*$S$1,IF(R991=2,X991*$S$1*buff的资质计算!$E$2,IF(R991=3,X991*$S$1*buff的资质计算!$E$3,0)))),0)*0</f>
        <v>0</v>
      </c>
      <c r="T991" s="153">
        <v>4</v>
      </c>
      <c r="U991" s="153">
        <f ca="1" t="shared" si="166"/>
        <v>11</v>
      </c>
      <c r="V991" s="153">
        <f ca="1">ROUND((OFFSET(卡牌辅助配置表!$O$1,MATCH(U991,卡牌辅助配置表!M:M,0)-1,0)+(N991-1)*OFFSET(卡牌辅助配置表!$P$1,MATCH(U991,卡牌辅助配置表!M:M,0)-1,0))*M991,2)</f>
        <v>20.9</v>
      </c>
      <c r="W991" s="157">
        <f ca="1">ROUND(IF(R991=0,0,IF(R991=1,X991*$W$1,IF(R991=2,X991*$W$1*buff的资质计算!$E$2,IF(R991=3,X991*$W$1*buff的资质计算!$E$3,0)))),2)</f>
        <v>6</v>
      </c>
      <c r="X991" s="157">
        <f ca="1" t="shared" si="162"/>
        <v>20</v>
      </c>
      <c r="Y991" s="157">
        <f ca="1" t="shared" si="171"/>
        <v>25</v>
      </c>
      <c r="Z991" s="304">
        <f ca="1" t="shared" si="163"/>
        <v>12.5</v>
      </c>
      <c r="AA991" s="304">
        <f ca="1">OFFSET(卡牌辅助配置表!$AD$1,MATCH(AB991,卡牌辅助配置表!AB:AB,0)-1,0)</f>
        <v>486</v>
      </c>
      <c r="AB991" s="304">
        <f ca="1" t="shared" si="167"/>
        <v>1121</v>
      </c>
      <c r="AC991" s="153">
        <v>12</v>
      </c>
      <c r="AF991" s="153" t="str">
        <f ca="1" t="shared" si="170"/>
        <v>20070011|</v>
      </c>
      <c r="AJ991" s="205" t="str">
        <f ca="1" t="shared" si="168"/>
        <v>400023|7900|;</v>
      </c>
      <c r="AK991" s="205">
        <f ca="1">OFFSET([1]item_type!$A$1,MATCH(Q991,[1]item_type!$G:$G,0)-1,0)</f>
        <v>302007</v>
      </c>
      <c r="AL991" s="205"/>
      <c r="AM991" s="205">
        <f ca="1">IF(B991=B992,OFFSET(卡牌辅助配置表!$AE$1,MATCH(AB991,卡牌辅助配置表!AB:AB,0),0),0)</f>
        <v>7900</v>
      </c>
      <c r="AN991" s="153">
        <f ca="1" t="shared" si="169"/>
        <v>2007022</v>
      </c>
      <c r="AP991" s="153">
        <f ca="1">IF(AC991=0,0,IF(AC991=12,0,OFFSET(effect!$N$1,MATCH(K991,effect!M:M,0)-1,0)))</f>
        <v>0</v>
      </c>
    </row>
    <row r="992" spans="1:42">
      <c r="A992" s="153">
        <f ca="1" t="shared" si="165"/>
        <v>2007022</v>
      </c>
      <c r="B992" s="91" t="s">
        <v>341</v>
      </c>
      <c r="C992" s="186">
        <v>2</v>
      </c>
      <c r="D992" s="186">
        <v>3</v>
      </c>
      <c r="E992" s="165" t="s">
        <v>1058</v>
      </c>
      <c r="F992" s="179" t="s">
        <v>1059</v>
      </c>
      <c r="G992" s="186">
        <f ca="1">OFFSET(卡牌辅助配置表!$C$1,MATCH(AC992,卡牌辅助配置表!A:A,0)-1,0)</f>
        <v>0</v>
      </c>
      <c r="H992" s="186">
        <f ca="1">OFFSET(skill!$Q$1,MATCH(B992,skill!B:B,0)-1,0)</f>
        <v>5</v>
      </c>
      <c r="I992" s="186"/>
      <c r="J992" s="186">
        <f ca="1">OFFSET(card_type!$F$1,MATCH(Q992,card_type!A:A,0)-1,0)</f>
        <v>1</v>
      </c>
      <c r="K992" s="243">
        <f ca="1">OFFSET(card_type!$G$1,MATCH(Q992,card_type!A:A,0)-1,0)</f>
        <v>1</v>
      </c>
      <c r="L992" s="157">
        <v>2</v>
      </c>
      <c r="M992" s="157">
        <v>2</v>
      </c>
      <c r="N992" s="153">
        <f t="shared" si="164"/>
        <v>22</v>
      </c>
      <c r="O992" s="157"/>
      <c r="P992" s="157"/>
      <c r="Q992" s="153">
        <f ca="1">OFFSET(card_type!$A$1,MATCH(card!B992,card_type!B:B,0)-1,0)</f>
        <v>2007</v>
      </c>
      <c r="R992" s="153">
        <v>1</v>
      </c>
      <c r="S992" s="157">
        <f ca="1">ROUND(IF(R992=0,0,IF(R992=1,X992*$S$1,IF(R992=2,X992*$S$1*buff的资质计算!$E$2,IF(R992=3,X992*$S$1*buff的资质计算!$E$3,0)))),0)*0</f>
        <v>0</v>
      </c>
      <c r="T992" s="153">
        <v>4</v>
      </c>
      <c r="U992" s="153">
        <f ca="1" t="shared" si="166"/>
        <v>11</v>
      </c>
      <c r="V992" s="153">
        <f ca="1">ROUND((OFFSET(卡牌辅助配置表!$O$1,MATCH(U992,卡牌辅助配置表!M:M,0)-1,0)+(N992-1)*OFFSET(卡牌辅助配置表!$P$1,MATCH(U992,卡牌辅助配置表!M:M,0)-1,0))*M992,2)</f>
        <v>21.32</v>
      </c>
      <c r="W992" s="157">
        <f ca="1">ROUND(IF(R992=0,0,IF(R992=1,X992*$W$1,IF(R992=2,X992*$W$1*buff的资质计算!$E$2,IF(R992=3,X992*$W$1*buff的资质计算!$E$3,0)))),2)</f>
        <v>6.15</v>
      </c>
      <c r="X992" s="157">
        <f ca="1" t="shared" si="162"/>
        <v>20.5</v>
      </c>
      <c r="Y992" s="157">
        <f ca="1" t="shared" si="171"/>
        <v>25.5</v>
      </c>
      <c r="Z992" s="304">
        <f ca="1" t="shared" si="163"/>
        <v>12.75</v>
      </c>
      <c r="AA992" s="304">
        <f ca="1">OFFSET(卡牌辅助配置表!$AD$1,MATCH(AB992,卡牌辅助配置表!AB:AB,0)-1,0)</f>
        <v>522</v>
      </c>
      <c r="AB992" s="304">
        <f ca="1" t="shared" si="167"/>
        <v>1122</v>
      </c>
      <c r="AC992" s="153">
        <v>12</v>
      </c>
      <c r="AF992" s="153" t="str">
        <f ca="1" t="shared" si="170"/>
        <v>20070011|</v>
      </c>
      <c r="AJ992" s="205" t="str">
        <f ca="1" t="shared" si="168"/>
        <v>400023|8700|;</v>
      </c>
      <c r="AK992" s="205">
        <f ca="1">OFFSET([1]item_type!$A$1,MATCH(Q992,[1]item_type!$G:$G,0)-1,0)</f>
        <v>302007</v>
      </c>
      <c r="AL992" s="205"/>
      <c r="AM992" s="205">
        <f ca="1">IF(B992=B993,OFFSET(卡牌辅助配置表!$AE$1,MATCH(AB992,卡牌辅助配置表!AB:AB,0),0),0)</f>
        <v>8700</v>
      </c>
      <c r="AN992" s="153">
        <f ca="1" t="shared" si="169"/>
        <v>2007023</v>
      </c>
      <c r="AP992" s="153">
        <f ca="1">IF(AC992=0,0,IF(AC992=12,0,OFFSET(effect!$N$1,MATCH(K992,effect!M:M,0)-1,0)))</f>
        <v>0</v>
      </c>
    </row>
    <row r="993" spans="1:42">
      <c r="A993" s="153">
        <f ca="1" t="shared" si="165"/>
        <v>2007023</v>
      </c>
      <c r="B993" s="91" t="s">
        <v>341</v>
      </c>
      <c r="C993" s="186">
        <v>2</v>
      </c>
      <c r="D993" s="186">
        <v>3</v>
      </c>
      <c r="E993" s="165" t="s">
        <v>1058</v>
      </c>
      <c r="F993" s="179" t="s">
        <v>1059</v>
      </c>
      <c r="G993" s="186">
        <f ca="1">OFFSET(卡牌辅助配置表!$C$1,MATCH(AC993,卡牌辅助配置表!A:A,0)-1,0)</f>
        <v>0</v>
      </c>
      <c r="H993" s="186">
        <f ca="1">OFFSET(skill!$Q$1,MATCH(B993,skill!B:B,0)-1,0)</f>
        <v>5</v>
      </c>
      <c r="I993" s="186"/>
      <c r="J993" s="186">
        <f ca="1">OFFSET(card_type!$F$1,MATCH(Q993,card_type!A:A,0)-1,0)</f>
        <v>1</v>
      </c>
      <c r="K993" s="243">
        <f ca="1">OFFSET(card_type!$G$1,MATCH(Q993,card_type!A:A,0)-1,0)</f>
        <v>1</v>
      </c>
      <c r="L993" s="157">
        <v>2</v>
      </c>
      <c r="M993" s="157">
        <v>2</v>
      </c>
      <c r="N993" s="153">
        <f t="shared" si="164"/>
        <v>23</v>
      </c>
      <c r="O993" s="157"/>
      <c r="P993" s="157"/>
      <c r="Q993" s="153">
        <f ca="1">OFFSET(card_type!$A$1,MATCH(card!B993,card_type!B:B,0)-1,0)</f>
        <v>2007</v>
      </c>
      <c r="R993" s="153">
        <v>1</v>
      </c>
      <c r="S993" s="157">
        <f ca="1">ROUND(IF(R993=0,0,IF(R993=1,X993*$S$1,IF(R993=2,X993*$S$1*buff的资质计算!$E$2,IF(R993=3,X993*$S$1*buff的资质计算!$E$3,0)))),0)*0</f>
        <v>0</v>
      </c>
      <c r="T993" s="153">
        <v>4</v>
      </c>
      <c r="U993" s="153">
        <f ca="1" t="shared" si="166"/>
        <v>11</v>
      </c>
      <c r="V993" s="153">
        <f ca="1">ROUND((OFFSET(卡牌辅助配置表!$O$1,MATCH(U993,卡牌辅助配置表!M:M,0)-1,0)+(N993-1)*OFFSET(卡牌辅助配置表!$P$1,MATCH(U993,卡牌辅助配置表!M:M,0)-1,0))*M993,2)</f>
        <v>21.74</v>
      </c>
      <c r="W993" s="157">
        <f ca="1">ROUND(IF(R993=0,0,IF(R993=1,X993*$W$1,IF(R993=2,X993*$W$1*buff的资质计算!$E$2,IF(R993=3,X993*$W$1*buff的资质计算!$E$3,0)))),2)</f>
        <v>6.3</v>
      </c>
      <c r="X993" s="157">
        <f ca="1" t="shared" si="162"/>
        <v>21</v>
      </c>
      <c r="Y993" s="157">
        <f ca="1" t="shared" si="171"/>
        <v>26</v>
      </c>
      <c r="Z993" s="304">
        <f ca="1" t="shared" si="163"/>
        <v>13</v>
      </c>
      <c r="AA993" s="304">
        <f ca="1">OFFSET(卡牌辅助配置表!$AD$1,MATCH(AB993,卡牌辅助配置表!AB:AB,0)-1,0)</f>
        <v>558</v>
      </c>
      <c r="AB993" s="304">
        <f ca="1" t="shared" si="167"/>
        <v>1123</v>
      </c>
      <c r="AC993" s="153">
        <v>12</v>
      </c>
      <c r="AF993" s="153" t="str">
        <f ca="1" t="shared" si="170"/>
        <v>20070011|</v>
      </c>
      <c r="AJ993" s="205" t="str">
        <f ca="1" t="shared" si="168"/>
        <v>400023|9500|;</v>
      </c>
      <c r="AK993" s="205">
        <f ca="1">OFFSET([1]item_type!$A$1,MATCH(Q993,[1]item_type!$G:$G,0)-1,0)</f>
        <v>302007</v>
      </c>
      <c r="AL993" s="205"/>
      <c r="AM993" s="205">
        <f ca="1">IF(B993=B994,OFFSET(卡牌辅助配置表!$AE$1,MATCH(AB993,卡牌辅助配置表!AB:AB,0),0),0)</f>
        <v>9500</v>
      </c>
      <c r="AN993" s="153">
        <f ca="1" t="shared" si="169"/>
        <v>2007024</v>
      </c>
      <c r="AP993" s="153">
        <f ca="1">IF(AC993=0,0,IF(AC993=12,0,OFFSET(effect!$N$1,MATCH(K993,effect!M:M,0)-1,0)))</f>
        <v>0</v>
      </c>
    </row>
    <row r="994" spans="1:42">
      <c r="A994" s="153">
        <f ca="1" t="shared" si="165"/>
        <v>2007024</v>
      </c>
      <c r="B994" s="91" t="s">
        <v>341</v>
      </c>
      <c r="C994" s="186">
        <v>2</v>
      </c>
      <c r="D994" s="186">
        <v>3</v>
      </c>
      <c r="E994" s="165" t="s">
        <v>1058</v>
      </c>
      <c r="F994" s="179" t="s">
        <v>1059</v>
      </c>
      <c r="G994" s="186">
        <f ca="1">OFFSET(卡牌辅助配置表!$C$1,MATCH(AC994,卡牌辅助配置表!A:A,0)-1,0)</f>
        <v>0</v>
      </c>
      <c r="H994" s="186">
        <f ca="1">OFFSET(skill!$Q$1,MATCH(B994,skill!B:B,0)-1,0)</f>
        <v>5</v>
      </c>
      <c r="I994" s="186"/>
      <c r="J994" s="186">
        <f ca="1">OFFSET(card_type!$F$1,MATCH(Q994,card_type!A:A,0)-1,0)</f>
        <v>1</v>
      </c>
      <c r="K994" s="243">
        <f ca="1">OFFSET(card_type!$G$1,MATCH(Q994,card_type!A:A,0)-1,0)</f>
        <v>1</v>
      </c>
      <c r="L994" s="157">
        <v>2</v>
      </c>
      <c r="M994" s="157">
        <v>2</v>
      </c>
      <c r="N994" s="153">
        <f t="shared" si="164"/>
        <v>24</v>
      </c>
      <c r="O994" s="157"/>
      <c r="P994" s="157"/>
      <c r="Q994" s="153">
        <f ca="1">OFFSET(card_type!$A$1,MATCH(card!B994,card_type!B:B,0)-1,0)</f>
        <v>2007</v>
      </c>
      <c r="R994" s="153">
        <v>1</v>
      </c>
      <c r="S994" s="157">
        <f ca="1">ROUND(IF(R994=0,0,IF(R994=1,X994*$S$1,IF(R994=2,X994*$S$1*buff的资质计算!$E$2,IF(R994=3,X994*$S$1*buff的资质计算!$E$3,0)))),0)*0</f>
        <v>0</v>
      </c>
      <c r="T994" s="153">
        <v>4</v>
      </c>
      <c r="U994" s="153">
        <f ca="1" t="shared" si="166"/>
        <v>11</v>
      </c>
      <c r="V994" s="153">
        <f ca="1">ROUND((OFFSET(卡牌辅助配置表!$O$1,MATCH(U994,卡牌辅助配置表!M:M,0)-1,0)+(N994-1)*OFFSET(卡牌辅助配置表!$P$1,MATCH(U994,卡牌辅助配置表!M:M,0)-1,0))*M994,2)</f>
        <v>22.15</v>
      </c>
      <c r="W994" s="157">
        <f ca="1">ROUND(IF(R994=0,0,IF(R994=1,X994*$W$1,IF(R994=2,X994*$W$1*buff的资质计算!$E$2,IF(R994=3,X994*$W$1*buff的资质计算!$E$3,0)))),2)</f>
        <v>6.45</v>
      </c>
      <c r="X994" s="157">
        <f ca="1" t="shared" si="162"/>
        <v>21.5</v>
      </c>
      <c r="Y994" s="157">
        <f ca="1" t="shared" si="171"/>
        <v>26.5</v>
      </c>
      <c r="Z994" s="304">
        <f ca="1" t="shared" si="163"/>
        <v>13.25</v>
      </c>
      <c r="AA994" s="304">
        <f ca="1">OFFSET(卡牌辅助配置表!$AD$1,MATCH(AB994,卡牌辅助配置表!AB:AB,0)-1,0)</f>
        <v>594</v>
      </c>
      <c r="AB994" s="304">
        <f ca="1" t="shared" si="167"/>
        <v>1124</v>
      </c>
      <c r="AC994" s="153">
        <v>12</v>
      </c>
      <c r="AF994" s="153" t="str">
        <f ca="1" t="shared" si="170"/>
        <v>20070011|</v>
      </c>
      <c r="AJ994" s="205" t="str">
        <f ca="1" t="shared" si="168"/>
        <v>400023|10300|;</v>
      </c>
      <c r="AK994" s="205">
        <f ca="1">OFFSET([1]item_type!$A$1,MATCH(Q994,[1]item_type!$G:$G,0)-1,0)</f>
        <v>302007</v>
      </c>
      <c r="AL994" s="205"/>
      <c r="AM994" s="205">
        <f ca="1">IF(B994=B995,OFFSET(卡牌辅助配置表!$AE$1,MATCH(AB994,卡牌辅助配置表!AB:AB,0),0),0)</f>
        <v>10300</v>
      </c>
      <c r="AN994" s="153">
        <f ca="1" t="shared" si="169"/>
        <v>2007025</v>
      </c>
      <c r="AP994" s="153">
        <f ca="1">IF(AC994=0,0,IF(AC994=12,0,OFFSET(effect!$N$1,MATCH(K994,effect!M:M,0)-1,0)))</f>
        <v>0</v>
      </c>
    </row>
    <row r="995" spans="1:42">
      <c r="A995" s="153">
        <f ca="1" t="shared" si="165"/>
        <v>2007025</v>
      </c>
      <c r="B995" s="91" t="s">
        <v>341</v>
      </c>
      <c r="C995" s="186">
        <v>2</v>
      </c>
      <c r="D995" s="186">
        <v>3</v>
      </c>
      <c r="E995" s="165" t="s">
        <v>1058</v>
      </c>
      <c r="F995" s="179" t="s">
        <v>1059</v>
      </c>
      <c r="G995" s="186">
        <f ca="1">OFFSET(卡牌辅助配置表!$C$1,MATCH(AC995,卡牌辅助配置表!A:A,0)-1,0)</f>
        <v>0</v>
      </c>
      <c r="H995" s="186">
        <f ca="1">OFFSET(skill!$Q$1,MATCH(B995,skill!B:B,0)-1,0)</f>
        <v>5</v>
      </c>
      <c r="I995" s="186"/>
      <c r="J995" s="186">
        <f ca="1">OFFSET(card_type!$F$1,MATCH(Q995,card_type!A:A,0)-1,0)</f>
        <v>1</v>
      </c>
      <c r="K995" s="243">
        <f ca="1">OFFSET(card_type!$G$1,MATCH(Q995,card_type!A:A,0)-1,0)</f>
        <v>1</v>
      </c>
      <c r="L995" s="157">
        <v>2</v>
      </c>
      <c r="M995" s="157">
        <v>2</v>
      </c>
      <c r="N995" s="153">
        <f t="shared" si="164"/>
        <v>25</v>
      </c>
      <c r="O995" s="157"/>
      <c r="P995" s="157"/>
      <c r="Q995" s="153">
        <f ca="1">OFFSET(card_type!$A$1,MATCH(card!B995,card_type!B:B,0)-1,0)</f>
        <v>2007</v>
      </c>
      <c r="R995" s="153">
        <v>1</v>
      </c>
      <c r="S995" s="157">
        <f ca="1">ROUND(IF(R995=0,0,IF(R995=1,X995*$S$1,IF(R995=2,X995*$S$1*buff的资质计算!$E$2,IF(R995=3,X995*$S$1*buff的资质计算!$E$3,0)))),0)*0</f>
        <v>0</v>
      </c>
      <c r="T995" s="153">
        <v>4</v>
      </c>
      <c r="U995" s="153">
        <f ca="1" t="shared" si="166"/>
        <v>11</v>
      </c>
      <c r="V995" s="153">
        <f ca="1">ROUND((OFFSET(卡牌辅助配置表!$O$1,MATCH(U995,卡牌辅助配置表!M:M,0)-1,0)+(N995-1)*OFFSET(卡牌辅助配置表!$P$1,MATCH(U995,卡牌辅助配置表!M:M,0)-1,0))*M995,2)</f>
        <v>22.57</v>
      </c>
      <c r="W995" s="157">
        <f ca="1">ROUND(IF(R995=0,0,IF(R995=1,X995*$W$1,IF(R995=2,X995*$W$1*buff的资质计算!$E$2,IF(R995=3,X995*$W$1*buff的资质计算!$E$3,0)))),2)</f>
        <v>6.6</v>
      </c>
      <c r="X995" s="157">
        <f ca="1" t="shared" si="162"/>
        <v>22</v>
      </c>
      <c r="Y995" s="157">
        <f ca="1" t="shared" si="171"/>
        <v>27</v>
      </c>
      <c r="Z995" s="304">
        <f ca="1" t="shared" si="163"/>
        <v>13.5</v>
      </c>
      <c r="AA995" s="304">
        <f ca="1">OFFSET(卡牌辅助配置表!$AD$1,MATCH(AB995,卡牌辅助配置表!AB:AB,0)-1,0)</f>
        <v>630</v>
      </c>
      <c r="AB995" s="304">
        <f ca="1" t="shared" si="167"/>
        <v>1125</v>
      </c>
      <c r="AC995" s="153">
        <v>12</v>
      </c>
      <c r="AF995" s="153" t="str">
        <f ca="1" t="shared" si="170"/>
        <v>20070011|</v>
      </c>
      <c r="AJ995" s="205" t="str">
        <f ca="1" t="shared" si="168"/>
        <v>400023|11100|;</v>
      </c>
      <c r="AK995" s="205">
        <f ca="1">OFFSET([1]item_type!$A$1,MATCH(Q995,[1]item_type!$G:$G,0)-1,0)</f>
        <v>302007</v>
      </c>
      <c r="AL995" s="205"/>
      <c r="AM995" s="205">
        <f ca="1">IF(B995=B996,OFFSET(卡牌辅助配置表!$AE$1,MATCH(AB995,卡牌辅助配置表!AB:AB,0),0),0)</f>
        <v>11100</v>
      </c>
      <c r="AN995" s="153">
        <f ca="1" t="shared" si="169"/>
        <v>2007026</v>
      </c>
      <c r="AP995" s="153">
        <f ca="1">IF(AC995=0,0,IF(AC995=12,0,OFFSET(effect!$N$1,MATCH(K995,effect!M:M,0)-1,0)))</f>
        <v>0</v>
      </c>
    </row>
    <row r="996" spans="1:42">
      <c r="A996" s="153">
        <f ca="1" t="shared" si="165"/>
        <v>2007026</v>
      </c>
      <c r="B996" s="91" t="s">
        <v>341</v>
      </c>
      <c r="C996" s="186">
        <v>2</v>
      </c>
      <c r="D996" s="186">
        <v>3</v>
      </c>
      <c r="E996" s="165" t="s">
        <v>1058</v>
      </c>
      <c r="F996" s="179" t="s">
        <v>1059</v>
      </c>
      <c r="G996" s="186">
        <f ca="1">OFFSET(卡牌辅助配置表!$C$1,MATCH(AC996,卡牌辅助配置表!A:A,0)-1,0)</f>
        <v>0</v>
      </c>
      <c r="H996" s="186">
        <f ca="1">OFFSET(skill!$Q$1,MATCH(B996,skill!B:B,0)-1,0)</f>
        <v>5</v>
      </c>
      <c r="I996" s="186"/>
      <c r="J996" s="186">
        <f ca="1">OFFSET(card_type!$F$1,MATCH(Q996,card_type!A:A,0)-1,0)</f>
        <v>1</v>
      </c>
      <c r="K996" s="243">
        <f ca="1">OFFSET(card_type!$G$1,MATCH(Q996,card_type!A:A,0)-1,0)</f>
        <v>1</v>
      </c>
      <c r="L996" s="157">
        <v>2</v>
      </c>
      <c r="M996" s="157">
        <v>2</v>
      </c>
      <c r="N996" s="153">
        <f t="shared" si="164"/>
        <v>26</v>
      </c>
      <c r="O996" s="157"/>
      <c r="P996" s="157"/>
      <c r="Q996" s="153">
        <f ca="1">OFFSET(card_type!$A$1,MATCH(card!B996,card_type!B:B,0)-1,0)</f>
        <v>2007</v>
      </c>
      <c r="R996" s="153">
        <v>1</v>
      </c>
      <c r="S996" s="157">
        <f ca="1">ROUND(IF(R996=0,0,IF(R996=1,X996*$S$1,IF(R996=2,X996*$S$1*buff的资质计算!$E$2,IF(R996=3,X996*$S$1*buff的资质计算!$E$3,0)))),0)*0</f>
        <v>0</v>
      </c>
      <c r="T996" s="153">
        <v>4</v>
      </c>
      <c r="U996" s="153">
        <f ca="1" t="shared" si="166"/>
        <v>11</v>
      </c>
      <c r="V996" s="153">
        <f ca="1">ROUND((OFFSET(卡牌辅助配置表!$O$1,MATCH(U996,卡牌辅助配置表!M:M,0)-1,0)+(N996-1)*OFFSET(卡牌辅助配置表!$P$1,MATCH(U996,卡牌辅助配置表!M:M,0)-1,0))*M996,2)</f>
        <v>22.99</v>
      </c>
      <c r="W996" s="157">
        <f ca="1">ROUND(IF(R996=0,0,IF(R996=1,X996*$W$1,IF(R996=2,X996*$W$1*buff的资质计算!$E$2,IF(R996=3,X996*$W$1*buff的资质计算!$E$3,0)))),2)</f>
        <v>6.75</v>
      </c>
      <c r="X996" s="157">
        <f ca="1" t="shared" si="162"/>
        <v>22.5</v>
      </c>
      <c r="Y996" s="157">
        <f ca="1" t="shared" si="171"/>
        <v>27.5</v>
      </c>
      <c r="Z996" s="304">
        <f ca="1" t="shared" si="163"/>
        <v>13.75</v>
      </c>
      <c r="AA996" s="304">
        <f ca="1">OFFSET(卡牌辅助配置表!$AD$1,MATCH(AB996,卡牌辅助配置表!AB:AB,0)-1,0)</f>
        <v>666</v>
      </c>
      <c r="AB996" s="304">
        <f ca="1" t="shared" si="167"/>
        <v>1126</v>
      </c>
      <c r="AC996" s="153">
        <v>12</v>
      </c>
      <c r="AF996" s="153" t="str">
        <f ca="1" t="shared" si="170"/>
        <v>20070011|</v>
      </c>
      <c r="AJ996" s="205" t="str">
        <f ca="1" t="shared" si="168"/>
        <v>400023|11900|;</v>
      </c>
      <c r="AK996" s="205">
        <f ca="1">OFFSET([1]item_type!$A$1,MATCH(Q996,[1]item_type!$G:$G,0)-1,0)</f>
        <v>302007</v>
      </c>
      <c r="AL996" s="205"/>
      <c r="AM996" s="205">
        <f ca="1">IF(B996=B997,OFFSET(卡牌辅助配置表!$AE$1,MATCH(AB996,卡牌辅助配置表!AB:AB,0),0),0)</f>
        <v>11900</v>
      </c>
      <c r="AN996" s="153">
        <f ca="1" t="shared" si="169"/>
        <v>2007027</v>
      </c>
      <c r="AP996" s="153">
        <f ca="1">IF(AC996=0,0,IF(AC996=12,0,OFFSET(effect!$N$1,MATCH(K996,effect!M:M,0)-1,0)))</f>
        <v>0</v>
      </c>
    </row>
    <row r="997" spans="1:42">
      <c r="A997" s="153">
        <f ca="1" t="shared" si="165"/>
        <v>2007027</v>
      </c>
      <c r="B997" s="91" t="s">
        <v>341</v>
      </c>
      <c r="C997" s="186">
        <v>2</v>
      </c>
      <c r="D997" s="186">
        <v>3</v>
      </c>
      <c r="E997" s="165" t="s">
        <v>1058</v>
      </c>
      <c r="F997" s="179" t="s">
        <v>1059</v>
      </c>
      <c r="G997" s="186">
        <f ca="1">OFFSET(卡牌辅助配置表!$C$1,MATCH(AC997,卡牌辅助配置表!A:A,0)-1,0)</f>
        <v>0</v>
      </c>
      <c r="H997" s="186">
        <f ca="1">OFFSET(skill!$Q$1,MATCH(B997,skill!B:B,0)-1,0)</f>
        <v>5</v>
      </c>
      <c r="I997" s="186"/>
      <c r="J997" s="186">
        <f ca="1">OFFSET(card_type!$F$1,MATCH(Q997,card_type!A:A,0)-1,0)</f>
        <v>1</v>
      </c>
      <c r="K997" s="243">
        <f ca="1">OFFSET(card_type!$G$1,MATCH(Q997,card_type!A:A,0)-1,0)</f>
        <v>1</v>
      </c>
      <c r="L997" s="157">
        <v>2</v>
      </c>
      <c r="M997" s="157">
        <v>2</v>
      </c>
      <c r="N997" s="153">
        <f t="shared" si="164"/>
        <v>27</v>
      </c>
      <c r="O997" s="157"/>
      <c r="P997" s="157"/>
      <c r="Q997" s="153">
        <f ca="1">OFFSET(card_type!$A$1,MATCH(card!B997,card_type!B:B,0)-1,0)</f>
        <v>2007</v>
      </c>
      <c r="R997" s="153">
        <v>1</v>
      </c>
      <c r="S997" s="157">
        <f ca="1">ROUND(IF(R997=0,0,IF(R997=1,X997*$S$1,IF(R997=2,X997*$S$1*buff的资质计算!$E$2,IF(R997=3,X997*$S$1*buff的资质计算!$E$3,0)))),0)*0</f>
        <v>0</v>
      </c>
      <c r="T997" s="153">
        <v>4</v>
      </c>
      <c r="U997" s="153">
        <f ca="1" t="shared" si="166"/>
        <v>11</v>
      </c>
      <c r="V997" s="153">
        <f ca="1">ROUND((OFFSET(卡牌辅助配置表!$O$1,MATCH(U997,卡牌辅助配置表!M:M,0)-1,0)+(N997-1)*OFFSET(卡牌辅助配置表!$P$1,MATCH(U997,卡牌辅助配置表!M:M,0)-1,0))*M997,2)</f>
        <v>23.41</v>
      </c>
      <c r="W997" s="157">
        <f ca="1">ROUND(IF(R997=0,0,IF(R997=1,X997*$W$1,IF(R997=2,X997*$W$1*buff的资质计算!$E$2,IF(R997=3,X997*$W$1*buff的资质计算!$E$3,0)))),2)</f>
        <v>6.9</v>
      </c>
      <c r="X997" s="157">
        <f ca="1" t="shared" si="162"/>
        <v>23</v>
      </c>
      <c r="Y997" s="157">
        <f ca="1" t="shared" si="171"/>
        <v>28</v>
      </c>
      <c r="Z997" s="304">
        <f ca="1" t="shared" si="163"/>
        <v>14</v>
      </c>
      <c r="AA997" s="304">
        <f ca="1">OFFSET(卡牌辅助配置表!$AD$1,MATCH(AB997,卡牌辅助配置表!AB:AB,0)-1,0)</f>
        <v>702</v>
      </c>
      <c r="AB997" s="304">
        <f ca="1" t="shared" si="167"/>
        <v>1127</v>
      </c>
      <c r="AC997" s="153">
        <v>12</v>
      </c>
      <c r="AF997" s="153" t="str">
        <f ca="1" t="shared" si="170"/>
        <v>20070011|</v>
      </c>
      <c r="AJ997" s="205" t="str">
        <f ca="1" t="shared" si="168"/>
        <v>400023|12700|;</v>
      </c>
      <c r="AK997" s="205">
        <f ca="1">OFFSET([1]item_type!$A$1,MATCH(Q997,[1]item_type!$G:$G,0)-1,0)</f>
        <v>302007</v>
      </c>
      <c r="AL997" s="205"/>
      <c r="AM997" s="205">
        <f ca="1">IF(B997=B998,OFFSET(卡牌辅助配置表!$AE$1,MATCH(AB997,卡牌辅助配置表!AB:AB,0),0),0)</f>
        <v>12700</v>
      </c>
      <c r="AN997" s="153">
        <f ca="1" t="shared" si="169"/>
        <v>2007028</v>
      </c>
      <c r="AP997" s="153">
        <f ca="1">IF(AC997=0,0,IF(AC997=12,0,OFFSET(effect!$N$1,MATCH(K997,effect!M:M,0)-1,0)))</f>
        <v>0</v>
      </c>
    </row>
    <row r="998" spans="1:42">
      <c r="A998" s="153">
        <f ca="1" t="shared" si="165"/>
        <v>2007028</v>
      </c>
      <c r="B998" s="91" t="s">
        <v>341</v>
      </c>
      <c r="C998" s="186">
        <v>2</v>
      </c>
      <c r="D998" s="186">
        <v>3</v>
      </c>
      <c r="E998" s="165" t="s">
        <v>1058</v>
      </c>
      <c r="F998" s="179" t="s">
        <v>1059</v>
      </c>
      <c r="G998" s="186">
        <f ca="1">OFFSET(卡牌辅助配置表!$C$1,MATCH(AC998,卡牌辅助配置表!A:A,0)-1,0)</f>
        <v>0</v>
      </c>
      <c r="H998" s="186">
        <f ca="1">OFFSET(skill!$Q$1,MATCH(B998,skill!B:B,0)-1,0)</f>
        <v>5</v>
      </c>
      <c r="I998" s="186"/>
      <c r="J998" s="186">
        <f ca="1">OFFSET(card_type!$F$1,MATCH(Q998,card_type!A:A,0)-1,0)</f>
        <v>1</v>
      </c>
      <c r="K998" s="243">
        <f ca="1">OFFSET(card_type!$G$1,MATCH(Q998,card_type!A:A,0)-1,0)</f>
        <v>1</v>
      </c>
      <c r="L998" s="157">
        <v>2</v>
      </c>
      <c r="M998" s="157">
        <v>2</v>
      </c>
      <c r="N998" s="153">
        <f t="shared" si="164"/>
        <v>28</v>
      </c>
      <c r="O998" s="157"/>
      <c r="P998" s="157"/>
      <c r="Q998" s="153">
        <f ca="1">OFFSET(card_type!$A$1,MATCH(card!B998,card_type!B:B,0)-1,0)</f>
        <v>2007</v>
      </c>
      <c r="R998" s="153">
        <v>1</v>
      </c>
      <c r="S998" s="157">
        <f ca="1">ROUND(IF(R998=0,0,IF(R998=1,X998*$S$1,IF(R998=2,X998*$S$1*buff的资质计算!$E$2,IF(R998=3,X998*$S$1*buff的资质计算!$E$3,0)))),0)*0</f>
        <v>0</v>
      </c>
      <c r="T998" s="153">
        <v>4</v>
      </c>
      <c r="U998" s="153">
        <f ca="1" t="shared" si="166"/>
        <v>11</v>
      </c>
      <c r="V998" s="153">
        <f ca="1">ROUND((OFFSET(卡牌辅助配置表!$O$1,MATCH(U998,卡牌辅助配置表!M:M,0)-1,0)+(N998-1)*OFFSET(卡牌辅助配置表!$P$1,MATCH(U998,卡牌辅助配置表!M:M,0)-1,0))*M998,2)</f>
        <v>23.83</v>
      </c>
      <c r="W998" s="157">
        <f ca="1">ROUND(IF(R998=0,0,IF(R998=1,X998*$W$1,IF(R998=2,X998*$W$1*buff的资质计算!$E$2,IF(R998=3,X998*$W$1*buff的资质计算!$E$3,0)))),2)</f>
        <v>7.05</v>
      </c>
      <c r="X998" s="157">
        <f ca="1" t="shared" si="162"/>
        <v>23.5</v>
      </c>
      <c r="Y998" s="157">
        <f ca="1" t="shared" si="171"/>
        <v>28.5</v>
      </c>
      <c r="Z998" s="304">
        <f ca="1" t="shared" si="163"/>
        <v>14.25</v>
      </c>
      <c r="AA998" s="304">
        <f ca="1">OFFSET(卡牌辅助配置表!$AD$1,MATCH(AB998,卡牌辅助配置表!AB:AB,0)-1,0)</f>
        <v>738</v>
      </c>
      <c r="AB998" s="304">
        <f ca="1" t="shared" si="167"/>
        <v>1128</v>
      </c>
      <c r="AC998" s="153">
        <v>12</v>
      </c>
      <c r="AF998" s="153" t="str">
        <f ca="1" t="shared" si="170"/>
        <v>20070011|</v>
      </c>
      <c r="AJ998" s="205" t="str">
        <f ca="1" t="shared" si="168"/>
        <v>400023|13500|;</v>
      </c>
      <c r="AK998" s="205">
        <f ca="1">OFFSET([1]item_type!$A$1,MATCH(Q998,[1]item_type!$G:$G,0)-1,0)</f>
        <v>302007</v>
      </c>
      <c r="AL998" s="205"/>
      <c r="AM998" s="205">
        <f ca="1">IF(B998=B999,OFFSET(卡牌辅助配置表!$AE$1,MATCH(AB998,卡牌辅助配置表!AB:AB,0),0),0)</f>
        <v>13500</v>
      </c>
      <c r="AN998" s="153">
        <f ca="1" t="shared" si="169"/>
        <v>2007029</v>
      </c>
      <c r="AP998" s="153">
        <f ca="1">IF(AC998=0,0,IF(AC998=12,0,OFFSET(effect!$N$1,MATCH(K998,effect!M:M,0)-1,0)))</f>
        <v>0</v>
      </c>
    </row>
    <row r="999" spans="1:42">
      <c r="A999" s="153">
        <f ca="1" t="shared" si="165"/>
        <v>2007029</v>
      </c>
      <c r="B999" s="91" t="s">
        <v>341</v>
      </c>
      <c r="C999" s="186">
        <v>2</v>
      </c>
      <c r="D999" s="186">
        <v>3</v>
      </c>
      <c r="E999" s="165" t="s">
        <v>1058</v>
      </c>
      <c r="F999" s="179" t="s">
        <v>1059</v>
      </c>
      <c r="G999" s="186">
        <f ca="1">OFFSET(卡牌辅助配置表!$C$1,MATCH(AC999,卡牌辅助配置表!A:A,0)-1,0)</f>
        <v>0</v>
      </c>
      <c r="H999" s="186">
        <f ca="1">OFFSET(skill!$Q$1,MATCH(B999,skill!B:B,0)-1,0)</f>
        <v>5</v>
      </c>
      <c r="I999" s="186"/>
      <c r="J999" s="186">
        <f ca="1">OFFSET(card_type!$F$1,MATCH(Q999,card_type!A:A,0)-1,0)</f>
        <v>1</v>
      </c>
      <c r="K999" s="243">
        <f ca="1">OFFSET(card_type!$G$1,MATCH(Q999,card_type!A:A,0)-1,0)</f>
        <v>1</v>
      </c>
      <c r="L999" s="157">
        <v>2</v>
      </c>
      <c r="M999" s="157">
        <v>2</v>
      </c>
      <c r="N999" s="153">
        <f t="shared" si="164"/>
        <v>29</v>
      </c>
      <c r="O999" s="157"/>
      <c r="P999" s="157"/>
      <c r="Q999" s="153">
        <f ca="1">OFFSET(card_type!$A$1,MATCH(card!B999,card_type!B:B,0)-1,0)</f>
        <v>2007</v>
      </c>
      <c r="R999" s="153">
        <v>1</v>
      </c>
      <c r="S999" s="157">
        <f ca="1">ROUND(IF(R999=0,0,IF(R999=1,X999*$S$1,IF(R999=2,X999*$S$1*buff的资质计算!$E$2,IF(R999=3,X999*$S$1*buff的资质计算!$E$3,0)))),0)*0</f>
        <v>0</v>
      </c>
      <c r="T999" s="153">
        <v>4</v>
      </c>
      <c r="U999" s="153">
        <f ca="1" t="shared" si="166"/>
        <v>11</v>
      </c>
      <c r="V999" s="153">
        <f ca="1">ROUND((OFFSET(卡牌辅助配置表!$O$1,MATCH(U999,卡牌辅助配置表!M:M,0)-1,0)+(N999-1)*OFFSET(卡牌辅助配置表!$P$1,MATCH(U999,卡牌辅助配置表!M:M,0)-1,0))*M999,2)</f>
        <v>24.24</v>
      </c>
      <c r="W999" s="157">
        <f ca="1">ROUND(IF(R999=0,0,IF(R999=1,X999*$W$1,IF(R999=2,X999*$W$1*buff的资质计算!$E$2,IF(R999=3,X999*$W$1*buff的资质计算!$E$3,0)))),2)</f>
        <v>7.2</v>
      </c>
      <c r="X999" s="157">
        <f ca="1" t="shared" si="162"/>
        <v>24</v>
      </c>
      <c r="Y999" s="157">
        <f ca="1" t="shared" si="171"/>
        <v>29</v>
      </c>
      <c r="Z999" s="304">
        <f ca="1" t="shared" si="163"/>
        <v>14.5</v>
      </c>
      <c r="AA999" s="304">
        <f ca="1">OFFSET(卡牌辅助配置表!$AD$1,MATCH(AB999,卡牌辅助配置表!AB:AB,0)-1,0)</f>
        <v>774</v>
      </c>
      <c r="AB999" s="304">
        <f ca="1" t="shared" si="167"/>
        <v>1129</v>
      </c>
      <c r="AC999" s="153">
        <v>12</v>
      </c>
      <c r="AF999" s="153" t="str">
        <f ca="1" t="shared" si="170"/>
        <v>20070011|</v>
      </c>
      <c r="AJ999" s="205" t="str">
        <f ca="1" t="shared" si="168"/>
        <v>302007|30|;400023|14300|;</v>
      </c>
      <c r="AK999" s="205">
        <f ca="1">OFFSET([1]item_type!$A$1,MATCH(Q999,[1]item_type!$G:$G,0)-1,0)</f>
        <v>302007</v>
      </c>
      <c r="AL999" s="205">
        <v>30</v>
      </c>
      <c r="AM999" s="205">
        <f ca="1">IF(B999=B1000,OFFSET(卡牌辅助配置表!$AE$1,MATCH(AB999,卡牌辅助配置表!AB:AB,0),0),0)</f>
        <v>14300</v>
      </c>
      <c r="AN999" s="153">
        <f ca="1" t="shared" si="169"/>
        <v>2007030</v>
      </c>
      <c r="AP999" s="153">
        <f ca="1">IF(AC999=0,0,IF(AC999=12,0,OFFSET(effect!$N$1,MATCH(K999,effect!M:M,0)-1,0)))</f>
        <v>0</v>
      </c>
    </row>
    <row r="1000" spans="1:42">
      <c r="A1000" s="153">
        <f ca="1" t="shared" si="165"/>
        <v>2007030</v>
      </c>
      <c r="B1000" s="91" t="s">
        <v>341</v>
      </c>
      <c r="C1000" s="186">
        <v>2</v>
      </c>
      <c r="D1000" s="186">
        <v>3</v>
      </c>
      <c r="E1000" s="165" t="s">
        <v>1058</v>
      </c>
      <c r="F1000" s="179" t="s">
        <v>1059</v>
      </c>
      <c r="G1000" s="186">
        <f ca="1">OFFSET(卡牌辅助配置表!$C$1,MATCH(AC1000,卡牌辅助配置表!A:A,0)-1,0)</f>
        <v>0</v>
      </c>
      <c r="H1000" s="186">
        <f ca="1">OFFSET(skill!$Q$1,MATCH(B1000,skill!B:B,0)-1,0)</f>
        <v>5</v>
      </c>
      <c r="I1000" s="186"/>
      <c r="J1000" s="186">
        <f ca="1">OFFSET(card_type!$F$1,MATCH(Q1000,card_type!A:A,0)-1,0)</f>
        <v>1</v>
      </c>
      <c r="K1000" s="243">
        <f ca="1">OFFSET(card_type!$G$1,MATCH(Q1000,card_type!A:A,0)-1,0)</f>
        <v>1</v>
      </c>
      <c r="L1000" s="157">
        <v>2</v>
      </c>
      <c r="M1000" s="157">
        <v>2</v>
      </c>
      <c r="N1000" s="153">
        <f t="shared" si="164"/>
        <v>30</v>
      </c>
      <c r="O1000" s="157"/>
      <c r="P1000" s="157"/>
      <c r="Q1000" s="153">
        <f ca="1">OFFSET(card_type!$A$1,MATCH(card!B1000,card_type!B:B,0)-1,0)</f>
        <v>2007</v>
      </c>
      <c r="R1000" s="153">
        <v>1</v>
      </c>
      <c r="S1000" s="157">
        <f ca="1">ROUND(IF(R1000=0,0,IF(R1000=1,X1000*$S$1,IF(R1000=2,X1000*$S$1*buff的资质计算!$E$2,IF(R1000=3,X1000*$S$1*buff的资质计算!$E$3,0)))),0)*0</f>
        <v>0</v>
      </c>
      <c r="T1000" s="153">
        <v>4</v>
      </c>
      <c r="U1000" s="153">
        <f ca="1" t="shared" si="166"/>
        <v>11</v>
      </c>
      <c r="V1000" s="153">
        <f ca="1">ROUND((OFFSET(卡牌辅助配置表!$O$1,MATCH(U1000,卡牌辅助配置表!M:M,0)-1,0)+(N1000-1)*OFFSET(卡牌辅助配置表!$P$1,MATCH(U1000,卡牌辅助配置表!M:M,0)-1,0))*M1000,2)</f>
        <v>24.66</v>
      </c>
      <c r="W1000" s="157">
        <f ca="1">ROUND(IF(R1000=0,0,IF(R1000=1,X1000*$W$1,IF(R1000=2,X1000*$W$1*buff的资质计算!$E$2,IF(R1000=3,X1000*$W$1*buff的资质计算!$E$3,0)))),2)</f>
        <v>7.35</v>
      </c>
      <c r="X1000" s="157">
        <f ca="1" t="shared" si="162"/>
        <v>24.5</v>
      </c>
      <c r="Y1000" s="157">
        <f ca="1" t="shared" si="171"/>
        <v>29.5</v>
      </c>
      <c r="Z1000" s="304">
        <f ca="1" t="shared" si="163"/>
        <v>14.75</v>
      </c>
      <c r="AA1000" s="304">
        <f ca="1">OFFSET(卡牌辅助配置表!$AD$1,MATCH(AB1000,卡牌辅助配置表!AB:AB,0)-1,0)</f>
        <v>810</v>
      </c>
      <c r="AB1000" s="304">
        <f ca="1" t="shared" si="167"/>
        <v>1130</v>
      </c>
      <c r="AC1000" s="153">
        <v>12</v>
      </c>
      <c r="AF1000" s="153" t="str">
        <f ca="1" t="shared" si="170"/>
        <v>20070011|</v>
      </c>
      <c r="AJ1000" s="205">
        <f ca="1" t="shared" si="168"/>
        <v>0</v>
      </c>
      <c r="AK1000" s="205">
        <f ca="1">OFFSET([1]item_type!$A$1,MATCH(Q1000,[1]item_type!$G:$G,0)-1,0)</f>
        <v>302007</v>
      </c>
      <c r="AL1000" s="205"/>
      <c r="AM1000" s="205">
        <f ca="1">IF(B1000=B1001,OFFSET(卡牌辅助配置表!$AE$1,MATCH(AB1000,卡牌辅助配置表!AB:AB,0),0),0)</f>
        <v>0</v>
      </c>
      <c r="AN1000" s="153">
        <f ca="1" t="shared" si="169"/>
        <v>0</v>
      </c>
      <c r="AP1000" s="153">
        <f ca="1">IF(AC1000=0,0,IF(AC1000=12,0,OFFSET(effect!$N$1,MATCH(K1000,effect!M:M,0)-1,0)))</f>
        <v>0</v>
      </c>
    </row>
    <row r="1001" spans="1:42">
      <c r="A1001" s="153">
        <f ca="1" t="shared" si="165"/>
        <v>2008001</v>
      </c>
      <c r="B1001" s="91" t="s">
        <v>353</v>
      </c>
      <c r="C1001" s="186">
        <v>2</v>
      </c>
      <c r="D1001" s="186">
        <v>2</v>
      </c>
      <c r="E1001" s="165" t="s">
        <v>1058</v>
      </c>
      <c r="F1001" s="179" t="s">
        <v>1060</v>
      </c>
      <c r="G1001" s="186">
        <f ca="1">OFFSET(卡牌辅助配置表!$C$1,MATCH(AC1001,卡牌辅助配置表!A:A,0)-1,0)</f>
        <v>3</v>
      </c>
      <c r="H1001" s="186">
        <f ca="1">OFFSET(skill!$Q$1,MATCH(B1001,skill!B:B,0)-1,0)</f>
        <v>1</v>
      </c>
      <c r="I1001" s="186"/>
      <c r="J1001" s="186">
        <f ca="1">OFFSET(card_type!$F$1,MATCH(Q1001,card_type!A:A,0)-1,0)</f>
        <v>1</v>
      </c>
      <c r="K1001" s="243">
        <f ca="1">OFFSET(card_type!$G$1,MATCH(Q1001,card_type!A:A,0)-1,0)</f>
        <v>2</v>
      </c>
      <c r="L1001" s="157">
        <v>3</v>
      </c>
      <c r="M1001" s="157">
        <v>3</v>
      </c>
      <c r="N1001" s="153">
        <f t="shared" si="164"/>
        <v>1</v>
      </c>
      <c r="O1001" s="157"/>
      <c r="P1001" s="157"/>
      <c r="Q1001" s="153">
        <f ca="1">OFFSET(card_type!$A$1,MATCH(card!B1001,card_type!B:B,0)-1,0)</f>
        <v>2008</v>
      </c>
      <c r="R1001" s="153">
        <v>1</v>
      </c>
      <c r="S1001" s="157">
        <f ca="1">ROUND(IF(R1001=0,0,IF(R1001=1,X1001*$S$1,IF(R1001=2,X1001*$S$1*buff的资质计算!$E$2,IF(R1001=3,X1001*$S$1*buff的资质计算!$E$3,0)))),0)*0</f>
        <v>0</v>
      </c>
      <c r="T1001" s="153">
        <v>4</v>
      </c>
      <c r="U1001" s="153">
        <f ca="1" t="shared" si="166"/>
        <v>12</v>
      </c>
      <c r="V1001" s="153">
        <f ca="1">ROUND((OFFSET(卡牌辅助配置表!$O$1,MATCH(U1001,卡牌辅助配置表!M:M,0)-1,0)+(N1001-1)*OFFSET(卡牌辅助配置表!$P$1,MATCH(U1001,卡牌辅助配置表!M:M,0)-1,0))*M1001,2)</f>
        <v>28.5</v>
      </c>
      <c r="W1001" s="157">
        <f ca="1">ROUND(IF(R1001=0,0,IF(R1001=1,X1001*$W$1,IF(R1001=2,X1001*$W$1*buff的资质计算!$E$2,IF(R1001=3,X1001*$W$1*buff的资质计算!$E$3,0)))),2)</f>
        <v>9</v>
      </c>
      <c r="X1001" s="157">
        <f ca="1" t="shared" si="162"/>
        <v>30</v>
      </c>
      <c r="Y1001" s="157">
        <f ca="1" t="shared" si="171"/>
        <v>31</v>
      </c>
      <c r="Z1001" s="304">
        <f ca="1" t="shared" si="163"/>
        <v>10.3333333333333</v>
      </c>
      <c r="AA1001" s="304">
        <f ca="1">OFFSET(卡牌辅助配置表!$AD$1,MATCH(AB1001,卡牌辅助配置表!AB:AB,0)-1,0)</f>
        <v>36</v>
      </c>
      <c r="AB1001" s="304">
        <f ca="1" t="shared" si="167"/>
        <v>1201</v>
      </c>
      <c r="AC1001" s="153">
        <v>3</v>
      </c>
      <c r="AE1001" s="153">
        <v>2</v>
      </c>
      <c r="AF1001" s="153" t="str">
        <f ca="1" t="shared" si="170"/>
        <v>20080011|</v>
      </c>
      <c r="AJ1001" s="205" t="str">
        <f ca="1" t="shared" si="168"/>
        <v>400023|1050|;</v>
      </c>
      <c r="AK1001" s="205">
        <f ca="1">OFFSET([1]item_type!$A$1,MATCH(Q1001,[1]item_type!$G:$G,0)-1,0)</f>
        <v>302008</v>
      </c>
      <c r="AL1001" s="205"/>
      <c r="AM1001" s="205">
        <f ca="1">IF(B1001=B1002,OFFSET(卡牌辅助配置表!$AE$1,MATCH(AB1001,卡牌辅助配置表!AB:AB,0),0),0)</f>
        <v>1050</v>
      </c>
      <c r="AN1001" s="153">
        <f ca="1" t="shared" si="169"/>
        <v>2008002</v>
      </c>
      <c r="AP1001" s="153" t="str">
        <f ca="1">IF(AC1001=0,0,IF(AC1001=12,0,OFFSET(effect!$N$1,MATCH(K1001,effect!M:M,0)-1,0)))</f>
        <v>kpsx_pt</v>
      </c>
    </row>
    <row r="1002" spans="1:42">
      <c r="A1002" s="153">
        <f ca="1" t="shared" si="165"/>
        <v>2008002</v>
      </c>
      <c r="B1002" s="91" t="s">
        <v>353</v>
      </c>
      <c r="C1002" s="186">
        <v>2</v>
      </c>
      <c r="D1002" s="186">
        <v>2</v>
      </c>
      <c r="E1002" s="165" t="s">
        <v>1058</v>
      </c>
      <c r="F1002" s="179" t="s">
        <v>1060</v>
      </c>
      <c r="G1002" s="186">
        <f ca="1">OFFSET(卡牌辅助配置表!$C$1,MATCH(AC1002,卡牌辅助配置表!A:A,0)-1,0)</f>
        <v>3</v>
      </c>
      <c r="H1002" s="186">
        <f ca="1">OFFSET(skill!$Q$1,MATCH(B1002,skill!B:B,0)-1,0)</f>
        <v>1</v>
      </c>
      <c r="I1002" s="186"/>
      <c r="J1002" s="186">
        <f ca="1">OFFSET(card_type!$F$1,MATCH(Q1002,card_type!A:A,0)-1,0)</f>
        <v>1</v>
      </c>
      <c r="K1002" s="243">
        <f ca="1">OFFSET(card_type!$G$1,MATCH(Q1002,card_type!A:A,0)-1,0)</f>
        <v>2</v>
      </c>
      <c r="L1002" s="157">
        <v>3</v>
      </c>
      <c r="M1002" s="157">
        <v>3</v>
      </c>
      <c r="N1002" s="153">
        <f t="shared" si="164"/>
        <v>2</v>
      </c>
      <c r="O1002" s="157"/>
      <c r="P1002" s="157"/>
      <c r="Q1002" s="153">
        <f ca="1">OFFSET(card_type!$A$1,MATCH(card!B1002,card_type!B:B,0)-1,0)</f>
        <v>2008</v>
      </c>
      <c r="R1002" s="153">
        <v>1</v>
      </c>
      <c r="S1002" s="157">
        <f ca="1">ROUND(IF(R1002=0,0,IF(R1002=1,X1002*$S$1,IF(R1002=2,X1002*$S$1*buff的资质计算!$E$2,IF(R1002=3,X1002*$S$1*buff的资质计算!$E$3,0)))),0)*0</f>
        <v>0</v>
      </c>
      <c r="T1002" s="153">
        <v>4</v>
      </c>
      <c r="U1002" s="153">
        <f ca="1" t="shared" si="166"/>
        <v>12</v>
      </c>
      <c r="V1002" s="153">
        <f ca="1">ROUND((OFFSET(卡牌辅助配置表!$O$1,MATCH(U1002,卡牌辅助配置表!M:M,0)-1,0)+(N1002-1)*OFFSET(卡牌辅助配置表!$P$1,MATCH(U1002,卡牌辅助配置表!M:M,0)-1,0))*M1002,2)</f>
        <v>29.45</v>
      </c>
      <c r="W1002" s="157">
        <f ca="1">ROUND(IF(R1002=0,0,IF(R1002=1,X1002*$W$1,IF(R1002=2,X1002*$W$1*buff的资质计算!$E$2,IF(R1002=3,X1002*$W$1*buff的资质计算!$E$3,0)))),2)</f>
        <v>9.15</v>
      </c>
      <c r="X1002" s="157">
        <f ca="1" t="shared" si="162"/>
        <v>30.5</v>
      </c>
      <c r="Y1002" s="157">
        <f ca="1" t="shared" si="171"/>
        <v>31.5</v>
      </c>
      <c r="Z1002" s="304">
        <f ca="1" t="shared" si="163"/>
        <v>10.5</v>
      </c>
      <c r="AA1002" s="304">
        <f ca="1">OFFSET(卡牌辅助配置表!$AD$1,MATCH(AB1002,卡牌辅助配置表!AB:AB,0)-1,0)</f>
        <v>72</v>
      </c>
      <c r="AB1002" s="304">
        <f ca="1" t="shared" si="167"/>
        <v>1202</v>
      </c>
      <c r="AC1002" s="153">
        <v>3</v>
      </c>
      <c r="AE1002" s="153">
        <v>2</v>
      </c>
      <c r="AF1002" s="153" t="str">
        <f ca="1" t="shared" si="170"/>
        <v>20080011|</v>
      </c>
      <c r="AJ1002" s="205" t="str">
        <f ca="1" t="shared" si="168"/>
        <v>400023|1350|;</v>
      </c>
      <c r="AK1002" s="205">
        <f ca="1">OFFSET([1]item_type!$A$1,MATCH(Q1002,[1]item_type!$G:$G,0)-1,0)</f>
        <v>302008</v>
      </c>
      <c r="AL1002" s="205"/>
      <c r="AM1002" s="205">
        <f ca="1">IF(B1002=B1003,OFFSET(卡牌辅助配置表!$AE$1,MATCH(AB1002,卡牌辅助配置表!AB:AB,0),0),0)</f>
        <v>1350</v>
      </c>
      <c r="AN1002" s="153">
        <f ca="1" t="shared" si="169"/>
        <v>2008003</v>
      </c>
      <c r="AP1002" s="153" t="str">
        <f ca="1">IF(AC1002=0,0,IF(AC1002=12,0,OFFSET(effect!$N$1,MATCH(K1002,effect!M:M,0)-1,0)))</f>
        <v>kpsx_pt</v>
      </c>
    </row>
    <row r="1003" spans="1:42">
      <c r="A1003" s="153">
        <f ca="1" t="shared" si="165"/>
        <v>2008003</v>
      </c>
      <c r="B1003" s="91" t="s">
        <v>353</v>
      </c>
      <c r="C1003" s="186">
        <v>2</v>
      </c>
      <c r="D1003" s="186">
        <v>2</v>
      </c>
      <c r="E1003" s="165" t="s">
        <v>1058</v>
      </c>
      <c r="F1003" s="179" t="s">
        <v>1060</v>
      </c>
      <c r="G1003" s="186">
        <f ca="1">OFFSET(卡牌辅助配置表!$C$1,MATCH(AC1003,卡牌辅助配置表!A:A,0)-1,0)</f>
        <v>3</v>
      </c>
      <c r="H1003" s="186">
        <f ca="1">OFFSET(skill!$Q$1,MATCH(B1003,skill!B:B,0)-1,0)</f>
        <v>1</v>
      </c>
      <c r="I1003" s="186"/>
      <c r="J1003" s="186">
        <f ca="1">OFFSET(card_type!$F$1,MATCH(Q1003,card_type!A:A,0)-1,0)</f>
        <v>1</v>
      </c>
      <c r="K1003" s="243">
        <f ca="1">OFFSET(card_type!$G$1,MATCH(Q1003,card_type!A:A,0)-1,0)</f>
        <v>2</v>
      </c>
      <c r="L1003" s="157">
        <v>3</v>
      </c>
      <c r="M1003" s="157">
        <v>3</v>
      </c>
      <c r="N1003" s="153">
        <f t="shared" si="164"/>
        <v>3</v>
      </c>
      <c r="O1003" s="157"/>
      <c r="P1003" s="157"/>
      <c r="Q1003" s="153">
        <f ca="1">OFFSET(card_type!$A$1,MATCH(card!B1003,card_type!B:B,0)-1,0)</f>
        <v>2008</v>
      </c>
      <c r="R1003" s="153">
        <v>1</v>
      </c>
      <c r="S1003" s="157">
        <f ca="1">ROUND(IF(R1003=0,0,IF(R1003=1,X1003*$S$1,IF(R1003=2,X1003*$S$1*buff的资质计算!$E$2,IF(R1003=3,X1003*$S$1*buff的资质计算!$E$3,0)))),0)*0</f>
        <v>0</v>
      </c>
      <c r="T1003" s="153">
        <v>4</v>
      </c>
      <c r="U1003" s="153">
        <f ca="1" t="shared" si="166"/>
        <v>12</v>
      </c>
      <c r="V1003" s="153">
        <f ca="1">ROUND((OFFSET(卡牌辅助配置表!$O$1,MATCH(U1003,卡牌辅助配置表!M:M,0)-1,0)+(N1003-1)*OFFSET(卡牌辅助配置表!$P$1,MATCH(U1003,卡牌辅助配置表!M:M,0)-1,0))*M1003,2)</f>
        <v>30.4</v>
      </c>
      <c r="W1003" s="157">
        <f ca="1">ROUND(IF(R1003=0,0,IF(R1003=1,X1003*$W$1,IF(R1003=2,X1003*$W$1*buff的资质计算!$E$2,IF(R1003=3,X1003*$W$1*buff的资质计算!$E$3,0)))),2)</f>
        <v>9.3</v>
      </c>
      <c r="X1003" s="157">
        <f ca="1" t="shared" si="162"/>
        <v>31</v>
      </c>
      <c r="Y1003" s="157">
        <f ca="1" t="shared" si="171"/>
        <v>32</v>
      </c>
      <c r="Z1003" s="304">
        <f ca="1" t="shared" si="163"/>
        <v>10.6666666666667</v>
      </c>
      <c r="AA1003" s="304">
        <f ca="1">OFFSET(卡牌辅助配置表!$AD$1,MATCH(AB1003,卡牌辅助配置表!AB:AB,0)-1,0)</f>
        <v>108</v>
      </c>
      <c r="AB1003" s="304">
        <f ca="1" t="shared" si="167"/>
        <v>1203</v>
      </c>
      <c r="AC1003" s="153">
        <v>3</v>
      </c>
      <c r="AE1003" s="153">
        <v>2</v>
      </c>
      <c r="AF1003" s="153" t="str">
        <f ca="1" t="shared" si="170"/>
        <v>20080011|</v>
      </c>
      <c r="AJ1003" s="205" t="str">
        <f ca="1" t="shared" si="168"/>
        <v>400023|1650|;</v>
      </c>
      <c r="AK1003" s="205">
        <f ca="1">OFFSET([1]item_type!$A$1,MATCH(Q1003,[1]item_type!$G:$G,0)-1,0)</f>
        <v>302008</v>
      </c>
      <c r="AL1003" s="205"/>
      <c r="AM1003" s="205">
        <f ca="1">IF(B1003=B1004,OFFSET(卡牌辅助配置表!$AE$1,MATCH(AB1003,卡牌辅助配置表!AB:AB,0),0),0)</f>
        <v>1650</v>
      </c>
      <c r="AN1003" s="153">
        <f ca="1" t="shared" si="169"/>
        <v>2008004</v>
      </c>
      <c r="AP1003" s="153" t="str">
        <f ca="1">IF(AC1003=0,0,IF(AC1003=12,0,OFFSET(effect!$N$1,MATCH(K1003,effect!M:M,0)-1,0)))</f>
        <v>kpsx_pt</v>
      </c>
    </row>
    <row r="1004" spans="1:42">
      <c r="A1004" s="153">
        <f ca="1" t="shared" si="165"/>
        <v>2008004</v>
      </c>
      <c r="B1004" s="91" t="s">
        <v>353</v>
      </c>
      <c r="C1004" s="186">
        <v>2</v>
      </c>
      <c r="D1004" s="186">
        <v>2</v>
      </c>
      <c r="E1004" s="165" t="s">
        <v>1058</v>
      </c>
      <c r="F1004" s="179" t="s">
        <v>1060</v>
      </c>
      <c r="G1004" s="186">
        <f ca="1">OFFSET(卡牌辅助配置表!$C$1,MATCH(AC1004,卡牌辅助配置表!A:A,0)-1,0)</f>
        <v>3</v>
      </c>
      <c r="H1004" s="186">
        <f ca="1">OFFSET(skill!$Q$1,MATCH(B1004,skill!B:B,0)-1,0)</f>
        <v>1</v>
      </c>
      <c r="I1004" s="186"/>
      <c r="J1004" s="186">
        <f ca="1">OFFSET(card_type!$F$1,MATCH(Q1004,card_type!A:A,0)-1,0)</f>
        <v>1</v>
      </c>
      <c r="K1004" s="243">
        <f ca="1">OFFSET(card_type!$G$1,MATCH(Q1004,card_type!A:A,0)-1,0)</f>
        <v>2</v>
      </c>
      <c r="L1004" s="157">
        <v>3</v>
      </c>
      <c r="M1004" s="157">
        <v>3</v>
      </c>
      <c r="N1004" s="153">
        <f t="shared" si="164"/>
        <v>4</v>
      </c>
      <c r="O1004" s="157"/>
      <c r="P1004" s="157"/>
      <c r="Q1004" s="153">
        <f ca="1">OFFSET(card_type!$A$1,MATCH(card!B1004,card_type!B:B,0)-1,0)</f>
        <v>2008</v>
      </c>
      <c r="R1004" s="153">
        <v>1</v>
      </c>
      <c r="S1004" s="157">
        <f ca="1">ROUND(IF(R1004=0,0,IF(R1004=1,X1004*$S$1,IF(R1004=2,X1004*$S$1*buff的资质计算!$E$2,IF(R1004=3,X1004*$S$1*buff的资质计算!$E$3,0)))),0)*0</f>
        <v>0</v>
      </c>
      <c r="T1004" s="153">
        <v>4</v>
      </c>
      <c r="U1004" s="153">
        <f ca="1" t="shared" si="166"/>
        <v>12</v>
      </c>
      <c r="V1004" s="153">
        <f ca="1">ROUND((OFFSET(卡牌辅助配置表!$O$1,MATCH(U1004,卡牌辅助配置表!M:M,0)-1,0)+(N1004-1)*OFFSET(卡牌辅助配置表!$P$1,MATCH(U1004,卡牌辅助配置表!M:M,0)-1,0))*M1004,2)</f>
        <v>31.35</v>
      </c>
      <c r="W1004" s="157">
        <f ca="1">ROUND(IF(R1004=0,0,IF(R1004=1,X1004*$W$1,IF(R1004=2,X1004*$W$1*buff的资质计算!$E$2,IF(R1004=3,X1004*$W$1*buff的资质计算!$E$3,0)))),2)</f>
        <v>9.45</v>
      </c>
      <c r="X1004" s="157">
        <f ca="1" t="shared" si="162"/>
        <v>31.5</v>
      </c>
      <c r="Y1004" s="157">
        <f ca="1" t="shared" si="171"/>
        <v>32.5</v>
      </c>
      <c r="Z1004" s="304">
        <f ca="1" t="shared" si="163"/>
        <v>10.8333333333333</v>
      </c>
      <c r="AA1004" s="304">
        <f ca="1">OFFSET(卡牌辅助配置表!$AD$1,MATCH(AB1004,卡牌辅助配置表!AB:AB,0)-1,0)</f>
        <v>144</v>
      </c>
      <c r="AB1004" s="304">
        <f ca="1" t="shared" si="167"/>
        <v>1204</v>
      </c>
      <c r="AC1004" s="153">
        <v>3</v>
      </c>
      <c r="AE1004" s="153">
        <v>2</v>
      </c>
      <c r="AF1004" s="153" t="str">
        <f ca="1" t="shared" si="170"/>
        <v>20080011|</v>
      </c>
      <c r="AJ1004" s="205" t="str">
        <f ca="1" t="shared" si="168"/>
        <v>400023|1950|;</v>
      </c>
      <c r="AK1004" s="205">
        <f ca="1">OFFSET([1]item_type!$A$1,MATCH(Q1004,[1]item_type!$G:$G,0)-1,0)</f>
        <v>302008</v>
      </c>
      <c r="AL1004" s="205"/>
      <c r="AM1004" s="205">
        <f ca="1">IF(B1004=B1005,OFFSET(卡牌辅助配置表!$AE$1,MATCH(AB1004,卡牌辅助配置表!AB:AB,0),0),0)</f>
        <v>1950</v>
      </c>
      <c r="AN1004" s="153">
        <f ca="1" t="shared" si="169"/>
        <v>2008005</v>
      </c>
      <c r="AP1004" s="153" t="str">
        <f ca="1">IF(AC1004=0,0,IF(AC1004=12,0,OFFSET(effect!$N$1,MATCH(K1004,effect!M:M,0)-1,0)))</f>
        <v>kpsx_pt</v>
      </c>
    </row>
    <row r="1005" spans="1:42">
      <c r="A1005" s="153">
        <f ca="1" t="shared" si="165"/>
        <v>2008005</v>
      </c>
      <c r="B1005" s="91" t="s">
        <v>353</v>
      </c>
      <c r="C1005" s="186">
        <v>2</v>
      </c>
      <c r="D1005" s="186">
        <v>2</v>
      </c>
      <c r="E1005" s="165" t="s">
        <v>1058</v>
      </c>
      <c r="F1005" s="179" t="s">
        <v>1060</v>
      </c>
      <c r="G1005" s="186">
        <f ca="1">OFFSET(卡牌辅助配置表!$C$1,MATCH(AC1005,卡牌辅助配置表!A:A,0)-1,0)</f>
        <v>3</v>
      </c>
      <c r="H1005" s="186">
        <f ca="1">OFFSET(skill!$Q$1,MATCH(B1005,skill!B:B,0)-1,0)</f>
        <v>1</v>
      </c>
      <c r="I1005" s="186"/>
      <c r="J1005" s="186">
        <f ca="1">OFFSET(card_type!$F$1,MATCH(Q1005,card_type!A:A,0)-1,0)</f>
        <v>1</v>
      </c>
      <c r="K1005" s="243">
        <f ca="1">OFFSET(card_type!$G$1,MATCH(Q1005,card_type!A:A,0)-1,0)</f>
        <v>2</v>
      </c>
      <c r="L1005" s="157">
        <v>3</v>
      </c>
      <c r="M1005" s="157">
        <v>3</v>
      </c>
      <c r="N1005" s="153">
        <f t="shared" si="164"/>
        <v>5</v>
      </c>
      <c r="O1005" s="157"/>
      <c r="P1005" s="157"/>
      <c r="Q1005" s="153">
        <f ca="1">OFFSET(card_type!$A$1,MATCH(card!B1005,card_type!B:B,0)-1,0)</f>
        <v>2008</v>
      </c>
      <c r="R1005" s="153">
        <v>1</v>
      </c>
      <c r="S1005" s="157">
        <f ca="1">ROUND(IF(R1005=0,0,IF(R1005=1,X1005*$S$1,IF(R1005=2,X1005*$S$1*buff的资质计算!$E$2,IF(R1005=3,X1005*$S$1*buff的资质计算!$E$3,0)))),0)*0</f>
        <v>0</v>
      </c>
      <c r="T1005" s="153">
        <v>4</v>
      </c>
      <c r="U1005" s="153">
        <f ca="1" t="shared" si="166"/>
        <v>12</v>
      </c>
      <c r="V1005" s="153">
        <f ca="1">ROUND((OFFSET(卡牌辅助配置表!$O$1,MATCH(U1005,卡牌辅助配置表!M:M,0)-1,0)+(N1005-1)*OFFSET(卡牌辅助配置表!$P$1,MATCH(U1005,卡牌辅助配置表!M:M,0)-1,0))*M1005,2)</f>
        <v>32.3</v>
      </c>
      <c r="W1005" s="157">
        <f ca="1">ROUND(IF(R1005=0,0,IF(R1005=1,X1005*$W$1,IF(R1005=2,X1005*$W$1*buff的资质计算!$E$2,IF(R1005=3,X1005*$W$1*buff的资质计算!$E$3,0)))),2)</f>
        <v>9.6</v>
      </c>
      <c r="X1005" s="157">
        <f ca="1" t="shared" si="162"/>
        <v>32</v>
      </c>
      <c r="Y1005" s="157">
        <f ca="1" t="shared" si="171"/>
        <v>33</v>
      </c>
      <c r="Z1005" s="304">
        <f ca="1" t="shared" si="163"/>
        <v>11</v>
      </c>
      <c r="AA1005" s="304">
        <f ca="1">OFFSET(卡牌辅助配置表!$AD$1,MATCH(AB1005,卡牌辅助配置表!AB:AB,0)-1,0)</f>
        <v>180</v>
      </c>
      <c r="AB1005" s="304">
        <f ca="1" t="shared" si="167"/>
        <v>1205</v>
      </c>
      <c r="AC1005" s="153">
        <v>3</v>
      </c>
      <c r="AE1005" s="153">
        <v>2</v>
      </c>
      <c r="AF1005" s="153" t="str">
        <f ca="1" t="shared" si="170"/>
        <v>20080011|</v>
      </c>
      <c r="AJ1005" s="205" t="str">
        <f ca="1" t="shared" si="168"/>
        <v>400023|2250|;</v>
      </c>
      <c r="AK1005" s="205">
        <f ca="1">OFFSET([1]item_type!$A$1,MATCH(Q1005,[1]item_type!$G:$G,0)-1,0)</f>
        <v>302008</v>
      </c>
      <c r="AL1005" s="205"/>
      <c r="AM1005" s="205">
        <f ca="1">IF(B1005=B1006,OFFSET(卡牌辅助配置表!$AE$1,MATCH(AB1005,卡牌辅助配置表!AB:AB,0),0),0)</f>
        <v>2250</v>
      </c>
      <c r="AN1005" s="153">
        <f ca="1" t="shared" si="169"/>
        <v>2008006</v>
      </c>
      <c r="AP1005" s="153" t="str">
        <f ca="1">IF(AC1005=0,0,IF(AC1005=12,0,OFFSET(effect!$N$1,MATCH(K1005,effect!M:M,0)-1,0)))</f>
        <v>kpsx_pt</v>
      </c>
    </row>
    <row r="1006" spans="1:42">
      <c r="A1006" s="153">
        <f ca="1" t="shared" si="165"/>
        <v>2008006</v>
      </c>
      <c r="B1006" s="91" t="s">
        <v>353</v>
      </c>
      <c r="C1006" s="186">
        <v>2</v>
      </c>
      <c r="D1006" s="186">
        <v>2</v>
      </c>
      <c r="E1006" s="165" t="s">
        <v>1058</v>
      </c>
      <c r="F1006" s="179" t="s">
        <v>1060</v>
      </c>
      <c r="G1006" s="186">
        <f ca="1">OFFSET(卡牌辅助配置表!$C$1,MATCH(AC1006,卡牌辅助配置表!A:A,0)-1,0)</f>
        <v>3</v>
      </c>
      <c r="H1006" s="186">
        <f ca="1">OFFSET(skill!$Q$1,MATCH(B1006,skill!B:B,0)-1,0)</f>
        <v>1</v>
      </c>
      <c r="I1006" s="186"/>
      <c r="J1006" s="186">
        <f ca="1">OFFSET(card_type!$F$1,MATCH(Q1006,card_type!A:A,0)-1,0)</f>
        <v>1</v>
      </c>
      <c r="K1006" s="243">
        <f ca="1">OFFSET(card_type!$G$1,MATCH(Q1006,card_type!A:A,0)-1,0)</f>
        <v>2</v>
      </c>
      <c r="L1006" s="157">
        <v>3</v>
      </c>
      <c r="M1006" s="157">
        <v>3</v>
      </c>
      <c r="N1006" s="153">
        <f t="shared" si="164"/>
        <v>6</v>
      </c>
      <c r="O1006" s="157"/>
      <c r="P1006" s="157"/>
      <c r="Q1006" s="153">
        <f ca="1">OFFSET(card_type!$A$1,MATCH(card!B1006,card_type!B:B,0)-1,0)</f>
        <v>2008</v>
      </c>
      <c r="R1006" s="153">
        <v>1</v>
      </c>
      <c r="S1006" s="157">
        <f ca="1">ROUND(IF(R1006=0,0,IF(R1006=1,X1006*$S$1,IF(R1006=2,X1006*$S$1*buff的资质计算!$E$2,IF(R1006=3,X1006*$S$1*buff的资质计算!$E$3,0)))),0)*0</f>
        <v>0</v>
      </c>
      <c r="T1006" s="153">
        <v>4</v>
      </c>
      <c r="U1006" s="153">
        <f ca="1" t="shared" si="166"/>
        <v>12</v>
      </c>
      <c r="V1006" s="153">
        <f ca="1">ROUND((OFFSET(卡牌辅助配置表!$O$1,MATCH(U1006,卡牌辅助配置表!M:M,0)-1,0)+(N1006-1)*OFFSET(卡牌辅助配置表!$P$1,MATCH(U1006,卡牌辅助配置表!M:M,0)-1,0))*M1006,2)</f>
        <v>33.25</v>
      </c>
      <c r="W1006" s="157">
        <f ca="1">ROUND(IF(R1006=0,0,IF(R1006=1,X1006*$W$1,IF(R1006=2,X1006*$W$1*buff的资质计算!$E$2,IF(R1006=3,X1006*$W$1*buff的资质计算!$E$3,0)))),2)</f>
        <v>9.75</v>
      </c>
      <c r="X1006" s="157">
        <f ca="1" t="shared" si="162"/>
        <v>32.5</v>
      </c>
      <c r="Y1006" s="157">
        <f ca="1" t="shared" si="171"/>
        <v>33.5</v>
      </c>
      <c r="Z1006" s="304">
        <f ca="1" t="shared" si="163"/>
        <v>11.1666666666667</v>
      </c>
      <c r="AA1006" s="304">
        <f ca="1">OFFSET(卡牌辅助配置表!$AD$1,MATCH(AB1006,卡牌辅助配置表!AB:AB,0)-1,0)</f>
        <v>216</v>
      </c>
      <c r="AB1006" s="304">
        <f ca="1" t="shared" si="167"/>
        <v>1206</v>
      </c>
      <c r="AC1006" s="153">
        <v>3</v>
      </c>
      <c r="AE1006" s="153">
        <v>2</v>
      </c>
      <c r="AF1006" s="153" t="str">
        <f ca="1" t="shared" si="170"/>
        <v>20080011|</v>
      </c>
      <c r="AJ1006" s="205" t="str">
        <f ca="1" t="shared" si="168"/>
        <v>400023|2550|;</v>
      </c>
      <c r="AK1006" s="205">
        <f ca="1">OFFSET([1]item_type!$A$1,MATCH(Q1006,[1]item_type!$G:$G,0)-1,0)</f>
        <v>302008</v>
      </c>
      <c r="AL1006" s="205"/>
      <c r="AM1006" s="205">
        <f ca="1">IF(B1006=B1007,OFFSET(卡牌辅助配置表!$AE$1,MATCH(AB1006,卡牌辅助配置表!AB:AB,0),0),0)</f>
        <v>2550</v>
      </c>
      <c r="AN1006" s="153">
        <f ca="1" t="shared" si="169"/>
        <v>2008007</v>
      </c>
      <c r="AP1006" s="153" t="str">
        <f ca="1">IF(AC1006=0,0,IF(AC1006=12,0,OFFSET(effect!$N$1,MATCH(K1006,effect!M:M,0)-1,0)))</f>
        <v>kpsx_pt</v>
      </c>
    </row>
    <row r="1007" spans="1:42">
      <c r="A1007" s="153">
        <f ca="1" t="shared" si="165"/>
        <v>2008007</v>
      </c>
      <c r="B1007" s="91" t="s">
        <v>353</v>
      </c>
      <c r="C1007" s="186">
        <v>2</v>
      </c>
      <c r="D1007" s="186">
        <v>2</v>
      </c>
      <c r="E1007" s="165" t="s">
        <v>1058</v>
      </c>
      <c r="F1007" s="179" t="s">
        <v>1060</v>
      </c>
      <c r="G1007" s="186">
        <f ca="1">OFFSET(卡牌辅助配置表!$C$1,MATCH(AC1007,卡牌辅助配置表!A:A,0)-1,0)</f>
        <v>3</v>
      </c>
      <c r="H1007" s="186">
        <f ca="1">OFFSET(skill!$Q$1,MATCH(B1007,skill!B:B,0)-1,0)</f>
        <v>1</v>
      </c>
      <c r="I1007" s="186"/>
      <c r="J1007" s="186">
        <f ca="1">OFFSET(card_type!$F$1,MATCH(Q1007,card_type!A:A,0)-1,0)</f>
        <v>1</v>
      </c>
      <c r="K1007" s="243">
        <f ca="1">OFFSET(card_type!$G$1,MATCH(Q1007,card_type!A:A,0)-1,0)</f>
        <v>2</v>
      </c>
      <c r="L1007" s="157">
        <v>3</v>
      </c>
      <c r="M1007" s="157">
        <v>3</v>
      </c>
      <c r="N1007" s="153">
        <f t="shared" si="164"/>
        <v>7</v>
      </c>
      <c r="O1007" s="157"/>
      <c r="P1007" s="157"/>
      <c r="Q1007" s="153">
        <f ca="1">OFFSET(card_type!$A$1,MATCH(card!B1007,card_type!B:B,0)-1,0)</f>
        <v>2008</v>
      </c>
      <c r="R1007" s="153">
        <v>1</v>
      </c>
      <c r="S1007" s="157">
        <f ca="1">ROUND(IF(R1007=0,0,IF(R1007=1,X1007*$S$1,IF(R1007=2,X1007*$S$1*buff的资质计算!$E$2,IF(R1007=3,X1007*$S$1*buff的资质计算!$E$3,0)))),0)*0</f>
        <v>0</v>
      </c>
      <c r="T1007" s="153">
        <v>4</v>
      </c>
      <c r="U1007" s="153">
        <f ca="1" t="shared" si="166"/>
        <v>12</v>
      </c>
      <c r="V1007" s="153">
        <f ca="1">ROUND((OFFSET(卡牌辅助配置表!$O$1,MATCH(U1007,卡牌辅助配置表!M:M,0)-1,0)+(N1007-1)*OFFSET(卡牌辅助配置表!$P$1,MATCH(U1007,卡牌辅助配置表!M:M,0)-1,0))*M1007,2)</f>
        <v>34.2</v>
      </c>
      <c r="W1007" s="157">
        <f ca="1">ROUND(IF(R1007=0,0,IF(R1007=1,X1007*$W$1,IF(R1007=2,X1007*$W$1*buff的资质计算!$E$2,IF(R1007=3,X1007*$W$1*buff的资质计算!$E$3,0)))),2)</f>
        <v>9.9</v>
      </c>
      <c r="X1007" s="157">
        <f ca="1" t="shared" si="162"/>
        <v>33</v>
      </c>
      <c r="Y1007" s="157">
        <f ca="1" t="shared" si="171"/>
        <v>34</v>
      </c>
      <c r="Z1007" s="304">
        <f ca="1" t="shared" si="163"/>
        <v>11.3333333333333</v>
      </c>
      <c r="AA1007" s="304">
        <f ca="1">OFFSET(卡牌辅助配置表!$AD$1,MATCH(AB1007,卡牌辅助配置表!AB:AB,0)-1,0)</f>
        <v>252</v>
      </c>
      <c r="AB1007" s="304">
        <f ca="1" t="shared" si="167"/>
        <v>1207</v>
      </c>
      <c r="AC1007" s="153">
        <v>3</v>
      </c>
      <c r="AE1007" s="153">
        <v>2</v>
      </c>
      <c r="AF1007" s="153" t="str">
        <f ca="1" t="shared" si="170"/>
        <v>20080011|</v>
      </c>
      <c r="AJ1007" s="205" t="str">
        <f ca="1" t="shared" si="168"/>
        <v>400023|2850|;</v>
      </c>
      <c r="AK1007" s="205">
        <f ca="1">OFFSET([1]item_type!$A$1,MATCH(Q1007,[1]item_type!$G:$G,0)-1,0)</f>
        <v>302008</v>
      </c>
      <c r="AL1007" s="205"/>
      <c r="AM1007" s="205">
        <f ca="1">IF(B1007=B1008,OFFSET(卡牌辅助配置表!$AE$1,MATCH(AB1007,卡牌辅助配置表!AB:AB,0),0),0)</f>
        <v>2850</v>
      </c>
      <c r="AN1007" s="153">
        <f ca="1" t="shared" si="169"/>
        <v>2008008</v>
      </c>
      <c r="AP1007" s="153" t="str">
        <f ca="1">IF(AC1007=0,0,IF(AC1007=12,0,OFFSET(effect!$N$1,MATCH(K1007,effect!M:M,0)-1,0)))</f>
        <v>kpsx_pt</v>
      </c>
    </row>
    <row r="1008" spans="1:42">
      <c r="A1008" s="153">
        <f ca="1" t="shared" si="165"/>
        <v>2008008</v>
      </c>
      <c r="B1008" s="91" t="s">
        <v>353</v>
      </c>
      <c r="C1008" s="186">
        <v>2</v>
      </c>
      <c r="D1008" s="186">
        <v>2</v>
      </c>
      <c r="E1008" s="165" t="s">
        <v>1058</v>
      </c>
      <c r="F1008" s="179" t="s">
        <v>1060</v>
      </c>
      <c r="G1008" s="186">
        <f ca="1">OFFSET(卡牌辅助配置表!$C$1,MATCH(AC1008,卡牌辅助配置表!A:A,0)-1,0)</f>
        <v>3</v>
      </c>
      <c r="H1008" s="186">
        <f ca="1">OFFSET(skill!$Q$1,MATCH(B1008,skill!B:B,0)-1,0)</f>
        <v>1</v>
      </c>
      <c r="I1008" s="186"/>
      <c r="J1008" s="186">
        <f ca="1">OFFSET(card_type!$F$1,MATCH(Q1008,card_type!A:A,0)-1,0)</f>
        <v>1</v>
      </c>
      <c r="K1008" s="243">
        <f ca="1">OFFSET(card_type!$G$1,MATCH(Q1008,card_type!A:A,0)-1,0)</f>
        <v>2</v>
      </c>
      <c r="L1008" s="157">
        <v>3</v>
      </c>
      <c r="M1008" s="157">
        <v>3</v>
      </c>
      <c r="N1008" s="153">
        <f t="shared" si="164"/>
        <v>8</v>
      </c>
      <c r="O1008" s="157"/>
      <c r="P1008" s="157"/>
      <c r="Q1008" s="153">
        <f ca="1">OFFSET(card_type!$A$1,MATCH(card!B1008,card_type!B:B,0)-1,0)</f>
        <v>2008</v>
      </c>
      <c r="R1008" s="153">
        <v>1</v>
      </c>
      <c r="S1008" s="157">
        <f ca="1">ROUND(IF(R1008=0,0,IF(R1008=1,X1008*$S$1,IF(R1008=2,X1008*$S$1*buff的资质计算!$E$2,IF(R1008=3,X1008*$S$1*buff的资质计算!$E$3,0)))),0)*0</f>
        <v>0</v>
      </c>
      <c r="T1008" s="153">
        <v>4</v>
      </c>
      <c r="U1008" s="153">
        <f ca="1" t="shared" si="166"/>
        <v>12</v>
      </c>
      <c r="V1008" s="153">
        <f ca="1">ROUND((OFFSET(卡牌辅助配置表!$O$1,MATCH(U1008,卡牌辅助配置表!M:M,0)-1,0)+(N1008-1)*OFFSET(卡牌辅助配置表!$P$1,MATCH(U1008,卡牌辅助配置表!M:M,0)-1,0))*M1008,2)</f>
        <v>35.15</v>
      </c>
      <c r="W1008" s="157">
        <f ca="1">ROUND(IF(R1008=0,0,IF(R1008=1,X1008*$W$1,IF(R1008=2,X1008*$W$1*buff的资质计算!$E$2,IF(R1008=3,X1008*$W$1*buff的资质计算!$E$3,0)))),2)</f>
        <v>10.05</v>
      </c>
      <c r="X1008" s="157">
        <f ca="1" t="shared" si="162"/>
        <v>33.5</v>
      </c>
      <c r="Y1008" s="157">
        <f ca="1" t="shared" si="171"/>
        <v>34.5</v>
      </c>
      <c r="Z1008" s="304">
        <f ca="1" t="shared" si="163"/>
        <v>11.5</v>
      </c>
      <c r="AA1008" s="304">
        <f ca="1">OFFSET(卡牌辅助配置表!$AD$1,MATCH(AB1008,卡牌辅助配置表!AB:AB,0)-1,0)</f>
        <v>288</v>
      </c>
      <c r="AB1008" s="304">
        <f ca="1" t="shared" si="167"/>
        <v>1208</v>
      </c>
      <c r="AC1008" s="153">
        <v>3</v>
      </c>
      <c r="AE1008" s="153">
        <v>2</v>
      </c>
      <c r="AF1008" s="153" t="str">
        <f ca="1" t="shared" si="170"/>
        <v>20080011|</v>
      </c>
      <c r="AJ1008" s="205" t="str">
        <f ca="1" t="shared" si="168"/>
        <v>400023|3150|;</v>
      </c>
      <c r="AK1008" s="205">
        <f ca="1">OFFSET([1]item_type!$A$1,MATCH(Q1008,[1]item_type!$G:$G,0)-1,0)</f>
        <v>302008</v>
      </c>
      <c r="AL1008" s="205"/>
      <c r="AM1008" s="205">
        <f ca="1">IF(B1008=B1009,OFFSET(卡牌辅助配置表!$AE$1,MATCH(AB1008,卡牌辅助配置表!AB:AB,0),0),0)</f>
        <v>3150</v>
      </c>
      <c r="AN1008" s="153">
        <f ca="1" t="shared" si="169"/>
        <v>2008009</v>
      </c>
      <c r="AP1008" s="153" t="str">
        <f ca="1">IF(AC1008=0,0,IF(AC1008=12,0,OFFSET(effect!$N$1,MATCH(K1008,effect!M:M,0)-1,0)))</f>
        <v>kpsx_pt</v>
      </c>
    </row>
    <row r="1009" spans="1:42">
      <c r="A1009" s="153">
        <f ca="1" t="shared" si="165"/>
        <v>2008009</v>
      </c>
      <c r="B1009" s="91" t="s">
        <v>353</v>
      </c>
      <c r="C1009" s="186">
        <v>2</v>
      </c>
      <c r="D1009" s="186">
        <v>2</v>
      </c>
      <c r="E1009" s="165" t="s">
        <v>1058</v>
      </c>
      <c r="F1009" s="179" t="s">
        <v>1060</v>
      </c>
      <c r="G1009" s="186">
        <f ca="1">OFFSET(卡牌辅助配置表!$C$1,MATCH(AC1009,卡牌辅助配置表!A:A,0)-1,0)</f>
        <v>3</v>
      </c>
      <c r="H1009" s="186">
        <f ca="1">OFFSET(skill!$Q$1,MATCH(B1009,skill!B:B,0)-1,0)</f>
        <v>1</v>
      </c>
      <c r="I1009" s="186"/>
      <c r="J1009" s="186">
        <f ca="1">OFFSET(card_type!$F$1,MATCH(Q1009,card_type!A:A,0)-1,0)</f>
        <v>1</v>
      </c>
      <c r="K1009" s="243">
        <f ca="1">OFFSET(card_type!$G$1,MATCH(Q1009,card_type!A:A,0)-1,0)</f>
        <v>2</v>
      </c>
      <c r="L1009" s="157">
        <v>3</v>
      </c>
      <c r="M1009" s="157">
        <v>3</v>
      </c>
      <c r="N1009" s="153">
        <f t="shared" si="164"/>
        <v>9</v>
      </c>
      <c r="O1009" s="157"/>
      <c r="P1009" s="157"/>
      <c r="Q1009" s="153">
        <f ca="1">OFFSET(card_type!$A$1,MATCH(card!B1009,card_type!B:B,0)-1,0)</f>
        <v>2008</v>
      </c>
      <c r="R1009" s="153">
        <v>1</v>
      </c>
      <c r="S1009" s="157">
        <f ca="1">ROUND(IF(R1009=0,0,IF(R1009=1,X1009*$S$1,IF(R1009=2,X1009*$S$1*buff的资质计算!$E$2,IF(R1009=3,X1009*$S$1*buff的资质计算!$E$3,0)))),0)*0</f>
        <v>0</v>
      </c>
      <c r="T1009" s="153">
        <v>4</v>
      </c>
      <c r="U1009" s="153">
        <f ca="1" t="shared" si="166"/>
        <v>12</v>
      </c>
      <c r="V1009" s="153">
        <f ca="1">ROUND((OFFSET(卡牌辅助配置表!$O$1,MATCH(U1009,卡牌辅助配置表!M:M,0)-1,0)+(N1009-1)*OFFSET(卡牌辅助配置表!$P$1,MATCH(U1009,卡牌辅助配置表!M:M,0)-1,0))*M1009,2)</f>
        <v>36.1</v>
      </c>
      <c r="W1009" s="157">
        <f ca="1">ROUND(IF(R1009=0,0,IF(R1009=1,X1009*$W$1,IF(R1009=2,X1009*$W$1*buff的资质计算!$E$2,IF(R1009=3,X1009*$W$1*buff的资质计算!$E$3,0)))),2)</f>
        <v>10.2</v>
      </c>
      <c r="X1009" s="157">
        <f ca="1" t="shared" si="162"/>
        <v>34</v>
      </c>
      <c r="Y1009" s="157">
        <f ca="1" t="shared" si="171"/>
        <v>35</v>
      </c>
      <c r="Z1009" s="304">
        <f ca="1" t="shared" si="163"/>
        <v>11.6666666666667</v>
      </c>
      <c r="AA1009" s="304">
        <f ca="1">OFFSET(卡牌辅助配置表!$AD$1,MATCH(AB1009,卡牌辅助配置表!AB:AB,0)-1,0)</f>
        <v>324</v>
      </c>
      <c r="AB1009" s="304">
        <f ca="1" t="shared" si="167"/>
        <v>1209</v>
      </c>
      <c r="AC1009" s="153">
        <v>3</v>
      </c>
      <c r="AE1009" s="153">
        <v>2</v>
      </c>
      <c r="AF1009" s="153" t="str">
        <f ca="1" t="shared" si="170"/>
        <v>20080011|</v>
      </c>
      <c r="AJ1009" s="205" t="str">
        <f ca="1" t="shared" si="168"/>
        <v>302008|15|;400023|3450|;</v>
      </c>
      <c r="AK1009" s="205">
        <f ca="1">OFFSET([1]item_type!$A$1,MATCH(Q1009,[1]item_type!$G:$G,0)-1,0)</f>
        <v>302008</v>
      </c>
      <c r="AL1009" s="205">
        <v>15</v>
      </c>
      <c r="AM1009" s="205">
        <f ca="1">IF(B1009=B1010,OFFSET(卡牌辅助配置表!$AE$1,MATCH(AB1009,卡牌辅助配置表!AB:AB,0),0),0)</f>
        <v>3450</v>
      </c>
      <c r="AN1009" s="153">
        <f ca="1" t="shared" si="169"/>
        <v>2008010</v>
      </c>
      <c r="AP1009" s="153" t="str">
        <f ca="1">IF(AC1009=0,0,IF(AC1009=12,0,OFFSET(effect!$N$1,MATCH(K1009,effect!M:M,0)-1,0)))</f>
        <v>kpsx_pt</v>
      </c>
    </row>
    <row r="1010" spans="1:42">
      <c r="A1010" s="153">
        <f ca="1" t="shared" si="165"/>
        <v>2008010</v>
      </c>
      <c r="B1010" s="91" t="s">
        <v>353</v>
      </c>
      <c r="C1010" s="186">
        <v>2</v>
      </c>
      <c r="D1010" s="186">
        <v>2</v>
      </c>
      <c r="E1010" s="165" t="s">
        <v>1058</v>
      </c>
      <c r="F1010" s="179" t="s">
        <v>1060</v>
      </c>
      <c r="G1010" s="186">
        <f ca="1">OFFSET(卡牌辅助配置表!$C$1,MATCH(AC1010,卡牌辅助配置表!A:A,0)-1,0)</f>
        <v>3</v>
      </c>
      <c r="H1010" s="186">
        <f ca="1">OFFSET(skill!$Q$1,MATCH(B1010,skill!B:B,0)-1,0)</f>
        <v>1</v>
      </c>
      <c r="I1010" s="186"/>
      <c r="J1010" s="186">
        <f ca="1">OFFSET(card_type!$F$1,MATCH(Q1010,card_type!A:A,0)-1,0)</f>
        <v>1</v>
      </c>
      <c r="K1010" s="243">
        <f ca="1">OFFSET(card_type!$G$1,MATCH(Q1010,card_type!A:A,0)-1,0)</f>
        <v>2</v>
      </c>
      <c r="L1010" s="157">
        <v>3</v>
      </c>
      <c r="M1010" s="157">
        <v>3</v>
      </c>
      <c r="N1010" s="153">
        <f t="shared" si="164"/>
        <v>10</v>
      </c>
      <c r="O1010" s="157"/>
      <c r="P1010" s="157"/>
      <c r="Q1010" s="153">
        <f ca="1">OFFSET(card_type!$A$1,MATCH(card!B1010,card_type!B:B,0)-1,0)</f>
        <v>2008</v>
      </c>
      <c r="R1010" s="153">
        <v>1</v>
      </c>
      <c r="S1010" s="157">
        <f ca="1">ROUND(IF(R1010=0,0,IF(R1010=1,X1010*$S$1,IF(R1010=2,X1010*$S$1*buff的资质计算!$E$2,IF(R1010=3,X1010*$S$1*buff的资质计算!$E$3,0)))),0)*0</f>
        <v>0</v>
      </c>
      <c r="T1010" s="153">
        <v>4</v>
      </c>
      <c r="U1010" s="153">
        <f ca="1" t="shared" si="166"/>
        <v>12</v>
      </c>
      <c r="V1010" s="153">
        <f ca="1">ROUND((OFFSET(卡牌辅助配置表!$O$1,MATCH(U1010,卡牌辅助配置表!M:M,0)-1,0)+(N1010-1)*OFFSET(卡牌辅助配置表!$P$1,MATCH(U1010,卡牌辅助配置表!M:M,0)-1,0))*M1010,2)</f>
        <v>37.05</v>
      </c>
      <c r="W1010" s="157">
        <f ca="1">ROUND(IF(R1010=0,0,IF(R1010=1,X1010*$W$1,IF(R1010=2,X1010*$W$1*buff的资质计算!$E$2,IF(R1010=3,X1010*$W$1*buff的资质计算!$E$3,0)))),2)</f>
        <v>10.35</v>
      </c>
      <c r="X1010" s="157">
        <f ca="1" t="shared" si="162"/>
        <v>34.5</v>
      </c>
      <c r="Y1010" s="157">
        <f ca="1" t="shared" si="171"/>
        <v>35.5</v>
      </c>
      <c r="Z1010" s="304">
        <f ca="1" t="shared" si="163"/>
        <v>11.8333333333333</v>
      </c>
      <c r="AA1010" s="304">
        <f ca="1">OFFSET(卡牌辅助配置表!$AD$1,MATCH(AB1010,卡牌辅助配置表!AB:AB,0)-1,0)</f>
        <v>360</v>
      </c>
      <c r="AB1010" s="304">
        <f ca="1" t="shared" si="167"/>
        <v>1210</v>
      </c>
      <c r="AC1010" s="153">
        <v>3</v>
      </c>
      <c r="AE1010" s="153">
        <v>2</v>
      </c>
      <c r="AF1010" s="153" t="str">
        <f ca="1" t="shared" si="170"/>
        <v>20080011|</v>
      </c>
      <c r="AJ1010" s="205" t="str">
        <f ca="1" t="shared" si="168"/>
        <v>400023|4050|;</v>
      </c>
      <c r="AK1010" s="205">
        <f ca="1">OFFSET([1]item_type!$A$1,MATCH(Q1010,[1]item_type!$G:$G,0)-1,0)</f>
        <v>302008</v>
      </c>
      <c r="AL1010" s="205"/>
      <c r="AM1010" s="205">
        <f ca="1">IF(B1010=B1011,OFFSET(卡牌辅助配置表!$AE$1,MATCH(AB1010,卡牌辅助配置表!AB:AB,0),0),0)</f>
        <v>4050</v>
      </c>
      <c r="AN1010" s="153">
        <f ca="1" t="shared" si="169"/>
        <v>2008011</v>
      </c>
      <c r="AP1010" s="153" t="str">
        <f ca="1">IF(AC1010=0,0,IF(AC1010=12,0,OFFSET(effect!$N$1,MATCH(K1010,effect!M:M,0)-1,0)))</f>
        <v>kpsx_pt</v>
      </c>
    </row>
    <row r="1011" spans="1:42">
      <c r="A1011" s="153">
        <f ca="1" t="shared" si="165"/>
        <v>2008011</v>
      </c>
      <c r="B1011" s="91" t="s">
        <v>353</v>
      </c>
      <c r="C1011" s="186">
        <v>2</v>
      </c>
      <c r="D1011" s="186">
        <v>2</v>
      </c>
      <c r="E1011" s="165" t="s">
        <v>1058</v>
      </c>
      <c r="F1011" s="179" t="s">
        <v>1060</v>
      </c>
      <c r="G1011" s="186">
        <f ca="1">OFFSET(卡牌辅助配置表!$C$1,MATCH(AC1011,卡牌辅助配置表!A:A,0)-1,0)</f>
        <v>3</v>
      </c>
      <c r="H1011" s="186">
        <f ca="1">OFFSET(skill!$Q$1,MATCH(B1011,skill!B:B,0)-1,0)</f>
        <v>1</v>
      </c>
      <c r="I1011" s="186"/>
      <c r="J1011" s="186">
        <f ca="1">OFFSET(card_type!$F$1,MATCH(Q1011,card_type!A:A,0)-1,0)</f>
        <v>1</v>
      </c>
      <c r="K1011" s="243">
        <f ca="1">OFFSET(card_type!$G$1,MATCH(Q1011,card_type!A:A,0)-1,0)</f>
        <v>2</v>
      </c>
      <c r="L1011" s="157">
        <v>3</v>
      </c>
      <c r="M1011" s="157">
        <v>3</v>
      </c>
      <c r="N1011" s="153">
        <f t="shared" si="164"/>
        <v>11</v>
      </c>
      <c r="O1011" s="157"/>
      <c r="P1011" s="157"/>
      <c r="Q1011" s="153">
        <f ca="1">OFFSET(card_type!$A$1,MATCH(card!B1011,card_type!B:B,0)-1,0)</f>
        <v>2008</v>
      </c>
      <c r="R1011" s="153">
        <v>1</v>
      </c>
      <c r="S1011" s="157">
        <f ca="1">ROUND(IF(R1011=0,0,IF(R1011=1,X1011*$S$1,IF(R1011=2,X1011*$S$1*buff的资质计算!$E$2,IF(R1011=3,X1011*$S$1*buff的资质计算!$E$3,0)))),0)*0</f>
        <v>0</v>
      </c>
      <c r="T1011" s="153">
        <v>4</v>
      </c>
      <c r="U1011" s="153">
        <f ca="1" t="shared" si="166"/>
        <v>12</v>
      </c>
      <c r="V1011" s="153">
        <f ca="1">ROUND((OFFSET(卡牌辅助配置表!$O$1,MATCH(U1011,卡牌辅助配置表!M:M,0)-1,0)+(N1011-1)*OFFSET(卡牌辅助配置表!$P$1,MATCH(U1011,卡牌辅助配置表!M:M,0)-1,0))*M1011,2)</f>
        <v>38</v>
      </c>
      <c r="W1011" s="157">
        <f ca="1">ROUND(IF(R1011=0,0,IF(R1011=1,X1011*$W$1,IF(R1011=2,X1011*$W$1*buff的资质计算!$E$2,IF(R1011=3,X1011*$W$1*buff的资质计算!$E$3,0)))),2)</f>
        <v>10.5</v>
      </c>
      <c r="X1011" s="157">
        <f ca="1" t="shared" si="162"/>
        <v>35</v>
      </c>
      <c r="Y1011" s="157">
        <f ca="1" t="shared" si="171"/>
        <v>36</v>
      </c>
      <c r="Z1011" s="304">
        <f ca="1" t="shared" si="163"/>
        <v>12</v>
      </c>
      <c r="AA1011" s="304">
        <f ca="1">OFFSET(卡牌辅助配置表!$AD$1,MATCH(AB1011,卡牌辅助配置表!AB:AB,0)-1,0)</f>
        <v>415</v>
      </c>
      <c r="AB1011" s="304">
        <f ca="1" t="shared" si="167"/>
        <v>1211</v>
      </c>
      <c r="AC1011" s="153">
        <v>3</v>
      </c>
      <c r="AE1011" s="153">
        <v>2</v>
      </c>
      <c r="AF1011" s="153" t="str">
        <f ca="1" t="shared" si="170"/>
        <v>20080011|</v>
      </c>
      <c r="AJ1011" s="205" t="str">
        <f ca="1" t="shared" si="168"/>
        <v>400023|4650|;</v>
      </c>
      <c r="AK1011" s="205">
        <f ca="1">OFFSET([1]item_type!$A$1,MATCH(Q1011,[1]item_type!$G:$G,0)-1,0)</f>
        <v>302008</v>
      </c>
      <c r="AL1011" s="205"/>
      <c r="AM1011" s="205">
        <f ca="1">IF(B1011=B1012,OFFSET(卡牌辅助配置表!$AE$1,MATCH(AB1011,卡牌辅助配置表!AB:AB,0),0),0)</f>
        <v>4650</v>
      </c>
      <c r="AN1011" s="153">
        <f ca="1" t="shared" si="169"/>
        <v>2008012</v>
      </c>
      <c r="AP1011" s="153" t="str">
        <f ca="1">IF(AC1011=0,0,IF(AC1011=12,0,OFFSET(effect!$N$1,MATCH(K1011,effect!M:M,0)-1,0)))</f>
        <v>kpsx_pt</v>
      </c>
    </row>
    <row r="1012" spans="1:42">
      <c r="A1012" s="153">
        <f ca="1" t="shared" si="165"/>
        <v>2008012</v>
      </c>
      <c r="B1012" s="91" t="s">
        <v>353</v>
      </c>
      <c r="C1012" s="186">
        <v>2</v>
      </c>
      <c r="D1012" s="186">
        <v>2</v>
      </c>
      <c r="E1012" s="165" t="s">
        <v>1058</v>
      </c>
      <c r="F1012" s="179" t="s">
        <v>1060</v>
      </c>
      <c r="G1012" s="186">
        <f ca="1">OFFSET(卡牌辅助配置表!$C$1,MATCH(AC1012,卡牌辅助配置表!A:A,0)-1,0)</f>
        <v>3</v>
      </c>
      <c r="H1012" s="186">
        <f ca="1">OFFSET(skill!$Q$1,MATCH(B1012,skill!B:B,0)-1,0)</f>
        <v>1</v>
      </c>
      <c r="I1012" s="186"/>
      <c r="J1012" s="186">
        <f ca="1">OFFSET(card_type!$F$1,MATCH(Q1012,card_type!A:A,0)-1,0)</f>
        <v>1</v>
      </c>
      <c r="K1012" s="243">
        <f ca="1">OFFSET(card_type!$G$1,MATCH(Q1012,card_type!A:A,0)-1,0)</f>
        <v>2</v>
      </c>
      <c r="L1012" s="157">
        <v>3</v>
      </c>
      <c r="M1012" s="157">
        <v>3</v>
      </c>
      <c r="N1012" s="153">
        <f t="shared" si="164"/>
        <v>12</v>
      </c>
      <c r="O1012" s="157"/>
      <c r="P1012" s="157"/>
      <c r="Q1012" s="153">
        <f ca="1">OFFSET(card_type!$A$1,MATCH(card!B1012,card_type!B:B,0)-1,0)</f>
        <v>2008</v>
      </c>
      <c r="R1012" s="153">
        <v>1</v>
      </c>
      <c r="S1012" s="157">
        <f ca="1">ROUND(IF(R1012=0,0,IF(R1012=1,X1012*$S$1,IF(R1012=2,X1012*$S$1*buff的资质计算!$E$2,IF(R1012=3,X1012*$S$1*buff的资质计算!$E$3,0)))),0)*0</f>
        <v>0</v>
      </c>
      <c r="T1012" s="153">
        <v>4</v>
      </c>
      <c r="U1012" s="153">
        <f ca="1" t="shared" si="166"/>
        <v>12</v>
      </c>
      <c r="V1012" s="153">
        <f ca="1">ROUND((OFFSET(卡牌辅助配置表!$O$1,MATCH(U1012,卡牌辅助配置表!M:M,0)-1,0)+(N1012-1)*OFFSET(卡牌辅助配置表!$P$1,MATCH(U1012,卡牌辅助配置表!M:M,0)-1,0))*M1012,2)</f>
        <v>38.95</v>
      </c>
      <c r="W1012" s="157">
        <f ca="1">ROUND(IF(R1012=0,0,IF(R1012=1,X1012*$W$1,IF(R1012=2,X1012*$W$1*buff的资质计算!$E$2,IF(R1012=3,X1012*$W$1*buff的资质计算!$E$3,0)))),2)</f>
        <v>10.65</v>
      </c>
      <c r="X1012" s="157">
        <f ca="1" t="shared" ref="X1012:X1075" si="172">M1012*($M$1+(J1012-1)*$J$1+(K1012-1)*$K$1)+G1012+$J$1*(N1012-1)/$N$1</f>
        <v>35.5</v>
      </c>
      <c r="Y1012" s="157">
        <f ca="1" t="shared" si="171"/>
        <v>36.5</v>
      </c>
      <c r="Z1012" s="304">
        <f ca="1" t="shared" ref="Z1012:Z1075" si="173">Y1012/M1012</f>
        <v>12.1666666666667</v>
      </c>
      <c r="AA1012" s="304">
        <f ca="1">OFFSET(卡牌辅助配置表!$AD$1,MATCH(AB1012,卡牌辅助配置表!AB:AB,0)-1,0)</f>
        <v>470</v>
      </c>
      <c r="AB1012" s="304">
        <f ca="1" t="shared" si="167"/>
        <v>1212</v>
      </c>
      <c r="AC1012" s="153">
        <v>3</v>
      </c>
      <c r="AE1012" s="153">
        <v>2</v>
      </c>
      <c r="AF1012" s="153" t="str">
        <f ca="1" t="shared" si="170"/>
        <v>20080011|</v>
      </c>
      <c r="AJ1012" s="205" t="str">
        <f ca="1" t="shared" si="168"/>
        <v>400023|5250|;</v>
      </c>
      <c r="AK1012" s="205">
        <f ca="1">OFFSET([1]item_type!$A$1,MATCH(Q1012,[1]item_type!$G:$G,0)-1,0)</f>
        <v>302008</v>
      </c>
      <c r="AL1012" s="205"/>
      <c r="AM1012" s="205">
        <f ca="1">IF(B1012=B1013,OFFSET(卡牌辅助配置表!$AE$1,MATCH(AB1012,卡牌辅助配置表!AB:AB,0),0),0)</f>
        <v>5250</v>
      </c>
      <c r="AN1012" s="153">
        <f ca="1" t="shared" si="169"/>
        <v>2008013</v>
      </c>
      <c r="AP1012" s="153" t="str">
        <f ca="1">IF(AC1012=0,0,IF(AC1012=12,0,OFFSET(effect!$N$1,MATCH(K1012,effect!M:M,0)-1,0)))</f>
        <v>kpsx_pt</v>
      </c>
    </row>
    <row r="1013" spans="1:42">
      <c r="A1013" s="153">
        <f ca="1" t="shared" si="165"/>
        <v>2008013</v>
      </c>
      <c r="B1013" s="91" t="s">
        <v>353</v>
      </c>
      <c r="C1013" s="186">
        <v>2</v>
      </c>
      <c r="D1013" s="186">
        <v>2</v>
      </c>
      <c r="E1013" s="165" t="s">
        <v>1058</v>
      </c>
      <c r="F1013" s="179" t="s">
        <v>1060</v>
      </c>
      <c r="G1013" s="186">
        <f ca="1">OFFSET(卡牌辅助配置表!$C$1,MATCH(AC1013,卡牌辅助配置表!A:A,0)-1,0)</f>
        <v>3</v>
      </c>
      <c r="H1013" s="186">
        <f ca="1">OFFSET(skill!$Q$1,MATCH(B1013,skill!B:B,0)-1,0)</f>
        <v>1</v>
      </c>
      <c r="I1013" s="186"/>
      <c r="J1013" s="186">
        <f ca="1">OFFSET(card_type!$F$1,MATCH(Q1013,card_type!A:A,0)-1,0)</f>
        <v>1</v>
      </c>
      <c r="K1013" s="243">
        <f ca="1">OFFSET(card_type!$G$1,MATCH(Q1013,card_type!A:A,0)-1,0)</f>
        <v>2</v>
      </c>
      <c r="L1013" s="157">
        <v>3</v>
      </c>
      <c r="M1013" s="157">
        <v>3</v>
      </c>
      <c r="N1013" s="153">
        <f t="shared" ref="N1013:N1076" si="174">IF(B1012=B1013,N1012+1,1)</f>
        <v>13</v>
      </c>
      <c r="O1013" s="157"/>
      <c r="P1013" s="157"/>
      <c r="Q1013" s="153">
        <f ca="1">OFFSET(card_type!$A$1,MATCH(card!B1013,card_type!B:B,0)-1,0)</f>
        <v>2008</v>
      </c>
      <c r="R1013" s="153">
        <v>1</v>
      </c>
      <c r="S1013" s="157">
        <f ca="1">ROUND(IF(R1013=0,0,IF(R1013=1,X1013*$S$1,IF(R1013=2,X1013*$S$1*buff的资质计算!$E$2,IF(R1013=3,X1013*$S$1*buff的资质计算!$E$3,0)))),0)*0</f>
        <v>0</v>
      </c>
      <c r="T1013" s="153">
        <v>4</v>
      </c>
      <c r="U1013" s="153">
        <f ca="1" t="shared" si="166"/>
        <v>12</v>
      </c>
      <c r="V1013" s="153">
        <f ca="1">ROUND((OFFSET(卡牌辅助配置表!$O$1,MATCH(U1013,卡牌辅助配置表!M:M,0)-1,0)+(N1013-1)*OFFSET(卡牌辅助配置表!$P$1,MATCH(U1013,卡牌辅助配置表!M:M,0)-1,0))*M1013,2)</f>
        <v>39.9</v>
      </c>
      <c r="W1013" s="157">
        <f ca="1">ROUND(IF(R1013=0,0,IF(R1013=1,X1013*$W$1,IF(R1013=2,X1013*$W$1*buff的资质计算!$E$2,IF(R1013=3,X1013*$W$1*buff的资质计算!$E$3,0)))),2)</f>
        <v>10.8</v>
      </c>
      <c r="X1013" s="157">
        <f ca="1" t="shared" si="172"/>
        <v>36</v>
      </c>
      <c r="Y1013" s="157">
        <f ca="1" t="shared" si="171"/>
        <v>37</v>
      </c>
      <c r="Z1013" s="304">
        <f ca="1" t="shared" si="173"/>
        <v>12.3333333333333</v>
      </c>
      <c r="AA1013" s="304">
        <f ca="1">OFFSET(卡牌辅助配置表!$AD$1,MATCH(AB1013,卡牌辅助配置表!AB:AB,0)-1,0)</f>
        <v>525</v>
      </c>
      <c r="AB1013" s="304">
        <f ca="1" t="shared" si="167"/>
        <v>1213</v>
      </c>
      <c r="AC1013" s="153">
        <v>3</v>
      </c>
      <c r="AE1013" s="153">
        <v>2</v>
      </c>
      <c r="AF1013" s="153" t="str">
        <f ca="1" t="shared" si="170"/>
        <v>20080011|</v>
      </c>
      <c r="AJ1013" s="205" t="str">
        <f ca="1" t="shared" si="168"/>
        <v>400023|5850|;</v>
      </c>
      <c r="AK1013" s="205">
        <f ca="1">OFFSET([1]item_type!$A$1,MATCH(Q1013,[1]item_type!$G:$G,0)-1,0)</f>
        <v>302008</v>
      </c>
      <c r="AL1013" s="205"/>
      <c r="AM1013" s="205">
        <f ca="1">IF(B1013=B1014,OFFSET(卡牌辅助配置表!$AE$1,MATCH(AB1013,卡牌辅助配置表!AB:AB,0),0),0)</f>
        <v>5850</v>
      </c>
      <c r="AN1013" s="153">
        <f ca="1" t="shared" si="169"/>
        <v>2008014</v>
      </c>
      <c r="AP1013" s="153" t="str">
        <f ca="1">IF(AC1013=0,0,IF(AC1013=12,0,OFFSET(effect!$N$1,MATCH(K1013,effect!M:M,0)-1,0)))</f>
        <v>kpsx_pt</v>
      </c>
    </row>
    <row r="1014" spans="1:42">
      <c r="A1014" s="153">
        <f ca="1" t="shared" si="165"/>
        <v>2008014</v>
      </c>
      <c r="B1014" s="91" t="s">
        <v>353</v>
      </c>
      <c r="C1014" s="186">
        <v>2</v>
      </c>
      <c r="D1014" s="186">
        <v>2</v>
      </c>
      <c r="E1014" s="165" t="s">
        <v>1058</v>
      </c>
      <c r="F1014" s="179" t="s">
        <v>1060</v>
      </c>
      <c r="G1014" s="186">
        <f ca="1">OFFSET(卡牌辅助配置表!$C$1,MATCH(AC1014,卡牌辅助配置表!A:A,0)-1,0)</f>
        <v>3</v>
      </c>
      <c r="H1014" s="186">
        <f ca="1">OFFSET(skill!$Q$1,MATCH(B1014,skill!B:B,0)-1,0)</f>
        <v>1</v>
      </c>
      <c r="I1014" s="186"/>
      <c r="J1014" s="186">
        <f ca="1">OFFSET(card_type!$F$1,MATCH(Q1014,card_type!A:A,0)-1,0)</f>
        <v>1</v>
      </c>
      <c r="K1014" s="243">
        <f ca="1">OFFSET(card_type!$G$1,MATCH(Q1014,card_type!A:A,0)-1,0)</f>
        <v>2</v>
      </c>
      <c r="L1014" s="157">
        <v>3</v>
      </c>
      <c r="M1014" s="157">
        <v>3</v>
      </c>
      <c r="N1014" s="153">
        <f t="shared" si="174"/>
        <v>14</v>
      </c>
      <c r="O1014" s="157"/>
      <c r="P1014" s="157"/>
      <c r="Q1014" s="153">
        <f ca="1">OFFSET(card_type!$A$1,MATCH(card!B1014,card_type!B:B,0)-1,0)</f>
        <v>2008</v>
      </c>
      <c r="R1014" s="153">
        <v>1</v>
      </c>
      <c r="S1014" s="157">
        <f ca="1">ROUND(IF(R1014=0,0,IF(R1014=1,X1014*$S$1,IF(R1014=2,X1014*$S$1*buff的资质计算!$E$2,IF(R1014=3,X1014*$S$1*buff的资质计算!$E$3,0)))),0)*0</f>
        <v>0</v>
      </c>
      <c r="T1014" s="153">
        <v>4</v>
      </c>
      <c r="U1014" s="153">
        <f ca="1" t="shared" si="166"/>
        <v>12</v>
      </c>
      <c r="V1014" s="153">
        <f ca="1">ROUND((OFFSET(卡牌辅助配置表!$O$1,MATCH(U1014,卡牌辅助配置表!M:M,0)-1,0)+(N1014-1)*OFFSET(卡牌辅助配置表!$P$1,MATCH(U1014,卡牌辅助配置表!M:M,0)-1,0))*M1014,2)</f>
        <v>40.85</v>
      </c>
      <c r="W1014" s="157">
        <f ca="1">ROUND(IF(R1014=0,0,IF(R1014=1,X1014*$W$1,IF(R1014=2,X1014*$W$1*buff的资质计算!$E$2,IF(R1014=3,X1014*$W$1*buff的资质计算!$E$3,0)))),2)</f>
        <v>10.95</v>
      </c>
      <c r="X1014" s="157">
        <f ca="1" t="shared" si="172"/>
        <v>36.5</v>
      </c>
      <c r="Y1014" s="157">
        <f ca="1" t="shared" si="171"/>
        <v>37.5</v>
      </c>
      <c r="Z1014" s="304">
        <f ca="1" t="shared" si="173"/>
        <v>12.5</v>
      </c>
      <c r="AA1014" s="304">
        <f ca="1">OFFSET(卡牌辅助配置表!$AD$1,MATCH(AB1014,卡牌辅助配置表!AB:AB,0)-1,0)</f>
        <v>580</v>
      </c>
      <c r="AB1014" s="304">
        <f ca="1" t="shared" si="167"/>
        <v>1214</v>
      </c>
      <c r="AC1014" s="153">
        <v>3</v>
      </c>
      <c r="AE1014" s="153">
        <v>2</v>
      </c>
      <c r="AF1014" s="153" t="str">
        <f ca="1" t="shared" si="170"/>
        <v>20080011|</v>
      </c>
      <c r="AJ1014" s="205" t="str">
        <f ca="1" t="shared" si="168"/>
        <v>400023|6450|;</v>
      </c>
      <c r="AK1014" s="205">
        <f ca="1">OFFSET([1]item_type!$A$1,MATCH(Q1014,[1]item_type!$G:$G,0)-1,0)</f>
        <v>302008</v>
      </c>
      <c r="AL1014" s="205"/>
      <c r="AM1014" s="205">
        <f ca="1">IF(B1014=B1015,OFFSET(卡牌辅助配置表!$AE$1,MATCH(AB1014,卡牌辅助配置表!AB:AB,0),0),0)</f>
        <v>6450</v>
      </c>
      <c r="AN1014" s="153">
        <f ca="1" t="shared" si="169"/>
        <v>2008015</v>
      </c>
      <c r="AP1014" s="153" t="str">
        <f ca="1">IF(AC1014=0,0,IF(AC1014=12,0,OFFSET(effect!$N$1,MATCH(K1014,effect!M:M,0)-1,0)))</f>
        <v>kpsx_pt</v>
      </c>
    </row>
    <row r="1015" spans="1:42">
      <c r="A1015" s="153">
        <f ca="1" t="shared" si="165"/>
        <v>2008015</v>
      </c>
      <c r="B1015" s="91" t="s">
        <v>353</v>
      </c>
      <c r="C1015" s="186">
        <v>2</v>
      </c>
      <c r="D1015" s="186">
        <v>2</v>
      </c>
      <c r="E1015" s="165" t="s">
        <v>1058</v>
      </c>
      <c r="F1015" s="179" t="s">
        <v>1060</v>
      </c>
      <c r="G1015" s="186">
        <f ca="1">OFFSET(卡牌辅助配置表!$C$1,MATCH(AC1015,卡牌辅助配置表!A:A,0)-1,0)</f>
        <v>3</v>
      </c>
      <c r="H1015" s="186">
        <f ca="1">OFFSET(skill!$Q$1,MATCH(B1015,skill!B:B,0)-1,0)</f>
        <v>1</v>
      </c>
      <c r="I1015" s="186"/>
      <c r="J1015" s="186">
        <f ca="1">OFFSET(card_type!$F$1,MATCH(Q1015,card_type!A:A,0)-1,0)</f>
        <v>1</v>
      </c>
      <c r="K1015" s="243">
        <f ca="1">OFFSET(card_type!$G$1,MATCH(Q1015,card_type!A:A,0)-1,0)</f>
        <v>2</v>
      </c>
      <c r="L1015" s="157">
        <v>3</v>
      </c>
      <c r="M1015" s="157">
        <v>3</v>
      </c>
      <c r="N1015" s="153">
        <f t="shared" si="174"/>
        <v>15</v>
      </c>
      <c r="O1015" s="157"/>
      <c r="P1015" s="157"/>
      <c r="Q1015" s="153">
        <f ca="1">OFFSET(card_type!$A$1,MATCH(card!B1015,card_type!B:B,0)-1,0)</f>
        <v>2008</v>
      </c>
      <c r="R1015" s="153">
        <v>1</v>
      </c>
      <c r="S1015" s="157">
        <f ca="1">ROUND(IF(R1015=0,0,IF(R1015=1,X1015*$S$1,IF(R1015=2,X1015*$S$1*buff的资质计算!$E$2,IF(R1015=3,X1015*$S$1*buff的资质计算!$E$3,0)))),0)*0</f>
        <v>0</v>
      </c>
      <c r="T1015" s="153">
        <v>4</v>
      </c>
      <c r="U1015" s="153">
        <f ca="1" t="shared" si="166"/>
        <v>12</v>
      </c>
      <c r="V1015" s="153">
        <f ca="1">ROUND((OFFSET(卡牌辅助配置表!$O$1,MATCH(U1015,卡牌辅助配置表!M:M,0)-1,0)+(N1015-1)*OFFSET(卡牌辅助配置表!$P$1,MATCH(U1015,卡牌辅助配置表!M:M,0)-1,0))*M1015,2)</f>
        <v>41.8</v>
      </c>
      <c r="W1015" s="157">
        <f ca="1">ROUND(IF(R1015=0,0,IF(R1015=1,X1015*$W$1,IF(R1015=2,X1015*$W$1*buff的资质计算!$E$2,IF(R1015=3,X1015*$W$1*buff的资质计算!$E$3,0)))),2)</f>
        <v>11.1</v>
      </c>
      <c r="X1015" s="157">
        <f ca="1" t="shared" si="172"/>
        <v>37</v>
      </c>
      <c r="Y1015" s="157">
        <f ca="1" t="shared" si="171"/>
        <v>38</v>
      </c>
      <c r="Z1015" s="304">
        <f ca="1" t="shared" si="173"/>
        <v>12.6666666666667</v>
      </c>
      <c r="AA1015" s="304">
        <f ca="1">OFFSET(卡牌辅助配置表!$AD$1,MATCH(AB1015,卡牌辅助配置表!AB:AB,0)-1,0)</f>
        <v>635</v>
      </c>
      <c r="AB1015" s="304">
        <f ca="1" t="shared" si="167"/>
        <v>1215</v>
      </c>
      <c r="AC1015" s="153">
        <v>3</v>
      </c>
      <c r="AE1015" s="153">
        <v>2</v>
      </c>
      <c r="AF1015" s="153" t="str">
        <f ca="1" t="shared" si="170"/>
        <v>20080011|</v>
      </c>
      <c r="AJ1015" s="205" t="str">
        <f ca="1" t="shared" si="168"/>
        <v>400023|7050|;</v>
      </c>
      <c r="AK1015" s="205">
        <f ca="1">OFFSET([1]item_type!$A$1,MATCH(Q1015,[1]item_type!$G:$G,0)-1,0)</f>
        <v>302008</v>
      </c>
      <c r="AL1015" s="205"/>
      <c r="AM1015" s="205">
        <f ca="1">IF(B1015=B1016,OFFSET(卡牌辅助配置表!$AE$1,MATCH(AB1015,卡牌辅助配置表!AB:AB,0),0),0)</f>
        <v>7050</v>
      </c>
      <c r="AN1015" s="153">
        <f ca="1" t="shared" si="169"/>
        <v>2008016</v>
      </c>
      <c r="AP1015" s="153" t="str">
        <f ca="1">IF(AC1015=0,0,IF(AC1015=12,0,OFFSET(effect!$N$1,MATCH(K1015,effect!M:M,0)-1,0)))</f>
        <v>kpsx_pt</v>
      </c>
    </row>
    <row r="1016" spans="1:42">
      <c r="A1016" s="153">
        <f ca="1" t="shared" si="165"/>
        <v>2008016</v>
      </c>
      <c r="B1016" s="91" t="s">
        <v>353</v>
      </c>
      <c r="C1016" s="186">
        <v>2</v>
      </c>
      <c r="D1016" s="186">
        <v>2</v>
      </c>
      <c r="E1016" s="165" t="s">
        <v>1058</v>
      </c>
      <c r="F1016" s="179" t="s">
        <v>1060</v>
      </c>
      <c r="G1016" s="186">
        <f ca="1">OFFSET(卡牌辅助配置表!$C$1,MATCH(AC1016,卡牌辅助配置表!A:A,0)-1,0)</f>
        <v>3</v>
      </c>
      <c r="H1016" s="186">
        <f ca="1">OFFSET(skill!$Q$1,MATCH(B1016,skill!B:B,0)-1,0)</f>
        <v>1</v>
      </c>
      <c r="I1016" s="186"/>
      <c r="J1016" s="186">
        <f ca="1">OFFSET(card_type!$F$1,MATCH(Q1016,card_type!A:A,0)-1,0)</f>
        <v>1</v>
      </c>
      <c r="K1016" s="243">
        <f ca="1">OFFSET(card_type!$G$1,MATCH(Q1016,card_type!A:A,0)-1,0)</f>
        <v>2</v>
      </c>
      <c r="L1016" s="157">
        <v>3</v>
      </c>
      <c r="M1016" s="157">
        <v>3</v>
      </c>
      <c r="N1016" s="153">
        <f t="shared" si="174"/>
        <v>16</v>
      </c>
      <c r="O1016" s="157"/>
      <c r="P1016" s="157"/>
      <c r="Q1016" s="153">
        <f ca="1">OFFSET(card_type!$A$1,MATCH(card!B1016,card_type!B:B,0)-1,0)</f>
        <v>2008</v>
      </c>
      <c r="R1016" s="153">
        <v>1</v>
      </c>
      <c r="S1016" s="157">
        <f ca="1">ROUND(IF(R1016=0,0,IF(R1016=1,X1016*$S$1,IF(R1016=2,X1016*$S$1*buff的资质计算!$E$2,IF(R1016=3,X1016*$S$1*buff的资质计算!$E$3,0)))),0)*0</f>
        <v>0</v>
      </c>
      <c r="T1016" s="153">
        <v>4</v>
      </c>
      <c r="U1016" s="153">
        <f ca="1" t="shared" si="166"/>
        <v>12</v>
      </c>
      <c r="V1016" s="153">
        <f ca="1">ROUND((OFFSET(卡牌辅助配置表!$O$1,MATCH(U1016,卡牌辅助配置表!M:M,0)-1,0)+(N1016-1)*OFFSET(卡牌辅助配置表!$P$1,MATCH(U1016,卡牌辅助配置表!M:M,0)-1,0))*M1016,2)</f>
        <v>42.75</v>
      </c>
      <c r="W1016" s="157">
        <f ca="1">ROUND(IF(R1016=0,0,IF(R1016=1,X1016*$W$1,IF(R1016=2,X1016*$W$1*buff的资质计算!$E$2,IF(R1016=3,X1016*$W$1*buff的资质计算!$E$3,0)))),2)</f>
        <v>11.25</v>
      </c>
      <c r="X1016" s="157">
        <f ca="1" t="shared" si="172"/>
        <v>37.5</v>
      </c>
      <c r="Y1016" s="157">
        <f ca="1" t="shared" si="171"/>
        <v>38.5</v>
      </c>
      <c r="Z1016" s="304">
        <f ca="1" t="shared" si="173"/>
        <v>12.8333333333333</v>
      </c>
      <c r="AA1016" s="304">
        <f ca="1">OFFSET(卡牌辅助配置表!$AD$1,MATCH(AB1016,卡牌辅助配置表!AB:AB,0)-1,0)</f>
        <v>690</v>
      </c>
      <c r="AB1016" s="304">
        <f ca="1" t="shared" si="167"/>
        <v>1216</v>
      </c>
      <c r="AC1016" s="153">
        <v>3</v>
      </c>
      <c r="AE1016" s="153">
        <v>2</v>
      </c>
      <c r="AF1016" s="153" t="str">
        <f ca="1" t="shared" si="170"/>
        <v>20080011|</v>
      </c>
      <c r="AJ1016" s="205" t="str">
        <f ca="1" t="shared" si="168"/>
        <v>400023|7650|;</v>
      </c>
      <c r="AK1016" s="205">
        <f ca="1">OFFSET([1]item_type!$A$1,MATCH(Q1016,[1]item_type!$G:$G,0)-1,0)</f>
        <v>302008</v>
      </c>
      <c r="AL1016" s="205"/>
      <c r="AM1016" s="205">
        <f ca="1">IF(B1016=B1017,OFFSET(卡牌辅助配置表!$AE$1,MATCH(AB1016,卡牌辅助配置表!AB:AB,0),0),0)</f>
        <v>7650</v>
      </c>
      <c r="AN1016" s="153">
        <f ca="1" t="shared" si="169"/>
        <v>2008017</v>
      </c>
      <c r="AP1016" s="153" t="str">
        <f ca="1">IF(AC1016=0,0,IF(AC1016=12,0,OFFSET(effect!$N$1,MATCH(K1016,effect!M:M,0)-1,0)))</f>
        <v>kpsx_pt</v>
      </c>
    </row>
    <row r="1017" spans="1:42">
      <c r="A1017" s="153">
        <f ca="1" t="shared" si="165"/>
        <v>2008017</v>
      </c>
      <c r="B1017" s="91" t="s">
        <v>353</v>
      </c>
      <c r="C1017" s="186">
        <v>2</v>
      </c>
      <c r="D1017" s="186">
        <v>2</v>
      </c>
      <c r="E1017" s="165" t="s">
        <v>1058</v>
      </c>
      <c r="F1017" s="179" t="s">
        <v>1060</v>
      </c>
      <c r="G1017" s="186">
        <f ca="1">OFFSET(卡牌辅助配置表!$C$1,MATCH(AC1017,卡牌辅助配置表!A:A,0)-1,0)</f>
        <v>3</v>
      </c>
      <c r="H1017" s="186">
        <f ca="1">OFFSET(skill!$Q$1,MATCH(B1017,skill!B:B,0)-1,0)</f>
        <v>1</v>
      </c>
      <c r="I1017" s="186"/>
      <c r="J1017" s="186">
        <f ca="1">OFFSET(card_type!$F$1,MATCH(Q1017,card_type!A:A,0)-1,0)</f>
        <v>1</v>
      </c>
      <c r="K1017" s="243">
        <f ca="1">OFFSET(card_type!$G$1,MATCH(Q1017,card_type!A:A,0)-1,0)</f>
        <v>2</v>
      </c>
      <c r="L1017" s="157">
        <v>3</v>
      </c>
      <c r="M1017" s="157">
        <v>3</v>
      </c>
      <c r="N1017" s="153">
        <f t="shared" si="174"/>
        <v>17</v>
      </c>
      <c r="O1017" s="157"/>
      <c r="P1017" s="157"/>
      <c r="Q1017" s="153">
        <f ca="1">OFFSET(card_type!$A$1,MATCH(card!B1017,card_type!B:B,0)-1,0)</f>
        <v>2008</v>
      </c>
      <c r="R1017" s="153">
        <v>1</v>
      </c>
      <c r="S1017" s="157">
        <f ca="1">ROUND(IF(R1017=0,0,IF(R1017=1,X1017*$S$1,IF(R1017=2,X1017*$S$1*buff的资质计算!$E$2,IF(R1017=3,X1017*$S$1*buff的资质计算!$E$3,0)))),0)*0</f>
        <v>0</v>
      </c>
      <c r="T1017" s="153">
        <v>4</v>
      </c>
      <c r="U1017" s="153">
        <f ca="1" t="shared" si="166"/>
        <v>12</v>
      </c>
      <c r="V1017" s="153">
        <f ca="1">ROUND((OFFSET(卡牌辅助配置表!$O$1,MATCH(U1017,卡牌辅助配置表!M:M,0)-1,0)+(N1017-1)*OFFSET(卡牌辅助配置表!$P$1,MATCH(U1017,卡牌辅助配置表!M:M,0)-1,0))*M1017,2)</f>
        <v>43.7</v>
      </c>
      <c r="W1017" s="157">
        <f ca="1">ROUND(IF(R1017=0,0,IF(R1017=1,X1017*$W$1,IF(R1017=2,X1017*$W$1*buff的资质计算!$E$2,IF(R1017=3,X1017*$W$1*buff的资质计算!$E$3,0)))),2)</f>
        <v>11.4</v>
      </c>
      <c r="X1017" s="157">
        <f ca="1" t="shared" si="172"/>
        <v>38</v>
      </c>
      <c r="Y1017" s="157">
        <f ca="1" t="shared" si="171"/>
        <v>39</v>
      </c>
      <c r="Z1017" s="304">
        <f ca="1" t="shared" si="173"/>
        <v>13</v>
      </c>
      <c r="AA1017" s="304">
        <f ca="1">OFFSET(卡牌辅助配置表!$AD$1,MATCH(AB1017,卡牌辅助配置表!AB:AB,0)-1,0)</f>
        <v>745</v>
      </c>
      <c r="AB1017" s="304">
        <f ca="1" t="shared" si="167"/>
        <v>1217</v>
      </c>
      <c r="AC1017" s="153">
        <v>3</v>
      </c>
      <c r="AE1017" s="153">
        <v>2</v>
      </c>
      <c r="AF1017" s="153" t="str">
        <f ca="1" t="shared" si="170"/>
        <v>20080011|</v>
      </c>
      <c r="AJ1017" s="205" t="str">
        <f ca="1" t="shared" si="168"/>
        <v>400023|8250|;</v>
      </c>
      <c r="AK1017" s="205">
        <f ca="1">OFFSET([1]item_type!$A$1,MATCH(Q1017,[1]item_type!$G:$G,0)-1,0)</f>
        <v>302008</v>
      </c>
      <c r="AL1017" s="205"/>
      <c r="AM1017" s="205">
        <f ca="1">IF(B1017=B1018,OFFSET(卡牌辅助配置表!$AE$1,MATCH(AB1017,卡牌辅助配置表!AB:AB,0),0),0)</f>
        <v>8250</v>
      </c>
      <c r="AN1017" s="153">
        <f ca="1" t="shared" si="169"/>
        <v>2008018</v>
      </c>
      <c r="AP1017" s="153" t="str">
        <f ca="1">IF(AC1017=0,0,IF(AC1017=12,0,OFFSET(effect!$N$1,MATCH(K1017,effect!M:M,0)-1,0)))</f>
        <v>kpsx_pt</v>
      </c>
    </row>
    <row r="1018" spans="1:42">
      <c r="A1018" s="153">
        <f ca="1" t="shared" si="165"/>
        <v>2008018</v>
      </c>
      <c r="B1018" s="91" t="s">
        <v>353</v>
      </c>
      <c r="C1018" s="186">
        <v>2</v>
      </c>
      <c r="D1018" s="186">
        <v>2</v>
      </c>
      <c r="E1018" s="165" t="s">
        <v>1058</v>
      </c>
      <c r="F1018" s="179" t="s">
        <v>1060</v>
      </c>
      <c r="G1018" s="186">
        <f ca="1">OFFSET(卡牌辅助配置表!$C$1,MATCH(AC1018,卡牌辅助配置表!A:A,0)-1,0)</f>
        <v>3</v>
      </c>
      <c r="H1018" s="186">
        <f ca="1">OFFSET(skill!$Q$1,MATCH(B1018,skill!B:B,0)-1,0)</f>
        <v>1</v>
      </c>
      <c r="I1018" s="186"/>
      <c r="J1018" s="186">
        <f ca="1">OFFSET(card_type!$F$1,MATCH(Q1018,card_type!A:A,0)-1,0)</f>
        <v>1</v>
      </c>
      <c r="K1018" s="243">
        <f ca="1">OFFSET(card_type!$G$1,MATCH(Q1018,card_type!A:A,0)-1,0)</f>
        <v>2</v>
      </c>
      <c r="L1018" s="157">
        <v>3</v>
      </c>
      <c r="M1018" s="157">
        <v>3</v>
      </c>
      <c r="N1018" s="153">
        <f t="shared" si="174"/>
        <v>18</v>
      </c>
      <c r="O1018" s="157"/>
      <c r="P1018" s="157"/>
      <c r="Q1018" s="153">
        <f ca="1">OFFSET(card_type!$A$1,MATCH(card!B1018,card_type!B:B,0)-1,0)</f>
        <v>2008</v>
      </c>
      <c r="R1018" s="153">
        <v>1</v>
      </c>
      <c r="S1018" s="157">
        <f ca="1">ROUND(IF(R1018=0,0,IF(R1018=1,X1018*$S$1,IF(R1018=2,X1018*$S$1*buff的资质计算!$E$2,IF(R1018=3,X1018*$S$1*buff的资质计算!$E$3,0)))),0)*0</f>
        <v>0</v>
      </c>
      <c r="T1018" s="153">
        <v>4</v>
      </c>
      <c r="U1018" s="153">
        <f ca="1" t="shared" si="166"/>
        <v>12</v>
      </c>
      <c r="V1018" s="153">
        <f ca="1">ROUND((OFFSET(卡牌辅助配置表!$O$1,MATCH(U1018,卡牌辅助配置表!M:M,0)-1,0)+(N1018-1)*OFFSET(卡牌辅助配置表!$P$1,MATCH(U1018,卡牌辅助配置表!M:M,0)-1,0))*M1018,2)</f>
        <v>44.65</v>
      </c>
      <c r="W1018" s="157">
        <f ca="1">ROUND(IF(R1018=0,0,IF(R1018=1,X1018*$W$1,IF(R1018=2,X1018*$W$1*buff的资质计算!$E$2,IF(R1018=3,X1018*$W$1*buff的资质计算!$E$3,0)))),2)</f>
        <v>11.55</v>
      </c>
      <c r="X1018" s="157">
        <f ca="1" t="shared" si="172"/>
        <v>38.5</v>
      </c>
      <c r="Y1018" s="157">
        <f ca="1" t="shared" si="171"/>
        <v>39.5</v>
      </c>
      <c r="Z1018" s="304">
        <f ca="1" t="shared" si="173"/>
        <v>13.1666666666667</v>
      </c>
      <c r="AA1018" s="304">
        <f ca="1">OFFSET(卡牌辅助配置表!$AD$1,MATCH(AB1018,卡牌辅助配置表!AB:AB,0)-1,0)</f>
        <v>800</v>
      </c>
      <c r="AB1018" s="304">
        <f ca="1" t="shared" si="167"/>
        <v>1218</v>
      </c>
      <c r="AC1018" s="153">
        <v>3</v>
      </c>
      <c r="AE1018" s="153">
        <v>2</v>
      </c>
      <c r="AF1018" s="153" t="str">
        <f ca="1" t="shared" si="170"/>
        <v>20080011|</v>
      </c>
      <c r="AJ1018" s="205" t="str">
        <f ca="1" t="shared" si="168"/>
        <v>400023|8850|;</v>
      </c>
      <c r="AK1018" s="205">
        <f ca="1">OFFSET([1]item_type!$A$1,MATCH(Q1018,[1]item_type!$G:$G,0)-1,0)</f>
        <v>302008</v>
      </c>
      <c r="AL1018" s="205"/>
      <c r="AM1018" s="205">
        <f ca="1">IF(B1018=B1019,OFFSET(卡牌辅助配置表!$AE$1,MATCH(AB1018,卡牌辅助配置表!AB:AB,0),0),0)</f>
        <v>8850</v>
      </c>
      <c r="AN1018" s="153">
        <f ca="1" t="shared" si="169"/>
        <v>2008019</v>
      </c>
      <c r="AP1018" s="153" t="str">
        <f ca="1">IF(AC1018=0,0,IF(AC1018=12,0,OFFSET(effect!$N$1,MATCH(K1018,effect!M:M,0)-1,0)))</f>
        <v>kpsx_pt</v>
      </c>
    </row>
    <row r="1019" spans="1:42">
      <c r="A1019" s="153">
        <f ca="1" t="shared" si="165"/>
        <v>2008019</v>
      </c>
      <c r="B1019" s="91" t="s">
        <v>353</v>
      </c>
      <c r="C1019" s="186">
        <v>2</v>
      </c>
      <c r="D1019" s="186">
        <v>2</v>
      </c>
      <c r="E1019" s="165" t="s">
        <v>1058</v>
      </c>
      <c r="F1019" s="179" t="s">
        <v>1060</v>
      </c>
      <c r="G1019" s="186">
        <f ca="1">OFFSET(卡牌辅助配置表!$C$1,MATCH(AC1019,卡牌辅助配置表!A:A,0)-1,0)</f>
        <v>3</v>
      </c>
      <c r="H1019" s="186">
        <f ca="1">OFFSET(skill!$Q$1,MATCH(B1019,skill!B:B,0)-1,0)</f>
        <v>1</v>
      </c>
      <c r="I1019" s="186"/>
      <c r="J1019" s="186">
        <f ca="1">OFFSET(card_type!$F$1,MATCH(Q1019,card_type!A:A,0)-1,0)</f>
        <v>1</v>
      </c>
      <c r="K1019" s="243">
        <f ca="1">OFFSET(card_type!$G$1,MATCH(Q1019,card_type!A:A,0)-1,0)</f>
        <v>2</v>
      </c>
      <c r="L1019" s="157">
        <v>3</v>
      </c>
      <c r="M1019" s="157">
        <v>3</v>
      </c>
      <c r="N1019" s="153">
        <f t="shared" si="174"/>
        <v>19</v>
      </c>
      <c r="O1019" s="157"/>
      <c r="P1019" s="157"/>
      <c r="Q1019" s="153">
        <f ca="1">OFFSET(card_type!$A$1,MATCH(card!B1019,card_type!B:B,0)-1,0)</f>
        <v>2008</v>
      </c>
      <c r="R1019" s="153">
        <v>1</v>
      </c>
      <c r="S1019" s="157">
        <f ca="1">ROUND(IF(R1019=0,0,IF(R1019=1,X1019*$S$1,IF(R1019=2,X1019*$S$1*buff的资质计算!$E$2,IF(R1019=3,X1019*$S$1*buff的资质计算!$E$3,0)))),0)*0</f>
        <v>0</v>
      </c>
      <c r="T1019" s="153">
        <v>4</v>
      </c>
      <c r="U1019" s="153">
        <f ca="1" t="shared" si="166"/>
        <v>12</v>
      </c>
      <c r="V1019" s="153">
        <f ca="1">ROUND((OFFSET(卡牌辅助配置表!$O$1,MATCH(U1019,卡牌辅助配置表!M:M,0)-1,0)+(N1019-1)*OFFSET(卡牌辅助配置表!$P$1,MATCH(U1019,卡牌辅助配置表!M:M,0)-1,0))*M1019,2)</f>
        <v>45.6</v>
      </c>
      <c r="W1019" s="157">
        <f ca="1">ROUND(IF(R1019=0,0,IF(R1019=1,X1019*$W$1,IF(R1019=2,X1019*$W$1*buff的资质计算!$E$2,IF(R1019=3,X1019*$W$1*buff的资质计算!$E$3,0)))),2)</f>
        <v>11.7</v>
      </c>
      <c r="X1019" s="157">
        <f ca="1" t="shared" si="172"/>
        <v>39</v>
      </c>
      <c r="Y1019" s="157">
        <f ca="1" t="shared" si="171"/>
        <v>40</v>
      </c>
      <c r="Z1019" s="304">
        <f ca="1" t="shared" si="173"/>
        <v>13.3333333333333</v>
      </c>
      <c r="AA1019" s="304">
        <f ca="1">OFFSET(卡牌辅助配置表!$AD$1,MATCH(AB1019,卡牌辅助配置表!AB:AB,0)-1,0)</f>
        <v>855</v>
      </c>
      <c r="AB1019" s="304">
        <f ca="1" t="shared" si="167"/>
        <v>1219</v>
      </c>
      <c r="AC1019" s="153">
        <v>3</v>
      </c>
      <c r="AE1019" s="153">
        <v>2</v>
      </c>
      <c r="AF1019" s="153" t="str">
        <f ca="1" t="shared" si="170"/>
        <v>20080011|</v>
      </c>
      <c r="AJ1019" s="205" t="str">
        <f ca="1" t="shared" si="168"/>
        <v>302008|20|;400023|9450|;</v>
      </c>
      <c r="AK1019" s="205">
        <f ca="1">OFFSET([1]item_type!$A$1,MATCH(Q1019,[1]item_type!$G:$G,0)-1,0)</f>
        <v>302008</v>
      </c>
      <c r="AL1019" s="205">
        <v>20</v>
      </c>
      <c r="AM1019" s="205">
        <f ca="1">IF(B1019=B1020,OFFSET(卡牌辅助配置表!$AE$1,MATCH(AB1019,卡牌辅助配置表!AB:AB,0),0),0)</f>
        <v>9450</v>
      </c>
      <c r="AN1019" s="153">
        <f ca="1" t="shared" si="169"/>
        <v>2008020</v>
      </c>
      <c r="AP1019" s="153" t="str">
        <f ca="1">IF(AC1019=0,0,IF(AC1019=12,0,OFFSET(effect!$N$1,MATCH(K1019,effect!M:M,0)-1,0)))</f>
        <v>kpsx_pt</v>
      </c>
    </row>
    <row r="1020" spans="1:42">
      <c r="A1020" s="153">
        <f ca="1" t="shared" si="165"/>
        <v>2008020</v>
      </c>
      <c r="B1020" s="91" t="s">
        <v>353</v>
      </c>
      <c r="C1020" s="186">
        <v>2</v>
      </c>
      <c r="D1020" s="186">
        <v>2</v>
      </c>
      <c r="E1020" s="165" t="s">
        <v>1058</v>
      </c>
      <c r="F1020" s="179" t="s">
        <v>1060</v>
      </c>
      <c r="G1020" s="186">
        <f ca="1">OFFSET(卡牌辅助配置表!$C$1,MATCH(AC1020,卡牌辅助配置表!A:A,0)-1,0)</f>
        <v>3</v>
      </c>
      <c r="H1020" s="186">
        <f ca="1">OFFSET(skill!$Q$1,MATCH(B1020,skill!B:B,0)-1,0)</f>
        <v>1</v>
      </c>
      <c r="I1020" s="186"/>
      <c r="J1020" s="186">
        <f ca="1">OFFSET(card_type!$F$1,MATCH(Q1020,card_type!A:A,0)-1,0)</f>
        <v>1</v>
      </c>
      <c r="K1020" s="243">
        <f ca="1">OFFSET(card_type!$G$1,MATCH(Q1020,card_type!A:A,0)-1,0)</f>
        <v>2</v>
      </c>
      <c r="L1020" s="157">
        <v>3</v>
      </c>
      <c r="M1020" s="157">
        <v>3</v>
      </c>
      <c r="N1020" s="153">
        <f t="shared" si="174"/>
        <v>20</v>
      </c>
      <c r="O1020" s="157"/>
      <c r="P1020" s="157"/>
      <c r="Q1020" s="153">
        <f ca="1">OFFSET(card_type!$A$1,MATCH(card!B1020,card_type!B:B,0)-1,0)</f>
        <v>2008</v>
      </c>
      <c r="R1020" s="153">
        <v>1</v>
      </c>
      <c r="S1020" s="157">
        <f ca="1">ROUND(IF(R1020=0,0,IF(R1020=1,X1020*$S$1,IF(R1020=2,X1020*$S$1*buff的资质计算!$E$2,IF(R1020=3,X1020*$S$1*buff的资质计算!$E$3,0)))),0)*0</f>
        <v>0</v>
      </c>
      <c r="T1020" s="153">
        <v>4</v>
      </c>
      <c r="U1020" s="153">
        <f ca="1" t="shared" si="166"/>
        <v>12</v>
      </c>
      <c r="V1020" s="153">
        <f ca="1">ROUND((OFFSET(卡牌辅助配置表!$O$1,MATCH(U1020,卡牌辅助配置表!M:M,0)-1,0)+(N1020-1)*OFFSET(卡牌辅助配置表!$P$1,MATCH(U1020,卡牌辅助配置表!M:M,0)-1,0))*M1020,2)</f>
        <v>46.55</v>
      </c>
      <c r="W1020" s="157">
        <f ca="1">ROUND(IF(R1020=0,0,IF(R1020=1,X1020*$W$1,IF(R1020=2,X1020*$W$1*buff的资质计算!$E$2,IF(R1020=3,X1020*$W$1*buff的资质计算!$E$3,0)))),2)</f>
        <v>11.85</v>
      </c>
      <c r="X1020" s="157">
        <f ca="1" t="shared" si="172"/>
        <v>39.5</v>
      </c>
      <c r="Y1020" s="157">
        <f ca="1" t="shared" si="171"/>
        <v>40.5</v>
      </c>
      <c r="Z1020" s="304">
        <f ca="1" t="shared" si="173"/>
        <v>13.5</v>
      </c>
      <c r="AA1020" s="304">
        <f ca="1">OFFSET(卡牌辅助配置表!$AD$1,MATCH(AB1020,卡牌辅助配置表!AB:AB,0)-1,0)</f>
        <v>910</v>
      </c>
      <c r="AB1020" s="304">
        <f ca="1" t="shared" si="167"/>
        <v>1220</v>
      </c>
      <c r="AC1020" s="153">
        <v>3</v>
      </c>
      <c r="AE1020" s="153">
        <v>2</v>
      </c>
      <c r="AF1020" s="153" t="str">
        <f ca="1" t="shared" si="170"/>
        <v>20080011|</v>
      </c>
      <c r="AJ1020" s="205" t="str">
        <f ca="1" t="shared" si="168"/>
        <v>400023|10650|;</v>
      </c>
      <c r="AK1020" s="205">
        <f ca="1">OFFSET([1]item_type!$A$1,MATCH(Q1020,[1]item_type!$G:$G,0)-1,0)</f>
        <v>302008</v>
      </c>
      <c r="AL1020" s="205"/>
      <c r="AM1020" s="205">
        <f ca="1">IF(B1020=B1021,OFFSET(卡牌辅助配置表!$AE$1,MATCH(AB1020,卡牌辅助配置表!AB:AB,0),0),0)</f>
        <v>10650</v>
      </c>
      <c r="AN1020" s="153">
        <f ca="1" t="shared" si="169"/>
        <v>2008021</v>
      </c>
      <c r="AP1020" s="153" t="str">
        <f ca="1">IF(AC1020=0,0,IF(AC1020=12,0,OFFSET(effect!$N$1,MATCH(K1020,effect!M:M,0)-1,0)))</f>
        <v>kpsx_pt</v>
      </c>
    </row>
    <row r="1021" spans="1:42">
      <c r="A1021" s="153">
        <f ca="1" t="shared" si="165"/>
        <v>2008021</v>
      </c>
      <c r="B1021" s="91" t="s">
        <v>353</v>
      </c>
      <c r="C1021" s="186">
        <v>2</v>
      </c>
      <c r="D1021" s="186">
        <v>2</v>
      </c>
      <c r="E1021" s="165" t="s">
        <v>1058</v>
      </c>
      <c r="F1021" s="179" t="s">
        <v>1060</v>
      </c>
      <c r="G1021" s="186">
        <f ca="1">OFFSET(卡牌辅助配置表!$C$1,MATCH(AC1021,卡牌辅助配置表!A:A,0)-1,0)</f>
        <v>3</v>
      </c>
      <c r="H1021" s="186">
        <f ca="1">OFFSET(skill!$Q$1,MATCH(B1021,skill!B:B,0)-1,0)</f>
        <v>1</v>
      </c>
      <c r="I1021" s="186"/>
      <c r="J1021" s="186">
        <f ca="1">OFFSET(card_type!$F$1,MATCH(Q1021,card_type!A:A,0)-1,0)</f>
        <v>1</v>
      </c>
      <c r="K1021" s="243">
        <f ca="1">OFFSET(card_type!$G$1,MATCH(Q1021,card_type!A:A,0)-1,0)</f>
        <v>2</v>
      </c>
      <c r="L1021" s="157">
        <v>3</v>
      </c>
      <c r="M1021" s="157">
        <v>3</v>
      </c>
      <c r="N1021" s="153">
        <f t="shared" si="174"/>
        <v>21</v>
      </c>
      <c r="O1021" s="157"/>
      <c r="P1021" s="157"/>
      <c r="Q1021" s="153">
        <f ca="1">OFFSET(card_type!$A$1,MATCH(card!B1021,card_type!B:B,0)-1,0)</f>
        <v>2008</v>
      </c>
      <c r="R1021" s="153">
        <v>1</v>
      </c>
      <c r="S1021" s="157">
        <f ca="1">ROUND(IF(R1021=0,0,IF(R1021=1,X1021*$S$1,IF(R1021=2,X1021*$S$1*buff的资质计算!$E$2,IF(R1021=3,X1021*$S$1*buff的资质计算!$E$3,0)))),0)*0</f>
        <v>0</v>
      </c>
      <c r="T1021" s="153">
        <v>4</v>
      </c>
      <c r="U1021" s="153">
        <f ca="1" t="shared" si="166"/>
        <v>12</v>
      </c>
      <c r="V1021" s="153">
        <f ca="1">ROUND((OFFSET(卡牌辅助配置表!$O$1,MATCH(U1021,卡牌辅助配置表!M:M,0)-1,0)+(N1021-1)*OFFSET(卡牌辅助配置表!$P$1,MATCH(U1021,卡牌辅助配置表!M:M,0)-1,0))*M1021,2)</f>
        <v>47.5</v>
      </c>
      <c r="W1021" s="157">
        <f ca="1">ROUND(IF(R1021=0,0,IF(R1021=1,X1021*$W$1,IF(R1021=2,X1021*$W$1*buff的资质计算!$E$2,IF(R1021=3,X1021*$W$1*buff的资质计算!$E$3,0)))),2)</f>
        <v>12</v>
      </c>
      <c r="X1021" s="157">
        <f ca="1" t="shared" si="172"/>
        <v>40</v>
      </c>
      <c r="Y1021" s="157">
        <f ca="1" t="shared" si="171"/>
        <v>41</v>
      </c>
      <c r="Z1021" s="304">
        <f ca="1" t="shared" si="173"/>
        <v>13.6666666666667</v>
      </c>
      <c r="AA1021" s="304">
        <f ca="1">OFFSET(卡牌辅助配置表!$AD$1,MATCH(AB1021,卡牌辅助配置表!AB:AB,0)-1,0)</f>
        <v>983</v>
      </c>
      <c r="AB1021" s="304">
        <f ca="1" t="shared" si="167"/>
        <v>1221</v>
      </c>
      <c r="AC1021" s="153">
        <v>3</v>
      </c>
      <c r="AE1021" s="153">
        <v>2</v>
      </c>
      <c r="AF1021" s="153" t="str">
        <f ca="1" t="shared" si="170"/>
        <v>20080011|</v>
      </c>
      <c r="AJ1021" s="205" t="str">
        <f ca="1" t="shared" si="168"/>
        <v>400023|11850|;</v>
      </c>
      <c r="AK1021" s="205">
        <f ca="1">OFFSET([1]item_type!$A$1,MATCH(Q1021,[1]item_type!$G:$G,0)-1,0)</f>
        <v>302008</v>
      </c>
      <c r="AL1021" s="205"/>
      <c r="AM1021" s="205">
        <f ca="1">IF(B1021=B1022,OFFSET(卡牌辅助配置表!$AE$1,MATCH(AB1021,卡牌辅助配置表!AB:AB,0),0),0)</f>
        <v>11850</v>
      </c>
      <c r="AN1021" s="153">
        <f ca="1" t="shared" si="169"/>
        <v>2008022</v>
      </c>
      <c r="AP1021" s="153" t="str">
        <f ca="1">IF(AC1021=0,0,IF(AC1021=12,0,OFFSET(effect!$N$1,MATCH(K1021,effect!M:M,0)-1,0)))</f>
        <v>kpsx_pt</v>
      </c>
    </row>
    <row r="1022" spans="1:42">
      <c r="A1022" s="153">
        <f ca="1" t="shared" si="165"/>
        <v>2008022</v>
      </c>
      <c r="B1022" s="91" t="s">
        <v>353</v>
      </c>
      <c r="C1022" s="186">
        <v>2</v>
      </c>
      <c r="D1022" s="186">
        <v>2</v>
      </c>
      <c r="E1022" s="165" t="s">
        <v>1058</v>
      </c>
      <c r="F1022" s="179" t="s">
        <v>1060</v>
      </c>
      <c r="G1022" s="186">
        <f ca="1">OFFSET(卡牌辅助配置表!$C$1,MATCH(AC1022,卡牌辅助配置表!A:A,0)-1,0)</f>
        <v>3</v>
      </c>
      <c r="H1022" s="186">
        <f ca="1">OFFSET(skill!$Q$1,MATCH(B1022,skill!B:B,0)-1,0)</f>
        <v>1</v>
      </c>
      <c r="I1022" s="186"/>
      <c r="J1022" s="186">
        <f ca="1">OFFSET(card_type!$F$1,MATCH(Q1022,card_type!A:A,0)-1,0)</f>
        <v>1</v>
      </c>
      <c r="K1022" s="243">
        <f ca="1">OFFSET(card_type!$G$1,MATCH(Q1022,card_type!A:A,0)-1,0)</f>
        <v>2</v>
      </c>
      <c r="L1022" s="157">
        <v>3</v>
      </c>
      <c r="M1022" s="157">
        <v>3</v>
      </c>
      <c r="N1022" s="153">
        <f t="shared" si="174"/>
        <v>22</v>
      </c>
      <c r="O1022" s="157"/>
      <c r="P1022" s="157"/>
      <c r="Q1022" s="153">
        <f ca="1">OFFSET(card_type!$A$1,MATCH(card!B1022,card_type!B:B,0)-1,0)</f>
        <v>2008</v>
      </c>
      <c r="R1022" s="153">
        <v>1</v>
      </c>
      <c r="S1022" s="157">
        <f ca="1">ROUND(IF(R1022=0,0,IF(R1022=1,X1022*$S$1,IF(R1022=2,X1022*$S$1*buff的资质计算!$E$2,IF(R1022=3,X1022*$S$1*buff的资质计算!$E$3,0)))),0)*0</f>
        <v>0</v>
      </c>
      <c r="T1022" s="153">
        <v>4</v>
      </c>
      <c r="U1022" s="153">
        <f ca="1" t="shared" si="166"/>
        <v>12</v>
      </c>
      <c r="V1022" s="153">
        <f ca="1">ROUND((OFFSET(卡牌辅助配置表!$O$1,MATCH(U1022,卡牌辅助配置表!M:M,0)-1,0)+(N1022-1)*OFFSET(卡牌辅助配置表!$P$1,MATCH(U1022,卡牌辅助配置表!M:M,0)-1,0))*M1022,2)</f>
        <v>48.45</v>
      </c>
      <c r="W1022" s="157">
        <f ca="1">ROUND(IF(R1022=0,0,IF(R1022=1,X1022*$W$1,IF(R1022=2,X1022*$W$1*buff的资质计算!$E$2,IF(R1022=3,X1022*$W$1*buff的资质计算!$E$3,0)))),2)</f>
        <v>12.15</v>
      </c>
      <c r="X1022" s="157">
        <f ca="1" t="shared" si="172"/>
        <v>40.5</v>
      </c>
      <c r="Y1022" s="157">
        <f ca="1" t="shared" si="171"/>
        <v>41.5</v>
      </c>
      <c r="Z1022" s="304">
        <f ca="1" t="shared" si="173"/>
        <v>13.8333333333333</v>
      </c>
      <c r="AA1022" s="304">
        <f ca="1">OFFSET(卡牌辅助配置表!$AD$1,MATCH(AB1022,卡牌辅助配置表!AB:AB,0)-1,0)</f>
        <v>1056</v>
      </c>
      <c r="AB1022" s="304">
        <f ca="1" t="shared" si="167"/>
        <v>1222</v>
      </c>
      <c r="AC1022" s="153">
        <v>3</v>
      </c>
      <c r="AE1022" s="153">
        <v>2</v>
      </c>
      <c r="AF1022" s="153" t="str">
        <f ca="1" t="shared" si="170"/>
        <v>20080011|</v>
      </c>
      <c r="AJ1022" s="205" t="str">
        <f ca="1" t="shared" si="168"/>
        <v>400023|13050|;</v>
      </c>
      <c r="AK1022" s="205">
        <f ca="1">OFFSET([1]item_type!$A$1,MATCH(Q1022,[1]item_type!$G:$G,0)-1,0)</f>
        <v>302008</v>
      </c>
      <c r="AL1022" s="205"/>
      <c r="AM1022" s="205">
        <f ca="1">IF(B1022=B1023,OFFSET(卡牌辅助配置表!$AE$1,MATCH(AB1022,卡牌辅助配置表!AB:AB,0),0),0)</f>
        <v>13050</v>
      </c>
      <c r="AN1022" s="153">
        <f ca="1" t="shared" si="169"/>
        <v>2008023</v>
      </c>
      <c r="AP1022" s="153" t="str">
        <f ca="1">IF(AC1022=0,0,IF(AC1022=12,0,OFFSET(effect!$N$1,MATCH(K1022,effect!M:M,0)-1,0)))</f>
        <v>kpsx_pt</v>
      </c>
    </row>
    <row r="1023" spans="1:42">
      <c r="A1023" s="153">
        <f ca="1" t="shared" si="165"/>
        <v>2008023</v>
      </c>
      <c r="B1023" s="91" t="s">
        <v>353</v>
      </c>
      <c r="C1023" s="186">
        <v>2</v>
      </c>
      <c r="D1023" s="186">
        <v>2</v>
      </c>
      <c r="E1023" s="165" t="s">
        <v>1058</v>
      </c>
      <c r="F1023" s="179" t="s">
        <v>1060</v>
      </c>
      <c r="G1023" s="186">
        <f ca="1">OFFSET(卡牌辅助配置表!$C$1,MATCH(AC1023,卡牌辅助配置表!A:A,0)-1,0)</f>
        <v>3</v>
      </c>
      <c r="H1023" s="186">
        <f ca="1">OFFSET(skill!$Q$1,MATCH(B1023,skill!B:B,0)-1,0)</f>
        <v>1</v>
      </c>
      <c r="I1023" s="186"/>
      <c r="J1023" s="186">
        <f ca="1">OFFSET(card_type!$F$1,MATCH(Q1023,card_type!A:A,0)-1,0)</f>
        <v>1</v>
      </c>
      <c r="K1023" s="243">
        <f ca="1">OFFSET(card_type!$G$1,MATCH(Q1023,card_type!A:A,0)-1,0)</f>
        <v>2</v>
      </c>
      <c r="L1023" s="157">
        <v>3</v>
      </c>
      <c r="M1023" s="157">
        <v>3</v>
      </c>
      <c r="N1023" s="153">
        <f t="shared" si="174"/>
        <v>23</v>
      </c>
      <c r="O1023" s="157"/>
      <c r="P1023" s="157"/>
      <c r="Q1023" s="153">
        <f ca="1">OFFSET(card_type!$A$1,MATCH(card!B1023,card_type!B:B,0)-1,0)</f>
        <v>2008</v>
      </c>
      <c r="R1023" s="153">
        <v>1</v>
      </c>
      <c r="S1023" s="157">
        <f ca="1">ROUND(IF(R1023=0,0,IF(R1023=1,X1023*$S$1,IF(R1023=2,X1023*$S$1*buff的资质计算!$E$2,IF(R1023=3,X1023*$S$1*buff的资质计算!$E$3,0)))),0)*0</f>
        <v>0</v>
      </c>
      <c r="T1023" s="153">
        <v>4</v>
      </c>
      <c r="U1023" s="153">
        <f ca="1" t="shared" si="166"/>
        <v>12</v>
      </c>
      <c r="V1023" s="153">
        <f ca="1">ROUND((OFFSET(卡牌辅助配置表!$O$1,MATCH(U1023,卡牌辅助配置表!M:M,0)-1,0)+(N1023-1)*OFFSET(卡牌辅助配置表!$P$1,MATCH(U1023,卡牌辅助配置表!M:M,0)-1,0))*M1023,2)</f>
        <v>49.4</v>
      </c>
      <c r="W1023" s="157">
        <f ca="1">ROUND(IF(R1023=0,0,IF(R1023=1,X1023*$W$1,IF(R1023=2,X1023*$W$1*buff的资质计算!$E$2,IF(R1023=3,X1023*$W$1*buff的资质计算!$E$3,0)))),2)</f>
        <v>12.3</v>
      </c>
      <c r="X1023" s="157">
        <f ca="1" t="shared" si="172"/>
        <v>41</v>
      </c>
      <c r="Y1023" s="157">
        <f ca="1" t="shared" si="171"/>
        <v>42</v>
      </c>
      <c r="Z1023" s="304">
        <f ca="1" t="shared" si="173"/>
        <v>14</v>
      </c>
      <c r="AA1023" s="304">
        <f ca="1">OFFSET(卡牌辅助配置表!$AD$1,MATCH(AB1023,卡牌辅助配置表!AB:AB,0)-1,0)</f>
        <v>1129</v>
      </c>
      <c r="AB1023" s="304">
        <f ca="1" t="shared" si="167"/>
        <v>1223</v>
      </c>
      <c r="AC1023" s="153">
        <v>3</v>
      </c>
      <c r="AE1023" s="153">
        <v>2</v>
      </c>
      <c r="AF1023" s="153" t="str">
        <f ca="1" t="shared" si="170"/>
        <v>20080011|</v>
      </c>
      <c r="AJ1023" s="205" t="str">
        <f ca="1" t="shared" si="168"/>
        <v>400023|14250|;</v>
      </c>
      <c r="AK1023" s="205">
        <f ca="1">OFFSET([1]item_type!$A$1,MATCH(Q1023,[1]item_type!$G:$G,0)-1,0)</f>
        <v>302008</v>
      </c>
      <c r="AL1023" s="205"/>
      <c r="AM1023" s="205">
        <f ca="1">IF(B1023=B1024,OFFSET(卡牌辅助配置表!$AE$1,MATCH(AB1023,卡牌辅助配置表!AB:AB,0),0),0)</f>
        <v>14250</v>
      </c>
      <c r="AN1023" s="153">
        <f ca="1" t="shared" si="169"/>
        <v>2008024</v>
      </c>
      <c r="AP1023" s="153" t="str">
        <f ca="1">IF(AC1023=0,0,IF(AC1023=12,0,OFFSET(effect!$N$1,MATCH(K1023,effect!M:M,0)-1,0)))</f>
        <v>kpsx_pt</v>
      </c>
    </row>
    <row r="1024" spans="1:42">
      <c r="A1024" s="153">
        <f ca="1" t="shared" si="165"/>
        <v>2008024</v>
      </c>
      <c r="B1024" s="91" t="s">
        <v>353</v>
      </c>
      <c r="C1024" s="186">
        <v>2</v>
      </c>
      <c r="D1024" s="186">
        <v>2</v>
      </c>
      <c r="E1024" s="165" t="s">
        <v>1058</v>
      </c>
      <c r="F1024" s="179" t="s">
        <v>1060</v>
      </c>
      <c r="G1024" s="186">
        <f ca="1">OFFSET(卡牌辅助配置表!$C$1,MATCH(AC1024,卡牌辅助配置表!A:A,0)-1,0)</f>
        <v>3</v>
      </c>
      <c r="H1024" s="186">
        <f ca="1">OFFSET(skill!$Q$1,MATCH(B1024,skill!B:B,0)-1,0)</f>
        <v>1</v>
      </c>
      <c r="I1024" s="186"/>
      <c r="J1024" s="186">
        <f ca="1">OFFSET(card_type!$F$1,MATCH(Q1024,card_type!A:A,0)-1,0)</f>
        <v>1</v>
      </c>
      <c r="K1024" s="243">
        <f ca="1">OFFSET(card_type!$G$1,MATCH(Q1024,card_type!A:A,0)-1,0)</f>
        <v>2</v>
      </c>
      <c r="L1024" s="157">
        <v>3</v>
      </c>
      <c r="M1024" s="157">
        <v>3</v>
      </c>
      <c r="N1024" s="153">
        <f t="shared" si="174"/>
        <v>24</v>
      </c>
      <c r="O1024" s="157"/>
      <c r="P1024" s="157"/>
      <c r="Q1024" s="153">
        <f ca="1">OFFSET(card_type!$A$1,MATCH(card!B1024,card_type!B:B,0)-1,0)</f>
        <v>2008</v>
      </c>
      <c r="R1024" s="153">
        <v>1</v>
      </c>
      <c r="S1024" s="157">
        <f ca="1">ROUND(IF(R1024=0,0,IF(R1024=1,X1024*$S$1,IF(R1024=2,X1024*$S$1*buff的资质计算!$E$2,IF(R1024=3,X1024*$S$1*buff的资质计算!$E$3,0)))),0)*0</f>
        <v>0</v>
      </c>
      <c r="T1024" s="153">
        <v>4</v>
      </c>
      <c r="U1024" s="153">
        <f ca="1" t="shared" si="166"/>
        <v>12</v>
      </c>
      <c r="V1024" s="153">
        <f ca="1">ROUND((OFFSET(卡牌辅助配置表!$O$1,MATCH(U1024,卡牌辅助配置表!M:M,0)-1,0)+(N1024-1)*OFFSET(卡牌辅助配置表!$P$1,MATCH(U1024,卡牌辅助配置表!M:M,0)-1,0))*M1024,2)</f>
        <v>50.35</v>
      </c>
      <c r="W1024" s="157">
        <f ca="1">ROUND(IF(R1024=0,0,IF(R1024=1,X1024*$W$1,IF(R1024=2,X1024*$W$1*buff的资质计算!$E$2,IF(R1024=3,X1024*$W$1*buff的资质计算!$E$3,0)))),2)</f>
        <v>12.45</v>
      </c>
      <c r="X1024" s="157">
        <f ca="1" t="shared" si="172"/>
        <v>41.5</v>
      </c>
      <c r="Y1024" s="157">
        <f ca="1" t="shared" si="171"/>
        <v>42.5</v>
      </c>
      <c r="Z1024" s="304">
        <f ca="1" t="shared" si="173"/>
        <v>14.1666666666667</v>
      </c>
      <c r="AA1024" s="304">
        <f ca="1">OFFSET(卡牌辅助配置表!$AD$1,MATCH(AB1024,卡牌辅助配置表!AB:AB,0)-1,0)</f>
        <v>1202</v>
      </c>
      <c r="AB1024" s="304">
        <f ca="1" t="shared" si="167"/>
        <v>1224</v>
      </c>
      <c r="AC1024" s="153">
        <v>3</v>
      </c>
      <c r="AE1024" s="153">
        <v>2</v>
      </c>
      <c r="AF1024" s="153" t="str">
        <f ca="1" t="shared" si="170"/>
        <v>20080011|</v>
      </c>
      <c r="AJ1024" s="205" t="str">
        <f ca="1" t="shared" si="168"/>
        <v>400023|15450|;</v>
      </c>
      <c r="AK1024" s="205">
        <f ca="1">OFFSET([1]item_type!$A$1,MATCH(Q1024,[1]item_type!$G:$G,0)-1,0)</f>
        <v>302008</v>
      </c>
      <c r="AL1024" s="205"/>
      <c r="AM1024" s="205">
        <f ca="1">IF(B1024=B1025,OFFSET(卡牌辅助配置表!$AE$1,MATCH(AB1024,卡牌辅助配置表!AB:AB,0),0),0)</f>
        <v>15450</v>
      </c>
      <c r="AN1024" s="153">
        <f ca="1" t="shared" si="169"/>
        <v>2008025</v>
      </c>
      <c r="AP1024" s="153" t="str">
        <f ca="1">IF(AC1024=0,0,IF(AC1024=12,0,OFFSET(effect!$N$1,MATCH(K1024,effect!M:M,0)-1,0)))</f>
        <v>kpsx_pt</v>
      </c>
    </row>
    <row r="1025" spans="1:42">
      <c r="A1025" s="153">
        <f ca="1" t="shared" si="165"/>
        <v>2008025</v>
      </c>
      <c r="B1025" s="91" t="s">
        <v>353</v>
      </c>
      <c r="C1025" s="186">
        <v>2</v>
      </c>
      <c r="D1025" s="186">
        <v>2</v>
      </c>
      <c r="E1025" s="165" t="s">
        <v>1058</v>
      </c>
      <c r="F1025" s="179" t="s">
        <v>1060</v>
      </c>
      <c r="G1025" s="186">
        <f ca="1">OFFSET(卡牌辅助配置表!$C$1,MATCH(AC1025,卡牌辅助配置表!A:A,0)-1,0)</f>
        <v>3</v>
      </c>
      <c r="H1025" s="186">
        <f ca="1">OFFSET(skill!$Q$1,MATCH(B1025,skill!B:B,0)-1,0)</f>
        <v>1</v>
      </c>
      <c r="I1025" s="186"/>
      <c r="J1025" s="186">
        <f ca="1">OFFSET(card_type!$F$1,MATCH(Q1025,card_type!A:A,0)-1,0)</f>
        <v>1</v>
      </c>
      <c r="K1025" s="243">
        <f ca="1">OFFSET(card_type!$G$1,MATCH(Q1025,card_type!A:A,0)-1,0)</f>
        <v>2</v>
      </c>
      <c r="L1025" s="157">
        <v>3</v>
      </c>
      <c r="M1025" s="157">
        <v>3</v>
      </c>
      <c r="N1025" s="153">
        <f t="shared" si="174"/>
        <v>25</v>
      </c>
      <c r="O1025" s="157"/>
      <c r="P1025" s="157"/>
      <c r="Q1025" s="153">
        <f ca="1">OFFSET(card_type!$A$1,MATCH(card!B1025,card_type!B:B,0)-1,0)</f>
        <v>2008</v>
      </c>
      <c r="R1025" s="153">
        <v>1</v>
      </c>
      <c r="S1025" s="157">
        <f ca="1">ROUND(IF(R1025=0,0,IF(R1025=1,X1025*$S$1,IF(R1025=2,X1025*$S$1*buff的资质计算!$E$2,IF(R1025=3,X1025*$S$1*buff的资质计算!$E$3,0)))),0)*0</f>
        <v>0</v>
      </c>
      <c r="T1025" s="153">
        <v>4</v>
      </c>
      <c r="U1025" s="153">
        <f ca="1" t="shared" si="166"/>
        <v>12</v>
      </c>
      <c r="V1025" s="153">
        <f ca="1">ROUND((OFFSET(卡牌辅助配置表!$O$1,MATCH(U1025,卡牌辅助配置表!M:M,0)-1,0)+(N1025-1)*OFFSET(卡牌辅助配置表!$P$1,MATCH(U1025,卡牌辅助配置表!M:M,0)-1,0))*M1025,2)</f>
        <v>51.3</v>
      </c>
      <c r="W1025" s="157">
        <f ca="1">ROUND(IF(R1025=0,0,IF(R1025=1,X1025*$W$1,IF(R1025=2,X1025*$W$1*buff的资质计算!$E$2,IF(R1025=3,X1025*$W$1*buff的资质计算!$E$3,0)))),2)</f>
        <v>12.6</v>
      </c>
      <c r="X1025" s="157">
        <f ca="1" t="shared" si="172"/>
        <v>42</v>
      </c>
      <c r="Y1025" s="157">
        <f ca="1" t="shared" si="171"/>
        <v>43</v>
      </c>
      <c r="Z1025" s="304">
        <f ca="1" t="shared" si="173"/>
        <v>14.3333333333333</v>
      </c>
      <c r="AA1025" s="304">
        <f ca="1">OFFSET(卡牌辅助配置表!$AD$1,MATCH(AB1025,卡牌辅助配置表!AB:AB,0)-1,0)</f>
        <v>1275</v>
      </c>
      <c r="AB1025" s="304">
        <f ca="1" t="shared" si="167"/>
        <v>1225</v>
      </c>
      <c r="AC1025" s="153">
        <v>3</v>
      </c>
      <c r="AE1025" s="153">
        <v>2</v>
      </c>
      <c r="AF1025" s="153" t="str">
        <f ca="1" t="shared" si="170"/>
        <v>20080011|</v>
      </c>
      <c r="AJ1025" s="205" t="str">
        <f ca="1" t="shared" si="168"/>
        <v>400023|16650|;</v>
      </c>
      <c r="AK1025" s="205">
        <f ca="1">OFFSET([1]item_type!$A$1,MATCH(Q1025,[1]item_type!$G:$G,0)-1,0)</f>
        <v>302008</v>
      </c>
      <c r="AL1025" s="205"/>
      <c r="AM1025" s="205">
        <f ca="1">IF(B1025=B1026,OFFSET(卡牌辅助配置表!$AE$1,MATCH(AB1025,卡牌辅助配置表!AB:AB,0),0),0)</f>
        <v>16650</v>
      </c>
      <c r="AN1025" s="153">
        <f ca="1" t="shared" si="169"/>
        <v>2008026</v>
      </c>
      <c r="AP1025" s="153" t="str">
        <f ca="1">IF(AC1025=0,0,IF(AC1025=12,0,OFFSET(effect!$N$1,MATCH(K1025,effect!M:M,0)-1,0)))</f>
        <v>kpsx_pt</v>
      </c>
    </row>
    <row r="1026" spans="1:42">
      <c r="A1026" s="153">
        <f ca="1" t="shared" si="165"/>
        <v>2008026</v>
      </c>
      <c r="B1026" s="91" t="s">
        <v>353</v>
      </c>
      <c r="C1026" s="186">
        <v>2</v>
      </c>
      <c r="D1026" s="186">
        <v>2</v>
      </c>
      <c r="E1026" s="165" t="s">
        <v>1058</v>
      </c>
      <c r="F1026" s="179" t="s">
        <v>1060</v>
      </c>
      <c r="G1026" s="186">
        <f ca="1">OFFSET(卡牌辅助配置表!$C$1,MATCH(AC1026,卡牌辅助配置表!A:A,0)-1,0)</f>
        <v>3</v>
      </c>
      <c r="H1026" s="186">
        <f ca="1">OFFSET(skill!$Q$1,MATCH(B1026,skill!B:B,0)-1,0)</f>
        <v>1</v>
      </c>
      <c r="I1026" s="186"/>
      <c r="J1026" s="186">
        <f ca="1">OFFSET(card_type!$F$1,MATCH(Q1026,card_type!A:A,0)-1,0)</f>
        <v>1</v>
      </c>
      <c r="K1026" s="243">
        <f ca="1">OFFSET(card_type!$G$1,MATCH(Q1026,card_type!A:A,0)-1,0)</f>
        <v>2</v>
      </c>
      <c r="L1026" s="157">
        <v>3</v>
      </c>
      <c r="M1026" s="157">
        <v>3</v>
      </c>
      <c r="N1026" s="153">
        <f t="shared" si="174"/>
        <v>26</v>
      </c>
      <c r="O1026" s="157"/>
      <c r="P1026" s="157"/>
      <c r="Q1026" s="153">
        <f ca="1">OFFSET(card_type!$A$1,MATCH(card!B1026,card_type!B:B,0)-1,0)</f>
        <v>2008</v>
      </c>
      <c r="R1026" s="153">
        <v>1</v>
      </c>
      <c r="S1026" s="157">
        <f ca="1">ROUND(IF(R1026=0,0,IF(R1026=1,X1026*$S$1,IF(R1026=2,X1026*$S$1*buff的资质计算!$E$2,IF(R1026=3,X1026*$S$1*buff的资质计算!$E$3,0)))),0)*0</f>
        <v>0</v>
      </c>
      <c r="T1026" s="153">
        <v>4</v>
      </c>
      <c r="U1026" s="153">
        <f ca="1" t="shared" si="166"/>
        <v>12</v>
      </c>
      <c r="V1026" s="153">
        <f ca="1">ROUND((OFFSET(卡牌辅助配置表!$O$1,MATCH(U1026,卡牌辅助配置表!M:M,0)-1,0)+(N1026-1)*OFFSET(卡牌辅助配置表!$P$1,MATCH(U1026,卡牌辅助配置表!M:M,0)-1,0))*M1026,2)</f>
        <v>52.25</v>
      </c>
      <c r="W1026" s="157">
        <f ca="1">ROUND(IF(R1026=0,0,IF(R1026=1,X1026*$W$1,IF(R1026=2,X1026*$W$1*buff的资质计算!$E$2,IF(R1026=3,X1026*$W$1*buff的资质计算!$E$3,0)))),2)</f>
        <v>12.75</v>
      </c>
      <c r="X1026" s="157">
        <f ca="1" t="shared" si="172"/>
        <v>42.5</v>
      </c>
      <c r="Y1026" s="157">
        <f ca="1" t="shared" si="171"/>
        <v>43.5</v>
      </c>
      <c r="Z1026" s="304">
        <f ca="1" t="shared" si="173"/>
        <v>14.5</v>
      </c>
      <c r="AA1026" s="304">
        <f ca="1">OFFSET(卡牌辅助配置表!$AD$1,MATCH(AB1026,卡牌辅助配置表!AB:AB,0)-1,0)</f>
        <v>1348</v>
      </c>
      <c r="AB1026" s="304">
        <f ca="1" t="shared" si="167"/>
        <v>1226</v>
      </c>
      <c r="AC1026" s="153">
        <v>3</v>
      </c>
      <c r="AE1026" s="153">
        <v>2</v>
      </c>
      <c r="AF1026" s="153" t="str">
        <f ca="1" t="shared" si="170"/>
        <v>20080011|</v>
      </c>
      <c r="AJ1026" s="205" t="str">
        <f ca="1" t="shared" si="168"/>
        <v>400023|17850|;</v>
      </c>
      <c r="AK1026" s="205">
        <f ca="1">OFFSET([1]item_type!$A$1,MATCH(Q1026,[1]item_type!$G:$G,0)-1,0)</f>
        <v>302008</v>
      </c>
      <c r="AL1026" s="205"/>
      <c r="AM1026" s="205">
        <f ca="1">IF(B1026=B1027,OFFSET(卡牌辅助配置表!$AE$1,MATCH(AB1026,卡牌辅助配置表!AB:AB,0),0),0)</f>
        <v>17850</v>
      </c>
      <c r="AN1026" s="153">
        <f ca="1" t="shared" si="169"/>
        <v>2008027</v>
      </c>
      <c r="AP1026" s="153" t="str">
        <f ca="1">IF(AC1026=0,0,IF(AC1026=12,0,OFFSET(effect!$N$1,MATCH(K1026,effect!M:M,0)-1,0)))</f>
        <v>kpsx_pt</v>
      </c>
    </row>
    <row r="1027" spans="1:42">
      <c r="A1027" s="153">
        <f ca="1" t="shared" si="165"/>
        <v>2008027</v>
      </c>
      <c r="B1027" s="91" t="s">
        <v>353</v>
      </c>
      <c r="C1027" s="186">
        <v>2</v>
      </c>
      <c r="D1027" s="186">
        <v>2</v>
      </c>
      <c r="E1027" s="165" t="s">
        <v>1058</v>
      </c>
      <c r="F1027" s="179" t="s">
        <v>1060</v>
      </c>
      <c r="G1027" s="186">
        <f ca="1">OFFSET(卡牌辅助配置表!$C$1,MATCH(AC1027,卡牌辅助配置表!A:A,0)-1,0)</f>
        <v>3</v>
      </c>
      <c r="H1027" s="186">
        <f ca="1">OFFSET(skill!$Q$1,MATCH(B1027,skill!B:B,0)-1,0)</f>
        <v>1</v>
      </c>
      <c r="I1027" s="186"/>
      <c r="J1027" s="186">
        <f ca="1">OFFSET(card_type!$F$1,MATCH(Q1027,card_type!A:A,0)-1,0)</f>
        <v>1</v>
      </c>
      <c r="K1027" s="243">
        <f ca="1">OFFSET(card_type!$G$1,MATCH(Q1027,card_type!A:A,0)-1,0)</f>
        <v>2</v>
      </c>
      <c r="L1027" s="157">
        <v>3</v>
      </c>
      <c r="M1027" s="157">
        <v>3</v>
      </c>
      <c r="N1027" s="153">
        <f t="shared" si="174"/>
        <v>27</v>
      </c>
      <c r="O1027" s="157"/>
      <c r="P1027" s="157"/>
      <c r="Q1027" s="153">
        <f ca="1">OFFSET(card_type!$A$1,MATCH(card!B1027,card_type!B:B,0)-1,0)</f>
        <v>2008</v>
      </c>
      <c r="R1027" s="153">
        <v>1</v>
      </c>
      <c r="S1027" s="157">
        <f ca="1">ROUND(IF(R1027=0,0,IF(R1027=1,X1027*$S$1,IF(R1027=2,X1027*$S$1*buff的资质计算!$E$2,IF(R1027=3,X1027*$S$1*buff的资质计算!$E$3,0)))),0)*0</f>
        <v>0</v>
      </c>
      <c r="T1027" s="153">
        <v>4</v>
      </c>
      <c r="U1027" s="153">
        <f ca="1" t="shared" si="166"/>
        <v>12</v>
      </c>
      <c r="V1027" s="153">
        <f ca="1">ROUND((OFFSET(卡牌辅助配置表!$O$1,MATCH(U1027,卡牌辅助配置表!M:M,0)-1,0)+(N1027-1)*OFFSET(卡牌辅助配置表!$P$1,MATCH(U1027,卡牌辅助配置表!M:M,0)-1,0))*M1027,2)</f>
        <v>53.2</v>
      </c>
      <c r="W1027" s="157">
        <f ca="1">ROUND(IF(R1027=0,0,IF(R1027=1,X1027*$W$1,IF(R1027=2,X1027*$W$1*buff的资质计算!$E$2,IF(R1027=3,X1027*$W$1*buff的资质计算!$E$3,0)))),2)</f>
        <v>12.9</v>
      </c>
      <c r="X1027" s="157">
        <f ca="1" t="shared" si="172"/>
        <v>43</v>
      </c>
      <c r="Y1027" s="157">
        <f ca="1" t="shared" si="171"/>
        <v>44</v>
      </c>
      <c r="Z1027" s="304">
        <f ca="1" t="shared" si="173"/>
        <v>14.6666666666667</v>
      </c>
      <c r="AA1027" s="304">
        <f ca="1">OFFSET(卡牌辅助配置表!$AD$1,MATCH(AB1027,卡牌辅助配置表!AB:AB,0)-1,0)</f>
        <v>1421</v>
      </c>
      <c r="AB1027" s="304">
        <f ca="1" t="shared" si="167"/>
        <v>1227</v>
      </c>
      <c r="AC1027" s="153">
        <v>3</v>
      </c>
      <c r="AE1027" s="153">
        <v>2</v>
      </c>
      <c r="AF1027" s="153" t="str">
        <f ca="1" t="shared" si="170"/>
        <v>20080011|</v>
      </c>
      <c r="AJ1027" s="205" t="str">
        <f ca="1" t="shared" si="168"/>
        <v>400023|19050|;</v>
      </c>
      <c r="AK1027" s="205">
        <f ca="1">OFFSET([1]item_type!$A$1,MATCH(Q1027,[1]item_type!$G:$G,0)-1,0)</f>
        <v>302008</v>
      </c>
      <c r="AL1027" s="205"/>
      <c r="AM1027" s="205">
        <f ca="1">IF(B1027=B1028,OFFSET(卡牌辅助配置表!$AE$1,MATCH(AB1027,卡牌辅助配置表!AB:AB,0),0),0)</f>
        <v>19050</v>
      </c>
      <c r="AN1027" s="153">
        <f ca="1" t="shared" si="169"/>
        <v>2008028</v>
      </c>
      <c r="AP1027" s="153" t="str">
        <f ca="1">IF(AC1027=0,0,IF(AC1027=12,0,OFFSET(effect!$N$1,MATCH(K1027,effect!M:M,0)-1,0)))</f>
        <v>kpsx_pt</v>
      </c>
    </row>
    <row r="1028" spans="1:42">
      <c r="A1028" s="153">
        <f ca="1" t="shared" si="165"/>
        <v>2008028</v>
      </c>
      <c r="B1028" s="91" t="s">
        <v>353</v>
      </c>
      <c r="C1028" s="186">
        <v>2</v>
      </c>
      <c r="D1028" s="186">
        <v>2</v>
      </c>
      <c r="E1028" s="165" t="s">
        <v>1058</v>
      </c>
      <c r="F1028" s="179" t="s">
        <v>1060</v>
      </c>
      <c r="G1028" s="186">
        <f ca="1">OFFSET(卡牌辅助配置表!$C$1,MATCH(AC1028,卡牌辅助配置表!A:A,0)-1,0)</f>
        <v>3</v>
      </c>
      <c r="H1028" s="186">
        <f ca="1">OFFSET(skill!$Q$1,MATCH(B1028,skill!B:B,0)-1,0)</f>
        <v>1</v>
      </c>
      <c r="I1028" s="186"/>
      <c r="J1028" s="186">
        <f ca="1">OFFSET(card_type!$F$1,MATCH(Q1028,card_type!A:A,0)-1,0)</f>
        <v>1</v>
      </c>
      <c r="K1028" s="243">
        <f ca="1">OFFSET(card_type!$G$1,MATCH(Q1028,card_type!A:A,0)-1,0)</f>
        <v>2</v>
      </c>
      <c r="L1028" s="157">
        <v>3</v>
      </c>
      <c r="M1028" s="157">
        <v>3</v>
      </c>
      <c r="N1028" s="153">
        <f t="shared" si="174"/>
        <v>28</v>
      </c>
      <c r="O1028" s="157"/>
      <c r="P1028" s="157"/>
      <c r="Q1028" s="153">
        <f ca="1">OFFSET(card_type!$A$1,MATCH(card!B1028,card_type!B:B,0)-1,0)</f>
        <v>2008</v>
      </c>
      <c r="R1028" s="153">
        <v>1</v>
      </c>
      <c r="S1028" s="157">
        <f ca="1">ROUND(IF(R1028=0,0,IF(R1028=1,X1028*$S$1,IF(R1028=2,X1028*$S$1*buff的资质计算!$E$2,IF(R1028=3,X1028*$S$1*buff的资质计算!$E$3,0)))),0)*0</f>
        <v>0</v>
      </c>
      <c r="T1028" s="153">
        <v>4</v>
      </c>
      <c r="U1028" s="153">
        <f ca="1" t="shared" si="166"/>
        <v>12</v>
      </c>
      <c r="V1028" s="153">
        <f ca="1">ROUND((OFFSET(卡牌辅助配置表!$O$1,MATCH(U1028,卡牌辅助配置表!M:M,0)-1,0)+(N1028-1)*OFFSET(卡牌辅助配置表!$P$1,MATCH(U1028,卡牌辅助配置表!M:M,0)-1,0))*M1028,2)</f>
        <v>54.15</v>
      </c>
      <c r="W1028" s="157">
        <f ca="1">ROUND(IF(R1028=0,0,IF(R1028=1,X1028*$W$1,IF(R1028=2,X1028*$W$1*buff的资质计算!$E$2,IF(R1028=3,X1028*$W$1*buff的资质计算!$E$3,0)))),2)</f>
        <v>13.05</v>
      </c>
      <c r="X1028" s="157">
        <f ca="1" t="shared" si="172"/>
        <v>43.5</v>
      </c>
      <c r="Y1028" s="157">
        <f ca="1" t="shared" si="171"/>
        <v>44.5</v>
      </c>
      <c r="Z1028" s="304">
        <f ca="1" t="shared" si="173"/>
        <v>14.8333333333333</v>
      </c>
      <c r="AA1028" s="304">
        <f ca="1">OFFSET(卡牌辅助配置表!$AD$1,MATCH(AB1028,卡牌辅助配置表!AB:AB,0)-1,0)</f>
        <v>1494</v>
      </c>
      <c r="AB1028" s="304">
        <f ca="1" t="shared" si="167"/>
        <v>1228</v>
      </c>
      <c r="AC1028" s="153">
        <v>3</v>
      </c>
      <c r="AE1028" s="153">
        <v>2</v>
      </c>
      <c r="AF1028" s="153" t="str">
        <f ca="1" t="shared" si="170"/>
        <v>20080011|</v>
      </c>
      <c r="AJ1028" s="205" t="str">
        <f ca="1" t="shared" si="168"/>
        <v>400023|20250|;</v>
      </c>
      <c r="AK1028" s="205">
        <f ca="1">OFFSET([1]item_type!$A$1,MATCH(Q1028,[1]item_type!$G:$G,0)-1,0)</f>
        <v>302008</v>
      </c>
      <c r="AL1028" s="205"/>
      <c r="AM1028" s="205">
        <f ca="1">IF(B1028=B1029,OFFSET(卡牌辅助配置表!$AE$1,MATCH(AB1028,卡牌辅助配置表!AB:AB,0),0),0)</f>
        <v>20250</v>
      </c>
      <c r="AN1028" s="153">
        <f ca="1" t="shared" si="169"/>
        <v>2008029</v>
      </c>
      <c r="AP1028" s="153" t="str">
        <f ca="1">IF(AC1028=0,0,IF(AC1028=12,0,OFFSET(effect!$N$1,MATCH(K1028,effect!M:M,0)-1,0)))</f>
        <v>kpsx_pt</v>
      </c>
    </row>
    <row r="1029" spans="1:42">
      <c r="A1029" s="153">
        <f ca="1" t="shared" si="165"/>
        <v>2008029</v>
      </c>
      <c r="B1029" s="91" t="s">
        <v>353</v>
      </c>
      <c r="C1029" s="186">
        <v>2</v>
      </c>
      <c r="D1029" s="186">
        <v>2</v>
      </c>
      <c r="E1029" s="165" t="s">
        <v>1058</v>
      </c>
      <c r="F1029" s="179" t="s">
        <v>1060</v>
      </c>
      <c r="G1029" s="186">
        <f ca="1">OFFSET(卡牌辅助配置表!$C$1,MATCH(AC1029,卡牌辅助配置表!A:A,0)-1,0)</f>
        <v>3</v>
      </c>
      <c r="H1029" s="186">
        <f ca="1">OFFSET(skill!$Q$1,MATCH(B1029,skill!B:B,0)-1,0)</f>
        <v>1</v>
      </c>
      <c r="I1029" s="186"/>
      <c r="J1029" s="186">
        <f ca="1">OFFSET(card_type!$F$1,MATCH(Q1029,card_type!A:A,0)-1,0)</f>
        <v>1</v>
      </c>
      <c r="K1029" s="243">
        <f ca="1">OFFSET(card_type!$G$1,MATCH(Q1029,card_type!A:A,0)-1,0)</f>
        <v>2</v>
      </c>
      <c r="L1029" s="157">
        <v>3</v>
      </c>
      <c r="M1029" s="157">
        <v>3</v>
      </c>
      <c r="N1029" s="153">
        <f t="shared" si="174"/>
        <v>29</v>
      </c>
      <c r="O1029" s="157"/>
      <c r="P1029" s="157"/>
      <c r="Q1029" s="153">
        <f ca="1">OFFSET(card_type!$A$1,MATCH(card!B1029,card_type!B:B,0)-1,0)</f>
        <v>2008</v>
      </c>
      <c r="R1029" s="153">
        <v>1</v>
      </c>
      <c r="S1029" s="157">
        <f ca="1">ROUND(IF(R1029=0,0,IF(R1029=1,X1029*$S$1,IF(R1029=2,X1029*$S$1*buff的资质计算!$E$2,IF(R1029=3,X1029*$S$1*buff的资质计算!$E$3,0)))),0)*0</f>
        <v>0</v>
      </c>
      <c r="T1029" s="153">
        <v>4</v>
      </c>
      <c r="U1029" s="153">
        <f ca="1" t="shared" si="166"/>
        <v>12</v>
      </c>
      <c r="V1029" s="153">
        <f ca="1">ROUND((OFFSET(卡牌辅助配置表!$O$1,MATCH(U1029,卡牌辅助配置表!M:M,0)-1,0)+(N1029-1)*OFFSET(卡牌辅助配置表!$P$1,MATCH(U1029,卡牌辅助配置表!M:M,0)-1,0))*M1029,2)</f>
        <v>55.1</v>
      </c>
      <c r="W1029" s="157">
        <f ca="1">ROUND(IF(R1029=0,0,IF(R1029=1,X1029*$W$1,IF(R1029=2,X1029*$W$1*buff的资质计算!$E$2,IF(R1029=3,X1029*$W$1*buff的资质计算!$E$3,0)))),2)</f>
        <v>13.2</v>
      </c>
      <c r="X1029" s="157">
        <f ca="1" t="shared" si="172"/>
        <v>44</v>
      </c>
      <c r="Y1029" s="157">
        <f ca="1" t="shared" si="171"/>
        <v>45</v>
      </c>
      <c r="Z1029" s="304">
        <f ca="1" t="shared" si="173"/>
        <v>15</v>
      </c>
      <c r="AA1029" s="304">
        <f ca="1">OFFSET(卡牌辅助配置表!$AD$1,MATCH(AB1029,卡牌辅助配置表!AB:AB,0)-1,0)</f>
        <v>1567</v>
      </c>
      <c r="AB1029" s="304">
        <f ca="1" t="shared" si="167"/>
        <v>1229</v>
      </c>
      <c r="AC1029" s="153">
        <v>3</v>
      </c>
      <c r="AE1029" s="153">
        <v>2</v>
      </c>
      <c r="AF1029" s="153" t="str">
        <f ca="1" t="shared" si="170"/>
        <v>20080011|</v>
      </c>
      <c r="AJ1029" s="205" t="str">
        <f ca="1" t="shared" si="168"/>
        <v>302008|30|;400023|21450|;</v>
      </c>
      <c r="AK1029" s="205">
        <f ca="1">OFFSET([1]item_type!$A$1,MATCH(Q1029,[1]item_type!$G:$G,0)-1,0)</f>
        <v>302008</v>
      </c>
      <c r="AL1029" s="205">
        <v>30</v>
      </c>
      <c r="AM1029" s="205">
        <f ca="1">IF(B1029=B1030,OFFSET(卡牌辅助配置表!$AE$1,MATCH(AB1029,卡牌辅助配置表!AB:AB,0),0),0)</f>
        <v>21450</v>
      </c>
      <c r="AN1029" s="153">
        <f ca="1" t="shared" si="169"/>
        <v>2008030</v>
      </c>
      <c r="AP1029" s="153" t="str">
        <f ca="1">IF(AC1029=0,0,IF(AC1029=12,0,OFFSET(effect!$N$1,MATCH(K1029,effect!M:M,0)-1,0)))</f>
        <v>kpsx_pt</v>
      </c>
    </row>
    <row r="1030" spans="1:42">
      <c r="A1030" s="153">
        <f ca="1" t="shared" ref="A1030:A1093" si="175">Q1030*1000+N1030</f>
        <v>2008030</v>
      </c>
      <c r="B1030" s="91" t="s">
        <v>353</v>
      </c>
      <c r="C1030" s="186">
        <v>2</v>
      </c>
      <c r="D1030" s="186">
        <v>2</v>
      </c>
      <c r="E1030" s="165" t="s">
        <v>1058</v>
      </c>
      <c r="F1030" s="179" t="s">
        <v>1060</v>
      </c>
      <c r="G1030" s="186">
        <f ca="1">OFFSET(卡牌辅助配置表!$C$1,MATCH(AC1030,卡牌辅助配置表!A:A,0)-1,0)</f>
        <v>3</v>
      </c>
      <c r="H1030" s="186">
        <f ca="1">OFFSET(skill!$Q$1,MATCH(B1030,skill!B:B,0)-1,0)</f>
        <v>1</v>
      </c>
      <c r="I1030" s="186"/>
      <c r="J1030" s="186">
        <f ca="1">OFFSET(card_type!$F$1,MATCH(Q1030,card_type!A:A,0)-1,0)</f>
        <v>1</v>
      </c>
      <c r="K1030" s="243">
        <f ca="1">OFFSET(card_type!$G$1,MATCH(Q1030,card_type!A:A,0)-1,0)</f>
        <v>2</v>
      </c>
      <c r="L1030" s="157">
        <v>3</v>
      </c>
      <c r="M1030" s="157">
        <v>3</v>
      </c>
      <c r="N1030" s="153">
        <f t="shared" si="174"/>
        <v>30</v>
      </c>
      <c r="O1030" s="157"/>
      <c r="P1030" s="157"/>
      <c r="Q1030" s="153">
        <f ca="1">OFFSET(card_type!$A$1,MATCH(card!B1030,card_type!B:B,0)-1,0)</f>
        <v>2008</v>
      </c>
      <c r="R1030" s="153">
        <v>1</v>
      </c>
      <c r="S1030" s="157">
        <f ca="1">ROUND(IF(R1030=0,0,IF(R1030=1,X1030*$S$1,IF(R1030=2,X1030*$S$1*buff的资质计算!$E$2,IF(R1030=3,X1030*$S$1*buff的资质计算!$E$3,0)))),0)*0</f>
        <v>0</v>
      </c>
      <c r="T1030" s="153">
        <v>4</v>
      </c>
      <c r="U1030" s="153">
        <f ca="1" t="shared" ref="U1030:U1093" si="176">J1030*10+K1030</f>
        <v>12</v>
      </c>
      <c r="V1030" s="153">
        <f ca="1">ROUND((OFFSET(卡牌辅助配置表!$O$1,MATCH(U1030,卡牌辅助配置表!M:M,0)-1,0)+(N1030-1)*OFFSET(卡牌辅助配置表!$P$1,MATCH(U1030,卡牌辅助配置表!M:M,0)-1,0))*M1030,2)</f>
        <v>56.05</v>
      </c>
      <c r="W1030" s="157">
        <f ca="1">ROUND(IF(R1030=0,0,IF(R1030=1,X1030*$W$1,IF(R1030=2,X1030*$W$1*buff的资质计算!$E$2,IF(R1030=3,X1030*$W$1*buff的资质计算!$E$3,0)))),2)</f>
        <v>13.35</v>
      </c>
      <c r="X1030" s="157">
        <f ca="1" t="shared" si="172"/>
        <v>44.5</v>
      </c>
      <c r="Y1030" s="157">
        <f ca="1" t="shared" si="171"/>
        <v>45.5</v>
      </c>
      <c r="Z1030" s="304">
        <f ca="1" t="shared" si="173"/>
        <v>15.1666666666667</v>
      </c>
      <c r="AA1030" s="304">
        <f ca="1">OFFSET(卡牌辅助配置表!$AD$1,MATCH(AB1030,卡牌辅助配置表!AB:AB,0)-1,0)</f>
        <v>1640</v>
      </c>
      <c r="AB1030" s="304">
        <f ca="1" t="shared" ref="AB1030:AB1093" si="177">J1030*1000+K1030*100+N1030</f>
        <v>1230</v>
      </c>
      <c r="AC1030" s="153">
        <v>3</v>
      </c>
      <c r="AE1030" s="153">
        <v>2</v>
      </c>
      <c r="AF1030" s="153" t="str">
        <f ca="1" t="shared" si="170"/>
        <v>20080011|</v>
      </c>
      <c r="AJ1030" s="205">
        <f ca="1" t="shared" ref="AJ1030:AJ1093" si="178">IF(AN1030=0,0,IF(AL1030=0,$AM$1&amp;$AF$1&amp;AM1030&amp;$AF$1&amp;$AJ$1,AK1030&amp;$AF$1&amp;AL1030&amp;$AF$1&amp;$AJ$1&amp;$AM$1&amp;$AF$1&amp;AM1030&amp;$AF$1&amp;$AJ$1))</f>
        <v>0</v>
      </c>
      <c r="AK1030" s="205">
        <f ca="1">OFFSET([1]item_type!$A$1,MATCH(Q1030,[1]item_type!$G:$G,0)-1,0)</f>
        <v>302008</v>
      </c>
      <c r="AL1030" s="205"/>
      <c r="AM1030" s="205">
        <f ca="1">IF(B1030=B1031,OFFSET(卡牌辅助配置表!$AE$1,MATCH(AB1030,卡牌辅助配置表!AB:AB,0),0),0)</f>
        <v>0</v>
      </c>
      <c r="AN1030" s="153">
        <f ca="1" t="shared" ref="AN1030:AN1093" si="179">IF(B1030=B1031,A1030+1,0)</f>
        <v>0</v>
      </c>
      <c r="AP1030" s="153" t="str">
        <f ca="1">IF(AC1030=0,0,IF(AC1030=12,0,OFFSET(effect!$N$1,MATCH(K1030,effect!M:M,0)-1,0)))</f>
        <v>kpsx_pt</v>
      </c>
    </row>
    <row r="1031" spans="1:42">
      <c r="A1031" s="153">
        <f ca="1" t="shared" si="175"/>
        <v>2009001</v>
      </c>
      <c r="B1031" s="91" t="s">
        <v>295</v>
      </c>
      <c r="C1031" s="186">
        <v>2</v>
      </c>
      <c r="D1031" s="186">
        <v>1</v>
      </c>
      <c r="E1031" s="165" t="s">
        <v>1058</v>
      </c>
      <c r="F1031" s="179" t="s">
        <v>1061</v>
      </c>
      <c r="G1031" s="186">
        <f ca="1">OFFSET(卡牌辅助配置表!$C$1,MATCH(AC1031,卡牌辅助配置表!A:A,0)-1,0)</f>
        <v>0</v>
      </c>
      <c r="H1031" s="186" t="e">
        <f ca="1">OFFSET(skill!$Q$1,MATCH(B1031,skill!B:B,0)-1,0)</f>
        <v>#VALUE!</v>
      </c>
      <c r="I1031" s="186"/>
      <c r="J1031" s="186">
        <f ca="1">OFFSET(card_type!$F$1,MATCH(Q1031,card_type!A:A,0)-1,0)</f>
        <v>1</v>
      </c>
      <c r="K1031" s="243">
        <f ca="1">OFFSET(card_type!$G$1,MATCH(Q1031,card_type!A:A,0)-1,0)</f>
        <v>3</v>
      </c>
      <c r="L1031" s="157">
        <v>3</v>
      </c>
      <c r="M1031" s="157">
        <v>3</v>
      </c>
      <c r="N1031" s="153">
        <f t="shared" si="174"/>
        <v>1</v>
      </c>
      <c r="O1031" s="157"/>
      <c r="P1031" s="157"/>
      <c r="Q1031" s="153">
        <f ca="1">OFFSET(card_type!$A$1,MATCH(card!B1031,card_type!B:B,0)-1,0)</f>
        <v>2009</v>
      </c>
      <c r="R1031" s="153">
        <v>1</v>
      </c>
      <c r="S1031" s="157">
        <f ca="1">ROUND(IF(R1031=0,0,IF(R1031=1,X1031*$S$1,IF(R1031=2,X1031*$S$1*buff的资质计算!$E$2,IF(R1031=3,X1031*$S$1*buff的资质计算!$E$3,0)))),0)*0</f>
        <v>0</v>
      </c>
      <c r="T1031" s="153">
        <v>4</v>
      </c>
      <c r="U1031" s="153">
        <f ca="1" t="shared" si="176"/>
        <v>13</v>
      </c>
      <c r="V1031" s="153">
        <f ca="1">ROUND((OFFSET(卡牌辅助配置表!$O$1,MATCH(U1031,卡牌辅助配置表!M:M,0)-1,0)+(N1031-1)*OFFSET(卡牌辅助配置表!$P$1,MATCH(U1031,卡牌辅助配置表!M:M,0)-1,0))*M1031,2)</f>
        <v>45.6</v>
      </c>
      <c r="W1031" s="157">
        <f ca="1">ROUND(IF(R1031=0,0,IF(R1031=1,X1031*$W$1,IF(R1031=2,X1031*$W$1*buff的资质计算!$E$2,IF(R1031=3,X1031*$W$1*buff的资质计算!$E$3,0)))),2)</f>
        <v>11.7</v>
      </c>
      <c r="X1031" s="157">
        <f ca="1" t="shared" si="172"/>
        <v>39</v>
      </c>
      <c r="Y1031" s="157" t="e">
        <f ca="1" t="shared" si="171"/>
        <v>#VALUE!</v>
      </c>
      <c r="Z1031" s="304" t="e">
        <f ca="1" t="shared" si="173"/>
        <v>#VALUE!</v>
      </c>
      <c r="AA1031" s="304">
        <f ca="1">OFFSET(卡牌辅助配置表!$AD$1,MATCH(AB1031,卡牌辅助配置表!AB:AB,0)-1,0)</f>
        <v>91</v>
      </c>
      <c r="AB1031" s="304">
        <f ca="1" t="shared" si="177"/>
        <v>1301</v>
      </c>
      <c r="AC1031" s="153">
        <v>12</v>
      </c>
      <c r="AF1031" s="153" t="str">
        <f ca="1" t="shared" si="170"/>
        <v>20090011|</v>
      </c>
      <c r="AJ1031" s="205" t="str">
        <f ca="1" t="shared" si="178"/>
        <v>400023|1400|;</v>
      </c>
      <c r="AK1031" s="205">
        <f ca="1">OFFSET([1]item_type!$A$1,MATCH(Q1031,[1]item_type!$G:$G,0)-1,0)</f>
        <v>302009</v>
      </c>
      <c r="AL1031" s="205"/>
      <c r="AM1031" s="205">
        <f ca="1">IF(B1031=B1032,OFFSET(卡牌辅助配置表!$AE$1,MATCH(AB1031,卡牌辅助配置表!AB:AB,0),0),0)</f>
        <v>1400</v>
      </c>
      <c r="AN1031" s="153">
        <f ca="1" t="shared" si="179"/>
        <v>2009002</v>
      </c>
      <c r="AP1031" s="153">
        <f ca="1">IF(AC1031=0,0,IF(AC1031=12,0,OFFSET(effect!$N$1,MATCH(K1031,effect!M:M,0)-1,0)))</f>
        <v>0</v>
      </c>
    </row>
    <row r="1032" spans="1:42">
      <c r="A1032" s="153">
        <f ca="1" t="shared" si="175"/>
        <v>2009002</v>
      </c>
      <c r="B1032" s="91" t="s">
        <v>295</v>
      </c>
      <c r="C1032" s="186">
        <v>2</v>
      </c>
      <c r="D1032" s="186">
        <v>1</v>
      </c>
      <c r="E1032" s="165" t="s">
        <v>1058</v>
      </c>
      <c r="F1032" s="179" t="s">
        <v>1061</v>
      </c>
      <c r="G1032" s="186">
        <f ca="1">OFFSET(卡牌辅助配置表!$C$1,MATCH(AC1032,卡牌辅助配置表!A:A,0)-1,0)</f>
        <v>0</v>
      </c>
      <c r="H1032" s="186" t="e">
        <f ca="1">OFFSET(skill!$Q$1,MATCH(B1032,skill!B:B,0)-1,0)</f>
        <v>#VALUE!</v>
      </c>
      <c r="I1032" s="186"/>
      <c r="J1032" s="186">
        <f ca="1">OFFSET(card_type!$F$1,MATCH(Q1032,card_type!A:A,0)-1,0)</f>
        <v>1</v>
      </c>
      <c r="K1032" s="243">
        <f ca="1">OFFSET(card_type!$G$1,MATCH(Q1032,card_type!A:A,0)-1,0)</f>
        <v>3</v>
      </c>
      <c r="L1032" s="157">
        <v>3</v>
      </c>
      <c r="M1032" s="157">
        <v>3</v>
      </c>
      <c r="N1032" s="153">
        <f t="shared" si="174"/>
        <v>2</v>
      </c>
      <c r="O1032" s="157"/>
      <c r="P1032" s="157"/>
      <c r="Q1032" s="153">
        <f ca="1">OFFSET(card_type!$A$1,MATCH(card!B1032,card_type!B:B,0)-1,0)</f>
        <v>2009</v>
      </c>
      <c r="R1032" s="153">
        <v>1</v>
      </c>
      <c r="S1032" s="157">
        <f ca="1">ROUND(IF(R1032=0,0,IF(R1032=1,X1032*$S$1,IF(R1032=2,X1032*$S$1*buff的资质计算!$E$2,IF(R1032=3,X1032*$S$1*buff的资质计算!$E$3,0)))),0)*0</f>
        <v>0</v>
      </c>
      <c r="T1032" s="153">
        <v>4</v>
      </c>
      <c r="U1032" s="153">
        <f ca="1" t="shared" si="176"/>
        <v>13</v>
      </c>
      <c r="V1032" s="153">
        <f ca="1">ROUND((OFFSET(卡牌辅助配置表!$O$1,MATCH(U1032,卡牌辅助配置表!M:M,0)-1,0)+(N1032-1)*OFFSET(卡牌辅助配置表!$P$1,MATCH(U1032,卡牌辅助配置表!M:M,0)-1,0))*M1032,2)</f>
        <v>47.12</v>
      </c>
      <c r="W1032" s="157">
        <f ca="1">ROUND(IF(R1032=0,0,IF(R1032=1,X1032*$W$1,IF(R1032=2,X1032*$W$1*buff的资质计算!$E$2,IF(R1032=3,X1032*$W$1*buff的资质计算!$E$3,0)))),2)</f>
        <v>11.85</v>
      </c>
      <c r="X1032" s="157">
        <f ca="1" t="shared" si="172"/>
        <v>39.5</v>
      </c>
      <c r="Y1032" s="157" t="e">
        <f ca="1" t="shared" si="171"/>
        <v>#VALUE!</v>
      </c>
      <c r="Z1032" s="304" t="e">
        <f ca="1" t="shared" si="173"/>
        <v>#VALUE!</v>
      </c>
      <c r="AA1032" s="304">
        <f ca="1">OFFSET(卡牌辅助配置表!$AD$1,MATCH(AB1032,卡牌辅助配置表!AB:AB,0)-1,0)</f>
        <v>182</v>
      </c>
      <c r="AB1032" s="304">
        <f ca="1" t="shared" si="177"/>
        <v>1302</v>
      </c>
      <c r="AC1032" s="153">
        <v>12</v>
      </c>
      <c r="AF1032" s="153" t="str">
        <f ca="1" t="shared" si="170"/>
        <v>20090011|</v>
      </c>
      <c r="AJ1032" s="205" t="str">
        <f ca="1" t="shared" si="178"/>
        <v>400023|1800|;</v>
      </c>
      <c r="AK1032" s="205">
        <f ca="1">OFFSET([1]item_type!$A$1,MATCH(Q1032,[1]item_type!$G:$G,0)-1,0)</f>
        <v>302009</v>
      </c>
      <c r="AL1032" s="205"/>
      <c r="AM1032" s="205">
        <f ca="1">IF(B1032=B1033,OFFSET(卡牌辅助配置表!$AE$1,MATCH(AB1032,卡牌辅助配置表!AB:AB,0),0),0)</f>
        <v>1800</v>
      </c>
      <c r="AN1032" s="153">
        <f ca="1" t="shared" si="179"/>
        <v>2009003</v>
      </c>
      <c r="AP1032" s="153">
        <f ca="1">IF(AC1032=0,0,IF(AC1032=12,0,OFFSET(effect!$N$1,MATCH(K1032,effect!M:M,0)-1,0)))</f>
        <v>0</v>
      </c>
    </row>
    <row r="1033" spans="1:42">
      <c r="A1033" s="153">
        <f ca="1" t="shared" si="175"/>
        <v>2009003</v>
      </c>
      <c r="B1033" s="91" t="s">
        <v>295</v>
      </c>
      <c r="C1033" s="186">
        <v>2</v>
      </c>
      <c r="D1033" s="186">
        <v>1</v>
      </c>
      <c r="E1033" s="165" t="s">
        <v>1058</v>
      </c>
      <c r="F1033" s="179" t="s">
        <v>1061</v>
      </c>
      <c r="G1033" s="186">
        <f ca="1">OFFSET(卡牌辅助配置表!$C$1,MATCH(AC1033,卡牌辅助配置表!A:A,0)-1,0)</f>
        <v>0</v>
      </c>
      <c r="H1033" s="186" t="e">
        <f ca="1">OFFSET(skill!$Q$1,MATCH(B1033,skill!B:B,0)-1,0)</f>
        <v>#VALUE!</v>
      </c>
      <c r="I1033" s="186"/>
      <c r="J1033" s="186">
        <f ca="1">OFFSET(card_type!$F$1,MATCH(Q1033,card_type!A:A,0)-1,0)</f>
        <v>1</v>
      </c>
      <c r="K1033" s="243">
        <f ca="1">OFFSET(card_type!$G$1,MATCH(Q1033,card_type!A:A,0)-1,0)</f>
        <v>3</v>
      </c>
      <c r="L1033" s="157">
        <v>3</v>
      </c>
      <c r="M1033" s="157">
        <v>3</v>
      </c>
      <c r="N1033" s="153">
        <f t="shared" si="174"/>
        <v>3</v>
      </c>
      <c r="O1033" s="157"/>
      <c r="P1033" s="157"/>
      <c r="Q1033" s="153">
        <f ca="1">OFFSET(card_type!$A$1,MATCH(card!B1033,card_type!B:B,0)-1,0)</f>
        <v>2009</v>
      </c>
      <c r="R1033" s="153">
        <v>1</v>
      </c>
      <c r="S1033" s="157">
        <f ca="1">ROUND(IF(R1033=0,0,IF(R1033=1,X1033*$S$1,IF(R1033=2,X1033*$S$1*buff的资质计算!$E$2,IF(R1033=3,X1033*$S$1*buff的资质计算!$E$3,0)))),0)*0</f>
        <v>0</v>
      </c>
      <c r="T1033" s="153">
        <v>4</v>
      </c>
      <c r="U1033" s="153">
        <f ca="1" t="shared" si="176"/>
        <v>13</v>
      </c>
      <c r="V1033" s="153">
        <f ca="1">ROUND((OFFSET(卡牌辅助配置表!$O$1,MATCH(U1033,卡牌辅助配置表!M:M,0)-1,0)+(N1033-1)*OFFSET(卡牌辅助配置表!$P$1,MATCH(U1033,卡牌辅助配置表!M:M,0)-1,0))*M1033,2)</f>
        <v>48.64</v>
      </c>
      <c r="W1033" s="157">
        <f ca="1">ROUND(IF(R1033=0,0,IF(R1033=1,X1033*$W$1,IF(R1033=2,X1033*$W$1*buff的资质计算!$E$2,IF(R1033=3,X1033*$W$1*buff的资质计算!$E$3,0)))),2)</f>
        <v>12</v>
      </c>
      <c r="X1033" s="157">
        <f ca="1" t="shared" si="172"/>
        <v>40</v>
      </c>
      <c r="Y1033" s="157" t="e">
        <f ca="1" t="shared" si="171"/>
        <v>#VALUE!</v>
      </c>
      <c r="Z1033" s="304" t="e">
        <f ca="1" t="shared" si="173"/>
        <v>#VALUE!</v>
      </c>
      <c r="AA1033" s="304">
        <f ca="1">OFFSET(卡牌辅助配置表!$AD$1,MATCH(AB1033,卡牌辅助配置表!AB:AB,0)-1,0)</f>
        <v>273</v>
      </c>
      <c r="AB1033" s="304">
        <f ca="1" t="shared" si="177"/>
        <v>1303</v>
      </c>
      <c r="AC1033" s="153">
        <v>12</v>
      </c>
      <c r="AF1033" s="153" t="str">
        <f ca="1" t="shared" si="170"/>
        <v>20090011|</v>
      </c>
      <c r="AJ1033" s="205" t="str">
        <f ca="1" t="shared" si="178"/>
        <v>400023|2200|;</v>
      </c>
      <c r="AK1033" s="205">
        <f ca="1">OFFSET([1]item_type!$A$1,MATCH(Q1033,[1]item_type!$G:$G,0)-1,0)</f>
        <v>302009</v>
      </c>
      <c r="AL1033" s="205"/>
      <c r="AM1033" s="205">
        <f ca="1">IF(B1033=B1034,OFFSET(卡牌辅助配置表!$AE$1,MATCH(AB1033,卡牌辅助配置表!AB:AB,0),0),0)</f>
        <v>2200</v>
      </c>
      <c r="AN1033" s="153">
        <f ca="1" t="shared" si="179"/>
        <v>2009004</v>
      </c>
      <c r="AP1033" s="153">
        <f ca="1">IF(AC1033=0,0,IF(AC1033=12,0,OFFSET(effect!$N$1,MATCH(K1033,effect!M:M,0)-1,0)))</f>
        <v>0</v>
      </c>
    </row>
    <row r="1034" spans="1:42">
      <c r="A1034" s="153">
        <f ca="1" t="shared" si="175"/>
        <v>2009004</v>
      </c>
      <c r="B1034" s="91" t="s">
        <v>295</v>
      </c>
      <c r="C1034" s="186">
        <v>2</v>
      </c>
      <c r="D1034" s="186">
        <v>1</v>
      </c>
      <c r="E1034" s="165" t="s">
        <v>1058</v>
      </c>
      <c r="F1034" s="179" t="s">
        <v>1061</v>
      </c>
      <c r="G1034" s="186">
        <f ca="1">OFFSET(卡牌辅助配置表!$C$1,MATCH(AC1034,卡牌辅助配置表!A:A,0)-1,0)</f>
        <v>0</v>
      </c>
      <c r="H1034" s="186" t="e">
        <f ca="1">OFFSET(skill!$Q$1,MATCH(B1034,skill!B:B,0)-1,0)</f>
        <v>#VALUE!</v>
      </c>
      <c r="I1034" s="186"/>
      <c r="J1034" s="186">
        <f ca="1">OFFSET(card_type!$F$1,MATCH(Q1034,card_type!A:A,0)-1,0)</f>
        <v>1</v>
      </c>
      <c r="K1034" s="243">
        <f ca="1">OFFSET(card_type!$G$1,MATCH(Q1034,card_type!A:A,0)-1,0)</f>
        <v>3</v>
      </c>
      <c r="L1034" s="157">
        <v>3</v>
      </c>
      <c r="M1034" s="157">
        <v>3</v>
      </c>
      <c r="N1034" s="153">
        <f t="shared" si="174"/>
        <v>4</v>
      </c>
      <c r="O1034" s="157"/>
      <c r="P1034" s="157"/>
      <c r="Q1034" s="153">
        <f ca="1">OFFSET(card_type!$A$1,MATCH(card!B1034,card_type!B:B,0)-1,0)</f>
        <v>2009</v>
      </c>
      <c r="R1034" s="153">
        <v>1</v>
      </c>
      <c r="S1034" s="157">
        <f ca="1">ROUND(IF(R1034=0,0,IF(R1034=1,X1034*$S$1,IF(R1034=2,X1034*$S$1*buff的资质计算!$E$2,IF(R1034=3,X1034*$S$1*buff的资质计算!$E$3,0)))),0)*0</f>
        <v>0</v>
      </c>
      <c r="T1034" s="153">
        <v>4</v>
      </c>
      <c r="U1034" s="153">
        <f ca="1" t="shared" si="176"/>
        <v>13</v>
      </c>
      <c r="V1034" s="153">
        <f ca="1">ROUND((OFFSET(卡牌辅助配置表!$O$1,MATCH(U1034,卡牌辅助配置表!M:M,0)-1,0)+(N1034-1)*OFFSET(卡牌辅助配置表!$P$1,MATCH(U1034,卡牌辅助配置表!M:M,0)-1,0))*M1034,2)</f>
        <v>50.16</v>
      </c>
      <c r="W1034" s="157">
        <f ca="1">ROUND(IF(R1034=0,0,IF(R1034=1,X1034*$W$1,IF(R1034=2,X1034*$W$1*buff的资质计算!$E$2,IF(R1034=3,X1034*$W$1*buff的资质计算!$E$3,0)))),2)</f>
        <v>12.15</v>
      </c>
      <c r="X1034" s="157">
        <f ca="1" t="shared" si="172"/>
        <v>40.5</v>
      </c>
      <c r="Y1034" s="157" t="e">
        <f ca="1" t="shared" si="171"/>
        <v>#VALUE!</v>
      </c>
      <c r="Z1034" s="304" t="e">
        <f ca="1" t="shared" si="173"/>
        <v>#VALUE!</v>
      </c>
      <c r="AA1034" s="304">
        <f ca="1">OFFSET(卡牌辅助配置表!$AD$1,MATCH(AB1034,卡牌辅助配置表!AB:AB,0)-1,0)</f>
        <v>364</v>
      </c>
      <c r="AB1034" s="304">
        <f ca="1" t="shared" si="177"/>
        <v>1304</v>
      </c>
      <c r="AC1034" s="153">
        <v>12</v>
      </c>
      <c r="AF1034" s="153" t="str">
        <f ca="1" t="shared" si="170"/>
        <v>20090011|</v>
      </c>
      <c r="AJ1034" s="205" t="str">
        <f ca="1" t="shared" si="178"/>
        <v>400023|2600|;</v>
      </c>
      <c r="AK1034" s="205">
        <f ca="1">OFFSET([1]item_type!$A$1,MATCH(Q1034,[1]item_type!$G:$G,0)-1,0)</f>
        <v>302009</v>
      </c>
      <c r="AL1034" s="205"/>
      <c r="AM1034" s="205">
        <f ca="1">IF(B1034=B1035,OFFSET(卡牌辅助配置表!$AE$1,MATCH(AB1034,卡牌辅助配置表!AB:AB,0),0),0)</f>
        <v>2600</v>
      </c>
      <c r="AN1034" s="153">
        <f ca="1" t="shared" si="179"/>
        <v>2009005</v>
      </c>
      <c r="AP1034" s="153">
        <f ca="1">IF(AC1034=0,0,IF(AC1034=12,0,OFFSET(effect!$N$1,MATCH(K1034,effect!M:M,0)-1,0)))</f>
        <v>0</v>
      </c>
    </row>
    <row r="1035" spans="1:42">
      <c r="A1035" s="153">
        <f ca="1" t="shared" si="175"/>
        <v>2009005</v>
      </c>
      <c r="B1035" s="91" t="s">
        <v>295</v>
      </c>
      <c r="C1035" s="186">
        <v>2</v>
      </c>
      <c r="D1035" s="186">
        <v>1</v>
      </c>
      <c r="E1035" s="165" t="s">
        <v>1058</v>
      </c>
      <c r="F1035" s="179" t="s">
        <v>1061</v>
      </c>
      <c r="G1035" s="186">
        <f ca="1">OFFSET(卡牌辅助配置表!$C$1,MATCH(AC1035,卡牌辅助配置表!A:A,0)-1,0)</f>
        <v>0</v>
      </c>
      <c r="H1035" s="186" t="e">
        <f ca="1">OFFSET(skill!$Q$1,MATCH(B1035,skill!B:B,0)-1,0)</f>
        <v>#VALUE!</v>
      </c>
      <c r="I1035" s="186"/>
      <c r="J1035" s="186">
        <f ca="1">OFFSET(card_type!$F$1,MATCH(Q1035,card_type!A:A,0)-1,0)</f>
        <v>1</v>
      </c>
      <c r="K1035" s="243">
        <f ca="1">OFFSET(card_type!$G$1,MATCH(Q1035,card_type!A:A,0)-1,0)</f>
        <v>3</v>
      </c>
      <c r="L1035" s="157">
        <v>3</v>
      </c>
      <c r="M1035" s="157">
        <v>3</v>
      </c>
      <c r="N1035" s="153">
        <f t="shared" si="174"/>
        <v>5</v>
      </c>
      <c r="O1035" s="157"/>
      <c r="P1035" s="157"/>
      <c r="Q1035" s="153">
        <f ca="1">OFFSET(card_type!$A$1,MATCH(card!B1035,card_type!B:B,0)-1,0)</f>
        <v>2009</v>
      </c>
      <c r="R1035" s="153">
        <v>1</v>
      </c>
      <c r="S1035" s="157">
        <f ca="1">ROUND(IF(R1035=0,0,IF(R1035=1,X1035*$S$1,IF(R1035=2,X1035*$S$1*buff的资质计算!$E$2,IF(R1035=3,X1035*$S$1*buff的资质计算!$E$3,0)))),0)*0</f>
        <v>0</v>
      </c>
      <c r="T1035" s="153">
        <v>4</v>
      </c>
      <c r="U1035" s="153">
        <f ca="1" t="shared" si="176"/>
        <v>13</v>
      </c>
      <c r="V1035" s="153">
        <f ca="1">ROUND((OFFSET(卡牌辅助配置表!$O$1,MATCH(U1035,卡牌辅助配置表!M:M,0)-1,0)+(N1035-1)*OFFSET(卡牌辅助配置表!$P$1,MATCH(U1035,卡牌辅助配置表!M:M,0)-1,0))*M1035,2)</f>
        <v>51.68</v>
      </c>
      <c r="W1035" s="157">
        <f ca="1">ROUND(IF(R1035=0,0,IF(R1035=1,X1035*$W$1,IF(R1035=2,X1035*$W$1*buff的资质计算!$E$2,IF(R1035=3,X1035*$W$1*buff的资质计算!$E$3,0)))),2)</f>
        <v>12.3</v>
      </c>
      <c r="X1035" s="157">
        <f ca="1" t="shared" si="172"/>
        <v>41</v>
      </c>
      <c r="Y1035" s="157" t="e">
        <f ca="1" t="shared" si="171"/>
        <v>#VALUE!</v>
      </c>
      <c r="Z1035" s="304" t="e">
        <f ca="1" t="shared" si="173"/>
        <v>#VALUE!</v>
      </c>
      <c r="AA1035" s="304">
        <f ca="1">OFFSET(卡牌辅助配置表!$AD$1,MATCH(AB1035,卡牌辅助配置表!AB:AB,0)-1,0)</f>
        <v>455</v>
      </c>
      <c r="AB1035" s="304">
        <f ca="1" t="shared" si="177"/>
        <v>1305</v>
      </c>
      <c r="AC1035" s="153">
        <v>12</v>
      </c>
      <c r="AF1035" s="153" t="str">
        <f ca="1" t="shared" si="170"/>
        <v>20090011|</v>
      </c>
      <c r="AJ1035" s="205" t="str">
        <f ca="1" t="shared" si="178"/>
        <v>400023|3000|;</v>
      </c>
      <c r="AK1035" s="205">
        <f ca="1">OFFSET([1]item_type!$A$1,MATCH(Q1035,[1]item_type!$G:$G,0)-1,0)</f>
        <v>302009</v>
      </c>
      <c r="AL1035" s="205"/>
      <c r="AM1035" s="205">
        <f ca="1">IF(B1035=B1036,OFFSET(卡牌辅助配置表!$AE$1,MATCH(AB1035,卡牌辅助配置表!AB:AB,0),0),0)</f>
        <v>3000</v>
      </c>
      <c r="AN1035" s="153">
        <f ca="1" t="shared" si="179"/>
        <v>2009006</v>
      </c>
      <c r="AP1035" s="153">
        <f ca="1">IF(AC1035=0,0,IF(AC1035=12,0,OFFSET(effect!$N$1,MATCH(K1035,effect!M:M,0)-1,0)))</f>
        <v>0</v>
      </c>
    </row>
    <row r="1036" spans="1:42">
      <c r="A1036" s="153">
        <f ca="1" t="shared" si="175"/>
        <v>2009006</v>
      </c>
      <c r="B1036" s="91" t="s">
        <v>295</v>
      </c>
      <c r="C1036" s="186">
        <v>2</v>
      </c>
      <c r="D1036" s="186">
        <v>1</v>
      </c>
      <c r="E1036" s="165" t="s">
        <v>1058</v>
      </c>
      <c r="F1036" s="179" t="s">
        <v>1061</v>
      </c>
      <c r="G1036" s="186">
        <f ca="1">OFFSET(卡牌辅助配置表!$C$1,MATCH(AC1036,卡牌辅助配置表!A:A,0)-1,0)</f>
        <v>0</v>
      </c>
      <c r="H1036" s="186" t="e">
        <f ca="1">OFFSET(skill!$Q$1,MATCH(B1036,skill!B:B,0)-1,0)</f>
        <v>#VALUE!</v>
      </c>
      <c r="I1036" s="186"/>
      <c r="J1036" s="186">
        <f ca="1">OFFSET(card_type!$F$1,MATCH(Q1036,card_type!A:A,0)-1,0)</f>
        <v>1</v>
      </c>
      <c r="K1036" s="243">
        <f ca="1">OFFSET(card_type!$G$1,MATCH(Q1036,card_type!A:A,0)-1,0)</f>
        <v>3</v>
      </c>
      <c r="L1036" s="157">
        <v>3</v>
      </c>
      <c r="M1036" s="157">
        <v>3</v>
      </c>
      <c r="N1036" s="153">
        <f t="shared" si="174"/>
        <v>6</v>
      </c>
      <c r="O1036" s="157"/>
      <c r="P1036" s="157"/>
      <c r="Q1036" s="153">
        <f ca="1">OFFSET(card_type!$A$1,MATCH(card!B1036,card_type!B:B,0)-1,0)</f>
        <v>2009</v>
      </c>
      <c r="R1036" s="153">
        <v>1</v>
      </c>
      <c r="S1036" s="157">
        <f ca="1">ROUND(IF(R1036=0,0,IF(R1036=1,X1036*$S$1,IF(R1036=2,X1036*$S$1*buff的资质计算!$E$2,IF(R1036=3,X1036*$S$1*buff的资质计算!$E$3,0)))),0)*0</f>
        <v>0</v>
      </c>
      <c r="T1036" s="153">
        <v>4</v>
      </c>
      <c r="U1036" s="153">
        <f ca="1" t="shared" si="176"/>
        <v>13</v>
      </c>
      <c r="V1036" s="153">
        <f ca="1">ROUND((OFFSET(卡牌辅助配置表!$O$1,MATCH(U1036,卡牌辅助配置表!M:M,0)-1,0)+(N1036-1)*OFFSET(卡牌辅助配置表!$P$1,MATCH(U1036,卡牌辅助配置表!M:M,0)-1,0))*M1036,2)</f>
        <v>53.2</v>
      </c>
      <c r="W1036" s="157">
        <f ca="1">ROUND(IF(R1036=0,0,IF(R1036=1,X1036*$W$1,IF(R1036=2,X1036*$W$1*buff的资质计算!$E$2,IF(R1036=3,X1036*$W$1*buff的资质计算!$E$3,0)))),2)</f>
        <v>12.45</v>
      </c>
      <c r="X1036" s="157">
        <f ca="1" t="shared" si="172"/>
        <v>41.5</v>
      </c>
      <c r="Y1036" s="157" t="e">
        <f ca="1" t="shared" si="171"/>
        <v>#VALUE!</v>
      </c>
      <c r="Z1036" s="304" t="e">
        <f ca="1" t="shared" si="173"/>
        <v>#VALUE!</v>
      </c>
      <c r="AA1036" s="304">
        <f ca="1">OFFSET(卡牌辅助配置表!$AD$1,MATCH(AB1036,卡牌辅助配置表!AB:AB,0)-1,0)</f>
        <v>546</v>
      </c>
      <c r="AB1036" s="304">
        <f ca="1" t="shared" si="177"/>
        <v>1306</v>
      </c>
      <c r="AC1036" s="153">
        <v>12</v>
      </c>
      <c r="AF1036" s="153" t="str">
        <f ca="1" t="shared" si="170"/>
        <v>20090011|</v>
      </c>
      <c r="AJ1036" s="205" t="str">
        <f ca="1" t="shared" si="178"/>
        <v>400023|3400|;</v>
      </c>
      <c r="AK1036" s="205">
        <f ca="1">OFFSET([1]item_type!$A$1,MATCH(Q1036,[1]item_type!$G:$G,0)-1,0)</f>
        <v>302009</v>
      </c>
      <c r="AL1036" s="205"/>
      <c r="AM1036" s="205">
        <f ca="1">IF(B1036=B1037,OFFSET(卡牌辅助配置表!$AE$1,MATCH(AB1036,卡牌辅助配置表!AB:AB,0),0),0)</f>
        <v>3400</v>
      </c>
      <c r="AN1036" s="153">
        <f ca="1" t="shared" si="179"/>
        <v>2009007</v>
      </c>
      <c r="AP1036" s="153">
        <f ca="1">IF(AC1036=0,0,IF(AC1036=12,0,OFFSET(effect!$N$1,MATCH(K1036,effect!M:M,0)-1,0)))</f>
        <v>0</v>
      </c>
    </row>
    <row r="1037" spans="1:42">
      <c r="A1037" s="153">
        <f ca="1" t="shared" si="175"/>
        <v>2009007</v>
      </c>
      <c r="B1037" s="91" t="s">
        <v>295</v>
      </c>
      <c r="C1037" s="186">
        <v>2</v>
      </c>
      <c r="D1037" s="186">
        <v>1</v>
      </c>
      <c r="E1037" s="165" t="s">
        <v>1058</v>
      </c>
      <c r="F1037" s="179" t="s">
        <v>1061</v>
      </c>
      <c r="G1037" s="186">
        <f ca="1">OFFSET(卡牌辅助配置表!$C$1,MATCH(AC1037,卡牌辅助配置表!A:A,0)-1,0)</f>
        <v>0</v>
      </c>
      <c r="H1037" s="186" t="e">
        <f ca="1">OFFSET(skill!$Q$1,MATCH(B1037,skill!B:B,0)-1,0)</f>
        <v>#VALUE!</v>
      </c>
      <c r="I1037" s="186"/>
      <c r="J1037" s="186">
        <f ca="1">OFFSET(card_type!$F$1,MATCH(Q1037,card_type!A:A,0)-1,0)</f>
        <v>1</v>
      </c>
      <c r="K1037" s="243">
        <f ca="1">OFFSET(card_type!$G$1,MATCH(Q1037,card_type!A:A,0)-1,0)</f>
        <v>3</v>
      </c>
      <c r="L1037" s="157">
        <v>3</v>
      </c>
      <c r="M1037" s="157">
        <v>3</v>
      </c>
      <c r="N1037" s="153">
        <f t="shared" si="174"/>
        <v>7</v>
      </c>
      <c r="O1037" s="157"/>
      <c r="P1037" s="157"/>
      <c r="Q1037" s="153">
        <f ca="1">OFFSET(card_type!$A$1,MATCH(card!B1037,card_type!B:B,0)-1,0)</f>
        <v>2009</v>
      </c>
      <c r="R1037" s="153">
        <v>1</v>
      </c>
      <c r="S1037" s="157">
        <f ca="1">ROUND(IF(R1037=0,0,IF(R1037=1,X1037*$S$1,IF(R1037=2,X1037*$S$1*buff的资质计算!$E$2,IF(R1037=3,X1037*$S$1*buff的资质计算!$E$3,0)))),0)*0</f>
        <v>0</v>
      </c>
      <c r="T1037" s="153">
        <v>4</v>
      </c>
      <c r="U1037" s="153">
        <f ca="1" t="shared" si="176"/>
        <v>13</v>
      </c>
      <c r="V1037" s="153">
        <f ca="1">ROUND((OFFSET(卡牌辅助配置表!$O$1,MATCH(U1037,卡牌辅助配置表!M:M,0)-1,0)+(N1037-1)*OFFSET(卡牌辅助配置表!$P$1,MATCH(U1037,卡牌辅助配置表!M:M,0)-1,0))*M1037,2)</f>
        <v>54.72</v>
      </c>
      <c r="W1037" s="157">
        <f ca="1">ROUND(IF(R1037=0,0,IF(R1037=1,X1037*$W$1,IF(R1037=2,X1037*$W$1*buff的资质计算!$E$2,IF(R1037=3,X1037*$W$1*buff的资质计算!$E$3,0)))),2)</f>
        <v>12.6</v>
      </c>
      <c r="X1037" s="157">
        <f ca="1" t="shared" si="172"/>
        <v>42</v>
      </c>
      <c r="Y1037" s="157" t="e">
        <f ca="1" t="shared" si="171"/>
        <v>#VALUE!</v>
      </c>
      <c r="Z1037" s="304" t="e">
        <f ca="1" t="shared" si="173"/>
        <v>#VALUE!</v>
      </c>
      <c r="AA1037" s="304">
        <f ca="1">OFFSET(卡牌辅助配置表!$AD$1,MATCH(AB1037,卡牌辅助配置表!AB:AB,0)-1,0)</f>
        <v>637</v>
      </c>
      <c r="AB1037" s="304">
        <f ca="1" t="shared" si="177"/>
        <v>1307</v>
      </c>
      <c r="AC1037" s="153">
        <v>12</v>
      </c>
      <c r="AF1037" s="153" t="str">
        <f ca="1" t="shared" si="170"/>
        <v>20090011|</v>
      </c>
      <c r="AJ1037" s="205" t="str">
        <f ca="1" t="shared" si="178"/>
        <v>400023|3800|;</v>
      </c>
      <c r="AK1037" s="205">
        <f ca="1">OFFSET([1]item_type!$A$1,MATCH(Q1037,[1]item_type!$G:$G,0)-1,0)</f>
        <v>302009</v>
      </c>
      <c r="AL1037" s="205"/>
      <c r="AM1037" s="205">
        <f ca="1">IF(B1037=B1038,OFFSET(卡牌辅助配置表!$AE$1,MATCH(AB1037,卡牌辅助配置表!AB:AB,0),0),0)</f>
        <v>3800</v>
      </c>
      <c r="AN1037" s="153">
        <f ca="1" t="shared" si="179"/>
        <v>2009008</v>
      </c>
      <c r="AP1037" s="153">
        <f ca="1">IF(AC1037=0,0,IF(AC1037=12,0,OFFSET(effect!$N$1,MATCH(K1037,effect!M:M,0)-1,0)))</f>
        <v>0</v>
      </c>
    </row>
    <row r="1038" spans="1:42">
      <c r="A1038" s="153">
        <f ca="1" t="shared" si="175"/>
        <v>2009008</v>
      </c>
      <c r="B1038" s="91" t="s">
        <v>295</v>
      </c>
      <c r="C1038" s="186">
        <v>2</v>
      </c>
      <c r="D1038" s="186">
        <v>1</v>
      </c>
      <c r="E1038" s="165" t="s">
        <v>1058</v>
      </c>
      <c r="F1038" s="179" t="s">
        <v>1061</v>
      </c>
      <c r="G1038" s="186">
        <f ca="1">OFFSET(卡牌辅助配置表!$C$1,MATCH(AC1038,卡牌辅助配置表!A:A,0)-1,0)</f>
        <v>0</v>
      </c>
      <c r="H1038" s="186" t="e">
        <f ca="1">OFFSET(skill!$Q$1,MATCH(B1038,skill!B:B,0)-1,0)</f>
        <v>#VALUE!</v>
      </c>
      <c r="I1038" s="186"/>
      <c r="J1038" s="186">
        <f ca="1">OFFSET(card_type!$F$1,MATCH(Q1038,card_type!A:A,0)-1,0)</f>
        <v>1</v>
      </c>
      <c r="K1038" s="243">
        <f ca="1">OFFSET(card_type!$G$1,MATCH(Q1038,card_type!A:A,0)-1,0)</f>
        <v>3</v>
      </c>
      <c r="L1038" s="157">
        <v>3</v>
      </c>
      <c r="M1038" s="157">
        <v>3</v>
      </c>
      <c r="N1038" s="153">
        <f t="shared" si="174"/>
        <v>8</v>
      </c>
      <c r="O1038" s="157"/>
      <c r="P1038" s="157"/>
      <c r="Q1038" s="153">
        <f ca="1">OFFSET(card_type!$A$1,MATCH(card!B1038,card_type!B:B,0)-1,0)</f>
        <v>2009</v>
      </c>
      <c r="R1038" s="153">
        <v>1</v>
      </c>
      <c r="S1038" s="157">
        <f ca="1">ROUND(IF(R1038=0,0,IF(R1038=1,X1038*$S$1,IF(R1038=2,X1038*$S$1*buff的资质计算!$E$2,IF(R1038=3,X1038*$S$1*buff的资质计算!$E$3,0)))),0)*0</f>
        <v>0</v>
      </c>
      <c r="T1038" s="153">
        <v>4</v>
      </c>
      <c r="U1038" s="153">
        <f ca="1" t="shared" si="176"/>
        <v>13</v>
      </c>
      <c r="V1038" s="153">
        <f ca="1">ROUND((OFFSET(卡牌辅助配置表!$O$1,MATCH(U1038,卡牌辅助配置表!M:M,0)-1,0)+(N1038-1)*OFFSET(卡牌辅助配置表!$P$1,MATCH(U1038,卡牌辅助配置表!M:M,0)-1,0))*M1038,2)</f>
        <v>56.24</v>
      </c>
      <c r="W1038" s="157">
        <f ca="1">ROUND(IF(R1038=0,0,IF(R1038=1,X1038*$W$1,IF(R1038=2,X1038*$W$1*buff的资质计算!$E$2,IF(R1038=3,X1038*$W$1*buff的资质计算!$E$3,0)))),2)</f>
        <v>12.75</v>
      </c>
      <c r="X1038" s="157">
        <f ca="1" t="shared" si="172"/>
        <v>42.5</v>
      </c>
      <c r="Y1038" s="157" t="e">
        <f ca="1" t="shared" si="171"/>
        <v>#VALUE!</v>
      </c>
      <c r="Z1038" s="304" t="e">
        <f ca="1" t="shared" si="173"/>
        <v>#VALUE!</v>
      </c>
      <c r="AA1038" s="304">
        <f ca="1">OFFSET(卡牌辅助配置表!$AD$1,MATCH(AB1038,卡牌辅助配置表!AB:AB,0)-1,0)</f>
        <v>728</v>
      </c>
      <c r="AB1038" s="304">
        <f ca="1" t="shared" si="177"/>
        <v>1308</v>
      </c>
      <c r="AC1038" s="153">
        <v>12</v>
      </c>
      <c r="AF1038" s="153" t="str">
        <f ca="1" t="shared" si="170"/>
        <v>20090011|</v>
      </c>
      <c r="AJ1038" s="205" t="str">
        <f ca="1" t="shared" si="178"/>
        <v>400023|4200|;</v>
      </c>
      <c r="AK1038" s="205">
        <f ca="1">OFFSET([1]item_type!$A$1,MATCH(Q1038,[1]item_type!$G:$G,0)-1,0)</f>
        <v>302009</v>
      </c>
      <c r="AL1038" s="205"/>
      <c r="AM1038" s="205">
        <f ca="1">IF(B1038=B1039,OFFSET(卡牌辅助配置表!$AE$1,MATCH(AB1038,卡牌辅助配置表!AB:AB,0),0),0)</f>
        <v>4200</v>
      </c>
      <c r="AN1038" s="153">
        <f ca="1" t="shared" si="179"/>
        <v>2009009</v>
      </c>
      <c r="AP1038" s="153">
        <f ca="1">IF(AC1038=0,0,IF(AC1038=12,0,OFFSET(effect!$N$1,MATCH(K1038,effect!M:M,0)-1,0)))</f>
        <v>0</v>
      </c>
    </row>
    <row r="1039" spans="1:42">
      <c r="A1039" s="153">
        <f ca="1" t="shared" si="175"/>
        <v>2009009</v>
      </c>
      <c r="B1039" s="91" t="s">
        <v>295</v>
      </c>
      <c r="C1039" s="186">
        <v>2</v>
      </c>
      <c r="D1039" s="186">
        <v>1</v>
      </c>
      <c r="E1039" s="165" t="s">
        <v>1058</v>
      </c>
      <c r="F1039" s="179" t="s">
        <v>1061</v>
      </c>
      <c r="G1039" s="186">
        <f ca="1">OFFSET(卡牌辅助配置表!$C$1,MATCH(AC1039,卡牌辅助配置表!A:A,0)-1,0)</f>
        <v>0</v>
      </c>
      <c r="H1039" s="186" t="e">
        <f ca="1">OFFSET(skill!$Q$1,MATCH(B1039,skill!B:B,0)-1,0)</f>
        <v>#VALUE!</v>
      </c>
      <c r="I1039" s="186"/>
      <c r="J1039" s="186">
        <f ca="1">OFFSET(card_type!$F$1,MATCH(Q1039,card_type!A:A,0)-1,0)</f>
        <v>1</v>
      </c>
      <c r="K1039" s="243">
        <f ca="1">OFFSET(card_type!$G$1,MATCH(Q1039,card_type!A:A,0)-1,0)</f>
        <v>3</v>
      </c>
      <c r="L1039" s="157">
        <v>3</v>
      </c>
      <c r="M1039" s="157">
        <v>3</v>
      </c>
      <c r="N1039" s="153">
        <f t="shared" si="174"/>
        <v>9</v>
      </c>
      <c r="O1039" s="157"/>
      <c r="P1039" s="157"/>
      <c r="Q1039" s="153">
        <f ca="1">OFFSET(card_type!$A$1,MATCH(card!B1039,card_type!B:B,0)-1,0)</f>
        <v>2009</v>
      </c>
      <c r="R1039" s="153">
        <v>1</v>
      </c>
      <c r="S1039" s="157">
        <f ca="1">ROUND(IF(R1039=0,0,IF(R1039=1,X1039*$S$1,IF(R1039=2,X1039*$S$1*buff的资质计算!$E$2,IF(R1039=3,X1039*$S$1*buff的资质计算!$E$3,0)))),0)*0</f>
        <v>0</v>
      </c>
      <c r="T1039" s="153">
        <v>4</v>
      </c>
      <c r="U1039" s="153">
        <f ca="1" t="shared" si="176"/>
        <v>13</v>
      </c>
      <c r="V1039" s="153">
        <f ca="1">ROUND((OFFSET(卡牌辅助配置表!$O$1,MATCH(U1039,卡牌辅助配置表!M:M,0)-1,0)+(N1039-1)*OFFSET(卡牌辅助配置表!$P$1,MATCH(U1039,卡牌辅助配置表!M:M,0)-1,0))*M1039,2)</f>
        <v>57.76</v>
      </c>
      <c r="W1039" s="157">
        <f ca="1">ROUND(IF(R1039=0,0,IF(R1039=1,X1039*$W$1,IF(R1039=2,X1039*$W$1*buff的资质计算!$E$2,IF(R1039=3,X1039*$W$1*buff的资质计算!$E$3,0)))),2)</f>
        <v>12.9</v>
      </c>
      <c r="X1039" s="157">
        <f ca="1" t="shared" si="172"/>
        <v>43</v>
      </c>
      <c r="Y1039" s="157" t="e">
        <f ca="1" t="shared" si="171"/>
        <v>#VALUE!</v>
      </c>
      <c r="Z1039" s="304" t="e">
        <f ca="1" t="shared" si="173"/>
        <v>#VALUE!</v>
      </c>
      <c r="AA1039" s="304">
        <f ca="1">OFFSET(卡牌辅助配置表!$AD$1,MATCH(AB1039,卡牌辅助配置表!AB:AB,0)-1,0)</f>
        <v>819</v>
      </c>
      <c r="AB1039" s="304">
        <f ca="1" t="shared" si="177"/>
        <v>1309</v>
      </c>
      <c r="AC1039" s="153">
        <v>12</v>
      </c>
      <c r="AF1039" s="153" t="str">
        <f ca="1" t="shared" si="170"/>
        <v>20090011|</v>
      </c>
      <c r="AJ1039" s="205" t="str">
        <f ca="1" t="shared" si="178"/>
        <v>302009|15|;400023|4600|;</v>
      </c>
      <c r="AK1039" s="205">
        <f ca="1">OFFSET([1]item_type!$A$1,MATCH(Q1039,[1]item_type!$G:$G,0)-1,0)</f>
        <v>302009</v>
      </c>
      <c r="AL1039" s="205">
        <v>15</v>
      </c>
      <c r="AM1039" s="205">
        <f ca="1">IF(B1039=B1040,OFFSET(卡牌辅助配置表!$AE$1,MATCH(AB1039,卡牌辅助配置表!AB:AB,0),0),0)</f>
        <v>4600</v>
      </c>
      <c r="AN1039" s="153">
        <f ca="1" t="shared" si="179"/>
        <v>2009010</v>
      </c>
      <c r="AP1039" s="153">
        <f ca="1">IF(AC1039=0,0,IF(AC1039=12,0,OFFSET(effect!$N$1,MATCH(K1039,effect!M:M,0)-1,0)))</f>
        <v>0</v>
      </c>
    </row>
    <row r="1040" spans="1:42">
      <c r="A1040" s="153">
        <f ca="1" t="shared" si="175"/>
        <v>2009010</v>
      </c>
      <c r="B1040" s="91" t="s">
        <v>295</v>
      </c>
      <c r="C1040" s="186">
        <v>2</v>
      </c>
      <c r="D1040" s="186">
        <v>1</v>
      </c>
      <c r="E1040" s="165" t="s">
        <v>1058</v>
      </c>
      <c r="F1040" s="179" t="s">
        <v>1061</v>
      </c>
      <c r="G1040" s="186">
        <f ca="1">OFFSET(卡牌辅助配置表!$C$1,MATCH(AC1040,卡牌辅助配置表!A:A,0)-1,0)</f>
        <v>0</v>
      </c>
      <c r="H1040" s="186" t="e">
        <f ca="1">OFFSET(skill!$Q$1,MATCH(B1040,skill!B:B,0)-1,0)</f>
        <v>#VALUE!</v>
      </c>
      <c r="I1040" s="186"/>
      <c r="J1040" s="186">
        <f ca="1">OFFSET(card_type!$F$1,MATCH(Q1040,card_type!A:A,0)-1,0)</f>
        <v>1</v>
      </c>
      <c r="K1040" s="243">
        <f ca="1">OFFSET(card_type!$G$1,MATCH(Q1040,card_type!A:A,0)-1,0)</f>
        <v>3</v>
      </c>
      <c r="L1040" s="157">
        <v>3</v>
      </c>
      <c r="M1040" s="157">
        <v>3</v>
      </c>
      <c r="N1040" s="153">
        <f t="shared" si="174"/>
        <v>10</v>
      </c>
      <c r="O1040" s="157"/>
      <c r="P1040" s="157"/>
      <c r="Q1040" s="153">
        <f ca="1">OFFSET(card_type!$A$1,MATCH(card!B1040,card_type!B:B,0)-1,0)</f>
        <v>2009</v>
      </c>
      <c r="R1040" s="153">
        <v>1</v>
      </c>
      <c r="S1040" s="157">
        <f ca="1">ROUND(IF(R1040=0,0,IF(R1040=1,X1040*$S$1,IF(R1040=2,X1040*$S$1*buff的资质计算!$E$2,IF(R1040=3,X1040*$S$1*buff的资质计算!$E$3,0)))),0)*0</f>
        <v>0</v>
      </c>
      <c r="T1040" s="153">
        <v>4</v>
      </c>
      <c r="U1040" s="153">
        <f ca="1" t="shared" si="176"/>
        <v>13</v>
      </c>
      <c r="V1040" s="153">
        <f ca="1">ROUND((OFFSET(卡牌辅助配置表!$O$1,MATCH(U1040,卡牌辅助配置表!M:M,0)-1,0)+(N1040-1)*OFFSET(卡牌辅助配置表!$P$1,MATCH(U1040,卡牌辅助配置表!M:M,0)-1,0))*M1040,2)</f>
        <v>59.28</v>
      </c>
      <c r="W1040" s="157">
        <f ca="1">ROUND(IF(R1040=0,0,IF(R1040=1,X1040*$W$1,IF(R1040=2,X1040*$W$1*buff的资质计算!$E$2,IF(R1040=3,X1040*$W$1*buff的资质计算!$E$3,0)))),2)</f>
        <v>13.05</v>
      </c>
      <c r="X1040" s="157">
        <f ca="1" t="shared" si="172"/>
        <v>43.5</v>
      </c>
      <c r="Y1040" s="157" t="e">
        <f ca="1" t="shared" si="171"/>
        <v>#VALUE!</v>
      </c>
      <c r="Z1040" s="304" t="e">
        <f ca="1" t="shared" si="173"/>
        <v>#VALUE!</v>
      </c>
      <c r="AA1040" s="304">
        <f ca="1">OFFSET(卡牌辅助配置表!$AD$1,MATCH(AB1040,卡牌辅助配置表!AB:AB,0)-1,0)</f>
        <v>910</v>
      </c>
      <c r="AB1040" s="304">
        <f ca="1" t="shared" si="177"/>
        <v>1310</v>
      </c>
      <c r="AC1040" s="153">
        <v>12</v>
      </c>
      <c r="AF1040" s="153" t="str">
        <f ca="1" t="shared" ref="AF1040:AF1103" si="180">((Q1040*1000+1)*10+1)&amp;$AF$1</f>
        <v>20090011|</v>
      </c>
      <c r="AJ1040" s="205" t="str">
        <f ca="1" t="shared" si="178"/>
        <v>400023|5400|;</v>
      </c>
      <c r="AK1040" s="205">
        <f ca="1">OFFSET([1]item_type!$A$1,MATCH(Q1040,[1]item_type!$G:$G,0)-1,0)</f>
        <v>302009</v>
      </c>
      <c r="AL1040" s="205"/>
      <c r="AM1040" s="205">
        <f ca="1">IF(B1040=B1041,OFFSET(卡牌辅助配置表!$AE$1,MATCH(AB1040,卡牌辅助配置表!AB:AB,0),0),0)</f>
        <v>5400</v>
      </c>
      <c r="AN1040" s="153">
        <f ca="1" t="shared" si="179"/>
        <v>2009011</v>
      </c>
      <c r="AP1040" s="153">
        <f ca="1">IF(AC1040=0,0,IF(AC1040=12,0,OFFSET(effect!$N$1,MATCH(K1040,effect!M:M,0)-1,0)))</f>
        <v>0</v>
      </c>
    </row>
    <row r="1041" spans="1:42">
      <c r="A1041" s="153">
        <f ca="1" t="shared" si="175"/>
        <v>2009011</v>
      </c>
      <c r="B1041" s="91" t="s">
        <v>295</v>
      </c>
      <c r="C1041" s="186">
        <v>2</v>
      </c>
      <c r="D1041" s="186">
        <v>1</v>
      </c>
      <c r="E1041" s="165" t="s">
        <v>1058</v>
      </c>
      <c r="F1041" s="179" t="s">
        <v>1061</v>
      </c>
      <c r="G1041" s="186">
        <f ca="1">OFFSET(卡牌辅助配置表!$C$1,MATCH(AC1041,卡牌辅助配置表!A:A,0)-1,0)</f>
        <v>0</v>
      </c>
      <c r="H1041" s="186" t="e">
        <f ca="1">OFFSET(skill!$Q$1,MATCH(B1041,skill!B:B,0)-1,0)</f>
        <v>#VALUE!</v>
      </c>
      <c r="I1041" s="186"/>
      <c r="J1041" s="186">
        <f ca="1">OFFSET(card_type!$F$1,MATCH(Q1041,card_type!A:A,0)-1,0)</f>
        <v>1</v>
      </c>
      <c r="K1041" s="243">
        <f ca="1">OFFSET(card_type!$G$1,MATCH(Q1041,card_type!A:A,0)-1,0)</f>
        <v>3</v>
      </c>
      <c r="L1041" s="157">
        <v>3</v>
      </c>
      <c r="M1041" s="157">
        <v>3</v>
      </c>
      <c r="N1041" s="153">
        <f t="shared" si="174"/>
        <v>11</v>
      </c>
      <c r="O1041" s="157"/>
      <c r="P1041" s="157"/>
      <c r="Q1041" s="153">
        <f ca="1">OFFSET(card_type!$A$1,MATCH(card!B1041,card_type!B:B,0)-1,0)</f>
        <v>2009</v>
      </c>
      <c r="R1041" s="153">
        <v>1</v>
      </c>
      <c r="S1041" s="157">
        <f ca="1">ROUND(IF(R1041=0,0,IF(R1041=1,X1041*$S$1,IF(R1041=2,X1041*$S$1*buff的资质计算!$E$2,IF(R1041=3,X1041*$S$1*buff的资质计算!$E$3,0)))),0)*0</f>
        <v>0</v>
      </c>
      <c r="T1041" s="153">
        <v>4</v>
      </c>
      <c r="U1041" s="153">
        <f ca="1" t="shared" si="176"/>
        <v>13</v>
      </c>
      <c r="V1041" s="153">
        <f ca="1">ROUND((OFFSET(卡牌辅助配置表!$O$1,MATCH(U1041,卡牌辅助配置表!M:M,0)-1,0)+(N1041-1)*OFFSET(卡牌辅助配置表!$P$1,MATCH(U1041,卡牌辅助配置表!M:M,0)-1,0))*M1041,2)</f>
        <v>60.8</v>
      </c>
      <c r="W1041" s="157">
        <f ca="1">ROUND(IF(R1041=0,0,IF(R1041=1,X1041*$W$1,IF(R1041=2,X1041*$W$1*buff的资质计算!$E$2,IF(R1041=3,X1041*$W$1*buff的资质计算!$E$3,0)))),2)</f>
        <v>13.2</v>
      </c>
      <c r="X1041" s="157">
        <f ca="1" t="shared" si="172"/>
        <v>44</v>
      </c>
      <c r="Y1041" s="157" t="e">
        <f ca="1" t="shared" si="171"/>
        <v>#VALUE!</v>
      </c>
      <c r="Z1041" s="304" t="e">
        <f ca="1" t="shared" si="173"/>
        <v>#VALUE!</v>
      </c>
      <c r="AA1041" s="304">
        <f ca="1">OFFSET(卡牌辅助配置表!$AD$1,MATCH(AB1041,卡牌辅助配置表!AB:AB,0)-1,0)</f>
        <v>1047</v>
      </c>
      <c r="AB1041" s="304">
        <f ca="1" t="shared" si="177"/>
        <v>1311</v>
      </c>
      <c r="AC1041" s="153">
        <v>12</v>
      </c>
      <c r="AF1041" s="153" t="str">
        <f ca="1" t="shared" si="180"/>
        <v>20090011|</v>
      </c>
      <c r="AJ1041" s="205" t="str">
        <f ca="1" t="shared" si="178"/>
        <v>400023|6200|;</v>
      </c>
      <c r="AK1041" s="205">
        <f ca="1">OFFSET([1]item_type!$A$1,MATCH(Q1041,[1]item_type!$G:$G,0)-1,0)</f>
        <v>302009</v>
      </c>
      <c r="AL1041" s="205"/>
      <c r="AM1041" s="205">
        <f ca="1">IF(B1041=B1042,OFFSET(卡牌辅助配置表!$AE$1,MATCH(AB1041,卡牌辅助配置表!AB:AB,0),0),0)</f>
        <v>6200</v>
      </c>
      <c r="AN1041" s="153">
        <f ca="1" t="shared" si="179"/>
        <v>2009012</v>
      </c>
      <c r="AP1041" s="153">
        <f ca="1">IF(AC1041=0,0,IF(AC1041=12,0,OFFSET(effect!$N$1,MATCH(K1041,effect!M:M,0)-1,0)))</f>
        <v>0</v>
      </c>
    </row>
    <row r="1042" spans="1:42">
      <c r="A1042" s="153">
        <f ca="1" t="shared" si="175"/>
        <v>2009012</v>
      </c>
      <c r="B1042" s="91" t="s">
        <v>295</v>
      </c>
      <c r="C1042" s="186">
        <v>2</v>
      </c>
      <c r="D1042" s="186">
        <v>1</v>
      </c>
      <c r="E1042" s="165" t="s">
        <v>1058</v>
      </c>
      <c r="F1042" s="179" t="s">
        <v>1061</v>
      </c>
      <c r="G1042" s="186">
        <f ca="1">OFFSET(卡牌辅助配置表!$C$1,MATCH(AC1042,卡牌辅助配置表!A:A,0)-1,0)</f>
        <v>0</v>
      </c>
      <c r="H1042" s="186" t="e">
        <f ca="1">OFFSET(skill!$Q$1,MATCH(B1042,skill!B:B,0)-1,0)</f>
        <v>#VALUE!</v>
      </c>
      <c r="I1042" s="186"/>
      <c r="J1042" s="186">
        <f ca="1">OFFSET(card_type!$F$1,MATCH(Q1042,card_type!A:A,0)-1,0)</f>
        <v>1</v>
      </c>
      <c r="K1042" s="243">
        <f ca="1">OFFSET(card_type!$G$1,MATCH(Q1042,card_type!A:A,0)-1,0)</f>
        <v>3</v>
      </c>
      <c r="L1042" s="157">
        <v>3</v>
      </c>
      <c r="M1042" s="157">
        <v>3</v>
      </c>
      <c r="N1042" s="153">
        <f t="shared" si="174"/>
        <v>12</v>
      </c>
      <c r="O1042" s="157"/>
      <c r="P1042" s="157"/>
      <c r="Q1042" s="153">
        <f ca="1">OFFSET(card_type!$A$1,MATCH(card!B1042,card_type!B:B,0)-1,0)</f>
        <v>2009</v>
      </c>
      <c r="R1042" s="153">
        <v>1</v>
      </c>
      <c r="S1042" s="157">
        <f ca="1">ROUND(IF(R1042=0,0,IF(R1042=1,X1042*$S$1,IF(R1042=2,X1042*$S$1*buff的资质计算!$E$2,IF(R1042=3,X1042*$S$1*buff的资质计算!$E$3,0)))),0)*0</f>
        <v>0</v>
      </c>
      <c r="T1042" s="153">
        <v>4</v>
      </c>
      <c r="U1042" s="153">
        <f ca="1" t="shared" si="176"/>
        <v>13</v>
      </c>
      <c r="V1042" s="153">
        <f ca="1">ROUND((OFFSET(卡牌辅助配置表!$O$1,MATCH(U1042,卡牌辅助配置表!M:M,0)-1,0)+(N1042-1)*OFFSET(卡牌辅助配置表!$P$1,MATCH(U1042,卡牌辅助配置表!M:M,0)-1,0))*M1042,2)</f>
        <v>62.32</v>
      </c>
      <c r="W1042" s="157">
        <f ca="1">ROUND(IF(R1042=0,0,IF(R1042=1,X1042*$W$1,IF(R1042=2,X1042*$W$1*buff的资质计算!$E$2,IF(R1042=3,X1042*$W$1*buff的资质计算!$E$3,0)))),2)</f>
        <v>13.35</v>
      </c>
      <c r="X1042" s="157">
        <f ca="1" t="shared" si="172"/>
        <v>44.5</v>
      </c>
      <c r="Y1042" s="157" t="e">
        <f ca="1" t="shared" si="171"/>
        <v>#VALUE!</v>
      </c>
      <c r="Z1042" s="304" t="e">
        <f ca="1" t="shared" si="173"/>
        <v>#VALUE!</v>
      </c>
      <c r="AA1042" s="304">
        <f ca="1">OFFSET(卡牌辅助配置表!$AD$1,MATCH(AB1042,卡牌辅助配置表!AB:AB,0)-1,0)</f>
        <v>1184</v>
      </c>
      <c r="AB1042" s="304">
        <f ca="1" t="shared" si="177"/>
        <v>1312</v>
      </c>
      <c r="AC1042" s="153">
        <v>12</v>
      </c>
      <c r="AF1042" s="153" t="str">
        <f ca="1" t="shared" si="180"/>
        <v>20090011|</v>
      </c>
      <c r="AJ1042" s="205" t="str">
        <f ca="1" t="shared" si="178"/>
        <v>400023|7000|;</v>
      </c>
      <c r="AK1042" s="205">
        <f ca="1">OFFSET([1]item_type!$A$1,MATCH(Q1042,[1]item_type!$G:$G,0)-1,0)</f>
        <v>302009</v>
      </c>
      <c r="AL1042" s="205"/>
      <c r="AM1042" s="205">
        <f ca="1">IF(B1042=B1043,OFFSET(卡牌辅助配置表!$AE$1,MATCH(AB1042,卡牌辅助配置表!AB:AB,0),0),0)</f>
        <v>7000</v>
      </c>
      <c r="AN1042" s="153">
        <f ca="1" t="shared" si="179"/>
        <v>2009013</v>
      </c>
      <c r="AP1042" s="153">
        <f ca="1">IF(AC1042=0,0,IF(AC1042=12,0,OFFSET(effect!$N$1,MATCH(K1042,effect!M:M,0)-1,0)))</f>
        <v>0</v>
      </c>
    </row>
    <row r="1043" spans="1:42">
      <c r="A1043" s="153">
        <f ca="1" t="shared" si="175"/>
        <v>2009013</v>
      </c>
      <c r="B1043" s="91" t="s">
        <v>295</v>
      </c>
      <c r="C1043" s="186">
        <v>2</v>
      </c>
      <c r="D1043" s="186">
        <v>1</v>
      </c>
      <c r="E1043" s="165" t="s">
        <v>1058</v>
      </c>
      <c r="F1043" s="179" t="s">
        <v>1061</v>
      </c>
      <c r="G1043" s="186">
        <f ca="1">OFFSET(卡牌辅助配置表!$C$1,MATCH(AC1043,卡牌辅助配置表!A:A,0)-1,0)</f>
        <v>0</v>
      </c>
      <c r="H1043" s="186" t="e">
        <f ca="1">OFFSET(skill!$Q$1,MATCH(B1043,skill!B:B,0)-1,0)</f>
        <v>#VALUE!</v>
      </c>
      <c r="I1043" s="186"/>
      <c r="J1043" s="186">
        <f ca="1">OFFSET(card_type!$F$1,MATCH(Q1043,card_type!A:A,0)-1,0)</f>
        <v>1</v>
      </c>
      <c r="K1043" s="243">
        <f ca="1">OFFSET(card_type!$G$1,MATCH(Q1043,card_type!A:A,0)-1,0)</f>
        <v>3</v>
      </c>
      <c r="L1043" s="157">
        <v>3</v>
      </c>
      <c r="M1043" s="157">
        <v>3</v>
      </c>
      <c r="N1043" s="153">
        <f t="shared" si="174"/>
        <v>13</v>
      </c>
      <c r="O1043" s="157"/>
      <c r="P1043" s="157"/>
      <c r="Q1043" s="153">
        <f ca="1">OFFSET(card_type!$A$1,MATCH(card!B1043,card_type!B:B,0)-1,0)</f>
        <v>2009</v>
      </c>
      <c r="R1043" s="153">
        <v>1</v>
      </c>
      <c r="S1043" s="157">
        <f ca="1">ROUND(IF(R1043=0,0,IF(R1043=1,X1043*$S$1,IF(R1043=2,X1043*$S$1*buff的资质计算!$E$2,IF(R1043=3,X1043*$S$1*buff的资质计算!$E$3,0)))),0)*0</f>
        <v>0</v>
      </c>
      <c r="T1043" s="153">
        <v>4</v>
      </c>
      <c r="U1043" s="153">
        <f ca="1" t="shared" si="176"/>
        <v>13</v>
      </c>
      <c r="V1043" s="153">
        <f ca="1">ROUND((OFFSET(卡牌辅助配置表!$O$1,MATCH(U1043,卡牌辅助配置表!M:M,0)-1,0)+(N1043-1)*OFFSET(卡牌辅助配置表!$P$1,MATCH(U1043,卡牌辅助配置表!M:M,0)-1,0))*M1043,2)</f>
        <v>63.84</v>
      </c>
      <c r="W1043" s="157">
        <f ca="1">ROUND(IF(R1043=0,0,IF(R1043=1,X1043*$W$1,IF(R1043=2,X1043*$W$1*buff的资质计算!$E$2,IF(R1043=3,X1043*$W$1*buff的资质计算!$E$3,0)))),2)</f>
        <v>13.5</v>
      </c>
      <c r="X1043" s="157">
        <f ca="1" t="shared" si="172"/>
        <v>45</v>
      </c>
      <c r="Y1043" s="157" t="e">
        <f ca="1" t="shared" ref="Y1043:Y1106" si="181">X1043+H1043</f>
        <v>#VALUE!</v>
      </c>
      <c r="Z1043" s="304" t="e">
        <f ca="1" t="shared" si="173"/>
        <v>#VALUE!</v>
      </c>
      <c r="AA1043" s="304">
        <f ca="1">OFFSET(卡牌辅助配置表!$AD$1,MATCH(AB1043,卡牌辅助配置表!AB:AB,0)-1,0)</f>
        <v>1321</v>
      </c>
      <c r="AB1043" s="304">
        <f ca="1" t="shared" si="177"/>
        <v>1313</v>
      </c>
      <c r="AC1043" s="153">
        <v>12</v>
      </c>
      <c r="AF1043" s="153" t="str">
        <f ca="1" t="shared" si="180"/>
        <v>20090011|</v>
      </c>
      <c r="AJ1043" s="205" t="str">
        <f ca="1" t="shared" si="178"/>
        <v>400023|7800|;</v>
      </c>
      <c r="AK1043" s="205">
        <f ca="1">OFFSET([1]item_type!$A$1,MATCH(Q1043,[1]item_type!$G:$G,0)-1,0)</f>
        <v>302009</v>
      </c>
      <c r="AL1043" s="205"/>
      <c r="AM1043" s="205">
        <f ca="1">IF(B1043=B1044,OFFSET(卡牌辅助配置表!$AE$1,MATCH(AB1043,卡牌辅助配置表!AB:AB,0),0),0)</f>
        <v>7800</v>
      </c>
      <c r="AN1043" s="153">
        <f ca="1" t="shared" si="179"/>
        <v>2009014</v>
      </c>
      <c r="AP1043" s="153">
        <f ca="1">IF(AC1043=0,0,IF(AC1043=12,0,OFFSET(effect!$N$1,MATCH(K1043,effect!M:M,0)-1,0)))</f>
        <v>0</v>
      </c>
    </row>
    <row r="1044" spans="1:42">
      <c r="A1044" s="153">
        <f ca="1" t="shared" si="175"/>
        <v>2009014</v>
      </c>
      <c r="B1044" s="91" t="s">
        <v>295</v>
      </c>
      <c r="C1044" s="186">
        <v>2</v>
      </c>
      <c r="D1044" s="186">
        <v>1</v>
      </c>
      <c r="E1044" s="165" t="s">
        <v>1058</v>
      </c>
      <c r="F1044" s="179" t="s">
        <v>1061</v>
      </c>
      <c r="G1044" s="186">
        <f ca="1">OFFSET(卡牌辅助配置表!$C$1,MATCH(AC1044,卡牌辅助配置表!A:A,0)-1,0)</f>
        <v>0</v>
      </c>
      <c r="H1044" s="186" t="e">
        <f ca="1">OFFSET(skill!$Q$1,MATCH(B1044,skill!B:B,0)-1,0)</f>
        <v>#VALUE!</v>
      </c>
      <c r="I1044" s="186"/>
      <c r="J1044" s="186">
        <f ca="1">OFFSET(card_type!$F$1,MATCH(Q1044,card_type!A:A,0)-1,0)</f>
        <v>1</v>
      </c>
      <c r="K1044" s="243">
        <f ca="1">OFFSET(card_type!$G$1,MATCH(Q1044,card_type!A:A,0)-1,0)</f>
        <v>3</v>
      </c>
      <c r="L1044" s="157">
        <v>3</v>
      </c>
      <c r="M1044" s="157">
        <v>3</v>
      </c>
      <c r="N1044" s="153">
        <f t="shared" si="174"/>
        <v>14</v>
      </c>
      <c r="O1044" s="157"/>
      <c r="P1044" s="157"/>
      <c r="Q1044" s="153">
        <f ca="1">OFFSET(card_type!$A$1,MATCH(card!B1044,card_type!B:B,0)-1,0)</f>
        <v>2009</v>
      </c>
      <c r="R1044" s="153">
        <v>1</v>
      </c>
      <c r="S1044" s="157">
        <f ca="1">ROUND(IF(R1044=0,0,IF(R1044=1,X1044*$S$1,IF(R1044=2,X1044*$S$1*buff的资质计算!$E$2,IF(R1044=3,X1044*$S$1*buff的资质计算!$E$3,0)))),0)*0</f>
        <v>0</v>
      </c>
      <c r="T1044" s="153">
        <v>4</v>
      </c>
      <c r="U1044" s="153">
        <f ca="1" t="shared" si="176"/>
        <v>13</v>
      </c>
      <c r="V1044" s="153">
        <f ca="1">ROUND((OFFSET(卡牌辅助配置表!$O$1,MATCH(U1044,卡牌辅助配置表!M:M,0)-1,0)+(N1044-1)*OFFSET(卡牌辅助配置表!$P$1,MATCH(U1044,卡牌辅助配置表!M:M,0)-1,0))*M1044,2)</f>
        <v>65.36</v>
      </c>
      <c r="W1044" s="157">
        <f ca="1">ROUND(IF(R1044=0,0,IF(R1044=1,X1044*$W$1,IF(R1044=2,X1044*$W$1*buff的资质计算!$E$2,IF(R1044=3,X1044*$W$1*buff的资质计算!$E$3,0)))),2)</f>
        <v>13.65</v>
      </c>
      <c r="X1044" s="157">
        <f ca="1" t="shared" si="172"/>
        <v>45.5</v>
      </c>
      <c r="Y1044" s="157" t="e">
        <f ca="1" t="shared" si="181"/>
        <v>#VALUE!</v>
      </c>
      <c r="Z1044" s="304" t="e">
        <f ca="1" t="shared" si="173"/>
        <v>#VALUE!</v>
      </c>
      <c r="AA1044" s="304">
        <f ca="1">OFFSET(卡牌辅助配置表!$AD$1,MATCH(AB1044,卡牌辅助配置表!AB:AB,0)-1,0)</f>
        <v>1458</v>
      </c>
      <c r="AB1044" s="304">
        <f ca="1" t="shared" si="177"/>
        <v>1314</v>
      </c>
      <c r="AC1044" s="153">
        <v>12</v>
      </c>
      <c r="AF1044" s="153" t="str">
        <f ca="1" t="shared" si="180"/>
        <v>20090011|</v>
      </c>
      <c r="AJ1044" s="205" t="str">
        <f ca="1" t="shared" si="178"/>
        <v>400023|8600|;</v>
      </c>
      <c r="AK1044" s="205">
        <f ca="1">OFFSET([1]item_type!$A$1,MATCH(Q1044,[1]item_type!$G:$G,0)-1,0)</f>
        <v>302009</v>
      </c>
      <c r="AL1044" s="205"/>
      <c r="AM1044" s="205">
        <f ca="1">IF(B1044=B1045,OFFSET(卡牌辅助配置表!$AE$1,MATCH(AB1044,卡牌辅助配置表!AB:AB,0),0),0)</f>
        <v>8600</v>
      </c>
      <c r="AN1044" s="153">
        <f ca="1" t="shared" si="179"/>
        <v>2009015</v>
      </c>
      <c r="AP1044" s="153">
        <f ca="1">IF(AC1044=0,0,IF(AC1044=12,0,OFFSET(effect!$N$1,MATCH(K1044,effect!M:M,0)-1,0)))</f>
        <v>0</v>
      </c>
    </row>
    <row r="1045" spans="1:42">
      <c r="A1045" s="153">
        <f ca="1" t="shared" si="175"/>
        <v>2009015</v>
      </c>
      <c r="B1045" s="91" t="s">
        <v>295</v>
      </c>
      <c r="C1045" s="186">
        <v>2</v>
      </c>
      <c r="D1045" s="186">
        <v>1</v>
      </c>
      <c r="E1045" s="165" t="s">
        <v>1058</v>
      </c>
      <c r="F1045" s="179" t="s">
        <v>1061</v>
      </c>
      <c r="G1045" s="186">
        <f ca="1">OFFSET(卡牌辅助配置表!$C$1,MATCH(AC1045,卡牌辅助配置表!A:A,0)-1,0)</f>
        <v>0</v>
      </c>
      <c r="H1045" s="186" t="e">
        <f ca="1">OFFSET(skill!$Q$1,MATCH(B1045,skill!B:B,0)-1,0)</f>
        <v>#VALUE!</v>
      </c>
      <c r="I1045" s="186"/>
      <c r="J1045" s="186">
        <f ca="1">OFFSET(card_type!$F$1,MATCH(Q1045,card_type!A:A,0)-1,0)</f>
        <v>1</v>
      </c>
      <c r="K1045" s="243">
        <f ca="1">OFFSET(card_type!$G$1,MATCH(Q1045,card_type!A:A,0)-1,0)</f>
        <v>3</v>
      </c>
      <c r="L1045" s="157">
        <v>3</v>
      </c>
      <c r="M1045" s="157">
        <v>3</v>
      </c>
      <c r="N1045" s="153">
        <f t="shared" si="174"/>
        <v>15</v>
      </c>
      <c r="O1045" s="157"/>
      <c r="P1045" s="157"/>
      <c r="Q1045" s="153">
        <f ca="1">OFFSET(card_type!$A$1,MATCH(card!B1045,card_type!B:B,0)-1,0)</f>
        <v>2009</v>
      </c>
      <c r="R1045" s="153">
        <v>1</v>
      </c>
      <c r="S1045" s="157">
        <f ca="1">ROUND(IF(R1045=0,0,IF(R1045=1,X1045*$S$1,IF(R1045=2,X1045*$S$1*buff的资质计算!$E$2,IF(R1045=3,X1045*$S$1*buff的资质计算!$E$3,0)))),0)*0</f>
        <v>0</v>
      </c>
      <c r="T1045" s="153">
        <v>4</v>
      </c>
      <c r="U1045" s="153">
        <f ca="1" t="shared" si="176"/>
        <v>13</v>
      </c>
      <c r="V1045" s="153">
        <f ca="1">ROUND((OFFSET(卡牌辅助配置表!$O$1,MATCH(U1045,卡牌辅助配置表!M:M,0)-1,0)+(N1045-1)*OFFSET(卡牌辅助配置表!$P$1,MATCH(U1045,卡牌辅助配置表!M:M,0)-1,0))*M1045,2)</f>
        <v>66.88</v>
      </c>
      <c r="W1045" s="157">
        <f ca="1">ROUND(IF(R1045=0,0,IF(R1045=1,X1045*$W$1,IF(R1045=2,X1045*$W$1*buff的资质计算!$E$2,IF(R1045=3,X1045*$W$1*buff的资质计算!$E$3,0)))),2)</f>
        <v>13.8</v>
      </c>
      <c r="X1045" s="157">
        <f ca="1" t="shared" si="172"/>
        <v>46</v>
      </c>
      <c r="Y1045" s="157" t="e">
        <f ca="1" t="shared" si="181"/>
        <v>#VALUE!</v>
      </c>
      <c r="Z1045" s="304" t="e">
        <f ca="1" t="shared" si="173"/>
        <v>#VALUE!</v>
      </c>
      <c r="AA1045" s="304">
        <f ca="1">OFFSET(卡牌辅助配置表!$AD$1,MATCH(AB1045,卡牌辅助配置表!AB:AB,0)-1,0)</f>
        <v>1595</v>
      </c>
      <c r="AB1045" s="304">
        <f ca="1" t="shared" si="177"/>
        <v>1315</v>
      </c>
      <c r="AC1045" s="153">
        <v>12</v>
      </c>
      <c r="AF1045" s="153" t="str">
        <f ca="1" t="shared" si="180"/>
        <v>20090011|</v>
      </c>
      <c r="AJ1045" s="205" t="str">
        <f ca="1" t="shared" si="178"/>
        <v>400023|9400|;</v>
      </c>
      <c r="AK1045" s="205">
        <f ca="1">OFFSET([1]item_type!$A$1,MATCH(Q1045,[1]item_type!$G:$G,0)-1,0)</f>
        <v>302009</v>
      </c>
      <c r="AL1045" s="205"/>
      <c r="AM1045" s="205">
        <f ca="1">IF(B1045=B1046,OFFSET(卡牌辅助配置表!$AE$1,MATCH(AB1045,卡牌辅助配置表!AB:AB,0),0),0)</f>
        <v>9400</v>
      </c>
      <c r="AN1045" s="153">
        <f ca="1" t="shared" si="179"/>
        <v>2009016</v>
      </c>
      <c r="AP1045" s="153">
        <f ca="1">IF(AC1045=0,0,IF(AC1045=12,0,OFFSET(effect!$N$1,MATCH(K1045,effect!M:M,0)-1,0)))</f>
        <v>0</v>
      </c>
    </row>
    <row r="1046" spans="1:42">
      <c r="A1046" s="153">
        <f ca="1" t="shared" si="175"/>
        <v>2009016</v>
      </c>
      <c r="B1046" s="91" t="s">
        <v>295</v>
      </c>
      <c r="C1046" s="186">
        <v>2</v>
      </c>
      <c r="D1046" s="186">
        <v>1</v>
      </c>
      <c r="E1046" s="165" t="s">
        <v>1058</v>
      </c>
      <c r="F1046" s="179" t="s">
        <v>1061</v>
      </c>
      <c r="G1046" s="186">
        <f ca="1">OFFSET(卡牌辅助配置表!$C$1,MATCH(AC1046,卡牌辅助配置表!A:A,0)-1,0)</f>
        <v>0</v>
      </c>
      <c r="H1046" s="186" t="e">
        <f ca="1">OFFSET(skill!$Q$1,MATCH(B1046,skill!B:B,0)-1,0)</f>
        <v>#VALUE!</v>
      </c>
      <c r="I1046" s="186"/>
      <c r="J1046" s="186">
        <f ca="1">OFFSET(card_type!$F$1,MATCH(Q1046,card_type!A:A,0)-1,0)</f>
        <v>1</v>
      </c>
      <c r="K1046" s="243">
        <f ca="1">OFFSET(card_type!$G$1,MATCH(Q1046,card_type!A:A,0)-1,0)</f>
        <v>3</v>
      </c>
      <c r="L1046" s="157">
        <v>3</v>
      </c>
      <c r="M1046" s="157">
        <v>3</v>
      </c>
      <c r="N1046" s="153">
        <f t="shared" si="174"/>
        <v>16</v>
      </c>
      <c r="O1046" s="157"/>
      <c r="P1046" s="157"/>
      <c r="Q1046" s="153">
        <f ca="1">OFFSET(card_type!$A$1,MATCH(card!B1046,card_type!B:B,0)-1,0)</f>
        <v>2009</v>
      </c>
      <c r="R1046" s="153">
        <v>1</v>
      </c>
      <c r="S1046" s="157">
        <f ca="1">ROUND(IF(R1046=0,0,IF(R1046=1,X1046*$S$1,IF(R1046=2,X1046*$S$1*buff的资质计算!$E$2,IF(R1046=3,X1046*$S$1*buff的资质计算!$E$3,0)))),0)*0</f>
        <v>0</v>
      </c>
      <c r="T1046" s="153">
        <v>4</v>
      </c>
      <c r="U1046" s="153">
        <f ca="1" t="shared" si="176"/>
        <v>13</v>
      </c>
      <c r="V1046" s="153">
        <f ca="1">ROUND((OFFSET(卡牌辅助配置表!$O$1,MATCH(U1046,卡牌辅助配置表!M:M,0)-1,0)+(N1046-1)*OFFSET(卡牌辅助配置表!$P$1,MATCH(U1046,卡牌辅助配置表!M:M,0)-1,0))*M1046,2)</f>
        <v>68.4</v>
      </c>
      <c r="W1046" s="157">
        <f ca="1">ROUND(IF(R1046=0,0,IF(R1046=1,X1046*$W$1,IF(R1046=2,X1046*$W$1*buff的资质计算!$E$2,IF(R1046=3,X1046*$W$1*buff的资质计算!$E$3,0)))),2)</f>
        <v>13.95</v>
      </c>
      <c r="X1046" s="157">
        <f ca="1" t="shared" si="172"/>
        <v>46.5</v>
      </c>
      <c r="Y1046" s="157" t="e">
        <f ca="1" t="shared" si="181"/>
        <v>#VALUE!</v>
      </c>
      <c r="Z1046" s="304" t="e">
        <f ca="1" t="shared" si="173"/>
        <v>#VALUE!</v>
      </c>
      <c r="AA1046" s="304">
        <f ca="1">OFFSET(卡牌辅助配置表!$AD$1,MATCH(AB1046,卡牌辅助配置表!AB:AB,0)-1,0)</f>
        <v>1732</v>
      </c>
      <c r="AB1046" s="304">
        <f ca="1" t="shared" si="177"/>
        <v>1316</v>
      </c>
      <c r="AC1046" s="153">
        <v>12</v>
      </c>
      <c r="AF1046" s="153" t="str">
        <f ca="1" t="shared" si="180"/>
        <v>20090011|</v>
      </c>
      <c r="AJ1046" s="205" t="str">
        <f ca="1" t="shared" si="178"/>
        <v>400023|10200|;</v>
      </c>
      <c r="AK1046" s="205">
        <f ca="1">OFFSET([1]item_type!$A$1,MATCH(Q1046,[1]item_type!$G:$G,0)-1,0)</f>
        <v>302009</v>
      </c>
      <c r="AL1046" s="205"/>
      <c r="AM1046" s="205">
        <f ca="1">IF(B1046=B1047,OFFSET(卡牌辅助配置表!$AE$1,MATCH(AB1046,卡牌辅助配置表!AB:AB,0),0),0)</f>
        <v>10200</v>
      </c>
      <c r="AN1046" s="153">
        <f ca="1" t="shared" si="179"/>
        <v>2009017</v>
      </c>
      <c r="AP1046" s="153">
        <f ca="1">IF(AC1046=0,0,IF(AC1046=12,0,OFFSET(effect!$N$1,MATCH(K1046,effect!M:M,0)-1,0)))</f>
        <v>0</v>
      </c>
    </row>
    <row r="1047" spans="1:42">
      <c r="A1047" s="153">
        <f ca="1" t="shared" si="175"/>
        <v>2009017</v>
      </c>
      <c r="B1047" s="91" t="s">
        <v>295</v>
      </c>
      <c r="C1047" s="186">
        <v>2</v>
      </c>
      <c r="D1047" s="186">
        <v>1</v>
      </c>
      <c r="E1047" s="165" t="s">
        <v>1058</v>
      </c>
      <c r="F1047" s="179" t="s">
        <v>1061</v>
      </c>
      <c r="G1047" s="186">
        <f ca="1">OFFSET(卡牌辅助配置表!$C$1,MATCH(AC1047,卡牌辅助配置表!A:A,0)-1,0)</f>
        <v>0</v>
      </c>
      <c r="H1047" s="186" t="e">
        <f ca="1">OFFSET(skill!$Q$1,MATCH(B1047,skill!B:B,0)-1,0)</f>
        <v>#VALUE!</v>
      </c>
      <c r="I1047" s="186"/>
      <c r="J1047" s="186">
        <f ca="1">OFFSET(card_type!$F$1,MATCH(Q1047,card_type!A:A,0)-1,0)</f>
        <v>1</v>
      </c>
      <c r="K1047" s="243">
        <f ca="1">OFFSET(card_type!$G$1,MATCH(Q1047,card_type!A:A,0)-1,0)</f>
        <v>3</v>
      </c>
      <c r="L1047" s="157">
        <v>3</v>
      </c>
      <c r="M1047" s="157">
        <v>3</v>
      </c>
      <c r="N1047" s="153">
        <f t="shared" si="174"/>
        <v>17</v>
      </c>
      <c r="O1047" s="157"/>
      <c r="P1047" s="157"/>
      <c r="Q1047" s="153">
        <f ca="1">OFFSET(card_type!$A$1,MATCH(card!B1047,card_type!B:B,0)-1,0)</f>
        <v>2009</v>
      </c>
      <c r="R1047" s="153">
        <v>1</v>
      </c>
      <c r="S1047" s="157">
        <f ca="1">ROUND(IF(R1047=0,0,IF(R1047=1,X1047*$S$1,IF(R1047=2,X1047*$S$1*buff的资质计算!$E$2,IF(R1047=3,X1047*$S$1*buff的资质计算!$E$3,0)))),0)*0</f>
        <v>0</v>
      </c>
      <c r="T1047" s="153">
        <v>4</v>
      </c>
      <c r="U1047" s="153">
        <f ca="1" t="shared" si="176"/>
        <v>13</v>
      </c>
      <c r="V1047" s="153">
        <f ca="1">ROUND((OFFSET(卡牌辅助配置表!$O$1,MATCH(U1047,卡牌辅助配置表!M:M,0)-1,0)+(N1047-1)*OFFSET(卡牌辅助配置表!$P$1,MATCH(U1047,卡牌辅助配置表!M:M,0)-1,0))*M1047,2)</f>
        <v>69.92</v>
      </c>
      <c r="W1047" s="157">
        <f ca="1">ROUND(IF(R1047=0,0,IF(R1047=1,X1047*$W$1,IF(R1047=2,X1047*$W$1*buff的资质计算!$E$2,IF(R1047=3,X1047*$W$1*buff的资质计算!$E$3,0)))),2)</f>
        <v>14.1</v>
      </c>
      <c r="X1047" s="157">
        <f ca="1" t="shared" si="172"/>
        <v>47</v>
      </c>
      <c r="Y1047" s="157" t="e">
        <f ca="1" t="shared" si="181"/>
        <v>#VALUE!</v>
      </c>
      <c r="Z1047" s="304" t="e">
        <f ca="1" t="shared" si="173"/>
        <v>#VALUE!</v>
      </c>
      <c r="AA1047" s="304">
        <f ca="1">OFFSET(卡牌辅助配置表!$AD$1,MATCH(AB1047,卡牌辅助配置表!AB:AB,0)-1,0)</f>
        <v>1869</v>
      </c>
      <c r="AB1047" s="304">
        <f ca="1" t="shared" si="177"/>
        <v>1317</v>
      </c>
      <c r="AC1047" s="153">
        <v>12</v>
      </c>
      <c r="AF1047" s="153" t="str">
        <f ca="1" t="shared" si="180"/>
        <v>20090011|</v>
      </c>
      <c r="AJ1047" s="205" t="str">
        <f ca="1" t="shared" si="178"/>
        <v>400023|11000|;</v>
      </c>
      <c r="AK1047" s="205">
        <f ca="1">OFFSET([1]item_type!$A$1,MATCH(Q1047,[1]item_type!$G:$G,0)-1,0)</f>
        <v>302009</v>
      </c>
      <c r="AL1047" s="205"/>
      <c r="AM1047" s="205">
        <f ca="1">IF(B1047=B1048,OFFSET(卡牌辅助配置表!$AE$1,MATCH(AB1047,卡牌辅助配置表!AB:AB,0),0),0)</f>
        <v>11000</v>
      </c>
      <c r="AN1047" s="153">
        <f ca="1" t="shared" si="179"/>
        <v>2009018</v>
      </c>
      <c r="AP1047" s="153">
        <f ca="1">IF(AC1047=0,0,IF(AC1047=12,0,OFFSET(effect!$N$1,MATCH(K1047,effect!M:M,0)-1,0)))</f>
        <v>0</v>
      </c>
    </row>
    <row r="1048" spans="1:42">
      <c r="A1048" s="153">
        <f ca="1" t="shared" si="175"/>
        <v>2009018</v>
      </c>
      <c r="B1048" s="91" t="s">
        <v>295</v>
      </c>
      <c r="C1048" s="186">
        <v>2</v>
      </c>
      <c r="D1048" s="186">
        <v>1</v>
      </c>
      <c r="E1048" s="165" t="s">
        <v>1058</v>
      </c>
      <c r="F1048" s="179" t="s">
        <v>1061</v>
      </c>
      <c r="G1048" s="186">
        <f ca="1">OFFSET(卡牌辅助配置表!$C$1,MATCH(AC1048,卡牌辅助配置表!A:A,0)-1,0)</f>
        <v>0</v>
      </c>
      <c r="H1048" s="186" t="e">
        <f ca="1">OFFSET(skill!$Q$1,MATCH(B1048,skill!B:B,0)-1,0)</f>
        <v>#VALUE!</v>
      </c>
      <c r="I1048" s="186"/>
      <c r="J1048" s="186">
        <f ca="1">OFFSET(card_type!$F$1,MATCH(Q1048,card_type!A:A,0)-1,0)</f>
        <v>1</v>
      </c>
      <c r="K1048" s="243">
        <f ca="1">OFFSET(card_type!$G$1,MATCH(Q1048,card_type!A:A,0)-1,0)</f>
        <v>3</v>
      </c>
      <c r="L1048" s="157">
        <v>3</v>
      </c>
      <c r="M1048" s="157">
        <v>3</v>
      </c>
      <c r="N1048" s="153">
        <f t="shared" si="174"/>
        <v>18</v>
      </c>
      <c r="O1048" s="157"/>
      <c r="P1048" s="157"/>
      <c r="Q1048" s="153">
        <f ca="1">OFFSET(card_type!$A$1,MATCH(card!B1048,card_type!B:B,0)-1,0)</f>
        <v>2009</v>
      </c>
      <c r="R1048" s="153">
        <v>1</v>
      </c>
      <c r="S1048" s="157">
        <f ca="1">ROUND(IF(R1048=0,0,IF(R1048=1,X1048*$S$1,IF(R1048=2,X1048*$S$1*buff的资质计算!$E$2,IF(R1048=3,X1048*$S$1*buff的资质计算!$E$3,0)))),0)*0</f>
        <v>0</v>
      </c>
      <c r="T1048" s="153">
        <v>4</v>
      </c>
      <c r="U1048" s="153">
        <f ca="1" t="shared" si="176"/>
        <v>13</v>
      </c>
      <c r="V1048" s="153">
        <f ca="1">ROUND((OFFSET(卡牌辅助配置表!$O$1,MATCH(U1048,卡牌辅助配置表!M:M,0)-1,0)+(N1048-1)*OFFSET(卡牌辅助配置表!$P$1,MATCH(U1048,卡牌辅助配置表!M:M,0)-1,0))*M1048,2)</f>
        <v>71.44</v>
      </c>
      <c r="W1048" s="157">
        <f ca="1">ROUND(IF(R1048=0,0,IF(R1048=1,X1048*$W$1,IF(R1048=2,X1048*$W$1*buff的资质计算!$E$2,IF(R1048=3,X1048*$W$1*buff的资质计算!$E$3,0)))),2)</f>
        <v>14.25</v>
      </c>
      <c r="X1048" s="157">
        <f ca="1" t="shared" si="172"/>
        <v>47.5</v>
      </c>
      <c r="Y1048" s="157" t="e">
        <f ca="1" t="shared" si="181"/>
        <v>#VALUE!</v>
      </c>
      <c r="Z1048" s="304" t="e">
        <f ca="1" t="shared" si="173"/>
        <v>#VALUE!</v>
      </c>
      <c r="AA1048" s="304">
        <f ca="1">OFFSET(卡牌辅助配置表!$AD$1,MATCH(AB1048,卡牌辅助配置表!AB:AB,0)-1,0)</f>
        <v>2006</v>
      </c>
      <c r="AB1048" s="304">
        <f ca="1" t="shared" si="177"/>
        <v>1318</v>
      </c>
      <c r="AC1048" s="153">
        <v>12</v>
      </c>
      <c r="AF1048" s="153" t="str">
        <f ca="1" t="shared" si="180"/>
        <v>20090011|</v>
      </c>
      <c r="AJ1048" s="205" t="str">
        <f ca="1" t="shared" si="178"/>
        <v>400023|11800|;</v>
      </c>
      <c r="AK1048" s="205">
        <f ca="1">OFFSET([1]item_type!$A$1,MATCH(Q1048,[1]item_type!$G:$G,0)-1,0)</f>
        <v>302009</v>
      </c>
      <c r="AL1048" s="205"/>
      <c r="AM1048" s="205">
        <f ca="1">IF(B1048=B1049,OFFSET(卡牌辅助配置表!$AE$1,MATCH(AB1048,卡牌辅助配置表!AB:AB,0),0),0)</f>
        <v>11800</v>
      </c>
      <c r="AN1048" s="153">
        <f ca="1" t="shared" si="179"/>
        <v>2009019</v>
      </c>
      <c r="AP1048" s="153">
        <f ca="1">IF(AC1048=0,0,IF(AC1048=12,0,OFFSET(effect!$N$1,MATCH(K1048,effect!M:M,0)-1,0)))</f>
        <v>0</v>
      </c>
    </row>
    <row r="1049" spans="1:42">
      <c r="A1049" s="153">
        <f ca="1" t="shared" si="175"/>
        <v>2009019</v>
      </c>
      <c r="B1049" s="91" t="s">
        <v>295</v>
      </c>
      <c r="C1049" s="186">
        <v>2</v>
      </c>
      <c r="D1049" s="186">
        <v>1</v>
      </c>
      <c r="E1049" s="165" t="s">
        <v>1058</v>
      </c>
      <c r="F1049" s="179" t="s">
        <v>1061</v>
      </c>
      <c r="G1049" s="186">
        <f ca="1">OFFSET(卡牌辅助配置表!$C$1,MATCH(AC1049,卡牌辅助配置表!A:A,0)-1,0)</f>
        <v>0</v>
      </c>
      <c r="H1049" s="186" t="e">
        <f ca="1">OFFSET(skill!$Q$1,MATCH(B1049,skill!B:B,0)-1,0)</f>
        <v>#VALUE!</v>
      </c>
      <c r="I1049" s="186"/>
      <c r="J1049" s="186">
        <f ca="1">OFFSET(card_type!$F$1,MATCH(Q1049,card_type!A:A,0)-1,0)</f>
        <v>1</v>
      </c>
      <c r="K1049" s="243">
        <f ca="1">OFFSET(card_type!$G$1,MATCH(Q1049,card_type!A:A,0)-1,0)</f>
        <v>3</v>
      </c>
      <c r="L1049" s="157">
        <v>3</v>
      </c>
      <c r="M1049" s="157">
        <v>3</v>
      </c>
      <c r="N1049" s="153">
        <f t="shared" si="174"/>
        <v>19</v>
      </c>
      <c r="O1049" s="157"/>
      <c r="P1049" s="157"/>
      <c r="Q1049" s="153">
        <f ca="1">OFFSET(card_type!$A$1,MATCH(card!B1049,card_type!B:B,0)-1,0)</f>
        <v>2009</v>
      </c>
      <c r="R1049" s="153">
        <v>1</v>
      </c>
      <c r="S1049" s="157">
        <f ca="1">ROUND(IF(R1049=0,0,IF(R1049=1,X1049*$S$1,IF(R1049=2,X1049*$S$1*buff的资质计算!$E$2,IF(R1049=3,X1049*$S$1*buff的资质计算!$E$3,0)))),0)*0</f>
        <v>0</v>
      </c>
      <c r="T1049" s="153">
        <v>4</v>
      </c>
      <c r="U1049" s="153">
        <f ca="1" t="shared" si="176"/>
        <v>13</v>
      </c>
      <c r="V1049" s="153">
        <f ca="1">ROUND((OFFSET(卡牌辅助配置表!$O$1,MATCH(U1049,卡牌辅助配置表!M:M,0)-1,0)+(N1049-1)*OFFSET(卡牌辅助配置表!$P$1,MATCH(U1049,卡牌辅助配置表!M:M,0)-1,0))*M1049,2)</f>
        <v>72.96</v>
      </c>
      <c r="W1049" s="157">
        <f ca="1">ROUND(IF(R1049=0,0,IF(R1049=1,X1049*$W$1,IF(R1049=2,X1049*$W$1*buff的资质计算!$E$2,IF(R1049=3,X1049*$W$1*buff的资质计算!$E$3,0)))),2)</f>
        <v>14.4</v>
      </c>
      <c r="X1049" s="157">
        <f ca="1" t="shared" si="172"/>
        <v>48</v>
      </c>
      <c r="Y1049" s="157" t="e">
        <f ca="1" t="shared" si="181"/>
        <v>#VALUE!</v>
      </c>
      <c r="Z1049" s="304" t="e">
        <f ca="1" t="shared" si="173"/>
        <v>#VALUE!</v>
      </c>
      <c r="AA1049" s="304">
        <f ca="1">OFFSET(卡牌辅助配置表!$AD$1,MATCH(AB1049,卡牌辅助配置表!AB:AB,0)-1,0)</f>
        <v>2143</v>
      </c>
      <c r="AB1049" s="304">
        <f ca="1" t="shared" si="177"/>
        <v>1319</v>
      </c>
      <c r="AC1049" s="153">
        <v>12</v>
      </c>
      <c r="AF1049" s="153" t="str">
        <f ca="1" t="shared" si="180"/>
        <v>20090011|</v>
      </c>
      <c r="AJ1049" s="205" t="str">
        <f ca="1" t="shared" si="178"/>
        <v>302009|20|;400023|12600|;</v>
      </c>
      <c r="AK1049" s="205">
        <f ca="1">OFFSET([1]item_type!$A$1,MATCH(Q1049,[1]item_type!$G:$G,0)-1,0)</f>
        <v>302009</v>
      </c>
      <c r="AL1049" s="205">
        <v>20</v>
      </c>
      <c r="AM1049" s="205">
        <f ca="1">IF(B1049=B1050,OFFSET(卡牌辅助配置表!$AE$1,MATCH(AB1049,卡牌辅助配置表!AB:AB,0),0),0)</f>
        <v>12600</v>
      </c>
      <c r="AN1049" s="153">
        <f ca="1" t="shared" si="179"/>
        <v>2009020</v>
      </c>
      <c r="AP1049" s="153">
        <f ca="1">IF(AC1049=0,0,IF(AC1049=12,0,OFFSET(effect!$N$1,MATCH(K1049,effect!M:M,0)-1,0)))</f>
        <v>0</v>
      </c>
    </row>
    <row r="1050" spans="1:42">
      <c r="A1050" s="153">
        <f ca="1" t="shared" si="175"/>
        <v>2009020</v>
      </c>
      <c r="B1050" s="91" t="s">
        <v>295</v>
      </c>
      <c r="C1050" s="186">
        <v>2</v>
      </c>
      <c r="D1050" s="186">
        <v>1</v>
      </c>
      <c r="E1050" s="165" t="s">
        <v>1058</v>
      </c>
      <c r="F1050" s="179" t="s">
        <v>1061</v>
      </c>
      <c r="G1050" s="186">
        <f ca="1">OFFSET(卡牌辅助配置表!$C$1,MATCH(AC1050,卡牌辅助配置表!A:A,0)-1,0)</f>
        <v>0</v>
      </c>
      <c r="H1050" s="186" t="e">
        <f ca="1">OFFSET(skill!$Q$1,MATCH(B1050,skill!B:B,0)-1,0)</f>
        <v>#VALUE!</v>
      </c>
      <c r="I1050" s="186"/>
      <c r="J1050" s="186">
        <f ca="1">OFFSET(card_type!$F$1,MATCH(Q1050,card_type!A:A,0)-1,0)</f>
        <v>1</v>
      </c>
      <c r="K1050" s="243">
        <f ca="1">OFFSET(card_type!$G$1,MATCH(Q1050,card_type!A:A,0)-1,0)</f>
        <v>3</v>
      </c>
      <c r="L1050" s="157">
        <v>3</v>
      </c>
      <c r="M1050" s="157">
        <v>3</v>
      </c>
      <c r="N1050" s="153">
        <f t="shared" si="174"/>
        <v>20</v>
      </c>
      <c r="O1050" s="157"/>
      <c r="P1050" s="157"/>
      <c r="Q1050" s="153">
        <f ca="1">OFFSET(card_type!$A$1,MATCH(card!B1050,card_type!B:B,0)-1,0)</f>
        <v>2009</v>
      </c>
      <c r="R1050" s="153">
        <v>1</v>
      </c>
      <c r="S1050" s="157">
        <f ca="1">ROUND(IF(R1050=0,0,IF(R1050=1,X1050*$S$1,IF(R1050=2,X1050*$S$1*buff的资质计算!$E$2,IF(R1050=3,X1050*$S$1*buff的资质计算!$E$3,0)))),0)*0</f>
        <v>0</v>
      </c>
      <c r="T1050" s="153">
        <v>4</v>
      </c>
      <c r="U1050" s="153">
        <f ca="1" t="shared" si="176"/>
        <v>13</v>
      </c>
      <c r="V1050" s="153">
        <f ca="1">ROUND((OFFSET(卡牌辅助配置表!$O$1,MATCH(U1050,卡牌辅助配置表!M:M,0)-1,0)+(N1050-1)*OFFSET(卡牌辅助配置表!$P$1,MATCH(U1050,卡牌辅助配置表!M:M,0)-1,0))*M1050,2)</f>
        <v>74.48</v>
      </c>
      <c r="W1050" s="157">
        <f ca="1">ROUND(IF(R1050=0,0,IF(R1050=1,X1050*$W$1,IF(R1050=2,X1050*$W$1*buff的资质计算!$E$2,IF(R1050=3,X1050*$W$1*buff的资质计算!$E$3,0)))),2)</f>
        <v>14.55</v>
      </c>
      <c r="X1050" s="157">
        <f ca="1" t="shared" si="172"/>
        <v>48.5</v>
      </c>
      <c r="Y1050" s="157" t="e">
        <f ca="1" t="shared" si="181"/>
        <v>#VALUE!</v>
      </c>
      <c r="Z1050" s="304" t="e">
        <f ca="1" t="shared" si="173"/>
        <v>#VALUE!</v>
      </c>
      <c r="AA1050" s="304">
        <f ca="1">OFFSET(卡牌辅助配置表!$AD$1,MATCH(AB1050,卡牌辅助配置表!AB:AB,0)-1,0)</f>
        <v>2280</v>
      </c>
      <c r="AB1050" s="304">
        <f ca="1" t="shared" si="177"/>
        <v>1320</v>
      </c>
      <c r="AC1050" s="153">
        <v>12</v>
      </c>
      <c r="AF1050" s="153" t="str">
        <f ca="1" t="shared" si="180"/>
        <v>20090011|</v>
      </c>
      <c r="AJ1050" s="205" t="str">
        <f ca="1" t="shared" si="178"/>
        <v>400023|14200|;</v>
      </c>
      <c r="AK1050" s="205">
        <f ca="1">OFFSET([1]item_type!$A$1,MATCH(Q1050,[1]item_type!$G:$G,0)-1,0)</f>
        <v>302009</v>
      </c>
      <c r="AL1050" s="205"/>
      <c r="AM1050" s="205">
        <f ca="1">IF(B1050=B1051,OFFSET(卡牌辅助配置表!$AE$1,MATCH(AB1050,卡牌辅助配置表!AB:AB,0),0),0)</f>
        <v>14200</v>
      </c>
      <c r="AN1050" s="153">
        <f ca="1" t="shared" si="179"/>
        <v>2009021</v>
      </c>
      <c r="AP1050" s="153">
        <f ca="1">IF(AC1050=0,0,IF(AC1050=12,0,OFFSET(effect!$N$1,MATCH(K1050,effect!M:M,0)-1,0)))</f>
        <v>0</v>
      </c>
    </row>
    <row r="1051" spans="1:42">
      <c r="A1051" s="153">
        <f ca="1" t="shared" si="175"/>
        <v>2009021</v>
      </c>
      <c r="B1051" s="91" t="s">
        <v>295</v>
      </c>
      <c r="C1051" s="186">
        <v>2</v>
      </c>
      <c r="D1051" s="186">
        <v>1</v>
      </c>
      <c r="E1051" s="165" t="s">
        <v>1058</v>
      </c>
      <c r="F1051" s="179" t="s">
        <v>1061</v>
      </c>
      <c r="G1051" s="186">
        <f ca="1">OFFSET(卡牌辅助配置表!$C$1,MATCH(AC1051,卡牌辅助配置表!A:A,0)-1,0)</f>
        <v>0</v>
      </c>
      <c r="H1051" s="186" t="e">
        <f ca="1">OFFSET(skill!$Q$1,MATCH(B1051,skill!B:B,0)-1,0)</f>
        <v>#VALUE!</v>
      </c>
      <c r="I1051" s="186"/>
      <c r="J1051" s="186">
        <f ca="1">OFFSET(card_type!$F$1,MATCH(Q1051,card_type!A:A,0)-1,0)</f>
        <v>1</v>
      </c>
      <c r="K1051" s="243">
        <f ca="1">OFFSET(card_type!$G$1,MATCH(Q1051,card_type!A:A,0)-1,0)</f>
        <v>3</v>
      </c>
      <c r="L1051" s="157">
        <v>3</v>
      </c>
      <c r="M1051" s="157">
        <v>3</v>
      </c>
      <c r="N1051" s="153">
        <f t="shared" si="174"/>
        <v>21</v>
      </c>
      <c r="O1051" s="157"/>
      <c r="P1051" s="157"/>
      <c r="Q1051" s="153">
        <f ca="1">OFFSET(card_type!$A$1,MATCH(card!B1051,card_type!B:B,0)-1,0)</f>
        <v>2009</v>
      </c>
      <c r="R1051" s="153">
        <v>1</v>
      </c>
      <c r="S1051" s="157">
        <f ca="1">ROUND(IF(R1051=0,0,IF(R1051=1,X1051*$S$1,IF(R1051=2,X1051*$S$1*buff的资质计算!$E$2,IF(R1051=3,X1051*$S$1*buff的资质计算!$E$3,0)))),0)*0</f>
        <v>0</v>
      </c>
      <c r="T1051" s="153">
        <v>4</v>
      </c>
      <c r="U1051" s="153">
        <f ca="1" t="shared" si="176"/>
        <v>13</v>
      </c>
      <c r="V1051" s="153">
        <f ca="1">ROUND((OFFSET(卡牌辅助配置表!$O$1,MATCH(U1051,卡牌辅助配置表!M:M,0)-1,0)+(N1051-1)*OFFSET(卡牌辅助配置表!$P$1,MATCH(U1051,卡牌辅助配置表!M:M,0)-1,0))*M1051,2)</f>
        <v>76</v>
      </c>
      <c r="W1051" s="157">
        <f ca="1">ROUND(IF(R1051=0,0,IF(R1051=1,X1051*$W$1,IF(R1051=2,X1051*$W$1*buff的资质计算!$E$2,IF(R1051=3,X1051*$W$1*buff的资质计算!$E$3,0)))),2)</f>
        <v>14.7</v>
      </c>
      <c r="X1051" s="157">
        <f ca="1" t="shared" si="172"/>
        <v>49</v>
      </c>
      <c r="Y1051" s="157" t="e">
        <f ca="1" t="shared" si="181"/>
        <v>#VALUE!</v>
      </c>
      <c r="Z1051" s="304" t="e">
        <f ca="1" t="shared" si="173"/>
        <v>#VALUE!</v>
      </c>
      <c r="AA1051" s="304">
        <f ca="1">OFFSET(卡牌辅助配置表!$AD$1,MATCH(AB1051,卡牌辅助配置表!AB:AB,0)-1,0)</f>
        <v>2462</v>
      </c>
      <c r="AB1051" s="304">
        <f ca="1" t="shared" si="177"/>
        <v>1321</v>
      </c>
      <c r="AC1051" s="153">
        <v>12</v>
      </c>
      <c r="AF1051" s="153" t="str">
        <f ca="1" t="shared" si="180"/>
        <v>20090011|</v>
      </c>
      <c r="AJ1051" s="205" t="str">
        <f ca="1" t="shared" si="178"/>
        <v>400023|15800|;</v>
      </c>
      <c r="AK1051" s="205">
        <f ca="1">OFFSET([1]item_type!$A$1,MATCH(Q1051,[1]item_type!$G:$G,0)-1,0)</f>
        <v>302009</v>
      </c>
      <c r="AL1051" s="205"/>
      <c r="AM1051" s="205">
        <f ca="1">IF(B1051=B1052,OFFSET(卡牌辅助配置表!$AE$1,MATCH(AB1051,卡牌辅助配置表!AB:AB,0),0),0)</f>
        <v>15800</v>
      </c>
      <c r="AN1051" s="153">
        <f ca="1" t="shared" si="179"/>
        <v>2009022</v>
      </c>
      <c r="AP1051" s="153">
        <f ca="1">IF(AC1051=0,0,IF(AC1051=12,0,OFFSET(effect!$N$1,MATCH(K1051,effect!M:M,0)-1,0)))</f>
        <v>0</v>
      </c>
    </row>
    <row r="1052" spans="1:42">
      <c r="A1052" s="153">
        <f ca="1" t="shared" si="175"/>
        <v>2009022</v>
      </c>
      <c r="B1052" s="91" t="s">
        <v>295</v>
      </c>
      <c r="C1052" s="186">
        <v>2</v>
      </c>
      <c r="D1052" s="186">
        <v>1</v>
      </c>
      <c r="E1052" s="165" t="s">
        <v>1058</v>
      </c>
      <c r="F1052" s="179" t="s">
        <v>1061</v>
      </c>
      <c r="G1052" s="186">
        <f ca="1">OFFSET(卡牌辅助配置表!$C$1,MATCH(AC1052,卡牌辅助配置表!A:A,0)-1,0)</f>
        <v>0</v>
      </c>
      <c r="H1052" s="186" t="e">
        <f ca="1">OFFSET(skill!$Q$1,MATCH(B1052,skill!B:B,0)-1,0)</f>
        <v>#VALUE!</v>
      </c>
      <c r="I1052" s="186"/>
      <c r="J1052" s="186">
        <f ca="1">OFFSET(card_type!$F$1,MATCH(Q1052,card_type!A:A,0)-1,0)</f>
        <v>1</v>
      </c>
      <c r="K1052" s="243">
        <f ca="1">OFFSET(card_type!$G$1,MATCH(Q1052,card_type!A:A,0)-1,0)</f>
        <v>3</v>
      </c>
      <c r="L1052" s="157">
        <v>3</v>
      </c>
      <c r="M1052" s="157">
        <v>3</v>
      </c>
      <c r="N1052" s="153">
        <f t="shared" si="174"/>
        <v>22</v>
      </c>
      <c r="O1052" s="157"/>
      <c r="P1052" s="157"/>
      <c r="Q1052" s="153">
        <f ca="1">OFFSET(card_type!$A$1,MATCH(card!B1052,card_type!B:B,0)-1,0)</f>
        <v>2009</v>
      </c>
      <c r="R1052" s="153">
        <v>1</v>
      </c>
      <c r="S1052" s="157">
        <f ca="1">ROUND(IF(R1052=0,0,IF(R1052=1,X1052*$S$1,IF(R1052=2,X1052*$S$1*buff的资质计算!$E$2,IF(R1052=3,X1052*$S$1*buff的资质计算!$E$3,0)))),0)*0</f>
        <v>0</v>
      </c>
      <c r="T1052" s="153">
        <v>4</v>
      </c>
      <c r="U1052" s="153">
        <f ca="1" t="shared" si="176"/>
        <v>13</v>
      </c>
      <c r="V1052" s="153">
        <f ca="1">ROUND((OFFSET(卡牌辅助配置表!$O$1,MATCH(U1052,卡牌辅助配置表!M:M,0)-1,0)+(N1052-1)*OFFSET(卡牌辅助配置表!$P$1,MATCH(U1052,卡牌辅助配置表!M:M,0)-1,0))*M1052,2)</f>
        <v>77.52</v>
      </c>
      <c r="W1052" s="157">
        <f ca="1">ROUND(IF(R1052=0,0,IF(R1052=1,X1052*$W$1,IF(R1052=2,X1052*$W$1*buff的资质计算!$E$2,IF(R1052=3,X1052*$W$1*buff的资质计算!$E$3,0)))),2)</f>
        <v>14.85</v>
      </c>
      <c r="X1052" s="157">
        <f ca="1" t="shared" si="172"/>
        <v>49.5</v>
      </c>
      <c r="Y1052" s="157" t="e">
        <f ca="1" t="shared" si="181"/>
        <v>#VALUE!</v>
      </c>
      <c r="Z1052" s="304" t="e">
        <f ca="1" t="shared" si="173"/>
        <v>#VALUE!</v>
      </c>
      <c r="AA1052" s="304">
        <f ca="1">OFFSET(卡牌辅助配置表!$AD$1,MATCH(AB1052,卡牌辅助配置表!AB:AB,0)-1,0)</f>
        <v>2644</v>
      </c>
      <c r="AB1052" s="304">
        <f ca="1" t="shared" si="177"/>
        <v>1322</v>
      </c>
      <c r="AC1052" s="153">
        <v>12</v>
      </c>
      <c r="AF1052" s="153" t="str">
        <f ca="1" t="shared" si="180"/>
        <v>20090011|</v>
      </c>
      <c r="AJ1052" s="205" t="str">
        <f ca="1" t="shared" si="178"/>
        <v>400023|17400|;</v>
      </c>
      <c r="AK1052" s="205">
        <f ca="1">OFFSET([1]item_type!$A$1,MATCH(Q1052,[1]item_type!$G:$G,0)-1,0)</f>
        <v>302009</v>
      </c>
      <c r="AL1052" s="205"/>
      <c r="AM1052" s="205">
        <f ca="1">IF(B1052=B1053,OFFSET(卡牌辅助配置表!$AE$1,MATCH(AB1052,卡牌辅助配置表!AB:AB,0),0),0)</f>
        <v>17400</v>
      </c>
      <c r="AN1052" s="153">
        <f ca="1" t="shared" si="179"/>
        <v>2009023</v>
      </c>
      <c r="AP1052" s="153">
        <f ca="1">IF(AC1052=0,0,IF(AC1052=12,0,OFFSET(effect!$N$1,MATCH(K1052,effect!M:M,0)-1,0)))</f>
        <v>0</v>
      </c>
    </row>
    <row r="1053" spans="1:42">
      <c r="A1053" s="153">
        <f ca="1" t="shared" si="175"/>
        <v>2009023</v>
      </c>
      <c r="B1053" s="91" t="s">
        <v>295</v>
      </c>
      <c r="C1053" s="186">
        <v>2</v>
      </c>
      <c r="D1053" s="186">
        <v>1</v>
      </c>
      <c r="E1053" s="165" t="s">
        <v>1058</v>
      </c>
      <c r="F1053" s="179" t="s">
        <v>1061</v>
      </c>
      <c r="G1053" s="186">
        <f ca="1">OFFSET(卡牌辅助配置表!$C$1,MATCH(AC1053,卡牌辅助配置表!A:A,0)-1,0)</f>
        <v>0</v>
      </c>
      <c r="H1053" s="186" t="e">
        <f ca="1">OFFSET(skill!$Q$1,MATCH(B1053,skill!B:B,0)-1,0)</f>
        <v>#VALUE!</v>
      </c>
      <c r="I1053" s="186"/>
      <c r="J1053" s="186">
        <f ca="1">OFFSET(card_type!$F$1,MATCH(Q1053,card_type!A:A,0)-1,0)</f>
        <v>1</v>
      </c>
      <c r="K1053" s="243">
        <f ca="1">OFFSET(card_type!$G$1,MATCH(Q1053,card_type!A:A,0)-1,0)</f>
        <v>3</v>
      </c>
      <c r="L1053" s="157">
        <v>3</v>
      </c>
      <c r="M1053" s="157">
        <v>3</v>
      </c>
      <c r="N1053" s="153">
        <f t="shared" si="174"/>
        <v>23</v>
      </c>
      <c r="O1053" s="157"/>
      <c r="P1053" s="157"/>
      <c r="Q1053" s="153">
        <f ca="1">OFFSET(card_type!$A$1,MATCH(card!B1053,card_type!B:B,0)-1,0)</f>
        <v>2009</v>
      </c>
      <c r="R1053" s="153">
        <v>1</v>
      </c>
      <c r="S1053" s="157">
        <f ca="1">ROUND(IF(R1053=0,0,IF(R1053=1,X1053*$S$1,IF(R1053=2,X1053*$S$1*buff的资质计算!$E$2,IF(R1053=3,X1053*$S$1*buff的资质计算!$E$3,0)))),0)*0</f>
        <v>0</v>
      </c>
      <c r="T1053" s="153">
        <v>4</v>
      </c>
      <c r="U1053" s="153">
        <f ca="1" t="shared" si="176"/>
        <v>13</v>
      </c>
      <c r="V1053" s="153">
        <f ca="1">ROUND((OFFSET(卡牌辅助配置表!$O$1,MATCH(U1053,卡牌辅助配置表!M:M,0)-1,0)+(N1053-1)*OFFSET(卡牌辅助配置表!$P$1,MATCH(U1053,卡牌辅助配置表!M:M,0)-1,0))*M1053,2)</f>
        <v>79.04</v>
      </c>
      <c r="W1053" s="157">
        <f ca="1">ROUND(IF(R1053=0,0,IF(R1053=1,X1053*$W$1,IF(R1053=2,X1053*$W$1*buff的资质计算!$E$2,IF(R1053=3,X1053*$W$1*buff的资质计算!$E$3,0)))),2)</f>
        <v>15</v>
      </c>
      <c r="X1053" s="157">
        <f ca="1" t="shared" si="172"/>
        <v>50</v>
      </c>
      <c r="Y1053" s="157" t="e">
        <f ca="1" t="shared" si="181"/>
        <v>#VALUE!</v>
      </c>
      <c r="Z1053" s="304" t="e">
        <f ca="1" t="shared" si="173"/>
        <v>#VALUE!</v>
      </c>
      <c r="AA1053" s="304">
        <f ca="1">OFFSET(卡牌辅助配置表!$AD$1,MATCH(AB1053,卡牌辅助配置表!AB:AB,0)-1,0)</f>
        <v>2826</v>
      </c>
      <c r="AB1053" s="304">
        <f ca="1" t="shared" si="177"/>
        <v>1323</v>
      </c>
      <c r="AC1053" s="153">
        <v>12</v>
      </c>
      <c r="AF1053" s="153" t="str">
        <f ca="1" t="shared" si="180"/>
        <v>20090011|</v>
      </c>
      <c r="AJ1053" s="205" t="str">
        <f ca="1" t="shared" si="178"/>
        <v>400023|19000|;</v>
      </c>
      <c r="AK1053" s="205">
        <f ca="1">OFFSET([1]item_type!$A$1,MATCH(Q1053,[1]item_type!$G:$G,0)-1,0)</f>
        <v>302009</v>
      </c>
      <c r="AL1053" s="205"/>
      <c r="AM1053" s="205">
        <f ca="1">IF(B1053=B1054,OFFSET(卡牌辅助配置表!$AE$1,MATCH(AB1053,卡牌辅助配置表!AB:AB,0),0),0)</f>
        <v>19000</v>
      </c>
      <c r="AN1053" s="153">
        <f ca="1" t="shared" si="179"/>
        <v>2009024</v>
      </c>
      <c r="AP1053" s="153">
        <f ca="1">IF(AC1053=0,0,IF(AC1053=12,0,OFFSET(effect!$N$1,MATCH(K1053,effect!M:M,0)-1,0)))</f>
        <v>0</v>
      </c>
    </row>
    <row r="1054" spans="1:42">
      <c r="A1054" s="153">
        <f ca="1" t="shared" si="175"/>
        <v>2009024</v>
      </c>
      <c r="B1054" s="91" t="s">
        <v>295</v>
      </c>
      <c r="C1054" s="186">
        <v>2</v>
      </c>
      <c r="D1054" s="186">
        <v>1</v>
      </c>
      <c r="E1054" s="165" t="s">
        <v>1058</v>
      </c>
      <c r="F1054" s="179" t="s">
        <v>1061</v>
      </c>
      <c r="G1054" s="186">
        <f ca="1">OFFSET(卡牌辅助配置表!$C$1,MATCH(AC1054,卡牌辅助配置表!A:A,0)-1,0)</f>
        <v>0</v>
      </c>
      <c r="H1054" s="186" t="e">
        <f ca="1">OFFSET(skill!$Q$1,MATCH(B1054,skill!B:B,0)-1,0)</f>
        <v>#VALUE!</v>
      </c>
      <c r="I1054" s="186"/>
      <c r="J1054" s="186">
        <f ca="1">OFFSET(card_type!$F$1,MATCH(Q1054,card_type!A:A,0)-1,0)</f>
        <v>1</v>
      </c>
      <c r="K1054" s="243">
        <f ca="1">OFFSET(card_type!$G$1,MATCH(Q1054,card_type!A:A,0)-1,0)</f>
        <v>3</v>
      </c>
      <c r="L1054" s="157">
        <v>3</v>
      </c>
      <c r="M1054" s="157">
        <v>3</v>
      </c>
      <c r="N1054" s="153">
        <f t="shared" si="174"/>
        <v>24</v>
      </c>
      <c r="O1054" s="157"/>
      <c r="P1054" s="157"/>
      <c r="Q1054" s="153">
        <f ca="1">OFFSET(card_type!$A$1,MATCH(card!B1054,card_type!B:B,0)-1,0)</f>
        <v>2009</v>
      </c>
      <c r="R1054" s="153">
        <v>1</v>
      </c>
      <c r="S1054" s="157">
        <f ca="1">ROUND(IF(R1054=0,0,IF(R1054=1,X1054*$S$1,IF(R1054=2,X1054*$S$1*buff的资质计算!$E$2,IF(R1054=3,X1054*$S$1*buff的资质计算!$E$3,0)))),0)*0</f>
        <v>0</v>
      </c>
      <c r="T1054" s="153">
        <v>4</v>
      </c>
      <c r="U1054" s="153">
        <f ca="1" t="shared" si="176"/>
        <v>13</v>
      </c>
      <c r="V1054" s="153">
        <f ca="1">ROUND((OFFSET(卡牌辅助配置表!$O$1,MATCH(U1054,卡牌辅助配置表!M:M,0)-1,0)+(N1054-1)*OFFSET(卡牌辅助配置表!$P$1,MATCH(U1054,卡牌辅助配置表!M:M,0)-1,0))*M1054,2)</f>
        <v>80.56</v>
      </c>
      <c r="W1054" s="157">
        <f ca="1">ROUND(IF(R1054=0,0,IF(R1054=1,X1054*$W$1,IF(R1054=2,X1054*$W$1*buff的资质计算!$E$2,IF(R1054=3,X1054*$W$1*buff的资质计算!$E$3,0)))),2)</f>
        <v>15.15</v>
      </c>
      <c r="X1054" s="157">
        <f ca="1" t="shared" si="172"/>
        <v>50.5</v>
      </c>
      <c r="Y1054" s="157" t="e">
        <f ca="1" t="shared" si="181"/>
        <v>#VALUE!</v>
      </c>
      <c r="Z1054" s="304" t="e">
        <f ca="1" t="shared" si="173"/>
        <v>#VALUE!</v>
      </c>
      <c r="AA1054" s="304">
        <f ca="1">OFFSET(卡牌辅助配置表!$AD$1,MATCH(AB1054,卡牌辅助配置表!AB:AB,0)-1,0)</f>
        <v>3008</v>
      </c>
      <c r="AB1054" s="304">
        <f ca="1" t="shared" si="177"/>
        <v>1324</v>
      </c>
      <c r="AC1054" s="153">
        <v>12</v>
      </c>
      <c r="AF1054" s="153" t="str">
        <f ca="1" t="shared" si="180"/>
        <v>20090011|</v>
      </c>
      <c r="AJ1054" s="205" t="str">
        <f ca="1" t="shared" si="178"/>
        <v>400023|20600|;</v>
      </c>
      <c r="AK1054" s="205">
        <f ca="1">OFFSET([1]item_type!$A$1,MATCH(Q1054,[1]item_type!$G:$G,0)-1,0)</f>
        <v>302009</v>
      </c>
      <c r="AL1054" s="205"/>
      <c r="AM1054" s="205">
        <f ca="1">IF(B1054=B1055,OFFSET(卡牌辅助配置表!$AE$1,MATCH(AB1054,卡牌辅助配置表!AB:AB,0),0),0)</f>
        <v>20600</v>
      </c>
      <c r="AN1054" s="153">
        <f ca="1" t="shared" si="179"/>
        <v>2009025</v>
      </c>
      <c r="AP1054" s="153">
        <f ca="1">IF(AC1054=0,0,IF(AC1054=12,0,OFFSET(effect!$N$1,MATCH(K1054,effect!M:M,0)-1,0)))</f>
        <v>0</v>
      </c>
    </row>
    <row r="1055" spans="1:42">
      <c r="A1055" s="153">
        <f ca="1" t="shared" si="175"/>
        <v>2009025</v>
      </c>
      <c r="B1055" s="91" t="s">
        <v>295</v>
      </c>
      <c r="C1055" s="186">
        <v>2</v>
      </c>
      <c r="D1055" s="186">
        <v>1</v>
      </c>
      <c r="E1055" s="165" t="s">
        <v>1058</v>
      </c>
      <c r="F1055" s="179" t="s">
        <v>1061</v>
      </c>
      <c r="G1055" s="186">
        <f ca="1">OFFSET(卡牌辅助配置表!$C$1,MATCH(AC1055,卡牌辅助配置表!A:A,0)-1,0)</f>
        <v>0</v>
      </c>
      <c r="H1055" s="186" t="e">
        <f ca="1">OFFSET(skill!$Q$1,MATCH(B1055,skill!B:B,0)-1,0)</f>
        <v>#VALUE!</v>
      </c>
      <c r="I1055" s="186"/>
      <c r="J1055" s="186">
        <f ca="1">OFFSET(card_type!$F$1,MATCH(Q1055,card_type!A:A,0)-1,0)</f>
        <v>1</v>
      </c>
      <c r="K1055" s="243">
        <f ca="1">OFFSET(card_type!$G$1,MATCH(Q1055,card_type!A:A,0)-1,0)</f>
        <v>3</v>
      </c>
      <c r="L1055" s="157">
        <v>3</v>
      </c>
      <c r="M1055" s="157">
        <v>3</v>
      </c>
      <c r="N1055" s="153">
        <f t="shared" si="174"/>
        <v>25</v>
      </c>
      <c r="O1055" s="157"/>
      <c r="P1055" s="157"/>
      <c r="Q1055" s="153">
        <f ca="1">OFFSET(card_type!$A$1,MATCH(card!B1055,card_type!B:B,0)-1,0)</f>
        <v>2009</v>
      </c>
      <c r="R1055" s="153">
        <v>1</v>
      </c>
      <c r="S1055" s="157">
        <f ca="1">ROUND(IF(R1055=0,0,IF(R1055=1,X1055*$S$1,IF(R1055=2,X1055*$S$1*buff的资质计算!$E$2,IF(R1055=3,X1055*$S$1*buff的资质计算!$E$3,0)))),0)*0</f>
        <v>0</v>
      </c>
      <c r="T1055" s="153">
        <v>4</v>
      </c>
      <c r="U1055" s="153">
        <f ca="1" t="shared" si="176"/>
        <v>13</v>
      </c>
      <c r="V1055" s="153">
        <f ca="1">ROUND((OFFSET(卡牌辅助配置表!$O$1,MATCH(U1055,卡牌辅助配置表!M:M,0)-1,0)+(N1055-1)*OFFSET(卡牌辅助配置表!$P$1,MATCH(U1055,卡牌辅助配置表!M:M,0)-1,0))*M1055,2)</f>
        <v>82.08</v>
      </c>
      <c r="W1055" s="157">
        <f ca="1">ROUND(IF(R1055=0,0,IF(R1055=1,X1055*$W$1,IF(R1055=2,X1055*$W$1*buff的资质计算!$E$2,IF(R1055=3,X1055*$W$1*buff的资质计算!$E$3,0)))),2)</f>
        <v>15.3</v>
      </c>
      <c r="X1055" s="157">
        <f ca="1" t="shared" si="172"/>
        <v>51</v>
      </c>
      <c r="Y1055" s="157" t="e">
        <f ca="1" t="shared" si="181"/>
        <v>#VALUE!</v>
      </c>
      <c r="Z1055" s="304" t="e">
        <f ca="1" t="shared" si="173"/>
        <v>#VALUE!</v>
      </c>
      <c r="AA1055" s="304">
        <f ca="1">OFFSET(卡牌辅助配置表!$AD$1,MATCH(AB1055,卡牌辅助配置表!AB:AB,0)-1,0)</f>
        <v>3190</v>
      </c>
      <c r="AB1055" s="304">
        <f ca="1" t="shared" si="177"/>
        <v>1325</v>
      </c>
      <c r="AC1055" s="153">
        <v>12</v>
      </c>
      <c r="AF1055" s="153" t="str">
        <f ca="1" t="shared" si="180"/>
        <v>20090011|</v>
      </c>
      <c r="AJ1055" s="205" t="str">
        <f ca="1" t="shared" si="178"/>
        <v>400023|22200|;</v>
      </c>
      <c r="AK1055" s="205">
        <f ca="1">OFFSET([1]item_type!$A$1,MATCH(Q1055,[1]item_type!$G:$G,0)-1,0)</f>
        <v>302009</v>
      </c>
      <c r="AL1055" s="205"/>
      <c r="AM1055" s="205">
        <f ca="1">IF(B1055=B1056,OFFSET(卡牌辅助配置表!$AE$1,MATCH(AB1055,卡牌辅助配置表!AB:AB,0),0),0)</f>
        <v>22200</v>
      </c>
      <c r="AN1055" s="153">
        <f ca="1" t="shared" si="179"/>
        <v>2009026</v>
      </c>
      <c r="AP1055" s="153">
        <f ca="1">IF(AC1055=0,0,IF(AC1055=12,0,OFFSET(effect!$N$1,MATCH(K1055,effect!M:M,0)-1,0)))</f>
        <v>0</v>
      </c>
    </row>
    <row r="1056" spans="1:42">
      <c r="A1056" s="153">
        <f ca="1" t="shared" si="175"/>
        <v>2009026</v>
      </c>
      <c r="B1056" s="91" t="s">
        <v>295</v>
      </c>
      <c r="C1056" s="186">
        <v>2</v>
      </c>
      <c r="D1056" s="186">
        <v>1</v>
      </c>
      <c r="E1056" s="165" t="s">
        <v>1058</v>
      </c>
      <c r="F1056" s="179" t="s">
        <v>1061</v>
      </c>
      <c r="G1056" s="186">
        <f ca="1">OFFSET(卡牌辅助配置表!$C$1,MATCH(AC1056,卡牌辅助配置表!A:A,0)-1,0)</f>
        <v>0</v>
      </c>
      <c r="H1056" s="186" t="e">
        <f ca="1">OFFSET(skill!$Q$1,MATCH(B1056,skill!B:B,0)-1,0)</f>
        <v>#VALUE!</v>
      </c>
      <c r="I1056" s="186"/>
      <c r="J1056" s="186">
        <f ca="1">OFFSET(card_type!$F$1,MATCH(Q1056,card_type!A:A,0)-1,0)</f>
        <v>1</v>
      </c>
      <c r="K1056" s="243">
        <f ca="1">OFFSET(card_type!$G$1,MATCH(Q1056,card_type!A:A,0)-1,0)</f>
        <v>3</v>
      </c>
      <c r="L1056" s="157">
        <v>3</v>
      </c>
      <c r="M1056" s="157">
        <v>3</v>
      </c>
      <c r="N1056" s="153">
        <f t="shared" si="174"/>
        <v>26</v>
      </c>
      <c r="O1056" s="157"/>
      <c r="P1056" s="157"/>
      <c r="Q1056" s="153">
        <f ca="1">OFFSET(card_type!$A$1,MATCH(card!B1056,card_type!B:B,0)-1,0)</f>
        <v>2009</v>
      </c>
      <c r="R1056" s="153">
        <v>1</v>
      </c>
      <c r="S1056" s="157">
        <f ca="1">ROUND(IF(R1056=0,0,IF(R1056=1,X1056*$S$1,IF(R1056=2,X1056*$S$1*buff的资质计算!$E$2,IF(R1056=3,X1056*$S$1*buff的资质计算!$E$3,0)))),0)*0</f>
        <v>0</v>
      </c>
      <c r="T1056" s="153">
        <v>4</v>
      </c>
      <c r="U1056" s="153">
        <f ca="1" t="shared" si="176"/>
        <v>13</v>
      </c>
      <c r="V1056" s="153">
        <f ca="1">ROUND((OFFSET(卡牌辅助配置表!$O$1,MATCH(U1056,卡牌辅助配置表!M:M,0)-1,0)+(N1056-1)*OFFSET(卡牌辅助配置表!$P$1,MATCH(U1056,卡牌辅助配置表!M:M,0)-1,0))*M1056,2)</f>
        <v>83.6</v>
      </c>
      <c r="W1056" s="157">
        <f ca="1">ROUND(IF(R1056=0,0,IF(R1056=1,X1056*$W$1,IF(R1056=2,X1056*$W$1*buff的资质计算!$E$2,IF(R1056=3,X1056*$W$1*buff的资质计算!$E$3,0)))),2)</f>
        <v>15.45</v>
      </c>
      <c r="X1056" s="157">
        <f ca="1" t="shared" si="172"/>
        <v>51.5</v>
      </c>
      <c r="Y1056" s="157" t="e">
        <f ca="1" t="shared" si="181"/>
        <v>#VALUE!</v>
      </c>
      <c r="Z1056" s="304" t="e">
        <f ca="1" t="shared" si="173"/>
        <v>#VALUE!</v>
      </c>
      <c r="AA1056" s="304">
        <f ca="1">OFFSET(卡牌辅助配置表!$AD$1,MATCH(AB1056,卡牌辅助配置表!AB:AB,0)-1,0)</f>
        <v>3372</v>
      </c>
      <c r="AB1056" s="304">
        <f ca="1" t="shared" si="177"/>
        <v>1326</v>
      </c>
      <c r="AC1056" s="153">
        <v>12</v>
      </c>
      <c r="AF1056" s="153" t="str">
        <f ca="1" t="shared" si="180"/>
        <v>20090011|</v>
      </c>
      <c r="AJ1056" s="205" t="str">
        <f ca="1" t="shared" si="178"/>
        <v>400023|23800|;</v>
      </c>
      <c r="AK1056" s="205">
        <f ca="1">OFFSET([1]item_type!$A$1,MATCH(Q1056,[1]item_type!$G:$G,0)-1,0)</f>
        <v>302009</v>
      </c>
      <c r="AL1056" s="205"/>
      <c r="AM1056" s="205">
        <f ca="1">IF(B1056=B1057,OFFSET(卡牌辅助配置表!$AE$1,MATCH(AB1056,卡牌辅助配置表!AB:AB,0),0),0)</f>
        <v>23800</v>
      </c>
      <c r="AN1056" s="153">
        <f ca="1" t="shared" si="179"/>
        <v>2009027</v>
      </c>
      <c r="AP1056" s="153">
        <f ca="1">IF(AC1056=0,0,IF(AC1056=12,0,OFFSET(effect!$N$1,MATCH(K1056,effect!M:M,0)-1,0)))</f>
        <v>0</v>
      </c>
    </row>
    <row r="1057" spans="1:42">
      <c r="A1057" s="153">
        <f ca="1" t="shared" si="175"/>
        <v>2009027</v>
      </c>
      <c r="B1057" s="91" t="s">
        <v>295</v>
      </c>
      <c r="C1057" s="186">
        <v>2</v>
      </c>
      <c r="D1057" s="186">
        <v>1</v>
      </c>
      <c r="E1057" s="165" t="s">
        <v>1058</v>
      </c>
      <c r="F1057" s="179" t="s">
        <v>1061</v>
      </c>
      <c r="G1057" s="186">
        <f ca="1">OFFSET(卡牌辅助配置表!$C$1,MATCH(AC1057,卡牌辅助配置表!A:A,0)-1,0)</f>
        <v>0</v>
      </c>
      <c r="H1057" s="186" t="e">
        <f ca="1">OFFSET(skill!$Q$1,MATCH(B1057,skill!B:B,0)-1,0)</f>
        <v>#VALUE!</v>
      </c>
      <c r="I1057" s="186"/>
      <c r="J1057" s="186">
        <f ca="1">OFFSET(card_type!$F$1,MATCH(Q1057,card_type!A:A,0)-1,0)</f>
        <v>1</v>
      </c>
      <c r="K1057" s="243">
        <f ca="1">OFFSET(card_type!$G$1,MATCH(Q1057,card_type!A:A,0)-1,0)</f>
        <v>3</v>
      </c>
      <c r="L1057" s="157">
        <v>3</v>
      </c>
      <c r="M1057" s="157">
        <v>3</v>
      </c>
      <c r="N1057" s="153">
        <f t="shared" si="174"/>
        <v>27</v>
      </c>
      <c r="O1057" s="157"/>
      <c r="P1057" s="157"/>
      <c r="Q1057" s="153">
        <f ca="1">OFFSET(card_type!$A$1,MATCH(card!B1057,card_type!B:B,0)-1,0)</f>
        <v>2009</v>
      </c>
      <c r="R1057" s="153">
        <v>1</v>
      </c>
      <c r="S1057" s="157">
        <f ca="1">ROUND(IF(R1057=0,0,IF(R1057=1,X1057*$S$1,IF(R1057=2,X1057*$S$1*buff的资质计算!$E$2,IF(R1057=3,X1057*$S$1*buff的资质计算!$E$3,0)))),0)*0</f>
        <v>0</v>
      </c>
      <c r="T1057" s="153">
        <v>4</v>
      </c>
      <c r="U1057" s="153">
        <f ca="1" t="shared" si="176"/>
        <v>13</v>
      </c>
      <c r="V1057" s="153">
        <f ca="1">ROUND((OFFSET(卡牌辅助配置表!$O$1,MATCH(U1057,卡牌辅助配置表!M:M,0)-1,0)+(N1057-1)*OFFSET(卡牌辅助配置表!$P$1,MATCH(U1057,卡牌辅助配置表!M:M,0)-1,0))*M1057,2)</f>
        <v>85.12</v>
      </c>
      <c r="W1057" s="157">
        <f ca="1">ROUND(IF(R1057=0,0,IF(R1057=1,X1057*$W$1,IF(R1057=2,X1057*$W$1*buff的资质计算!$E$2,IF(R1057=3,X1057*$W$1*buff的资质计算!$E$3,0)))),2)</f>
        <v>15.6</v>
      </c>
      <c r="X1057" s="157">
        <f ca="1" t="shared" si="172"/>
        <v>52</v>
      </c>
      <c r="Y1057" s="157" t="e">
        <f ca="1" t="shared" si="181"/>
        <v>#VALUE!</v>
      </c>
      <c r="Z1057" s="304" t="e">
        <f ca="1" t="shared" si="173"/>
        <v>#VALUE!</v>
      </c>
      <c r="AA1057" s="304">
        <f ca="1">OFFSET(卡牌辅助配置表!$AD$1,MATCH(AB1057,卡牌辅助配置表!AB:AB,0)-1,0)</f>
        <v>3554</v>
      </c>
      <c r="AB1057" s="304">
        <f ca="1" t="shared" si="177"/>
        <v>1327</v>
      </c>
      <c r="AC1057" s="153">
        <v>12</v>
      </c>
      <c r="AF1057" s="153" t="str">
        <f ca="1" t="shared" si="180"/>
        <v>20090011|</v>
      </c>
      <c r="AJ1057" s="205" t="str">
        <f ca="1" t="shared" si="178"/>
        <v>400023|25400|;</v>
      </c>
      <c r="AK1057" s="205">
        <f ca="1">OFFSET([1]item_type!$A$1,MATCH(Q1057,[1]item_type!$G:$G,0)-1,0)</f>
        <v>302009</v>
      </c>
      <c r="AL1057" s="205"/>
      <c r="AM1057" s="205">
        <f ca="1">IF(B1057=B1058,OFFSET(卡牌辅助配置表!$AE$1,MATCH(AB1057,卡牌辅助配置表!AB:AB,0),0),0)</f>
        <v>25400</v>
      </c>
      <c r="AN1057" s="153">
        <f ca="1" t="shared" si="179"/>
        <v>2009028</v>
      </c>
      <c r="AP1057" s="153">
        <f ca="1">IF(AC1057=0,0,IF(AC1057=12,0,OFFSET(effect!$N$1,MATCH(K1057,effect!M:M,0)-1,0)))</f>
        <v>0</v>
      </c>
    </row>
    <row r="1058" spans="1:42">
      <c r="A1058" s="153">
        <f ca="1" t="shared" si="175"/>
        <v>2009028</v>
      </c>
      <c r="B1058" s="91" t="s">
        <v>295</v>
      </c>
      <c r="C1058" s="186">
        <v>2</v>
      </c>
      <c r="D1058" s="186">
        <v>1</v>
      </c>
      <c r="E1058" s="165" t="s">
        <v>1058</v>
      </c>
      <c r="F1058" s="179" t="s">
        <v>1061</v>
      </c>
      <c r="G1058" s="186">
        <f ca="1">OFFSET(卡牌辅助配置表!$C$1,MATCH(AC1058,卡牌辅助配置表!A:A,0)-1,0)</f>
        <v>0</v>
      </c>
      <c r="H1058" s="186" t="e">
        <f ca="1">OFFSET(skill!$Q$1,MATCH(B1058,skill!B:B,0)-1,0)</f>
        <v>#VALUE!</v>
      </c>
      <c r="I1058" s="186"/>
      <c r="J1058" s="186">
        <f ca="1">OFFSET(card_type!$F$1,MATCH(Q1058,card_type!A:A,0)-1,0)</f>
        <v>1</v>
      </c>
      <c r="K1058" s="243">
        <f ca="1">OFFSET(card_type!$G$1,MATCH(Q1058,card_type!A:A,0)-1,0)</f>
        <v>3</v>
      </c>
      <c r="L1058" s="157">
        <v>3</v>
      </c>
      <c r="M1058" s="157">
        <v>3</v>
      </c>
      <c r="N1058" s="153">
        <f t="shared" si="174"/>
        <v>28</v>
      </c>
      <c r="O1058" s="157"/>
      <c r="P1058" s="157"/>
      <c r="Q1058" s="153">
        <f ca="1">OFFSET(card_type!$A$1,MATCH(card!B1058,card_type!B:B,0)-1,0)</f>
        <v>2009</v>
      </c>
      <c r="R1058" s="153">
        <v>1</v>
      </c>
      <c r="S1058" s="157">
        <f ca="1">ROUND(IF(R1058=0,0,IF(R1058=1,X1058*$S$1,IF(R1058=2,X1058*$S$1*buff的资质计算!$E$2,IF(R1058=3,X1058*$S$1*buff的资质计算!$E$3,0)))),0)*0</f>
        <v>0</v>
      </c>
      <c r="T1058" s="153">
        <v>4</v>
      </c>
      <c r="U1058" s="153">
        <f ca="1" t="shared" si="176"/>
        <v>13</v>
      </c>
      <c r="V1058" s="153">
        <f ca="1">ROUND((OFFSET(卡牌辅助配置表!$O$1,MATCH(U1058,卡牌辅助配置表!M:M,0)-1,0)+(N1058-1)*OFFSET(卡牌辅助配置表!$P$1,MATCH(U1058,卡牌辅助配置表!M:M,0)-1,0))*M1058,2)</f>
        <v>86.64</v>
      </c>
      <c r="W1058" s="157">
        <f ca="1">ROUND(IF(R1058=0,0,IF(R1058=1,X1058*$W$1,IF(R1058=2,X1058*$W$1*buff的资质计算!$E$2,IF(R1058=3,X1058*$W$1*buff的资质计算!$E$3,0)))),2)</f>
        <v>15.75</v>
      </c>
      <c r="X1058" s="157">
        <f ca="1" t="shared" si="172"/>
        <v>52.5</v>
      </c>
      <c r="Y1058" s="157" t="e">
        <f ca="1" t="shared" si="181"/>
        <v>#VALUE!</v>
      </c>
      <c r="Z1058" s="304" t="e">
        <f ca="1" t="shared" si="173"/>
        <v>#VALUE!</v>
      </c>
      <c r="AA1058" s="304">
        <f ca="1">OFFSET(卡牌辅助配置表!$AD$1,MATCH(AB1058,卡牌辅助配置表!AB:AB,0)-1,0)</f>
        <v>3736</v>
      </c>
      <c r="AB1058" s="304">
        <f ca="1" t="shared" si="177"/>
        <v>1328</v>
      </c>
      <c r="AC1058" s="153">
        <v>12</v>
      </c>
      <c r="AF1058" s="153" t="str">
        <f ca="1" t="shared" si="180"/>
        <v>20090011|</v>
      </c>
      <c r="AJ1058" s="205" t="str">
        <f ca="1" t="shared" si="178"/>
        <v>400023|27000|;</v>
      </c>
      <c r="AK1058" s="205">
        <f ca="1">OFFSET([1]item_type!$A$1,MATCH(Q1058,[1]item_type!$G:$G,0)-1,0)</f>
        <v>302009</v>
      </c>
      <c r="AL1058" s="205"/>
      <c r="AM1058" s="205">
        <f ca="1">IF(B1058=B1059,OFFSET(卡牌辅助配置表!$AE$1,MATCH(AB1058,卡牌辅助配置表!AB:AB,0),0),0)</f>
        <v>27000</v>
      </c>
      <c r="AN1058" s="153">
        <f ca="1" t="shared" si="179"/>
        <v>2009029</v>
      </c>
      <c r="AP1058" s="153">
        <f ca="1">IF(AC1058=0,0,IF(AC1058=12,0,OFFSET(effect!$N$1,MATCH(K1058,effect!M:M,0)-1,0)))</f>
        <v>0</v>
      </c>
    </row>
    <row r="1059" spans="1:42">
      <c r="A1059" s="153">
        <f ca="1" t="shared" si="175"/>
        <v>2009029</v>
      </c>
      <c r="B1059" s="91" t="s">
        <v>295</v>
      </c>
      <c r="C1059" s="186">
        <v>2</v>
      </c>
      <c r="D1059" s="186">
        <v>1</v>
      </c>
      <c r="E1059" s="165" t="s">
        <v>1058</v>
      </c>
      <c r="F1059" s="179" t="s">
        <v>1061</v>
      </c>
      <c r="G1059" s="186">
        <f ca="1">OFFSET(卡牌辅助配置表!$C$1,MATCH(AC1059,卡牌辅助配置表!A:A,0)-1,0)</f>
        <v>0</v>
      </c>
      <c r="H1059" s="186" t="e">
        <f ca="1">OFFSET(skill!$Q$1,MATCH(B1059,skill!B:B,0)-1,0)</f>
        <v>#VALUE!</v>
      </c>
      <c r="I1059" s="186"/>
      <c r="J1059" s="186">
        <f ca="1">OFFSET(card_type!$F$1,MATCH(Q1059,card_type!A:A,0)-1,0)</f>
        <v>1</v>
      </c>
      <c r="K1059" s="243">
        <f ca="1">OFFSET(card_type!$G$1,MATCH(Q1059,card_type!A:A,0)-1,0)</f>
        <v>3</v>
      </c>
      <c r="L1059" s="157">
        <v>3</v>
      </c>
      <c r="M1059" s="157">
        <v>3</v>
      </c>
      <c r="N1059" s="153">
        <f t="shared" si="174"/>
        <v>29</v>
      </c>
      <c r="O1059" s="157"/>
      <c r="P1059" s="157"/>
      <c r="Q1059" s="153">
        <f ca="1">OFFSET(card_type!$A$1,MATCH(card!B1059,card_type!B:B,0)-1,0)</f>
        <v>2009</v>
      </c>
      <c r="R1059" s="153">
        <v>1</v>
      </c>
      <c r="S1059" s="157">
        <f ca="1">ROUND(IF(R1059=0,0,IF(R1059=1,X1059*$S$1,IF(R1059=2,X1059*$S$1*buff的资质计算!$E$2,IF(R1059=3,X1059*$S$1*buff的资质计算!$E$3,0)))),0)*0</f>
        <v>0</v>
      </c>
      <c r="T1059" s="153">
        <v>4</v>
      </c>
      <c r="U1059" s="153">
        <f ca="1" t="shared" si="176"/>
        <v>13</v>
      </c>
      <c r="V1059" s="153">
        <f ca="1">ROUND((OFFSET(卡牌辅助配置表!$O$1,MATCH(U1059,卡牌辅助配置表!M:M,0)-1,0)+(N1059-1)*OFFSET(卡牌辅助配置表!$P$1,MATCH(U1059,卡牌辅助配置表!M:M,0)-1,0))*M1059,2)</f>
        <v>88.16</v>
      </c>
      <c r="W1059" s="157">
        <f ca="1">ROUND(IF(R1059=0,0,IF(R1059=1,X1059*$W$1,IF(R1059=2,X1059*$W$1*buff的资质计算!$E$2,IF(R1059=3,X1059*$W$1*buff的资质计算!$E$3,0)))),2)</f>
        <v>15.9</v>
      </c>
      <c r="X1059" s="157">
        <f ca="1" t="shared" si="172"/>
        <v>53</v>
      </c>
      <c r="Y1059" s="157" t="e">
        <f ca="1" t="shared" si="181"/>
        <v>#VALUE!</v>
      </c>
      <c r="Z1059" s="304" t="e">
        <f ca="1" t="shared" si="173"/>
        <v>#VALUE!</v>
      </c>
      <c r="AA1059" s="304">
        <f ca="1">OFFSET(卡牌辅助配置表!$AD$1,MATCH(AB1059,卡牌辅助配置表!AB:AB,0)-1,0)</f>
        <v>3918</v>
      </c>
      <c r="AB1059" s="304">
        <f ca="1" t="shared" si="177"/>
        <v>1329</v>
      </c>
      <c r="AC1059" s="153">
        <v>12</v>
      </c>
      <c r="AF1059" s="153" t="str">
        <f ca="1" t="shared" si="180"/>
        <v>20090011|</v>
      </c>
      <c r="AJ1059" s="205" t="str">
        <f ca="1" t="shared" si="178"/>
        <v>302009|30|;400023|28600|;</v>
      </c>
      <c r="AK1059" s="205">
        <f ca="1">OFFSET([1]item_type!$A$1,MATCH(Q1059,[1]item_type!$G:$G,0)-1,0)</f>
        <v>302009</v>
      </c>
      <c r="AL1059" s="205">
        <v>30</v>
      </c>
      <c r="AM1059" s="205">
        <f ca="1">IF(B1059=B1060,OFFSET(卡牌辅助配置表!$AE$1,MATCH(AB1059,卡牌辅助配置表!AB:AB,0),0),0)</f>
        <v>28600</v>
      </c>
      <c r="AN1059" s="153">
        <f ca="1" t="shared" si="179"/>
        <v>2009030</v>
      </c>
      <c r="AP1059" s="153">
        <f ca="1">IF(AC1059=0,0,IF(AC1059=12,0,OFFSET(effect!$N$1,MATCH(K1059,effect!M:M,0)-1,0)))</f>
        <v>0</v>
      </c>
    </row>
    <row r="1060" spans="1:42">
      <c r="A1060" s="153">
        <f ca="1" t="shared" si="175"/>
        <v>2009030</v>
      </c>
      <c r="B1060" s="91" t="s">
        <v>295</v>
      </c>
      <c r="C1060" s="186">
        <v>2</v>
      </c>
      <c r="D1060" s="186">
        <v>1</v>
      </c>
      <c r="E1060" s="165" t="s">
        <v>1058</v>
      </c>
      <c r="F1060" s="179" t="s">
        <v>1061</v>
      </c>
      <c r="G1060" s="186">
        <f ca="1">OFFSET(卡牌辅助配置表!$C$1,MATCH(AC1060,卡牌辅助配置表!A:A,0)-1,0)</f>
        <v>0</v>
      </c>
      <c r="H1060" s="186" t="e">
        <f ca="1">OFFSET(skill!$Q$1,MATCH(B1060,skill!B:B,0)-1,0)</f>
        <v>#VALUE!</v>
      </c>
      <c r="I1060" s="186"/>
      <c r="J1060" s="186">
        <f ca="1">OFFSET(card_type!$F$1,MATCH(Q1060,card_type!A:A,0)-1,0)</f>
        <v>1</v>
      </c>
      <c r="K1060" s="243">
        <f ca="1">OFFSET(card_type!$G$1,MATCH(Q1060,card_type!A:A,0)-1,0)</f>
        <v>3</v>
      </c>
      <c r="L1060" s="157">
        <v>3</v>
      </c>
      <c r="M1060" s="157">
        <v>3</v>
      </c>
      <c r="N1060" s="153">
        <f t="shared" si="174"/>
        <v>30</v>
      </c>
      <c r="O1060" s="157"/>
      <c r="P1060" s="157"/>
      <c r="Q1060" s="153">
        <f ca="1">OFFSET(card_type!$A$1,MATCH(card!B1060,card_type!B:B,0)-1,0)</f>
        <v>2009</v>
      </c>
      <c r="R1060" s="153">
        <v>1</v>
      </c>
      <c r="S1060" s="157">
        <f ca="1">ROUND(IF(R1060=0,0,IF(R1060=1,X1060*$S$1,IF(R1060=2,X1060*$S$1*buff的资质计算!$E$2,IF(R1060=3,X1060*$S$1*buff的资质计算!$E$3,0)))),0)*0</f>
        <v>0</v>
      </c>
      <c r="T1060" s="153">
        <v>4</v>
      </c>
      <c r="U1060" s="153">
        <f ca="1" t="shared" si="176"/>
        <v>13</v>
      </c>
      <c r="V1060" s="153">
        <f ca="1">ROUND((OFFSET(卡牌辅助配置表!$O$1,MATCH(U1060,卡牌辅助配置表!M:M,0)-1,0)+(N1060-1)*OFFSET(卡牌辅助配置表!$P$1,MATCH(U1060,卡牌辅助配置表!M:M,0)-1,0))*M1060,2)</f>
        <v>89.68</v>
      </c>
      <c r="W1060" s="157">
        <f ca="1">ROUND(IF(R1060=0,0,IF(R1060=1,X1060*$W$1,IF(R1060=2,X1060*$W$1*buff的资质计算!$E$2,IF(R1060=3,X1060*$W$1*buff的资质计算!$E$3,0)))),2)</f>
        <v>16.05</v>
      </c>
      <c r="X1060" s="157">
        <f ca="1" t="shared" si="172"/>
        <v>53.5</v>
      </c>
      <c r="Y1060" s="157" t="e">
        <f ca="1" t="shared" si="181"/>
        <v>#VALUE!</v>
      </c>
      <c r="Z1060" s="304" t="e">
        <f ca="1" t="shared" si="173"/>
        <v>#VALUE!</v>
      </c>
      <c r="AA1060" s="304">
        <f ca="1">OFFSET(卡牌辅助配置表!$AD$1,MATCH(AB1060,卡牌辅助配置表!AB:AB,0)-1,0)</f>
        <v>4100</v>
      </c>
      <c r="AB1060" s="304">
        <f ca="1" t="shared" si="177"/>
        <v>1330</v>
      </c>
      <c r="AC1060" s="153">
        <v>12</v>
      </c>
      <c r="AF1060" s="153" t="str">
        <f ca="1" t="shared" si="180"/>
        <v>20090011|</v>
      </c>
      <c r="AJ1060" s="205">
        <f ca="1" t="shared" si="178"/>
        <v>0</v>
      </c>
      <c r="AK1060" s="205">
        <f ca="1">OFFSET([1]item_type!$A$1,MATCH(Q1060,[1]item_type!$G:$G,0)-1,0)</f>
        <v>302009</v>
      </c>
      <c r="AL1060" s="205"/>
      <c r="AM1060" s="205">
        <f ca="1">IF(B1060=B1061,OFFSET(卡牌辅助配置表!$AE$1,MATCH(AB1060,卡牌辅助配置表!AB:AB,0),0),0)</f>
        <v>0</v>
      </c>
      <c r="AN1060" s="153">
        <f ca="1" t="shared" si="179"/>
        <v>0</v>
      </c>
      <c r="AP1060" s="153">
        <f ca="1">IF(AC1060=0,0,IF(AC1060=12,0,OFFSET(effect!$N$1,MATCH(K1060,effect!M:M,0)-1,0)))</f>
        <v>0</v>
      </c>
    </row>
    <row r="1061" spans="1:42">
      <c r="A1061" s="153">
        <f ca="1" t="shared" si="175"/>
        <v>2010001</v>
      </c>
      <c r="B1061" s="91" t="s">
        <v>347</v>
      </c>
      <c r="C1061" s="186">
        <v>2</v>
      </c>
      <c r="D1061" s="186">
        <v>1</v>
      </c>
      <c r="E1061" s="165" t="s">
        <v>1058</v>
      </c>
      <c r="F1061" s="165" t="str">
        <f>"上一招为剑法时，增加敌人受到伤害"&amp;buff!$X$18/100&amp;"%伤害，持续2回合"</f>
        <v>上一招为剑法时，增加敌人受到伤害15%伤害，持续2回合</v>
      </c>
      <c r="G1061" s="186">
        <f ca="1">OFFSET(卡牌辅助配置表!$C$1,MATCH(AC1061,卡牌辅助配置表!A:A,0)-1,0)</f>
        <v>0</v>
      </c>
      <c r="H1061" s="186" t="e">
        <f ca="1">OFFSET(skill!$Q$1,MATCH(B1061,skill!B:B,0)-1,0)</f>
        <v>#VALUE!</v>
      </c>
      <c r="I1061" s="186"/>
      <c r="J1061" s="186">
        <f ca="1">OFFSET(card_type!$F$1,MATCH(Q1061,card_type!A:A,0)-1,0)</f>
        <v>1</v>
      </c>
      <c r="K1061" s="243">
        <f ca="1">OFFSET(card_type!$G$1,MATCH(Q1061,card_type!A:A,0)-1,0)</f>
        <v>2</v>
      </c>
      <c r="L1061" s="157">
        <v>2</v>
      </c>
      <c r="M1061" s="157">
        <v>2</v>
      </c>
      <c r="N1061" s="153">
        <f t="shared" si="174"/>
        <v>1</v>
      </c>
      <c r="O1061" s="157"/>
      <c r="P1061" s="157"/>
      <c r="Q1061" s="153">
        <f ca="1">OFFSET(card_type!$A$1,MATCH(card!B1061,card_type!B:B,0)-1,0)</f>
        <v>2010</v>
      </c>
      <c r="R1061" s="153">
        <v>1</v>
      </c>
      <c r="S1061" s="157">
        <f ca="1">ROUND(IF(R1061=0,0,IF(R1061=1,X1061*$S$1,IF(R1061=2,X1061*$S$1*buff的资质计算!$E$2,IF(R1061=3,X1061*$S$1*buff的资质计算!$E$3,0)))),0)*0</f>
        <v>0</v>
      </c>
      <c r="T1061" s="153">
        <v>5</v>
      </c>
      <c r="U1061" s="153">
        <f ca="1" t="shared" si="176"/>
        <v>12</v>
      </c>
      <c r="V1061" s="153">
        <f ca="1">ROUND((OFFSET(卡牌辅助配置表!$O$1,MATCH(U1061,卡牌辅助配置表!M:M,0)-1,0)+(N1061-1)*OFFSET(卡牌辅助配置表!$P$1,MATCH(U1061,卡牌辅助配置表!M:M,0)-1,0))*M1061,2)</f>
        <v>19</v>
      </c>
      <c r="W1061" s="157">
        <f ca="1">ROUND(IF(R1061=0,0,IF(R1061=1,X1061*$W$1,IF(R1061=2,X1061*$W$1*buff的资质计算!$E$2,IF(R1061=3,X1061*$W$1*buff的资质计算!$E$3,0)))),2)</f>
        <v>5.4</v>
      </c>
      <c r="X1061" s="157">
        <f ca="1" t="shared" si="172"/>
        <v>18</v>
      </c>
      <c r="Y1061" s="157" t="e">
        <f ca="1" t="shared" si="181"/>
        <v>#VALUE!</v>
      </c>
      <c r="Z1061" s="304" t="e">
        <f ca="1" t="shared" si="173"/>
        <v>#VALUE!</v>
      </c>
      <c r="AA1061" s="304">
        <f ca="1">OFFSET(卡牌辅助配置表!$AD$1,MATCH(AB1061,卡牌辅助配置表!AB:AB,0)-1,0)</f>
        <v>36</v>
      </c>
      <c r="AB1061" s="304">
        <f ca="1" t="shared" si="177"/>
        <v>1201</v>
      </c>
      <c r="AC1061" s="153">
        <v>12</v>
      </c>
      <c r="AF1061" s="153" t="str">
        <f ca="1" t="shared" si="180"/>
        <v>20100011|</v>
      </c>
      <c r="AJ1061" s="205" t="str">
        <f ca="1" t="shared" si="178"/>
        <v>400023|1050|;</v>
      </c>
      <c r="AK1061" s="205">
        <f ca="1">OFFSET([1]item_type!$A$1,MATCH(Q1061,[1]item_type!$G:$G,0)-1,0)</f>
        <v>302010</v>
      </c>
      <c r="AL1061" s="205"/>
      <c r="AM1061" s="205">
        <f ca="1">IF(B1061=B1062,OFFSET(卡牌辅助配置表!$AE$1,MATCH(AB1061,卡牌辅助配置表!AB:AB,0),0),0)</f>
        <v>1050</v>
      </c>
      <c r="AN1061" s="153">
        <f ca="1" t="shared" si="179"/>
        <v>2010002</v>
      </c>
      <c r="AP1061" s="153">
        <f ca="1">IF(AC1061=0,0,IF(AC1061=12,0,OFFSET(effect!$N$1,MATCH(K1061,effect!M:M,0)-1,0)))</f>
        <v>0</v>
      </c>
    </row>
    <row r="1062" spans="1:42">
      <c r="A1062" s="153">
        <f ca="1" t="shared" si="175"/>
        <v>2010002</v>
      </c>
      <c r="B1062" s="91" t="s">
        <v>347</v>
      </c>
      <c r="C1062" s="186">
        <v>2</v>
      </c>
      <c r="D1062" s="186">
        <v>1</v>
      </c>
      <c r="E1062" s="165" t="s">
        <v>1058</v>
      </c>
      <c r="F1062" s="165" t="str">
        <f>"上一招为剑法时，增加敌人受到伤害"&amp;buff!$X$18/100&amp;"%伤害，持续2回合"</f>
        <v>上一招为剑法时，增加敌人受到伤害15%伤害，持续2回合</v>
      </c>
      <c r="G1062" s="186">
        <f ca="1">OFFSET(卡牌辅助配置表!$C$1,MATCH(AC1062,卡牌辅助配置表!A:A,0)-1,0)</f>
        <v>0</v>
      </c>
      <c r="H1062" s="186" t="e">
        <f ca="1">OFFSET(skill!$Q$1,MATCH(B1062,skill!B:B,0)-1,0)</f>
        <v>#VALUE!</v>
      </c>
      <c r="I1062" s="186"/>
      <c r="J1062" s="186">
        <f ca="1">OFFSET(card_type!$F$1,MATCH(Q1062,card_type!A:A,0)-1,0)</f>
        <v>1</v>
      </c>
      <c r="K1062" s="243">
        <f ca="1">OFFSET(card_type!$G$1,MATCH(Q1062,card_type!A:A,0)-1,0)</f>
        <v>2</v>
      </c>
      <c r="L1062" s="157">
        <v>2</v>
      </c>
      <c r="M1062" s="157">
        <v>2</v>
      </c>
      <c r="N1062" s="153">
        <f t="shared" si="174"/>
        <v>2</v>
      </c>
      <c r="O1062" s="157"/>
      <c r="P1062" s="157"/>
      <c r="Q1062" s="153">
        <f ca="1">OFFSET(card_type!$A$1,MATCH(card!B1062,card_type!B:B,0)-1,0)</f>
        <v>2010</v>
      </c>
      <c r="R1062" s="153">
        <v>1</v>
      </c>
      <c r="S1062" s="157">
        <f ca="1">ROUND(IF(R1062=0,0,IF(R1062=1,X1062*$S$1,IF(R1062=2,X1062*$S$1*buff的资质计算!$E$2,IF(R1062=3,X1062*$S$1*buff的资质计算!$E$3,0)))),0)*0</f>
        <v>0</v>
      </c>
      <c r="T1062" s="153">
        <v>5</v>
      </c>
      <c r="U1062" s="153">
        <f ca="1" t="shared" si="176"/>
        <v>12</v>
      </c>
      <c r="V1062" s="153">
        <f ca="1">ROUND((OFFSET(卡牌辅助配置表!$O$1,MATCH(U1062,卡牌辅助配置表!M:M,0)-1,0)+(N1062-1)*OFFSET(卡牌辅助配置表!$P$1,MATCH(U1062,卡牌辅助配置表!M:M,0)-1,0))*M1062,2)</f>
        <v>19.63</v>
      </c>
      <c r="W1062" s="157">
        <f ca="1">ROUND(IF(R1062=0,0,IF(R1062=1,X1062*$W$1,IF(R1062=2,X1062*$W$1*buff的资质计算!$E$2,IF(R1062=3,X1062*$W$1*buff的资质计算!$E$3,0)))),2)</f>
        <v>5.55</v>
      </c>
      <c r="X1062" s="157">
        <f ca="1" t="shared" si="172"/>
        <v>18.5</v>
      </c>
      <c r="Y1062" s="157" t="e">
        <f ca="1" t="shared" si="181"/>
        <v>#VALUE!</v>
      </c>
      <c r="Z1062" s="304" t="e">
        <f ca="1" t="shared" si="173"/>
        <v>#VALUE!</v>
      </c>
      <c r="AA1062" s="304">
        <f ca="1">OFFSET(卡牌辅助配置表!$AD$1,MATCH(AB1062,卡牌辅助配置表!AB:AB,0)-1,0)</f>
        <v>72</v>
      </c>
      <c r="AB1062" s="304">
        <f ca="1" t="shared" si="177"/>
        <v>1202</v>
      </c>
      <c r="AC1062" s="153">
        <v>12</v>
      </c>
      <c r="AF1062" s="153" t="str">
        <f ca="1" t="shared" si="180"/>
        <v>20100011|</v>
      </c>
      <c r="AJ1062" s="205" t="str">
        <f ca="1" t="shared" si="178"/>
        <v>400023|1350|;</v>
      </c>
      <c r="AK1062" s="205">
        <f ca="1">OFFSET([1]item_type!$A$1,MATCH(Q1062,[1]item_type!$G:$G,0)-1,0)</f>
        <v>302010</v>
      </c>
      <c r="AL1062" s="205"/>
      <c r="AM1062" s="205">
        <f ca="1">IF(B1062=B1063,OFFSET(卡牌辅助配置表!$AE$1,MATCH(AB1062,卡牌辅助配置表!AB:AB,0),0),0)</f>
        <v>1350</v>
      </c>
      <c r="AN1062" s="153">
        <f ca="1" t="shared" si="179"/>
        <v>2010003</v>
      </c>
      <c r="AP1062" s="153">
        <f ca="1">IF(AC1062=0,0,IF(AC1062=12,0,OFFSET(effect!$N$1,MATCH(K1062,effect!M:M,0)-1,0)))</f>
        <v>0</v>
      </c>
    </row>
    <row r="1063" spans="1:42">
      <c r="A1063" s="153">
        <f ca="1" t="shared" si="175"/>
        <v>2010003</v>
      </c>
      <c r="B1063" s="91" t="s">
        <v>347</v>
      </c>
      <c r="C1063" s="186">
        <v>2</v>
      </c>
      <c r="D1063" s="186">
        <v>1</v>
      </c>
      <c r="E1063" s="165" t="s">
        <v>1058</v>
      </c>
      <c r="F1063" s="165" t="str">
        <f>"上一招为剑法时，增加敌人受到伤害"&amp;buff!$X$18/100&amp;"%伤害，持续2回合"</f>
        <v>上一招为剑法时，增加敌人受到伤害15%伤害，持续2回合</v>
      </c>
      <c r="G1063" s="186">
        <f ca="1">OFFSET(卡牌辅助配置表!$C$1,MATCH(AC1063,卡牌辅助配置表!A:A,0)-1,0)</f>
        <v>0</v>
      </c>
      <c r="H1063" s="186" t="e">
        <f ca="1">OFFSET(skill!$Q$1,MATCH(B1063,skill!B:B,0)-1,0)</f>
        <v>#VALUE!</v>
      </c>
      <c r="I1063" s="186"/>
      <c r="J1063" s="186">
        <f ca="1">OFFSET(card_type!$F$1,MATCH(Q1063,card_type!A:A,0)-1,0)</f>
        <v>1</v>
      </c>
      <c r="K1063" s="243">
        <f ca="1">OFFSET(card_type!$G$1,MATCH(Q1063,card_type!A:A,0)-1,0)</f>
        <v>2</v>
      </c>
      <c r="L1063" s="157">
        <v>2</v>
      </c>
      <c r="M1063" s="157">
        <v>2</v>
      </c>
      <c r="N1063" s="153">
        <f t="shared" si="174"/>
        <v>3</v>
      </c>
      <c r="O1063" s="157"/>
      <c r="P1063" s="157"/>
      <c r="Q1063" s="153">
        <f ca="1">OFFSET(card_type!$A$1,MATCH(card!B1063,card_type!B:B,0)-1,0)</f>
        <v>2010</v>
      </c>
      <c r="R1063" s="153">
        <v>1</v>
      </c>
      <c r="S1063" s="157">
        <f ca="1">ROUND(IF(R1063=0,0,IF(R1063=1,X1063*$S$1,IF(R1063=2,X1063*$S$1*buff的资质计算!$E$2,IF(R1063=3,X1063*$S$1*buff的资质计算!$E$3,0)))),0)*0</f>
        <v>0</v>
      </c>
      <c r="T1063" s="153">
        <v>5</v>
      </c>
      <c r="U1063" s="153">
        <f ca="1" t="shared" si="176"/>
        <v>12</v>
      </c>
      <c r="V1063" s="153">
        <f ca="1">ROUND((OFFSET(卡牌辅助配置表!$O$1,MATCH(U1063,卡牌辅助配置表!M:M,0)-1,0)+(N1063-1)*OFFSET(卡牌辅助配置表!$P$1,MATCH(U1063,卡牌辅助配置表!M:M,0)-1,0))*M1063,2)</f>
        <v>20.27</v>
      </c>
      <c r="W1063" s="157">
        <f ca="1">ROUND(IF(R1063=0,0,IF(R1063=1,X1063*$W$1,IF(R1063=2,X1063*$W$1*buff的资质计算!$E$2,IF(R1063=3,X1063*$W$1*buff的资质计算!$E$3,0)))),2)</f>
        <v>5.7</v>
      </c>
      <c r="X1063" s="157">
        <f ca="1" t="shared" si="172"/>
        <v>19</v>
      </c>
      <c r="Y1063" s="157" t="e">
        <f ca="1" t="shared" si="181"/>
        <v>#VALUE!</v>
      </c>
      <c r="Z1063" s="304" t="e">
        <f ca="1" t="shared" si="173"/>
        <v>#VALUE!</v>
      </c>
      <c r="AA1063" s="304">
        <f ca="1">OFFSET(卡牌辅助配置表!$AD$1,MATCH(AB1063,卡牌辅助配置表!AB:AB,0)-1,0)</f>
        <v>108</v>
      </c>
      <c r="AB1063" s="304">
        <f ca="1" t="shared" si="177"/>
        <v>1203</v>
      </c>
      <c r="AC1063" s="153">
        <v>12</v>
      </c>
      <c r="AF1063" s="153" t="str">
        <f ca="1" t="shared" si="180"/>
        <v>20100011|</v>
      </c>
      <c r="AJ1063" s="205" t="str">
        <f ca="1" t="shared" si="178"/>
        <v>400023|1650|;</v>
      </c>
      <c r="AK1063" s="205">
        <f ca="1">OFFSET([1]item_type!$A$1,MATCH(Q1063,[1]item_type!$G:$G,0)-1,0)</f>
        <v>302010</v>
      </c>
      <c r="AL1063" s="205"/>
      <c r="AM1063" s="205">
        <f ca="1">IF(B1063=B1064,OFFSET(卡牌辅助配置表!$AE$1,MATCH(AB1063,卡牌辅助配置表!AB:AB,0),0),0)</f>
        <v>1650</v>
      </c>
      <c r="AN1063" s="153">
        <f ca="1" t="shared" si="179"/>
        <v>2010004</v>
      </c>
      <c r="AP1063" s="153">
        <f ca="1">IF(AC1063=0,0,IF(AC1063=12,0,OFFSET(effect!$N$1,MATCH(K1063,effect!M:M,0)-1,0)))</f>
        <v>0</v>
      </c>
    </row>
    <row r="1064" spans="1:42">
      <c r="A1064" s="153">
        <f ca="1" t="shared" si="175"/>
        <v>2010004</v>
      </c>
      <c r="B1064" s="91" t="s">
        <v>347</v>
      </c>
      <c r="C1064" s="186">
        <v>2</v>
      </c>
      <c r="D1064" s="186">
        <v>1</v>
      </c>
      <c r="E1064" s="165" t="s">
        <v>1058</v>
      </c>
      <c r="F1064" s="165" t="str">
        <f>"上一招为剑法时，增加敌人受到伤害"&amp;buff!$X$18/100&amp;"%伤害，持续2回合"</f>
        <v>上一招为剑法时，增加敌人受到伤害15%伤害，持续2回合</v>
      </c>
      <c r="G1064" s="186">
        <f ca="1">OFFSET(卡牌辅助配置表!$C$1,MATCH(AC1064,卡牌辅助配置表!A:A,0)-1,0)</f>
        <v>0</v>
      </c>
      <c r="H1064" s="186" t="e">
        <f ca="1">OFFSET(skill!$Q$1,MATCH(B1064,skill!B:B,0)-1,0)</f>
        <v>#VALUE!</v>
      </c>
      <c r="I1064" s="186"/>
      <c r="J1064" s="186">
        <f ca="1">OFFSET(card_type!$F$1,MATCH(Q1064,card_type!A:A,0)-1,0)</f>
        <v>1</v>
      </c>
      <c r="K1064" s="243">
        <f ca="1">OFFSET(card_type!$G$1,MATCH(Q1064,card_type!A:A,0)-1,0)</f>
        <v>2</v>
      </c>
      <c r="L1064" s="157">
        <v>2</v>
      </c>
      <c r="M1064" s="157">
        <v>2</v>
      </c>
      <c r="N1064" s="153">
        <f t="shared" si="174"/>
        <v>4</v>
      </c>
      <c r="O1064" s="157"/>
      <c r="P1064" s="157"/>
      <c r="Q1064" s="153">
        <f ca="1">OFFSET(card_type!$A$1,MATCH(card!B1064,card_type!B:B,0)-1,0)</f>
        <v>2010</v>
      </c>
      <c r="R1064" s="153">
        <v>1</v>
      </c>
      <c r="S1064" s="157">
        <f ca="1">ROUND(IF(R1064=0,0,IF(R1064=1,X1064*$S$1,IF(R1064=2,X1064*$S$1*buff的资质计算!$E$2,IF(R1064=3,X1064*$S$1*buff的资质计算!$E$3,0)))),0)*0</f>
        <v>0</v>
      </c>
      <c r="T1064" s="153">
        <v>5</v>
      </c>
      <c r="U1064" s="153">
        <f ca="1" t="shared" si="176"/>
        <v>12</v>
      </c>
      <c r="V1064" s="153">
        <f ca="1">ROUND((OFFSET(卡牌辅助配置表!$O$1,MATCH(U1064,卡牌辅助配置表!M:M,0)-1,0)+(N1064-1)*OFFSET(卡牌辅助配置表!$P$1,MATCH(U1064,卡牌辅助配置表!M:M,0)-1,0))*M1064,2)</f>
        <v>20.9</v>
      </c>
      <c r="W1064" s="157">
        <f ca="1">ROUND(IF(R1064=0,0,IF(R1064=1,X1064*$W$1,IF(R1064=2,X1064*$W$1*buff的资质计算!$E$2,IF(R1064=3,X1064*$W$1*buff的资质计算!$E$3,0)))),2)</f>
        <v>5.85</v>
      </c>
      <c r="X1064" s="157">
        <f ca="1" t="shared" si="172"/>
        <v>19.5</v>
      </c>
      <c r="Y1064" s="157" t="e">
        <f ca="1" t="shared" si="181"/>
        <v>#VALUE!</v>
      </c>
      <c r="Z1064" s="304" t="e">
        <f ca="1" t="shared" si="173"/>
        <v>#VALUE!</v>
      </c>
      <c r="AA1064" s="304">
        <f ca="1">OFFSET(卡牌辅助配置表!$AD$1,MATCH(AB1064,卡牌辅助配置表!AB:AB,0)-1,0)</f>
        <v>144</v>
      </c>
      <c r="AB1064" s="304">
        <f ca="1" t="shared" si="177"/>
        <v>1204</v>
      </c>
      <c r="AC1064" s="153">
        <v>12</v>
      </c>
      <c r="AF1064" s="153" t="str">
        <f ca="1" t="shared" si="180"/>
        <v>20100011|</v>
      </c>
      <c r="AJ1064" s="205" t="str">
        <f ca="1" t="shared" si="178"/>
        <v>400023|1950|;</v>
      </c>
      <c r="AK1064" s="205">
        <f ca="1">OFFSET([1]item_type!$A$1,MATCH(Q1064,[1]item_type!$G:$G,0)-1,0)</f>
        <v>302010</v>
      </c>
      <c r="AL1064" s="205"/>
      <c r="AM1064" s="205">
        <f ca="1">IF(B1064=B1065,OFFSET(卡牌辅助配置表!$AE$1,MATCH(AB1064,卡牌辅助配置表!AB:AB,0),0),0)</f>
        <v>1950</v>
      </c>
      <c r="AN1064" s="153">
        <f ca="1" t="shared" si="179"/>
        <v>2010005</v>
      </c>
      <c r="AP1064" s="153">
        <f ca="1">IF(AC1064=0,0,IF(AC1064=12,0,OFFSET(effect!$N$1,MATCH(K1064,effect!M:M,0)-1,0)))</f>
        <v>0</v>
      </c>
    </row>
    <row r="1065" spans="1:42">
      <c r="A1065" s="153">
        <f ca="1" t="shared" si="175"/>
        <v>2010005</v>
      </c>
      <c r="B1065" s="91" t="s">
        <v>347</v>
      </c>
      <c r="C1065" s="186">
        <v>2</v>
      </c>
      <c r="D1065" s="186">
        <v>1</v>
      </c>
      <c r="E1065" s="165" t="s">
        <v>1058</v>
      </c>
      <c r="F1065" s="165" t="str">
        <f>"上一招为剑法时，增加敌人受到伤害"&amp;buff!$X$18/100&amp;"%伤害，持续2回合"</f>
        <v>上一招为剑法时，增加敌人受到伤害15%伤害，持续2回合</v>
      </c>
      <c r="G1065" s="186">
        <f ca="1">OFFSET(卡牌辅助配置表!$C$1,MATCH(AC1065,卡牌辅助配置表!A:A,0)-1,0)</f>
        <v>0</v>
      </c>
      <c r="H1065" s="186" t="e">
        <f ca="1">OFFSET(skill!$Q$1,MATCH(B1065,skill!B:B,0)-1,0)</f>
        <v>#VALUE!</v>
      </c>
      <c r="I1065" s="186"/>
      <c r="J1065" s="186">
        <f ca="1">OFFSET(card_type!$F$1,MATCH(Q1065,card_type!A:A,0)-1,0)</f>
        <v>1</v>
      </c>
      <c r="K1065" s="243">
        <f ca="1">OFFSET(card_type!$G$1,MATCH(Q1065,card_type!A:A,0)-1,0)</f>
        <v>2</v>
      </c>
      <c r="L1065" s="157">
        <v>2</v>
      </c>
      <c r="M1065" s="157">
        <v>2</v>
      </c>
      <c r="N1065" s="153">
        <f t="shared" si="174"/>
        <v>5</v>
      </c>
      <c r="O1065" s="157"/>
      <c r="P1065" s="157"/>
      <c r="Q1065" s="153">
        <f ca="1">OFFSET(card_type!$A$1,MATCH(card!B1065,card_type!B:B,0)-1,0)</f>
        <v>2010</v>
      </c>
      <c r="R1065" s="153">
        <v>1</v>
      </c>
      <c r="S1065" s="157">
        <f ca="1">ROUND(IF(R1065=0,0,IF(R1065=1,X1065*$S$1,IF(R1065=2,X1065*$S$1*buff的资质计算!$E$2,IF(R1065=3,X1065*$S$1*buff的资质计算!$E$3,0)))),0)*0</f>
        <v>0</v>
      </c>
      <c r="T1065" s="153">
        <v>5</v>
      </c>
      <c r="U1065" s="153">
        <f ca="1" t="shared" si="176"/>
        <v>12</v>
      </c>
      <c r="V1065" s="153">
        <f ca="1">ROUND((OFFSET(卡牌辅助配置表!$O$1,MATCH(U1065,卡牌辅助配置表!M:M,0)-1,0)+(N1065-1)*OFFSET(卡牌辅助配置表!$P$1,MATCH(U1065,卡牌辅助配置表!M:M,0)-1,0))*M1065,2)</f>
        <v>21.53</v>
      </c>
      <c r="W1065" s="157">
        <f ca="1">ROUND(IF(R1065=0,0,IF(R1065=1,X1065*$W$1,IF(R1065=2,X1065*$W$1*buff的资质计算!$E$2,IF(R1065=3,X1065*$W$1*buff的资质计算!$E$3,0)))),2)</f>
        <v>6</v>
      </c>
      <c r="X1065" s="157">
        <f ca="1" t="shared" si="172"/>
        <v>20</v>
      </c>
      <c r="Y1065" s="157" t="e">
        <f ca="1" t="shared" si="181"/>
        <v>#VALUE!</v>
      </c>
      <c r="Z1065" s="304" t="e">
        <f ca="1" t="shared" si="173"/>
        <v>#VALUE!</v>
      </c>
      <c r="AA1065" s="304">
        <f ca="1">OFFSET(卡牌辅助配置表!$AD$1,MATCH(AB1065,卡牌辅助配置表!AB:AB,0)-1,0)</f>
        <v>180</v>
      </c>
      <c r="AB1065" s="304">
        <f ca="1" t="shared" si="177"/>
        <v>1205</v>
      </c>
      <c r="AC1065" s="153">
        <v>12</v>
      </c>
      <c r="AF1065" s="153" t="str">
        <f ca="1" t="shared" si="180"/>
        <v>20100011|</v>
      </c>
      <c r="AJ1065" s="205" t="str">
        <f ca="1" t="shared" si="178"/>
        <v>400023|2250|;</v>
      </c>
      <c r="AK1065" s="205">
        <f ca="1">OFFSET([1]item_type!$A$1,MATCH(Q1065,[1]item_type!$G:$G,0)-1,0)</f>
        <v>302010</v>
      </c>
      <c r="AL1065" s="205"/>
      <c r="AM1065" s="205">
        <f ca="1">IF(B1065=B1066,OFFSET(卡牌辅助配置表!$AE$1,MATCH(AB1065,卡牌辅助配置表!AB:AB,0),0),0)</f>
        <v>2250</v>
      </c>
      <c r="AN1065" s="153">
        <f ca="1" t="shared" si="179"/>
        <v>2010006</v>
      </c>
      <c r="AP1065" s="153">
        <f ca="1">IF(AC1065=0,0,IF(AC1065=12,0,OFFSET(effect!$N$1,MATCH(K1065,effect!M:M,0)-1,0)))</f>
        <v>0</v>
      </c>
    </row>
    <row r="1066" spans="1:42">
      <c r="A1066" s="153">
        <f ca="1" t="shared" si="175"/>
        <v>2010006</v>
      </c>
      <c r="B1066" s="91" t="s">
        <v>347</v>
      </c>
      <c r="C1066" s="186">
        <v>2</v>
      </c>
      <c r="D1066" s="186">
        <v>1</v>
      </c>
      <c r="E1066" s="165" t="s">
        <v>1058</v>
      </c>
      <c r="F1066" s="165" t="str">
        <f>"上一招为剑法时，增加敌人受到伤害"&amp;buff!$X$18/100&amp;"%伤害，持续2回合"</f>
        <v>上一招为剑法时，增加敌人受到伤害15%伤害，持续2回合</v>
      </c>
      <c r="G1066" s="186">
        <f ca="1">OFFSET(卡牌辅助配置表!$C$1,MATCH(AC1066,卡牌辅助配置表!A:A,0)-1,0)</f>
        <v>0</v>
      </c>
      <c r="H1066" s="186" t="e">
        <f ca="1">OFFSET(skill!$Q$1,MATCH(B1066,skill!B:B,0)-1,0)</f>
        <v>#VALUE!</v>
      </c>
      <c r="I1066" s="186"/>
      <c r="J1066" s="186">
        <f ca="1">OFFSET(card_type!$F$1,MATCH(Q1066,card_type!A:A,0)-1,0)</f>
        <v>1</v>
      </c>
      <c r="K1066" s="243">
        <f ca="1">OFFSET(card_type!$G$1,MATCH(Q1066,card_type!A:A,0)-1,0)</f>
        <v>2</v>
      </c>
      <c r="L1066" s="157">
        <v>2</v>
      </c>
      <c r="M1066" s="157">
        <v>2</v>
      </c>
      <c r="N1066" s="153">
        <f t="shared" si="174"/>
        <v>6</v>
      </c>
      <c r="O1066" s="157"/>
      <c r="P1066" s="157"/>
      <c r="Q1066" s="153">
        <f ca="1">OFFSET(card_type!$A$1,MATCH(card!B1066,card_type!B:B,0)-1,0)</f>
        <v>2010</v>
      </c>
      <c r="R1066" s="153">
        <v>1</v>
      </c>
      <c r="S1066" s="157">
        <f ca="1">ROUND(IF(R1066=0,0,IF(R1066=1,X1066*$S$1,IF(R1066=2,X1066*$S$1*buff的资质计算!$E$2,IF(R1066=3,X1066*$S$1*buff的资质计算!$E$3,0)))),0)*0</f>
        <v>0</v>
      </c>
      <c r="T1066" s="153">
        <v>5</v>
      </c>
      <c r="U1066" s="153">
        <f ca="1" t="shared" si="176"/>
        <v>12</v>
      </c>
      <c r="V1066" s="153">
        <f ca="1">ROUND((OFFSET(卡牌辅助配置表!$O$1,MATCH(U1066,卡牌辅助配置表!M:M,0)-1,0)+(N1066-1)*OFFSET(卡牌辅助配置表!$P$1,MATCH(U1066,卡牌辅助配置表!M:M,0)-1,0))*M1066,2)</f>
        <v>22.17</v>
      </c>
      <c r="W1066" s="157">
        <f ca="1">ROUND(IF(R1066=0,0,IF(R1066=1,X1066*$W$1,IF(R1066=2,X1066*$W$1*buff的资质计算!$E$2,IF(R1066=3,X1066*$W$1*buff的资质计算!$E$3,0)))),2)</f>
        <v>6.15</v>
      </c>
      <c r="X1066" s="157">
        <f ca="1" t="shared" si="172"/>
        <v>20.5</v>
      </c>
      <c r="Y1066" s="157" t="e">
        <f ca="1" t="shared" si="181"/>
        <v>#VALUE!</v>
      </c>
      <c r="Z1066" s="304" t="e">
        <f ca="1" t="shared" si="173"/>
        <v>#VALUE!</v>
      </c>
      <c r="AA1066" s="304">
        <f ca="1">OFFSET(卡牌辅助配置表!$AD$1,MATCH(AB1066,卡牌辅助配置表!AB:AB,0)-1,0)</f>
        <v>216</v>
      </c>
      <c r="AB1066" s="304">
        <f ca="1" t="shared" si="177"/>
        <v>1206</v>
      </c>
      <c r="AC1066" s="153">
        <v>12</v>
      </c>
      <c r="AF1066" s="153" t="str">
        <f ca="1" t="shared" si="180"/>
        <v>20100011|</v>
      </c>
      <c r="AJ1066" s="205" t="str">
        <f ca="1" t="shared" si="178"/>
        <v>400023|2550|;</v>
      </c>
      <c r="AK1066" s="205">
        <f ca="1">OFFSET([1]item_type!$A$1,MATCH(Q1066,[1]item_type!$G:$G,0)-1,0)</f>
        <v>302010</v>
      </c>
      <c r="AL1066" s="205"/>
      <c r="AM1066" s="205">
        <f ca="1">IF(B1066=B1067,OFFSET(卡牌辅助配置表!$AE$1,MATCH(AB1066,卡牌辅助配置表!AB:AB,0),0),0)</f>
        <v>2550</v>
      </c>
      <c r="AN1066" s="153">
        <f ca="1" t="shared" si="179"/>
        <v>2010007</v>
      </c>
      <c r="AP1066" s="153">
        <f ca="1">IF(AC1066=0,0,IF(AC1066=12,0,OFFSET(effect!$N$1,MATCH(K1066,effect!M:M,0)-1,0)))</f>
        <v>0</v>
      </c>
    </row>
    <row r="1067" spans="1:42">
      <c r="A1067" s="153">
        <f ca="1" t="shared" si="175"/>
        <v>2010007</v>
      </c>
      <c r="B1067" s="91" t="s">
        <v>347</v>
      </c>
      <c r="C1067" s="186">
        <v>2</v>
      </c>
      <c r="D1067" s="186">
        <v>1</v>
      </c>
      <c r="E1067" s="165" t="s">
        <v>1058</v>
      </c>
      <c r="F1067" s="165" t="str">
        <f>"上一招为剑法时，增加敌人受到伤害"&amp;buff!$X$18/100&amp;"%伤害，持续2回合"</f>
        <v>上一招为剑法时，增加敌人受到伤害15%伤害，持续2回合</v>
      </c>
      <c r="G1067" s="186">
        <f ca="1">OFFSET(卡牌辅助配置表!$C$1,MATCH(AC1067,卡牌辅助配置表!A:A,0)-1,0)</f>
        <v>0</v>
      </c>
      <c r="H1067" s="186" t="e">
        <f ca="1">OFFSET(skill!$Q$1,MATCH(B1067,skill!B:B,0)-1,0)</f>
        <v>#VALUE!</v>
      </c>
      <c r="I1067" s="186"/>
      <c r="J1067" s="186">
        <f ca="1">OFFSET(card_type!$F$1,MATCH(Q1067,card_type!A:A,0)-1,0)</f>
        <v>1</v>
      </c>
      <c r="K1067" s="243">
        <f ca="1">OFFSET(card_type!$G$1,MATCH(Q1067,card_type!A:A,0)-1,0)</f>
        <v>2</v>
      </c>
      <c r="L1067" s="157">
        <v>2</v>
      </c>
      <c r="M1067" s="157">
        <v>2</v>
      </c>
      <c r="N1067" s="153">
        <f t="shared" si="174"/>
        <v>7</v>
      </c>
      <c r="O1067" s="157"/>
      <c r="P1067" s="157"/>
      <c r="Q1067" s="153">
        <f ca="1">OFFSET(card_type!$A$1,MATCH(card!B1067,card_type!B:B,0)-1,0)</f>
        <v>2010</v>
      </c>
      <c r="R1067" s="153">
        <v>1</v>
      </c>
      <c r="S1067" s="157">
        <f ca="1">ROUND(IF(R1067=0,0,IF(R1067=1,X1067*$S$1,IF(R1067=2,X1067*$S$1*buff的资质计算!$E$2,IF(R1067=3,X1067*$S$1*buff的资质计算!$E$3,0)))),0)*0</f>
        <v>0</v>
      </c>
      <c r="T1067" s="153">
        <v>5</v>
      </c>
      <c r="U1067" s="153">
        <f ca="1" t="shared" si="176"/>
        <v>12</v>
      </c>
      <c r="V1067" s="153">
        <f ca="1">ROUND((OFFSET(卡牌辅助配置表!$O$1,MATCH(U1067,卡牌辅助配置表!M:M,0)-1,0)+(N1067-1)*OFFSET(卡牌辅助配置表!$P$1,MATCH(U1067,卡牌辅助配置表!M:M,0)-1,0))*M1067,2)</f>
        <v>22.8</v>
      </c>
      <c r="W1067" s="157">
        <f ca="1">ROUND(IF(R1067=0,0,IF(R1067=1,X1067*$W$1,IF(R1067=2,X1067*$W$1*buff的资质计算!$E$2,IF(R1067=3,X1067*$W$1*buff的资质计算!$E$3,0)))),2)</f>
        <v>6.3</v>
      </c>
      <c r="X1067" s="157">
        <f ca="1" t="shared" si="172"/>
        <v>21</v>
      </c>
      <c r="Y1067" s="157" t="e">
        <f ca="1" t="shared" si="181"/>
        <v>#VALUE!</v>
      </c>
      <c r="Z1067" s="304" t="e">
        <f ca="1" t="shared" si="173"/>
        <v>#VALUE!</v>
      </c>
      <c r="AA1067" s="304">
        <f ca="1">OFFSET(卡牌辅助配置表!$AD$1,MATCH(AB1067,卡牌辅助配置表!AB:AB,0)-1,0)</f>
        <v>252</v>
      </c>
      <c r="AB1067" s="304">
        <f ca="1" t="shared" si="177"/>
        <v>1207</v>
      </c>
      <c r="AC1067" s="153">
        <v>12</v>
      </c>
      <c r="AF1067" s="153" t="str">
        <f ca="1" t="shared" si="180"/>
        <v>20100011|</v>
      </c>
      <c r="AJ1067" s="205" t="str">
        <f ca="1" t="shared" si="178"/>
        <v>400023|2850|;</v>
      </c>
      <c r="AK1067" s="205">
        <f ca="1">OFFSET([1]item_type!$A$1,MATCH(Q1067,[1]item_type!$G:$G,0)-1,0)</f>
        <v>302010</v>
      </c>
      <c r="AL1067" s="205"/>
      <c r="AM1067" s="205">
        <f ca="1">IF(B1067=B1068,OFFSET(卡牌辅助配置表!$AE$1,MATCH(AB1067,卡牌辅助配置表!AB:AB,0),0),0)</f>
        <v>2850</v>
      </c>
      <c r="AN1067" s="153">
        <f ca="1" t="shared" si="179"/>
        <v>2010008</v>
      </c>
      <c r="AP1067" s="153">
        <f ca="1">IF(AC1067=0,0,IF(AC1067=12,0,OFFSET(effect!$N$1,MATCH(K1067,effect!M:M,0)-1,0)))</f>
        <v>0</v>
      </c>
    </row>
    <row r="1068" spans="1:42">
      <c r="A1068" s="153">
        <f ca="1" t="shared" si="175"/>
        <v>2010008</v>
      </c>
      <c r="B1068" s="91" t="s">
        <v>347</v>
      </c>
      <c r="C1068" s="186">
        <v>2</v>
      </c>
      <c r="D1068" s="186">
        <v>1</v>
      </c>
      <c r="E1068" s="165" t="s">
        <v>1058</v>
      </c>
      <c r="F1068" s="165" t="str">
        <f>"上一招为剑法时，增加敌人受到伤害"&amp;buff!$X$18/100&amp;"%伤害，持续2回合"</f>
        <v>上一招为剑法时，增加敌人受到伤害15%伤害，持续2回合</v>
      </c>
      <c r="G1068" s="186">
        <f ca="1">OFFSET(卡牌辅助配置表!$C$1,MATCH(AC1068,卡牌辅助配置表!A:A,0)-1,0)</f>
        <v>0</v>
      </c>
      <c r="H1068" s="186" t="e">
        <f ca="1">OFFSET(skill!$Q$1,MATCH(B1068,skill!B:B,0)-1,0)</f>
        <v>#VALUE!</v>
      </c>
      <c r="I1068" s="186"/>
      <c r="J1068" s="186">
        <f ca="1">OFFSET(card_type!$F$1,MATCH(Q1068,card_type!A:A,0)-1,0)</f>
        <v>1</v>
      </c>
      <c r="K1068" s="243">
        <f ca="1">OFFSET(card_type!$G$1,MATCH(Q1068,card_type!A:A,0)-1,0)</f>
        <v>2</v>
      </c>
      <c r="L1068" s="157">
        <v>2</v>
      </c>
      <c r="M1068" s="157">
        <v>2</v>
      </c>
      <c r="N1068" s="153">
        <f t="shared" si="174"/>
        <v>8</v>
      </c>
      <c r="O1068" s="157"/>
      <c r="P1068" s="157"/>
      <c r="Q1068" s="153">
        <f ca="1">OFFSET(card_type!$A$1,MATCH(card!B1068,card_type!B:B,0)-1,0)</f>
        <v>2010</v>
      </c>
      <c r="R1068" s="153">
        <v>1</v>
      </c>
      <c r="S1068" s="157">
        <f ca="1">ROUND(IF(R1068=0,0,IF(R1068=1,X1068*$S$1,IF(R1068=2,X1068*$S$1*buff的资质计算!$E$2,IF(R1068=3,X1068*$S$1*buff的资质计算!$E$3,0)))),0)*0</f>
        <v>0</v>
      </c>
      <c r="T1068" s="153">
        <v>5</v>
      </c>
      <c r="U1068" s="153">
        <f ca="1" t="shared" si="176"/>
        <v>12</v>
      </c>
      <c r="V1068" s="153">
        <f ca="1">ROUND((OFFSET(卡牌辅助配置表!$O$1,MATCH(U1068,卡牌辅助配置表!M:M,0)-1,0)+(N1068-1)*OFFSET(卡牌辅助配置表!$P$1,MATCH(U1068,卡牌辅助配置表!M:M,0)-1,0))*M1068,2)</f>
        <v>23.43</v>
      </c>
      <c r="W1068" s="157">
        <f ca="1">ROUND(IF(R1068=0,0,IF(R1068=1,X1068*$W$1,IF(R1068=2,X1068*$W$1*buff的资质计算!$E$2,IF(R1068=3,X1068*$W$1*buff的资质计算!$E$3,0)))),2)</f>
        <v>6.45</v>
      </c>
      <c r="X1068" s="157">
        <f ca="1" t="shared" si="172"/>
        <v>21.5</v>
      </c>
      <c r="Y1068" s="157" t="e">
        <f ca="1" t="shared" si="181"/>
        <v>#VALUE!</v>
      </c>
      <c r="Z1068" s="304" t="e">
        <f ca="1" t="shared" si="173"/>
        <v>#VALUE!</v>
      </c>
      <c r="AA1068" s="304">
        <f ca="1">OFFSET(卡牌辅助配置表!$AD$1,MATCH(AB1068,卡牌辅助配置表!AB:AB,0)-1,0)</f>
        <v>288</v>
      </c>
      <c r="AB1068" s="304">
        <f ca="1" t="shared" si="177"/>
        <v>1208</v>
      </c>
      <c r="AC1068" s="153">
        <v>12</v>
      </c>
      <c r="AF1068" s="153" t="str">
        <f ca="1" t="shared" si="180"/>
        <v>20100011|</v>
      </c>
      <c r="AJ1068" s="205" t="str">
        <f ca="1" t="shared" si="178"/>
        <v>400023|3150|;</v>
      </c>
      <c r="AK1068" s="205">
        <f ca="1">OFFSET([1]item_type!$A$1,MATCH(Q1068,[1]item_type!$G:$G,0)-1,0)</f>
        <v>302010</v>
      </c>
      <c r="AL1068" s="205"/>
      <c r="AM1068" s="205">
        <f ca="1">IF(B1068=B1069,OFFSET(卡牌辅助配置表!$AE$1,MATCH(AB1068,卡牌辅助配置表!AB:AB,0),0),0)</f>
        <v>3150</v>
      </c>
      <c r="AN1068" s="153">
        <f ca="1" t="shared" si="179"/>
        <v>2010009</v>
      </c>
      <c r="AP1068" s="153">
        <f ca="1">IF(AC1068=0,0,IF(AC1068=12,0,OFFSET(effect!$N$1,MATCH(K1068,effect!M:M,0)-1,0)))</f>
        <v>0</v>
      </c>
    </row>
    <row r="1069" spans="1:42">
      <c r="A1069" s="153">
        <f ca="1" t="shared" si="175"/>
        <v>2010009</v>
      </c>
      <c r="B1069" s="91" t="s">
        <v>347</v>
      </c>
      <c r="C1069" s="186">
        <v>2</v>
      </c>
      <c r="D1069" s="186">
        <v>1</v>
      </c>
      <c r="E1069" s="165" t="s">
        <v>1058</v>
      </c>
      <c r="F1069" s="165" t="str">
        <f>"上一招为剑法时，增加敌人受到伤害"&amp;buff!$X$18/100&amp;"%伤害，持续2回合"</f>
        <v>上一招为剑法时，增加敌人受到伤害15%伤害，持续2回合</v>
      </c>
      <c r="G1069" s="186">
        <f ca="1">OFFSET(卡牌辅助配置表!$C$1,MATCH(AC1069,卡牌辅助配置表!A:A,0)-1,0)</f>
        <v>0</v>
      </c>
      <c r="H1069" s="186" t="e">
        <f ca="1">OFFSET(skill!$Q$1,MATCH(B1069,skill!B:B,0)-1,0)</f>
        <v>#VALUE!</v>
      </c>
      <c r="I1069" s="186"/>
      <c r="J1069" s="186">
        <f ca="1">OFFSET(card_type!$F$1,MATCH(Q1069,card_type!A:A,0)-1,0)</f>
        <v>1</v>
      </c>
      <c r="K1069" s="243">
        <f ca="1">OFFSET(card_type!$G$1,MATCH(Q1069,card_type!A:A,0)-1,0)</f>
        <v>2</v>
      </c>
      <c r="L1069" s="157">
        <v>2</v>
      </c>
      <c r="M1069" s="157">
        <v>2</v>
      </c>
      <c r="N1069" s="153">
        <f t="shared" si="174"/>
        <v>9</v>
      </c>
      <c r="O1069" s="157"/>
      <c r="P1069" s="157"/>
      <c r="Q1069" s="153">
        <f ca="1">OFFSET(card_type!$A$1,MATCH(card!B1069,card_type!B:B,0)-1,0)</f>
        <v>2010</v>
      </c>
      <c r="R1069" s="153">
        <v>1</v>
      </c>
      <c r="S1069" s="157">
        <f ca="1">ROUND(IF(R1069=0,0,IF(R1069=1,X1069*$S$1,IF(R1069=2,X1069*$S$1*buff的资质计算!$E$2,IF(R1069=3,X1069*$S$1*buff的资质计算!$E$3,0)))),0)*0</f>
        <v>0</v>
      </c>
      <c r="T1069" s="153">
        <v>5</v>
      </c>
      <c r="U1069" s="153">
        <f ca="1" t="shared" si="176"/>
        <v>12</v>
      </c>
      <c r="V1069" s="153">
        <f ca="1">ROUND((OFFSET(卡牌辅助配置表!$O$1,MATCH(U1069,卡牌辅助配置表!M:M,0)-1,0)+(N1069-1)*OFFSET(卡牌辅助配置表!$P$1,MATCH(U1069,卡牌辅助配置表!M:M,0)-1,0))*M1069,2)</f>
        <v>24.07</v>
      </c>
      <c r="W1069" s="157">
        <f ca="1">ROUND(IF(R1069=0,0,IF(R1069=1,X1069*$W$1,IF(R1069=2,X1069*$W$1*buff的资质计算!$E$2,IF(R1069=3,X1069*$W$1*buff的资质计算!$E$3,0)))),2)</f>
        <v>6.6</v>
      </c>
      <c r="X1069" s="157">
        <f ca="1" t="shared" si="172"/>
        <v>22</v>
      </c>
      <c r="Y1069" s="157" t="e">
        <f ca="1" t="shared" si="181"/>
        <v>#VALUE!</v>
      </c>
      <c r="Z1069" s="304" t="e">
        <f ca="1" t="shared" si="173"/>
        <v>#VALUE!</v>
      </c>
      <c r="AA1069" s="304">
        <f ca="1">OFFSET(卡牌辅助配置表!$AD$1,MATCH(AB1069,卡牌辅助配置表!AB:AB,0)-1,0)</f>
        <v>324</v>
      </c>
      <c r="AB1069" s="304">
        <f ca="1" t="shared" si="177"/>
        <v>1209</v>
      </c>
      <c r="AC1069" s="153">
        <v>12</v>
      </c>
      <c r="AF1069" s="153" t="str">
        <f ca="1" t="shared" si="180"/>
        <v>20100011|</v>
      </c>
      <c r="AJ1069" s="205" t="str">
        <f ca="1" t="shared" si="178"/>
        <v>302010|15|;400023|3450|;</v>
      </c>
      <c r="AK1069" s="205">
        <f ca="1">OFFSET([1]item_type!$A$1,MATCH(Q1069,[1]item_type!$G:$G,0)-1,0)</f>
        <v>302010</v>
      </c>
      <c r="AL1069" s="205">
        <v>15</v>
      </c>
      <c r="AM1069" s="205">
        <f ca="1">IF(B1069=B1070,OFFSET(卡牌辅助配置表!$AE$1,MATCH(AB1069,卡牌辅助配置表!AB:AB,0),0),0)</f>
        <v>3450</v>
      </c>
      <c r="AN1069" s="153">
        <f ca="1" t="shared" si="179"/>
        <v>2010010</v>
      </c>
      <c r="AP1069" s="153">
        <f ca="1">IF(AC1069=0,0,IF(AC1069=12,0,OFFSET(effect!$N$1,MATCH(K1069,effect!M:M,0)-1,0)))</f>
        <v>0</v>
      </c>
    </row>
    <row r="1070" spans="1:42">
      <c r="A1070" s="153">
        <f ca="1" t="shared" si="175"/>
        <v>2010010</v>
      </c>
      <c r="B1070" s="91" t="s">
        <v>347</v>
      </c>
      <c r="C1070" s="186">
        <v>2</v>
      </c>
      <c r="D1070" s="186">
        <v>1</v>
      </c>
      <c r="E1070" s="165" t="s">
        <v>1058</v>
      </c>
      <c r="F1070" s="165" t="str">
        <f>"上一招为剑法时，增加敌人受到伤害"&amp;buff!$X$18/100&amp;"%伤害，持续2回合"</f>
        <v>上一招为剑法时，增加敌人受到伤害15%伤害，持续2回合</v>
      </c>
      <c r="G1070" s="186">
        <f ca="1">OFFSET(卡牌辅助配置表!$C$1,MATCH(AC1070,卡牌辅助配置表!A:A,0)-1,0)</f>
        <v>0</v>
      </c>
      <c r="H1070" s="186" t="e">
        <f ca="1">OFFSET(skill!$Q$1,MATCH(B1070,skill!B:B,0)-1,0)</f>
        <v>#VALUE!</v>
      </c>
      <c r="I1070" s="186"/>
      <c r="J1070" s="186">
        <f ca="1">OFFSET(card_type!$F$1,MATCH(Q1070,card_type!A:A,0)-1,0)</f>
        <v>1</v>
      </c>
      <c r="K1070" s="243">
        <f ca="1">OFFSET(card_type!$G$1,MATCH(Q1070,card_type!A:A,0)-1,0)</f>
        <v>2</v>
      </c>
      <c r="L1070" s="157">
        <v>2</v>
      </c>
      <c r="M1070" s="157">
        <v>2</v>
      </c>
      <c r="N1070" s="153">
        <f t="shared" si="174"/>
        <v>10</v>
      </c>
      <c r="O1070" s="157"/>
      <c r="P1070" s="157"/>
      <c r="Q1070" s="153">
        <f ca="1">OFFSET(card_type!$A$1,MATCH(card!B1070,card_type!B:B,0)-1,0)</f>
        <v>2010</v>
      </c>
      <c r="R1070" s="153">
        <v>1</v>
      </c>
      <c r="S1070" s="157">
        <f ca="1">ROUND(IF(R1070=0,0,IF(R1070=1,X1070*$S$1,IF(R1070=2,X1070*$S$1*buff的资质计算!$E$2,IF(R1070=3,X1070*$S$1*buff的资质计算!$E$3,0)))),0)*0</f>
        <v>0</v>
      </c>
      <c r="T1070" s="153">
        <v>5</v>
      </c>
      <c r="U1070" s="153">
        <f ca="1" t="shared" si="176"/>
        <v>12</v>
      </c>
      <c r="V1070" s="153">
        <f ca="1">ROUND((OFFSET(卡牌辅助配置表!$O$1,MATCH(U1070,卡牌辅助配置表!M:M,0)-1,0)+(N1070-1)*OFFSET(卡牌辅助配置表!$P$1,MATCH(U1070,卡牌辅助配置表!M:M,0)-1,0))*M1070,2)</f>
        <v>24.7</v>
      </c>
      <c r="W1070" s="157">
        <f ca="1">ROUND(IF(R1070=0,0,IF(R1070=1,X1070*$W$1,IF(R1070=2,X1070*$W$1*buff的资质计算!$E$2,IF(R1070=3,X1070*$W$1*buff的资质计算!$E$3,0)))),2)</f>
        <v>6.75</v>
      </c>
      <c r="X1070" s="157">
        <f ca="1" t="shared" si="172"/>
        <v>22.5</v>
      </c>
      <c r="Y1070" s="157" t="e">
        <f ca="1" t="shared" si="181"/>
        <v>#VALUE!</v>
      </c>
      <c r="Z1070" s="304" t="e">
        <f ca="1" t="shared" si="173"/>
        <v>#VALUE!</v>
      </c>
      <c r="AA1070" s="304">
        <f ca="1">OFFSET(卡牌辅助配置表!$AD$1,MATCH(AB1070,卡牌辅助配置表!AB:AB,0)-1,0)</f>
        <v>360</v>
      </c>
      <c r="AB1070" s="304">
        <f ca="1" t="shared" si="177"/>
        <v>1210</v>
      </c>
      <c r="AC1070" s="153">
        <v>12</v>
      </c>
      <c r="AF1070" s="153" t="str">
        <f ca="1" t="shared" si="180"/>
        <v>20100011|</v>
      </c>
      <c r="AJ1070" s="205" t="str">
        <f ca="1" t="shared" si="178"/>
        <v>400023|4050|;</v>
      </c>
      <c r="AK1070" s="205">
        <f ca="1">OFFSET([1]item_type!$A$1,MATCH(Q1070,[1]item_type!$G:$G,0)-1,0)</f>
        <v>302010</v>
      </c>
      <c r="AL1070" s="205"/>
      <c r="AM1070" s="205">
        <f ca="1">IF(B1070=B1071,OFFSET(卡牌辅助配置表!$AE$1,MATCH(AB1070,卡牌辅助配置表!AB:AB,0),0),0)</f>
        <v>4050</v>
      </c>
      <c r="AN1070" s="153">
        <f ca="1" t="shared" si="179"/>
        <v>2010011</v>
      </c>
      <c r="AP1070" s="153">
        <f ca="1">IF(AC1070=0,0,IF(AC1070=12,0,OFFSET(effect!$N$1,MATCH(K1070,effect!M:M,0)-1,0)))</f>
        <v>0</v>
      </c>
    </row>
    <row r="1071" spans="1:42">
      <c r="A1071" s="153">
        <f ca="1" t="shared" si="175"/>
        <v>2010011</v>
      </c>
      <c r="B1071" s="91" t="s">
        <v>347</v>
      </c>
      <c r="C1071" s="186">
        <v>2</v>
      </c>
      <c r="D1071" s="186">
        <v>1</v>
      </c>
      <c r="E1071" s="165" t="s">
        <v>1058</v>
      </c>
      <c r="F1071" s="165" t="str">
        <f>"上一招为剑法时，增加敌人受到伤害"&amp;buff!$X$18/100&amp;"%伤害，持续2回合"</f>
        <v>上一招为剑法时，增加敌人受到伤害15%伤害，持续2回合</v>
      </c>
      <c r="G1071" s="186">
        <f ca="1">OFFSET(卡牌辅助配置表!$C$1,MATCH(AC1071,卡牌辅助配置表!A:A,0)-1,0)</f>
        <v>0</v>
      </c>
      <c r="H1071" s="186" t="e">
        <f ca="1">OFFSET(skill!$Q$1,MATCH(B1071,skill!B:B,0)-1,0)</f>
        <v>#VALUE!</v>
      </c>
      <c r="I1071" s="186"/>
      <c r="J1071" s="186">
        <f ca="1">OFFSET(card_type!$F$1,MATCH(Q1071,card_type!A:A,0)-1,0)</f>
        <v>1</v>
      </c>
      <c r="K1071" s="243">
        <f ca="1">OFFSET(card_type!$G$1,MATCH(Q1071,card_type!A:A,0)-1,0)</f>
        <v>2</v>
      </c>
      <c r="L1071" s="157">
        <v>2</v>
      </c>
      <c r="M1071" s="157">
        <v>2</v>
      </c>
      <c r="N1071" s="153">
        <f t="shared" si="174"/>
        <v>11</v>
      </c>
      <c r="O1071" s="157"/>
      <c r="P1071" s="157"/>
      <c r="Q1071" s="153">
        <f ca="1">OFFSET(card_type!$A$1,MATCH(card!B1071,card_type!B:B,0)-1,0)</f>
        <v>2010</v>
      </c>
      <c r="R1071" s="153">
        <v>1</v>
      </c>
      <c r="S1071" s="157">
        <f ca="1">ROUND(IF(R1071=0,0,IF(R1071=1,X1071*$S$1,IF(R1071=2,X1071*$S$1*buff的资质计算!$E$2,IF(R1071=3,X1071*$S$1*buff的资质计算!$E$3,0)))),0)*0</f>
        <v>0</v>
      </c>
      <c r="T1071" s="153">
        <v>5</v>
      </c>
      <c r="U1071" s="153">
        <f ca="1" t="shared" si="176"/>
        <v>12</v>
      </c>
      <c r="V1071" s="153">
        <f ca="1">ROUND((OFFSET(卡牌辅助配置表!$O$1,MATCH(U1071,卡牌辅助配置表!M:M,0)-1,0)+(N1071-1)*OFFSET(卡牌辅助配置表!$P$1,MATCH(U1071,卡牌辅助配置表!M:M,0)-1,0))*M1071,2)</f>
        <v>25.33</v>
      </c>
      <c r="W1071" s="157">
        <f ca="1">ROUND(IF(R1071=0,0,IF(R1071=1,X1071*$W$1,IF(R1071=2,X1071*$W$1*buff的资质计算!$E$2,IF(R1071=3,X1071*$W$1*buff的资质计算!$E$3,0)))),2)</f>
        <v>6.9</v>
      </c>
      <c r="X1071" s="157">
        <f ca="1" t="shared" si="172"/>
        <v>23</v>
      </c>
      <c r="Y1071" s="157" t="e">
        <f ca="1" t="shared" si="181"/>
        <v>#VALUE!</v>
      </c>
      <c r="Z1071" s="304" t="e">
        <f ca="1" t="shared" si="173"/>
        <v>#VALUE!</v>
      </c>
      <c r="AA1071" s="304">
        <f ca="1">OFFSET(卡牌辅助配置表!$AD$1,MATCH(AB1071,卡牌辅助配置表!AB:AB,0)-1,0)</f>
        <v>415</v>
      </c>
      <c r="AB1071" s="304">
        <f ca="1" t="shared" si="177"/>
        <v>1211</v>
      </c>
      <c r="AC1071" s="153">
        <v>12</v>
      </c>
      <c r="AF1071" s="153" t="str">
        <f ca="1" t="shared" si="180"/>
        <v>20100011|</v>
      </c>
      <c r="AJ1071" s="205" t="str">
        <f ca="1" t="shared" si="178"/>
        <v>400023|4650|;</v>
      </c>
      <c r="AK1071" s="205">
        <f ca="1">OFFSET([1]item_type!$A$1,MATCH(Q1071,[1]item_type!$G:$G,0)-1,0)</f>
        <v>302010</v>
      </c>
      <c r="AL1071" s="205"/>
      <c r="AM1071" s="205">
        <f ca="1">IF(B1071=B1072,OFFSET(卡牌辅助配置表!$AE$1,MATCH(AB1071,卡牌辅助配置表!AB:AB,0),0),0)</f>
        <v>4650</v>
      </c>
      <c r="AN1071" s="153">
        <f ca="1" t="shared" si="179"/>
        <v>2010012</v>
      </c>
      <c r="AP1071" s="153">
        <f ca="1">IF(AC1071=0,0,IF(AC1071=12,0,OFFSET(effect!$N$1,MATCH(K1071,effect!M:M,0)-1,0)))</f>
        <v>0</v>
      </c>
    </row>
    <row r="1072" spans="1:42">
      <c r="A1072" s="153">
        <f ca="1" t="shared" si="175"/>
        <v>2010012</v>
      </c>
      <c r="B1072" s="91" t="s">
        <v>347</v>
      </c>
      <c r="C1072" s="186">
        <v>2</v>
      </c>
      <c r="D1072" s="186">
        <v>1</v>
      </c>
      <c r="E1072" s="165" t="s">
        <v>1058</v>
      </c>
      <c r="F1072" s="165" t="str">
        <f>"上一招为剑法时，增加敌人受到伤害"&amp;buff!$X$18/100&amp;"%伤害，持续2回合"</f>
        <v>上一招为剑法时，增加敌人受到伤害15%伤害，持续2回合</v>
      </c>
      <c r="G1072" s="186">
        <f ca="1">OFFSET(卡牌辅助配置表!$C$1,MATCH(AC1072,卡牌辅助配置表!A:A,0)-1,0)</f>
        <v>0</v>
      </c>
      <c r="H1072" s="186" t="e">
        <f ca="1">OFFSET(skill!$Q$1,MATCH(B1072,skill!B:B,0)-1,0)</f>
        <v>#VALUE!</v>
      </c>
      <c r="I1072" s="186"/>
      <c r="J1072" s="186">
        <f ca="1">OFFSET(card_type!$F$1,MATCH(Q1072,card_type!A:A,0)-1,0)</f>
        <v>1</v>
      </c>
      <c r="K1072" s="243">
        <f ca="1">OFFSET(card_type!$G$1,MATCH(Q1072,card_type!A:A,0)-1,0)</f>
        <v>2</v>
      </c>
      <c r="L1072" s="157">
        <v>2</v>
      </c>
      <c r="M1072" s="157">
        <v>2</v>
      </c>
      <c r="N1072" s="153">
        <f t="shared" si="174"/>
        <v>12</v>
      </c>
      <c r="O1072" s="157"/>
      <c r="P1072" s="157"/>
      <c r="Q1072" s="153">
        <f ca="1">OFFSET(card_type!$A$1,MATCH(card!B1072,card_type!B:B,0)-1,0)</f>
        <v>2010</v>
      </c>
      <c r="R1072" s="153">
        <v>1</v>
      </c>
      <c r="S1072" s="157">
        <f ca="1">ROUND(IF(R1072=0,0,IF(R1072=1,X1072*$S$1,IF(R1072=2,X1072*$S$1*buff的资质计算!$E$2,IF(R1072=3,X1072*$S$1*buff的资质计算!$E$3,0)))),0)*0</f>
        <v>0</v>
      </c>
      <c r="T1072" s="153">
        <v>5</v>
      </c>
      <c r="U1072" s="153">
        <f ca="1" t="shared" si="176"/>
        <v>12</v>
      </c>
      <c r="V1072" s="153">
        <f ca="1">ROUND((OFFSET(卡牌辅助配置表!$O$1,MATCH(U1072,卡牌辅助配置表!M:M,0)-1,0)+(N1072-1)*OFFSET(卡牌辅助配置表!$P$1,MATCH(U1072,卡牌辅助配置表!M:M,0)-1,0))*M1072,2)</f>
        <v>25.97</v>
      </c>
      <c r="W1072" s="157">
        <f ca="1">ROUND(IF(R1072=0,0,IF(R1072=1,X1072*$W$1,IF(R1072=2,X1072*$W$1*buff的资质计算!$E$2,IF(R1072=3,X1072*$W$1*buff的资质计算!$E$3,0)))),2)</f>
        <v>7.05</v>
      </c>
      <c r="X1072" s="157">
        <f ca="1" t="shared" si="172"/>
        <v>23.5</v>
      </c>
      <c r="Y1072" s="157" t="e">
        <f ca="1" t="shared" si="181"/>
        <v>#VALUE!</v>
      </c>
      <c r="Z1072" s="304" t="e">
        <f ca="1" t="shared" si="173"/>
        <v>#VALUE!</v>
      </c>
      <c r="AA1072" s="304">
        <f ca="1">OFFSET(卡牌辅助配置表!$AD$1,MATCH(AB1072,卡牌辅助配置表!AB:AB,0)-1,0)</f>
        <v>470</v>
      </c>
      <c r="AB1072" s="304">
        <f ca="1" t="shared" si="177"/>
        <v>1212</v>
      </c>
      <c r="AC1072" s="153">
        <v>12</v>
      </c>
      <c r="AF1072" s="153" t="str">
        <f ca="1" t="shared" si="180"/>
        <v>20100011|</v>
      </c>
      <c r="AJ1072" s="205" t="str">
        <f ca="1" t="shared" si="178"/>
        <v>400023|5250|;</v>
      </c>
      <c r="AK1072" s="205">
        <f ca="1">OFFSET([1]item_type!$A$1,MATCH(Q1072,[1]item_type!$G:$G,0)-1,0)</f>
        <v>302010</v>
      </c>
      <c r="AL1072" s="205"/>
      <c r="AM1072" s="205">
        <f ca="1">IF(B1072=B1073,OFFSET(卡牌辅助配置表!$AE$1,MATCH(AB1072,卡牌辅助配置表!AB:AB,0),0),0)</f>
        <v>5250</v>
      </c>
      <c r="AN1072" s="153">
        <f ca="1" t="shared" si="179"/>
        <v>2010013</v>
      </c>
      <c r="AP1072" s="153">
        <f ca="1">IF(AC1072=0,0,IF(AC1072=12,0,OFFSET(effect!$N$1,MATCH(K1072,effect!M:M,0)-1,0)))</f>
        <v>0</v>
      </c>
    </row>
    <row r="1073" spans="1:42">
      <c r="A1073" s="153">
        <f ca="1" t="shared" si="175"/>
        <v>2010013</v>
      </c>
      <c r="B1073" s="91" t="s">
        <v>347</v>
      </c>
      <c r="C1073" s="186">
        <v>2</v>
      </c>
      <c r="D1073" s="186">
        <v>1</v>
      </c>
      <c r="E1073" s="165" t="s">
        <v>1058</v>
      </c>
      <c r="F1073" s="165" t="str">
        <f>"上一招为剑法时，增加敌人受到伤害"&amp;buff!$X$18/100&amp;"%伤害，持续2回合"</f>
        <v>上一招为剑法时，增加敌人受到伤害15%伤害，持续2回合</v>
      </c>
      <c r="G1073" s="186">
        <f ca="1">OFFSET(卡牌辅助配置表!$C$1,MATCH(AC1073,卡牌辅助配置表!A:A,0)-1,0)</f>
        <v>0</v>
      </c>
      <c r="H1073" s="186" t="e">
        <f ca="1">OFFSET(skill!$Q$1,MATCH(B1073,skill!B:B,0)-1,0)</f>
        <v>#VALUE!</v>
      </c>
      <c r="I1073" s="186"/>
      <c r="J1073" s="186">
        <f ca="1">OFFSET(card_type!$F$1,MATCH(Q1073,card_type!A:A,0)-1,0)</f>
        <v>1</v>
      </c>
      <c r="K1073" s="243">
        <f ca="1">OFFSET(card_type!$G$1,MATCH(Q1073,card_type!A:A,0)-1,0)</f>
        <v>2</v>
      </c>
      <c r="L1073" s="157">
        <v>2</v>
      </c>
      <c r="M1073" s="157">
        <v>2</v>
      </c>
      <c r="N1073" s="153">
        <f t="shared" si="174"/>
        <v>13</v>
      </c>
      <c r="O1073" s="157"/>
      <c r="P1073" s="157"/>
      <c r="Q1073" s="153">
        <f ca="1">OFFSET(card_type!$A$1,MATCH(card!B1073,card_type!B:B,0)-1,0)</f>
        <v>2010</v>
      </c>
      <c r="R1073" s="153">
        <v>1</v>
      </c>
      <c r="S1073" s="157">
        <f ca="1">ROUND(IF(R1073=0,0,IF(R1073=1,X1073*$S$1,IF(R1073=2,X1073*$S$1*buff的资质计算!$E$2,IF(R1073=3,X1073*$S$1*buff的资质计算!$E$3,0)))),0)*0</f>
        <v>0</v>
      </c>
      <c r="T1073" s="153">
        <v>5</v>
      </c>
      <c r="U1073" s="153">
        <f ca="1" t="shared" si="176"/>
        <v>12</v>
      </c>
      <c r="V1073" s="153">
        <f ca="1">ROUND((OFFSET(卡牌辅助配置表!$O$1,MATCH(U1073,卡牌辅助配置表!M:M,0)-1,0)+(N1073-1)*OFFSET(卡牌辅助配置表!$P$1,MATCH(U1073,卡牌辅助配置表!M:M,0)-1,0))*M1073,2)</f>
        <v>26.6</v>
      </c>
      <c r="W1073" s="157">
        <f ca="1">ROUND(IF(R1073=0,0,IF(R1073=1,X1073*$W$1,IF(R1073=2,X1073*$W$1*buff的资质计算!$E$2,IF(R1073=3,X1073*$W$1*buff的资质计算!$E$3,0)))),2)</f>
        <v>7.2</v>
      </c>
      <c r="X1073" s="157">
        <f ca="1" t="shared" si="172"/>
        <v>24</v>
      </c>
      <c r="Y1073" s="157" t="e">
        <f ca="1" t="shared" si="181"/>
        <v>#VALUE!</v>
      </c>
      <c r="Z1073" s="304" t="e">
        <f ca="1" t="shared" si="173"/>
        <v>#VALUE!</v>
      </c>
      <c r="AA1073" s="304">
        <f ca="1">OFFSET(卡牌辅助配置表!$AD$1,MATCH(AB1073,卡牌辅助配置表!AB:AB,0)-1,0)</f>
        <v>525</v>
      </c>
      <c r="AB1073" s="304">
        <f ca="1" t="shared" si="177"/>
        <v>1213</v>
      </c>
      <c r="AC1073" s="153">
        <v>12</v>
      </c>
      <c r="AF1073" s="153" t="str">
        <f ca="1" t="shared" si="180"/>
        <v>20100011|</v>
      </c>
      <c r="AJ1073" s="205" t="str">
        <f ca="1" t="shared" si="178"/>
        <v>400023|5850|;</v>
      </c>
      <c r="AK1073" s="205">
        <f ca="1">OFFSET([1]item_type!$A$1,MATCH(Q1073,[1]item_type!$G:$G,0)-1,0)</f>
        <v>302010</v>
      </c>
      <c r="AL1073" s="205"/>
      <c r="AM1073" s="205">
        <f ca="1">IF(B1073=B1074,OFFSET(卡牌辅助配置表!$AE$1,MATCH(AB1073,卡牌辅助配置表!AB:AB,0),0),0)</f>
        <v>5850</v>
      </c>
      <c r="AN1073" s="153">
        <f ca="1" t="shared" si="179"/>
        <v>2010014</v>
      </c>
      <c r="AP1073" s="153">
        <f ca="1">IF(AC1073=0,0,IF(AC1073=12,0,OFFSET(effect!$N$1,MATCH(K1073,effect!M:M,0)-1,0)))</f>
        <v>0</v>
      </c>
    </row>
    <row r="1074" spans="1:42">
      <c r="A1074" s="153">
        <f ca="1" t="shared" si="175"/>
        <v>2010014</v>
      </c>
      <c r="B1074" s="91" t="s">
        <v>347</v>
      </c>
      <c r="C1074" s="186">
        <v>2</v>
      </c>
      <c r="D1074" s="186">
        <v>1</v>
      </c>
      <c r="E1074" s="165" t="s">
        <v>1058</v>
      </c>
      <c r="F1074" s="165" t="str">
        <f>"上一招为剑法时，增加敌人受到伤害"&amp;buff!$X$18/100&amp;"%伤害，持续2回合"</f>
        <v>上一招为剑法时，增加敌人受到伤害15%伤害，持续2回合</v>
      </c>
      <c r="G1074" s="186">
        <f ca="1">OFFSET(卡牌辅助配置表!$C$1,MATCH(AC1074,卡牌辅助配置表!A:A,0)-1,0)</f>
        <v>0</v>
      </c>
      <c r="H1074" s="186" t="e">
        <f ca="1">OFFSET(skill!$Q$1,MATCH(B1074,skill!B:B,0)-1,0)</f>
        <v>#VALUE!</v>
      </c>
      <c r="I1074" s="186"/>
      <c r="J1074" s="186">
        <f ca="1">OFFSET(card_type!$F$1,MATCH(Q1074,card_type!A:A,0)-1,0)</f>
        <v>1</v>
      </c>
      <c r="K1074" s="243">
        <f ca="1">OFFSET(card_type!$G$1,MATCH(Q1074,card_type!A:A,0)-1,0)</f>
        <v>2</v>
      </c>
      <c r="L1074" s="157">
        <v>2</v>
      </c>
      <c r="M1074" s="157">
        <v>2</v>
      </c>
      <c r="N1074" s="153">
        <f t="shared" si="174"/>
        <v>14</v>
      </c>
      <c r="O1074" s="157"/>
      <c r="P1074" s="157"/>
      <c r="Q1074" s="153">
        <f ca="1">OFFSET(card_type!$A$1,MATCH(card!B1074,card_type!B:B,0)-1,0)</f>
        <v>2010</v>
      </c>
      <c r="R1074" s="153">
        <v>1</v>
      </c>
      <c r="S1074" s="157">
        <f ca="1">ROUND(IF(R1074=0,0,IF(R1074=1,X1074*$S$1,IF(R1074=2,X1074*$S$1*buff的资质计算!$E$2,IF(R1074=3,X1074*$S$1*buff的资质计算!$E$3,0)))),0)*0</f>
        <v>0</v>
      </c>
      <c r="T1074" s="153">
        <v>5</v>
      </c>
      <c r="U1074" s="153">
        <f ca="1" t="shared" si="176"/>
        <v>12</v>
      </c>
      <c r="V1074" s="153">
        <f ca="1">ROUND((OFFSET(卡牌辅助配置表!$O$1,MATCH(U1074,卡牌辅助配置表!M:M,0)-1,0)+(N1074-1)*OFFSET(卡牌辅助配置表!$P$1,MATCH(U1074,卡牌辅助配置表!M:M,0)-1,0))*M1074,2)</f>
        <v>27.23</v>
      </c>
      <c r="W1074" s="157">
        <f ca="1">ROUND(IF(R1074=0,0,IF(R1074=1,X1074*$W$1,IF(R1074=2,X1074*$W$1*buff的资质计算!$E$2,IF(R1074=3,X1074*$W$1*buff的资质计算!$E$3,0)))),2)</f>
        <v>7.35</v>
      </c>
      <c r="X1074" s="157">
        <f ca="1" t="shared" si="172"/>
        <v>24.5</v>
      </c>
      <c r="Y1074" s="157" t="e">
        <f ca="1" t="shared" si="181"/>
        <v>#VALUE!</v>
      </c>
      <c r="Z1074" s="304" t="e">
        <f ca="1" t="shared" si="173"/>
        <v>#VALUE!</v>
      </c>
      <c r="AA1074" s="304">
        <f ca="1">OFFSET(卡牌辅助配置表!$AD$1,MATCH(AB1074,卡牌辅助配置表!AB:AB,0)-1,0)</f>
        <v>580</v>
      </c>
      <c r="AB1074" s="304">
        <f ca="1" t="shared" si="177"/>
        <v>1214</v>
      </c>
      <c r="AC1074" s="153">
        <v>12</v>
      </c>
      <c r="AF1074" s="153" t="str">
        <f ca="1" t="shared" si="180"/>
        <v>20100011|</v>
      </c>
      <c r="AJ1074" s="205" t="str">
        <f ca="1" t="shared" si="178"/>
        <v>400023|6450|;</v>
      </c>
      <c r="AK1074" s="205">
        <f ca="1">OFFSET([1]item_type!$A$1,MATCH(Q1074,[1]item_type!$G:$G,0)-1,0)</f>
        <v>302010</v>
      </c>
      <c r="AL1074" s="205"/>
      <c r="AM1074" s="205">
        <f ca="1">IF(B1074=B1075,OFFSET(卡牌辅助配置表!$AE$1,MATCH(AB1074,卡牌辅助配置表!AB:AB,0),0),0)</f>
        <v>6450</v>
      </c>
      <c r="AN1074" s="153">
        <f ca="1" t="shared" si="179"/>
        <v>2010015</v>
      </c>
      <c r="AP1074" s="153">
        <f ca="1">IF(AC1074=0,0,IF(AC1074=12,0,OFFSET(effect!$N$1,MATCH(K1074,effect!M:M,0)-1,0)))</f>
        <v>0</v>
      </c>
    </row>
    <row r="1075" spans="1:42">
      <c r="A1075" s="153">
        <f ca="1" t="shared" si="175"/>
        <v>2010015</v>
      </c>
      <c r="B1075" s="91" t="s">
        <v>347</v>
      </c>
      <c r="C1075" s="186">
        <v>2</v>
      </c>
      <c r="D1075" s="186">
        <v>1</v>
      </c>
      <c r="E1075" s="165" t="s">
        <v>1058</v>
      </c>
      <c r="F1075" s="165" t="str">
        <f>"上一招为剑法时，增加敌人受到伤害"&amp;buff!$X$18/100&amp;"%伤害，持续2回合"</f>
        <v>上一招为剑法时，增加敌人受到伤害15%伤害，持续2回合</v>
      </c>
      <c r="G1075" s="186">
        <f ca="1">OFFSET(卡牌辅助配置表!$C$1,MATCH(AC1075,卡牌辅助配置表!A:A,0)-1,0)</f>
        <v>0</v>
      </c>
      <c r="H1075" s="186" t="e">
        <f ca="1">OFFSET(skill!$Q$1,MATCH(B1075,skill!B:B,0)-1,0)</f>
        <v>#VALUE!</v>
      </c>
      <c r="I1075" s="186"/>
      <c r="J1075" s="186">
        <f ca="1">OFFSET(card_type!$F$1,MATCH(Q1075,card_type!A:A,0)-1,0)</f>
        <v>1</v>
      </c>
      <c r="K1075" s="243">
        <f ca="1">OFFSET(card_type!$G$1,MATCH(Q1075,card_type!A:A,0)-1,0)</f>
        <v>2</v>
      </c>
      <c r="L1075" s="157">
        <v>2</v>
      </c>
      <c r="M1075" s="157">
        <v>2</v>
      </c>
      <c r="N1075" s="153">
        <f t="shared" si="174"/>
        <v>15</v>
      </c>
      <c r="O1075" s="157"/>
      <c r="P1075" s="157"/>
      <c r="Q1075" s="153">
        <f ca="1">OFFSET(card_type!$A$1,MATCH(card!B1075,card_type!B:B,0)-1,0)</f>
        <v>2010</v>
      </c>
      <c r="R1075" s="153">
        <v>1</v>
      </c>
      <c r="S1075" s="157">
        <f ca="1">ROUND(IF(R1075=0,0,IF(R1075=1,X1075*$S$1,IF(R1075=2,X1075*$S$1*buff的资质计算!$E$2,IF(R1075=3,X1075*$S$1*buff的资质计算!$E$3,0)))),0)*0</f>
        <v>0</v>
      </c>
      <c r="T1075" s="153">
        <v>5</v>
      </c>
      <c r="U1075" s="153">
        <f ca="1" t="shared" si="176"/>
        <v>12</v>
      </c>
      <c r="V1075" s="153">
        <f ca="1">ROUND((OFFSET(卡牌辅助配置表!$O$1,MATCH(U1075,卡牌辅助配置表!M:M,0)-1,0)+(N1075-1)*OFFSET(卡牌辅助配置表!$P$1,MATCH(U1075,卡牌辅助配置表!M:M,0)-1,0))*M1075,2)</f>
        <v>27.87</v>
      </c>
      <c r="W1075" s="157">
        <f ca="1">ROUND(IF(R1075=0,0,IF(R1075=1,X1075*$W$1,IF(R1075=2,X1075*$W$1*buff的资质计算!$E$2,IF(R1075=3,X1075*$W$1*buff的资质计算!$E$3,0)))),2)</f>
        <v>7.5</v>
      </c>
      <c r="X1075" s="157">
        <f ca="1" t="shared" si="172"/>
        <v>25</v>
      </c>
      <c r="Y1075" s="157" t="e">
        <f ca="1" t="shared" si="181"/>
        <v>#VALUE!</v>
      </c>
      <c r="Z1075" s="304" t="e">
        <f ca="1" t="shared" si="173"/>
        <v>#VALUE!</v>
      </c>
      <c r="AA1075" s="304">
        <f ca="1">OFFSET(卡牌辅助配置表!$AD$1,MATCH(AB1075,卡牌辅助配置表!AB:AB,0)-1,0)</f>
        <v>635</v>
      </c>
      <c r="AB1075" s="304">
        <f ca="1" t="shared" si="177"/>
        <v>1215</v>
      </c>
      <c r="AC1075" s="153">
        <v>12</v>
      </c>
      <c r="AF1075" s="153" t="str">
        <f ca="1" t="shared" si="180"/>
        <v>20100011|</v>
      </c>
      <c r="AJ1075" s="205" t="str">
        <f ca="1" t="shared" si="178"/>
        <v>400023|7050|;</v>
      </c>
      <c r="AK1075" s="205">
        <f ca="1">OFFSET([1]item_type!$A$1,MATCH(Q1075,[1]item_type!$G:$G,0)-1,0)</f>
        <v>302010</v>
      </c>
      <c r="AL1075" s="205"/>
      <c r="AM1075" s="205">
        <f ca="1">IF(B1075=B1076,OFFSET(卡牌辅助配置表!$AE$1,MATCH(AB1075,卡牌辅助配置表!AB:AB,0),0),0)</f>
        <v>7050</v>
      </c>
      <c r="AN1075" s="153">
        <f ca="1" t="shared" si="179"/>
        <v>2010016</v>
      </c>
      <c r="AP1075" s="153">
        <f ca="1">IF(AC1075=0,0,IF(AC1075=12,0,OFFSET(effect!$N$1,MATCH(K1075,effect!M:M,0)-1,0)))</f>
        <v>0</v>
      </c>
    </row>
    <row r="1076" spans="1:42">
      <c r="A1076" s="153">
        <f ca="1" t="shared" si="175"/>
        <v>2010016</v>
      </c>
      <c r="B1076" s="91" t="s">
        <v>347</v>
      </c>
      <c r="C1076" s="186">
        <v>2</v>
      </c>
      <c r="D1076" s="186">
        <v>1</v>
      </c>
      <c r="E1076" s="165" t="s">
        <v>1058</v>
      </c>
      <c r="F1076" s="165" t="str">
        <f>"上一招为剑法时，增加敌人受到伤害"&amp;buff!$X$18/100&amp;"%伤害，持续2回合"</f>
        <v>上一招为剑法时，增加敌人受到伤害15%伤害，持续2回合</v>
      </c>
      <c r="G1076" s="186">
        <f ca="1">OFFSET(卡牌辅助配置表!$C$1,MATCH(AC1076,卡牌辅助配置表!A:A,0)-1,0)</f>
        <v>0</v>
      </c>
      <c r="H1076" s="186" t="e">
        <f ca="1">OFFSET(skill!$Q$1,MATCH(B1076,skill!B:B,0)-1,0)</f>
        <v>#VALUE!</v>
      </c>
      <c r="I1076" s="186"/>
      <c r="J1076" s="186">
        <f ca="1">OFFSET(card_type!$F$1,MATCH(Q1076,card_type!A:A,0)-1,0)</f>
        <v>1</v>
      </c>
      <c r="K1076" s="243">
        <f ca="1">OFFSET(card_type!$G$1,MATCH(Q1076,card_type!A:A,0)-1,0)</f>
        <v>2</v>
      </c>
      <c r="L1076" s="157">
        <v>2</v>
      </c>
      <c r="M1076" s="157">
        <v>2</v>
      </c>
      <c r="N1076" s="153">
        <f t="shared" si="174"/>
        <v>16</v>
      </c>
      <c r="O1076" s="157"/>
      <c r="P1076" s="157"/>
      <c r="Q1076" s="153">
        <f ca="1">OFFSET(card_type!$A$1,MATCH(card!B1076,card_type!B:B,0)-1,0)</f>
        <v>2010</v>
      </c>
      <c r="R1076" s="153">
        <v>1</v>
      </c>
      <c r="S1076" s="157">
        <f ca="1">ROUND(IF(R1076=0,0,IF(R1076=1,X1076*$S$1,IF(R1076=2,X1076*$S$1*buff的资质计算!$E$2,IF(R1076=3,X1076*$S$1*buff的资质计算!$E$3,0)))),0)*0</f>
        <v>0</v>
      </c>
      <c r="T1076" s="153">
        <v>5</v>
      </c>
      <c r="U1076" s="153">
        <f ca="1" t="shared" si="176"/>
        <v>12</v>
      </c>
      <c r="V1076" s="153">
        <f ca="1">ROUND((OFFSET(卡牌辅助配置表!$O$1,MATCH(U1076,卡牌辅助配置表!M:M,0)-1,0)+(N1076-1)*OFFSET(卡牌辅助配置表!$P$1,MATCH(U1076,卡牌辅助配置表!M:M,0)-1,0))*M1076,2)</f>
        <v>28.5</v>
      </c>
      <c r="W1076" s="157">
        <f ca="1">ROUND(IF(R1076=0,0,IF(R1076=1,X1076*$W$1,IF(R1076=2,X1076*$W$1*buff的资质计算!$E$2,IF(R1076=3,X1076*$W$1*buff的资质计算!$E$3,0)))),2)</f>
        <v>7.65</v>
      </c>
      <c r="X1076" s="157">
        <f ca="1" t="shared" ref="X1076:X1139" si="182">M1076*($M$1+(J1076-1)*$J$1+(K1076-1)*$K$1)+G1076+$J$1*(N1076-1)/$N$1</f>
        <v>25.5</v>
      </c>
      <c r="Y1076" s="157" t="e">
        <f ca="1" t="shared" si="181"/>
        <v>#VALUE!</v>
      </c>
      <c r="Z1076" s="304" t="e">
        <f ca="1" t="shared" ref="Z1076:Z1139" si="183">Y1076/M1076</f>
        <v>#VALUE!</v>
      </c>
      <c r="AA1076" s="304">
        <f ca="1">OFFSET(卡牌辅助配置表!$AD$1,MATCH(AB1076,卡牌辅助配置表!AB:AB,0)-1,0)</f>
        <v>690</v>
      </c>
      <c r="AB1076" s="304">
        <f ca="1" t="shared" si="177"/>
        <v>1216</v>
      </c>
      <c r="AC1076" s="153">
        <v>12</v>
      </c>
      <c r="AF1076" s="153" t="str">
        <f ca="1" t="shared" si="180"/>
        <v>20100011|</v>
      </c>
      <c r="AJ1076" s="205" t="str">
        <f ca="1" t="shared" si="178"/>
        <v>400023|7650|;</v>
      </c>
      <c r="AK1076" s="205">
        <f ca="1">OFFSET([1]item_type!$A$1,MATCH(Q1076,[1]item_type!$G:$G,0)-1,0)</f>
        <v>302010</v>
      </c>
      <c r="AL1076" s="205"/>
      <c r="AM1076" s="205">
        <f ca="1">IF(B1076=B1077,OFFSET(卡牌辅助配置表!$AE$1,MATCH(AB1076,卡牌辅助配置表!AB:AB,0),0),0)</f>
        <v>7650</v>
      </c>
      <c r="AN1076" s="153">
        <f ca="1" t="shared" si="179"/>
        <v>2010017</v>
      </c>
      <c r="AP1076" s="153">
        <f ca="1">IF(AC1076=0,0,IF(AC1076=12,0,OFFSET(effect!$N$1,MATCH(K1076,effect!M:M,0)-1,0)))</f>
        <v>0</v>
      </c>
    </row>
    <row r="1077" spans="1:42">
      <c r="A1077" s="153">
        <f ca="1" t="shared" si="175"/>
        <v>2010017</v>
      </c>
      <c r="B1077" s="91" t="s">
        <v>347</v>
      </c>
      <c r="C1077" s="186">
        <v>2</v>
      </c>
      <c r="D1077" s="186">
        <v>1</v>
      </c>
      <c r="E1077" s="165" t="s">
        <v>1058</v>
      </c>
      <c r="F1077" s="165" t="str">
        <f>"上一招为剑法时，增加敌人受到伤害"&amp;buff!$X$18/100&amp;"%伤害，持续2回合"</f>
        <v>上一招为剑法时，增加敌人受到伤害15%伤害，持续2回合</v>
      </c>
      <c r="G1077" s="186">
        <f ca="1">OFFSET(卡牌辅助配置表!$C$1,MATCH(AC1077,卡牌辅助配置表!A:A,0)-1,0)</f>
        <v>0</v>
      </c>
      <c r="H1077" s="186" t="e">
        <f ca="1">OFFSET(skill!$Q$1,MATCH(B1077,skill!B:B,0)-1,0)</f>
        <v>#VALUE!</v>
      </c>
      <c r="I1077" s="186"/>
      <c r="J1077" s="186">
        <f ca="1">OFFSET(card_type!$F$1,MATCH(Q1077,card_type!A:A,0)-1,0)</f>
        <v>1</v>
      </c>
      <c r="K1077" s="243">
        <f ca="1">OFFSET(card_type!$G$1,MATCH(Q1077,card_type!A:A,0)-1,0)</f>
        <v>2</v>
      </c>
      <c r="L1077" s="157">
        <v>2</v>
      </c>
      <c r="M1077" s="157">
        <v>2</v>
      </c>
      <c r="N1077" s="153">
        <f t="shared" ref="N1077:N1140" si="184">IF(B1076=B1077,N1076+1,1)</f>
        <v>17</v>
      </c>
      <c r="O1077" s="157"/>
      <c r="P1077" s="157"/>
      <c r="Q1077" s="153">
        <f ca="1">OFFSET(card_type!$A$1,MATCH(card!B1077,card_type!B:B,0)-1,0)</f>
        <v>2010</v>
      </c>
      <c r="R1077" s="153">
        <v>1</v>
      </c>
      <c r="S1077" s="157">
        <f ca="1">ROUND(IF(R1077=0,0,IF(R1077=1,X1077*$S$1,IF(R1077=2,X1077*$S$1*buff的资质计算!$E$2,IF(R1077=3,X1077*$S$1*buff的资质计算!$E$3,0)))),0)*0</f>
        <v>0</v>
      </c>
      <c r="T1077" s="153">
        <v>5</v>
      </c>
      <c r="U1077" s="153">
        <f ca="1" t="shared" si="176"/>
        <v>12</v>
      </c>
      <c r="V1077" s="153">
        <f ca="1">ROUND((OFFSET(卡牌辅助配置表!$O$1,MATCH(U1077,卡牌辅助配置表!M:M,0)-1,0)+(N1077-1)*OFFSET(卡牌辅助配置表!$P$1,MATCH(U1077,卡牌辅助配置表!M:M,0)-1,0))*M1077,2)</f>
        <v>29.13</v>
      </c>
      <c r="W1077" s="157">
        <f ca="1">ROUND(IF(R1077=0,0,IF(R1077=1,X1077*$W$1,IF(R1077=2,X1077*$W$1*buff的资质计算!$E$2,IF(R1077=3,X1077*$W$1*buff的资质计算!$E$3,0)))),2)</f>
        <v>7.8</v>
      </c>
      <c r="X1077" s="157">
        <f ca="1" t="shared" si="182"/>
        <v>26</v>
      </c>
      <c r="Y1077" s="157" t="e">
        <f ca="1" t="shared" si="181"/>
        <v>#VALUE!</v>
      </c>
      <c r="Z1077" s="304" t="e">
        <f ca="1" t="shared" si="183"/>
        <v>#VALUE!</v>
      </c>
      <c r="AA1077" s="304">
        <f ca="1">OFFSET(卡牌辅助配置表!$AD$1,MATCH(AB1077,卡牌辅助配置表!AB:AB,0)-1,0)</f>
        <v>745</v>
      </c>
      <c r="AB1077" s="304">
        <f ca="1" t="shared" si="177"/>
        <v>1217</v>
      </c>
      <c r="AC1077" s="153">
        <v>12</v>
      </c>
      <c r="AF1077" s="153" t="str">
        <f ca="1" t="shared" si="180"/>
        <v>20100011|</v>
      </c>
      <c r="AJ1077" s="205" t="str">
        <f ca="1" t="shared" si="178"/>
        <v>400023|8250|;</v>
      </c>
      <c r="AK1077" s="205">
        <f ca="1">OFFSET([1]item_type!$A$1,MATCH(Q1077,[1]item_type!$G:$G,0)-1,0)</f>
        <v>302010</v>
      </c>
      <c r="AL1077" s="205"/>
      <c r="AM1077" s="205">
        <f ca="1">IF(B1077=B1078,OFFSET(卡牌辅助配置表!$AE$1,MATCH(AB1077,卡牌辅助配置表!AB:AB,0),0),0)</f>
        <v>8250</v>
      </c>
      <c r="AN1077" s="153">
        <f ca="1" t="shared" si="179"/>
        <v>2010018</v>
      </c>
      <c r="AP1077" s="153">
        <f ca="1">IF(AC1077=0,0,IF(AC1077=12,0,OFFSET(effect!$N$1,MATCH(K1077,effect!M:M,0)-1,0)))</f>
        <v>0</v>
      </c>
    </row>
    <row r="1078" spans="1:42">
      <c r="A1078" s="153">
        <f ca="1" t="shared" si="175"/>
        <v>2010018</v>
      </c>
      <c r="B1078" s="91" t="s">
        <v>347</v>
      </c>
      <c r="C1078" s="186">
        <v>2</v>
      </c>
      <c r="D1078" s="186">
        <v>1</v>
      </c>
      <c r="E1078" s="165" t="s">
        <v>1058</v>
      </c>
      <c r="F1078" s="165" t="str">
        <f>"上一招为剑法时，增加敌人受到伤害"&amp;buff!$X$18/100&amp;"%伤害，持续2回合"</f>
        <v>上一招为剑法时，增加敌人受到伤害15%伤害，持续2回合</v>
      </c>
      <c r="G1078" s="186">
        <f ca="1">OFFSET(卡牌辅助配置表!$C$1,MATCH(AC1078,卡牌辅助配置表!A:A,0)-1,0)</f>
        <v>0</v>
      </c>
      <c r="H1078" s="186" t="e">
        <f ca="1">OFFSET(skill!$Q$1,MATCH(B1078,skill!B:B,0)-1,0)</f>
        <v>#VALUE!</v>
      </c>
      <c r="I1078" s="186"/>
      <c r="J1078" s="186">
        <f ca="1">OFFSET(card_type!$F$1,MATCH(Q1078,card_type!A:A,0)-1,0)</f>
        <v>1</v>
      </c>
      <c r="K1078" s="243">
        <f ca="1">OFFSET(card_type!$G$1,MATCH(Q1078,card_type!A:A,0)-1,0)</f>
        <v>2</v>
      </c>
      <c r="L1078" s="157">
        <v>2</v>
      </c>
      <c r="M1078" s="157">
        <v>2</v>
      </c>
      <c r="N1078" s="153">
        <f t="shared" si="184"/>
        <v>18</v>
      </c>
      <c r="O1078" s="157"/>
      <c r="P1078" s="157"/>
      <c r="Q1078" s="153">
        <f ca="1">OFFSET(card_type!$A$1,MATCH(card!B1078,card_type!B:B,0)-1,0)</f>
        <v>2010</v>
      </c>
      <c r="R1078" s="153">
        <v>1</v>
      </c>
      <c r="S1078" s="157">
        <f ca="1">ROUND(IF(R1078=0,0,IF(R1078=1,X1078*$S$1,IF(R1078=2,X1078*$S$1*buff的资质计算!$E$2,IF(R1078=3,X1078*$S$1*buff的资质计算!$E$3,0)))),0)*0</f>
        <v>0</v>
      </c>
      <c r="T1078" s="153">
        <v>5</v>
      </c>
      <c r="U1078" s="153">
        <f ca="1" t="shared" si="176"/>
        <v>12</v>
      </c>
      <c r="V1078" s="153">
        <f ca="1">ROUND((OFFSET(卡牌辅助配置表!$O$1,MATCH(U1078,卡牌辅助配置表!M:M,0)-1,0)+(N1078-1)*OFFSET(卡牌辅助配置表!$P$1,MATCH(U1078,卡牌辅助配置表!M:M,0)-1,0))*M1078,2)</f>
        <v>29.77</v>
      </c>
      <c r="W1078" s="157">
        <f ca="1">ROUND(IF(R1078=0,0,IF(R1078=1,X1078*$W$1,IF(R1078=2,X1078*$W$1*buff的资质计算!$E$2,IF(R1078=3,X1078*$W$1*buff的资质计算!$E$3,0)))),2)</f>
        <v>7.95</v>
      </c>
      <c r="X1078" s="157">
        <f ca="1" t="shared" si="182"/>
        <v>26.5</v>
      </c>
      <c r="Y1078" s="157" t="e">
        <f ca="1" t="shared" si="181"/>
        <v>#VALUE!</v>
      </c>
      <c r="Z1078" s="304" t="e">
        <f ca="1" t="shared" si="183"/>
        <v>#VALUE!</v>
      </c>
      <c r="AA1078" s="304">
        <f ca="1">OFFSET(卡牌辅助配置表!$AD$1,MATCH(AB1078,卡牌辅助配置表!AB:AB,0)-1,0)</f>
        <v>800</v>
      </c>
      <c r="AB1078" s="304">
        <f ca="1" t="shared" si="177"/>
        <v>1218</v>
      </c>
      <c r="AC1078" s="153">
        <v>12</v>
      </c>
      <c r="AF1078" s="153" t="str">
        <f ca="1" t="shared" si="180"/>
        <v>20100011|</v>
      </c>
      <c r="AJ1078" s="205" t="str">
        <f ca="1" t="shared" si="178"/>
        <v>400023|8850|;</v>
      </c>
      <c r="AK1078" s="205">
        <f ca="1">OFFSET([1]item_type!$A$1,MATCH(Q1078,[1]item_type!$G:$G,0)-1,0)</f>
        <v>302010</v>
      </c>
      <c r="AL1078" s="205"/>
      <c r="AM1078" s="205">
        <f ca="1">IF(B1078=B1079,OFFSET(卡牌辅助配置表!$AE$1,MATCH(AB1078,卡牌辅助配置表!AB:AB,0),0),0)</f>
        <v>8850</v>
      </c>
      <c r="AN1078" s="153">
        <f ca="1" t="shared" si="179"/>
        <v>2010019</v>
      </c>
      <c r="AP1078" s="153">
        <f ca="1">IF(AC1078=0,0,IF(AC1078=12,0,OFFSET(effect!$N$1,MATCH(K1078,effect!M:M,0)-1,0)))</f>
        <v>0</v>
      </c>
    </row>
    <row r="1079" spans="1:42">
      <c r="A1079" s="153">
        <f ca="1" t="shared" si="175"/>
        <v>2010019</v>
      </c>
      <c r="B1079" s="91" t="s">
        <v>347</v>
      </c>
      <c r="C1079" s="186">
        <v>2</v>
      </c>
      <c r="D1079" s="186">
        <v>1</v>
      </c>
      <c r="E1079" s="165" t="s">
        <v>1058</v>
      </c>
      <c r="F1079" s="165" t="str">
        <f>"上一招为剑法时，增加敌人受到伤害"&amp;buff!$X$18/100&amp;"%伤害，持续2回合"</f>
        <v>上一招为剑法时，增加敌人受到伤害15%伤害，持续2回合</v>
      </c>
      <c r="G1079" s="186">
        <f ca="1">OFFSET(卡牌辅助配置表!$C$1,MATCH(AC1079,卡牌辅助配置表!A:A,0)-1,0)</f>
        <v>0</v>
      </c>
      <c r="H1079" s="186" t="e">
        <f ca="1">OFFSET(skill!$Q$1,MATCH(B1079,skill!B:B,0)-1,0)</f>
        <v>#VALUE!</v>
      </c>
      <c r="I1079" s="186"/>
      <c r="J1079" s="186">
        <f ca="1">OFFSET(card_type!$F$1,MATCH(Q1079,card_type!A:A,0)-1,0)</f>
        <v>1</v>
      </c>
      <c r="K1079" s="243">
        <f ca="1">OFFSET(card_type!$G$1,MATCH(Q1079,card_type!A:A,0)-1,0)</f>
        <v>2</v>
      </c>
      <c r="L1079" s="157">
        <v>2</v>
      </c>
      <c r="M1079" s="157">
        <v>2</v>
      </c>
      <c r="N1079" s="153">
        <f t="shared" si="184"/>
        <v>19</v>
      </c>
      <c r="O1079" s="157"/>
      <c r="P1079" s="157"/>
      <c r="Q1079" s="153">
        <f ca="1">OFFSET(card_type!$A$1,MATCH(card!B1079,card_type!B:B,0)-1,0)</f>
        <v>2010</v>
      </c>
      <c r="R1079" s="153">
        <v>1</v>
      </c>
      <c r="S1079" s="157">
        <f ca="1">ROUND(IF(R1079=0,0,IF(R1079=1,X1079*$S$1,IF(R1079=2,X1079*$S$1*buff的资质计算!$E$2,IF(R1079=3,X1079*$S$1*buff的资质计算!$E$3,0)))),0)*0</f>
        <v>0</v>
      </c>
      <c r="T1079" s="153">
        <v>5</v>
      </c>
      <c r="U1079" s="153">
        <f ca="1" t="shared" si="176"/>
        <v>12</v>
      </c>
      <c r="V1079" s="153">
        <f ca="1">ROUND((OFFSET(卡牌辅助配置表!$O$1,MATCH(U1079,卡牌辅助配置表!M:M,0)-1,0)+(N1079-1)*OFFSET(卡牌辅助配置表!$P$1,MATCH(U1079,卡牌辅助配置表!M:M,0)-1,0))*M1079,2)</f>
        <v>30.4</v>
      </c>
      <c r="W1079" s="157">
        <f ca="1">ROUND(IF(R1079=0,0,IF(R1079=1,X1079*$W$1,IF(R1079=2,X1079*$W$1*buff的资质计算!$E$2,IF(R1079=3,X1079*$W$1*buff的资质计算!$E$3,0)))),2)</f>
        <v>8.1</v>
      </c>
      <c r="X1079" s="157">
        <f ca="1" t="shared" si="182"/>
        <v>27</v>
      </c>
      <c r="Y1079" s="157" t="e">
        <f ca="1" t="shared" si="181"/>
        <v>#VALUE!</v>
      </c>
      <c r="Z1079" s="304" t="e">
        <f ca="1" t="shared" si="183"/>
        <v>#VALUE!</v>
      </c>
      <c r="AA1079" s="304">
        <f ca="1">OFFSET(卡牌辅助配置表!$AD$1,MATCH(AB1079,卡牌辅助配置表!AB:AB,0)-1,0)</f>
        <v>855</v>
      </c>
      <c r="AB1079" s="304">
        <f ca="1" t="shared" si="177"/>
        <v>1219</v>
      </c>
      <c r="AC1079" s="153">
        <v>12</v>
      </c>
      <c r="AF1079" s="153" t="str">
        <f ca="1" t="shared" si="180"/>
        <v>20100011|</v>
      </c>
      <c r="AJ1079" s="205" t="str">
        <f ca="1" t="shared" si="178"/>
        <v>302010|20|;400023|9450|;</v>
      </c>
      <c r="AK1079" s="205">
        <f ca="1">OFFSET([1]item_type!$A$1,MATCH(Q1079,[1]item_type!$G:$G,0)-1,0)</f>
        <v>302010</v>
      </c>
      <c r="AL1079" s="205">
        <v>20</v>
      </c>
      <c r="AM1079" s="205">
        <f ca="1">IF(B1079=B1080,OFFSET(卡牌辅助配置表!$AE$1,MATCH(AB1079,卡牌辅助配置表!AB:AB,0),0),0)</f>
        <v>9450</v>
      </c>
      <c r="AN1079" s="153">
        <f ca="1" t="shared" si="179"/>
        <v>2010020</v>
      </c>
      <c r="AP1079" s="153">
        <f ca="1">IF(AC1079=0,0,IF(AC1079=12,0,OFFSET(effect!$N$1,MATCH(K1079,effect!M:M,0)-1,0)))</f>
        <v>0</v>
      </c>
    </row>
    <row r="1080" spans="1:42">
      <c r="A1080" s="153">
        <f ca="1" t="shared" si="175"/>
        <v>2010020</v>
      </c>
      <c r="B1080" s="91" t="s">
        <v>347</v>
      </c>
      <c r="C1080" s="186">
        <v>2</v>
      </c>
      <c r="D1080" s="186">
        <v>1</v>
      </c>
      <c r="E1080" s="165" t="s">
        <v>1058</v>
      </c>
      <c r="F1080" s="165" t="str">
        <f>"上一招为剑法时，增加敌人受到伤害"&amp;buff!$X$18/100&amp;"%伤害，持续2回合"</f>
        <v>上一招为剑法时，增加敌人受到伤害15%伤害，持续2回合</v>
      </c>
      <c r="G1080" s="186">
        <f ca="1">OFFSET(卡牌辅助配置表!$C$1,MATCH(AC1080,卡牌辅助配置表!A:A,0)-1,0)</f>
        <v>0</v>
      </c>
      <c r="H1080" s="186" t="e">
        <f ca="1">OFFSET(skill!$Q$1,MATCH(B1080,skill!B:B,0)-1,0)</f>
        <v>#VALUE!</v>
      </c>
      <c r="I1080" s="186"/>
      <c r="J1080" s="186">
        <f ca="1">OFFSET(card_type!$F$1,MATCH(Q1080,card_type!A:A,0)-1,0)</f>
        <v>1</v>
      </c>
      <c r="K1080" s="243">
        <f ca="1">OFFSET(card_type!$G$1,MATCH(Q1080,card_type!A:A,0)-1,0)</f>
        <v>2</v>
      </c>
      <c r="L1080" s="157">
        <v>2</v>
      </c>
      <c r="M1080" s="157">
        <v>2</v>
      </c>
      <c r="N1080" s="153">
        <f t="shared" si="184"/>
        <v>20</v>
      </c>
      <c r="O1080" s="157"/>
      <c r="P1080" s="157"/>
      <c r="Q1080" s="153">
        <f ca="1">OFFSET(card_type!$A$1,MATCH(card!B1080,card_type!B:B,0)-1,0)</f>
        <v>2010</v>
      </c>
      <c r="R1080" s="153">
        <v>1</v>
      </c>
      <c r="S1080" s="157">
        <f ca="1">ROUND(IF(R1080=0,0,IF(R1080=1,X1080*$S$1,IF(R1080=2,X1080*$S$1*buff的资质计算!$E$2,IF(R1080=3,X1080*$S$1*buff的资质计算!$E$3,0)))),0)*0</f>
        <v>0</v>
      </c>
      <c r="T1080" s="153">
        <v>5</v>
      </c>
      <c r="U1080" s="153">
        <f ca="1" t="shared" si="176"/>
        <v>12</v>
      </c>
      <c r="V1080" s="153">
        <f ca="1">ROUND((OFFSET(卡牌辅助配置表!$O$1,MATCH(U1080,卡牌辅助配置表!M:M,0)-1,0)+(N1080-1)*OFFSET(卡牌辅助配置表!$P$1,MATCH(U1080,卡牌辅助配置表!M:M,0)-1,0))*M1080,2)</f>
        <v>31.03</v>
      </c>
      <c r="W1080" s="157">
        <f ca="1">ROUND(IF(R1080=0,0,IF(R1080=1,X1080*$W$1,IF(R1080=2,X1080*$W$1*buff的资质计算!$E$2,IF(R1080=3,X1080*$W$1*buff的资质计算!$E$3,0)))),2)</f>
        <v>8.25</v>
      </c>
      <c r="X1080" s="157">
        <f ca="1" t="shared" si="182"/>
        <v>27.5</v>
      </c>
      <c r="Y1080" s="157" t="e">
        <f ca="1" t="shared" si="181"/>
        <v>#VALUE!</v>
      </c>
      <c r="Z1080" s="304" t="e">
        <f ca="1" t="shared" si="183"/>
        <v>#VALUE!</v>
      </c>
      <c r="AA1080" s="304">
        <f ca="1">OFFSET(卡牌辅助配置表!$AD$1,MATCH(AB1080,卡牌辅助配置表!AB:AB,0)-1,0)</f>
        <v>910</v>
      </c>
      <c r="AB1080" s="304">
        <f ca="1" t="shared" si="177"/>
        <v>1220</v>
      </c>
      <c r="AC1080" s="153">
        <v>12</v>
      </c>
      <c r="AF1080" s="153" t="str">
        <f ca="1" t="shared" si="180"/>
        <v>20100011|</v>
      </c>
      <c r="AJ1080" s="205" t="str">
        <f ca="1" t="shared" si="178"/>
        <v>400023|10650|;</v>
      </c>
      <c r="AK1080" s="205">
        <f ca="1">OFFSET([1]item_type!$A$1,MATCH(Q1080,[1]item_type!$G:$G,0)-1,0)</f>
        <v>302010</v>
      </c>
      <c r="AL1080" s="205"/>
      <c r="AM1080" s="205">
        <f ca="1">IF(B1080=B1081,OFFSET(卡牌辅助配置表!$AE$1,MATCH(AB1080,卡牌辅助配置表!AB:AB,0),0),0)</f>
        <v>10650</v>
      </c>
      <c r="AN1080" s="153">
        <f ca="1" t="shared" si="179"/>
        <v>2010021</v>
      </c>
      <c r="AP1080" s="153">
        <f ca="1">IF(AC1080=0,0,IF(AC1080=12,0,OFFSET(effect!$N$1,MATCH(K1080,effect!M:M,0)-1,0)))</f>
        <v>0</v>
      </c>
    </row>
    <row r="1081" spans="1:42">
      <c r="A1081" s="153">
        <f ca="1" t="shared" si="175"/>
        <v>2010021</v>
      </c>
      <c r="B1081" s="91" t="s">
        <v>347</v>
      </c>
      <c r="C1081" s="186">
        <v>2</v>
      </c>
      <c r="D1081" s="186">
        <v>1</v>
      </c>
      <c r="E1081" s="165" t="s">
        <v>1058</v>
      </c>
      <c r="F1081" s="165" t="str">
        <f>"上一招为剑法时，增加敌人受到伤害"&amp;buff!$X$18/100&amp;"%伤害，持续2回合"</f>
        <v>上一招为剑法时，增加敌人受到伤害15%伤害，持续2回合</v>
      </c>
      <c r="G1081" s="186">
        <f ca="1">OFFSET(卡牌辅助配置表!$C$1,MATCH(AC1081,卡牌辅助配置表!A:A,0)-1,0)</f>
        <v>0</v>
      </c>
      <c r="H1081" s="186" t="e">
        <f ca="1">OFFSET(skill!$Q$1,MATCH(B1081,skill!B:B,0)-1,0)</f>
        <v>#VALUE!</v>
      </c>
      <c r="I1081" s="186"/>
      <c r="J1081" s="186">
        <f ca="1">OFFSET(card_type!$F$1,MATCH(Q1081,card_type!A:A,0)-1,0)</f>
        <v>1</v>
      </c>
      <c r="K1081" s="243">
        <f ca="1">OFFSET(card_type!$G$1,MATCH(Q1081,card_type!A:A,0)-1,0)</f>
        <v>2</v>
      </c>
      <c r="L1081" s="157">
        <v>2</v>
      </c>
      <c r="M1081" s="157">
        <v>2</v>
      </c>
      <c r="N1081" s="153">
        <f t="shared" si="184"/>
        <v>21</v>
      </c>
      <c r="O1081" s="157"/>
      <c r="P1081" s="157"/>
      <c r="Q1081" s="153">
        <f ca="1">OFFSET(card_type!$A$1,MATCH(card!B1081,card_type!B:B,0)-1,0)</f>
        <v>2010</v>
      </c>
      <c r="R1081" s="153">
        <v>1</v>
      </c>
      <c r="S1081" s="157">
        <f ca="1">ROUND(IF(R1081=0,0,IF(R1081=1,X1081*$S$1,IF(R1081=2,X1081*$S$1*buff的资质计算!$E$2,IF(R1081=3,X1081*$S$1*buff的资质计算!$E$3,0)))),0)*0</f>
        <v>0</v>
      </c>
      <c r="T1081" s="153">
        <v>5</v>
      </c>
      <c r="U1081" s="153">
        <f ca="1" t="shared" si="176"/>
        <v>12</v>
      </c>
      <c r="V1081" s="153">
        <f ca="1">ROUND((OFFSET(卡牌辅助配置表!$O$1,MATCH(U1081,卡牌辅助配置表!M:M,0)-1,0)+(N1081-1)*OFFSET(卡牌辅助配置表!$P$1,MATCH(U1081,卡牌辅助配置表!M:M,0)-1,0))*M1081,2)</f>
        <v>31.67</v>
      </c>
      <c r="W1081" s="157">
        <f ca="1">ROUND(IF(R1081=0,0,IF(R1081=1,X1081*$W$1,IF(R1081=2,X1081*$W$1*buff的资质计算!$E$2,IF(R1081=3,X1081*$W$1*buff的资质计算!$E$3,0)))),2)</f>
        <v>8.4</v>
      </c>
      <c r="X1081" s="157">
        <f ca="1" t="shared" si="182"/>
        <v>28</v>
      </c>
      <c r="Y1081" s="157" t="e">
        <f ca="1" t="shared" si="181"/>
        <v>#VALUE!</v>
      </c>
      <c r="Z1081" s="304" t="e">
        <f ca="1" t="shared" si="183"/>
        <v>#VALUE!</v>
      </c>
      <c r="AA1081" s="304">
        <f ca="1">OFFSET(卡牌辅助配置表!$AD$1,MATCH(AB1081,卡牌辅助配置表!AB:AB,0)-1,0)</f>
        <v>983</v>
      </c>
      <c r="AB1081" s="304">
        <f ca="1" t="shared" si="177"/>
        <v>1221</v>
      </c>
      <c r="AC1081" s="153">
        <v>12</v>
      </c>
      <c r="AF1081" s="153" t="str">
        <f ca="1" t="shared" si="180"/>
        <v>20100011|</v>
      </c>
      <c r="AJ1081" s="205" t="str">
        <f ca="1" t="shared" si="178"/>
        <v>400023|11850|;</v>
      </c>
      <c r="AK1081" s="205">
        <f ca="1">OFFSET([1]item_type!$A$1,MATCH(Q1081,[1]item_type!$G:$G,0)-1,0)</f>
        <v>302010</v>
      </c>
      <c r="AL1081" s="205"/>
      <c r="AM1081" s="205">
        <f ca="1">IF(B1081=B1082,OFFSET(卡牌辅助配置表!$AE$1,MATCH(AB1081,卡牌辅助配置表!AB:AB,0),0),0)</f>
        <v>11850</v>
      </c>
      <c r="AN1081" s="153">
        <f ca="1" t="shared" si="179"/>
        <v>2010022</v>
      </c>
      <c r="AP1081" s="153">
        <f ca="1">IF(AC1081=0,0,IF(AC1081=12,0,OFFSET(effect!$N$1,MATCH(K1081,effect!M:M,0)-1,0)))</f>
        <v>0</v>
      </c>
    </row>
    <row r="1082" spans="1:42">
      <c r="A1082" s="153">
        <f ca="1" t="shared" si="175"/>
        <v>2010022</v>
      </c>
      <c r="B1082" s="91" t="s">
        <v>347</v>
      </c>
      <c r="C1082" s="186">
        <v>2</v>
      </c>
      <c r="D1082" s="186">
        <v>1</v>
      </c>
      <c r="E1082" s="165" t="s">
        <v>1058</v>
      </c>
      <c r="F1082" s="165" t="str">
        <f>"上一招为剑法时，增加敌人受到伤害"&amp;buff!$X$18/100&amp;"%伤害，持续2回合"</f>
        <v>上一招为剑法时，增加敌人受到伤害15%伤害，持续2回合</v>
      </c>
      <c r="G1082" s="186">
        <f ca="1">OFFSET(卡牌辅助配置表!$C$1,MATCH(AC1082,卡牌辅助配置表!A:A,0)-1,0)</f>
        <v>0</v>
      </c>
      <c r="H1082" s="186" t="e">
        <f ca="1">OFFSET(skill!$Q$1,MATCH(B1082,skill!B:B,0)-1,0)</f>
        <v>#VALUE!</v>
      </c>
      <c r="I1082" s="186"/>
      <c r="J1082" s="186">
        <f ca="1">OFFSET(card_type!$F$1,MATCH(Q1082,card_type!A:A,0)-1,0)</f>
        <v>1</v>
      </c>
      <c r="K1082" s="243">
        <f ca="1">OFFSET(card_type!$G$1,MATCH(Q1082,card_type!A:A,0)-1,0)</f>
        <v>2</v>
      </c>
      <c r="L1082" s="157">
        <v>2</v>
      </c>
      <c r="M1082" s="157">
        <v>2</v>
      </c>
      <c r="N1082" s="153">
        <f t="shared" si="184"/>
        <v>22</v>
      </c>
      <c r="O1082" s="157"/>
      <c r="P1082" s="157"/>
      <c r="Q1082" s="153">
        <f ca="1">OFFSET(card_type!$A$1,MATCH(card!B1082,card_type!B:B,0)-1,0)</f>
        <v>2010</v>
      </c>
      <c r="R1082" s="153">
        <v>1</v>
      </c>
      <c r="S1082" s="157">
        <f ca="1">ROUND(IF(R1082=0,0,IF(R1082=1,X1082*$S$1,IF(R1082=2,X1082*$S$1*buff的资质计算!$E$2,IF(R1082=3,X1082*$S$1*buff的资质计算!$E$3,0)))),0)*0</f>
        <v>0</v>
      </c>
      <c r="T1082" s="153">
        <v>5</v>
      </c>
      <c r="U1082" s="153">
        <f ca="1" t="shared" si="176"/>
        <v>12</v>
      </c>
      <c r="V1082" s="153">
        <f ca="1">ROUND((OFFSET(卡牌辅助配置表!$O$1,MATCH(U1082,卡牌辅助配置表!M:M,0)-1,0)+(N1082-1)*OFFSET(卡牌辅助配置表!$P$1,MATCH(U1082,卡牌辅助配置表!M:M,0)-1,0))*M1082,2)</f>
        <v>32.3</v>
      </c>
      <c r="W1082" s="157">
        <f ca="1">ROUND(IF(R1082=0,0,IF(R1082=1,X1082*$W$1,IF(R1082=2,X1082*$W$1*buff的资质计算!$E$2,IF(R1082=3,X1082*$W$1*buff的资质计算!$E$3,0)))),2)</f>
        <v>8.55</v>
      </c>
      <c r="X1082" s="157">
        <f ca="1" t="shared" si="182"/>
        <v>28.5</v>
      </c>
      <c r="Y1082" s="157" t="e">
        <f ca="1" t="shared" si="181"/>
        <v>#VALUE!</v>
      </c>
      <c r="Z1082" s="304" t="e">
        <f ca="1" t="shared" si="183"/>
        <v>#VALUE!</v>
      </c>
      <c r="AA1082" s="304">
        <f ca="1">OFFSET(卡牌辅助配置表!$AD$1,MATCH(AB1082,卡牌辅助配置表!AB:AB,0)-1,0)</f>
        <v>1056</v>
      </c>
      <c r="AB1082" s="304">
        <f ca="1" t="shared" si="177"/>
        <v>1222</v>
      </c>
      <c r="AC1082" s="153">
        <v>12</v>
      </c>
      <c r="AF1082" s="153" t="str">
        <f ca="1" t="shared" si="180"/>
        <v>20100011|</v>
      </c>
      <c r="AJ1082" s="205" t="str">
        <f ca="1" t="shared" si="178"/>
        <v>400023|13050|;</v>
      </c>
      <c r="AK1082" s="205">
        <f ca="1">OFFSET([1]item_type!$A$1,MATCH(Q1082,[1]item_type!$G:$G,0)-1,0)</f>
        <v>302010</v>
      </c>
      <c r="AL1082" s="205"/>
      <c r="AM1082" s="205">
        <f ca="1">IF(B1082=B1083,OFFSET(卡牌辅助配置表!$AE$1,MATCH(AB1082,卡牌辅助配置表!AB:AB,0),0),0)</f>
        <v>13050</v>
      </c>
      <c r="AN1082" s="153">
        <f ca="1" t="shared" si="179"/>
        <v>2010023</v>
      </c>
      <c r="AP1082" s="153">
        <f ca="1">IF(AC1082=0,0,IF(AC1082=12,0,OFFSET(effect!$N$1,MATCH(K1082,effect!M:M,0)-1,0)))</f>
        <v>0</v>
      </c>
    </row>
    <row r="1083" spans="1:42">
      <c r="A1083" s="153">
        <f ca="1" t="shared" si="175"/>
        <v>2010023</v>
      </c>
      <c r="B1083" s="91" t="s">
        <v>347</v>
      </c>
      <c r="C1083" s="186">
        <v>2</v>
      </c>
      <c r="D1083" s="186">
        <v>1</v>
      </c>
      <c r="E1083" s="165" t="s">
        <v>1058</v>
      </c>
      <c r="F1083" s="165" t="str">
        <f>"上一招为剑法时，增加敌人受到伤害"&amp;buff!$X$18/100&amp;"%伤害，持续2回合"</f>
        <v>上一招为剑法时，增加敌人受到伤害15%伤害，持续2回合</v>
      </c>
      <c r="G1083" s="186">
        <f ca="1">OFFSET(卡牌辅助配置表!$C$1,MATCH(AC1083,卡牌辅助配置表!A:A,0)-1,0)</f>
        <v>0</v>
      </c>
      <c r="H1083" s="186" t="e">
        <f ca="1">OFFSET(skill!$Q$1,MATCH(B1083,skill!B:B,0)-1,0)</f>
        <v>#VALUE!</v>
      </c>
      <c r="I1083" s="186"/>
      <c r="J1083" s="186">
        <f ca="1">OFFSET(card_type!$F$1,MATCH(Q1083,card_type!A:A,0)-1,0)</f>
        <v>1</v>
      </c>
      <c r="K1083" s="243">
        <f ca="1">OFFSET(card_type!$G$1,MATCH(Q1083,card_type!A:A,0)-1,0)</f>
        <v>2</v>
      </c>
      <c r="L1083" s="157">
        <v>2</v>
      </c>
      <c r="M1083" s="157">
        <v>2</v>
      </c>
      <c r="N1083" s="153">
        <f t="shared" si="184"/>
        <v>23</v>
      </c>
      <c r="O1083" s="157"/>
      <c r="P1083" s="157"/>
      <c r="Q1083" s="153">
        <f ca="1">OFFSET(card_type!$A$1,MATCH(card!B1083,card_type!B:B,0)-1,0)</f>
        <v>2010</v>
      </c>
      <c r="R1083" s="153">
        <v>1</v>
      </c>
      <c r="S1083" s="157">
        <f ca="1">ROUND(IF(R1083=0,0,IF(R1083=1,X1083*$S$1,IF(R1083=2,X1083*$S$1*buff的资质计算!$E$2,IF(R1083=3,X1083*$S$1*buff的资质计算!$E$3,0)))),0)*0</f>
        <v>0</v>
      </c>
      <c r="T1083" s="153">
        <v>5</v>
      </c>
      <c r="U1083" s="153">
        <f ca="1" t="shared" si="176"/>
        <v>12</v>
      </c>
      <c r="V1083" s="153">
        <f ca="1">ROUND((OFFSET(卡牌辅助配置表!$O$1,MATCH(U1083,卡牌辅助配置表!M:M,0)-1,0)+(N1083-1)*OFFSET(卡牌辅助配置表!$P$1,MATCH(U1083,卡牌辅助配置表!M:M,0)-1,0))*M1083,2)</f>
        <v>32.93</v>
      </c>
      <c r="W1083" s="157">
        <f ca="1">ROUND(IF(R1083=0,0,IF(R1083=1,X1083*$W$1,IF(R1083=2,X1083*$W$1*buff的资质计算!$E$2,IF(R1083=3,X1083*$W$1*buff的资质计算!$E$3,0)))),2)</f>
        <v>8.7</v>
      </c>
      <c r="X1083" s="157">
        <f ca="1" t="shared" si="182"/>
        <v>29</v>
      </c>
      <c r="Y1083" s="157" t="e">
        <f ca="1" t="shared" si="181"/>
        <v>#VALUE!</v>
      </c>
      <c r="Z1083" s="304" t="e">
        <f ca="1" t="shared" si="183"/>
        <v>#VALUE!</v>
      </c>
      <c r="AA1083" s="304">
        <f ca="1">OFFSET(卡牌辅助配置表!$AD$1,MATCH(AB1083,卡牌辅助配置表!AB:AB,0)-1,0)</f>
        <v>1129</v>
      </c>
      <c r="AB1083" s="304">
        <f ca="1" t="shared" si="177"/>
        <v>1223</v>
      </c>
      <c r="AC1083" s="153">
        <v>12</v>
      </c>
      <c r="AF1083" s="153" t="str">
        <f ca="1" t="shared" si="180"/>
        <v>20100011|</v>
      </c>
      <c r="AJ1083" s="205" t="str">
        <f ca="1" t="shared" si="178"/>
        <v>400023|14250|;</v>
      </c>
      <c r="AK1083" s="205">
        <f ca="1">OFFSET([1]item_type!$A$1,MATCH(Q1083,[1]item_type!$G:$G,0)-1,0)</f>
        <v>302010</v>
      </c>
      <c r="AL1083" s="205"/>
      <c r="AM1083" s="205">
        <f ca="1">IF(B1083=B1084,OFFSET(卡牌辅助配置表!$AE$1,MATCH(AB1083,卡牌辅助配置表!AB:AB,0),0),0)</f>
        <v>14250</v>
      </c>
      <c r="AN1083" s="153">
        <f ca="1" t="shared" si="179"/>
        <v>2010024</v>
      </c>
      <c r="AP1083" s="153">
        <f ca="1">IF(AC1083=0,0,IF(AC1083=12,0,OFFSET(effect!$N$1,MATCH(K1083,effect!M:M,0)-1,0)))</f>
        <v>0</v>
      </c>
    </row>
    <row r="1084" spans="1:42">
      <c r="A1084" s="153">
        <f ca="1" t="shared" si="175"/>
        <v>2010024</v>
      </c>
      <c r="B1084" s="91" t="s">
        <v>347</v>
      </c>
      <c r="C1084" s="186">
        <v>2</v>
      </c>
      <c r="D1084" s="186">
        <v>1</v>
      </c>
      <c r="E1084" s="165" t="s">
        <v>1058</v>
      </c>
      <c r="F1084" s="165" t="str">
        <f>"上一招为剑法时，增加敌人受到伤害"&amp;buff!$X$18/100&amp;"%伤害，持续2回合"</f>
        <v>上一招为剑法时，增加敌人受到伤害15%伤害，持续2回合</v>
      </c>
      <c r="G1084" s="186">
        <f ca="1">OFFSET(卡牌辅助配置表!$C$1,MATCH(AC1084,卡牌辅助配置表!A:A,0)-1,0)</f>
        <v>0</v>
      </c>
      <c r="H1084" s="186" t="e">
        <f ca="1">OFFSET(skill!$Q$1,MATCH(B1084,skill!B:B,0)-1,0)</f>
        <v>#VALUE!</v>
      </c>
      <c r="I1084" s="186"/>
      <c r="J1084" s="186">
        <f ca="1">OFFSET(card_type!$F$1,MATCH(Q1084,card_type!A:A,0)-1,0)</f>
        <v>1</v>
      </c>
      <c r="K1084" s="243">
        <f ca="1">OFFSET(card_type!$G$1,MATCH(Q1084,card_type!A:A,0)-1,0)</f>
        <v>2</v>
      </c>
      <c r="L1084" s="157">
        <v>2</v>
      </c>
      <c r="M1084" s="157">
        <v>2</v>
      </c>
      <c r="N1084" s="153">
        <f t="shared" si="184"/>
        <v>24</v>
      </c>
      <c r="O1084" s="157"/>
      <c r="P1084" s="157"/>
      <c r="Q1084" s="153">
        <f ca="1">OFFSET(card_type!$A$1,MATCH(card!B1084,card_type!B:B,0)-1,0)</f>
        <v>2010</v>
      </c>
      <c r="R1084" s="153">
        <v>1</v>
      </c>
      <c r="S1084" s="157">
        <f ca="1">ROUND(IF(R1084=0,0,IF(R1084=1,X1084*$S$1,IF(R1084=2,X1084*$S$1*buff的资质计算!$E$2,IF(R1084=3,X1084*$S$1*buff的资质计算!$E$3,0)))),0)*0</f>
        <v>0</v>
      </c>
      <c r="T1084" s="153">
        <v>5</v>
      </c>
      <c r="U1084" s="153">
        <f ca="1" t="shared" si="176"/>
        <v>12</v>
      </c>
      <c r="V1084" s="153">
        <f ca="1">ROUND((OFFSET(卡牌辅助配置表!$O$1,MATCH(U1084,卡牌辅助配置表!M:M,0)-1,0)+(N1084-1)*OFFSET(卡牌辅助配置表!$P$1,MATCH(U1084,卡牌辅助配置表!M:M,0)-1,0))*M1084,2)</f>
        <v>33.57</v>
      </c>
      <c r="W1084" s="157">
        <f ca="1">ROUND(IF(R1084=0,0,IF(R1084=1,X1084*$W$1,IF(R1084=2,X1084*$W$1*buff的资质计算!$E$2,IF(R1084=3,X1084*$W$1*buff的资质计算!$E$3,0)))),2)</f>
        <v>8.85</v>
      </c>
      <c r="X1084" s="157">
        <f ca="1" t="shared" si="182"/>
        <v>29.5</v>
      </c>
      <c r="Y1084" s="157" t="e">
        <f ca="1" t="shared" si="181"/>
        <v>#VALUE!</v>
      </c>
      <c r="Z1084" s="304" t="e">
        <f ca="1" t="shared" si="183"/>
        <v>#VALUE!</v>
      </c>
      <c r="AA1084" s="304">
        <f ca="1">OFFSET(卡牌辅助配置表!$AD$1,MATCH(AB1084,卡牌辅助配置表!AB:AB,0)-1,0)</f>
        <v>1202</v>
      </c>
      <c r="AB1084" s="304">
        <f ca="1" t="shared" si="177"/>
        <v>1224</v>
      </c>
      <c r="AC1084" s="153">
        <v>12</v>
      </c>
      <c r="AF1084" s="153" t="str">
        <f ca="1" t="shared" si="180"/>
        <v>20100011|</v>
      </c>
      <c r="AJ1084" s="205" t="str">
        <f ca="1" t="shared" si="178"/>
        <v>400023|15450|;</v>
      </c>
      <c r="AK1084" s="205">
        <f ca="1">OFFSET([1]item_type!$A$1,MATCH(Q1084,[1]item_type!$G:$G,0)-1,0)</f>
        <v>302010</v>
      </c>
      <c r="AL1084" s="205"/>
      <c r="AM1084" s="205">
        <f ca="1">IF(B1084=B1085,OFFSET(卡牌辅助配置表!$AE$1,MATCH(AB1084,卡牌辅助配置表!AB:AB,0),0),0)</f>
        <v>15450</v>
      </c>
      <c r="AN1084" s="153">
        <f ca="1" t="shared" si="179"/>
        <v>2010025</v>
      </c>
      <c r="AP1084" s="153">
        <f ca="1">IF(AC1084=0,0,IF(AC1084=12,0,OFFSET(effect!$N$1,MATCH(K1084,effect!M:M,0)-1,0)))</f>
        <v>0</v>
      </c>
    </row>
    <row r="1085" spans="1:42">
      <c r="A1085" s="153">
        <f ca="1" t="shared" si="175"/>
        <v>2010025</v>
      </c>
      <c r="B1085" s="91" t="s">
        <v>347</v>
      </c>
      <c r="C1085" s="186">
        <v>2</v>
      </c>
      <c r="D1085" s="186">
        <v>1</v>
      </c>
      <c r="E1085" s="165" t="s">
        <v>1058</v>
      </c>
      <c r="F1085" s="165" t="str">
        <f>"上一招为剑法时，增加敌人受到伤害"&amp;buff!$X$18/100&amp;"%伤害，持续2回合"</f>
        <v>上一招为剑法时，增加敌人受到伤害15%伤害，持续2回合</v>
      </c>
      <c r="G1085" s="186">
        <f ca="1">OFFSET(卡牌辅助配置表!$C$1,MATCH(AC1085,卡牌辅助配置表!A:A,0)-1,0)</f>
        <v>0</v>
      </c>
      <c r="H1085" s="186" t="e">
        <f ca="1">OFFSET(skill!$Q$1,MATCH(B1085,skill!B:B,0)-1,0)</f>
        <v>#VALUE!</v>
      </c>
      <c r="I1085" s="186"/>
      <c r="J1085" s="186">
        <f ca="1">OFFSET(card_type!$F$1,MATCH(Q1085,card_type!A:A,0)-1,0)</f>
        <v>1</v>
      </c>
      <c r="K1085" s="243">
        <f ca="1">OFFSET(card_type!$G$1,MATCH(Q1085,card_type!A:A,0)-1,0)</f>
        <v>2</v>
      </c>
      <c r="L1085" s="157">
        <v>2</v>
      </c>
      <c r="M1085" s="157">
        <v>2</v>
      </c>
      <c r="N1085" s="153">
        <f t="shared" si="184"/>
        <v>25</v>
      </c>
      <c r="O1085" s="157"/>
      <c r="P1085" s="157"/>
      <c r="Q1085" s="153">
        <f ca="1">OFFSET(card_type!$A$1,MATCH(card!B1085,card_type!B:B,0)-1,0)</f>
        <v>2010</v>
      </c>
      <c r="R1085" s="153">
        <v>1</v>
      </c>
      <c r="S1085" s="157">
        <f ca="1">ROUND(IF(R1085=0,0,IF(R1085=1,X1085*$S$1,IF(R1085=2,X1085*$S$1*buff的资质计算!$E$2,IF(R1085=3,X1085*$S$1*buff的资质计算!$E$3,0)))),0)*0</f>
        <v>0</v>
      </c>
      <c r="T1085" s="153">
        <v>5</v>
      </c>
      <c r="U1085" s="153">
        <f ca="1" t="shared" si="176"/>
        <v>12</v>
      </c>
      <c r="V1085" s="153">
        <f ca="1">ROUND((OFFSET(卡牌辅助配置表!$O$1,MATCH(U1085,卡牌辅助配置表!M:M,0)-1,0)+(N1085-1)*OFFSET(卡牌辅助配置表!$P$1,MATCH(U1085,卡牌辅助配置表!M:M,0)-1,0))*M1085,2)</f>
        <v>34.2</v>
      </c>
      <c r="W1085" s="157">
        <f ca="1">ROUND(IF(R1085=0,0,IF(R1085=1,X1085*$W$1,IF(R1085=2,X1085*$W$1*buff的资质计算!$E$2,IF(R1085=3,X1085*$W$1*buff的资质计算!$E$3,0)))),2)</f>
        <v>9</v>
      </c>
      <c r="X1085" s="157">
        <f ca="1" t="shared" si="182"/>
        <v>30</v>
      </c>
      <c r="Y1085" s="157" t="e">
        <f ca="1" t="shared" si="181"/>
        <v>#VALUE!</v>
      </c>
      <c r="Z1085" s="304" t="e">
        <f ca="1" t="shared" si="183"/>
        <v>#VALUE!</v>
      </c>
      <c r="AA1085" s="304">
        <f ca="1">OFFSET(卡牌辅助配置表!$AD$1,MATCH(AB1085,卡牌辅助配置表!AB:AB,0)-1,0)</f>
        <v>1275</v>
      </c>
      <c r="AB1085" s="304">
        <f ca="1" t="shared" si="177"/>
        <v>1225</v>
      </c>
      <c r="AC1085" s="153">
        <v>12</v>
      </c>
      <c r="AF1085" s="153" t="str">
        <f ca="1" t="shared" si="180"/>
        <v>20100011|</v>
      </c>
      <c r="AJ1085" s="205" t="str">
        <f ca="1" t="shared" si="178"/>
        <v>400023|16650|;</v>
      </c>
      <c r="AK1085" s="205">
        <f ca="1">OFFSET([1]item_type!$A$1,MATCH(Q1085,[1]item_type!$G:$G,0)-1,0)</f>
        <v>302010</v>
      </c>
      <c r="AL1085" s="205"/>
      <c r="AM1085" s="205">
        <f ca="1">IF(B1085=B1086,OFFSET(卡牌辅助配置表!$AE$1,MATCH(AB1085,卡牌辅助配置表!AB:AB,0),0),0)</f>
        <v>16650</v>
      </c>
      <c r="AN1085" s="153">
        <f ca="1" t="shared" si="179"/>
        <v>2010026</v>
      </c>
      <c r="AP1085" s="153">
        <f ca="1">IF(AC1085=0,0,IF(AC1085=12,0,OFFSET(effect!$N$1,MATCH(K1085,effect!M:M,0)-1,0)))</f>
        <v>0</v>
      </c>
    </row>
    <row r="1086" spans="1:42">
      <c r="A1086" s="153">
        <f ca="1" t="shared" si="175"/>
        <v>2010026</v>
      </c>
      <c r="B1086" s="91" t="s">
        <v>347</v>
      </c>
      <c r="C1086" s="186">
        <v>2</v>
      </c>
      <c r="D1086" s="186">
        <v>1</v>
      </c>
      <c r="E1086" s="165" t="s">
        <v>1058</v>
      </c>
      <c r="F1086" s="165" t="str">
        <f>"上一招为剑法时，增加敌人受到伤害"&amp;buff!$X$18/100&amp;"%伤害，持续2回合"</f>
        <v>上一招为剑法时，增加敌人受到伤害15%伤害，持续2回合</v>
      </c>
      <c r="G1086" s="186">
        <f ca="1">OFFSET(卡牌辅助配置表!$C$1,MATCH(AC1086,卡牌辅助配置表!A:A,0)-1,0)</f>
        <v>0</v>
      </c>
      <c r="H1086" s="186" t="e">
        <f ca="1">OFFSET(skill!$Q$1,MATCH(B1086,skill!B:B,0)-1,0)</f>
        <v>#VALUE!</v>
      </c>
      <c r="I1086" s="186"/>
      <c r="J1086" s="186">
        <f ca="1">OFFSET(card_type!$F$1,MATCH(Q1086,card_type!A:A,0)-1,0)</f>
        <v>1</v>
      </c>
      <c r="K1086" s="243">
        <f ca="1">OFFSET(card_type!$G$1,MATCH(Q1086,card_type!A:A,0)-1,0)</f>
        <v>2</v>
      </c>
      <c r="L1086" s="157">
        <v>2</v>
      </c>
      <c r="M1086" s="157">
        <v>2</v>
      </c>
      <c r="N1086" s="153">
        <f t="shared" si="184"/>
        <v>26</v>
      </c>
      <c r="O1086" s="157"/>
      <c r="P1086" s="157"/>
      <c r="Q1086" s="153">
        <f ca="1">OFFSET(card_type!$A$1,MATCH(card!B1086,card_type!B:B,0)-1,0)</f>
        <v>2010</v>
      </c>
      <c r="R1086" s="153">
        <v>1</v>
      </c>
      <c r="S1086" s="157">
        <f ca="1">ROUND(IF(R1086=0,0,IF(R1086=1,X1086*$S$1,IF(R1086=2,X1086*$S$1*buff的资质计算!$E$2,IF(R1086=3,X1086*$S$1*buff的资质计算!$E$3,0)))),0)*0</f>
        <v>0</v>
      </c>
      <c r="T1086" s="153">
        <v>5</v>
      </c>
      <c r="U1086" s="153">
        <f ca="1" t="shared" si="176"/>
        <v>12</v>
      </c>
      <c r="V1086" s="153">
        <f ca="1">ROUND((OFFSET(卡牌辅助配置表!$O$1,MATCH(U1086,卡牌辅助配置表!M:M,0)-1,0)+(N1086-1)*OFFSET(卡牌辅助配置表!$P$1,MATCH(U1086,卡牌辅助配置表!M:M,0)-1,0))*M1086,2)</f>
        <v>34.83</v>
      </c>
      <c r="W1086" s="157">
        <f ca="1">ROUND(IF(R1086=0,0,IF(R1086=1,X1086*$W$1,IF(R1086=2,X1086*$W$1*buff的资质计算!$E$2,IF(R1086=3,X1086*$W$1*buff的资质计算!$E$3,0)))),2)</f>
        <v>9.15</v>
      </c>
      <c r="X1086" s="157">
        <f ca="1" t="shared" si="182"/>
        <v>30.5</v>
      </c>
      <c r="Y1086" s="157" t="e">
        <f ca="1" t="shared" si="181"/>
        <v>#VALUE!</v>
      </c>
      <c r="Z1086" s="304" t="e">
        <f ca="1" t="shared" si="183"/>
        <v>#VALUE!</v>
      </c>
      <c r="AA1086" s="304">
        <f ca="1">OFFSET(卡牌辅助配置表!$AD$1,MATCH(AB1086,卡牌辅助配置表!AB:AB,0)-1,0)</f>
        <v>1348</v>
      </c>
      <c r="AB1086" s="304">
        <f ca="1" t="shared" si="177"/>
        <v>1226</v>
      </c>
      <c r="AC1086" s="153">
        <v>12</v>
      </c>
      <c r="AF1086" s="153" t="str">
        <f ca="1" t="shared" si="180"/>
        <v>20100011|</v>
      </c>
      <c r="AJ1086" s="205" t="str">
        <f ca="1" t="shared" si="178"/>
        <v>400023|17850|;</v>
      </c>
      <c r="AK1086" s="205">
        <f ca="1">OFFSET([1]item_type!$A$1,MATCH(Q1086,[1]item_type!$G:$G,0)-1,0)</f>
        <v>302010</v>
      </c>
      <c r="AL1086" s="205"/>
      <c r="AM1086" s="205">
        <f ca="1">IF(B1086=B1087,OFFSET(卡牌辅助配置表!$AE$1,MATCH(AB1086,卡牌辅助配置表!AB:AB,0),0),0)</f>
        <v>17850</v>
      </c>
      <c r="AN1086" s="153">
        <f ca="1" t="shared" si="179"/>
        <v>2010027</v>
      </c>
      <c r="AP1086" s="153">
        <f ca="1">IF(AC1086=0,0,IF(AC1086=12,0,OFFSET(effect!$N$1,MATCH(K1086,effect!M:M,0)-1,0)))</f>
        <v>0</v>
      </c>
    </row>
    <row r="1087" spans="1:42">
      <c r="A1087" s="153">
        <f ca="1" t="shared" si="175"/>
        <v>2010027</v>
      </c>
      <c r="B1087" s="91" t="s">
        <v>347</v>
      </c>
      <c r="C1087" s="186">
        <v>2</v>
      </c>
      <c r="D1087" s="186">
        <v>1</v>
      </c>
      <c r="E1087" s="165" t="s">
        <v>1058</v>
      </c>
      <c r="F1087" s="165" t="str">
        <f>"上一招为剑法时，增加敌人受到伤害"&amp;buff!$X$18/100&amp;"%伤害，持续2回合"</f>
        <v>上一招为剑法时，增加敌人受到伤害15%伤害，持续2回合</v>
      </c>
      <c r="G1087" s="186">
        <f ca="1">OFFSET(卡牌辅助配置表!$C$1,MATCH(AC1087,卡牌辅助配置表!A:A,0)-1,0)</f>
        <v>0</v>
      </c>
      <c r="H1087" s="186" t="e">
        <f ca="1">OFFSET(skill!$Q$1,MATCH(B1087,skill!B:B,0)-1,0)</f>
        <v>#VALUE!</v>
      </c>
      <c r="I1087" s="186"/>
      <c r="J1087" s="186">
        <f ca="1">OFFSET(card_type!$F$1,MATCH(Q1087,card_type!A:A,0)-1,0)</f>
        <v>1</v>
      </c>
      <c r="K1087" s="243">
        <f ca="1">OFFSET(card_type!$G$1,MATCH(Q1087,card_type!A:A,0)-1,0)</f>
        <v>2</v>
      </c>
      <c r="L1087" s="157">
        <v>2</v>
      </c>
      <c r="M1087" s="157">
        <v>2</v>
      </c>
      <c r="N1087" s="153">
        <f t="shared" si="184"/>
        <v>27</v>
      </c>
      <c r="O1087" s="157"/>
      <c r="P1087" s="157"/>
      <c r="Q1087" s="153">
        <f ca="1">OFFSET(card_type!$A$1,MATCH(card!B1087,card_type!B:B,0)-1,0)</f>
        <v>2010</v>
      </c>
      <c r="R1087" s="153">
        <v>1</v>
      </c>
      <c r="S1087" s="157">
        <f ca="1">ROUND(IF(R1087=0,0,IF(R1087=1,X1087*$S$1,IF(R1087=2,X1087*$S$1*buff的资质计算!$E$2,IF(R1087=3,X1087*$S$1*buff的资质计算!$E$3,0)))),0)*0</f>
        <v>0</v>
      </c>
      <c r="T1087" s="153">
        <v>5</v>
      </c>
      <c r="U1087" s="153">
        <f ca="1" t="shared" si="176"/>
        <v>12</v>
      </c>
      <c r="V1087" s="153">
        <f ca="1">ROUND((OFFSET(卡牌辅助配置表!$O$1,MATCH(U1087,卡牌辅助配置表!M:M,0)-1,0)+(N1087-1)*OFFSET(卡牌辅助配置表!$P$1,MATCH(U1087,卡牌辅助配置表!M:M,0)-1,0))*M1087,2)</f>
        <v>35.47</v>
      </c>
      <c r="W1087" s="157">
        <f ca="1">ROUND(IF(R1087=0,0,IF(R1087=1,X1087*$W$1,IF(R1087=2,X1087*$W$1*buff的资质计算!$E$2,IF(R1087=3,X1087*$W$1*buff的资质计算!$E$3,0)))),2)</f>
        <v>9.3</v>
      </c>
      <c r="X1087" s="157">
        <f ca="1" t="shared" si="182"/>
        <v>31</v>
      </c>
      <c r="Y1087" s="157" t="e">
        <f ca="1" t="shared" si="181"/>
        <v>#VALUE!</v>
      </c>
      <c r="Z1087" s="304" t="e">
        <f ca="1" t="shared" si="183"/>
        <v>#VALUE!</v>
      </c>
      <c r="AA1087" s="304">
        <f ca="1">OFFSET(卡牌辅助配置表!$AD$1,MATCH(AB1087,卡牌辅助配置表!AB:AB,0)-1,0)</f>
        <v>1421</v>
      </c>
      <c r="AB1087" s="304">
        <f ca="1" t="shared" si="177"/>
        <v>1227</v>
      </c>
      <c r="AC1087" s="153">
        <v>12</v>
      </c>
      <c r="AF1087" s="153" t="str">
        <f ca="1" t="shared" si="180"/>
        <v>20100011|</v>
      </c>
      <c r="AJ1087" s="205" t="str">
        <f ca="1" t="shared" si="178"/>
        <v>400023|19050|;</v>
      </c>
      <c r="AK1087" s="205">
        <f ca="1">OFFSET([1]item_type!$A$1,MATCH(Q1087,[1]item_type!$G:$G,0)-1,0)</f>
        <v>302010</v>
      </c>
      <c r="AL1087" s="205"/>
      <c r="AM1087" s="205">
        <f ca="1">IF(B1087=B1088,OFFSET(卡牌辅助配置表!$AE$1,MATCH(AB1087,卡牌辅助配置表!AB:AB,0),0),0)</f>
        <v>19050</v>
      </c>
      <c r="AN1087" s="153">
        <f ca="1" t="shared" si="179"/>
        <v>2010028</v>
      </c>
      <c r="AP1087" s="153">
        <f ca="1">IF(AC1087=0,0,IF(AC1087=12,0,OFFSET(effect!$N$1,MATCH(K1087,effect!M:M,0)-1,0)))</f>
        <v>0</v>
      </c>
    </row>
    <row r="1088" spans="1:42">
      <c r="A1088" s="153">
        <f ca="1" t="shared" si="175"/>
        <v>2010028</v>
      </c>
      <c r="B1088" s="91" t="s">
        <v>347</v>
      </c>
      <c r="C1088" s="186">
        <v>2</v>
      </c>
      <c r="D1088" s="186">
        <v>1</v>
      </c>
      <c r="E1088" s="165" t="s">
        <v>1058</v>
      </c>
      <c r="F1088" s="165" t="str">
        <f>"上一招为剑法时，增加敌人受到伤害"&amp;buff!$X$18/100&amp;"%伤害，持续2回合"</f>
        <v>上一招为剑法时，增加敌人受到伤害15%伤害，持续2回合</v>
      </c>
      <c r="G1088" s="186">
        <f ca="1">OFFSET(卡牌辅助配置表!$C$1,MATCH(AC1088,卡牌辅助配置表!A:A,0)-1,0)</f>
        <v>0</v>
      </c>
      <c r="H1088" s="186" t="e">
        <f ca="1">OFFSET(skill!$Q$1,MATCH(B1088,skill!B:B,0)-1,0)</f>
        <v>#VALUE!</v>
      </c>
      <c r="I1088" s="186"/>
      <c r="J1088" s="186">
        <f ca="1">OFFSET(card_type!$F$1,MATCH(Q1088,card_type!A:A,0)-1,0)</f>
        <v>1</v>
      </c>
      <c r="K1088" s="243">
        <f ca="1">OFFSET(card_type!$G$1,MATCH(Q1088,card_type!A:A,0)-1,0)</f>
        <v>2</v>
      </c>
      <c r="L1088" s="157">
        <v>2</v>
      </c>
      <c r="M1088" s="157">
        <v>2</v>
      </c>
      <c r="N1088" s="153">
        <f t="shared" si="184"/>
        <v>28</v>
      </c>
      <c r="O1088" s="157"/>
      <c r="P1088" s="157"/>
      <c r="Q1088" s="153">
        <f ca="1">OFFSET(card_type!$A$1,MATCH(card!B1088,card_type!B:B,0)-1,0)</f>
        <v>2010</v>
      </c>
      <c r="R1088" s="153">
        <v>1</v>
      </c>
      <c r="S1088" s="157">
        <f ca="1">ROUND(IF(R1088=0,0,IF(R1088=1,X1088*$S$1,IF(R1088=2,X1088*$S$1*buff的资质计算!$E$2,IF(R1088=3,X1088*$S$1*buff的资质计算!$E$3,0)))),0)*0</f>
        <v>0</v>
      </c>
      <c r="T1088" s="153">
        <v>5</v>
      </c>
      <c r="U1088" s="153">
        <f ca="1" t="shared" si="176"/>
        <v>12</v>
      </c>
      <c r="V1088" s="153">
        <f ca="1">ROUND((OFFSET(卡牌辅助配置表!$O$1,MATCH(U1088,卡牌辅助配置表!M:M,0)-1,0)+(N1088-1)*OFFSET(卡牌辅助配置表!$P$1,MATCH(U1088,卡牌辅助配置表!M:M,0)-1,0))*M1088,2)</f>
        <v>36.1</v>
      </c>
      <c r="W1088" s="157">
        <f ca="1">ROUND(IF(R1088=0,0,IF(R1088=1,X1088*$W$1,IF(R1088=2,X1088*$W$1*buff的资质计算!$E$2,IF(R1088=3,X1088*$W$1*buff的资质计算!$E$3,0)))),2)</f>
        <v>9.45</v>
      </c>
      <c r="X1088" s="157">
        <f ca="1" t="shared" si="182"/>
        <v>31.5</v>
      </c>
      <c r="Y1088" s="157" t="e">
        <f ca="1" t="shared" si="181"/>
        <v>#VALUE!</v>
      </c>
      <c r="Z1088" s="304" t="e">
        <f ca="1" t="shared" si="183"/>
        <v>#VALUE!</v>
      </c>
      <c r="AA1088" s="304">
        <f ca="1">OFFSET(卡牌辅助配置表!$AD$1,MATCH(AB1088,卡牌辅助配置表!AB:AB,0)-1,0)</f>
        <v>1494</v>
      </c>
      <c r="AB1088" s="304">
        <f ca="1" t="shared" si="177"/>
        <v>1228</v>
      </c>
      <c r="AC1088" s="153">
        <v>12</v>
      </c>
      <c r="AF1088" s="153" t="str">
        <f ca="1" t="shared" si="180"/>
        <v>20100011|</v>
      </c>
      <c r="AJ1088" s="205" t="str">
        <f ca="1" t="shared" si="178"/>
        <v>400023|20250|;</v>
      </c>
      <c r="AK1088" s="205">
        <f ca="1">OFFSET([1]item_type!$A$1,MATCH(Q1088,[1]item_type!$G:$G,0)-1,0)</f>
        <v>302010</v>
      </c>
      <c r="AL1088" s="205"/>
      <c r="AM1088" s="205">
        <f ca="1">IF(B1088=B1089,OFFSET(卡牌辅助配置表!$AE$1,MATCH(AB1088,卡牌辅助配置表!AB:AB,0),0),0)</f>
        <v>20250</v>
      </c>
      <c r="AN1088" s="153">
        <f ca="1" t="shared" si="179"/>
        <v>2010029</v>
      </c>
      <c r="AP1088" s="153">
        <f ca="1">IF(AC1088=0,0,IF(AC1088=12,0,OFFSET(effect!$N$1,MATCH(K1088,effect!M:M,0)-1,0)))</f>
        <v>0</v>
      </c>
    </row>
    <row r="1089" spans="1:42">
      <c r="A1089" s="153">
        <f ca="1" t="shared" si="175"/>
        <v>2010029</v>
      </c>
      <c r="B1089" s="91" t="s">
        <v>347</v>
      </c>
      <c r="C1089" s="186">
        <v>2</v>
      </c>
      <c r="D1089" s="186">
        <v>1</v>
      </c>
      <c r="E1089" s="165" t="s">
        <v>1058</v>
      </c>
      <c r="F1089" s="165" t="str">
        <f>"上一招为剑法时，增加敌人受到伤害"&amp;buff!$X$18/100&amp;"%伤害，持续2回合"</f>
        <v>上一招为剑法时，增加敌人受到伤害15%伤害，持续2回合</v>
      </c>
      <c r="G1089" s="186">
        <f ca="1">OFFSET(卡牌辅助配置表!$C$1,MATCH(AC1089,卡牌辅助配置表!A:A,0)-1,0)</f>
        <v>0</v>
      </c>
      <c r="H1089" s="186" t="e">
        <f ca="1">OFFSET(skill!$Q$1,MATCH(B1089,skill!B:B,0)-1,0)</f>
        <v>#VALUE!</v>
      </c>
      <c r="I1089" s="186"/>
      <c r="J1089" s="186">
        <f ca="1">OFFSET(card_type!$F$1,MATCH(Q1089,card_type!A:A,0)-1,0)</f>
        <v>1</v>
      </c>
      <c r="K1089" s="243">
        <f ca="1">OFFSET(card_type!$G$1,MATCH(Q1089,card_type!A:A,0)-1,0)</f>
        <v>2</v>
      </c>
      <c r="L1089" s="157">
        <v>2</v>
      </c>
      <c r="M1089" s="157">
        <v>2</v>
      </c>
      <c r="N1089" s="153">
        <f t="shared" si="184"/>
        <v>29</v>
      </c>
      <c r="O1089" s="157"/>
      <c r="P1089" s="157"/>
      <c r="Q1089" s="153">
        <f ca="1">OFFSET(card_type!$A$1,MATCH(card!B1089,card_type!B:B,0)-1,0)</f>
        <v>2010</v>
      </c>
      <c r="R1089" s="153">
        <v>1</v>
      </c>
      <c r="S1089" s="157">
        <f ca="1">ROUND(IF(R1089=0,0,IF(R1089=1,X1089*$S$1,IF(R1089=2,X1089*$S$1*buff的资质计算!$E$2,IF(R1089=3,X1089*$S$1*buff的资质计算!$E$3,0)))),0)*0</f>
        <v>0</v>
      </c>
      <c r="T1089" s="153">
        <v>5</v>
      </c>
      <c r="U1089" s="153">
        <f ca="1" t="shared" si="176"/>
        <v>12</v>
      </c>
      <c r="V1089" s="153">
        <f ca="1">ROUND((OFFSET(卡牌辅助配置表!$O$1,MATCH(U1089,卡牌辅助配置表!M:M,0)-1,0)+(N1089-1)*OFFSET(卡牌辅助配置表!$P$1,MATCH(U1089,卡牌辅助配置表!M:M,0)-1,0))*M1089,2)</f>
        <v>36.73</v>
      </c>
      <c r="W1089" s="157">
        <f ca="1">ROUND(IF(R1089=0,0,IF(R1089=1,X1089*$W$1,IF(R1089=2,X1089*$W$1*buff的资质计算!$E$2,IF(R1089=3,X1089*$W$1*buff的资质计算!$E$3,0)))),2)</f>
        <v>9.6</v>
      </c>
      <c r="X1089" s="157">
        <f ca="1" t="shared" si="182"/>
        <v>32</v>
      </c>
      <c r="Y1089" s="157" t="e">
        <f ca="1" t="shared" si="181"/>
        <v>#VALUE!</v>
      </c>
      <c r="Z1089" s="304" t="e">
        <f ca="1" t="shared" si="183"/>
        <v>#VALUE!</v>
      </c>
      <c r="AA1089" s="304">
        <f ca="1">OFFSET(卡牌辅助配置表!$AD$1,MATCH(AB1089,卡牌辅助配置表!AB:AB,0)-1,0)</f>
        <v>1567</v>
      </c>
      <c r="AB1089" s="304">
        <f ca="1" t="shared" si="177"/>
        <v>1229</v>
      </c>
      <c r="AC1089" s="153">
        <v>12</v>
      </c>
      <c r="AF1089" s="153" t="str">
        <f ca="1" t="shared" si="180"/>
        <v>20100011|</v>
      </c>
      <c r="AJ1089" s="205" t="str">
        <f ca="1" t="shared" si="178"/>
        <v>302010|30|;400023|21450|;</v>
      </c>
      <c r="AK1089" s="205">
        <f ca="1">OFFSET([1]item_type!$A$1,MATCH(Q1089,[1]item_type!$G:$G,0)-1,0)</f>
        <v>302010</v>
      </c>
      <c r="AL1089" s="205">
        <v>30</v>
      </c>
      <c r="AM1089" s="205">
        <f ca="1">IF(B1089=B1090,OFFSET(卡牌辅助配置表!$AE$1,MATCH(AB1089,卡牌辅助配置表!AB:AB,0),0),0)</f>
        <v>21450</v>
      </c>
      <c r="AN1089" s="153">
        <f ca="1" t="shared" si="179"/>
        <v>2010030</v>
      </c>
      <c r="AP1089" s="153">
        <f ca="1">IF(AC1089=0,0,IF(AC1089=12,0,OFFSET(effect!$N$1,MATCH(K1089,effect!M:M,0)-1,0)))</f>
        <v>0</v>
      </c>
    </row>
    <row r="1090" spans="1:42">
      <c r="A1090" s="153">
        <f ca="1" t="shared" si="175"/>
        <v>2010030</v>
      </c>
      <c r="B1090" s="91" t="s">
        <v>347</v>
      </c>
      <c r="C1090" s="186">
        <v>2</v>
      </c>
      <c r="D1090" s="186">
        <v>1</v>
      </c>
      <c r="E1090" s="165" t="s">
        <v>1058</v>
      </c>
      <c r="F1090" s="165" t="str">
        <f>"上一招为剑法时，增加敌人受到伤害"&amp;buff!$X$18/100&amp;"%伤害，持续2回合"</f>
        <v>上一招为剑法时，增加敌人受到伤害15%伤害，持续2回合</v>
      </c>
      <c r="G1090" s="186">
        <f ca="1">OFFSET(卡牌辅助配置表!$C$1,MATCH(AC1090,卡牌辅助配置表!A:A,0)-1,0)</f>
        <v>0</v>
      </c>
      <c r="H1090" s="186" t="e">
        <f ca="1">OFFSET(skill!$Q$1,MATCH(B1090,skill!B:B,0)-1,0)</f>
        <v>#VALUE!</v>
      </c>
      <c r="I1090" s="186"/>
      <c r="J1090" s="186">
        <f ca="1">OFFSET(card_type!$F$1,MATCH(Q1090,card_type!A:A,0)-1,0)</f>
        <v>1</v>
      </c>
      <c r="K1090" s="243">
        <f ca="1">OFFSET(card_type!$G$1,MATCH(Q1090,card_type!A:A,0)-1,0)</f>
        <v>2</v>
      </c>
      <c r="L1090" s="157">
        <v>2</v>
      </c>
      <c r="M1090" s="157">
        <v>2</v>
      </c>
      <c r="N1090" s="153">
        <f t="shared" si="184"/>
        <v>30</v>
      </c>
      <c r="O1090" s="157"/>
      <c r="P1090" s="157"/>
      <c r="Q1090" s="153">
        <f ca="1">OFFSET(card_type!$A$1,MATCH(card!B1090,card_type!B:B,0)-1,0)</f>
        <v>2010</v>
      </c>
      <c r="R1090" s="153">
        <v>1</v>
      </c>
      <c r="S1090" s="157">
        <f ca="1">ROUND(IF(R1090=0,0,IF(R1090=1,X1090*$S$1,IF(R1090=2,X1090*$S$1*buff的资质计算!$E$2,IF(R1090=3,X1090*$S$1*buff的资质计算!$E$3,0)))),0)*0</f>
        <v>0</v>
      </c>
      <c r="T1090" s="153">
        <v>5</v>
      </c>
      <c r="U1090" s="153">
        <f ca="1" t="shared" si="176"/>
        <v>12</v>
      </c>
      <c r="V1090" s="153">
        <f ca="1">ROUND((OFFSET(卡牌辅助配置表!$O$1,MATCH(U1090,卡牌辅助配置表!M:M,0)-1,0)+(N1090-1)*OFFSET(卡牌辅助配置表!$P$1,MATCH(U1090,卡牌辅助配置表!M:M,0)-1,0))*M1090,2)</f>
        <v>37.37</v>
      </c>
      <c r="W1090" s="157">
        <f ca="1">ROUND(IF(R1090=0,0,IF(R1090=1,X1090*$W$1,IF(R1090=2,X1090*$W$1*buff的资质计算!$E$2,IF(R1090=3,X1090*$W$1*buff的资质计算!$E$3,0)))),2)</f>
        <v>9.75</v>
      </c>
      <c r="X1090" s="157">
        <f ca="1" t="shared" si="182"/>
        <v>32.5</v>
      </c>
      <c r="Y1090" s="157" t="e">
        <f ca="1" t="shared" si="181"/>
        <v>#VALUE!</v>
      </c>
      <c r="Z1090" s="304" t="e">
        <f ca="1" t="shared" si="183"/>
        <v>#VALUE!</v>
      </c>
      <c r="AA1090" s="304">
        <f ca="1">OFFSET(卡牌辅助配置表!$AD$1,MATCH(AB1090,卡牌辅助配置表!AB:AB,0)-1,0)</f>
        <v>1640</v>
      </c>
      <c r="AB1090" s="304">
        <f ca="1" t="shared" si="177"/>
        <v>1230</v>
      </c>
      <c r="AC1090" s="153">
        <v>12</v>
      </c>
      <c r="AF1090" s="153" t="str">
        <f ca="1" t="shared" si="180"/>
        <v>20100011|</v>
      </c>
      <c r="AJ1090" s="205">
        <f ca="1" t="shared" si="178"/>
        <v>0</v>
      </c>
      <c r="AK1090" s="205">
        <f ca="1">OFFSET([1]item_type!$A$1,MATCH(Q1090,[1]item_type!$G:$G,0)-1,0)</f>
        <v>302010</v>
      </c>
      <c r="AL1090" s="205"/>
      <c r="AM1090" s="205">
        <f ca="1">IF(B1090=B1091,OFFSET(卡牌辅助配置表!$AE$1,MATCH(AB1090,卡牌辅助配置表!AB:AB,0),0),0)</f>
        <v>0</v>
      </c>
      <c r="AN1090" s="153">
        <f ca="1" t="shared" si="179"/>
        <v>0</v>
      </c>
      <c r="AP1090" s="153">
        <f ca="1">IF(AC1090=0,0,IF(AC1090=12,0,OFFSET(effect!$N$1,MATCH(K1090,effect!M:M,0)-1,0)))</f>
        <v>0</v>
      </c>
    </row>
    <row r="1091" spans="1:42">
      <c r="A1091" s="153">
        <f ca="1" t="shared" si="175"/>
        <v>2011001</v>
      </c>
      <c r="B1091" s="91" t="s">
        <v>760</v>
      </c>
      <c r="C1091" s="186">
        <v>2</v>
      </c>
      <c r="D1091" s="186">
        <v>5</v>
      </c>
      <c r="E1091" s="165" t="s">
        <v>1058</v>
      </c>
      <c r="F1091" s="165" t="str">
        <f>"上一招为剑法时，增加造成伤害"&amp;skill!$O$76/100&amp;"%护甲"</f>
        <v>上一招为剑法时，增加造成伤害40%护甲</v>
      </c>
      <c r="G1091" s="186">
        <f ca="1">OFFSET(卡牌辅助配置表!$C$1,MATCH(AC1091,卡牌辅助配置表!A:A,0)-1,0)</f>
        <v>0</v>
      </c>
      <c r="H1091" s="186">
        <f ca="1" t="shared" ref="H1091:H1154" si="185">IF(R1091=0,Y1091,0)</f>
        <v>0</v>
      </c>
      <c r="I1091" s="186"/>
      <c r="J1091" s="186">
        <f ca="1">OFFSET(card_type!$F$1,MATCH(Q1091,card_type!A:A,0)-1,0)</f>
        <v>2</v>
      </c>
      <c r="K1091" s="243">
        <f ca="1">OFFSET(card_type!$G$1,MATCH(Q1091,card_type!A:A,0)-1,0)</f>
        <v>1</v>
      </c>
      <c r="L1091" s="157">
        <v>2</v>
      </c>
      <c r="M1091" s="157">
        <v>2</v>
      </c>
      <c r="N1091" s="153">
        <f t="shared" si="184"/>
        <v>1</v>
      </c>
      <c r="O1091" s="157"/>
      <c r="P1091" s="157"/>
      <c r="Q1091" s="153">
        <f ca="1">OFFSET(card_type!$A$1,MATCH(card!B1091,card_type!B:B,0)-1,0)</f>
        <v>2011</v>
      </c>
      <c r="R1091" s="153">
        <v>1</v>
      </c>
      <c r="S1091" s="157">
        <f ca="1">ROUND(IF(R1091=0,0,IF(R1091=1,X1091*$S$1,IF(R1091=2,X1091*$S$1*buff的资质计算!$E$2,IF(R1091=3,X1091*$S$1*buff的资质计算!$E$3,0)))),0)*0</f>
        <v>0</v>
      </c>
      <c r="T1091" s="153">
        <v>1</v>
      </c>
      <c r="U1091" s="153">
        <f ca="1" t="shared" si="176"/>
        <v>21</v>
      </c>
      <c r="V1091" s="153">
        <f ca="1">ROUND((OFFSET(卡牌辅助配置表!$O$1,MATCH(U1091,卡牌辅助配置表!M:M,0)-1,0)+(N1091-1)*OFFSET(卡牌辅助配置表!$P$1,MATCH(U1091,卡牌辅助配置表!M:M,0)-1,0))*M1091,2)</f>
        <v>13.86</v>
      </c>
      <c r="W1091" s="157">
        <f ca="1">ROUND(IF(R1091=0,0,IF(R1091=1,X1091*$W$1,IF(R1091=2,X1091*$W$1*buff的资质计算!$E$2,IF(R1091=3,X1091*$W$1*buff的资质计算!$E$3,0)))),2)</f>
        <v>6</v>
      </c>
      <c r="X1091" s="157">
        <f ca="1" t="shared" si="182"/>
        <v>20</v>
      </c>
      <c r="Y1091" s="157">
        <f ca="1" t="shared" si="181"/>
        <v>20</v>
      </c>
      <c r="Z1091" s="304">
        <f ca="1" t="shared" si="183"/>
        <v>10</v>
      </c>
      <c r="AA1091" s="304">
        <f ca="1">OFFSET(卡牌辅助配置表!$AD$1,MATCH(AB1091,卡牌辅助配置表!AB:AB,0)-1,0)</f>
        <v>42</v>
      </c>
      <c r="AB1091" s="304">
        <f ca="1" t="shared" si="177"/>
        <v>2101</v>
      </c>
      <c r="AC1091" s="153">
        <v>12</v>
      </c>
      <c r="AF1091" s="153" t="str">
        <f ca="1" t="shared" si="180"/>
        <v>20110011|</v>
      </c>
      <c r="AJ1091" s="205" t="str">
        <f ca="1" t="shared" si="178"/>
        <v>400023|700|;</v>
      </c>
      <c r="AK1091" s="205">
        <f ca="1">OFFSET([1]item_type!$A$1,MATCH(Q1091,[1]item_type!$G:$G,0)-1,0)</f>
        <v>302011</v>
      </c>
      <c r="AL1091" s="205"/>
      <c r="AM1091" s="205">
        <f ca="1">IF(B1091=B1092,OFFSET(卡牌辅助配置表!$AE$1,MATCH(AB1091,卡牌辅助配置表!AB:AB,0),0),0)</f>
        <v>700</v>
      </c>
      <c r="AN1091" s="153">
        <f ca="1" t="shared" si="179"/>
        <v>2011002</v>
      </c>
      <c r="AP1091" s="153">
        <f ca="1">IF(AC1091=0,0,IF(AC1091=12,0,OFFSET(effect!$N$1,MATCH(K1091,effect!M:M,0)-1,0)))</f>
        <v>0</v>
      </c>
    </row>
    <row r="1092" spans="1:42">
      <c r="A1092" s="153">
        <f ca="1" t="shared" si="175"/>
        <v>2011002</v>
      </c>
      <c r="B1092" s="91" t="s">
        <v>760</v>
      </c>
      <c r="C1092" s="186">
        <v>2</v>
      </c>
      <c r="D1092" s="186">
        <v>5</v>
      </c>
      <c r="E1092" s="165" t="s">
        <v>1058</v>
      </c>
      <c r="F1092" s="165" t="str">
        <f>"上一招为剑法时，增加造成伤害"&amp;skill!$O$76/100&amp;"%护甲"</f>
        <v>上一招为剑法时，增加造成伤害40%护甲</v>
      </c>
      <c r="G1092" s="186">
        <f ca="1">OFFSET(卡牌辅助配置表!$C$1,MATCH(AC1092,卡牌辅助配置表!A:A,0)-1,0)</f>
        <v>0</v>
      </c>
      <c r="H1092" s="186">
        <f ca="1" t="shared" si="185"/>
        <v>0</v>
      </c>
      <c r="I1092" s="186"/>
      <c r="J1092" s="186">
        <f ca="1">OFFSET(card_type!$F$1,MATCH(Q1092,card_type!A:A,0)-1,0)</f>
        <v>2</v>
      </c>
      <c r="K1092" s="243">
        <f ca="1">OFFSET(card_type!$G$1,MATCH(Q1092,card_type!A:A,0)-1,0)</f>
        <v>1</v>
      </c>
      <c r="L1092" s="157">
        <v>2</v>
      </c>
      <c r="M1092" s="157">
        <v>2</v>
      </c>
      <c r="N1092" s="153">
        <f t="shared" si="184"/>
        <v>2</v>
      </c>
      <c r="O1092" s="157"/>
      <c r="P1092" s="157"/>
      <c r="Q1092" s="153">
        <f ca="1">OFFSET(card_type!$A$1,MATCH(card!B1092,card_type!B:B,0)-1,0)</f>
        <v>2011</v>
      </c>
      <c r="R1092" s="153">
        <v>1</v>
      </c>
      <c r="S1092" s="157">
        <f ca="1">ROUND(IF(R1092=0,0,IF(R1092=1,X1092*$S$1,IF(R1092=2,X1092*$S$1*buff的资质计算!$E$2,IF(R1092=3,X1092*$S$1*buff的资质计算!$E$3,0)))),0)*0</f>
        <v>0</v>
      </c>
      <c r="T1092" s="153">
        <v>1</v>
      </c>
      <c r="U1092" s="153">
        <f ca="1" t="shared" si="176"/>
        <v>21</v>
      </c>
      <c r="V1092" s="153">
        <f ca="1">ROUND((OFFSET(卡牌辅助配置表!$O$1,MATCH(U1092,卡牌辅助配置表!M:M,0)-1,0)+(N1092-1)*OFFSET(卡牌辅助配置表!$P$1,MATCH(U1092,卡牌辅助配置表!M:M,0)-1,0))*M1092,2)</f>
        <v>14.98</v>
      </c>
      <c r="W1092" s="157">
        <f ca="1">ROUND(IF(R1092=0,0,IF(R1092=1,X1092*$W$1,IF(R1092=2,X1092*$W$1*buff的资质计算!$E$2,IF(R1092=3,X1092*$W$1*buff的资质计算!$E$3,0)))),2)</f>
        <v>6.15</v>
      </c>
      <c r="X1092" s="157">
        <f ca="1" t="shared" si="182"/>
        <v>20.5</v>
      </c>
      <c r="Y1092" s="157">
        <f ca="1" t="shared" si="181"/>
        <v>20.5</v>
      </c>
      <c r="Z1092" s="304">
        <f ca="1" t="shared" si="183"/>
        <v>10.25</v>
      </c>
      <c r="AA1092" s="304">
        <f ca="1">OFFSET(卡牌辅助配置表!$AD$1,MATCH(AB1092,卡牌辅助配置表!AB:AB,0)-1,0)</f>
        <v>84</v>
      </c>
      <c r="AB1092" s="304">
        <f ca="1" t="shared" si="177"/>
        <v>2102</v>
      </c>
      <c r="AC1092" s="153">
        <v>12</v>
      </c>
      <c r="AF1092" s="153" t="str">
        <f ca="1" t="shared" si="180"/>
        <v>20110011|</v>
      </c>
      <c r="AJ1092" s="205" t="str">
        <f ca="1" t="shared" si="178"/>
        <v>400023|900|;</v>
      </c>
      <c r="AK1092" s="205">
        <f ca="1">OFFSET([1]item_type!$A$1,MATCH(Q1092,[1]item_type!$G:$G,0)-1,0)</f>
        <v>302011</v>
      </c>
      <c r="AL1092" s="205"/>
      <c r="AM1092" s="205">
        <f ca="1">IF(B1092=B1093,OFFSET(卡牌辅助配置表!$AE$1,MATCH(AB1092,卡牌辅助配置表!AB:AB,0),0),0)</f>
        <v>900</v>
      </c>
      <c r="AN1092" s="153">
        <f ca="1" t="shared" si="179"/>
        <v>2011003</v>
      </c>
      <c r="AP1092" s="153">
        <f ca="1">IF(AC1092=0,0,IF(AC1092=12,0,OFFSET(effect!$N$1,MATCH(K1092,effect!M:M,0)-1,0)))</f>
        <v>0</v>
      </c>
    </row>
    <row r="1093" spans="1:42">
      <c r="A1093" s="153">
        <f ca="1" t="shared" si="175"/>
        <v>2011003</v>
      </c>
      <c r="B1093" s="91" t="s">
        <v>760</v>
      </c>
      <c r="C1093" s="186">
        <v>2</v>
      </c>
      <c r="D1093" s="186">
        <v>5</v>
      </c>
      <c r="E1093" s="165" t="s">
        <v>1058</v>
      </c>
      <c r="F1093" s="165" t="str">
        <f>"上一招为剑法时，增加造成伤害"&amp;skill!$O$76/100&amp;"%护甲"</f>
        <v>上一招为剑法时，增加造成伤害40%护甲</v>
      </c>
      <c r="G1093" s="186">
        <f ca="1">OFFSET(卡牌辅助配置表!$C$1,MATCH(AC1093,卡牌辅助配置表!A:A,0)-1,0)</f>
        <v>0</v>
      </c>
      <c r="H1093" s="186">
        <f ca="1" t="shared" si="185"/>
        <v>0</v>
      </c>
      <c r="I1093" s="186"/>
      <c r="J1093" s="186">
        <f ca="1">OFFSET(card_type!$F$1,MATCH(Q1093,card_type!A:A,0)-1,0)</f>
        <v>2</v>
      </c>
      <c r="K1093" s="243">
        <f ca="1">OFFSET(card_type!$G$1,MATCH(Q1093,card_type!A:A,0)-1,0)</f>
        <v>1</v>
      </c>
      <c r="L1093" s="157">
        <v>2</v>
      </c>
      <c r="M1093" s="157">
        <v>2</v>
      </c>
      <c r="N1093" s="153">
        <f t="shared" si="184"/>
        <v>3</v>
      </c>
      <c r="O1093" s="157"/>
      <c r="P1093" s="157"/>
      <c r="Q1093" s="153">
        <f ca="1">OFFSET(card_type!$A$1,MATCH(card!B1093,card_type!B:B,0)-1,0)</f>
        <v>2011</v>
      </c>
      <c r="R1093" s="153">
        <v>1</v>
      </c>
      <c r="S1093" s="157">
        <f ca="1">ROUND(IF(R1093=0,0,IF(R1093=1,X1093*$S$1,IF(R1093=2,X1093*$S$1*buff的资质计算!$E$2,IF(R1093=3,X1093*$S$1*buff的资质计算!$E$3,0)))),0)*0</f>
        <v>0</v>
      </c>
      <c r="T1093" s="153">
        <v>1</v>
      </c>
      <c r="U1093" s="153">
        <f ca="1" t="shared" si="176"/>
        <v>21</v>
      </c>
      <c r="V1093" s="153">
        <f ca="1">ROUND((OFFSET(卡牌辅助配置表!$O$1,MATCH(U1093,卡牌辅助配置表!M:M,0)-1,0)+(N1093-1)*OFFSET(卡牌辅助配置表!$P$1,MATCH(U1093,卡牌辅助配置表!M:M,0)-1,0))*M1093,2)</f>
        <v>16.1</v>
      </c>
      <c r="W1093" s="157">
        <f ca="1">ROUND(IF(R1093=0,0,IF(R1093=1,X1093*$W$1,IF(R1093=2,X1093*$W$1*buff的资质计算!$E$2,IF(R1093=3,X1093*$W$1*buff的资质计算!$E$3,0)))),2)</f>
        <v>6.3</v>
      </c>
      <c r="X1093" s="157">
        <f ca="1" t="shared" si="182"/>
        <v>21</v>
      </c>
      <c r="Y1093" s="157">
        <f ca="1" t="shared" si="181"/>
        <v>21</v>
      </c>
      <c r="Z1093" s="304">
        <f ca="1" t="shared" si="183"/>
        <v>10.5</v>
      </c>
      <c r="AA1093" s="304">
        <f ca="1">OFFSET(卡牌辅助配置表!$AD$1,MATCH(AB1093,卡牌辅助配置表!AB:AB,0)-1,0)</f>
        <v>126</v>
      </c>
      <c r="AB1093" s="304">
        <f ca="1" t="shared" si="177"/>
        <v>2103</v>
      </c>
      <c r="AC1093" s="153">
        <v>12</v>
      </c>
      <c r="AF1093" s="153" t="str">
        <f ca="1" t="shared" si="180"/>
        <v>20110011|</v>
      </c>
      <c r="AJ1093" s="205" t="str">
        <f ca="1" t="shared" si="178"/>
        <v>400023|1100|;</v>
      </c>
      <c r="AK1093" s="205">
        <f ca="1">OFFSET([1]item_type!$A$1,MATCH(Q1093,[1]item_type!$G:$G,0)-1,0)</f>
        <v>302011</v>
      </c>
      <c r="AL1093" s="205"/>
      <c r="AM1093" s="205">
        <f ca="1">IF(B1093=B1094,OFFSET(卡牌辅助配置表!$AE$1,MATCH(AB1093,卡牌辅助配置表!AB:AB,0),0),0)</f>
        <v>1100</v>
      </c>
      <c r="AN1093" s="153">
        <f ca="1" t="shared" si="179"/>
        <v>2011004</v>
      </c>
      <c r="AP1093" s="153">
        <f ca="1">IF(AC1093=0,0,IF(AC1093=12,0,OFFSET(effect!$N$1,MATCH(K1093,effect!M:M,0)-1,0)))</f>
        <v>0</v>
      </c>
    </row>
    <row r="1094" spans="1:42">
      <c r="A1094" s="153">
        <f ca="1" t="shared" ref="A1094:A1157" si="186">Q1094*1000+N1094</f>
        <v>2011004</v>
      </c>
      <c r="B1094" s="91" t="s">
        <v>760</v>
      </c>
      <c r="C1094" s="186">
        <v>2</v>
      </c>
      <c r="D1094" s="186">
        <v>5</v>
      </c>
      <c r="E1094" s="165" t="s">
        <v>1058</v>
      </c>
      <c r="F1094" s="165" t="str">
        <f>"上一招为剑法时，增加造成伤害"&amp;skill!$O$76/100&amp;"%护甲"</f>
        <v>上一招为剑法时，增加造成伤害40%护甲</v>
      </c>
      <c r="G1094" s="186">
        <f ca="1">OFFSET(卡牌辅助配置表!$C$1,MATCH(AC1094,卡牌辅助配置表!A:A,0)-1,0)</f>
        <v>0</v>
      </c>
      <c r="H1094" s="186">
        <f ca="1" t="shared" si="185"/>
        <v>0</v>
      </c>
      <c r="I1094" s="186"/>
      <c r="J1094" s="186">
        <f ca="1">OFFSET(card_type!$F$1,MATCH(Q1094,card_type!A:A,0)-1,0)</f>
        <v>2</v>
      </c>
      <c r="K1094" s="243">
        <f ca="1">OFFSET(card_type!$G$1,MATCH(Q1094,card_type!A:A,0)-1,0)</f>
        <v>1</v>
      </c>
      <c r="L1094" s="157">
        <v>2</v>
      </c>
      <c r="M1094" s="157">
        <v>2</v>
      </c>
      <c r="N1094" s="153">
        <f t="shared" si="184"/>
        <v>4</v>
      </c>
      <c r="O1094" s="157"/>
      <c r="P1094" s="157"/>
      <c r="Q1094" s="153">
        <f ca="1">OFFSET(card_type!$A$1,MATCH(card!B1094,card_type!B:B,0)-1,0)</f>
        <v>2011</v>
      </c>
      <c r="R1094" s="153">
        <v>1</v>
      </c>
      <c r="S1094" s="157">
        <f ca="1">ROUND(IF(R1094=0,0,IF(R1094=1,X1094*$S$1,IF(R1094=2,X1094*$S$1*buff的资质计算!$E$2,IF(R1094=3,X1094*$S$1*buff的资质计算!$E$3,0)))),0)*0</f>
        <v>0</v>
      </c>
      <c r="T1094" s="153">
        <v>1</v>
      </c>
      <c r="U1094" s="153">
        <f ca="1" t="shared" ref="U1094:U1157" si="187">J1094*10+K1094</f>
        <v>21</v>
      </c>
      <c r="V1094" s="153">
        <f ca="1">ROUND((OFFSET(卡牌辅助配置表!$O$1,MATCH(U1094,卡牌辅助配置表!M:M,0)-1,0)+(N1094-1)*OFFSET(卡牌辅助配置表!$P$1,MATCH(U1094,卡牌辅助配置表!M:M,0)-1,0))*M1094,2)</f>
        <v>17.23</v>
      </c>
      <c r="W1094" s="157">
        <f ca="1">ROUND(IF(R1094=0,0,IF(R1094=1,X1094*$W$1,IF(R1094=2,X1094*$W$1*buff的资质计算!$E$2,IF(R1094=3,X1094*$W$1*buff的资质计算!$E$3,0)))),2)</f>
        <v>6.45</v>
      </c>
      <c r="X1094" s="157">
        <f ca="1" t="shared" si="182"/>
        <v>21.5</v>
      </c>
      <c r="Y1094" s="157">
        <f ca="1" t="shared" si="181"/>
        <v>21.5</v>
      </c>
      <c r="Z1094" s="304">
        <f ca="1" t="shared" si="183"/>
        <v>10.75</v>
      </c>
      <c r="AA1094" s="304">
        <f ca="1">OFFSET(卡牌辅助配置表!$AD$1,MATCH(AB1094,卡牌辅助配置表!AB:AB,0)-1,0)</f>
        <v>168</v>
      </c>
      <c r="AB1094" s="304">
        <f ca="1" t="shared" ref="AB1094:AB1157" si="188">J1094*1000+K1094*100+N1094</f>
        <v>2104</v>
      </c>
      <c r="AC1094" s="153">
        <v>12</v>
      </c>
      <c r="AF1094" s="153" t="str">
        <f ca="1" t="shared" si="180"/>
        <v>20110011|</v>
      </c>
      <c r="AJ1094" s="205" t="str">
        <f ca="1" t="shared" ref="AJ1094:AJ1157" si="189">IF(AN1094=0,0,IF(AL1094=0,$AM$1&amp;$AF$1&amp;AM1094&amp;$AF$1&amp;$AJ$1,AK1094&amp;$AF$1&amp;AL1094&amp;$AF$1&amp;$AJ$1&amp;$AM$1&amp;$AF$1&amp;AM1094&amp;$AF$1&amp;$AJ$1))</f>
        <v>400023|1300|;</v>
      </c>
      <c r="AK1094" s="205">
        <f ca="1">OFFSET([1]item_type!$A$1,MATCH(Q1094,[1]item_type!$G:$G,0)-1,0)</f>
        <v>302011</v>
      </c>
      <c r="AL1094" s="205"/>
      <c r="AM1094" s="205">
        <f ca="1">IF(B1094=B1095,OFFSET(卡牌辅助配置表!$AE$1,MATCH(AB1094,卡牌辅助配置表!AB:AB,0),0),0)</f>
        <v>1300</v>
      </c>
      <c r="AN1094" s="153">
        <f ca="1" t="shared" ref="AN1094:AN1157" si="190">IF(B1094=B1095,A1094+1,0)</f>
        <v>2011005</v>
      </c>
      <c r="AP1094" s="153">
        <f ca="1">IF(AC1094=0,0,IF(AC1094=12,0,OFFSET(effect!$N$1,MATCH(K1094,effect!M:M,0)-1,0)))</f>
        <v>0</v>
      </c>
    </row>
    <row r="1095" spans="1:42">
      <c r="A1095" s="153">
        <f ca="1" t="shared" si="186"/>
        <v>2011005</v>
      </c>
      <c r="B1095" s="91" t="s">
        <v>760</v>
      </c>
      <c r="C1095" s="186">
        <v>2</v>
      </c>
      <c r="D1095" s="186">
        <v>5</v>
      </c>
      <c r="E1095" s="165" t="s">
        <v>1058</v>
      </c>
      <c r="F1095" s="165" t="str">
        <f>"上一招为剑法时，增加造成伤害"&amp;skill!$O$76/100&amp;"%护甲"</f>
        <v>上一招为剑法时，增加造成伤害40%护甲</v>
      </c>
      <c r="G1095" s="186">
        <f ca="1">OFFSET(卡牌辅助配置表!$C$1,MATCH(AC1095,卡牌辅助配置表!A:A,0)-1,0)</f>
        <v>0</v>
      </c>
      <c r="H1095" s="186">
        <f ca="1" t="shared" si="185"/>
        <v>0</v>
      </c>
      <c r="I1095" s="186"/>
      <c r="J1095" s="186">
        <f ca="1">OFFSET(card_type!$F$1,MATCH(Q1095,card_type!A:A,0)-1,0)</f>
        <v>2</v>
      </c>
      <c r="K1095" s="243">
        <f ca="1">OFFSET(card_type!$G$1,MATCH(Q1095,card_type!A:A,0)-1,0)</f>
        <v>1</v>
      </c>
      <c r="L1095" s="157">
        <v>2</v>
      </c>
      <c r="M1095" s="157">
        <v>2</v>
      </c>
      <c r="N1095" s="153">
        <f t="shared" si="184"/>
        <v>5</v>
      </c>
      <c r="O1095" s="157"/>
      <c r="P1095" s="157"/>
      <c r="Q1095" s="153">
        <f ca="1">OFFSET(card_type!$A$1,MATCH(card!B1095,card_type!B:B,0)-1,0)</f>
        <v>2011</v>
      </c>
      <c r="R1095" s="153">
        <v>1</v>
      </c>
      <c r="S1095" s="157">
        <f ca="1">ROUND(IF(R1095=0,0,IF(R1095=1,X1095*$S$1,IF(R1095=2,X1095*$S$1*buff的资质计算!$E$2,IF(R1095=3,X1095*$S$1*buff的资质计算!$E$3,0)))),0)*0</f>
        <v>0</v>
      </c>
      <c r="T1095" s="153">
        <v>1</v>
      </c>
      <c r="U1095" s="153">
        <f ca="1" t="shared" si="187"/>
        <v>21</v>
      </c>
      <c r="V1095" s="153">
        <f ca="1">ROUND((OFFSET(卡牌辅助配置表!$O$1,MATCH(U1095,卡牌辅助配置表!M:M,0)-1,0)+(N1095-1)*OFFSET(卡牌辅助配置表!$P$1,MATCH(U1095,卡牌辅助配置表!M:M,0)-1,0))*M1095,2)</f>
        <v>18.35</v>
      </c>
      <c r="W1095" s="157">
        <f ca="1">ROUND(IF(R1095=0,0,IF(R1095=1,X1095*$W$1,IF(R1095=2,X1095*$W$1*buff的资质计算!$E$2,IF(R1095=3,X1095*$W$1*buff的资质计算!$E$3,0)))),2)</f>
        <v>6.6</v>
      </c>
      <c r="X1095" s="157">
        <f ca="1" t="shared" si="182"/>
        <v>22</v>
      </c>
      <c r="Y1095" s="157">
        <f ca="1" t="shared" si="181"/>
        <v>22</v>
      </c>
      <c r="Z1095" s="304">
        <f ca="1" t="shared" si="183"/>
        <v>11</v>
      </c>
      <c r="AA1095" s="304">
        <f ca="1">OFFSET(卡牌辅助配置表!$AD$1,MATCH(AB1095,卡牌辅助配置表!AB:AB,0)-1,0)</f>
        <v>210</v>
      </c>
      <c r="AB1095" s="304">
        <f ca="1" t="shared" si="188"/>
        <v>2105</v>
      </c>
      <c r="AC1095" s="153">
        <v>12</v>
      </c>
      <c r="AF1095" s="153" t="str">
        <f ca="1" t="shared" si="180"/>
        <v>20110011|</v>
      </c>
      <c r="AJ1095" s="205" t="str">
        <f ca="1" t="shared" si="189"/>
        <v>400023|1500|;</v>
      </c>
      <c r="AK1095" s="205">
        <f ca="1">OFFSET([1]item_type!$A$1,MATCH(Q1095,[1]item_type!$G:$G,0)-1,0)</f>
        <v>302011</v>
      </c>
      <c r="AL1095" s="205"/>
      <c r="AM1095" s="205">
        <f ca="1">IF(B1095=B1096,OFFSET(卡牌辅助配置表!$AE$1,MATCH(AB1095,卡牌辅助配置表!AB:AB,0),0),0)</f>
        <v>1500</v>
      </c>
      <c r="AN1095" s="153">
        <f ca="1" t="shared" si="190"/>
        <v>2011006</v>
      </c>
      <c r="AP1095" s="153">
        <f ca="1">IF(AC1095=0,0,IF(AC1095=12,0,OFFSET(effect!$N$1,MATCH(K1095,effect!M:M,0)-1,0)))</f>
        <v>0</v>
      </c>
    </row>
    <row r="1096" spans="1:42">
      <c r="A1096" s="153">
        <f ca="1" t="shared" si="186"/>
        <v>2011006</v>
      </c>
      <c r="B1096" s="91" t="s">
        <v>760</v>
      </c>
      <c r="C1096" s="186">
        <v>2</v>
      </c>
      <c r="D1096" s="186">
        <v>5</v>
      </c>
      <c r="E1096" s="165" t="s">
        <v>1058</v>
      </c>
      <c r="F1096" s="165" t="str">
        <f>"上一招为剑法时，增加造成伤害"&amp;skill!$O$76/100&amp;"%护甲"</f>
        <v>上一招为剑法时，增加造成伤害40%护甲</v>
      </c>
      <c r="G1096" s="186">
        <f ca="1">OFFSET(卡牌辅助配置表!$C$1,MATCH(AC1096,卡牌辅助配置表!A:A,0)-1,0)</f>
        <v>0</v>
      </c>
      <c r="H1096" s="186">
        <f ca="1" t="shared" si="185"/>
        <v>0</v>
      </c>
      <c r="I1096" s="186"/>
      <c r="J1096" s="186">
        <f ca="1">OFFSET(card_type!$F$1,MATCH(Q1096,card_type!A:A,0)-1,0)</f>
        <v>2</v>
      </c>
      <c r="K1096" s="243">
        <f ca="1">OFFSET(card_type!$G$1,MATCH(Q1096,card_type!A:A,0)-1,0)</f>
        <v>1</v>
      </c>
      <c r="L1096" s="157">
        <v>2</v>
      </c>
      <c r="M1096" s="157">
        <v>2</v>
      </c>
      <c r="N1096" s="153">
        <f t="shared" si="184"/>
        <v>6</v>
      </c>
      <c r="O1096" s="157"/>
      <c r="P1096" s="157"/>
      <c r="Q1096" s="153">
        <f ca="1">OFFSET(card_type!$A$1,MATCH(card!B1096,card_type!B:B,0)-1,0)</f>
        <v>2011</v>
      </c>
      <c r="R1096" s="153">
        <v>1</v>
      </c>
      <c r="S1096" s="157">
        <f ca="1">ROUND(IF(R1096=0,0,IF(R1096=1,X1096*$S$1,IF(R1096=2,X1096*$S$1*buff的资质计算!$E$2,IF(R1096=3,X1096*$S$1*buff的资质计算!$E$3,0)))),0)*0</f>
        <v>0</v>
      </c>
      <c r="T1096" s="153">
        <v>1</v>
      </c>
      <c r="U1096" s="153">
        <f ca="1" t="shared" si="187"/>
        <v>21</v>
      </c>
      <c r="V1096" s="153">
        <f ca="1">ROUND((OFFSET(卡牌辅助配置表!$O$1,MATCH(U1096,卡牌辅助配置表!M:M,0)-1,0)+(N1096-1)*OFFSET(卡牌辅助配置表!$P$1,MATCH(U1096,卡牌辅助配置表!M:M,0)-1,0))*M1096,2)</f>
        <v>19.47</v>
      </c>
      <c r="W1096" s="157">
        <f ca="1">ROUND(IF(R1096=0,0,IF(R1096=1,X1096*$W$1,IF(R1096=2,X1096*$W$1*buff的资质计算!$E$2,IF(R1096=3,X1096*$W$1*buff的资质计算!$E$3,0)))),2)</f>
        <v>6.75</v>
      </c>
      <c r="X1096" s="157">
        <f ca="1" t="shared" si="182"/>
        <v>22.5</v>
      </c>
      <c r="Y1096" s="157">
        <f ca="1" t="shared" si="181"/>
        <v>22.5</v>
      </c>
      <c r="Z1096" s="304">
        <f ca="1" t="shared" si="183"/>
        <v>11.25</v>
      </c>
      <c r="AA1096" s="304">
        <f ca="1">OFFSET(卡牌辅助配置表!$AD$1,MATCH(AB1096,卡牌辅助配置表!AB:AB,0)-1,0)</f>
        <v>252</v>
      </c>
      <c r="AB1096" s="304">
        <f ca="1" t="shared" si="188"/>
        <v>2106</v>
      </c>
      <c r="AC1096" s="153">
        <v>12</v>
      </c>
      <c r="AF1096" s="153" t="str">
        <f ca="1" t="shared" si="180"/>
        <v>20110011|</v>
      </c>
      <c r="AJ1096" s="205" t="str">
        <f ca="1" t="shared" si="189"/>
        <v>400023|1700|;</v>
      </c>
      <c r="AK1096" s="205">
        <f ca="1">OFFSET([1]item_type!$A$1,MATCH(Q1096,[1]item_type!$G:$G,0)-1,0)</f>
        <v>302011</v>
      </c>
      <c r="AL1096" s="205"/>
      <c r="AM1096" s="205">
        <f ca="1">IF(B1096=B1097,OFFSET(卡牌辅助配置表!$AE$1,MATCH(AB1096,卡牌辅助配置表!AB:AB,0),0),0)</f>
        <v>1700</v>
      </c>
      <c r="AN1096" s="153">
        <f ca="1" t="shared" si="190"/>
        <v>2011007</v>
      </c>
      <c r="AP1096" s="153">
        <f ca="1">IF(AC1096=0,0,IF(AC1096=12,0,OFFSET(effect!$N$1,MATCH(K1096,effect!M:M,0)-1,0)))</f>
        <v>0</v>
      </c>
    </row>
    <row r="1097" spans="1:42">
      <c r="A1097" s="153">
        <f ca="1" t="shared" si="186"/>
        <v>2011007</v>
      </c>
      <c r="B1097" s="91" t="s">
        <v>760</v>
      </c>
      <c r="C1097" s="186">
        <v>2</v>
      </c>
      <c r="D1097" s="186">
        <v>5</v>
      </c>
      <c r="E1097" s="165" t="s">
        <v>1058</v>
      </c>
      <c r="F1097" s="165" t="str">
        <f>"上一招为剑法时，增加造成伤害"&amp;skill!$O$76/100&amp;"%护甲"</f>
        <v>上一招为剑法时，增加造成伤害40%护甲</v>
      </c>
      <c r="G1097" s="186">
        <f ca="1">OFFSET(卡牌辅助配置表!$C$1,MATCH(AC1097,卡牌辅助配置表!A:A,0)-1,0)</f>
        <v>0</v>
      </c>
      <c r="H1097" s="186">
        <f ca="1" t="shared" si="185"/>
        <v>0</v>
      </c>
      <c r="I1097" s="186"/>
      <c r="J1097" s="186">
        <f ca="1">OFFSET(card_type!$F$1,MATCH(Q1097,card_type!A:A,0)-1,0)</f>
        <v>2</v>
      </c>
      <c r="K1097" s="243">
        <f ca="1">OFFSET(card_type!$G$1,MATCH(Q1097,card_type!A:A,0)-1,0)</f>
        <v>1</v>
      </c>
      <c r="L1097" s="157">
        <v>2</v>
      </c>
      <c r="M1097" s="157">
        <v>2</v>
      </c>
      <c r="N1097" s="153">
        <f t="shared" si="184"/>
        <v>7</v>
      </c>
      <c r="O1097" s="157"/>
      <c r="P1097" s="157"/>
      <c r="Q1097" s="153">
        <f ca="1">OFFSET(card_type!$A$1,MATCH(card!B1097,card_type!B:B,0)-1,0)</f>
        <v>2011</v>
      </c>
      <c r="R1097" s="153">
        <v>1</v>
      </c>
      <c r="S1097" s="157">
        <f ca="1">ROUND(IF(R1097=0,0,IF(R1097=1,X1097*$S$1,IF(R1097=2,X1097*$S$1*buff的资质计算!$E$2,IF(R1097=3,X1097*$S$1*buff的资质计算!$E$3,0)))),0)*0</f>
        <v>0</v>
      </c>
      <c r="T1097" s="153">
        <v>1</v>
      </c>
      <c r="U1097" s="153">
        <f ca="1" t="shared" si="187"/>
        <v>21</v>
      </c>
      <c r="V1097" s="153">
        <f ca="1">ROUND((OFFSET(卡牌辅助配置表!$O$1,MATCH(U1097,卡牌辅助配置表!M:M,0)-1,0)+(N1097-1)*OFFSET(卡牌辅助配置表!$P$1,MATCH(U1097,卡牌辅助配置表!M:M,0)-1,0))*M1097,2)</f>
        <v>20.59</v>
      </c>
      <c r="W1097" s="157">
        <f ca="1">ROUND(IF(R1097=0,0,IF(R1097=1,X1097*$W$1,IF(R1097=2,X1097*$W$1*buff的资质计算!$E$2,IF(R1097=3,X1097*$W$1*buff的资质计算!$E$3,0)))),2)</f>
        <v>6.9</v>
      </c>
      <c r="X1097" s="157">
        <f ca="1" t="shared" si="182"/>
        <v>23</v>
      </c>
      <c r="Y1097" s="157">
        <f ca="1" t="shared" si="181"/>
        <v>23</v>
      </c>
      <c r="Z1097" s="304">
        <f ca="1" t="shared" si="183"/>
        <v>11.5</v>
      </c>
      <c r="AA1097" s="304">
        <f ca="1">OFFSET(卡牌辅助配置表!$AD$1,MATCH(AB1097,卡牌辅助配置表!AB:AB,0)-1,0)</f>
        <v>294</v>
      </c>
      <c r="AB1097" s="304">
        <f ca="1" t="shared" si="188"/>
        <v>2107</v>
      </c>
      <c r="AC1097" s="153">
        <v>12</v>
      </c>
      <c r="AF1097" s="153" t="str">
        <f ca="1" t="shared" si="180"/>
        <v>20110011|</v>
      </c>
      <c r="AJ1097" s="205" t="str">
        <f ca="1" t="shared" si="189"/>
        <v>400023|1900|;</v>
      </c>
      <c r="AK1097" s="205">
        <f ca="1">OFFSET([1]item_type!$A$1,MATCH(Q1097,[1]item_type!$G:$G,0)-1,0)</f>
        <v>302011</v>
      </c>
      <c r="AL1097" s="205"/>
      <c r="AM1097" s="205">
        <f ca="1">IF(B1097=B1098,OFFSET(卡牌辅助配置表!$AE$1,MATCH(AB1097,卡牌辅助配置表!AB:AB,0),0),0)</f>
        <v>1900</v>
      </c>
      <c r="AN1097" s="153">
        <f ca="1" t="shared" si="190"/>
        <v>2011008</v>
      </c>
      <c r="AP1097" s="153">
        <f ca="1">IF(AC1097=0,0,IF(AC1097=12,0,OFFSET(effect!$N$1,MATCH(K1097,effect!M:M,0)-1,0)))</f>
        <v>0</v>
      </c>
    </row>
    <row r="1098" spans="1:42">
      <c r="A1098" s="153">
        <f ca="1" t="shared" si="186"/>
        <v>2011008</v>
      </c>
      <c r="B1098" s="91" t="s">
        <v>760</v>
      </c>
      <c r="C1098" s="186">
        <v>2</v>
      </c>
      <c r="D1098" s="186">
        <v>5</v>
      </c>
      <c r="E1098" s="165" t="s">
        <v>1058</v>
      </c>
      <c r="F1098" s="165" t="str">
        <f>"上一招为剑法时，增加造成伤害"&amp;skill!$O$76/100&amp;"%护甲"</f>
        <v>上一招为剑法时，增加造成伤害40%护甲</v>
      </c>
      <c r="G1098" s="186">
        <f ca="1">OFFSET(卡牌辅助配置表!$C$1,MATCH(AC1098,卡牌辅助配置表!A:A,0)-1,0)</f>
        <v>0</v>
      </c>
      <c r="H1098" s="186">
        <f ca="1" t="shared" si="185"/>
        <v>0</v>
      </c>
      <c r="I1098" s="186"/>
      <c r="J1098" s="186">
        <f ca="1">OFFSET(card_type!$F$1,MATCH(Q1098,card_type!A:A,0)-1,0)</f>
        <v>2</v>
      </c>
      <c r="K1098" s="243">
        <f ca="1">OFFSET(card_type!$G$1,MATCH(Q1098,card_type!A:A,0)-1,0)</f>
        <v>1</v>
      </c>
      <c r="L1098" s="157">
        <v>2</v>
      </c>
      <c r="M1098" s="157">
        <v>2</v>
      </c>
      <c r="N1098" s="153">
        <f t="shared" si="184"/>
        <v>8</v>
      </c>
      <c r="O1098" s="157"/>
      <c r="P1098" s="157"/>
      <c r="Q1098" s="153">
        <f ca="1">OFFSET(card_type!$A$1,MATCH(card!B1098,card_type!B:B,0)-1,0)</f>
        <v>2011</v>
      </c>
      <c r="R1098" s="153">
        <v>1</v>
      </c>
      <c r="S1098" s="157">
        <f ca="1">ROUND(IF(R1098=0,0,IF(R1098=1,X1098*$S$1,IF(R1098=2,X1098*$S$1*buff的资质计算!$E$2,IF(R1098=3,X1098*$S$1*buff的资质计算!$E$3,0)))),0)*0</f>
        <v>0</v>
      </c>
      <c r="T1098" s="153">
        <v>1</v>
      </c>
      <c r="U1098" s="153">
        <f ca="1" t="shared" si="187"/>
        <v>21</v>
      </c>
      <c r="V1098" s="153">
        <f ca="1">ROUND((OFFSET(卡牌辅助配置表!$O$1,MATCH(U1098,卡牌辅助配置表!M:M,0)-1,0)+(N1098-1)*OFFSET(卡牌辅助配置表!$P$1,MATCH(U1098,卡牌辅助配置表!M:M,0)-1,0))*M1098,2)</f>
        <v>21.71</v>
      </c>
      <c r="W1098" s="157">
        <f ca="1">ROUND(IF(R1098=0,0,IF(R1098=1,X1098*$W$1,IF(R1098=2,X1098*$W$1*buff的资质计算!$E$2,IF(R1098=3,X1098*$W$1*buff的资质计算!$E$3,0)))),2)</f>
        <v>7.05</v>
      </c>
      <c r="X1098" s="157">
        <f ca="1" t="shared" si="182"/>
        <v>23.5</v>
      </c>
      <c r="Y1098" s="157">
        <f ca="1" t="shared" si="181"/>
        <v>23.5</v>
      </c>
      <c r="Z1098" s="304">
        <f ca="1" t="shared" si="183"/>
        <v>11.75</v>
      </c>
      <c r="AA1098" s="304">
        <f ca="1">OFFSET(卡牌辅助配置表!$AD$1,MATCH(AB1098,卡牌辅助配置表!AB:AB,0)-1,0)</f>
        <v>336</v>
      </c>
      <c r="AB1098" s="304">
        <f ca="1" t="shared" si="188"/>
        <v>2108</v>
      </c>
      <c r="AC1098" s="153">
        <v>12</v>
      </c>
      <c r="AF1098" s="153" t="str">
        <f ca="1" t="shared" si="180"/>
        <v>20110011|</v>
      </c>
      <c r="AJ1098" s="205" t="str">
        <f ca="1" t="shared" si="189"/>
        <v>400023|2100|;</v>
      </c>
      <c r="AK1098" s="205">
        <f ca="1">OFFSET([1]item_type!$A$1,MATCH(Q1098,[1]item_type!$G:$G,0)-1,0)</f>
        <v>302011</v>
      </c>
      <c r="AL1098" s="205"/>
      <c r="AM1098" s="205">
        <f ca="1">IF(B1098=B1099,OFFSET(卡牌辅助配置表!$AE$1,MATCH(AB1098,卡牌辅助配置表!AB:AB,0),0),0)</f>
        <v>2100</v>
      </c>
      <c r="AN1098" s="153">
        <f ca="1" t="shared" si="190"/>
        <v>2011009</v>
      </c>
      <c r="AP1098" s="153">
        <f ca="1">IF(AC1098=0,0,IF(AC1098=12,0,OFFSET(effect!$N$1,MATCH(K1098,effect!M:M,0)-1,0)))</f>
        <v>0</v>
      </c>
    </row>
    <row r="1099" spans="1:42">
      <c r="A1099" s="153">
        <f ca="1" t="shared" si="186"/>
        <v>2011009</v>
      </c>
      <c r="B1099" s="91" t="s">
        <v>760</v>
      </c>
      <c r="C1099" s="186">
        <v>2</v>
      </c>
      <c r="D1099" s="186">
        <v>5</v>
      </c>
      <c r="E1099" s="165" t="s">
        <v>1058</v>
      </c>
      <c r="F1099" s="165" t="str">
        <f>"上一招为剑法时，增加造成伤害"&amp;skill!$O$76/100&amp;"%护甲"</f>
        <v>上一招为剑法时，增加造成伤害40%护甲</v>
      </c>
      <c r="G1099" s="186">
        <f ca="1">OFFSET(卡牌辅助配置表!$C$1,MATCH(AC1099,卡牌辅助配置表!A:A,0)-1,0)</f>
        <v>0</v>
      </c>
      <c r="H1099" s="186">
        <f ca="1" t="shared" si="185"/>
        <v>0</v>
      </c>
      <c r="I1099" s="186"/>
      <c r="J1099" s="186">
        <f ca="1">OFFSET(card_type!$F$1,MATCH(Q1099,card_type!A:A,0)-1,0)</f>
        <v>2</v>
      </c>
      <c r="K1099" s="243">
        <f ca="1">OFFSET(card_type!$G$1,MATCH(Q1099,card_type!A:A,0)-1,0)</f>
        <v>1</v>
      </c>
      <c r="L1099" s="157">
        <v>2</v>
      </c>
      <c r="M1099" s="157">
        <v>2</v>
      </c>
      <c r="N1099" s="153">
        <f t="shared" si="184"/>
        <v>9</v>
      </c>
      <c r="O1099" s="157"/>
      <c r="P1099" s="157"/>
      <c r="Q1099" s="153">
        <f ca="1">OFFSET(card_type!$A$1,MATCH(card!B1099,card_type!B:B,0)-1,0)</f>
        <v>2011</v>
      </c>
      <c r="R1099" s="153">
        <v>1</v>
      </c>
      <c r="S1099" s="157">
        <f ca="1">ROUND(IF(R1099=0,0,IF(R1099=1,X1099*$S$1,IF(R1099=2,X1099*$S$1*buff的资质计算!$E$2,IF(R1099=3,X1099*$S$1*buff的资质计算!$E$3,0)))),0)*0</f>
        <v>0</v>
      </c>
      <c r="T1099" s="153">
        <v>1</v>
      </c>
      <c r="U1099" s="153">
        <f ca="1" t="shared" si="187"/>
        <v>21</v>
      </c>
      <c r="V1099" s="153">
        <f ca="1">ROUND((OFFSET(卡牌辅助配置表!$O$1,MATCH(U1099,卡牌辅助配置表!M:M,0)-1,0)+(N1099-1)*OFFSET(卡牌辅助配置表!$P$1,MATCH(U1099,卡牌辅助配置表!M:M,0)-1,0))*M1099,2)</f>
        <v>22.84</v>
      </c>
      <c r="W1099" s="157">
        <f ca="1">ROUND(IF(R1099=0,0,IF(R1099=1,X1099*$W$1,IF(R1099=2,X1099*$W$1*buff的资质计算!$E$2,IF(R1099=3,X1099*$W$1*buff的资质计算!$E$3,0)))),2)</f>
        <v>7.2</v>
      </c>
      <c r="X1099" s="157">
        <f ca="1" t="shared" si="182"/>
        <v>24</v>
      </c>
      <c r="Y1099" s="157">
        <f ca="1" t="shared" si="181"/>
        <v>24</v>
      </c>
      <c r="Z1099" s="304">
        <f ca="1" t="shared" si="183"/>
        <v>12</v>
      </c>
      <c r="AA1099" s="304">
        <f ca="1">OFFSET(卡牌辅助配置表!$AD$1,MATCH(AB1099,卡牌辅助配置表!AB:AB,0)-1,0)</f>
        <v>378</v>
      </c>
      <c r="AB1099" s="304">
        <f ca="1" t="shared" si="188"/>
        <v>2109</v>
      </c>
      <c r="AC1099" s="153">
        <v>12</v>
      </c>
      <c r="AF1099" s="153" t="str">
        <f ca="1" t="shared" si="180"/>
        <v>20110011|</v>
      </c>
      <c r="AJ1099" s="205" t="str">
        <f ca="1" t="shared" si="189"/>
        <v>302011|15|;400023|2300|;</v>
      </c>
      <c r="AK1099" s="205">
        <f ca="1">OFFSET([1]item_type!$A$1,MATCH(Q1099,[1]item_type!$G:$G,0)-1,0)</f>
        <v>302011</v>
      </c>
      <c r="AL1099" s="205">
        <v>15</v>
      </c>
      <c r="AM1099" s="205">
        <f ca="1">IF(B1099=B1100,OFFSET(卡牌辅助配置表!$AE$1,MATCH(AB1099,卡牌辅助配置表!AB:AB,0),0),0)</f>
        <v>2300</v>
      </c>
      <c r="AN1099" s="153">
        <f ca="1" t="shared" si="190"/>
        <v>2011010</v>
      </c>
      <c r="AP1099" s="153">
        <f ca="1">IF(AC1099=0,0,IF(AC1099=12,0,OFFSET(effect!$N$1,MATCH(K1099,effect!M:M,0)-1,0)))</f>
        <v>0</v>
      </c>
    </row>
    <row r="1100" spans="1:42">
      <c r="A1100" s="153">
        <f ca="1" t="shared" si="186"/>
        <v>2011010</v>
      </c>
      <c r="B1100" s="91" t="s">
        <v>760</v>
      </c>
      <c r="C1100" s="186">
        <v>2</v>
      </c>
      <c r="D1100" s="186">
        <v>5</v>
      </c>
      <c r="E1100" s="165" t="s">
        <v>1058</v>
      </c>
      <c r="F1100" s="165" t="str">
        <f>"上一招为剑法时，增加造成伤害"&amp;skill!$O$76/100&amp;"%护甲"</f>
        <v>上一招为剑法时，增加造成伤害40%护甲</v>
      </c>
      <c r="G1100" s="186">
        <f ca="1">OFFSET(卡牌辅助配置表!$C$1,MATCH(AC1100,卡牌辅助配置表!A:A,0)-1,0)</f>
        <v>0</v>
      </c>
      <c r="H1100" s="186">
        <f ca="1" t="shared" si="185"/>
        <v>0</v>
      </c>
      <c r="I1100" s="186"/>
      <c r="J1100" s="186">
        <f ca="1">OFFSET(card_type!$F$1,MATCH(Q1100,card_type!A:A,0)-1,0)</f>
        <v>2</v>
      </c>
      <c r="K1100" s="243">
        <f ca="1">OFFSET(card_type!$G$1,MATCH(Q1100,card_type!A:A,0)-1,0)</f>
        <v>1</v>
      </c>
      <c r="L1100" s="157">
        <v>2</v>
      </c>
      <c r="M1100" s="157">
        <v>2</v>
      </c>
      <c r="N1100" s="153">
        <f t="shared" si="184"/>
        <v>10</v>
      </c>
      <c r="O1100" s="157"/>
      <c r="P1100" s="157"/>
      <c r="Q1100" s="153">
        <f ca="1">OFFSET(card_type!$A$1,MATCH(card!B1100,card_type!B:B,0)-1,0)</f>
        <v>2011</v>
      </c>
      <c r="R1100" s="153">
        <v>1</v>
      </c>
      <c r="S1100" s="157">
        <f ca="1">ROUND(IF(R1100=0,0,IF(R1100=1,X1100*$S$1,IF(R1100=2,X1100*$S$1*buff的资质计算!$E$2,IF(R1100=3,X1100*$S$1*buff的资质计算!$E$3,0)))),0)*0</f>
        <v>0</v>
      </c>
      <c r="T1100" s="153">
        <v>1</v>
      </c>
      <c r="U1100" s="153">
        <f ca="1" t="shared" si="187"/>
        <v>21</v>
      </c>
      <c r="V1100" s="153">
        <f ca="1">ROUND((OFFSET(卡牌辅助配置表!$O$1,MATCH(U1100,卡牌辅助配置表!M:M,0)-1,0)+(N1100-1)*OFFSET(卡牌辅助配置表!$P$1,MATCH(U1100,卡牌辅助配置表!M:M,0)-1,0))*M1100,2)</f>
        <v>23.96</v>
      </c>
      <c r="W1100" s="157">
        <f ca="1">ROUND(IF(R1100=0,0,IF(R1100=1,X1100*$W$1,IF(R1100=2,X1100*$W$1*buff的资质计算!$E$2,IF(R1100=3,X1100*$W$1*buff的资质计算!$E$3,0)))),2)</f>
        <v>7.35</v>
      </c>
      <c r="X1100" s="157">
        <f ca="1" t="shared" si="182"/>
        <v>24.5</v>
      </c>
      <c r="Y1100" s="157">
        <f ca="1" t="shared" si="181"/>
        <v>24.5</v>
      </c>
      <c r="Z1100" s="304">
        <f ca="1" t="shared" si="183"/>
        <v>12.25</v>
      </c>
      <c r="AA1100" s="304">
        <f ca="1">OFFSET(卡牌辅助配置表!$AD$1,MATCH(AB1100,卡牌辅助配置表!AB:AB,0)-1,0)</f>
        <v>420</v>
      </c>
      <c r="AB1100" s="304">
        <f ca="1" t="shared" si="188"/>
        <v>2110</v>
      </c>
      <c r="AC1100" s="153">
        <v>12</v>
      </c>
      <c r="AF1100" s="153" t="str">
        <f ca="1" t="shared" si="180"/>
        <v>20110011|</v>
      </c>
      <c r="AJ1100" s="205" t="str">
        <f ca="1" t="shared" si="189"/>
        <v>400023|2700|;</v>
      </c>
      <c r="AK1100" s="205">
        <f ca="1">OFFSET([1]item_type!$A$1,MATCH(Q1100,[1]item_type!$G:$G,0)-1,0)</f>
        <v>302011</v>
      </c>
      <c r="AL1100" s="205"/>
      <c r="AM1100" s="205">
        <f ca="1">IF(B1100=B1101,OFFSET(卡牌辅助配置表!$AE$1,MATCH(AB1100,卡牌辅助配置表!AB:AB,0),0),0)</f>
        <v>2700</v>
      </c>
      <c r="AN1100" s="153">
        <f ca="1" t="shared" si="190"/>
        <v>2011011</v>
      </c>
      <c r="AP1100" s="153">
        <f ca="1">IF(AC1100=0,0,IF(AC1100=12,0,OFFSET(effect!$N$1,MATCH(K1100,effect!M:M,0)-1,0)))</f>
        <v>0</v>
      </c>
    </row>
    <row r="1101" spans="1:42">
      <c r="A1101" s="153">
        <f ca="1" t="shared" si="186"/>
        <v>2011011</v>
      </c>
      <c r="B1101" s="91" t="s">
        <v>760</v>
      </c>
      <c r="C1101" s="186">
        <v>2</v>
      </c>
      <c r="D1101" s="186">
        <v>5</v>
      </c>
      <c r="E1101" s="165" t="s">
        <v>1058</v>
      </c>
      <c r="F1101" s="165" t="str">
        <f>"上一招为剑法时，增加造成伤害"&amp;skill!$O$76/100&amp;"%护甲"</f>
        <v>上一招为剑法时，增加造成伤害40%护甲</v>
      </c>
      <c r="G1101" s="186">
        <f ca="1">OFFSET(卡牌辅助配置表!$C$1,MATCH(AC1101,卡牌辅助配置表!A:A,0)-1,0)</f>
        <v>0</v>
      </c>
      <c r="H1101" s="186">
        <f ca="1" t="shared" si="185"/>
        <v>0</v>
      </c>
      <c r="I1101" s="186"/>
      <c r="J1101" s="186">
        <f ca="1">OFFSET(card_type!$F$1,MATCH(Q1101,card_type!A:A,0)-1,0)</f>
        <v>2</v>
      </c>
      <c r="K1101" s="243">
        <f ca="1">OFFSET(card_type!$G$1,MATCH(Q1101,card_type!A:A,0)-1,0)</f>
        <v>1</v>
      </c>
      <c r="L1101" s="157">
        <v>2</v>
      </c>
      <c r="M1101" s="157">
        <v>2</v>
      </c>
      <c r="N1101" s="153">
        <f t="shared" si="184"/>
        <v>11</v>
      </c>
      <c r="O1101" s="157"/>
      <c r="P1101" s="157"/>
      <c r="Q1101" s="153">
        <f ca="1">OFFSET(card_type!$A$1,MATCH(card!B1101,card_type!B:B,0)-1,0)</f>
        <v>2011</v>
      </c>
      <c r="R1101" s="153">
        <v>1</v>
      </c>
      <c r="S1101" s="157">
        <f ca="1">ROUND(IF(R1101=0,0,IF(R1101=1,X1101*$S$1,IF(R1101=2,X1101*$S$1*buff的资质计算!$E$2,IF(R1101=3,X1101*$S$1*buff的资质计算!$E$3,0)))),0)*0</f>
        <v>0</v>
      </c>
      <c r="T1101" s="153">
        <v>1</v>
      </c>
      <c r="U1101" s="153">
        <f ca="1" t="shared" si="187"/>
        <v>21</v>
      </c>
      <c r="V1101" s="153">
        <f ca="1">ROUND((OFFSET(卡牌辅助配置表!$O$1,MATCH(U1101,卡牌辅助配置表!M:M,0)-1,0)+(N1101-1)*OFFSET(卡牌辅助配置表!$P$1,MATCH(U1101,卡牌辅助配置表!M:M,0)-1,0))*M1101,2)</f>
        <v>25.08</v>
      </c>
      <c r="W1101" s="157">
        <f ca="1">ROUND(IF(R1101=0,0,IF(R1101=1,X1101*$W$1,IF(R1101=2,X1101*$W$1*buff的资质计算!$E$2,IF(R1101=3,X1101*$W$1*buff的资质计算!$E$3,0)))),2)</f>
        <v>7.5</v>
      </c>
      <c r="X1101" s="157">
        <f ca="1" t="shared" si="182"/>
        <v>25</v>
      </c>
      <c r="Y1101" s="157">
        <f ca="1" t="shared" si="181"/>
        <v>25</v>
      </c>
      <c r="Z1101" s="304">
        <f ca="1" t="shared" si="183"/>
        <v>12.5</v>
      </c>
      <c r="AA1101" s="304">
        <f ca="1">OFFSET(卡牌辅助配置表!$AD$1,MATCH(AB1101,卡牌辅助配置表!AB:AB,0)-1,0)</f>
        <v>483</v>
      </c>
      <c r="AB1101" s="304">
        <f ca="1" t="shared" si="188"/>
        <v>2111</v>
      </c>
      <c r="AC1101" s="153">
        <v>12</v>
      </c>
      <c r="AF1101" s="153" t="str">
        <f ca="1" t="shared" si="180"/>
        <v>20110011|</v>
      </c>
      <c r="AJ1101" s="205" t="str">
        <f ca="1" t="shared" si="189"/>
        <v>400023|3100|;</v>
      </c>
      <c r="AK1101" s="205">
        <f ca="1">OFFSET([1]item_type!$A$1,MATCH(Q1101,[1]item_type!$G:$G,0)-1,0)</f>
        <v>302011</v>
      </c>
      <c r="AL1101" s="205"/>
      <c r="AM1101" s="205">
        <f ca="1">IF(B1101=B1102,OFFSET(卡牌辅助配置表!$AE$1,MATCH(AB1101,卡牌辅助配置表!AB:AB,0),0),0)</f>
        <v>3100</v>
      </c>
      <c r="AN1101" s="153">
        <f ca="1" t="shared" si="190"/>
        <v>2011012</v>
      </c>
      <c r="AP1101" s="153">
        <f ca="1">IF(AC1101=0,0,IF(AC1101=12,0,OFFSET(effect!$N$1,MATCH(K1101,effect!M:M,0)-1,0)))</f>
        <v>0</v>
      </c>
    </row>
    <row r="1102" spans="1:42">
      <c r="A1102" s="153">
        <f ca="1" t="shared" si="186"/>
        <v>2011012</v>
      </c>
      <c r="B1102" s="91" t="s">
        <v>760</v>
      </c>
      <c r="C1102" s="186">
        <v>2</v>
      </c>
      <c r="D1102" s="186">
        <v>5</v>
      </c>
      <c r="E1102" s="165" t="s">
        <v>1058</v>
      </c>
      <c r="F1102" s="165" t="str">
        <f>"上一招为剑法时，增加造成伤害"&amp;skill!$O$76/100&amp;"%护甲"</f>
        <v>上一招为剑法时，增加造成伤害40%护甲</v>
      </c>
      <c r="G1102" s="186">
        <f ca="1">OFFSET(卡牌辅助配置表!$C$1,MATCH(AC1102,卡牌辅助配置表!A:A,0)-1,0)</f>
        <v>0</v>
      </c>
      <c r="H1102" s="186">
        <f ca="1" t="shared" si="185"/>
        <v>0</v>
      </c>
      <c r="I1102" s="186"/>
      <c r="J1102" s="186">
        <f ca="1">OFFSET(card_type!$F$1,MATCH(Q1102,card_type!A:A,0)-1,0)</f>
        <v>2</v>
      </c>
      <c r="K1102" s="243">
        <f ca="1">OFFSET(card_type!$G$1,MATCH(Q1102,card_type!A:A,0)-1,0)</f>
        <v>1</v>
      </c>
      <c r="L1102" s="157">
        <v>2</v>
      </c>
      <c r="M1102" s="157">
        <v>2</v>
      </c>
      <c r="N1102" s="153">
        <f t="shared" si="184"/>
        <v>12</v>
      </c>
      <c r="O1102" s="157"/>
      <c r="P1102" s="157"/>
      <c r="Q1102" s="153">
        <f ca="1">OFFSET(card_type!$A$1,MATCH(card!B1102,card_type!B:B,0)-1,0)</f>
        <v>2011</v>
      </c>
      <c r="R1102" s="153">
        <v>1</v>
      </c>
      <c r="S1102" s="157">
        <f ca="1">ROUND(IF(R1102=0,0,IF(R1102=1,X1102*$S$1,IF(R1102=2,X1102*$S$1*buff的资质计算!$E$2,IF(R1102=3,X1102*$S$1*buff的资质计算!$E$3,0)))),0)*0</f>
        <v>0</v>
      </c>
      <c r="T1102" s="153">
        <v>1</v>
      </c>
      <c r="U1102" s="153">
        <f ca="1" t="shared" si="187"/>
        <v>21</v>
      </c>
      <c r="V1102" s="153">
        <f ca="1">ROUND((OFFSET(卡牌辅助配置表!$O$1,MATCH(U1102,卡牌辅助配置表!M:M,0)-1,0)+(N1102-1)*OFFSET(卡牌辅助配置表!$P$1,MATCH(U1102,卡牌辅助配置表!M:M,0)-1,0))*M1102,2)</f>
        <v>26.2</v>
      </c>
      <c r="W1102" s="157">
        <f ca="1">ROUND(IF(R1102=0,0,IF(R1102=1,X1102*$W$1,IF(R1102=2,X1102*$W$1*buff的资质计算!$E$2,IF(R1102=3,X1102*$W$1*buff的资质计算!$E$3,0)))),2)</f>
        <v>7.65</v>
      </c>
      <c r="X1102" s="157">
        <f ca="1" t="shared" si="182"/>
        <v>25.5</v>
      </c>
      <c r="Y1102" s="157">
        <f ca="1" t="shared" si="181"/>
        <v>25.5</v>
      </c>
      <c r="Z1102" s="304">
        <f ca="1" t="shared" si="183"/>
        <v>12.75</v>
      </c>
      <c r="AA1102" s="304">
        <f ca="1">OFFSET(卡牌辅助配置表!$AD$1,MATCH(AB1102,卡牌辅助配置表!AB:AB,0)-1,0)</f>
        <v>546</v>
      </c>
      <c r="AB1102" s="304">
        <f ca="1" t="shared" si="188"/>
        <v>2112</v>
      </c>
      <c r="AC1102" s="153">
        <v>12</v>
      </c>
      <c r="AF1102" s="153" t="str">
        <f ca="1" t="shared" si="180"/>
        <v>20110011|</v>
      </c>
      <c r="AJ1102" s="205" t="str">
        <f ca="1" t="shared" si="189"/>
        <v>400023|3500|;</v>
      </c>
      <c r="AK1102" s="205">
        <f ca="1">OFFSET([1]item_type!$A$1,MATCH(Q1102,[1]item_type!$G:$G,0)-1,0)</f>
        <v>302011</v>
      </c>
      <c r="AL1102" s="205"/>
      <c r="AM1102" s="205">
        <f ca="1">IF(B1102=B1103,OFFSET(卡牌辅助配置表!$AE$1,MATCH(AB1102,卡牌辅助配置表!AB:AB,0),0),0)</f>
        <v>3500</v>
      </c>
      <c r="AN1102" s="153">
        <f ca="1" t="shared" si="190"/>
        <v>2011013</v>
      </c>
      <c r="AP1102" s="153">
        <f ca="1">IF(AC1102=0,0,IF(AC1102=12,0,OFFSET(effect!$N$1,MATCH(K1102,effect!M:M,0)-1,0)))</f>
        <v>0</v>
      </c>
    </row>
    <row r="1103" spans="1:42">
      <c r="A1103" s="153">
        <f ca="1" t="shared" si="186"/>
        <v>2011013</v>
      </c>
      <c r="B1103" s="91" t="s">
        <v>760</v>
      </c>
      <c r="C1103" s="186">
        <v>2</v>
      </c>
      <c r="D1103" s="186">
        <v>5</v>
      </c>
      <c r="E1103" s="165" t="s">
        <v>1058</v>
      </c>
      <c r="F1103" s="165" t="str">
        <f>"上一招为剑法时，增加造成伤害"&amp;skill!$O$76/100&amp;"%护甲"</f>
        <v>上一招为剑法时，增加造成伤害40%护甲</v>
      </c>
      <c r="G1103" s="186">
        <f ca="1">OFFSET(卡牌辅助配置表!$C$1,MATCH(AC1103,卡牌辅助配置表!A:A,0)-1,0)</f>
        <v>0</v>
      </c>
      <c r="H1103" s="186">
        <f ca="1" t="shared" si="185"/>
        <v>0</v>
      </c>
      <c r="I1103" s="186"/>
      <c r="J1103" s="186">
        <f ca="1">OFFSET(card_type!$F$1,MATCH(Q1103,card_type!A:A,0)-1,0)</f>
        <v>2</v>
      </c>
      <c r="K1103" s="243">
        <f ca="1">OFFSET(card_type!$G$1,MATCH(Q1103,card_type!A:A,0)-1,0)</f>
        <v>1</v>
      </c>
      <c r="L1103" s="157">
        <v>2</v>
      </c>
      <c r="M1103" s="157">
        <v>2</v>
      </c>
      <c r="N1103" s="153">
        <f t="shared" si="184"/>
        <v>13</v>
      </c>
      <c r="O1103" s="157"/>
      <c r="P1103" s="157"/>
      <c r="Q1103" s="153">
        <f ca="1">OFFSET(card_type!$A$1,MATCH(card!B1103,card_type!B:B,0)-1,0)</f>
        <v>2011</v>
      </c>
      <c r="R1103" s="153">
        <v>1</v>
      </c>
      <c r="S1103" s="157">
        <f ca="1">ROUND(IF(R1103=0,0,IF(R1103=1,X1103*$S$1,IF(R1103=2,X1103*$S$1*buff的资质计算!$E$2,IF(R1103=3,X1103*$S$1*buff的资质计算!$E$3,0)))),0)*0</f>
        <v>0</v>
      </c>
      <c r="T1103" s="153">
        <v>1</v>
      </c>
      <c r="U1103" s="153">
        <f ca="1" t="shared" si="187"/>
        <v>21</v>
      </c>
      <c r="V1103" s="153">
        <f ca="1">ROUND((OFFSET(卡牌辅助配置表!$O$1,MATCH(U1103,卡牌辅助配置表!M:M,0)-1,0)+(N1103-1)*OFFSET(卡牌辅助配置表!$P$1,MATCH(U1103,卡牌辅助配置表!M:M,0)-1,0))*M1103,2)</f>
        <v>27.32</v>
      </c>
      <c r="W1103" s="157">
        <f ca="1">ROUND(IF(R1103=0,0,IF(R1103=1,X1103*$W$1,IF(R1103=2,X1103*$W$1*buff的资质计算!$E$2,IF(R1103=3,X1103*$W$1*buff的资质计算!$E$3,0)))),2)</f>
        <v>7.8</v>
      </c>
      <c r="X1103" s="157">
        <f ca="1" t="shared" si="182"/>
        <v>26</v>
      </c>
      <c r="Y1103" s="157">
        <f ca="1" t="shared" si="181"/>
        <v>26</v>
      </c>
      <c r="Z1103" s="304">
        <f ca="1" t="shared" si="183"/>
        <v>13</v>
      </c>
      <c r="AA1103" s="304">
        <f ca="1">OFFSET(卡牌辅助配置表!$AD$1,MATCH(AB1103,卡牌辅助配置表!AB:AB,0)-1,0)</f>
        <v>609</v>
      </c>
      <c r="AB1103" s="304">
        <f ca="1" t="shared" si="188"/>
        <v>2113</v>
      </c>
      <c r="AC1103" s="153">
        <v>12</v>
      </c>
      <c r="AF1103" s="153" t="str">
        <f ca="1" t="shared" si="180"/>
        <v>20110011|</v>
      </c>
      <c r="AJ1103" s="205" t="str">
        <f ca="1" t="shared" si="189"/>
        <v>400023|3900|;</v>
      </c>
      <c r="AK1103" s="205">
        <f ca="1">OFFSET([1]item_type!$A$1,MATCH(Q1103,[1]item_type!$G:$G,0)-1,0)</f>
        <v>302011</v>
      </c>
      <c r="AL1103" s="205"/>
      <c r="AM1103" s="205">
        <f ca="1">IF(B1103=B1104,OFFSET(卡牌辅助配置表!$AE$1,MATCH(AB1103,卡牌辅助配置表!AB:AB,0),0),0)</f>
        <v>3900</v>
      </c>
      <c r="AN1103" s="153">
        <f ca="1" t="shared" si="190"/>
        <v>2011014</v>
      </c>
      <c r="AP1103" s="153">
        <f ca="1">IF(AC1103=0,0,IF(AC1103=12,0,OFFSET(effect!$N$1,MATCH(K1103,effect!M:M,0)-1,0)))</f>
        <v>0</v>
      </c>
    </row>
    <row r="1104" spans="1:42">
      <c r="A1104" s="153">
        <f ca="1" t="shared" si="186"/>
        <v>2011014</v>
      </c>
      <c r="B1104" s="91" t="s">
        <v>760</v>
      </c>
      <c r="C1104" s="186">
        <v>2</v>
      </c>
      <c r="D1104" s="186">
        <v>5</v>
      </c>
      <c r="E1104" s="165" t="s">
        <v>1058</v>
      </c>
      <c r="F1104" s="165" t="str">
        <f>"上一招为剑法时，增加造成伤害"&amp;skill!$O$76/100&amp;"%护甲"</f>
        <v>上一招为剑法时，增加造成伤害40%护甲</v>
      </c>
      <c r="G1104" s="186">
        <f ca="1">OFFSET(卡牌辅助配置表!$C$1,MATCH(AC1104,卡牌辅助配置表!A:A,0)-1,0)</f>
        <v>0</v>
      </c>
      <c r="H1104" s="186">
        <f ca="1" t="shared" si="185"/>
        <v>0</v>
      </c>
      <c r="I1104" s="186"/>
      <c r="J1104" s="186">
        <f ca="1">OFFSET(card_type!$F$1,MATCH(Q1104,card_type!A:A,0)-1,0)</f>
        <v>2</v>
      </c>
      <c r="K1104" s="243">
        <f ca="1">OFFSET(card_type!$G$1,MATCH(Q1104,card_type!A:A,0)-1,0)</f>
        <v>1</v>
      </c>
      <c r="L1104" s="157">
        <v>2</v>
      </c>
      <c r="M1104" s="157">
        <v>2</v>
      </c>
      <c r="N1104" s="153">
        <f t="shared" si="184"/>
        <v>14</v>
      </c>
      <c r="O1104" s="157"/>
      <c r="P1104" s="157"/>
      <c r="Q1104" s="153">
        <f ca="1">OFFSET(card_type!$A$1,MATCH(card!B1104,card_type!B:B,0)-1,0)</f>
        <v>2011</v>
      </c>
      <c r="R1104" s="153">
        <v>1</v>
      </c>
      <c r="S1104" s="157">
        <f ca="1">ROUND(IF(R1104=0,0,IF(R1104=1,X1104*$S$1,IF(R1104=2,X1104*$S$1*buff的资质计算!$E$2,IF(R1104=3,X1104*$S$1*buff的资质计算!$E$3,0)))),0)*0</f>
        <v>0</v>
      </c>
      <c r="T1104" s="153">
        <v>1</v>
      </c>
      <c r="U1104" s="153">
        <f ca="1" t="shared" si="187"/>
        <v>21</v>
      </c>
      <c r="V1104" s="153">
        <f ca="1">ROUND((OFFSET(卡牌辅助配置表!$O$1,MATCH(U1104,卡牌辅助配置表!M:M,0)-1,0)+(N1104-1)*OFFSET(卡牌辅助配置表!$P$1,MATCH(U1104,卡牌辅助配置表!M:M,0)-1,0))*M1104,2)</f>
        <v>28.45</v>
      </c>
      <c r="W1104" s="157">
        <f ca="1">ROUND(IF(R1104=0,0,IF(R1104=1,X1104*$W$1,IF(R1104=2,X1104*$W$1*buff的资质计算!$E$2,IF(R1104=3,X1104*$W$1*buff的资质计算!$E$3,0)))),2)</f>
        <v>7.95</v>
      </c>
      <c r="X1104" s="157">
        <f ca="1" t="shared" si="182"/>
        <v>26.5</v>
      </c>
      <c r="Y1104" s="157">
        <f ca="1" t="shared" si="181"/>
        <v>26.5</v>
      </c>
      <c r="Z1104" s="304">
        <f ca="1" t="shared" si="183"/>
        <v>13.25</v>
      </c>
      <c r="AA1104" s="304">
        <f ca="1">OFFSET(卡牌辅助配置表!$AD$1,MATCH(AB1104,卡牌辅助配置表!AB:AB,0)-1,0)</f>
        <v>672</v>
      </c>
      <c r="AB1104" s="304">
        <f ca="1" t="shared" si="188"/>
        <v>2114</v>
      </c>
      <c r="AC1104" s="153">
        <v>12</v>
      </c>
      <c r="AF1104" s="153" t="str">
        <f ca="1" t="shared" ref="AF1104:AF1167" si="191">((Q1104*1000+1)*10+1)&amp;$AF$1</f>
        <v>20110011|</v>
      </c>
      <c r="AJ1104" s="205" t="str">
        <f ca="1" t="shared" si="189"/>
        <v>400023|4300|;</v>
      </c>
      <c r="AK1104" s="205">
        <f ca="1">OFFSET([1]item_type!$A$1,MATCH(Q1104,[1]item_type!$G:$G,0)-1,0)</f>
        <v>302011</v>
      </c>
      <c r="AL1104" s="205"/>
      <c r="AM1104" s="205">
        <f ca="1">IF(B1104=B1105,OFFSET(卡牌辅助配置表!$AE$1,MATCH(AB1104,卡牌辅助配置表!AB:AB,0),0),0)</f>
        <v>4300</v>
      </c>
      <c r="AN1104" s="153">
        <f ca="1" t="shared" si="190"/>
        <v>2011015</v>
      </c>
      <c r="AP1104" s="153">
        <f ca="1">IF(AC1104=0,0,IF(AC1104=12,0,OFFSET(effect!$N$1,MATCH(K1104,effect!M:M,0)-1,0)))</f>
        <v>0</v>
      </c>
    </row>
    <row r="1105" spans="1:42">
      <c r="A1105" s="153">
        <f ca="1" t="shared" si="186"/>
        <v>2011015</v>
      </c>
      <c r="B1105" s="91" t="s">
        <v>760</v>
      </c>
      <c r="C1105" s="186">
        <v>2</v>
      </c>
      <c r="D1105" s="186">
        <v>5</v>
      </c>
      <c r="E1105" s="165" t="s">
        <v>1058</v>
      </c>
      <c r="F1105" s="165" t="str">
        <f>"上一招为剑法时，增加造成伤害"&amp;skill!$O$76/100&amp;"%护甲"</f>
        <v>上一招为剑法时，增加造成伤害40%护甲</v>
      </c>
      <c r="G1105" s="186">
        <f ca="1">OFFSET(卡牌辅助配置表!$C$1,MATCH(AC1105,卡牌辅助配置表!A:A,0)-1,0)</f>
        <v>0</v>
      </c>
      <c r="H1105" s="186">
        <f ca="1" t="shared" si="185"/>
        <v>0</v>
      </c>
      <c r="I1105" s="186"/>
      <c r="J1105" s="186">
        <f ca="1">OFFSET(card_type!$F$1,MATCH(Q1105,card_type!A:A,0)-1,0)</f>
        <v>2</v>
      </c>
      <c r="K1105" s="243">
        <f ca="1">OFFSET(card_type!$G$1,MATCH(Q1105,card_type!A:A,0)-1,0)</f>
        <v>1</v>
      </c>
      <c r="L1105" s="157">
        <v>2</v>
      </c>
      <c r="M1105" s="157">
        <v>2</v>
      </c>
      <c r="N1105" s="153">
        <f t="shared" si="184"/>
        <v>15</v>
      </c>
      <c r="O1105" s="157"/>
      <c r="P1105" s="157"/>
      <c r="Q1105" s="153">
        <f ca="1">OFFSET(card_type!$A$1,MATCH(card!B1105,card_type!B:B,0)-1,0)</f>
        <v>2011</v>
      </c>
      <c r="R1105" s="153">
        <v>1</v>
      </c>
      <c r="S1105" s="157">
        <f ca="1">ROUND(IF(R1105=0,0,IF(R1105=1,X1105*$S$1,IF(R1105=2,X1105*$S$1*buff的资质计算!$E$2,IF(R1105=3,X1105*$S$1*buff的资质计算!$E$3,0)))),0)*0</f>
        <v>0</v>
      </c>
      <c r="T1105" s="153">
        <v>1</v>
      </c>
      <c r="U1105" s="153">
        <f ca="1" t="shared" si="187"/>
        <v>21</v>
      </c>
      <c r="V1105" s="153">
        <f ca="1">ROUND((OFFSET(卡牌辅助配置表!$O$1,MATCH(U1105,卡牌辅助配置表!M:M,0)-1,0)+(N1105-1)*OFFSET(卡牌辅助配置表!$P$1,MATCH(U1105,卡牌辅助配置表!M:M,0)-1,0))*M1105,2)</f>
        <v>29.57</v>
      </c>
      <c r="W1105" s="157">
        <f ca="1">ROUND(IF(R1105=0,0,IF(R1105=1,X1105*$W$1,IF(R1105=2,X1105*$W$1*buff的资质计算!$E$2,IF(R1105=3,X1105*$W$1*buff的资质计算!$E$3,0)))),2)</f>
        <v>8.1</v>
      </c>
      <c r="X1105" s="157">
        <f ca="1" t="shared" si="182"/>
        <v>27</v>
      </c>
      <c r="Y1105" s="157">
        <f ca="1" t="shared" si="181"/>
        <v>27</v>
      </c>
      <c r="Z1105" s="304">
        <f ca="1" t="shared" si="183"/>
        <v>13.5</v>
      </c>
      <c r="AA1105" s="304">
        <f ca="1">OFFSET(卡牌辅助配置表!$AD$1,MATCH(AB1105,卡牌辅助配置表!AB:AB,0)-1,0)</f>
        <v>735</v>
      </c>
      <c r="AB1105" s="304">
        <f ca="1" t="shared" si="188"/>
        <v>2115</v>
      </c>
      <c r="AC1105" s="153">
        <v>12</v>
      </c>
      <c r="AF1105" s="153" t="str">
        <f ca="1" t="shared" si="191"/>
        <v>20110011|</v>
      </c>
      <c r="AJ1105" s="205" t="str">
        <f ca="1" t="shared" si="189"/>
        <v>400023|4700|;</v>
      </c>
      <c r="AK1105" s="205">
        <f ca="1">OFFSET([1]item_type!$A$1,MATCH(Q1105,[1]item_type!$G:$G,0)-1,0)</f>
        <v>302011</v>
      </c>
      <c r="AL1105" s="205"/>
      <c r="AM1105" s="205">
        <f ca="1">IF(B1105=B1106,OFFSET(卡牌辅助配置表!$AE$1,MATCH(AB1105,卡牌辅助配置表!AB:AB,0),0),0)</f>
        <v>4700</v>
      </c>
      <c r="AN1105" s="153">
        <f ca="1" t="shared" si="190"/>
        <v>2011016</v>
      </c>
      <c r="AP1105" s="153">
        <f ca="1">IF(AC1105=0,0,IF(AC1105=12,0,OFFSET(effect!$N$1,MATCH(K1105,effect!M:M,0)-1,0)))</f>
        <v>0</v>
      </c>
    </row>
    <row r="1106" spans="1:42">
      <c r="A1106" s="153">
        <f ca="1" t="shared" si="186"/>
        <v>2011016</v>
      </c>
      <c r="B1106" s="91" t="s">
        <v>760</v>
      </c>
      <c r="C1106" s="186">
        <v>2</v>
      </c>
      <c r="D1106" s="186">
        <v>5</v>
      </c>
      <c r="E1106" s="165" t="s">
        <v>1058</v>
      </c>
      <c r="F1106" s="165" t="str">
        <f>"上一招为剑法时，增加造成伤害"&amp;skill!$O$76/100&amp;"%护甲"</f>
        <v>上一招为剑法时，增加造成伤害40%护甲</v>
      </c>
      <c r="G1106" s="186">
        <f ca="1">OFFSET(卡牌辅助配置表!$C$1,MATCH(AC1106,卡牌辅助配置表!A:A,0)-1,0)</f>
        <v>0</v>
      </c>
      <c r="H1106" s="186">
        <f ca="1" t="shared" si="185"/>
        <v>0</v>
      </c>
      <c r="I1106" s="186"/>
      <c r="J1106" s="186">
        <f ca="1">OFFSET(card_type!$F$1,MATCH(Q1106,card_type!A:A,0)-1,0)</f>
        <v>2</v>
      </c>
      <c r="K1106" s="243">
        <f ca="1">OFFSET(card_type!$G$1,MATCH(Q1106,card_type!A:A,0)-1,0)</f>
        <v>1</v>
      </c>
      <c r="L1106" s="157">
        <v>2</v>
      </c>
      <c r="M1106" s="157">
        <v>2</v>
      </c>
      <c r="N1106" s="153">
        <f t="shared" si="184"/>
        <v>16</v>
      </c>
      <c r="O1106" s="157"/>
      <c r="P1106" s="157"/>
      <c r="Q1106" s="153">
        <f ca="1">OFFSET(card_type!$A$1,MATCH(card!B1106,card_type!B:B,0)-1,0)</f>
        <v>2011</v>
      </c>
      <c r="R1106" s="153">
        <v>1</v>
      </c>
      <c r="S1106" s="157">
        <f ca="1">ROUND(IF(R1106=0,0,IF(R1106=1,X1106*$S$1,IF(R1106=2,X1106*$S$1*buff的资质计算!$E$2,IF(R1106=3,X1106*$S$1*buff的资质计算!$E$3,0)))),0)*0</f>
        <v>0</v>
      </c>
      <c r="T1106" s="153">
        <v>1</v>
      </c>
      <c r="U1106" s="153">
        <f ca="1" t="shared" si="187"/>
        <v>21</v>
      </c>
      <c r="V1106" s="153">
        <f ca="1">ROUND((OFFSET(卡牌辅助配置表!$O$1,MATCH(U1106,卡牌辅助配置表!M:M,0)-1,0)+(N1106-1)*OFFSET(卡牌辅助配置表!$P$1,MATCH(U1106,卡牌辅助配置表!M:M,0)-1,0))*M1106,2)</f>
        <v>30.69</v>
      </c>
      <c r="W1106" s="157">
        <f ca="1">ROUND(IF(R1106=0,0,IF(R1106=1,X1106*$W$1,IF(R1106=2,X1106*$W$1*buff的资质计算!$E$2,IF(R1106=3,X1106*$W$1*buff的资质计算!$E$3,0)))),2)</f>
        <v>8.25</v>
      </c>
      <c r="X1106" s="157">
        <f ca="1" t="shared" si="182"/>
        <v>27.5</v>
      </c>
      <c r="Y1106" s="157">
        <f ca="1" t="shared" si="181"/>
        <v>27.5</v>
      </c>
      <c r="Z1106" s="304">
        <f ca="1" t="shared" si="183"/>
        <v>13.75</v>
      </c>
      <c r="AA1106" s="304">
        <f ca="1">OFFSET(卡牌辅助配置表!$AD$1,MATCH(AB1106,卡牌辅助配置表!AB:AB,0)-1,0)</f>
        <v>798</v>
      </c>
      <c r="AB1106" s="304">
        <f ca="1" t="shared" si="188"/>
        <v>2116</v>
      </c>
      <c r="AC1106" s="153">
        <v>12</v>
      </c>
      <c r="AF1106" s="153" t="str">
        <f ca="1" t="shared" si="191"/>
        <v>20110011|</v>
      </c>
      <c r="AJ1106" s="205" t="str">
        <f ca="1" t="shared" si="189"/>
        <v>400023|5100|;</v>
      </c>
      <c r="AK1106" s="205">
        <f ca="1">OFFSET([1]item_type!$A$1,MATCH(Q1106,[1]item_type!$G:$G,0)-1,0)</f>
        <v>302011</v>
      </c>
      <c r="AL1106" s="205"/>
      <c r="AM1106" s="205">
        <f ca="1">IF(B1106=B1107,OFFSET(卡牌辅助配置表!$AE$1,MATCH(AB1106,卡牌辅助配置表!AB:AB,0),0),0)</f>
        <v>5100</v>
      </c>
      <c r="AN1106" s="153">
        <f ca="1" t="shared" si="190"/>
        <v>2011017</v>
      </c>
      <c r="AP1106" s="153">
        <f ca="1">IF(AC1106=0,0,IF(AC1106=12,0,OFFSET(effect!$N$1,MATCH(K1106,effect!M:M,0)-1,0)))</f>
        <v>0</v>
      </c>
    </row>
    <row r="1107" spans="1:42">
      <c r="A1107" s="153">
        <f ca="1" t="shared" si="186"/>
        <v>2011017</v>
      </c>
      <c r="B1107" s="91" t="s">
        <v>760</v>
      </c>
      <c r="C1107" s="186">
        <v>2</v>
      </c>
      <c r="D1107" s="186">
        <v>5</v>
      </c>
      <c r="E1107" s="165" t="s">
        <v>1058</v>
      </c>
      <c r="F1107" s="165" t="str">
        <f>"上一招为剑法时，增加造成伤害"&amp;skill!$O$76/100&amp;"%护甲"</f>
        <v>上一招为剑法时，增加造成伤害40%护甲</v>
      </c>
      <c r="G1107" s="186">
        <f ca="1">OFFSET(卡牌辅助配置表!$C$1,MATCH(AC1107,卡牌辅助配置表!A:A,0)-1,0)</f>
        <v>0</v>
      </c>
      <c r="H1107" s="186">
        <f ca="1" t="shared" si="185"/>
        <v>0</v>
      </c>
      <c r="I1107" s="186"/>
      <c r="J1107" s="186">
        <f ca="1">OFFSET(card_type!$F$1,MATCH(Q1107,card_type!A:A,0)-1,0)</f>
        <v>2</v>
      </c>
      <c r="K1107" s="243">
        <f ca="1">OFFSET(card_type!$G$1,MATCH(Q1107,card_type!A:A,0)-1,0)</f>
        <v>1</v>
      </c>
      <c r="L1107" s="157">
        <v>2</v>
      </c>
      <c r="M1107" s="157">
        <v>2</v>
      </c>
      <c r="N1107" s="153">
        <f t="shared" si="184"/>
        <v>17</v>
      </c>
      <c r="O1107" s="157"/>
      <c r="P1107" s="157"/>
      <c r="Q1107" s="153">
        <f ca="1">OFFSET(card_type!$A$1,MATCH(card!B1107,card_type!B:B,0)-1,0)</f>
        <v>2011</v>
      </c>
      <c r="R1107" s="153">
        <v>1</v>
      </c>
      <c r="S1107" s="157">
        <f ca="1">ROUND(IF(R1107=0,0,IF(R1107=1,X1107*$S$1,IF(R1107=2,X1107*$S$1*buff的资质计算!$E$2,IF(R1107=3,X1107*$S$1*buff的资质计算!$E$3,0)))),0)*0</f>
        <v>0</v>
      </c>
      <c r="T1107" s="153">
        <v>1</v>
      </c>
      <c r="U1107" s="153">
        <f ca="1" t="shared" si="187"/>
        <v>21</v>
      </c>
      <c r="V1107" s="153">
        <f ca="1">ROUND((OFFSET(卡牌辅助配置表!$O$1,MATCH(U1107,卡牌辅助配置表!M:M,0)-1,0)+(N1107-1)*OFFSET(卡牌辅助配置表!$P$1,MATCH(U1107,卡牌辅助配置表!M:M,0)-1,0))*M1107,2)</f>
        <v>31.81</v>
      </c>
      <c r="W1107" s="157">
        <f ca="1">ROUND(IF(R1107=0,0,IF(R1107=1,X1107*$W$1,IF(R1107=2,X1107*$W$1*buff的资质计算!$E$2,IF(R1107=3,X1107*$W$1*buff的资质计算!$E$3,0)))),2)</f>
        <v>8.4</v>
      </c>
      <c r="X1107" s="157">
        <f ca="1" t="shared" si="182"/>
        <v>28</v>
      </c>
      <c r="Y1107" s="157">
        <f ca="1" t="shared" ref="Y1107:Y1170" si="192">X1107+H1107</f>
        <v>28</v>
      </c>
      <c r="Z1107" s="304">
        <f ca="1" t="shared" si="183"/>
        <v>14</v>
      </c>
      <c r="AA1107" s="304">
        <f ca="1">OFFSET(卡牌辅助配置表!$AD$1,MATCH(AB1107,卡牌辅助配置表!AB:AB,0)-1,0)</f>
        <v>861</v>
      </c>
      <c r="AB1107" s="304">
        <f ca="1" t="shared" si="188"/>
        <v>2117</v>
      </c>
      <c r="AC1107" s="153">
        <v>12</v>
      </c>
      <c r="AF1107" s="153" t="str">
        <f ca="1" t="shared" si="191"/>
        <v>20110011|</v>
      </c>
      <c r="AJ1107" s="205" t="str">
        <f ca="1" t="shared" si="189"/>
        <v>400023|5500|;</v>
      </c>
      <c r="AK1107" s="205">
        <f ca="1">OFFSET([1]item_type!$A$1,MATCH(Q1107,[1]item_type!$G:$G,0)-1,0)</f>
        <v>302011</v>
      </c>
      <c r="AL1107" s="205"/>
      <c r="AM1107" s="205">
        <f ca="1">IF(B1107=B1108,OFFSET(卡牌辅助配置表!$AE$1,MATCH(AB1107,卡牌辅助配置表!AB:AB,0),0),0)</f>
        <v>5500</v>
      </c>
      <c r="AN1107" s="153">
        <f ca="1" t="shared" si="190"/>
        <v>2011018</v>
      </c>
      <c r="AP1107" s="153">
        <f ca="1">IF(AC1107=0,0,IF(AC1107=12,0,OFFSET(effect!$N$1,MATCH(K1107,effect!M:M,0)-1,0)))</f>
        <v>0</v>
      </c>
    </row>
    <row r="1108" spans="1:42">
      <c r="A1108" s="153">
        <f ca="1" t="shared" si="186"/>
        <v>2011018</v>
      </c>
      <c r="B1108" s="91" t="s">
        <v>760</v>
      </c>
      <c r="C1108" s="186">
        <v>2</v>
      </c>
      <c r="D1108" s="186">
        <v>5</v>
      </c>
      <c r="E1108" s="165" t="s">
        <v>1058</v>
      </c>
      <c r="F1108" s="165" t="str">
        <f>"上一招为剑法时，增加造成伤害"&amp;skill!$O$76/100&amp;"%护甲"</f>
        <v>上一招为剑法时，增加造成伤害40%护甲</v>
      </c>
      <c r="G1108" s="186">
        <f ca="1">OFFSET(卡牌辅助配置表!$C$1,MATCH(AC1108,卡牌辅助配置表!A:A,0)-1,0)</f>
        <v>0</v>
      </c>
      <c r="H1108" s="186">
        <f ca="1" t="shared" si="185"/>
        <v>0</v>
      </c>
      <c r="I1108" s="186"/>
      <c r="J1108" s="186">
        <f ca="1">OFFSET(card_type!$F$1,MATCH(Q1108,card_type!A:A,0)-1,0)</f>
        <v>2</v>
      </c>
      <c r="K1108" s="243">
        <f ca="1">OFFSET(card_type!$G$1,MATCH(Q1108,card_type!A:A,0)-1,0)</f>
        <v>1</v>
      </c>
      <c r="L1108" s="157">
        <v>2</v>
      </c>
      <c r="M1108" s="157">
        <v>2</v>
      </c>
      <c r="N1108" s="153">
        <f t="shared" si="184"/>
        <v>18</v>
      </c>
      <c r="O1108" s="157"/>
      <c r="P1108" s="157"/>
      <c r="Q1108" s="153">
        <f ca="1">OFFSET(card_type!$A$1,MATCH(card!B1108,card_type!B:B,0)-1,0)</f>
        <v>2011</v>
      </c>
      <c r="R1108" s="153">
        <v>1</v>
      </c>
      <c r="S1108" s="157">
        <f ca="1">ROUND(IF(R1108=0,0,IF(R1108=1,X1108*$S$1,IF(R1108=2,X1108*$S$1*buff的资质计算!$E$2,IF(R1108=3,X1108*$S$1*buff的资质计算!$E$3,0)))),0)*0</f>
        <v>0</v>
      </c>
      <c r="T1108" s="153">
        <v>1</v>
      </c>
      <c r="U1108" s="153">
        <f ca="1" t="shared" si="187"/>
        <v>21</v>
      </c>
      <c r="V1108" s="153">
        <f ca="1">ROUND((OFFSET(卡牌辅助配置表!$O$1,MATCH(U1108,卡牌辅助配置表!M:M,0)-1,0)+(N1108-1)*OFFSET(卡牌辅助配置表!$P$1,MATCH(U1108,卡牌辅助配置表!M:M,0)-1,0))*M1108,2)</f>
        <v>32.93</v>
      </c>
      <c r="W1108" s="157">
        <f ca="1">ROUND(IF(R1108=0,0,IF(R1108=1,X1108*$W$1,IF(R1108=2,X1108*$W$1*buff的资质计算!$E$2,IF(R1108=3,X1108*$W$1*buff的资质计算!$E$3,0)))),2)</f>
        <v>8.55</v>
      </c>
      <c r="X1108" s="157">
        <f ca="1" t="shared" si="182"/>
        <v>28.5</v>
      </c>
      <c r="Y1108" s="157">
        <f ca="1" t="shared" si="192"/>
        <v>28.5</v>
      </c>
      <c r="Z1108" s="304">
        <f ca="1" t="shared" si="183"/>
        <v>14.25</v>
      </c>
      <c r="AA1108" s="304">
        <f ca="1">OFFSET(卡牌辅助配置表!$AD$1,MATCH(AB1108,卡牌辅助配置表!AB:AB,0)-1,0)</f>
        <v>924</v>
      </c>
      <c r="AB1108" s="304">
        <f ca="1" t="shared" si="188"/>
        <v>2118</v>
      </c>
      <c r="AC1108" s="153">
        <v>12</v>
      </c>
      <c r="AF1108" s="153" t="str">
        <f ca="1" t="shared" si="191"/>
        <v>20110011|</v>
      </c>
      <c r="AJ1108" s="205" t="str">
        <f ca="1" t="shared" si="189"/>
        <v>400023|5900|;</v>
      </c>
      <c r="AK1108" s="205">
        <f ca="1">OFFSET([1]item_type!$A$1,MATCH(Q1108,[1]item_type!$G:$G,0)-1,0)</f>
        <v>302011</v>
      </c>
      <c r="AL1108" s="205"/>
      <c r="AM1108" s="205">
        <f ca="1">IF(B1108=B1109,OFFSET(卡牌辅助配置表!$AE$1,MATCH(AB1108,卡牌辅助配置表!AB:AB,0),0),0)</f>
        <v>5900</v>
      </c>
      <c r="AN1108" s="153">
        <f ca="1" t="shared" si="190"/>
        <v>2011019</v>
      </c>
      <c r="AP1108" s="153">
        <f ca="1">IF(AC1108=0,0,IF(AC1108=12,0,OFFSET(effect!$N$1,MATCH(K1108,effect!M:M,0)-1,0)))</f>
        <v>0</v>
      </c>
    </row>
    <row r="1109" spans="1:42">
      <c r="A1109" s="153">
        <f ca="1" t="shared" si="186"/>
        <v>2011019</v>
      </c>
      <c r="B1109" s="91" t="s">
        <v>760</v>
      </c>
      <c r="C1109" s="186">
        <v>2</v>
      </c>
      <c r="D1109" s="186">
        <v>5</v>
      </c>
      <c r="E1109" s="165" t="s">
        <v>1058</v>
      </c>
      <c r="F1109" s="165" t="str">
        <f>"上一招为剑法时，增加造成伤害"&amp;skill!$O$76/100&amp;"%护甲"</f>
        <v>上一招为剑法时，增加造成伤害40%护甲</v>
      </c>
      <c r="G1109" s="186">
        <f ca="1">OFFSET(卡牌辅助配置表!$C$1,MATCH(AC1109,卡牌辅助配置表!A:A,0)-1,0)</f>
        <v>0</v>
      </c>
      <c r="H1109" s="186">
        <f ca="1" t="shared" si="185"/>
        <v>0</v>
      </c>
      <c r="I1109" s="186"/>
      <c r="J1109" s="186">
        <f ca="1">OFFSET(card_type!$F$1,MATCH(Q1109,card_type!A:A,0)-1,0)</f>
        <v>2</v>
      </c>
      <c r="K1109" s="243">
        <f ca="1">OFFSET(card_type!$G$1,MATCH(Q1109,card_type!A:A,0)-1,0)</f>
        <v>1</v>
      </c>
      <c r="L1109" s="157">
        <v>2</v>
      </c>
      <c r="M1109" s="157">
        <v>2</v>
      </c>
      <c r="N1109" s="153">
        <f t="shared" si="184"/>
        <v>19</v>
      </c>
      <c r="O1109" s="157"/>
      <c r="P1109" s="157"/>
      <c r="Q1109" s="153">
        <f ca="1">OFFSET(card_type!$A$1,MATCH(card!B1109,card_type!B:B,0)-1,0)</f>
        <v>2011</v>
      </c>
      <c r="R1109" s="153">
        <v>1</v>
      </c>
      <c r="S1109" s="157">
        <f ca="1">ROUND(IF(R1109=0,0,IF(R1109=1,X1109*$S$1,IF(R1109=2,X1109*$S$1*buff的资质计算!$E$2,IF(R1109=3,X1109*$S$1*buff的资质计算!$E$3,0)))),0)*0</f>
        <v>0</v>
      </c>
      <c r="T1109" s="153">
        <v>1</v>
      </c>
      <c r="U1109" s="153">
        <f ca="1" t="shared" si="187"/>
        <v>21</v>
      </c>
      <c r="V1109" s="153">
        <f ca="1">ROUND((OFFSET(卡牌辅助配置表!$O$1,MATCH(U1109,卡牌辅助配置表!M:M,0)-1,0)+(N1109-1)*OFFSET(卡牌辅助配置表!$P$1,MATCH(U1109,卡牌辅助配置表!M:M,0)-1,0))*M1109,2)</f>
        <v>34.06</v>
      </c>
      <c r="W1109" s="157">
        <f ca="1">ROUND(IF(R1109=0,0,IF(R1109=1,X1109*$W$1,IF(R1109=2,X1109*$W$1*buff的资质计算!$E$2,IF(R1109=3,X1109*$W$1*buff的资质计算!$E$3,0)))),2)</f>
        <v>8.7</v>
      </c>
      <c r="X1109" s="157">
        <f ca="1" t="shared" si="182"/>
        <v>29</v>
      </c>
      <c r="Y1109" s="157">
        <f ca="1" t="shared" si="192"/>
        <v>29</v>
      </c>
      <c r="Z1109" s="304">
        <f ca="1" t="shared" si="183"/>
        <v>14.5</v>
      </c>
      <c r="AA1109" s="304">
        <f ca="1">OFFSET(卡牌辅助配置表!$AD$1,MATCH(AB1109,卡牌辅助配置表!AB:AB,0)-1,0)</f>
        <v>987</v>
      </c>
      <c r="AB1109" s="304">
        <f ca="1" t="shared" si="188"/>
        <v>2119</v>
      </c>
      <c r="AC1109" s="153">
        <v>12</v>
      </c>
      <c r="AF1109" s="153" t="str">
        <f ca="1" t="shared" si="191"/>
        <v>20110011|</v>
      </c>
      <c r="AJ1109" s="205" t="str">
        <f ca="1" t="shared" si="189"/>
        <v>302011|20|;400023|6300|;</v>
      </c>
      <c r="AK1109" s="205">
        <f ca="1">OFFSET([1]item_type!$A$1,MATCH(Q1109,[1]item_type!$G:$G,0)-1,0)</f>
        <v>302011</v>
      </c>
      <c r="AL1109" s="205">
        <v>20</v>
      </c>
      <c r="AM1109" s="205">
        <f ca="1">IF(B1109=B1110,OFFSET(卡牌辅助配置表!$AE$1,MATCH(AB1109,卡牌辅助配置表!AB:AB,0),0),0)</f>
        <v>6300</v>
      </c>
      <c r="AN1109" s="153">
        <f ca="1" t="shared" si="190"/>
        <v>2011020</v>
      </c>
      <c r="AP1109" s="153">
        <f ca="1">IF(AC1109=0,0,IF(AC1109=12,0,OFFSET(effect!$N$1,MATCH(K1109,effect!M:M,0)-1,0)))</f>
        <v>0</v>
      </c>
    </row>
    <row r="1110" spans="1:42">
      <c r="A1110" s="153">
        <f ca="1" t="shared" si="186"/>
        <v>2011020</v>
      </c>
      <c r="B1110" s="91" t="s">
        <v>760</v>
      </c>
      <c r="C1110" s="186">
        <v>2</v>
      </c>
      <c r="D1110" s="186">
        <v>5</v>
      </c>
      <c r="E1110" s="165" t="s">
        <v>1058</v>
      </c>
      <c r="F1110" s="165" t="str">
        <f>"上一招为剑法时，增加造成伤害"&amp;skill!$O$76/100&amp;"%护甲"</f>
        <v>上一招为剑法时，增加造成伤害40%护甲</v>
      </c>
      <c r="G1110" s="186">
        <f ca="1">OFFSET(卡牌辅助配置表!$C$1,MATCH(AC1110,卡牌辅助配置表!A:A,0)-1,0)</f>
        <v>0</v>
      </c>
      <c r="H1110" s="186">
        <f ca="1" t="shared" si="185"/>
        <v>0</v>
      </c>
      <c r="I1110" s="186"/>
      <c r="J1110" s="186">
        <f ca="1">OFFSET(card_type!$F$1,MATCH(Q1110,card_type!A:A,0)-1,0)</f>
        <v>2</v>
      </c>
      <c r="K1110" s="243">
        <f ca="1">OFFSET(card_type!$G$1,MATCH(Q1110,card_type!A:A,0)-1,0)</f>
        <v>1</v>
      </c>
      <c r="L1110" s="157">
        <v>2</v>
      </c>
      <c r="M1110" s="157">
        <v>2</v>
      </c>
      <c r="N1110" s="153">
        <f t="shared" si="184"/>
        <v>20</v>
      </c>
      <c r="O1110" s="157"/>
      <c r="P1110" s="157"/>
      <c r="Q1110" s="153">
        <f ca="1">OFFSET(card_type!$A$1,MATCH(card!B1110,card_type!B:B,0)-1,0)</f>
        <v>2011</v>
      </c>
      <c r="R1110" s="153">
        <v>1</v>
      </c>
      <c r="S1110" s="157">
        <f ca="1">ROUND(IF(R1110=0,0,IF(R1110=1,X1110*$S$1,IF(R1110=2,X1110*$S$1*buff的资质计算!$E$2,IF(R1110=3,X1110*$S$1*buff的资质计算!$E$3,0)))),0)*0</f>
        <v>0</v>
      </c>
      <c r="T1110" s="153">
        <v>1</v>
      </c>
      <c r="U1110" s="153">
        <f ca="1" t="shared" si="187"/>
        <v>21</v>
      </c>
      <c r="V1110" s="153">
        <f ca="1">ROUND((OFFSET(卡牌辅助配置表!$O$1,MATCH(U1110,卡牌辅助配置表!M:M,0)-1,0)+(N1110-1)*OFFSET(卡牌辅助配置表!$P$1,MATCH(U1110,卡牌辅助配置表!M:M,0)-1,0))*M1110,2)</f>
        <v>35.18</v>
      </c>
      <c r="W1110" s="157">
        <f ca="1">ROUND(IF(R1110=0,0,IF(R1110=1,X1110*$W$1,IF(R1110=2,X1110*$W$1*buff的资质计算!$E$2,IF(R1110=3,X1110*$W$1*buff的资质计算!$E$3,0)))),2)</f>
        <v>8.85</v>
      </c>
      <c r="X1110" s="157">
        <f ca="1" t="shared" si="182"/>
        <v>29.5</v>
      </c>
      <c r="Y1110" s="157">
        <f ca="1" t="shared" si="192"/>
        <v>29.5</v>
      </c>
      <c r="Z1110" s="304">
        <f ca="1" t="shared" si="183"/>
        <v>14.75</v>
      </c>
      <c r="AA1110" s="304">
        <f ca="1">OFFSET(卡牌辅助配置表!$AD$1,MATCH(AB1110,卡牌辅助配置表!AB:AB,0)-1,0)</f>
        <v>1050</v>
      </c>
      <c r="AB1110" s="304">
        <f ca="1" t="shared" si="188"/>
        <v>2120</v>
      </c>
      <c r="AC1110" s="153">
        <v>12</v>
      </c>
      <c r="AF1110" s="153" t="str">
        <f ca="1" t="shared" si="191"/>
        <v>20110011|</v>
      </c>
      <c r="AJ1110" s="205" t="str">
        <f ca="1" t="shared" si="189"/>
        <v>400023|7100|;</v>
      </c>
      <c r="AK1110" s="205">
        <f ca="1">OFFSET([1]item_type!$A$1,MATCH(Q1110,[1]item_type!$G:$G,0)-1,0)</f>
        <v>302011</v>
      </c>
      <c r="AL1110" s="205"/>
      <c r="AM1110" s="205">
        <f ca="1">IF(B1110=B1111,OFFSET(卡牌辅助配置表!$AE$1,MATCH(AB1110,卡牌辅助配置表!AB:AB,0),0),0)</f>
        <v>7100</v>
      </c>
      <c r="AN1110" s="153">
        <f ca="1" t="shared" si="190"/>
        <v>2011021</v>
      </c>
      <c r="AP1110" s="153">
        <f ca="1">IF(AC1110=0,0,IF(AC1110=12,0,OFFSET(effect!$N$1,MATCH(K1110,effect!M:M,0)-1,0)))</f>
        <v>0</v>
      </c>
    </row>
    <row r="1111" spans="1:42">
      <c r="A1111" s="153">
        <f ca="1" t="shared" si="186"/>
        <v>2011021</v>
      </c>
      <c r="B1111" s="91" t="s">
        <v>760</v>
      </c>
      <c r="C1111" s="186">
        <v>2</v>
      </c>
      <c r="D1111" s="186">
        <v>5</v>
      </c>
      <c r="E1111" s="165" t="s">
        <v>1058</v>
      </c>
      <c r="F1111" s="165" t="str">
        <f>"上一招为剑法时，增加造成伤害"&amp;skill!$O$76/100&amp;"%护甲"</f>
        <v>上一招为剑法时，增加造成伤害40%护甲</v>
      </c>
      <c r="G1111" s="186">
        <f ca="1">OFFSET(卡牌辅助配置表!$C$1,MATCH(AC1111,卡牌辅助配置表!A:A,0)-1,0)</f>
        <v>0</v>
      </c>
      <c r="H1111" s="186">
        <f ca="1" t="shared" si="185"/>
        <v>0</v>
      </c>
      <c r="I1111" s="186"/>
      <c r="J1111" s="186">
        <f ca="1">OFFSET(card_type!$F$1,MATCH(Q1111,card_type!A:A,0)-1,0)</f>
        <v>2</v>
      </c>
      <c r="K1111" s="243">
        <f ca="1">OFFSET(card_type!$G$1,MATCH(Q1111,card_type!A:A,0)-1,0)</f>
        <v>1</v>
      </c>
      <c r="L1111" s="157">
        <v>2</v>
      </c>
      <c r="M1111" s="157">
        <v>2</v>
      </c>
      <c r="N1111" s="153">
        <f t="shared" si="184"/>
        <v>21</v>
      </c>
      <c r="O1111" s="157"/>
      <c r="P1111" s="157"/>
      <c r="Q1111" s="153">
        <f ca="1">OFFSET(card_type!$A$1,MATCH(card!B1111,card_type!B:B,0)-1,0)</f>
        <v>2011</v>
      </c>
      <c r="R1111" s="153">
        <v>1</v>
      </c>
      <c r="S1111" s="157">
        <f ca="1">ROUND(IF(R1111=0,0,IF(R1111=1,X1111*$S$1,IF(R1111=2,X1111*$S$1*buff的资质计算!$E$2,IF(R1111=3,X1111*$S$1*buff的资质计算!$E$3,0)))),0)*0</f>
        <v>0</v>
      </c>
      <c r="T1111" s="153">
        <v>1</v>
      </c>
      <c r="U1111" s="153">
        <f ca="1" t="shared" si="187"/>
        <v>21</v>
      </c>
      <c r="V1111" s="153">
        <f ca="1">ROUND((OFFSET(卡牌辅助配置表!$O$1,MATCH(U1111,卡牌辅助配置表!M:M,0)-1,0)+(N1111-1)*OFFSET(卡牌辅助配置表!$P$1,MATCH(U1111,卡牌辅助配置表!M:M,0)-1,0))*M1111,2)</f>
        <v>36.3</v>
      </c>
      <c r="W1111" s="157">
        <f ca="1">ROUND(IF(R1111=0,0,IF(R1111=1,X1111*$W$1,IF(R1111=2,X1111*$W$1*buff的资质计算!$E$2,IF(R1111=3,X1111*$W$1*buff的资质计算!$E$3,0)))),2)</f>
        <v>9</v>
      </c>
      <c r="X1111" s="157">
        <f ca="1" t="shared" si="182"/>
        <v>30</v>
      </c>
      <c r="Y1111" s="157">
        <f ca="1" t="shared" si="192"/>
        <v>30</v>
      </c>
      <c r="Z1111" s="304">
        <f ca="1" t="shared" si="183"/>
        <v>15</v>
      </c>
      <c r="AA1111" s="304">
        <f ca="1">OFFSET(卡牌辅助配置表!$AD$1,MATCH(AB1111,卡牌辅助配置表!AB:AB,0)-1,0)</f>
        <v>1135</v>
      </c>
      <c r="AB1111" s="304">
        <f ca="1" t="shared" si="188"/>
        <v>2121</v>
      </c>
      <c r="AC1111" s="153">
        <v>12</v>
      </c>
      <c r="AF1111" s="153" t="str">
        <f ca="1" t="shared" si="191"/>
        <v>20110011|</v>
      </c>
      <c r="AJ1111" s="205" t="str">
        <f ca="1" t="shared" si="189"/>
        <v>400023|7900|;</v>
      </c>
      <c r="AK1111" s="205">
        <f ca="1">OFFSET([1]item_type!$A$1,MATCH(Q1111,[1]item_type!$G:$G,0)-1,0)</f>
        <v>302011</v>
      </c>
      <c r="AL1111" s="205"/>
      <c r="AM1111" s="205">
        <f ca="1">IF(B1111=B1112,OFFSET(卡牌辅助配置表!$AE$1,MATCH(AB1111,卡牌辅助配置表!AB:AB,0),0),0)</f>
        <v>7900</v>
      </c>
      <c r="AN1111" s="153">
        <f ca="1" t="shared" si="190"/>
        <v>2011022</v>
      </c>
      <c r="AP1111" s="153">
        <f ca="1">IF(AC1111=0,0,IF(AC1111=12,0,OFFSET(effect!$N$1,MATCH(K1111,effect!M:M,0)-1,0)))</f>
        <v>0</v>
      </c>
    </row>
    <row r="1112" spans="1:42">
      <c r="A1112" s="153">
        <f ca="1" t="shared" si="186"/>
        <v>2011022</v>
      </c>
      <c r="B1112" s="91" t="s">
        <v>760</v>
      </c>
      <c r="C1112" s="186">
        <v>2</v>
      </c>
      <c r="D1112" s="186">
        <v>5</v>
      </c>
      <c r="E1112" s="165" t="s">
        <v>1058</v>
      </c>
      <c r="F1112" s="165" t="str">
        <f>"上一招为剑法时，增加造成伤害"&amp;skill!$O$76/100&amp;"%护甲"</f>
        <v>上一招为剑法时，增加造成伤害40%护甲</v>
      </c>
      <c r="G1112" s="186">
        <f ca="1">OFFSET(卡牌辅助配置表!$C$1,MATCH(AC1112,卡牌辅助配置表!A:A,0)-1,0)</f>
        <v>0</v>
      </c>
      <c r="H1112" s="186">
        <f ca="1" t="shared" si="185"/>
        <v>0</v>
      </c>
      <c r="I1112" s="186"/>
      <c r="J1112" s="186">
        <f ca="1">OFFSET(card_type!$F$1,MATCH(Q1112,card_type!A:A,0)-1,0)</f>
        <v>2</v>
      </c>
      <c r="K1112" s="243">
        <f ca="1">OFFSET(card_type!$G$1,MATCH(Q1112,card_type!A:A,0)-1,0)</f>
        <v>1</v>
      </c>
      <c r="L1112" s="157">
        <v>2</v>
      </c>
      <c r="M1112" s="157">
        <v>2</v>
      </c>
      <c r="N1112" s="153">
        <f t="shared" si="184"/>
        <v>22</v>
      </c>
      <c r="O1112" s="157"/>
      <c r="P1112" s="157"/>
      <c r="Q1112" s="153">
        <f ca="1">OFFSET(card_type!$A$1,MATCH(card!B1112,card_type!B:B,0)-1,0)</f>
        <v>2011</v>
      </c>
      <c r="R1112" s="153">
        <v>1</v>
      </c>
      <c r="S1112" s="157">
        <f ca="1">ROUND(IF(R1112=0,0,IF(R1112=1,X1112*$S$1,IF(R1112=2,X1112*$S$1*buff的资质计算!$E$2,IF(R1112=3,X1112*$S$1*buff的资质计算!$E$3,0)))),0)*0</f>
        <v>0</v>
      </c>
      <c r="T1112" s="153">
        <v>1</v>
      </c>
      <c r="U1112" s="153">
        <f ca="1" t="shared" si="187"/>
        <v>21</v>
      </c>
      <c r="V1112" s="153">
        <f ca="1">ROUND((OFFSET(卡牌辅助配置表!$O$1,MATCH(U1112,卡牌辅助配置表!M:M,0)-1,0)+(N1112-1)*OFFSET(卡牌辅助配置表!$P$1,MATCH(U1112,卡牌辅助配置表!M:M,0)-1,0))*M1112,2)</f>
        <v>37.42</v>
      </c>
      <c r="W1112" s="157">
        <f ca="1">ROUND(IF(R1112=0,0,IF(R1112=1,X1112*$W$1,IF(R1112=2,X1112*$W$1*buff的资质计算!$E$2,IF(R1112=3,X1112*$W$1*buff的资质计算!$E$3,0)))),2)</f>
        <v>9.15</v>
      </c>
      <c r="X1112" s="157">
        <f ca="1" t="shared" si="182"/>
        <v>30.5</v>
      </c>
      <c r="Y1112" s="157">
        <f ca="1" t="shared" si="192"/>
        <v>30.5</v>
      </c>
      <c r="Z1112" s="304">
        <f ca="1" t="shared" si="183"/>
        <v>15.25</v>
      </c>
      <c r="AA1112" s="304">
        <f ca="1">OFFSET(卡牌辅助配置表!$AD$1,MATCH(AB1112,卡牌辅助配置表!AB:AB,0)-1,0)</f>
        <v>1220</v>
      </c>
      <c r="AB1112" s="304">
        <f ca="1" t="shared" si="188"/>
        <v>2122</v>
      </c>
      <c r="AC1112" s="153">
        <v>12</v>
      </c>
      <c r="AF1112" s="153" t="str">
        <f ca="1" t="shared" si="191"/>
        <v>20110011|</v>
      </c>
      <c r="AJ1112" s="205" t="str">
        <f ca="1" t="shared" si="189"/>
        <v>400023|8700|;</v>
      </c>
      <c r="AK1112" s="205">
        <f ca="1">OFFSET([1]item_type!$A$1,MATCH(Q1112,[1]item_type!$G:$G,0)-1,0)</f>
        <v>302011</v>
      </c>
      <c r="AL1112" s="205"/>
      <c r="AM1112" s="205">
        <f ca="1">IF(B1112=B1113,OFFSET(卡牌辅助配置表!$AE$1,MATCH(AB1112,卡牌辅助配置表!AB:AB,0),0),0)</f>
        <v>8700</v>
      </c>
      <c r="AN1112" s="153">
        <f ca="1" t="shared" si="190"/>
        <v>2011023</v>
      </c>
      <c r="AP1112" s="153">
        <f ca="1">IF(AC1112=0,0,IF(AC1112=12,0,OFFSET(effect!$N$1,MATCH(K1112,effect!M:M,0)-1,0)))</f>
        <v>0</v>
      </c>
    </row>
    <row r="1113" spans="1:42">
      <c r="A1113" s="153">
        <f ca="1" t="shared" si="186"/>
        <v>2011023</v>
      </c>
      <c r="B1113" s="91" t="s">
        <v>760</v>
      </c>
      <c r="C1113" s="186">
        <v>2</v>
      </c>
      <c r="D1113" s="186">
        <v>5</v>
      </c>
      <c r="E1113" s="165" t="s">
        <v>1058</v>
      </c>
      <c r="F1113" s="165" t="str">
        <f>"上一招为剑法时，增加造成伤害"&amp;skill!$O$76/100&amp;"%护甲"</f>
        <v>上一招为剑法时，增加造成伤害40%护甲</v>
      </c>
      <c r="G1113" s="186">
        <f ca="1">OFFSET(卡牌辅助配置表!$C$1,MATCH(AC1113,卡牌辅助配置表!A:A,0)-1,0)</f>
        <v>0</v>
      </c>
      <c r="H1113" s="186">
        <f ca="1" t="shared" si="185"/>
        <v>0</v>
      </c>
      <c r="I1113" s="186"/>
      <c r="J1113" s="186">
        <f ca="1">OFFSET(card_type!$F$1,MATCH(Q1113,card_type!A:A,0)-1,0)</f>
        <v>2</v>
      </c>
      <c r="K1113" s="243">
        <f ca="1">OFFSET(card_type!$G$1,MATCH(Q1113,card_type!A:A,0)-1,0)</f>
        <v>1</v>
      </c>
      <c r="L1113" s="157">
        <v>2</v>
      </c>
      <c r="M1113" s="157">
        <v>2</v>
      </c>
      <c r="N1113" s="153">
        <f t="shared" si="184"/>
        <v>23</v>
      </c>
      <c r="O1113" s="157"/>
      <c r="P1113" s="157"/>
      <c r="Q1113" s="153">
        <f ca="1">OFFSET(card_type!$A$1,MATCH(card!B1113,card_type!B:B,0)-1,0)</f>
        <v>2011</v>
      </c>
      <c r="R1113" s="153">
        <v>1</v>
      </c>
      <c r="S1113" s="157">
        <f ca="1">ROUND(IF(R1113=0,0,IF(R1113=1,X1113*$S$1,IF(R1113=2,X1113*$S$1*buff的资质计算!$E$2,IF(R1113=3,X1113*$S$1*buff的资质计算!$E$3,0)))),0)*0</f>
        <v>0</v>
      </c>
      <c r="T1113" s="153">
        <v>1</v>
      </c>
      <c r="U1113" s="153">
        <f ca="1" t="shared" si="187"/>
        <v>21</v>
      </c>
      <c r="V1113" s="153">
        <f ca="1">ROUND((OFFSET(卡牌辅助配置表!$O$1,MATCH(U1113,卡牌辅助配置表!M:M,0)-1,0)+(N1113-1)*OFFSET(卡牌辅助配置表!$P$1,MATCH(U1113,卡牌辅助配置表!M:M,0)-1,0))*M1113,2)</f>
        <v>38.54</v>
      </c>
      <c r="W1113" s="157">
        <f ca="1">ROUND(IF(R1113=0,0,IF(R1113=1,X1113*$W$1,IF(R1113=2,X1113*$W$1*buff的资质计算!$E$2,IF(R1113=3,X1113*$W$1*buff的资质计算!$E$3,0)))),2)</f>
        <v>9.3</v>
      </c>
      <c r="X1113" s="157">
        <f ca="1" t="shared" si="182"/>
        <v>31</v>
      </c>
      <c r="Y1113" s="157">
        <f ca="1" t="shared" si="192"/>
        <v>31</v>
      </c>
      <c r="Z1113" s="304">
        <f ca="1" t="shared" si="183"/>
        <v>15.5</v>
      </c>
      <c r="AA1113" s="304">
        <f ca="1">OFFSET(卡牌辅助配置表!$AD$1,MATCH(AB1113,卡牌辅助配置表!AB:AB,0)-1,0)</f>
        <v>1305</v>
      </c>
      <c r="AB1113" s="304">
        <f ca="1" t="shared" si="188"/>
        <v>2123</v>
      </c>
      <c r="AC1113" s="153">
        <v>12</v>
      </c>
      <c r="AF1113" s="153" t="str">
        <f ca="1" t="shared" si="191"/>
        <v>20110011|</v>
      </c>
      <c r="AJ1113" s="205" t="str">
        <f ca="1" t="shared" si="189"/>
        <v>400023|9500|;</v>
      </c>
      <c r="AK1113" s="205">
        <f ca="1">OFFSET([1]item_type!$A$1,MATCH(Q1113,[1]item_type!$G:$G,0)-1,0)</f>
        <v>302011</v>
      </c>
      <c r="AL1113" s="205"/>
      <c r="AM1113" s="205">
        <f ca="1">IF(B1113=B1114,OFFSET(卡牌辅助配置表!$AE$1,MATCH(AB1113,卡牌辅助配置表!AB:AB,0),0),0)</f>
        <v>9500</v>
      </c>
      <c r="AN1113" s="153">
        <f ca="1" t="shared" si="190"/>
        <v>2011024</v>
      </c>
      <c r="AP1113" s="153">
        <f ca="1">IF(AC1113=0,0,IF(AC1113=12,0,OFFSET(effect!$N$1,MATCH(K1113,effect!M:M,0)-1,0)))</f>
        <v>0</v>
      </c>
    </row>
    <row r="1114" spans="1:42">
      <c r="A1114" s="153">
        <f ca="1" t="shared" si="186"/>
        <v>2011024</v>
      </c>
      <c r="B1114" s="91" t="s">
        <v>760</v>
      </c>
      <c r="C1114" s="186">
        <v>2</v>
      </c>
      <c r="D1114" s="186">
        <v>5</v>
      </c>
      <c r="E1114" s="165" t="s">
        <v>1058</v>
      </c>
      <c r="F1114" s="165" t="str">
        <f>"上一招为剑法时，增加造成伤害"&amp;skill!$O$76/100&amp;"%护甲"</f>
        <v>上一招为剑法时，增加造成伤害40%护甲</v>
      </c>
      <c r="G1114" s="186">
        <f ca="1">OFFSET(卡牌辅助配置表!$C$1,MATCH(AC1114,卡牌辅助配置表!A:A,0)-1,0)</f>
        <v>0</v>
      </c>
      <c r="H1114" s="186">
        <f ca="1" t="shared" si="185"/>
        <v>0</v>
      </c>
      <c r="I1114" s="186"/>
      <c r="J1114" s="186">
        <f ca="1">OFFSET(card_type!$F$1,MATCH(Q1114,card_type!A:A,0)-1,0)</f>
        <v>2</v>
      </c>
      <c r="K1114" s="243">
        <f ca="1">OFFSET(card_type!$G$1,MATCH(Q1114,card_type!A:A,0)-1,0)</f>
        <v>1</v>
      </c>
      <c r="L1114" s="157">
        <v>2</v>
      </c>
      <c r="M1114" s="157">
        <v>2</v>
      </c>
      <c r="N1114" s="153">
        <f t="shared" si="184"/>
        <v>24</v>
      </c>
      <c r="O1114" s="157"/>
      <c r="P1114" s="157"/>
      <c r="Q1114" s="153">
        <f ca="1">OFFSET(card_type!$A$1,MATCH(card!B1114,card_type!B:B,0)-1,0)</f>
        <v>2011</v>
      </c>
      <c r="R1114" s="153">
        <v>1</v>
      </c>
      <c r="S1114" s="157">
        <f ca="1">ROUND(IF(R1114=0,0,IF(R1114=1,X1114*$S$1,IF(R1114=2,X1114*$S$1*buff的资质计算!$E$2,IF(R1114=3,X1114*$S$1*buff的资质计算!$E$3,0)))),0)*0</f>
        <v>0</v>
      </c>
      <c r="T1114" s="153">
        <v>1</v>
      </c>
      <c r="U1114" s="153">
        <f ca="1" t="shared" si="187"/>
        <v>21</v>
      </c>
      <c r="V1114" s="153">
        <f ca="1">ROUND((OFFSET(卡牌辅助配置表!$O$1,MATCH(U1114,卡牌辅助配置表!M:M,0)-1,0)+(N1114-1)*OFFSET(卡牌辅助配置表!$P$1,MATCH(U1114,卡牌辅助配置表!M:M,0)-1,0))*M1114,2)</f>
        <v>39.67</v>
      </c>
      <c r="W1114" s="157">
        <f ca="1">ROUND(IF(R1114=0,0,IF(R1114=1,X1114*$W$1,IF(R1114=2,X1114*$W$1*buff的资质计算!$E$2,IF(R1114=3,X1114*$W$1*buff的资质计算!$E$3,0)))),2)</f>
        <v>9.45</v>
      </c>
      <c r="X1114" s="157">
        <f ca="1" t="shared" si="182"/>
        <v>31.5</v>
      </c>
      <c r="Y1114" s="157">
        <f ca="1" t="shared" si="192"/>
        <v>31.5</v>
      </c>
      <c r="Z1114" s="304">
        <f ca="1" t="shared" si="183"/>
        <v>15.75</v>
      </c>
      <c r="AA1114" s="304">
        <f ca="1">OFFSET(卡牌辅助配置表!$AD$1,MATCH(AB1114,卡牌辅助配置表!AB:AB,0)-1,0)</f>
        <v>1390</v>
      </c>
      <c r="AB1114" s="304">
        <f ca="1" t="shared" si="188"/>
        <v>2124</v>
      </c>
      <c r="AC1114" s="153">
        <v>12</v>
      </c>
      <c r="AF1114" s="153" t="str">
        <f ca="1" t="shared" si="191"/>
        <v>20110011|</v>
      </c>
      <c r="AJ1114" s="205" t="str">
        <f ca="1" t="shared" si="189"/>
        <v>400023|10300|;</v>
      </c>
      <c r="AK1114" s="205">
        <f ca="1">OFFSET([1]item_type!$A$1,MATCH(Q1114,[1]item_type!$G:$G,0)-1,0)</f>
        <v>302011</v>
      </c>
      <c r="AL1114" s="205"/>
      <c r="AM1114" s="205">
        <f ca="1">IF(B1114=B1115,OFFSET(卡牌辅助配置表!$AE$1,MATCH(AB1114,卡牌辅助配置表!AB:AB,0),0),0)</f>
        <v>10300</v>
      </c>
      <c r="AN1114" s="153">
        <f ca="1" t="shared" si="190"/>
        <v>2011025</v>
      </c>
      <c r="AP1114" s="153">
        <f ca="1">IF(AC1114=0,0,IF(AC1114=12,0,OFFSET(effect!$N$1,MATCH(K1114,effect!M:M,0)-1,0)))</f>
        <v>0</v>
      </c>
    </row>
    <row r="1115" spans="1:42">
      <c r="A1115" s="153">
        <f ca="1" t="shared" si="186"/>
        <v>2011025</v>
      </c>
      <c r="B1115" s="91" t="s">
        <v>760</v>
      </c>
      <c r="C1115" s="186">
        <v>2</v>
      </c>
      <c r="D1115" s="186">
        <v>5</v>
      </c>
      <c r="E1115" s="165" t="s">
        <v>1058</v>
      </c>
      <c r="F1115" s="165" t="str">
        <f>"上一招为剑法时，增加造成伤害"&amp;skill!$O$76/100&amp;"%护甲"</f>
        <v>上一招为剑法时，增加造成伤害40%护甲</v>
      </c>
      <c r="G1115" s="186">
        <f ca="1">OFFSET(卡牌辅助配置表!$C$1,MATCH(AC1115,卡牌辅助配置表!A:A,0)-1,0)</f>
        <v>0</v>
      </c>
      <c r="H1115" s="186">
        <f ca="1" t="shared" si="185"/>
        <v>0</v>
      </c>
      <c r="I1115" s="186"/>
      <c r="J1115" s="186">
        <f ca="1">OFFSET(card_type!$F$1,MATCH(Q1115,card_type!A:A,0)-1,0)</f>
        <v>2</v>
      </c>
      <c r="K1115" s="243">
        <f ca="1">OFFSET(card_type!$G$1,MATCH(Q1115,card_type!A:A,0)-1,0)</f>
        <v>1</v>
      </c>
      <c r="L1115" s="157">
        <v>2</v>
      </c>
      <c r="M1115" s="157">
        <v>2</v>
      </c>
      <c r="N1115" s="153">
        <f t="shared" si="184"/>
        <v>25</v>
      </c>
      <c r="O1115" s="157"/>
      <c r="P1115" s="157"/>
      <c r="Q1115" s="153">
        <f ca="1">OFFSET(card_type!$A$1,MATCH(card!B1115,card_type!B:B,0)-1,0)</f>
        <v>2011</v>
      </c>
      <c r="R1115" s="153">
        <v>1</v>
      </c>
      <c r="S1115" s="157">
        <f ca="1">ROUND(IF(R1115=0,0,IF(R1115=1,X1115*$S$1,IF(R1115=2,X1115*$S$1*buff的资质计算!$E$2,IF(R1115=3,X1115*$S$1*buff的资质计算!$E$3,0)))),0)*0</f>
        <v>0</v>
      </c>
      <c r="T1115" s="153">
        <v>1</v>
      </c>
      <c r="U1115" s="153">
        <f ca="1" t="shared" si="187"/>
        <v>21</v>
      </c>
      <c r="V1115" s="153">
        <f ca="1">ROUND((OFFSET(卡牌辅助配置表!$O$1,MATCH(U1115,卡牌辅助配置表!M:M,0)-1,0)+(N1115-1)*OFFSET(卡牌辅助配置表!$P$1,MATCH(U1115,卡牌辅助配置表!M:M,0)-1,0))*M1115,2)</f>
        <v>40.79</v>
      </c>
      <c r="W1115" s="157">
        <f ca="1">ROUND(IF(R1115=0,0,IF(R1115=1,X1115*$W$1,IF(R1115=2,X1115*$W$1*buff的资质计算!$E$2,IF(R1115=3,X1115*$W$1*buff的资质计算!$E$3,0)))),2)</f>
        <v>9.6</v>
      </c>
      <c r="X1115" s="157">
        <f ca="1" t="shared" si="182"/>
        <v>32</v>
      </c>
      <c r="Y1115" s="157">
        <f ca="1" t="shared" si="192"/>
        <v>32</v>
      </c>
      <c r="Z1115" s="304">
        <f ca="1" t="shared" si="183"/>
        <v>16</v>
      </c>
      <c r="AA1115" s="304">
        <f ca="1">OFFSET(卡牌辅助配置表!$AD$1,MATCH(AB1115,卡牌辅助配置表!AB:AB,0)-1,0)</f>
        <v>1475</v>
      </c>
      <c r="AB1115" s="304">
        <f ca="1" t="shared" si="188"/>
        <v>2125</v>
      </c>
      <c r="AC1115" s="153">
        <v>12</v>
      </c>
      <c r="AF1115" s="153" t="str">
        <f ca="1" t="shared" si="191"/>
        <v>20110011|</v>
      </c>
      <c r="AJ1115" s="205" t="str">
        <f ca="1" t="shared" si="189"/>
        <v>400023|11100|;</v>
      </c>
      <c r="AK1115" s="205">
        <f ca="1">OFFSET([1]item_type!$A$1,MATCH(Q1115,[1]item_type!$G:$G,0)-1,0)</f>
        <v>302011</v>
      </c>
      <c r="AL1115" s="205"/>
      <c r="AM1115" s="205">
        <f ca="1">IF(B1115=B1116,OFFSET(卡牌辅助配置表!$AE$1,MATCH(AB1115,卡牌辅助配置表!AB:AB,0),0),0)</f>
        <v>11100</v>
      </c>
      <c r="AN1115" s="153">
        <f ca="1" t="shared" si="190"/>
        <v>2011026</v>
      </c>
      <c r="AP1115" s="153">
        <f ca="1">IF(AC1115=0,0,IF(AC1115=12,0,OFFSET(effect!$N$1,MATCH(K1115,effect!M:M,0)-1,0)))</f>
        <v>0</v>
      </c>
    </row>
    <row r="1116" spans="1:42">
      <c r="A1116" s="153">
        <f ca="1" t="shared" si="186"/>
        <v>2011026</v>
      </c>
      <c r="B1116" s="91" t="s">
        <v>760</v>
      </c>
      <c r="C1116" s="186">
        <v>2</v>
      </c>
      <c r="D1116" s="186">
        <v>5</v>
      </c>
      <c r="E1116" s="165" t="s">
        <v>1058</v>
      </c>
      <c r="F1116" s="165" t="str">
        <f>"上一招为剑法时，增加造成伤害"&amp;skill!$O$76/100&amp;"%护甲"</f>
        <v>上一招为剑法时，增加造成伤害40%护甲</v>
      </c>
      <c r="G1116" s="186">
        <f ca="1">OFFSET(卡牌辅助配置表!$C$1,MATCH(AC1116,卡牌辅助配置表!A:A,0)-1,0)</f>
        <v>0</v>
      </c>
      <c r="H1116" s="186">
        <f ca="1" t="shared" si="185"/>
        <v>0</v>
      </c>
      <c r="I1116" s="186"/>
      <c r="J1116" s="186">
        <f ca="1">OFFSET(card_type!$F$1,MATCH(Q1116,card_type!A:A,0)-1,0)</f>
        <v>2</v>
      </c>
      <c r="K1116" s="243">
        <f ca="1">OFFSET(card_type!$G$1,MATCH(Q1116,card_type!A:A,0)-1,0)</f>
        <v>1</v>
      </c>
      <c r="L1116" s="157">
        <v>2</v>
      </c>
      <c r="M1116" s="157">
        <v>2</v>
      </c>
      <c r="N1116" s="153">
        <f t="shared" si="184"/>
        <v>26</v>
      </c>
      <c r="O1116" s="157"/>
      <c r="P1116" s="157"/>
      <c r="Q1116" s="153">
        <f ca="1">OFFSET(card_type!$A$1,MATCH(card!B1116,card_type!B:B,0)-1,0)</f>
        <v>2011</v>
      </c>
      <c r="R1116" s="153">
        <v>1</v>
      </c>
      <c r="S1116" s="157">
        <f ca="1">ROUND(IF(R1116=0,0,IF(R1116=1,X1116*$S$1,IF(R1116=2,X1116*$S$1*buff的资质计算!$E$2,IF(R1116=3,X1116*$S$1*buff的资质计算!$E$3,0)))),0)*0</f>
        <v>0</v>
      </c>
      <c r="T1116" s="153">
        <v>1</v>
      </c>
      <c r="U1116" s="153">
        <f ca="1" t="shared" si="187"/>
        <v>21</v>
      </c>
      <c r="V1116" s="153">
        <f ca="1">ROUND((OFFSET(卡牌辅助配置表!$O$1,MATCH(U1116,卡牌辅助配置表!M:M,0)-1,0)+(N1116-1)*OFFSET(卡牌辅助配置表!$P$1,MATCH(U1116,卡牌辅助配置表!M:M,0)-1,0))*M1116,2)</f>
        <v>41.91</v>
      </c>
      <c r="W1116" s="157">
        <f ca="1">ROUND(IF(R1116=0,0,IF(R1116=1,X1116*$W$1,IF(R1116=2,X1116*$W$1*buff的资质计算!$E$2,IF(R1116=3,X1116*$W$1*buff的资质计算!$E$3,0)))),2)</f>
        <v>9.75</v>
      </c>
      <c r="X1116" s="157">
        <f ca="1" t="shared" si="182"/>
        <v>32.5</v>
      </c>
      <c r="Y1116" s="157">
        <f ca="1" t="shared" si="192"/>
        <v>32.5</v>
      </c>
      <c r="Z1116" s="304">
        <f ca="1" t="shared" si="183"/>
        <v>16.25</v>
      </c>
      <c r="AA1116" s="304">
        <f ca="1">OFFSET(卡牌辅助配置表!$AD$1,MATCH(AB1116,卡牌辅助配置表!AB:AB,0)-1,0)</f>
        <v>1560</v>
      </c>
      <c r="AB1116" s="304">
        <f ca="1" t="shared" si="188"/>
        <v>2126</v>
      </c>
      <c r="AC1116" s="153">
        <v>12</v>
      </c>
      <c r="AF1116" s="153" t="str">
        <f ca="1" t="shared" si="191"/>
        <v>20110011|</v>
      </c>
      <c r="AJ1116" s="205" t="str">
        <f ca="1" t="shared" si="189"/>
        <v>400023|11900|;</v>
      </c>
      <c r="AK1116" s="205">
        <f ca="1">OFFSET([1]item_type!$A$1,MATCH(Q1116,[1]item_type!$G:$G,0)-1,0)</f>
        <v>302011</v>
      </c>
      <c r="AL1116" s="205"/>
      <c r="AM1116" s="205">
        <f ca="1">IF(B1116=B1117,OFFSET(卡牌辅助配置表!$AE$1,MATCH(AB1116,卡牌辅助配置表!AB:AB,0),0),0)</f>
        <v>11900</v>
      </c>
      <c r="AN1116" s="153">
        <f ca="1" t="shared" si="190"/>
        <v>2011027</v>
      </c>
      <c r="AP1116" s="153">
        <f ca="1">IF(AC1116=0,0,IF(AC1116=12,0,OFFSET(effect!$N$1,MATCH(K1116,effect!M:M,0)-1,0)))</f>
        <v>0</v>
      </c>
    </row>
    <row r="1117" spans="1:42">
      <c r="A1117" s="153">
        <f ca="1" t="shared" si="186"/>
        <v>2011027</v>
      </c>
      <c r="B1117" s="91" t="s">
        <v>760</v>
      </c>
      <c r="C1117" s="186">
        <v>2</v>
      </c>
      <c r="D1117" s="186">
        <v>5</v>
      </c>
      <c r="E1117" s="165" t="s">
        <v>1058</v>
      </c>
      <c r="F1117" s="165" t="str">
        <f>"上一招为剑法时，增加造成伤害"&amp;skill!$O$76/100&amp;"%护甲"</f>
        <v>上一招为剑法时，增加造成伤害40%护甲</v>
      </c>
      <c r="G1117" s="186">
        <f ca="1">OFFSET(卡牌辅助配置表!$C$1,MATCH(AC1117,卡牌辅助配置表!A:A,0)-1,0)</f>
        <v>0</v>
      </c>
      <c r="H1117" s="186">
        <f ca="1" t="shared" si="185"/>
        <v>0</v>
      </c>
      <c r="I1117" s="186"/>
      <c r="J1117" s="186">
        <f ca="1">OFFSET(card_type!$F$1,MATCH(Q1117,card_type!A:A,0)-1,0)</f>
        <v>2</v>
      </c>
      <c r="K1117" s="243">
        <f ca="1">OFFSET(card_type!$G$1,MATCH(Q1117,card_type!A:A,0)-1,0)</f>
        <v>1</v>
      </c>
      <c r="L1117" s="157">
        <v>2</v>
      </c>
      <c r="M1117" s="157">
        <v>2</v>
      </c>
      <c r="N1117" s="153">
        <f t="shared" si="184"/>
        <v>27</v>
      </c>
      <c r="O1117" s="157"/>
      <c r="P1117" s="157"/>
      <c r="Q1117" s="153">
        <f ca="1">OFFSET(card_type!$A$1,MATCH(card!B1117,card_type!B:B,0)-1,0)</f>
        <v>2011</v>
      </c>
      <c r="R1117" s="153">
        <v>1</v>
      </c>
      <c r="S1117" s="157">
        <f ca="1">ROUND(IF(R1117=0,0,IF(R1117=1,X1117*$S$1,IF(R1117=2,X1117*$S$1*buff的资质计算!$E$2,IF(R1117=3,X1117*$S$1*buff的资质计算!$E$3,0)))),0)*0</f>
        <v>0</v>
      </c>
      <c r="T1117" s="153">
        <v>1</v>
      </c>
      <c r="U1117" s="153">
        <f ca="1" t="shared" si="187"/>
        <v>21</v>
      </c>
      <c r="V1117" s="153">
        <f ca="1">ROUND((OFFSET(卡牌辅助配置表!$O$1,MATCH(U1117,卡牌辅助配置表!M:M,0)-1,0)+(N1117-1)*OFFSET(卡牌辅助配置表!$P$1,MATCH(U1117,卡牌辅助配置表!M:M,0)-1,0))*M1117,2)</f>
        <v>43.03</v>
      </c>
      <c r="W1117" s="157">
        <f ca="1">ROUND(IF(R1117=0,0,IF(R1117=1,X1117*$W$1,IF(R1117=2,X1117*$W$1*buff的资质计算!$E$2,IF(R1117=3,X1117*$W$1*buff的资质计算!$E$3,0)))),2)</f>
        <v>9.9</v>
      </c>
      <c r="X1117" s="157">
        <f ca="1" t="shared" si="182"/>
        <v>33</v>
      </c>
      <c r="Y1117" s="157">
        <f ca="1" t="shared" si="192"/>
        <v>33</v>
      </c>
      <c r="Z1117" s="304">
        <f ca="1" t="shared" si="183"/>
        <v>16.5</v>
      </c>
      <c r="AA1117" s="304">
        <f ca="1">OFFSET(卡牌辅助配置表!$AD$1,MATCH(AB1117,卡牌辅助配置表!AB:AB,0)-1,0)</f>
        <v>1645</v>
      </c>
      <c r="AB1117" s="304">
        <f ca="1" t="shared" si="188"/>
        <v>2127</v>
      </c>
      <c r="AC1117" s="153">
        <v>12</v>
      </c>
      <c r="AF1117" s="153" t="str">
        <f ca="1" t="shared" si="191"/>
        <v>20110011|</v>
      </c>
      <c r="AJ1117" s="205" t="str">
        <f ca="1" t="shared" si="189"/>
        <v>400023|12700|;</v>
      </c>
      <c r="AK1117" s="205">
        <f ca="1">OFFSET([1]item_type!$A$1,MATCH(Q1117,[1]item_type!$G:$G,0)-1,0)</f>
        <v>302011</v>
      </c>
      <c r="AL1117" s="205"/>
      <c r="AM1117" s="205">
        <f ca="1">IF(B1117=B1118,OFFSET(卡牌辅助配置表!$AE$1,MATCH(AB1117,卡牌辅助配置表!AB:AB,0),0),0)</f>
        <v>12700</v>
      </c>
      <c r="AN1117" s="153">
        <f ca="1" t="shared" si="190"/>
        <v>2011028</v>
      </c>
      <c r="AP1117" s="153">
        <f ca="1">IF(AC1117=0,0,IF(AC1117=12,0,OFFSET(effect!$N$1,MATCH(K1117,effect!M:M,0)-1,0)))</f>
        <v>0</v>
      </c>
    </row>
    <row r="1118" spans="1:42">
      <c r="A1118" s="153">
        <f ca="1" t="shared" si="186"/>
        <v>2011028</v>
      </c>
      <c r="B1118" s="91" t="s">
        <v>760</v>
      </c>
      <c r="C1118" s="186">
        <v>2</v>
      </c>
      <c r="D1118" s="186">
        <v>5</v>
      </c>
      <c r="E1118" s="165" t="s">
        <v>1058</v>
      </c>
      <c r="F1118" s="165" t="str">
        <f>"上一招为剑法时，增加造成伤害"&amp;skill!$O$76/100&amp;"%护甲"</f>
        <v>上一招为剑法时，增加造成伤害40%护甲</v>
      </c>
      <c r="G1118" s="186">
        <f ca="1">OFFSET(卡牌辅助配置表!$C$1,MATCH(AC1118,卡牌辅助配置表!A:A,0)-1,0)</f>
        <v>0</v>
      </c>
      <c r="H1118" s="186">
        <f ca="1" t="shared" si="185"/>
        <v>0</v>
      </c>
      <c r="I1118" s="186"/>
      <c r="J1118" s="186">
        <f ca="1">OFFSET(card_type!$F$1,MATCH(Q1118,card_type!A:A,0)-1,0)</f>
        <v>2</v>
      </c>
      <c r="K1118" s="243">
        <f ca="1">OFFSET(card_type!$G$1,MATCH(Q1118,card_type!A:A,0)-1,0)</f>
        <v>1</v>
      </c>
      <c r="L1118" s="157">
        <v>2</v>
      </c>
      <c r="M1118" s="157">
        <v>2</v>
      </c>
      <c r="N1118" s="153">
        <f t="shared" si="184"/>
        <v>28</v>
      </c>
      <c r="O1118" s="157"/>
      <c r="P1118" s="157"/>
      <c r="Q1118" s="153">
        <f ca="1">OFFSET(card_type!$A$1,MATCH(card!B1118,card_type!B:B,0)-1,0)</f>
        <v>2011</v>
      </c>
      <c r="R1118" s="153">
        <v>1</v>
      </c>
      <c r="S1118" s="157">
        <f ca="1">ROUND(IF(R1118=0,0,IF(R1118=1,X1118*$S$1,IF(R1118=2,X1118*$S$1*buff的资质计算!$E$2,IF(R1118=3,X1118*$S$1*buff的资质计算!$E$3,0)))),0)*0</f>
        <v>0</v>
      </c>
      <c r="T1118" s="153">
        <v>1</v>
      </c>
      <c r="U1118" s="153">
        <f ca="1" t="shared" si="187"/>
        <v>21</v>
      </c>
      <c r="V1118" s="153">
        <f ca="1">ROUND((OFFSET(卡牌辅助配置表!$O$1,MATCH(U1118,卡牌辅助配置表!M:M,0)-1,0)+(N1118-1)*OFFSET(卡牌辅助配置表!$P$1,MATCH(U1118,卡牌辅助配置表!M:M,0)-1,0))*M1118,2)</f>
        <v>44.15</v>
      </c>
      <c r="W1118" s="157">
        <f ca="1">ROUND(IF(R1118=0,0,IF(R1118=1,X1118*$W$1,IF(R1118=2,X1118*$W$1*buff的资质计算!$E$2,IF(R1118=3,X1118*$W$1*buff的资质计算!$E$3,0)))),2)</f>
        <v>10.05</v>
      </c>
      <c r="X1118" s="157">
        <f ca="1" t="shared" si="182"/>
        <v>33.5</v>
      </c>
      <c r="Y1118" s="157">
        <f ca="1" t="shared" si="192"/>
        <v>33.5</v>
      </c>
      <c r="Z1118" s="304">
        <f ca="1" t="shared" si="183"/>
        <v>16.75</v>
      </c>
      <c r="AA1118" s="304">
        <f ca="1">OFFSET(卡牌辅助配置表!$AD$1,MATCH(AB1118,卡牌辅助配置表!AB:AB,0)-1,0)</f>
        <v>1730</v>
      </c>
      <c r="AB1118" s="304">
        <f ca="1" t="shared" si="188"/>
        <v>2128</v>
      </c>
      <c r="AC1118" s="153">
        <v>12</v>
      </c>
      <c r="AF1118" s="153" t="str">
        <f ca="1" t="shared" si="191"/>
        <v>20110011|</v>
      </c>
      <c r="AJ1118" s="205" t="str">
        <f ca="1" t="shared" si="189"/>
        <v>400023|13500|;</v>
      </c>
      <c r="AK1118" s="205">
        <f ca="1">OFFSET([1]item_type!$A$1,MATCH(Q1118,[1]item_type!$G:$G,0)-1,0)</f>
        <v>302011</v>
      </c>
      <c r="AL1118" s="205"/>
      <c r="AM1118" s="205">
        <f ca="1">IF(B1118=B1119,OFFSET(卡牌辅助配置表!$AE$1,MATCH(AB1118,卡牌辅助配置表!AB:AB,0),0),0)</f>
        <v>13500</v>
      </c>
      <c r="AN1118" s="153">
        <f ca="1" t="shared" si="190"/>
        <v>2011029</v>
      </c>
      <c r="AP1118" s="153">
        <f ca="1">IF(AC1118=0,0,IF(AC1118=12,0,OFFSET(effect!$N$1,MATCH(K1118,effect!M:M,0)-1,0)))</f>
        <v>0</v>
      </c>
    </row>
    <row r="1119" spans="1:42">
      <c r="A1119" s="153">
        <f ca="1" t="shared" si="186"/>
        <v>2011029</v>
      </c>
      <c r="B1119" s="91" t="s">
        <v>760</v>
      </c>
      <c r="C1119" s="186">
        <v>2</v>
      </c>
      <c r="D1119" s="186">
        <v>5</v>
      </c>
      <c r="E1119" s="165" t="s">
        <v>1058</v>
      </c>
      <c r="F1119" s="165" t="str">
        <f>"上一招为剑法时，增加造成伤害"&amp;skill!$O$76/100&amp;"%护甲"</f>
        <v>上一招为剑法时，增加造成伤害40%护甲</v>
      </c>
      <c r="G1119" s="186">
        <f ca="1">OFFSET(卡牌辅助配置表!$C$1,MATCH(AC1119,卡牌辅助配置表!A:A,0)-1,0)</f>
        <v>0</v>
      </c>
      <c r="H1119" s="186">
        <f ca="1" t="shared" si="185"/>
        <v>0</v>
      </c>
      <c r="I1119" s="186"/>
      <c r="J1119" s="186">
        <f ca="1">OFFSET(card_type!$F$1,MATCH(Q1119,card_type!A:A,0)-1,0)</f>
        <v>2</v>
      </c>
      <c r="K1119" s="243">
        <f ca="1">OFFSET(card_type!$G$1,MATCH(Q1119,card_type!A:A,0)-1,0)</f>
        <v>1</v>
      </c>
      <c r="L1119" s="157">
        <v>2</v>
      </c>
      <c r="M1119" s="157">
        <v>2</v>
      </c>
      <c r="N1119" s="153">
        <f t="shared" si="184"/>
        <v>29</v>
      </c>
      <c r="O1119" s="157"/>
      <c r="P1119" s="157"/>
      <c r="Q1119" s="153">
        <f ca="1">OFFSET(card_type!$A$1,MATCH(card!B1119,card_type!B:B,0)-1,0)</f>
        <v>2011</v>
      </c>
      <c r="R1119" s="153">
        <v>1</v>
      </c>
      <c r="S1119" s="157">
        <f ca="1">ROUND(IF(R1119=0,0,IF(R1119=1,X1119*$S$1,IF(R1119=2,X1119*$S$1*buff的资质计算!$E$2,IF(R1119=3,X1119*$S$1*buff的资质计算!$E$3,0)))),0)*0</f>
        <v>0</v>
      </c>
      <c r="T1119" s="153">
        <v>1</v>
      </c>
      <c r="U1119" s="153">
        <f ca="1" t="shared" si="187"/>
        <v>21</v>
      </c>
      <c r="V1119" s="153">
        <f ca="1">ROUND((OFFSET(卡牌辅助配置表!$O$1,MATCH(U1119,卡牌辅助配置表!M:M,0)-1,0)+(N1119-1)*OFFSET(卡牌辅助配置表!$P$1,MATCH(U1119,卡牌辅助配置表!M:M,0)-1,0))*M1119,2)</f>
        <v>45.28</v>
      </c>
      <c r="W1119" s="157">
        <f ca="1">ROUND(IF(R1119=0,0,IF(R1119=1,X1119*$W$1,IF(R1119=2,X1119*$W$1*buff的资质计算!$E$2,IF(R1119=3,X1119*$W$1*buff的资质计算!$E$3,0)))),2)</f>
        <v>10.2</v>
      </c>
      <c r="X1119" s="157">
        <f ca="1" t="shared" si="182"/>
        <v>34</v>
      </c>
      <c r="Y1119" s="157">
        <f ca="1" t="shared" si="192"/>
        <v>34</v>
      </c>
      <c r="Z1119" s="304">
        <f ca="1" t="shared" si="183"/>
        <v>17</v>
      </c>
      <c r="AA1119" s="304">
        <f ca="1">OFFSET(卡牌辅助配置表!$AD$1,MATCH(AB1119,卡牌辅助配置表!AB:AB,0)-1,0)</f>
        <v>1815</v>
      </c>
      <c r="AB1119" s="304">
        <f ca="1" t="shared" si="188"/>
        <v>2129</v>
      </c>
      <c r="AC1119" s="153">
        <v>12</v>
      </c>
      <c r="AF1119" s="153" t="str">
        <f ca="1" t="shared" si="191"/>
        <v>20110011|</v>
      </c>
      <c r="AJ1119" s="205" t="str">
        <f ca="1" t="shared" si="189"/>
        <v>302011|30|;400023|14300|;</v>
      </c>
      <c r="AK1119" s="205">
        <f ca="1">OFFSET([1]item_type!$A$1,MATCH(Q1119,[1]item_type!$G:$G,0)-1,0)</f>
        <v>302011</v>
      </c>
      <c r="AL1119" s="205">
        <v>30</v>
      </c>
      <c r="AM1119" s="205">
        <f ca="1">IF(B1119=B1120,OFFSET(卡牌辅助配置表!$AE$1,MATCH(AB1119,卡牌辅助配置表!AB:AB,0),0),0)</f>
        <v>14300</v>
      </c>
      <c r="AN1119" s="153">
        <f ca="1" t="shared" si="190"/>
        <v>2011030</v>
      </c>
      <c r="AP1119" s="153">
        <f ca="1">IF(AC1119=0,0,IF(AC1119=12,0,OFFSET(effect!$N$1,MATCH(K1119,effect!M:M,0)-1,0)))</f>
        <v>0</v>
      </c>
    </row>
    <row r="1120" spans="1:42">
      <c r="A1120" s="153">
        <f ca="1" t="shared" si="186"/>
        <v>2011030</v>
      </c>
      <c r="B1120" s="91" t="s">
        <v>760</v>
      </c>
      <c r="C1120" s="186">
        <v>2</v>
      </c>
      <c r="D1120" s="186">
        <v>5</v>
      </c>
      <c r="E1120" s="165" t="s">
        <v>1058</v>
      </c>
      <c r="F1120" s="165" t="str">
        <f>"上一招为剑法时，增加造成伤害"&amp;skill!$O$76/100&amp;"%护甲"</f>
        <v>上一招为剑法时，增加造成伤害40%护甲</v>
      </c>
      <c r="G1120" s="186">
        <f ca="1">OFFSET(卡牌辅助配置表!$C$1,MATCH(AC1120,卡牌辅助配置表!A:A,0)-1,0)</f>
        <v>0</v>
      </c>
      <c r="H1120" s="186">
        <f ca="1" t="shared" si="185"/>
        <v>0</v>
      </c>
      <c r="I1120" s="186"/>
      <c r="J1120" s="186">
        <f ca="1">OFFSET(card_type!$F$1,MATCH(Q1120,card_type!A:A,0)-1,0)</f>
        <v>2</v>
      </c>
      <c r="K1120" s="243">
        <f ca="1">OFFSET(card_type!$G$1,MATCH(Q1120,card_type!A:A,0)-1,0)</f>
        <v>1</v>
      </c>
      <c r="L1120" s="157">
        <v>2</v>
      </c>
      <c r="M1120" s="157">
        <v>2</v>
      </c>
      <c r="N1120" s="153">
        <f t="shared" si="184"/>
        <v>30</v>
      </c>
      <c r="O1120" s="157"/>
      <c r="P1120" s="157"/>
      <c r="Q1120" s="153">
        <f ca="1">OFFSET(card_type!$A$1,MATCH(card!B1120,card_type!B:B,0)-1,0)</f>
        <v>2011</v>
      </c>
      <c r="R1120" s="153">
        <v>1</v>
      </c>
      <c r="S1120" s="157">
        <f ca="1">ROUND(IF(R1120=0,0,IF(R1120=1,X1120*$S$1,IF(R1120=2,X1120*$S$1*buff的资质计算!$E$2,IF(R1120=3,X1120*$S$1*buff的资质计算!$E$3,0)))),0)*0</f>
        <v>0</v>
      </c>
      <c r="T1120" s="153">
        <v>1</v>
      </c>
      <c r="U1120" s="153">
        <f ca="1" t="shared" si="187"/>
        <v>21</v>
      </c>
      <c r="V1120" s="153">
        <f ca="1">ROUND((OFFSET(卡牌辅助配置表!$O$1,MATCH(U1120,卡牌辅助配置表!M:M,0)-1,0)+(N1120-1)*OFFSET(卡牌辅助配置表!$P$1,MATCH(U1120,卡牌辅助配置表!M:M,0)-1,0))*M1120,2)</f>
        <v>46.4</v>
      </c>
      <c r="W1120" s="157">
        <f ca="1">ROUND(IF(R1120=0,0,IF(R1120=1,X1120*$W$1,IF(R1120=2,X1120*$W$1*buff的资质计算!$E$2,IF(R1120=3,X1120*$W$1*buff的资质计算!$E$3,0)))),2)</f>
        <v>10.35</v>
      </c>
      <c r="X1120" s="157">
        <f ca="1" t="shared" si="182"/>
        <v>34.5</v>
      </c>
      <c r="Y1120" s="157">
        <f ca="1" t="shared" si="192"/>
        <v>34.5</v>
      </c>
      <c r="Z1120" s="304">
        <f ca="1" t="shared" si="183"/>
        <v>17.25</v>
      </c>
      <c r="AA1120" s="304">
        <f ca="1">OFFSET(卡牌辅助配置表!$AD$1,MATCH(AB1120,卡牌辅助配置表!AB:AB,0)-1,0)</f>
        <v>1900</v>
      </c>
      <c r="AB1120" s="304">
        <f ca="1" t="shared" si="188"/>
        <v>2130</v>
      </c>
      <c r="AC1120" s="153">
        <v>12</v>
      </c>
      <c r="AF1120" s="153" t="str">
        <f ca="1" t="shared" si="191"/>
        <v>20110011|</v>
      </c>
      <c r="AJ1120" s="205">
        <f ca="1" t="shared" si="189"/>
        <v>0</v>
      </c>
      <c r="AK1120" s="205">
        <f ca="1">OFFSET([1]item_type!$A$1,MATCH(Q1120,[1]item_type!$G:$G,0)-1,0)</f>
        <v>302011</v>
      </c>
      <c r="AL1120" s="205"/>
      <c r="AM1120" s="205">
        <f ca="1">IF(B1120=B1121,OFFSET(卡牌辅助配置表!$AE$1,MATCH(AB1120,卡牌辅助配置表!AB:AB,0),0),0)</f>
        <v>0</v>
      </c>
      <c r="AN1120" s="153">
        <f ca="1" t="shared" si="190"/>
        <v>0</v>
      </c>
      <c r="AP1120" s="153">
        <f ca="1">IF(AC1120=0,0,IF(AC1120=12,0,OFFSET(effect!$N$1,MATCH(K1120,effect!M:M,0)-1,0)))</f>
        <v>0</v>
      </c>
    </row>
    <row r="1121" spans="1:42">
      <c r="A1121" s="153">
        <f ca="1" t="shared" si="186"/>
        <v>2012001</v>
      </c>
      <c r="B1121" s="91" t="s">
        <v>486</v>
      </c>
      <c r="C1121" s="186">
        <v>2</v>
      </c>
      <c r="D1121" s="186">
        <v>1</v>
      </c>
      <c r="E1121" s="165" t="s">
        <v>1058</v>
      </c>
      <c r="F1121" s="165" t="str">
        <f>"第一招打出时，增加"&amp;skill!$O$77/100&amp;"%伤害"</f>
        <v>第一招打出时，增加40%伤害</v>
      </c>
      <c r="G1121" s="186">
        <f ca="1">OFFSET(卡牌辅助配置表!$C$1,MATCH(AC1121,卡牌辅助配置表!A:A,0)-1,0)</f>
        <v>3</v>
      </c>
      <c r="H1121" s="186">
        <f ca="1" t="shared" si="185"/>
        <v>0</v>
      </c>
      <c r="I1121" s="186"/>
      <c r="J1121" s="186">
        <f ca="1">OFFSET(card_type!$F$1,MATCH(Q1121,card_type!A:A,0)-1,0)</f>
        <v>2</v>
      </c>
      <c r="K1121" s="243">
        <f ca="1">OFFSET(card_type!$G$1,MATCH(Q1121,card_type!A:A,0)-1,0)</f>
        <v>2</v>
      </c>
      <c r="L1121" s="157">
        <v>1</v>
      </c>
      <c r="M1121" s="157">
        <v>1</v>
      </c>
      <c r="N1121" s="153">
        <f t="shared" si="184"/>
        <v>1</v>
      </c>
      <c r="O1121" s="157"/>
      <c r="P1121" s="157"/>
      <c r="Q1121" s="153">
        <f ca="1">OFFSET(card_type!$A$1,MATCH(card!B1121,card_type!B:B,0)-1,0)</f>
        <v>2012</v>
      </c>
      <c r="R1121" s="153">
        <v>1</v>
      </c>
      <c r="S1121" s="157">
        <f ca="1">ROUND(IF(R1121=0,0,IF(R1121=1,X1121*$S$1,IF(R1121=2,X1121*$S$1*buff的资质计算!$E$2,IF(R1121=3,X1121*$S$1*buff的资质计算!$E$3,0)))),0)*0</f>
        <v>0</v>
      </c>
      <c r="T1121" s="153">
        <v>4</v>
      </c>
      <c r="U1121" s="153">
        <f ca="1" t="shared" si="187"/>
        <v>22</v>
      </c>
      <c r="V1121" s="153">
        <f ca="1">ROUND((OFFSET(卡牌辅助配置表!$O$1,MATCH(U1121,卡牌辅助配置表!M:M,0)-1,0)+(N1121-1)*OFFSET(卡牌辅助配置表!$P$1,MATCH(U1121,卡牌辅助配置表!M:M,0)-1,0))*M1121,2)</f>
        <v>10.5</v>
      </c>
      <c r="W1121" s="157">
        <f ca="1">ROUND(IF(R1121=0,0,IF(R1121=1,X1121*$W$1,IF(R1121=2,X1121*$W$1*buff的资质计算!$E$2,IF(R1121=3,X1121*$W$1*buff的资质计算!$E$3,0)))),2)</f>
        <v>5.1</v>
      </c>
      <c r="X1121" s="157">
        <f ca="1" t="shared" si="182"/>
        <v>17</v>
      </c>
      <c r="Y1121" s="157">
        <f ca="1" t="shared" si="192"/>
        <v>17</v>
      </c>
      <c r="Z1121" s="304">
        <f ca="1" t="shared" si="183"/>
        <v>17</v>
      </c>
      <c r="AA1121" s="304">
        <f ca="1">OFFSET(卡牌辅助配置表!$AD$1,MATCH(AB1121,卡牌辅助配置表!AB:AB,0)-1,0)</f>
        <v>127</v>
      </c>
      <c r="AB1121" s="304">
        <f ca="1" t="shared" si="188"/>
        <v>2201</v>
      </c>
      <c r="AC1121" s="153">
        <v>8</v>
      </c>
      <c r="AE1121" s="153">
        <v>1</v>
      </c>
      <c r="AF1121" s="153" t="str">
        <f ca="1" t="shared" si="191"/>
        <v>20120011|</v>
      </c>
      <c r="AJ1121" s="205" t="str">
        <f ca="1" t="shared" si="189"/>
        <v>400023|1050|;</v>
      </c>
      <c r="AK1121" s="205">
        <f ca="1">OFFSET([1]item_type!$A$1,MATCH(Q1121,[1]item_type!$G:$G,0)-1,0)</f>
        <v>302012</v>
      </c>
      <c r="AL1121" s="205"/>
      <c r="AM1121" s="205">
        <f ca="1">IF(B1121=B1122,OFFSET(卡牌辅助配置表!$AE$1,MATCH(AB1121,卡牌辅助配置表!AB:AB,0),0),0)</f>
        <v>1050</v>
      </c>
      <c r="AN1121" s="153">
        <f ca="1" t="shared" si="190"/>
        <v>2012002</v>
      </c>
      <c r="AP1121" s="153" t="str">
        <f ca="1">IF(AC1121=0,0,IF(AC1121=12,0,OFFSET(effect!$N$1,MATCH(K1121,effect!M:M,0)-1,0)))</f>
        <v>kpsx_pt</v>
      </c>
    </row>
    <row r="1122" spans="1:42">
      <c r="A1122" s="153">
        <f ca="1" t="shared" si="186"/>
        <v>2012002</v>
      </c>
      <c r="B1122" s="91" t="s">
        <v>486</v>
      </c>
      <c r="C1122" s="186">
        <v>2</v>
      </c>
      <c r="D1122" s="186">
        <v>1</v>
      </c>
      <c r="E1122" s="165" t="s">
        <v>1058</v>
      </c>
      <c r="F1122" s="165" t="str">
        <f>"第一招打出时，增加"&amp;skill!$O$77/100&amp;"%伤害"</f>
        <v>第一招打出时，增加40%伤害</v>
      </c>
      <c r="G1122" s="186">
        <f ca="1">OFFSET(卡牌辅助配置表!$C$1,MATCH(AC1122,卡牌辅助配置表!A:A,0)-1,0)</f>
        <v>3</v>
      </c>
      <c r="H1122" s="186">
        <f ca="1" t="shared" si="185"/>
        <v>0</v>
      </c>
      <c r="I1122" s="186"/>
      <c r="J1122" s="186">
        <f ca="1">OFFSET(card_type!$F$1,MATCH(Q1122,card_type!A:A,0)-1,0)</f>
        <v>2</v>
      </c>
      <c r="K1122" s="243">
        <f ca="1">OFFSET(card_type!$G$1,MATCH(Q1122,card_type!A:A,0)-1,0)</f>
        <v>2</v>
      </c>
      <c r="L1122" s="157">
        <v>1</v>
      </c>
      <c r="M1122" s="157">
        <v>1</v>
      </c>
      <c r="N1122" s="153">
        <f t="shared" si="184"/>
        <v>2</v>
      </c>
      <c r="O1122" s="157"/>
      <c r="P1122" s="157"/>
      <c r="Q1122" s="153">
        <f ca="1">OFFSET(card_type!$A$1,MATCH(card!B1122,card_type!B:B,0)-1,0)</f>
        <v>2012</v>
      </c>
      <c r="R1122" s="153">
        <v>1</v>
      </c>
      <c r="S1122" s="157">
        <f ca="1">ROUND(IF(R1122=0,0,IF(R1122=1,X1122*$S$1,IF(R1122=2,X1122*$S$1*buff的资质计算!$E$2,IF(R1122=3,X1122*$S$1*buff的资质计算!$E$3,0)))),0)*0</f>
        <v>0</v>
      </c>
      <c r="T1122" s="153">
        <v>4</v>
      </c>
      <c r="U1122" s="153">
        <f ca="1" t="shared" si="187"/>
        <v>22</v>
      </c>
      <c r="V1122" s="153">
        <f ca="1">ROUND((OFFSET(卡牌辅助配置表!$O$1,MATCH(U1122,卡牌辅助配置表!M:M,0)-1,0)+(N1122-1)*OFFSET(卡牌辅助配置表!$P$1,MATCH(U1122,卡牌辅助配置表!M:M,0)-1,0))*M1122,2)</f>
        <v>11.35</v>
      </c>
      <c r="W1122" s="157">
        <f ca="1">ROUND(IF(R1122=0,0,IF(R1122=1,X1122*$W$1,IF(R1122=2,X1122*$W$1*buff的资质计算!$E$2,IF(R1122=3,X1122*$W$1*buff的资质计算!$E$3,0)))),2)</f>
        <v>5.25</v>
      </c>
      <c r="X1122" s="157">
        <f ca="1" t="shared" si="182"/>
        <v>17.5</v>
      </c>
      <c r="Y1122" s="157">
        <f ca="1" t="shared" si="192"/>
        <v>17.5</v>
      </c>
      <c r="Z1122" s="304">
        <f ca="1" t="shared" si="183"/>
        <v>17.5</v>
      </c>
      <c r="AA1122" s="304">
        <f ca="1">OFFSET(卡牌辅助配置表!$AD$1,MATCH(AB1122,卡牌辅助配置表!AB:AB,0)-1,0)</f>
        <v>254</v>
      </c>
      <c r="AB1122" s="304">
        <f ca="1" t="shared" si="188"/>
        <v>2202</v>
      </c>
      <c r="AC1122" s="153">
        <v>8</v>
      </c>
      <c r="AE1122" s="153">
        <v>1</v>
      </c>
      <c r="AF1122" s="153" t="str">
        <f ca="1" t="shared" si="191"/>
        <v>20120011|</v>
      </c>
      <c r="AJ1122" s="205" t="str">
        <f ca="1" t="shared" si="189"/>
        <v>400023|1350|;</v>
      </c>
      <c r="AK1122" s="205">
        <f ca="1">OFFSET([1]item_type!$A$1,MATCH(Q1122,[1]item_type!$G:$G,0)-1,0)</f>
        <v>302012</v>
      </c>
      <c r="AL1122" s="205"/>
      <c r="AM1122" s="205">
        <f ca="1">IF(B1122=B1123,OFFSET(卡牌辅助配置表!$AE$1,MATCH(AB1122,卡牌辅助配置表!AB:AB,0),0),0)</f>
        <v>1350</v>
      </c>
      <c r="AN1122" s="153">
        <f ca="1" t="shared" si="190"/>
        <v>2012003</v>
      </c>
      <c r="AP1122" s="153" t="str">
        <f ca="1">IF(AC1122=0,0,IF(AC1122=12,0,OFFSET(effect!$N$1,MATCH(K1122,effect!M:M,0)-1,0)))</f>
        <v>kpsx_pt</v>
      </c>
    </row>
    <row r="1123" spans="1:42">
      <c r="A1123" s="153">
        <f ca="1" t="shared" si="186"/>
        <v>2012003</v>
      </c>
      <c r="B1123" s="91" t="s">
        <v>486</v>
      </c>
      <c r="C1123" s="186">
        <v>2</v>
      </c>
      <c r="D1123" s="186">
        <v>1</v>
      </c>
      <c r="E1123" s="165" t="s">
        <v>1058</v>
      </c>
      <c r="F1123" s="165" t="str">
        <f>"第一招打出时，增加"&amp;skill!$O$77/100&amp;"%伤害"</f>
        <v>第一招打出时，增加40%伤害</v>
      </c>
      <c r="G1123" s="186">
        <f ca="1">OFFSET(卡牌辅助配置表!$C$1,MATCH(AC1123,卡牌辅助配置表!A:A,0)-1,0)</f>
        <v>3</v>
      </c>
      <c r="H1123" s="186">
        <f ca="1" t="shared" si="185"/>
        <v>0</v>
      </c>
      <c r="I1123" s="186"/>
      <c r="J1123" s="186">
        <f ca="1">OFFSET(card_type!$F$1,MATCH(Q1123,card_type!A:A,0)-1,0)</f>
        <v>2</v>
      </c>
      <c r="K1123" s="243">
        <f ca="1">OFFSET(card_type!$G$1,MATCH(Q1123,card_type!A:A,0)-1,0)</f>
        <v>2</v>
      </c>
      <c r="L1123" s="157">
        <v>1</v>
      </c>
      <c r="M1123" s="157">
        <v>1</v>
      </c>
      <c r="N1123" s="153">
        <f t="shared" si="184"/>
        <v>3</v>
      </c>
      <c r="O1123" s="157"/>
      <c r="P1123" s="157"/>
      <c r="Q1123" s="153">
        <f ca="1">OFFSET(card_type!$A$1,MATCH(card!B1123,card_type!B:B,0)-1,0)</f>
        <v>2012</v>
      </c>
      <c r="R1123" s="153">
        <v>1</v>
      </c>
      <c r="S1123" s="157">
        <f ca="1">ROUND(IF(R1123=0,0,IF(R1123=1,X1123*$S$1,IF(R1123=2,X1123*$S$1*buff的资质计算!$E$2,IF(R1123=3,X1123*$S$1*buff的资质计算!$E$3,0)))),0)*0</f>
        <v>0</v>
      </c>
      <c r="T1123" s="153">
        <v>4</v>
      </c>
      <c r="U1123" s="153">
        <f ca="1" t="shared" si="187"/>
        <v>22</v>
      </c>
      <c r="V1123" s="153">
        <f ca="1">ROUND((OFFSET(卡牌辅助配置表!$O$1,MATCH(U1123,卡牌辅助配置表!M:M,0)-1,0)+(N1123-1)*OFFSET(卡牌辅助配置表!$P$1,MATCH(U1123,卡牌辅助配置表!M:M,0)-1,0))*M1123,2)</f>
        <v>12.2</v>
      </c>
      <c r="W1123" s="157">
        <f ca="1">ROUND(IF(R1123=0,0,IF(R1123=1,X1123*$W$1,IF(R1123=2,X1123*$W$1*buff的资质计算!$E$2,IF(R1123=3,X1123*$W$1*buff的资质计算!$E$3,0)))),2)</f>
        <v>5.4</v>
      </c>
      <c r="X1123" s="157">
        <f ca="1" t="shared" si="182"/>
        <v>18</v>
      </c>
      <c r="Y1123" s="157">
        <f ca="1" t="shared" si="192"/>
        <v>18</v>
      </c>
      <c r="Z1123" s="304">
        <f ca="1" t="shared" si="183"/>
        <v>18</v>
      </c>
      <c r="AA1123" s="304">
        <f ca="1">OFFSET(卡牌辅助配置表!$AD$1,MATCH(AB1123,卡牌辅助配置表!AB:AB,0)-1,0)</f>
        <v>381</v>
      </c>
      <c r="AB1123" s="304">
        <f ca="1" t="shared" si="188"/>
        <v>2203</v>
      </c>
      <c r="AC1123" s="153">
        <v>8</v>
      </c>
      <c r="AE1123" s="153">
        <v>1</v>
      </c>
      <c r="AF1123" s="153" t="str">
        <f ca="1" t="shared" si="191"/>
        <v>20120011|</v>
      </c>
      <c r="AJ1123" s="205" t="str">
        <f ca="1" t="shared" si="189"/>
        <v>400023|1650|;</v>
      </c>
      <c r="AK1123" s="205">
        <f ca="1">OFFSET([1]item_type!$A$1,MATCH(Q1123,[1]item_type!$G:$G,0)-1,0)</f>
        <v>302012</v>
      </c>
      <c r="AL1123" s="205"/>
      <c r="AM1123" s="205">
        <f ca="1">IF(B1123=B1124,OFFSET(卡牌辅助配置表!$AE$1,MATCH(AB1123,卡牌辅助配置表!AB:AB,0),0),0)</f>
        <v>1650</v>
      </c>
      <c r="AN1123" s="153">
        <f ca="1" t="shared" si="190"/>
        <v>2012004</v>
      </c>
      <c r="AP1123" s="153" t="str">
        <f ca="1">IF(AC1123=0,0,IF(AC1123=12,0,OFFSET(effect!$N$1,MATCH(K1123,effect!M:M,0)-1,0)))</f>
        <v>kpsx_pt</v>
      </c>
    </row>
    <row r="1124" spans="1:42">
      <c r="A1124" s="153">
        <f ca="1" t="shared" si="186"/>
        <v>2012004</v>
      </c>
      <c r="B1124" s="91" t="s">
        <v>486</v>
      </c>
      <c r="C1124" s="186">
        <v>2</v>
      </c>
      <c r="D1124" s="186">
        <v>1</v>
      </c>
      <c r="E1124" s="165" t="s">
        <v>1058</v>
      </c>
      <c r="F1124" s="165" t="str">
        <f>"第一招打出时，增加"&amp;skill!$O$77/100&amp;"%伤害"</f>
        <v>第一招打出时，增加40%伤害</v>
      </c>
      <c r="G1124" s="186">
        <f ca="1">OFFSET(卡牌辅助配置表!$C$1,MATCH(AC1124,卡牌辅助配置表!A:A,0)-1,0)</f>
        <v>3</v>
      </c>
      <c r="H1124" s="186">
        <f ca="1" t="shared" si="185"/>
        <v>0</v>
      </c>
      <c r="I1124" s="186"/>
      <c r="J1124" s="186">
        <f ca="1">OFFSET(card_type!$F$1,MATCH(Q1124,card_type!A:A,0)-1,0)</f>
        <v>2</v>
      </c>
      <c r="K1124" s="243">
        <f ca="1">OFFSET(card_type!$G$1,MATCH(Q1124,card_type!A:A,0)-1,0)</f>
        <v>2</v>
      </c>
      <c r="L1124" s="157">
        <v>1</v>
      </c>
      <c r="M1124" s="157">
        <v>1</v>
      </c>
      <c r="N1124" s="153">
        <f t="shared" si="184"/>
        <v>4</v>
      </c>
      <c r="O1124" s="157"/>
      <c r="P1124" s="157"/>
      <c r="Q1124" s="153">
        <f ca="1">OFFSET(card_type!$A$1,MATCH(card!B1124,card_type!B:B,0)-1,0)</f>
        <v>2012</v>
      </c>
      <c r="R1124" s="153">
        <v>1</v>
      </c>
      <c r="S1124" s="157">
        <f ca="1">ROUND(IF(R1124=0,0,IF(R1124=1,X1124*$S$1,IF(R1124=2,X1124*$S$1*buff的资质计算!$E$2,IF(R1124=3,X1124*$S$1*buff的资质计算!$E$3,0)))),0)*0</f>
        <v>0</v>
      </c>
      <c r="T1124" s="153">
        <v>4</v>
      </c>
      <c r="U1124" s="153">
        <f ca="1" t="shared" si="187"/>
        <v>22</v>
      </c>
      <c r="V1124" s="153">
        <f ca="1">ROUND((OFFSET(卡牌辅助配置表!$O$1,MATCH(U1124,卡牌辅助配置表!M:M,0)-1,0)+(N1124-1)*OFFSET(卡牌辅助配置表!$P$1,MATCH(U1124,卡牌辅助配置表!M:M,0)-1,0))*M1124,2)</f>
        <v>13.05</v>
      </c>
      <c r="W1124" s="157">
        <f ca="1">ROUND(IF(R1124=0,0,IF(R1124=1,X1124*$W$1,IF(R1124=2,X1124*$W$1*buff的资质计算!$E$2,IF(R1124=3,X1124*$W$1*buff的资质计算!$E$3,0)))),2)</f>
        <v>5.55</v>
      </c>
      <c r="X1124" s="157">
        <f ca="1" t="shared" si="182"/>
        <v>18.5</v>
      </c>
      <c r="Y1124" s="157">
        <f ca="1" t="shared" si="192"/>
        <v>18.5</v>
      </c>
      <c r="Z1124" s="304">
        <f ca="1" t="shared" si="183"/>
        <v>18.5</v>
      </c>
      <c r="AA1124" s="304">
        <f ca="1">OFFSET(卡牌辅助配置表!$AD$1,MATCH(AB1124,卡牌辅助配置表!AB:AB,0)-1,0)</f>
        <v>508</v>
      </c>
      <c r="AB1124" s="304">
        <f ca="1" t="shared" si="188"/>
        <v>2204</v>
      </c>
      <c r="AC1124" s="153">
        <v>8</v>
      </c>
      <c r="AE1124" s="153">
        <v>1</v>
      </c>
      <c r="AF1124" s="153" t="str">
        <f ca="1" t="shared" si="191"/>
        <v>20120011|</v>
      </c>
      <c r="AJ1124" s="205" t="str">
        <f ca="1" t="shared" si="189"/>
        <v>400023|1950|;</v>
      </c>
      <c r="AK1124" s="205">
        <f ca="1">OFFSET([1]item_type!$A$1,MATCH(Q1124,[1]item_type!$G:$G,0)-1,0)</f>
        <v>302012</v>
      </c>
      <c r="AL1124" s="205"/>
      <c r="AM1124" s="205">
        <f ca="1">IF(B1124=B1125,OFFSET(卡牌辅助配置表!$AE$1,MATCH(AB1124,卡牌辅助配置表!AB:AB,0),0),0)</f>
        <v>1950</v>
      </c>
      <c r="AN1124" s="153">
        <f ca="1" t="shared" si="190"/>
        <v>2012005</v>
      </c>
      <c r="AP1124" s="153" t="str">
        <f ca="1">IF(AC1124=0,0,IF(AC1124=12,0,OFFSET(effect!$N$1,MATCH(K1124,effect!M:M,0)-1,0)))</f>
        <v>kpsx_pt</v>
      </c>
    </row>
    <row r="1125" spans="1:42">
      <c r="A1125" s="153">
        <f ca="1" t="shared" si="186"/>
        <v>2012005</v>
      </c>
      <c r="B1125" s="91" t="s">
        <v>486</v>
      </c>
      <c r="C1125" s="186">
        <v>2</v>
      </c>
      <c r="D1125" s="186">
        <v>1</v>
      </c>
      <c r="E1125" s="165" t="s">
        <v>1058</v>
      </c>
      <c r="F1125" s="165" t="str">
        <f>"第一招打出时，增加"&amp;skill!$O$77/100&amp;"%伤害"</f>
        <v>第一招打出时，增加40%伤害</v>
      </c>
      <c r="G1125" s="186">
        <f ca="1">OFFSET(卡牌辅助配置表!$C$1,MATCH(AC1125,卡牌辅助配置表!A:A,0)-1,0)</f>
        <v>3</v>
      </c>
      <c r="H1125" s="186">
        <f ca="1" t="shared" si="185"/>
        <v>0</v>
      </c>
      <c r="I1125" s="186"/>
      <c r="J1125" s="186">
        <f ca="1">OFFSET(card_type!$F$1,MATCH(Q1125,card_type!A:A,0)-1,0)</f>
        <v>2</v>
      </c>
      <c r="K1125" s="243">
        <f ca="1">OFFSET(card_type!$G$1,MATCH(Q1125,card_type!A:A,0)-1,0)</f>
        <v>2</v>
      </c>
      <c r="L1125" s="157">
        <v>1</v>
      </c>
      <c r="M1125" s="157">
        <v>1</v>
      </c>
      <c r="N1125" s="153">
        <f t="shared" si="184"/>
        <v>5</v>
      </c>
      <c r="O1125" s="157"/>
      <c r="P1125" s="157"/>
      <c r="Q1125" s="153">
        <f ca="1">OFFSET(card_type!$A$1,MATCH(card!B1125,card_type!B:B,0)-1,0)</f>
        <v>2012</v>
      </c>
      <c r="R1125" s="153">
        <v>1</v>
      </c>
      <c r="S1125" s="157">
        <f ca="1">ROUND(IF(R1125=0,0,IF(R1125=1,X1125*$S$1,IF(R1125=2,X1125*$S$1*buff的资质计算!$E$2,IF(R1125=3,X1125*$S$1*buff的资质计算!$E$3,0)))),0)*0</f>
        <v>0</v>
      </c>
      <c r="T1125" s="153">
        <v>4</v>
      </c>
      <c r="U1125" s="153">
        <f ca="1" t="shared" si="187"/>
        <v>22</v>
      </c>
      <c r="V1125" s="153">
        <f ca="1">ROUND((OFFSET(卡牌辅助配置表!$O$1,MATCH(U1125,卡牌辅助配置表!M:M,0)-1,0)+(N1125-1)*OFFSET(卡牌辅助配置表!$P$1,MATCH(U1125,卡牌辅助配置表!M:M,0)-1,0))*M1125,2)</f>
        <v>13.9</v>
      </c>
      <c r="W1125" s="157">
        <f ca="1">ROUND(IF(R1125=0,0,IF(R1125=1,X1125*$W$1,IF(R1125=2,X1125*$W$1*buff的资质计算!$E$2,IF(R1125=3,X1125*$W$1*buff的资质计算!$E$3,0)))),2)</f>
        <v>5.7</v>
      </c>
      <c r="X1125" s="157">
        <f ca="1" t="shared" si="182"/>
        <v>19</v>
      </c>
      <c r="Y1125" s="157">
        <f ca="1" t="shared" si="192"/>
        <v>19</v>
      </c>
      <c r="Z1125" s="304">
        <f ca="1" t="shared" si="183"/>
        <v>19</v>
      </c>
      <c r="AA1125" s="304">
        <f ca="1">OFFSET(卡牌辅助配置表!$AD$1,MATCH(AB1125,卡牌辅助配置表!AB:AB,0)-1,0)</f>
        <v>635</v>
      </c>
      <c r="AB1125" s="304">
        <f ca="1" t="shared" si="188"/>
        <v>2205</v>
      </c>
      <c r="AC1125" s="153">
        <v>8</v>
      </c>
      <c r="AE1125" s="153">
        <v>1</v>
      </c>
      <c r="AF1125" s="153" t="str">
        <f ca="1" t="shared" si="191"/>
        <v>20120011|</v>
      </c>
      <c r="AJ1125" s="205" t="str">
        <f ca="1" t="shared" si="189"/>
        <v>400023|2250|;</v>
      </c>
      <c r="AK1125" s="205">
        <f ca="1">OFFSET([1]item_type!$A$1,MATCH(Q1125,[1]item_type!$G:$G,0)-1,0)</f>
        <v>302012</v>
      </c>
      <c r="AL1125" s="205"/>
      <c r="AM1125" s="205">
        <f ca="1">IF(B1125=B1126,OFFSET(卡牌辅助配置表!$AE$1,MATCH(AB1125,卡牌辅助配置表!AB:AB,0),0),0)</f>
        <v>2250</v>
      </c>
      <c r="AN1125" s="153">
        <f ca="1" t="shared" si="190"/>
        <v>2012006</v>
      </c>
      <c r="AP1125" s="153" t="str">
        <f ca="1">IF(AC1125=0,0,IF(AC1125=12,0,OFFSET(effect!$N$1,MATCH(K1125,effect!M:M,0)-1,0)))</f>
        <v>kpsx_pt</v>
      </c>
    </row>
    <row r="1126" spans="1:42">
      <c r="A1126" s="153">
        <f ca="1" t="shared" si="186"/>
        <v>2012006</v>
      </c>
      <c r="B1126" s="91" t="s">
        <v>486</v>
      </c>
      <c r="C1126" s="186">
        <v>2</v>
      </c>
      <c r="D1126" s="186">
        <v>1</v>
      </c>
      <c r="E1126" s="165" t="s">
        <v>1058</v>
      </c>
      <c r="F1126" s="165" t="str">
        <f>"第一招打出时，增加"&amp;skill!$O$77/100&amp;"%伤害"</f>
        <v>第一招打出时，增加40%伤害</v>
      </c>
      <c r="G1126" s="186">
        <f ca="1">OFFSET(卡牌辅助配置表!$C$1,MATCH(AC1126,卡牌辅助配置表!A:A,0)-1,0)</f>
        <v>3</v>
      </c>
      <c r="H1126" s="186">
        <f ca="1" t="shared" si="185"/>
        <v>0</v>
      </c>
      <c r="I1126" s="186"/>
      <c r="J1126" s="186">
        <f ca="1">OFFSET(card_type!$F$1,MATCH(Q1126,card_type!A:A,0)-1,0)</f>
        <v>2</v>
      </c>
      <c r="K1126" s="243">
        <f ca="1">OFFSET(card_type!$G$1,MATCH(Q1126,card_type!A:A,0)-1,0)</f>
        <v>2</v>
      </c>
      <c r="L1126" s="157">
        <v>1</v>
      </c>
      <c r="M1126" s="157">
        <v>1</v>
      </c>
      <c r="N1126" s="153">
        <f t="shared" si="184"/>
        <v>6</v>
      </c>
      <c r="O1126" s="157"/>
      <c r="P1126" s="157"/>
      <c r="Q1126" s="153">
        <f ca="1">OFFSET(card_type!$A$1,MATCH(card!B1126,card_type!B:B,0)-1,0)</f>
        <v>2012</v>
      </c>
      <c r="R1126" s="153">
        <v>1</v>
      </c>
      <c r="S1126" s="157">
        <f ca="1">ROUND(IF(R1126=0,0,IF(R1126=1,X1126*$S$1,IF(R1126=2,X1126*$S$1*buff的资质计算!$E$2,IF(R1126=3,X1126*$S$1*buff的资质计算!$E$3,0)))),0)*0</f>
        <v>0</v>
      </c>
      <c r="T1126" s="153">
        <v>4</v>
      </c>
      <c r="U1126" s="153">
        <f ca="1" t="shared" si="187"/>
        <v>22</v>
      </c>
      <c r="V1126" s="153">
        <f ca="1">ROUND((OFFSET(卡牌辅助配置表!$O$1,MATCH(U1126,卡牌辅助配置表!M:M,0)-1,0)+(N1126-1)*OFFSET(卡牌辅助配置表!$P$1,MATCH(U1126,卡牌辅助配置表!M:M,0)-1,0))*M1126,2)</f>
        <v>14.75</v>
      </c>
      <c r="W1126" s="157">
        <f ca="1">ROUND(IF(R1126=0,0,IF(R1126=1,X1126*$W$1,IF(R1126=2,X1126*$W$1*buff的资质计算!$E$2,IF(R1126=3,X1126*$W$1*buff的资质计算!$E$3,0)))),2)</f>
        <v>5.85</v>
      </c>
      <c r="X1126" s="157">
        <f ca="1" t="shared" si="182"/>
        <v>19.5</v>
      </c>
      <c r="Y1126" s="157">
        <f ca="1" t="shared" si="192"/>
        <v>19.5</v>
      </c>
      <c r="Z1126" s="304">
        <f ca="1" t="shared" si="183"/>
        <v>19.5</v>
      </c>
      <c r="AA1126" s="304">
        <f ca="1">OFFSET(卡牌辅助配置表!$AD$1,MATCH(AB1126,卡牌辅助配置表!AB:AB,0)-1,0)</f>
        <v>762</v>
      </c>
      <c r="AB1126" s="304">
        <f ca="1" t="shared" si="188"/>
        <v>2206</v>
      </c>
      <c r="AC1126" s="153">
        <v>8</v>
      </c>
      <c r="AE1126" s="153">
        <v>1</v>
      </c>
      <c r="AF1126" s="153" t="str">
        <f ca="1" t="shared" si="191"/>
        <v>20120011|</v>
      </c>
      <c r="AJ1126" s="205" t="str">
        <f ca="1" t="shared" si="189"/>
        <v>400023|2550|;</v>
      </c>
      <c r="AK1126" s="205">
        <f ca="1">OFFSET([1]item_type!$A$1,MATCH(Q1126,[1]item_type!$G:$G,0)-1,0)</f>
        <v>302012</v>
      </c>
      <c r="AL1126" s="205"/>
      <c r="AM1126" s="205">
        <f ca="1">IF(B1126=B1127,OFFSET(卡牌辅助配置表!$AE$1,MATCH(AB1126,卡牌辅助配置表!AB:AB,0),0),0)</f>
        <v>2550</v>
      </c>
      <c r="AN1126" s="153">
        <f ca="1" t="shared" si="190"/>
        <v>2012007</v>
      </c>
      <c r="AP1126" s="153" t="str">
        <f ca="1">IF(AC1126=0,0,IF(AC1126=12,0,OFFSET(effect!$N$1,MATCH(K1126,effect!M:M,0)-1,0)))</f>
        <v>kpsx_pt</v>
      </c>
    </row>
    <row r="1127" spans="1:42">
      <c r="A1127" s="153">
        <f ca="1" t="shared" si="186"/>
        <v>2012007</v>
      </c>
      <c r="B1127" s="91" t="s">
        <v>486</v>
      </c>
      <c r="C1127" s="186">
        <v>2</v>
      </c>
      <c r="D1127" s="186">
        <v>1</v>
      </c>
      <c r="E1127" s="165" t="s">
        <v>1058</v>
      </c>
      <c r="F1127" s="165" t="str">
        <f>"第一招打出时，增加"&amp;skill!$O$77/100&amp;"%伤害"</f>
        <v>第一招打出时，增加40%伤害</v>
      </c>
      <c r="G1127" s="186">
        <f ca="1">OFFSET(卡牌辅助配置表!$C$1,MATCH(AC1127,卡牌辅助配置表!A:A,0)-1,0)</f>
        <v>3</v>
      </c>
      <c r="H1127" s="186">
        <f ca="1" t="shared" si="185"/>
        <v>0</v>
      </c>
      <c r="I1127" s="186"/>
      <c r="J1127" s="186">
        <f ca="1">OFFSET(card_type!$F$1,MATCH(Q1127,card_type!A:A,0)-1,0)</f>
        <v>2</v>
      </c>
      <c r="K1127" s="243">
        <f ca="1">OFFSET(card_type!$G$1,MATCH(Q1127,card_type!A:A,0)-1,0)</f>
        <v>2</v>
      </c>
      <c r="L1127" s="157">
        <v>1</v>
      </c>
      <c r="M1127" s="157">
        <v>1</v>
      </c>
      <c r="N1127" s="153">
        <f t="shared" si="184"/>
        <v>7</v>
      </c>
      <c r="O1127" s="157"/>
      <c r="P1127" s="157"/>
      <c r="Q1127" s="153">
        <f ca="1">OFFSET(card_type!$A$1,MATCH(card!B1127,card_type!B:B,0)-1,0)</f>
        <v>2012</v>
      </c>
      <c r="R1127" s="153">
        <v>1</v>
      </c>
      <c r="S1127" s="157">
        <f ca="1">ROUND(IF(R1127=0,0,IF(R1127=1,X1127*$S$1,IF(R1127=2,X1127*$S$1*buff的资质计算!$E$2,IF(R1127=3,X1127*$S$1*buff的资质计算!$E$3,0)))),0)*0</f>
        <v>0</v>
      </c>
      <c r="T1127" s="153">
        <v>4</v>
      </c>
      <c r="U1127" s="153">
        <f ca="1" t="shared" si="187"/>
        <v>22</v>
      </c>
      <c r="V1127" s="153">
        <f ca="1">ROUND((OFFSET(卡牌辅助配置表!$O$1,MATCH(U1127,卡牌辅助配置表!M:M,0)-1,0)+(N1127-1)*OFFSET(卡牌辅助配置表!$P$1,MATCH(U1127,卡牌辅助配置表!M:M,0)-1,0))*M1127,2)</f>
        <v>15.6</v>
      </c>
      <c r="W1127" s="157">
        <f ca="1">ROUND(IF(R1127=0,0,IF(R1127=1,X1127*$W$1,IF(R1127=2,X1127*$W$1*buff的资质计算!$E$2,IF(R1127=3,X1127*$W$1*buff的资质计算!$E$3,0)))),2)</f>
        <v>6</v>
      </c>
      <c r="X1127" s="157">
        <f ca="1" t="shared" si="182"/>
        <v>20</v>
      </c>
      <c r="Y1127" s="157">
        <f ca="1" t="shared" si="192"/>
        <v>20</v>
      </c>
      <c r="Z1127" s="304">
        <f ca="1" t="shared" si="183"/>
        <v>20</v>
      </c>
      <c r="AA1127" s="304">
        <f ca="1">OFFSET(卡牌辅助配置表!$AD$1,MATCH(AB1127,卡牌辅助配置表!AB:AB,0)-1,0)</f>
        <v>889</v>
      </c>
      <c r="AB1127" s="304">
        <f ca="1" t="shared" si="188"/>
        <v>2207</v>
      </c>
      <c r="AC1127" s="153">
        <v>8</v>
      </c>
      <c r="AE1127" s="153">
        <v>1</v>
      </c>
      <c r="AF1127" s="153" t="str">
        <f ca="1" t="shared" si="191"/>
        <v>20120011|</v>
      </c>
      <c r="AJ1127" s="205" t="str">
        <f ca="1" t="shared" si="189"/>
        <v>400023|2850|;</v>
      </c>
      <c r="AK1127" s="205">
        <f ca="1">OFFSET([1]item_type!$A$1,MATCH(Q1127,[1]item_type!$G:$G,0)-1,0)</f>
        <v>302012</v>
      </c>
      <c r="AL1127" s="205"/>
      <c r="AM1127" s="205">
        <f ca="1">IF(B1127=B1128,OFFSET(卡牌辅助配置表!$AE$1,MATCH(AB1127,卡牌辅助配置表!AB:AB,0),0),0)</f>
        <v>2850</v>
      </c>
      <c r="AN1127" s="153">
        <f ca="1" t="shared" si="190"/>
        <v>2012008</v>
      </c>
      <c r="AP1127" s="153" t="str">
        <f ca="1">IF(AC1127=0,0,IF(AC1127=12,0,OFFSET(effect!$N$1,MATCH(K1127,effect!M:M,0)-1,0)))</f>
        <v>kpsx_pt</v>
      </c>
    </row>
    <row r="1128" spans="1:42">
      <c r="A1128" s="153">
        <f ca="1" t="shared" si="186"/>
        <v>2012008</v>
      </c>
      <c r="B1128" s="91" t="s">
        <v>486</v>
      </c>
      <c r="C1128" s="186">
        <v>2</v>
      </c>
      <c r="D1128" s="186">
        <v>1</v>
      </c>
      <c r="E1128" s="165" t="s">
        <v>1058</v>
      </c>
      <c r="F1128" s="165" t="str">
        <f>"第一招打出时，增加"&amp;skill!$O$77/100&amp;"%伤害"</f>
        <v>第一招打出时，增加40%伤害</v>
      </c>
      <c r="G1128" s="186">
        <f ca="1">OFFSET(卡牌辅助配置表!$C$1,MATCH(AC1128,卡牌辅助配置表!A:A,0)-1,0)</f>
        <v>3</v>
      </c>
      <c r="H1128" s="186">
        <f ca="1" t="shared" si="185"/>
        <v>0</v>
      </c>
      <c r="I1128" s="186"/>
      <c r="J1128" s="186">
        <f ca="1">OFFSET(card_type!$F$1,MATCH(Q1128,card_type!A:A,0)-1,0)</f>
        <v>2</v>
      </c>
      <c r="K1128" s="243">
        <f ca="1">OFFSET(card_type!$G$1,MATCH(Q1128,card_type!A:A,0)-1,0)</f>
        <v>2</v>
      </c>
      <c r="L1128" s="157">
        <v>1</v>
      </c>
      <c r="M1128" s="157">
        <v>1</v>
      </c>
      <c r="N1128" s="153">
        <f t="shared" si="184"/>
        <v>8</v>
      </c>
      <c r="O1128" s="157"/>
      <c r="P1128" s="157"/>
      <c r="Q1128" s="153">
        <f ca="1">OFFSET(card_type!$A$1,MATCH(card!B1128,card_type!B:B,0)-1,0)</f>
        <v>2012</v>
      </c>
      <c r="R1128" s="153">
        <v>1</v>
      </c>
      <c r="S1128" s="157">
        <f ca="1">ROUND(IF(R1128=0,0,IF(R1128=1,X1128*$S$1,IF(R1128=2,X1128*$S$1*buff的资质计算!$E$2,IF(R1128=3,X1128*$S$1*buff的资质计算!$E$3,0)))),0)*0</f>
        <v>0</v>
      </c>
      <c r="T1128" s="153">
        <v>4</v>
      </c>
      <c r="U1128" s="153">
        <f ca="1" t="shared" si="187"/>
        <v>22</v>
      </c>
      <c r="V1128" s="153">
        <f ca="1">ROUND((OFFSET(卡牌辅助配置表!$O$1,MATCH(U1128,卡牌辅助配置表!M:M,0)-1,0)+(N1128-1)*OFFSET(卡牌辅助配置表!$P$1,MATCH(U1128,卡牌辅助配置表!M:M,0)-1,0))*M1128,2)</f>
        <v>16.45</v>
      </c>
      <c r="W1128" s="157">
        <f ca="1">ROUND(IF(R1128=0,0,IF(R1128=1,X1128*$W$1,IF(R1128=2,X1128*$W$1*buff的资质计算!$E$2,IF(R1128=3,X1128*$W$1*buff的资质计算!$E$3,0)))),2)</f>
        <v>6.15</v>
      </c>
      <c r="X1128" s="157">
        <f ca="1" t="shared" si="182"/>
        <v>20.5</v>
      </c>
      <c r="Y1128" s="157">
        <f ca="1" t="shared" si="192"/>
        <v>20.5</v>
      </c>
      <c r="Z1128" s="304">
        <f ca="1" t="shared" si="183"/>
        <v>20.5</v>
      </c>
      <c r="AA1128" s="304">
        <f ca="1">OFFSET(卡牌辅助配置表!$AD$1,MATCH(AB1128,卡牌辅助配置表!AB:AB,0)-1,0)</f>
        <v>1016</v>
      </c>
      <c r="AB1128" s="304">
        <f ca="1" t="shared" si="188"/>
        <v>2208</v>
      </c>
      <c r="AC1128" s="153">
        <v>8</v>
      </c>
      <c r="AE1128" s="153">
        <v>1</v>
      </c>
      <c r="AF1128" s="153" t="str">
        <f ca="1" t="shared" si="191"/>
        <v>20120011|</v>
      </c>
      <c r="AJ1128" s="205" t="str">
        <f ca="1" t="shared" si="189"/>
        <v>400023|3150|;</v>
      </c>
      <c r="AK1128" s="205">
        <f ca="1">OFFSET([1]item_type!$A$1,MATCH(Q1128,[1]item_type!$G:$G,0)-1,0)</f>
        <v>302012</v>
      </c>
      <c r="AL1128" s="205"/>
      <c r="AM1128" s="205">
        <f ca="1">IF(B1128=B1129,OFFSET(卡牌辅助配置表!$AE$1,MATCH(AB1128,卡牌辅助配置表!AB:AB,0),0),0)</f>
        <v>3150</v>
      </c>
      <c r="AN1128" s="153">
        <f ca="1" t="shared" si="190"/>
        <v>2012009</v>
      </c>
      <c r="AP1128" s="153" t="str">
        <f ca="1">IF(AC1128=0,0,IF(AC1128=12,0,OFFSET(effect!$N$1,MATCH(K1128,effect!M:M,0)-1,0)))</f>
        <v>kpsx_pt</v>
      </c>
    </row>
    <row r="1129" spans="1:42">
      <c r="A1129" s="153">
        <f ca="1" t="shared" si="186"/>
        <v>2012009</v>
      </c>
      <c r="B1129" s="91" t="s">
        <v>486</v>
      </c>
      <c r="C1129" s="186">
        <v>2</v>
      </c>
      <c r="D1129" s="186">
        <v>1</v>
      </c>
      <c r="E1129" s="165" t="s">
        <v>1058</v>
      </c>
      <c r="F1129" s="165" t="str">
        <f>"第一招打出时，增加"&amp;skill!$O$77/100&amp;"%伤害"</f>
        <v>第一招打出时，增加40%伤害</v>
      </c>
      <c r="G1129" s="186">
        <f ca="1">OFFSET(卡牌辅助配置表!$C$1,MATCH(AC1129,卡牌辅助配置表!A:A,0)-1,0)</f>
        <v>3</v>
      </c>
      <c r="H1129" s="186">
        <f ca="1" t="shared" si="185"/>
        <v>0</v>
      </c>
      <c r="I1129" s="186"/>
      <c r="J1129" s="186">
        <f ca="1">OFFSET(card_type!$F$1,MATCH(Q1129,card_type!A:A,0)-1,0)</f>
        <v>2</v>
      </c>
      <c r="K1129" s="243">
        <f ca="1">OFFSET(card_type!$G$1,MATCH(Q1129,card_type!A:A,0)-1,0)</f>
        <v>2</v>
      </c>
      <c r="L1129" s="157">
        <v>1</v>
      </c>
      <c r="M1129" s="157">
        <v>1</v>
      </c>
      <c r="N1129" s="153">
        <f t="shared" si="184"/>
        <v>9</v>
      </c>
      <c r="O1129" s="157"/>
      <c r="P1129" s="157"/>
      <c r="Q1129" s="153">
        <f ca="1">OFFSET(card_type!$A$1,MATCH(card!B1129,card_type!B:B,0)-1,0)</f>
        <v>2012</v>
      </c>
      <c r="R1129" s="153">
        <v>1</v>
      </c>
      <c r="S1129" s="157">
        <f ca="1">ROUND(IF(R1129=0,0,IF(R1129=1,X1129*$S$1,IF(R1129=2,X1129*$S$1*buff的资质计算!$E$2,IF(R1129=3,X1129*$S$1*buff的资质计算!$E$3,0)))),0)*0</f>
        <v>0</v>
      </c>
      <c r="T1129" s="153">
        <v>4</v>
      </c>
      <c r="U1129" s="153">
        <f ca="1" t="shared" si="187"/>
        <v>22</v>
      </c>
      <c r="V1129" s="153">
        <f ca="1">ROUND((OFFSET(卡牌辅助配置表!$O$1,MATCH(U1129,卡牌辅助配置表!M:M,0)-1,0)+(N1129-1)*OFFSET(卡牌辅助配置表!$P$1,MATCH(U1129,卡牌辅助配置表!M:M,0)-1,0))*M1129,2)</f>
        <v>17.3</v>
      </c>
      <c r="W1129" s="157">
        <f ca="1">ROUND(IF(R1129=0,0,IF(R1129=1,X1129*$W$1,IF(R1129=2,X1129*$W$1*buff的资质计算!$E$2,IF(R1129=3,X1129*$W$1*buff的资质计算!$E$3,0)))),2)</f>
        <v>6.3</v>
      </c>
      <c r="X1129" s="157">
        <f ca="1" t="shared" si="182"/>
        <v>21</v>
      </c>
      <c r="Y1129" s="157">
        <f ca="1" t="shared" si="192"/>
        <v>21</v>
      </c>
      <c r="Z1129" s="304">
        <f ca="1" t="shared" si="183"/>
        <v>21</v>
      </c>
      <c r="AA1129" s="304">
        <f ca="1">OFFSET(卡牌辅助配置表!$AD$1,MATCH(AB1129,卡牌辅助配置表!AB:AB,0)-1,0)</f>
        <v>1143</v>
      </c>
      <c r="AB1129" s="304">
        <f ca="1" t="shared" si="188"/>
        <v>2209</v>
      </c>
      <c r="AC1129" s="153">
        <v>8</v>
      </c>
      <c r="AE1129" s="153">
        <v>1</v>
      </c>
      <c r="AF1129" s="153" t="str">
        <f ca="1" t="shared" si="191"/>
        <v>20120011|</v>
      </c>
      <c r="AJ1129" s="205" t="str">
        <f ca="1" t="shared" si="189"/>
        <v>302012|15|;400023|3450|;</v>
      </c>
      <c r="AK1129" s="205">
        <f ca="1">OFFSET([1]item_type!$A$1,MATCH(Q1129,[1]item_type!$G:$G,0)-1,0)</f>
        <v>302012</v>
      </c>
      <c r="AL1129" s="205">
        <v>15</v>
      </c>
      <c r="AM1129" s="205">
        <f ca="1">IF(B1129=B1130,OFFSET(卡牌辅助配置表!$AE$1,MATCH(AB1129,卡牌辅助配置表!AB:AB,0),0),0)</f>
        <v>3450</v>
      </c>
      <c r="AN1129" s="153">
        <f ca="1" t="shared" si="190"/>
        <v>2012010</v>
      </c>
      <c r="AP1129" s="153" t="str">
        <f ca="1">IF(AC1129=0,0,IF(AC1129=12,0,OFFSET(effect!$N$1,MATCH(K1129,effect!M:M,0)-1,0)))</f>
        <v>kpsx_pt</v>
      </c>
    </row>
    <row r="1130" spans="1:42">
      <c r="A1130" s="153">
        <f ca="1" t="shared" si="186"/>
        <v>2012010</v>
      </c>
      <c r="B1130" s="91" t="s">
        <v>486</v>
      </c>
      <c r="C1130" s="186">
        <v>2</v>
      </c>
      <c r="D1130" s="186">
        <v>1</v>
      </c>
      <c r="E1130" s="165" t="s">
        <v>1058</v>
      </c>
      <c r="F1130" s="165" t="str">
        <f>"第一招打出时，增加"&amp;skill!$O$77/100&amp;"%伤害"</f>
        <v>第一招打出时，增加40%伤害</v>
      </c>
      <c r="G1130" s="186">
        <f ca="1">OFFSET(卡牌辅助配置表!$C$1,MATCH(AC1130,卡牌辅助配置表!A:A,0)-1,0)</f>
        <v>3</v>
      </c>
      <c r="H1130" s="186">
        <f ca="1" t="shared" si="185"/>
        <v>0</v>
      </c>
      <c r="I1130" s="186"/>
      <c r="J1130" s="186">
        <f ca="1">OFFSET(card_type!$F$1,MATCH(Q1130,card_type!A:A,0)-1,0)</f>
        <v>2</v>
      </c>
      <c r="K1130" s="243">
        <f ca="1">OFFSET(card_type!$G$1,MATCH(Q1130,card_type!A:A,0)-1,0)</f>
        <v>2</v>
      </c>
      <c r="L1130" s="157">
        <v>1</v>
      </c>
      <c r="M1130" s="157">
        <v>1</v>
      </c>
      <c r="N1130" s="153">
        <f t="shared" si="184"/>
        <v>10</v>
      </c>
      <c r="O1130" s="157"/>
      <c r="P1130" s="157"/>
      <c r="Q1130" s="153">
        <f ca="1">OFFSET(card_type!$A$1,MATCH(card!B1130,card_type!B:B,0)-1,0)</f>
        <v>2012</v>
      </c>
      <c r="R1130" s="153">
        <v>1</v>
      </c>
      <c r="S1130" s="157">
        <f ca="1">ROUND(IF(R1130=0,0,IF(R1130=1,X1130*$S$1,IF(R1130=2,X1130*$S$1*buff的资质计算!$E$2,IF(R1130=3,X1130*$S$1*buff的资质计算!$E$3,0)))),0)*0</f>
        <v>0</v>
      </c>
      <c r="T1130" s="153">
        <v>4</v>
      </c>
      <c r="U1130" s="153">
        <f ca="1" t="shared" si="187"/>
        <v>22</v>
      </c>
      <c r="V1130" s="153">
        <f ca="1">ROUND((OFFSET(卡牌辅助配置表!$O$1,MATCH(U1130,卡牌辅助配置表!M:M,0)-1,0)+(N1130-1)*OFFSET(卡牌辅助配置表!$P$1,MATCH(U1130,卡牌辅助配置表!M:M,0)-1,0))*M1130,2)</f>
        <v>18.15</v>
      </c>
      <c r="W1130" s="157">
        <f ca="1">ROUND(IF(R1130=0,0,IF(R1130=1,X1130*$W$1,IF(R1130=2,X1130*$W$1*buff的资质计算!$E$2,IF(R1130=3,X1130*$W$1*buff的资质计算!$E$3,0)))),2)</f>
        <v>6.45</v>
      </c>
      <c r="X1130" s="157">
        <f ca="1" t="shared" si="182"/>
        <v>21.5</v>
      </c>
      <c r="Y1130" s="157">
        <f ca="1" t="shared" si="192"/>
        <v>21.5</v>
      </c>
      <c r="Z1130" s="304">
        <f ca="1" t="shared" si="183"/>
        <v>21.5</v>
      </c>
      <c r="AA1130" s="304">
        <f ca="1">OFFSET(卡牌辅助配置表!$AD$1,MATCH(AB1130,卡牌辅助配置表!AB:AB,0)-1,0)</f>
        <v>1270</v>
      </c>
      <c r="AB1130" s="304">
        <f ca="1" t="shared" si="188"/>
        <v>2210</v>
      </c>
      <c r="AC1130" s="153">
        <v>8</v>
      </c>
      <c r="AE1130" s="153">
        <v>1</v>
      </c>
      <c r="AF1130" s="153" t="str">
        <f ca="1" t="shared" si="191"/>
        <v>20120011|</v>
      </c>
      <c r="AJ1130" s="205" t="str">
        <f ca="1" t="shared" si="189"/>
        <v>400023|4050|;</v>
      </c>
      <c r="AK1130" s="205">
        <f ca="1">OFFSET([1]item_type!$A$1,MATCH(Q1130,[1]item_type!$G:$G,0)-1,0)</f>
        <v>302012</v>
      </c>
      <c r="AL1130" s="205"/>
      <c r="AM1130" s="205">
        <f ca="1">IF(B1130=B1131,OFFSET(卡牌辅助配置表!$AE$1,MATCH(AB1130,卡牌辅助配置表!AB:AB,0),0),0)</f>
        <v>4050</v>
      </c>
      <c r="AN1130" s="153">
        <f ca="1" t="shared" si="190"/>
        <v>2012011</v>
      </c>
      <c r="AP1130" s="153" t="str">
        <f ca="1">IF(AC1130=0,0,IF(AC1130=12,0,OFFSET(effect!$N$1,MATCH(K1130,effect!M:M,0)-1,0)))</f>
        <v>kpsx_pt</v>
      </c>
    </row>
    <row r="1131" spans="1:42">
      <c r="A1131" s="153">
        <f ca="1" t="shared" si="186"/>
        <v>2012011</v>
      </c>
      <c r="B1131" s="91" t="s">
        <v>486</v>
      </c>
      <c r="C1131" s="186">
        <v>2</v>
      </c>
      <c r="D1131" s="186">
        <v>1</v>
      </c>
      <c r="E1131" s="165" t="s">
        <v>1058</v>
      </c>
      <c r="F1131" s="165" t="str">
        <f>"第一招打出时，增加"&amp;skill!$O$77/100&amp;"%伤害"</f>
        <v>第一招打出时，增加40%伤害</v>
      </c>
      <c r="G1131" s="186">
        <f ca="1">OFFSET(卡牌辅助配置表!$C$1,MATCH(AC1131,卡牌辅助配置表!A:A,0)-1,0)</f>
        <v>3</v>
      </c>
      <c r="H1131" s="186">
        <f ca="1" t="shared" si="185"/>
        <v>0</v>
      </c>
      <c r="I1131" s="186"/>
      <c r="J1131" s="186">
        <f ca="1">OFFSET(card_type!$F$1,MATCH(Q1131,card_type!A:A,0)-1,0)</f>
        <v>2</v>
      </c>
      <c r="K1131" s="243">
        <f ca="1">OFFSET(card_type!$G$1,MATCH(Q1131,card_type!A:A,0)-1,0)</f>
        <v>2</v>
      </c>
      <c r="L1131" s="157">
        <v>1</v>
      </c>
      <c r="M1131" s="157">
        <v>1</v>
      </c>
      <c r="N1131" s="153">
        <f t="shared" si="184"/>
        <v>11</v>
      </c>
      <c r="O1131" s="157"/>
      <c r="P1131" s="157"/>
      <c r="Q1131" s="153">
        <f ca="1">OFFSET(card_type!$A$1,MATCH(card!B1131,card_type!B:B,0)-1,0)</f>
        <v>2012</v>
      </c>
      <c r="R1131" s="153">
        <v>1</v>
      </c>
      <c r="S1131" s="157">
        <f ca="1">ROUND(IF(R1131=0,0,IF(R1131=1,X1131*$S$1,IF(R1131=2,X1131*$S$1*buff的资质计算!$E$2,IF(R1131=3,X1131*$S$1*buff的资质计算!$E$3,0)))),0)*0</f>
        <v>0</v>
      </c>
      <c r="T1131" s="153">
        <v>4</v>
      </c>
      <c r="U1131" s="153">
        <f ca="1" t="shared" si="187"/>
        <v>22</v>
      </c>
      <c r="V1131" s="153">
        <f ca="1">ROUND((OFFSET(卡牌辅助配置表!$O$1,MATCH(U1131,卡牌辅助配置表!M:M,0)-1,0)+(N1131-1)*OFFSET(卡牌辅助配置表!$P$1,MATCH(U1131,卡牌辅助配置表!M:M,0)-1,0))*M1131,2)</f>
        <v>19</v>
      </c>
      <c r="W1131" s="157">
        <f ca="1">ROUND(IF(R1131=0,0,IF(R1131=1,X1131*$W$1,IF(R1131=2,X1131*$W$1*buff的资质计算!$E$2,IF(R1131=3,X1131*$W$1*buff的资质计算!$E$3,0)))),2)</f>
        <v>6.6</v>
      </c>
      <c r="X1131" s="157">
        <f ca="1" t="shared" si="182"/>
        <v>22</v>
      </c>
      <c r="Y1131" s="157">
        <f ca="1" t="shared" si="192"/>
        <v>22</v>
      </c>
      <c r="Z1131" s="304">
        <f ca="1" t="shared" si="183"/>
        <v>22</v>
      </c>
      <c r="AA1131" s="304">
        <f ca="1">OFFSET(卡牌辅助配置表!$AD$1,MATCH(AB1131,卡牌辅助配置表!AB:AB,0)-1,0)</f>
        <v>1439</v>
      </c>
      <c r="AB1131" s="304">
        <f ca="1" t="shared" si="188"/>
        <v>2211</v>
      </c>
      <c r="AC1131" s="153">
        <v>8</v>
      </c>
      <c r="AE1131" s="153">
        <v>1</v>
      </c>
      <c r="AF1131" s="153" t="str">
        <f ca="1" t="shared" si="191"/>
        <v>20120011|</v>
      </c>
      <c r="AJ1131" s="205" t="str">
        <f ca="1" t="shared" si="189"/>
        <v>400023|4650|;</v>
      </c>
      <c r="AK1131" s="205">
        <f ca="1">OFFSET([1]item_type!$A$1,MATCH(Q1131,[1]item_type!$G:$G,0)-1,0)</f>
        <v>302012</v>
      </c>
      <c r="AL1131" s="205"/>
      <c r="AM1131" s="205">
        <f ca="1">IF(B1131=B1132,OFFSET(卡牌辅助配置表!$AE$1,MATCH(AB1131,卡牌辅助配置表!AB:AB,0),0),0)</f>
        <v>4650</v>
      </c>
      <c r="AN1131" s="153">
        <f ca="1" t="shared" si="190"/>
        <v>2012012</v>
      </c>
      <c r="AP1131" s="153" t="str">
        <f ca="1">IF(AC1131=0,0,IF(AC1131=12,0,OFFSET(effect!$N$1,MATCH(K1131,effect!M:M,0)-1,0)))</f>
        <v>kpsx_pt</v>
      </c>
    </row>
    <row r="1132" spans="1:42">
      <c r="A1132" s="153">
        <f ca="1" t="shared" si="186"/>
        <v>2012012</v>
      </c>
      <c r="B1132" s="91" t="s">
        <v>486</v>
      </c>
      <c r="C1132" s="186">
        <v>2</v>
      </c>
      <c r="D1132" s="186">
        <v>1</v>
      </c>
      <c r="E1132" s="165" t="s">
        <v>1058</v>
      </c>
      <c r="F1132" s="165" t="str">
        <f>"第一招打出时，增加"&amp;skill!$O$77/100&amp;"%伤害"</f>
        <v>第一招打出时，增加40%伤害</v>
      </c>
      <c r="G1132" s="186">
        <f ca="1">OFFSET(卡牌辅助配置表!$C$1,MATCH(AC1132,卡牌辅助配置表!A:A,0)-1,0)</f>
        <v>3</v>
      </c>
      <c r="H1132" s="186">
        <f ca="1" t="shared" si="185"/>
        <v>0</v>
      </c>
      <c r="I1132" s="186"/>
      <c r="J1132" s="186">
        <f ca="1">OFFSET(card_type!$F$1,MATCH(Q1132,card_type!A:A,0)-1,0)</f>
        <v>2</v>
      </c>
      <c r="K1132" s="243">
        <f ca="1">OFFSET(card_type!$G$1,MATCH(Q1132,card_type!A:A,0)-1,0)</f>
        <v>2</v>
      </c>
      <c r="L1132" s="157">
        <v>1</v>
      </c>
      <c r="M1132" s="157">
        <v>1</v>
      </c>
      <c r="N1132" s="153">
        <f t="shared" si="184"/>
        <v>12</v>
      </c>
      <c r="O1132" s="157"/>
      <c r="P1132" s="157"/>
      <c r="Q1132" s="153">
        <f ca="1">OFFSET(card_type!$A$1,MATCH(card!B1132,card_type!B:B,0)-1,0)</f>
        <v>2012</v>
      </c>
      <c r="R1132" s="153">
        <v>1</v>
      </c>
      <c r="S1132" s="157">
        <f ca="1">ROUND(IF(R1132=0,0,IF(R1132=1,X1132*$S$1,IF(R1132=2,X1132*$S$1*buff的资质计算!$E$2,IF(R1132=3,X1132*$S$1*buff的资质计算!$E$3,0)))),0)*0</f>
        <v>0</v>
      </c>
      <c r="T1132" s="153">
        <v>4</v>
      </c>
      <c r="U1132" s="153">
        <f ca="1" t="shared" si="187"/>
        <v>22</v>
      </c>
      <c r="V1132" s="153">
        <f ca="1">ROUND((OFFSET(卡牌辅助配置表!$O$1,MATCH(U1132,卡牌辅助配置表!M:M,0)-1,0)+(N1132-1)*OFFSET(卡牌辅助配置表!$P$1,MATCH(U1132,卡牌辅助配置表!M:M,0)-1,0))*M1132,2)</f>
        <v>19.85</v>
      </c>
      <c r="W1132" s="157">
        <f ca="1">ROUND(IF(R1132=0,0,IF(R1132=1,X1132*$W$1,IF(R1132=2,X1132*$W$1*buff的资质计算!$E$2,IF(R1132=3,X1132*$W$1*buff的资质计算!$E$3,0)))),2)</f>
        <v>6.75</v>
      </c>
      <c r="X1132" s="157">
        <f ca="1" t="shared" si="182"/>
        <v>22.5</v>
      </c>
      <c r="Y1132" s="157">
        <f ca="1" t="shared" si="192"/>
        <v>22.5</v>
      </c>
      <c r="Z1132" s="304">
        <f ca="1" t="shared" si="183"/>
        <v>22.5</v>
      </c>
      <c r="AA1132" s="304">
        <f ca="1">OFFSET(卡牌辅助配置表!$AD$1,MATCH(AB1132,卡牌辅助配置表!AB:AB,0)-1,0)</f>
        <v>1608</v>
      </c>
      <c r="AB1132" s="304">
        <f ca="1" t="shared" si="188"/>
        <v>2212</v>
      </c>
      <c r="AC1132" s="153">
        <v>8</v>
      </c>
      <c r="AE1132" s="153">
        <v>1</v>
      </c>
      <c r="AF1132" s="153" t="str">
        <f ca="1" t="shared" si="191"/>
        <v>20120011|</v>
      </c>
      <c r="AJ1132" s="205" t="str">
        <f ca="1" t="shared" si="189"/>
        <v>400023|5250|;</v>
      </c>
      <c r="AK1132" s="205">
        <f ca="1">OFFSET([1]item_type!$A$1,MATCH(Q1132,[1]item_type!$G:$G,0)-1,0)</f>
        <v>302012</v>
      </c>
      <c r="AL1132" s="205"/>
      <c r="AM1132" s="205">
        <f ca="1">IF(B1132=B1133,OFFSET(卡牌辅助配置表!$AE$1,MATCH(AB1132,卡牌辅助配置表!AB:AB,0),0),0)</f>
        <v>5250</v>
      </c>
      <c r="AN1132" s="153">
        <f ca="1" t="shared" si="190"/>
        <v>2012013</v>
      </c>
      <c r="AP1132" s="153" t="str">
        <f ca="1">IF(AC1132=0,0,IF(AC1132=12,0,OFFSET(effect!$N$1,MATCH(K1132,effect!M:M,0)-1,0)))</f>
        <v>kpsx_pt</v>
      </c>
    </row>
    <row r="1133" spans="1:42">
      <c r="A1133" s="153">
        <f ca="1" t="shared" si="186"/>
        <v>2012013</v>
      </c>
      <c r="B1133" s="91" t="s">
        <v>486</v>
      </c>
      <c r="C1133" s="186">
        <v>2</v>
      </c>
      <c r="D1133" s="186">
        <v>1</v>
      </c>
      <c r="E1133" s="165" t="s">
        <v>1058</v>
      </c>
      <c r="F1133" s="165" t="str">
        <f>"第一招打出时，增加"&amp;skill!$O$77/100&amp;"%伤害"</f>
        <v>第一招打出时，增加40%伤害</v>
      </c>
      <c r="G1133" s="186">
        <f ca="1">OFFSET(卡牌辅助配置表!$C$1,MATCH(AC1133,卡牌辅助配置表!A:A,0)-1,0)</f>
        <v>3</v>
      </c>
      <c r="H1133" s="186">
        <f ca="1" t="shared" si="185"/>
        <v>0</v>
      </c>
      <c r="I1133" s="186"/>
      <c r="J1133" s="186">
        <f ca="1">OFFSET(card_type!$F$1,MATCH(Q1133,card_type!A:A,0)-1,0)</f>
        <v>2</v>
      </c>
      <c r="K1133" s="243">
        <f ca="1">OFFSET(card_type!$G$1,MATCH(Q1133,card_type!A:A,0)-1,0)</f>
        <v>2</v>
      </c>
      <c r="L1133" s="157">
        <v>1</v>
      </c>
      <c r="M1133" s="157">
        <v>1</v>
      </c>
      <c r="N1133" s="153">
        <f t="shared" si="184"/>
        <v>13</v>
      </c>
      <c r="O1133" s="157"/>
      <c r="P1133" s="157"/>
      <c r="Q1133" s="153">
        <f ca="1">OFFSET(card_type!$A$1,MATCH(card!B1133,card_type!B:B,0)-1,0)</f>
        <v>2012</v>
      </c>
      <c r="R1133" s="153">
        <v>1</v>
      </c>
      <c r="S1133" s="157">
        <f ca="1">ROUND(IF(R1133=0,0,IF(R1133=1,X1133*$S$1,IF(R1133=2,X1133*$S$1*buff的资质计算!$E$2,IF(R1133=3,X1133*$S$1*buff的资质计算!$E$3,0)))),0)*0</f>
        <v>0</v>
      </c>
      <c r="T1133" s="153">
        <v>4</v>
      </c>
      <c r="U1133" s="153">
        <f ca="1" t="shared" si="187"/>
        <v>22</v>
      </c>
      <c r="V1133" s="153">
        <f ca="1">ROUND((OFFSET(卡牌辅助配置表!$O$1,MATCH(U1133,卡牌辅助配置表!M:M,0)-1,0)+(N1133-1)*OFFSET(卡牌辅助配置表!$P$1,MATCH(U1133,卡牌辅助配置表!M:M,0)-1,0))*M1133,2)</f>
        <v>20.7</v>
      </c>
      <c r="W1133" s="157">
        <f ca="1">ROUND(IF(R1133=0,0,IF(R1133=1,X1133*$W$1,IF(R1133=2,X1133*$W$1*buff的资质计算!$E$2,IF(R1133=3,X1133*$W$1*buff的资质计算!$E$3,0)))),2)</f>
        <v>6.9</v>
      </c>
      <c r="X1133" s="157">
        <f ca="1" t="shared" si="182"/>
        <v>23</v>
      </c>
      <c r="Y1133" s="157">
        <f ca="1" t="shared" si="192"/>
        <v>23</v>
      </c>
      <c r="Z1133" s="304">
        <f ca="1" t="shared" si="183"/>
        <v>23</v>
      </c>
      <c r="AA1133" s="304">
        <f ca="1">OFFSET(卡牌辅助配置表!$AD$1,MATCH(AB1133,卡牌辅助配置表!AB:AB,0)-1,0)</f>
        <v>1777</v>
      </c>
      <c r="AB1133" s="304">
        <f ca="1" t="shared" si="188"/>
        <v>2213</v>
      </c>
      <c r="AC1133" s="153">
        <v>8</v>
      </c>
      <c r="AE1133" s="153">
        <v>1</v>
      </c>
      <c r="AF1133" s="153" t="str">
        <f ca="1" t="shared" si="191"/>
        <v>20120011|</v>
      </c>
      <c r="AJ1133" s="205" t="str">
        <f ca="1" t="shared" si="189"/>
        <v>400023|5850|;</v>
      </c>
      <c r="AK1133" s="205">
        <f ca="1">OFFSET([1]item_type!$A$1,MATCH(Q1133,[1]item_type!$G:$G,0)-1,0)</f>
        <v>302012</v>
      </c>
      <c r="AL1133" s="205"/>
      <c r="AM1133" s="205">
        <f ca="1">IF(B1133=B1134,OFFSET(卡牌辅助配置表!$AE$1,MATCH(AB1133,卡牌辅助配置表!AB:AB,0),0),0)</f>
        <v>5850</v>
      </c>
      <c r="AN1133" s="153">
        <f ca="1" t="shared" si="190"/>
        <v>2012014</v>
      </c>
      <c r="AP1133" s="153" t="str">
        <f ca="1">IF(AC1133=0,0,IF(AC1133=12,0,OFFSET(effect!$N$1,MATCH(K1133,effect!M:M,0)-1,0)))</f>
        <v>kpsx_pt</v>
      </c>
    </row>
    <row r="1134" spans="1:42">
      <c r="A1134" s="153">
        <f ca="1" t="shared" si="186"/>
        <v>2012014</v>
      </c>
      <c r="B1134" s="91" t="s">
        <v>486</v>
      </c>
      <c r="C1134" s="186">
        <v>2</v>
      </c>
      <c r="D1134" s="186">
        <v>1</v>
      </c>
      <c r="E1134" s="165" t="s">
        <v>1058</v>
      </c>
      <c r="F1134" s="165" t="str">
        <f>"第一招打出时，增加"&amp;skill!$O$77/100&amp;"%伤害"</f>
        <v>第一招打出时，增加40%伤害</v>
      </c>
      <c r="G1134" s="186">
        <f ca="1">OFFSET(卡牌辅助配置表!$C$1,MATCH(AC1134,卡牌辅助配置表!A:A,0)-1,0)</f>
        <v>3</v>
      </c>
      <c r="H1134" s="186">
        <f ca="1" t="shared" si="185"/>
        <v>0</v>
      </c>
      <c r="I1134" s="186"/>
      <c r="J1134" s="186">
        <f ca="1">OFFSET(card_type!$F$1,MATCH(Q1134,card_type!A:A,0)-1,0)</f>
        <v>2</v>
      </c>
      <c r="K1134" s="243">
        <f ca="1">OFFSET(card_type!$G$1,MATCH(Q1134,card_type!A:A,0)-1,0)</f>
        <v>2</v>
      </c>
      <c r="L1134" s="157">
        <v>1</v>
      </c>
      <c r="M1134" s="157">
        <v>1</v>
      </c>
      <c r="N1134" s="153">
        <f t="shared" si="184"/>
        <v>14</v>
      </c>
      <c r="O1134" s="157"/>
      <c r="P1134" s="157"/>
      <c r="Q1134" s="153">
        <f ca="1">OFFSET(card_type!$A$1,MATCH(card!B1134,card_type!B:B,0)-1,0)</f>
        <v>2012</v>
      </c>
      <c r="R1134" s="153">
        <v>1</v>
      </c>
      <c r="S1134" s="157">
        <f ca="1">ROUND(IF(R1134=0,0,IF(R1134=1,X1134*$S$1,IF(R1134=2,X1134*$S$1*buff的资质计算!$E$2,IF(R1134=3,X1134*$S$1*buff的资质计算!$E$3,0)))),0)*0</f>
        <v>0</v>
      </c>
      <c r="T1134" s="153">
        <v>4</v>
      </c>
      <c r="U1134" s="153">
        <f ca="1" t="shared" si="187"/>
        <v>22</v>
      </c>
      <c r="V1134" s="153">
        <f ca="1">ROUND((OFFSET(卡牌辅助配置表!$O$1,MATCH(U1134,卡牌辅助配置表!M:M,0)-1,0)+(N1134-1)*OFFSET(卡牌辅助配置表!$P$1,MATCH(U1134,卡牌辅助配置表!M:M,0)-1,0))*M1134,2)</f>
        <v>21.55</v>
      </c>
      <c r="W1134" s="157">
        <f ca="1">ROUND(IF(R1134=0,0,IF(R1134=1,X1134*$W$1,IF(R1134=2,X1134*$W$1*buff的资质计算!$E$2,IF(R1134=3,X1134*$W$1*buff的资质计算!$E$3,0)))),2)</f>
        <v>7.05</v>
      </c>
      <c r="X1134" s="157">
        <f ca="1" t="shared" si="182"/>
        <v>23.5</v>
      </c>
      <c r="Y1134" s="157">
        <f ca="1" t="shared" si="192"/>
        <v>23.5</v>
      </c>
      <c r="Z1134" s="304">
        <f ca="1" t="shared" si="183"/>
        <v>23.5</v>
      </c>
      <c r="AA1134" s="304">
        <f ca="1">OFFSET(卡牌辅助配置表!$AD$1,MATCH(AB1134,卡牌辅助配置表!AB:AB,0)-1,0)</f>
        <v>1946</v>
      </c>
      <c r="AB1134" s="304">
        <f ca="1" t="shared" si="188"/>
        <v>2214</v>
      </c>
      <c r="AC1134" s="153">
        <v>8</v>
      </c>
      <c r="AE1134" s="153">
        <v>1</v>
      </c>
      <c r="AF1134" s="153" t="str">
        <f ca="1" t="shared" si="191"/>
        <v>20120011|</v>
      </c>
      <c r="AJ1134" s="205" t="str">
        <f ca="1" t="shared" si="189"/>
        <v>400023|6450|;</v>
      </c>
      <c r="AK1134" s="205">
        <f ca="1">OFFSET([1]item_type!$A$1,MATCH(Q1134,[1]item_type!$G:$G,0)-1,0)</f>
        <v>302012</v>
      </c>
      <c r="AL1134" s="205"/>
      <c r="AM1134" s="205">
        <f ca="1">IF(B1134=B1135,OFFSET(卡牌辅助配置表!$AE$1,MATCH(AB1134,卡牌辅助配置表!AB:AB,0),0),0)</f>
        <v>6450</v>
      </c>
      <c r="AN1134" s="153">
        <f ca="1" t="shared" si="190"/>
        <v>2012015</v>
      </c>
      <c r="AP1134" s="153" t="str">
        <f ca="1">IF(AC1134=0,0,IF(AC1134=12,0,OFFSET(effect!$N$1,MATCH(K1134,effect!M:M,0)-1,0)))</f>
        <v>kpsx_pt</v>
      </c>
    </row>
    <row r="1135" spans="1:42">
      <c r="A1135" s="153">
        <f ca="1" t="shared" si="186"/>
        <v>2012015</v>
      </c>
      <c r="B1135" s="91" t="s">
        <v>486</v>
      </c>
      <c r="C1135" s="186">
        <v>2</v>
      </c>
      <c r="D1135" s="186">
        <v>1</v>
      </c>
      <c r="E1135" s="165" t="s">
        <v>1058</v>
      </c>
      <c r="F1135" s="165" t="str">
        <f>"第一招打出时，增加"&amp;skill!$O$77/100&amp;"%伤害"</f>
        <v>第一招打出时，增加40%伤害</v>
      </c>
      <c r="G1135" s="186">
        <f ca="1">OFFSET(卡牌辅助配置表!$C$1,MATCH(AC1135,卡牌辅助配置表!A:A,0)-1,0)</f>
        <v>3</v>
      </c>
      <c r="H1135" s="186">
        <f ca="1" t="shared" si="185"/>
        <v>0</v>
      </c>
      <c r="I1135" s="186"/>
      <c r="J1135" s="186">
        <f ca="1">OFFSET(card_type!$F$1,MATCH(Q1135,card_type!A:A,0)-1,0)</f>
        <v>2</v>
      </c>
      <c r="K1135" s="243">
        <f ca="1">OFFSET(card_type!$G$1,MATCH(Q1135,card_type!A:A,0)-1,0)</f>
        <v>2</v>
      </c>
      <c r="L1135" s="157">
        <v>1</v>
      </c>
      <c r="M1135" s="157">
        <v>1</v>
      </c>
      <c r="N1135" s="153">
        <f t="shared" si="184"/>
        <v>15</v>
      </c>
      <c r="O1135" s="157"/>
      <c r="P1135" s="157"/>
      <c r="Q1135" s="153">
        <f ca="1">OFFSET(card_type!$A$1,MATCH(card!B1135,card_type!B:B,0)-1,0)</f>
        <v>2012</v>
      </c>
      <c r="R1135" s="153">
        <v>1</v>
      </c>
      <c r="S1135" s="157">
        <f ca="1">ROUND(IF(R1135=0,0,IF(R1135=1,X1135*$S$1,IF(R1135=2,X1135*$S$1*buff的资质计算!$E$2,IF(R1135=3,X1135*$S$1*buff的资质计算!$E$3,0)))),0)*0</f>
        <v>0</v>
      </c>
      <c r="T1135" s="153">
        <v>4</v>
      </c>
      <c r="U1135" s="153">
        <f ca="1" t="shared" si="187"/>
        <v>22</v>
      </c>
      <c r="V1135" s="153">
        <f ca="1">ROUND((OFFSET(卡牌辅助配置表!$O$1,MATCH(U1135,卡牌辅助配置表!M:M,0)-1,0)+(N1135-1)*OFFSET(卡牌辅助配置表!$P$1,MATCH(U1135,卡牌辅助配置表!M:M,0)-1,0))*M1135,2)</f>
        <v>22.4</v>
      </c>
      <c r="W1135" s="157">
        <f ca="1">ROUND(IF(R1135=0,0,IF(R1135=1,X1135*$W$1,IF(R1135=2,X1135*$W$1*buff的资质计算!$E$2,IF(R1135=3,X1135*$W$1*buff的资质计算!$E$3,0)))),2)</f>
        <v>7.2</v>
      </c>
      <c r="X1135" s="157">
        <f ca="1" t="shared" si="182"/>
        <v>24</v>
      </c>
      <c r="Y1135" s="157">
        <f ca="1" t="shared" si="192"/>
        <v>24</v>
      </c>
      <c r="Z1135" s="304">
        <f ca="1" t="shared" si="183"/>
        <v>24</v>
      </c>
      <c r="AA1135" s="304">
        <f ca="1">OFFSET(卡牌辅助配置表!$AD$1,MATCH(AB1135,卡牌辅助配置表!AB:AB,0)-1,0)</f>
        <v>2115</v>
      </c>
      <c r="AB1135" s="304">
        <f ca="1" t="shared" si="188"/>
        <v>2215</v>
      </c>
      <c r="AC1135" s="153">
        <v>8</v>
      </c>
      <c r="AE1135" s="153">
        <v>1</v>
      </c>
      <c r="AF1135" s="153" t="str">
        <f ca="1" t="shared" si="191"/>
        <v>20120011|</v>
      </c>
      <c r="AJ1135" s="205" t="str">
        <f ca="1" t="shared" si="189"/>
        <v>400023|7050|;</v>
      </c>
      <c r="AK1135" s="205">
        <f ca="1">OFFSET([1]item_type!$A$1,MATCH(Q1135,[1]item_type!$G:$G,0)-1,0)</f>
        <v>302012</v>
      </c>
      <c r="AL1135" s="205"/>
      <c r="AM1135" s="205">
        <f ca="1">IF(B1135=B1136,OFFSET(卡牌辅助配置表!$AE$1,MATCH(AB1135,卡牌辅助配置表!AB:AB,0),0),0)</f>
        <v>7050</v>
      </c>
      <c r="AN1135" s="153">
        <f ca="1" t="shared" si="190"/>
        <v>2012016</v>
      </c>
      <c r="AP1135" s="153" t="str">
        <f ca="1">IF(AC1135=0,0,IF(AC1135=12,0,OFFSET(effect!$N$1,MATCH(K1135,effect!M:M,0)-1,0)))</f>
        <v>kpsx_pt</v>
      </c>
    </row>
    <row r="1136" spans="1:42">
      <c r="A1136" s="153">
        <f ca="1" t="shared" si="186"/>
        <v>2012016</v>
      </c>
      <c r="B1136" s="91" t="s">
        <v>486</v>
      </c>
      <c r="C1136" s="186">
        <v>2</v>
      </c>
      <c r="D1136" s="186">
        <v>1</v>
      </c>
      <c r="E1136" s="165" t="s">
        <v>1058</v>
      </c>
      <c r="F1136" s="165" t="str">
        <f>"第一招打出时，增加"&amp;skill!$O$77/100&amp;"%伤害"</f>
        <v>第一招打出时，增加40%伤害</v>
      </c>
      <c r="G1136" s="186">
        <f ca="1">OFFSET(卡牌辅助配置表!$C$1,MATCH(AC1136,卡牌辅助配置表!A:A,0)-1,0)</f>
        <v>3</v>
      </c>
      <c r="H1136" s="186">
        <f ca="1" t="shared" si="185"/>
        <v>0</v>
      </c>
      <c r="I1136" s="186"/>
      <c r="J1136" s="186">
        <f ca="1">OFFSET(card_type!$F$1,MATCH(Q1136,card_type!A:A,0)-1,0)</f>
        <v>2</v>
      </c>
      <c r="K1136" s="243">
        <f ca="1">OFFSET(card_type!$G$1,MATCH(Q1136,card_type!A:A,0)-1,0)</f>
        <v>2</v>
      </c>
      <c r="L1136" s="157">
        <v>1</v>
      </c>
      <c r="M1136" s="157">
        <v>1</v>
      </c>
      <c r="N1136" s="153">
        <f t="shared" si="184"/>
        <v>16</v>
      </c>
      <c r="O1136" s="157"/>
      <c r="P1136" s="157"/>
      <c r="Q1136" s="153">
        <f ca="1">OFFSET(card_type!$A$1,MATCH(card!B1136,card_type!B:B,0)-1,0)</f>
        <v>2012</v>
      </c>
      <c r="R1136" s="153">
        <v>1</v>
      </c>
      <c r="S1136" s="157">
        <f ca="1">ROUND(IF(R1136=0,0,IF(R1136=1,X1136*$S$1,IF(R1136=2,X1136*$S$1*buff的资质计算!$E$2,IF(R1136=3,X1136*$S$1*buff的资质计算!$E$3,0)))),0)*0</f>
        <v>0</v>
      </c>
      <c r="T1136" s="153">
        <v>4</v>
      </c>
      <c r="U1136" s="153">
        <f ca="1" t="shared" si="187"/>
        <v>22</v>
      </c>
      <c r="V1136" s="153">
        <f ca="1">ROUND((OFFSET(卡牌辅助配置表!$O$1,MATCH(U1136,卡牌辅助配置表!M:M,0)-1,0)+(N1136-1)*OFFSET(卡牌辅助配置表!$P$1,MATCH(U1136,卡牌辅助配置表!M:M,0)-1,0))*M1136,2)</f>
        <v>23.25</v>
      </c>
      <c r="W1136" s="157">
        <f ca="1">ROUND(IF(R1136=0,0,IF(R1136=1,X1136*$W$1,IF(R1136=2,X1136*$W$1*buff的资质计算!$E$2,IF(R1136=3,X1136*$W$1*buff的资质计算!$E$3,0)))),2)</f>
        <v>7.35</v>
      </c>
      <c r="X1136" s="157">
        <f ca="1" t="shared" si="182"/>
        <v>24.5</v>
      </c>
      <c r="Y1136" s="157">
        <f ca="1" t="shared" si="192"/>
        <v>24.5</v>
      </c>
      <c r="Z1136" s="304">
        <f ca="1" t="shared" si="183"/>
        <v>24.5</v>
      </c>
      <c r="AA1136" s="304">
        <f ca="1">OFFSET(卡牌辅助配置表!$AD$1,MATCH(AB1136,卡牌辅助配置表!AB:AB,0)-1,0)</f>
        <v>2284</v>
      </c>
      <c r="AB1136" s="304">
        <f ca="1" t="shared" si="188"/>
        <v>2216</v>
      </c>
      <c r="AC1136" s="153">
        <v>8</v>
      </c>
      <c r="AE1136" s="153">
        <v>1</v>
      </c>
      <c r="AF1136" s="153" t="str">
        <f ca="1" t="shared" si="191"/>
        <v>20120011|</v>
      </c>
      <c r="AJ1136" s="205" t="str">
        <f ca="1" t="shared" si="189"/>
        <v>400023|7650|;</v>
      </c>
      <c r="AK1136" s="205">
        <f ca="1">OFFSET([1]item_type!$A$1,MATCH(Q1136,[1]item_type!$G:$G,0)-1,0)</f>
        <v>302012</v>
      </c>
      <c r="AL1136" s="205"/>
      <c r="AM1136" s="205">
        <f ca="1">IF(B1136=B1137,OFFSET(卡牌辅助配置表!$AE$1,MATCH(AB1136,卡牌辅助配置表!AB:AB,0),0),0)</f>
        <v>7650</v>
      </c>
      <c r="AN1136" s="153">
        <f ca="1" t="shared" si="190"/>
        <v>2012017</v>
      </c>
      <c r="AP1136" s="153" t="str">
        <f ca="1">IF(AC1136=0,0,IF(AC1136=12,0,OFFSET(effect!$N$1,MATCH(K1136,effect!M:M,0)-1,0)))</f>
        <v>kpsx_pt</v>
      </c>
    </row>
    <row r="1137" spans="1:42">
      <c r="A1137" s="153">
        <f ca="1" t="shared" si="186"/>
        <v>2012017</v>
      </c>
      <c r="B1137" s="91" t="s">
        <v>486</v>
      </c>
      <c r="C1137" s="186">
        <v>2</v>
      </c>
      <c r="D1137" s="186">
        <v>1</v>
      </c>
      <c r="E1137" s="165" t="s">
        <v>1058</v>
      </c>
      <c r="F1137" s="165" t="str">
        <f>"第一招打出时，增加"&amp;skill!$O$77/100&amp;"%伤害"</f>
        <v>第一招打出时，增加40%伤害</v>
      </c>
      <c r="G1137" s="186">
        <f ca="1">OFFSET(卡牌辅助配置表!$C$1,MATCH(AC1137,卡牌辅助配置表!A:A,0)-1,0)</f>
        <v>3</v>
      </c>
      <c r="H1137" s="186">
        <f ca="1" t="shared" si="185"/>
        <v>0</v>
      </c>
      <c r="I1137" s="186"/>
      <c r="J1137" s="186">
        <f ca="1">OFFSET(card_type!$F$1,MATCH(Q1137,card_type!A:A,0)-1,0)</f>
        <v>2</v>
      </c>
      <c r="K1137" s="243">
        <f ca="1">OFFSET(card_type!$G$1,MATCH(Q1137,card_type!A:A,0)-1,0)</f>
        <v>2</v>
      </c>
      <c r="L1137" s="157">
        <v>1</v>
      </c>
      <c r="M1137" s="157">
        <v>1</v>
      </c>
      <c r="N1137" s="153">
        <f t="shared" si="184"/>
        <v>17</v>
      </c>
      <c r="O1137" s="157"/>
      <c r="P1137" s="157"/>
      <c r="Q1137" s="153">
        <f ca="1">OFFSET(card_type!$A$1,MATCH(card!B1137,card_type!B:B,0)-1,0)</f>
        <v>2012</v>
      </c>
      <c r="R1137" s="153">
        <v>1</v>
      </c>
      <c r="S1137" s="157">
        <f ca="1">ROUND(IF(R1137=0,0,IF(R1137=1,X1137*$S$1,IF(R1137=2,X1137*$S$1*buff的资质计算!$E$2,IF(R1137=3,X1137*$S$1*buff的资质计算!$E$3,0)))),0)*0</f>
        <v>0</v>
      </c>
      <c r="T1137" s="153">
        <v>4</v>
      </c>
      <c r="U1137" s="153">
        <f ca="1" t="shared" si="187"/>
        <v>22</v>
      </c>
      <c r="V1137" s="153">
        <f ca="1">ROUND((OFFSET(卡牌辅助配置表!$O$1,MATCH(U1137,卡牌辅助配置表!M:M,0)-1,0)+(N1137-1)*OFFSET(卡牌辅助配置表!$P$1,MATCH(U1137,卡牌辅助配置表!M:M,0)-1,0))*M1137,2)</f>
        <v>24.1</v>
      </c>
      <c r="W1137" s="157">
        <f ca="1">ROUND(IF(R1137=0,0,IF(R1137=1,X1137*$W$1,IF(R1137=2,X1137*$W$1*buff的资质计算!$E$2,IF(R1137=3,X1137*$W$1*buff的资质计算!$E$3,0)))),2)</f>
        <v>7.5</v>
      </c>
      <c r="X1137" s="157">
        <f ca="1" t="shared" si="182"/>
        <v>25</v>
      </c>
      <c r="Y1137" s="157">
        <f ca="1" t="shared" si="192"/>
        <v>25</v>
      </c>
      <c r="Z1137" s="304">
        <f ca="1" t="shared" si="183"/>
        <v>25</v>
      </c>
      <c r="AA1137" s="304">
        <f ca="1">OFFSET(卡牌辅助配置表!$AD$1,MATCH(AB1137,卡牌辅助配置表!AB:AB,0)-1,0)</f>
        <v>2453</v>
      </c>
      <c r="AB1137" s="304">
        <f ca="1" t="shared" si="188"/>
        <v>2217</v>
      </c>
      <c r="AC1137" s="153">
        <v>8</v>
      </c>
      <c r="AE1137" s="153">
        <v>1</v>
      </c>
      <c r="AF1137" s="153" t="str">
        <f ca="1" t="shared" si="191"/>
        <v>20120011|</v>
      </c>
      <c r="AJ1137" s="205" t="str">
        <f ca="1" t="shared" si="189"/>
        <v>400023|8250|;</v>
      </c>
      <c r="AK1137" s="205">
        <f ca="1">OFFSET([1]item_type!$A$1,MATCH(Q1137,[1]item_type!$G:$G,0)-1,0)</f>
        <v>302012</v>
      </c>
      <c r="AL1137" s="205"/>
      <c r="AM1137" s="205">
        <f ca="1">IF(B1137=B1138,OFFSET(卡牌辅助配置表!$AE$1,MATCH(AB1137,卡牌辅助配置表!AB:AB,0),0),0)</f>
        <v>8250</v>
      </c>
      <c r="AN1137" s="153">
        <f ca="1" t="shared" si="190"/>
        <v>2012018</v>
      </c>
      <c r="AP1137" s="153" t="str">
        <f ca="1">IF(AC1137=0,0,IF(AC1137=12,0,OFFSET(effect!$N$1,MATCH(K1137,effect!M:M,0)-1,0)))</f>
        <v>kpsx_pt</v>
      </c>
    </row>
    <row r="1138" spans="1:42">
      <c r="A1138" s="153">
        <f ca="1" t="shared" si="186"/>
        <v>2012018</v>
      </c>
      <c r="B1138" s="91" t="s">
        <v>486</v>
      </c>
      <c r="C1138" s="186">
        <v>2</v>
      </c>
      <c r="D1138" s="186">
        <v>1</v>
      </c>
      <c r="E1138" s="165" t="s">
        <v>1058</v>
      </c>
      <c r="F1138" s="165" t="str">
        <f>"第一招打出时，增加"&amp;skill!$O$77/100&amp;"%伤害"</f>
        <v>第一招打出时，增加40%伤害</v>
      </c>
      <c r="G1138" s="186">
        <f ca="1">OFFSET(卡牌辅助配置表!$C$1,MATCH(AC1138,卡牌辅助配置表!A:A,0)-1,0)</f>
        <v>3</v>
      </c>
      <c r="H1138" s="186">
        <f ca="1" t="shared" si="185"/>
        <v>0</v>
      </c>
      <c r="I1138" s="186"/>
      <c r="J1138" s="186">
        <f ca="1">OFFSET(card_type!$F$1,MATCH(Q1138,card_type!A:A,0)-1,0)</f>
        <v>2</v>
      </c>
      <c r="K1138" s="243">
        <f ca="1">OFFSET(card_type!$G$1,MATCH(Q1138,card_type!A:A,0)-1,0)</f>
        <v>2</v>
      </c>
      <c r="L1138" s="157">
        <v>1</v>
      </c>
      <c r="M1138" s="157">
        <v>1</v>
      </c>
      <c r="N1138" s="153">
        <f t="shared" si="184"/>
        <v>18</v>
      </c>
      <c r="O1138" s="157"/>
      <c r="P1138" s="157"/>
      <c r="Q1138" s="153">
        <f ca="1">OFFSET(card_type!$A$1,MATCH(card!B1138,card_type!B:B,0)-1,0)</f>
        <v>2012</v>
      </c>
      <c r="R1138" s="153">
        <v>1</v>
      </c>
      <c r="S1138" s="157">
        <f ca="1">ROUND(IF(R1138=0,0,IF(R1138=1,X1138*$S$1,IF(R1138=2,X1138*$S$1*buff的资质计算!$E$2,IF(R1138=3,X1138*$S$1*buff的资质计算!$E$3,0)))),0)*0</f>
        <v>0</v>
      </c>
      <c r="T1138" s="153">
        <v>4</v>
      </c>
      <c r="U1138" s="153">
        <f ca="1" t="shared" si="187"/>
        <v>22</v>
      </c>
      <c r="V1138" s="153">
        <f ca="1">ROUND((OFFSET(卡牌辅助配置表!$O$1,MATCH(U1138,卡牌辅助配置表!M:M,0)-1,0)+(N1138-1)*OFFSET(卡牌辅助配置表!$P$1,MATCH(U1138,卡牌辅助配置表!M:M,0)-1,0))*M1138,2)</f>
        <v>24.95</v>
      </c>
      <c r="W1138" s="157">
        <f ca="1">ROUND(IF(R1138=0,0,IF(R1138=1,X1138*$W$1,IF(R1138=2,X1138*$W$1*buff的资质计算!$E$2,IF(R1138=3,X1138*$W$1*buff的资质计算!$E$3,0)))),2)</f>
        <v>7.65</v>
      </c>
      <c r="X1138" s="157">
        <f ca="1" t="shared" si="182"/>
        <v>25.5</v>
      </c>
      <c r="Y1138" s="157">
        <f ca="1" t="shared" si="192"/>
        <v>25.5</v>
      </c>
      <c r="Z1138" s="304">
        <f ca="1" t="shared" si="183"/>
        <v>25.5</v>
      </c>
      <c r="AA1138" s="304">
        <f ca="1">OFFSET(卡牌辅助配置表!$AD$1,MATCH(AB1138,卡牌辅助配置表!AB:AB,0)-1,0)</f>
        <v>2622</v>
      </c>
      <c r="AB1138" s="304">
        <f ca="1" t="shared" si="188"/>
        <v>2218</v>
      </c>
      <c r="AC1138" s="153">
        <v>8</v>
      </c>
      <c r="AE1138" s="153">
        <v>1</v>
      </c>
      <c r="AF1138" s="153" t="str">
        <f ca="1" t="shared" si="191"/>
        <v>20120011|</v>
      </c>
      <c r="AJ1138" s="205" t="str">
        <f ca="1" t="shared" si="189"/>
        <v>400023|8850|;</v>
      </c>
      <c r="AK1138" s="205">
        <f ca="1">OFFSET([1]item_type!$A$1,MATCH(Q1138,[1]item_type!$G:$G,0)-1,0)</f>
        <v>302012</v>
      </c>
      <c r="AL1138" s="205"/>
      <c r="AM1138" s="205">
        <f ca="1">IF(B1138=B1139,OFFSET(卡牌辅助配置表!$AE$1,MATCH(AB1138,卡牌辅助配置表!AB:AB,0),0),0)</f>
        <v>8850</v>
      </c>
      <c r="AN1138" s="153">
        <f ca="1" t="shared" si="190"/>
        <v>2012019</v>
      </c>
      <c r="AP1138" s="153" t="str">
        <f ca="1">IF(AC1138=0,0,IF(AC1138=12,0,OFFSET(effect!$N$1,MATCH(K1138,effect!M:M,0)-1,0)))</f>
        <v>kpsx_pt</v>
      </c>
    </row>
    <row r="1139" spans="1:42">
      <c r="A1139" s="153">
        <f ca="1" t="shared" si="186"/>
        <v>2012019</v>
      </c>
      <c r="B1139" s="91" t="s">
        <v>486</v>
      </c>
      <c r="C1139" s="186">
        <v>2</v>
      </c>
      <c r="D1139" s="186">
        <v>1</v>
      </c>
      <c r="E1139" s="165" t="s">
        <v>1058</v>
      </c>
      <c r="F1139" s="165" t="str">
        <f>"第一招打出时，增加"&amp;skill!$O$77/100&amp;"%伤害"</f>
        <v>第一招打出时，增加40%伤害</v>
      </c>
      <c r="G1139" s="186">
        <f ca="1">OFFSET(卡牌辅助配置表!$C$1,MATCH(AC1139,卡牌辅助配置表!A:A,0)-1,0)</f>
        <v>3</v>
      </c>
      <c r="H1139" s="186">
        <f ca="1" t="shared" si="185"/>
        <v>0</v>
      </c>
      <c r="I1139" s="186"/>
      <c r="J1139" s="186">
        <f ca="1">OFFSET(card_type!$F$1,MATCH(Q1139,card_type!A:A,0)-1,0)</f>
        <v>2</v>
      </c>
      <c r="K1139" s="243">
        <f ca="1">OFFSET(card_type!$G$1,MATCH(Q1139,card_type!A:A,0)-1,0)</f>
        <v>2</v>
      </c>
      <c r="L1139" s="157">
        <v>1</v>
      </c>
      <c r="M1139" s="157">
        <v>1</v>
      </c>
      <c r="N1139" s="153">
        <f t="shared" si="184"/>
        <v>19</v>
      </c>
      <c r="O1139" s="157"/>
      <c r="P1139" s="157"/>
      <c r="Q1139" s="153">
        <f ca="1">OFFSET(card_type!$A$1,MATCH(card!B1139,card_type!B:B,0)-1,0)</f>
        <v>2012</v>
      </c>
      <c r="R1139" s="153">
        <v>1</v>
      </c>
      <c r="S1139" s="157">
        <f ca="1">ROUND(IF(R1139=0,0,IF(R1139=1,X1139*$S$1,IF(R1139=2,X1139*$S$1*buff的资质计算!$E$2,IF(R1139=3,X1139*$S$1*buff的资质计算!$E$3,0)))),0)*0</f>
        <v>0</v>
      </c>
      <c r="T1139" s="153">
        <v>4</v>
      </c>
      <c r="U1139" s="153">
        <f ca="1" t="shared" si="187"/>
        <v>22</v>
      </c>
      <c r="V1139" s="153">
        <f ca="1">ROUND((OFFSET(卡牌辅助配置表!$O$1,MATCH(U1139,卡牌辅助配置表!M:M,0)-1,0)+(N1139-1)*OFFSET(卡牌辅助配置表!$P$1,MATCH(U1139,卡牌辅助配置表!M:M,0)-1,0))*M1139,2)</f>
        <v>25.8</v>
      </c>
      <c r="W1139" s="157">
        <f ca="1">ROUND(IF(R1139=0,0,IF(R1139=1,X1139*$W$1,IF(R1139=2,X1139*$W$1*buff的资质计算!$E$2,IF(R1139=3,X1139*$W$1*buff的资质计算!$E$3,0)))),2)</f>
        <v>7.8</v>
      </c>
      <c r="X1139" s="157">
        <f ca="1" t="shared" si="182"/>
        <v>26</v>
      </c>
      <c r="Y1139" s="157">
        <f ca="1" t="shared" si="192"/>
        <v>26</v>
      </c>
      <c r="Z1139" s="304">
        <f ca="1" t="shared" si="183"/>
        <v>26</v>
      </c>
      <c r="AA1139" s="304">
        <f ca="1">OFFSET(卡牌辅助配置表!$AD$1,MATCH(AB1139,卡牌辅助配置表!AB:AB,0)-1,0)</f>
        <v>2791</v>
      </c>
      <c r="AB1139" s="304">
        <f ca="1" t="shared" si="188"/>
        <v>2219</v>
      </c>
      <c r="AC1139" s="153">
        <v>8</v>
      </c>
      <c r="AE1139" s="153">
        <v>1</v>
      </c>
      <c r="AF1139" s="153" t="str">
        <f ca="1" t="shared" si="191"/>
        <v>20120011|</v>
      </c>
      <c r="AJ1139" s="205" t="str">
        <f ca="1" t="shared" si="189"/>
        <v>302012|20|;400023|9450|;</v>
      </c>
      <c r="AK1139" s="205">
        <f ca="1">OFFSET([1]item_type!$A$1,MATCH(Q1139,[1]item_type!$G:$G,0)-1,0)</f>
        <v>302012</v>
      </c>
      <c r="AL1139" s="205">
        <v>20</v>
      </c>
      <c r="AM1139" s="205">
        <f ca="1">IF(B1139=B1140,OFFSET(卡牌辅助配置表!$AE$1,MATCH(AB1139,卡牌辅助配置表!AB:AB,0),0),0)</f>
        <v>9450</v>
      </c>
      <c r="AN1139" s="153">
        <f ca="1" t="shared" si="190"/>
        <v>2012020</v>
      </c>
      <c r="AP1139" s="153" t="str">
        <f ca="1">IF(AC1139=0,0,IF(AC1139=12,0,OFFSET(effect!$N$1,MATCH(K1139,effect!M:M,0)-1,0)))</f>
        <v>kpsx_pt</v>
      </c>
    </row>
    <row r="1140" spans="1:42">
      <c r="A1140" s="153">
        <f ca="1" t="shared" si="186"/>
        <v>2012020</v>
      </c>
      <c r="B1140" s="91" t="s">
        <v>486</v>
      </c>
      <c r="C1140" s="186">
        <v>2</v>
      </c>
      <c r="D1140" s="186">
        <v>1</v>
      </c>
      <c r="E1140" s="165" t="s">
        <v>1058</v>
      </c>
      <c r="F1140" s="165" t="str">
        <f>"第一招打出时，增加"&amp;skill!$O$77/100&amp;"%伤害"</f>
        <v>第一招打出时，增加40%伤害</v>
      </c>
      <c r="G1140" s="186">
        <f ca="1">OFFSET(卡牌辅助配置表!$C$1,MATCH(AC1140,卡牌辅助配置表!A:A,0)-1,0)</f>
        <v>3</v>
      </c>
      <c r="H1140" s="186">
        <f ca="1" t="shared" si="185"/>
        <v>0</v>
      </c>
      <c r="I1140" s="186"/>
      <c r="J1140" s="186">
        <f ca="1">OFFSET(card_type!$F$1,MATCH(Q1140,card_type!A:A,0)-1,0)</f>
        <v>2</v>
      </c>
      <c r="K1140" s="243">
        <f ca="1">OFFSET(card_type!$G$1,MATCH(Q1140,card_type!A:A,0)-1,0)</f>
        <v>2</v>
      </c>
      <c r="L1140" s="157">
        <v>1</v>
      </c>
      <c r="M1140" s="157">
        <v>1</v>
      </c>
      <c r="N1140" s="153">
        <f t="shared" si="184"/>
        <v>20</v>
      </c>
      <c r="O1140" s="157"/>
      <c r="P1140" s="157"/>
      <c r="Q1140" s="153">
        <f ca="1">OFFSET(card_type!$A$1,MATCH(card!B1140,card_type!B:B,0)-1,0)</f>
        <v>2012</v>
      </c>
      <c r="R1140" s="153">
        <v>1</v>
      </c>
      <c r="S1140" s="157">
        <f ca="1">ROUND(IF(R1140=0,0,IF(R1140=1,X1140*$S$1,IF(R1140=2,X1140*$S$1*buff的资质计算!$E$2,IF(R1140=3,X1140*$S$1*buff的资质计算!$E$3,0)))),0)*0</f>
        <v>0</v>
      </c>
      <c r="T1140" s="153">
        <v>4</v>
      </c>
      <c r="U1140" s="153">
        <f ca="1" t="shared" si="187"/>
        <v>22</v>
      </c>
      <c r="V1140" s="153">
        <f ca="1">ROUND((OFFSET(卡牌辅助配置表!$O$1,MATCH(U1140,卡牌辅助配置表!M:M,0)-1,0)+(N1140-1)*OFFSET(卡牌辅助配置表!$P$1,MATCH(U1140,卡牌辅助配置表!M:M,0)-1,0))*M1140,2)</f>
        <v>26.65</v>
      </c>
      <c r="W1140" s="157">
        <f ca="1">ROUND(IF(R1140=0,0,IF(R1140=1,X1140*$W$1,IF(R1140=2,X1140*$W$1*buff的资质计算!$E$2,IF(R1140=3,X1140*$W$1*buff的资质计算!$E$3,0)))),2)</f>
        <v>7.95</v>
      </c>
      <c r="X1140" s="157">
        <f ca="1" t="shared" ref="X1140:X1203" si="193">M1140*($M$1+(J1140-1)*$J$1+(K1140-1)*$K$1)+G1140+$J$1*(N1140-1)/$N$1</f>
        <v>26.5</v>
      </c>
      <c r="Y1140" s="157">
        <f ca="1" t="shared" si="192"/>
        <v>26.5</v>
      </c>
      <c r="Z1140" s="304">
        <f ca="1" t="shared" ref="Z1140:Z1203" si="194">Y1140/M1140</f>
        <v>26.5</v>
      </c>
      <c r="AA1140" s="304">
        <f ca="1">OFFSET(卡牌辅助配置表!$AD$1,MATCH(AB1140,卡牌辅助配置表!AB:AB,0)-1,0)</f>
        <v>2960</v>
      </c>
      <c r="AB1140" s="304">
        <f ca="1" t="shared" si="188"/>
        <v>2220</v>
      </c>
      <c r="AC1140" s="153">
        <v>8</v>
      </c>
      <c r="AE1140" s="153">
        <v>1</v>
      </c>
      <c r="AF1140" s="153" t="str">
        <f ca="1" t="shared" si="191"/>
        <v>20120011|</v>
      </c>
      <c r="AJ1140" s="205" t="str">
        <f ca="1" t="shared" si="189"/>
        <v>400023|10650|;</v>
      </c>
      <c r="AK1140" s="205">
        <f ca="1">OFFSET([1]item_type!$A$1,MATCH(Q1140,[1]item_type!$G:$G,0)-1,0)</f>
        <v>302012</v>
      </c>
      <c r="AL1140" s="205"/>
      <c r="AM1140" s="205">
        <f ca="1">IF(B1140=B1141,OFFSET(卡牌辅助配置表!$AE$1,MATCH(AB1140,卡牌辅助配置表!AB:AB,0),0),0)</f>
        <v>10650</v>
      </c>
      <c r="AN1140" s="153">
        <f ca="1" t="shared" si="190"/>
        <v>2012021</v>
      </c>
      <c r="AP1140" s="153" t="str">
        <f ca="1">IF(AC1140=0,0,IF(AC1140=12,0,OFFSET(effect!$N$1,MATCH(K1140,effect!M:M,0)-1,0)))</f>
        <v>kpsx_pt</v>
      </c>
    </row>
    <row r="1141" spans="1:42">
      <c r="A1141" s="153">
        <f ca="1" t="shared" si="186"/>
        <v>2012021</v>
      </c>
      <c r="B1141" s="91" t="s">
        <v>486</v>
      </c>
      <c r="C1141" s="186">
        <v>2</v>
      </c>
      <c r="D1141" s="186">
        <v>1</v>
      </c>
      <c r="E1141" s="165" t="s">
        <v>1058</v>
      </c>
      <c r="F1141" s="165" t="str">
        <f>"第一招打出时，增加"&amp;skill!$O$77/100&amp;"%伤害"</f>
        <v>第一招打出时，增加40%伤害</v>
      </c>
      <c r="G1141" s="186">
        <f ca="1">OFFSET(卡牌辅助配置表!$C$1,MATCH(AC1141,卡牌辅助配置表!A:A,0)-1,0)</f>
        <v>3</v>
      </c>
      <c r="H1141" s="186">
        <f ca="1" t="shared" si="185"/>
        <v>0</v>
      </c>
      <c r="I1141" s="186"/>
      <c r="J1141" s="186">
        <f ca="1">OFFSET(card_type!$F$1,MATCH(Q1141,card_type!A:A,0)-1,0)</f>
        <v>2</v>
      </c>
      <c r="K1141" s="243">
        <f ca="1">OFFSET(card_type!$G$1,MATCH(Q1141,card_type!A:A,0)-1,0)</f>
        <v>2</v>
      </c>
      <c r="L1141" s="157">
        <v>1</v>
      </c>
      <c r="M1141" s="157">
        <v>1</v>
      </c>
      <c r="N1141" s="153">
        <f t="shared" ref="N1141:N1204" si="195">IF(B1140=B1141,N1140+1,1)</f>
        <v>21</v>
      </c>
      <c r="O1141" s="157"/>
      <c r="P1141" s="157"/>
      <c r="Q1141" s="153">
        <f ca="1">OFFSET(card_type!$A$1,MATCH(card!B1141,card_type!B:B,0)-1,0)</f>
        <v>2012</v>
      </c>
      <c r="R1141" s="153">
        <v>1</v>
      </c>
      <c r="S1141" s="157">
        <f ca="1">ROUND(IF(R1141=0,0,IF(R1141=1,X1141*$S$1,IF(R1141=2,X1141*$S$1*buff的资质计算!$E$2,IF(R1141=3,X1141*$S$1*buff的资质计算!$E$3,0)))),0)*0</f>
        <v>0</v>
      </c>
      <c r="T1141" s="153">
        <v>4</v>
      </c>
      <c r="U1141" s="153">
        <f ca="1" t="shared" si="187"/>
        <v>22</v>
      </c>
      <c r="V1141" s="153">
        <f ca="1">ROUND((OFFSET(卡牌辅助配置表!$O$1,MATCH(U1141,卡牌辅助配置表!M:M,0)-1,0)+(N1141-1)*OFFSET(卡牌辅助配置表!$P$1,MATCH(U1141,卡牌辅助配置表!M:M,0)-1,0))*M1141,2)</f>
        <v>27.5</v>
      </c>
      <c r="W1141" s="157">
        <f ca="1">ROUND(IF(R1141=0,0,IF(R1141=1,X1141*$W$1,IF(R1141=2,X1141*$W$1*buff的资质计算!$E$2,IF(R1141=3,X1141*$W$1*buff的资质计算!$E$3,0)))),2)</f>
        <v>8.1</v>
      </c>
      <c r="X1141" s="157">
        <f ca="1" t="shared" si="193"/>
        <v>27</v>
      </c>
      <c r="Y1141" s="157">
        <f ca="1" t="shared" si="192"/>
        <v>27</v>
      </c>
      <c r="Z1141" s="304">
        <f ca="1" t="shared" si="194"/>
        <v>27</v>
      </c>
      <c r="AA1141" s="304">
        <f ca="1">OFFSET(卡牌辅助配置表!$AD$1,MATCH(AB1141,卡牌辅助配置表!AB:AB,0)-1,0)</f>
        <v>3129</v>
      </c>
      <c r="AB1141" s="304">
        <f ca="1" t="shared" si="188"/>
        <v>2221</v>
      </c>
      <c r="AC1141" s="153">
        <v>8</v>
      </c>
      <c r="AE1141" s="153">
        <v>1</v>
      </c>
      <c r="AF1141" s="153" t="str">
        <f ca="1" t="shared" si="191"/>
        <v>20120011|</v>
      </c>
      <c r="AJ1141" s="205" t="str">
        <f ca="1" t="shared" si="189"/>
        <v>400023|11850|;</v>
      </c>
      <c r="AK1141" s="205">
        <f ca="1">OFFSET([1]item_type!$A$1,MATCH(Q1141,[1]item_type!$G:$G,0)-1,0)</f>
        <v>302012</v>
      </c>
      <c r="AL1141" s="205"/>
      <c r="AM1141" s="205">
        <f ca="1">IF(B1141=B1142,OFFSET(卡牌辅助配置表!$AE$1,MATCH(AB1141,卡牌辅助配置表!AB:AB,0),0),0)</f>
        <v>11850</v>
      </c>
      <c r="AN1141" s="153">
        <f ca="1" t="shared" si="190"/>
        <v>2012022</v>
      </c>
      <c r="AP1141" s="153" t="str">
        <f ca="1">IF(AC1141=0,0,IF(AC1141=12,0,OFFSET(effect!$N$1,MATCH(K1141,effect!M:M,0)-1,0)))</f>
        <v>kpsx_pt</v>
      </c>
    </row>
    <row r="1142" spans="1:42">
      <c r="A1142" s="153">
        <f ca="1" t="shared" si="186"/>
        <v>2012022</v>
      </c>
      <c r="B1142" s="91" t="s">
        <v>486</v>
      </c>
      <c r="C1142" s="186">
        <v>2</v>
      </c>
      <c r="D1142" s="186">
        <v>1</v>
      </c>
      <c r="E1142" s="165" t="s">
        <v>1058</v>
      </c>
      <c r="F1142" s="165" t="str">
        <f>"第一招打出时，增加"&amp;skill!$O$77/100&amp;"%伤害"</f>
        <v>第一招打出时，增加40%伤害</v>
      </c>
      <c r="G1142" s="186">
        <f ca="1">OFFSET(卡牌辅助配置表!$C$1,MATCH(AC1142,卡牌辅助配置表!A:A,0)-1,0)</f>
        <v>3</v>
      </c>
      <c r="H1142" s="186">
        <f ca="1" t="shared" si="185"/>
        <v>0</v>
      </c>
      <c r="I1142" s="186"/>
      <c r="J1142" s="186">
        <f ca="1">OFFSET(card_type!$F$1,MATCH(Q1142,card_type!A:A,0)-1,0)</f>
        <v>2</v>
      </c>
      <c r="K1142" s="243">
        <f ca="1">OFFSET(card_type!$G$1,MATCH(Q1142,card_type!A:A,0)-1,0)</f>
        <v>2</v>
      </c>
      <c r="L1142" s="157">
        <v>1</v>
      </c>
      <c r="M1142" s="157">
        <v>1</v>
      </c>
      <c r="N1142" s="153">
        <f t="shared" si="195"/>
        <v>22</v>
      </c>
      <c r="O1142" s="157"/>
      <c r="P1142" s="157"/>
      <c r="Q1142" s="153">
        <f ca="1">OFFSET(card_type!$A$1,MATCH(card!B1142,card_type!B:B,0)-1,0)</f>
        <v>2012</v>
      </c>
      <c r="R1142" s="153">
        <v>1</v>
      </c>
      <c r="S1142" s="157">
        <f ca="1">ROUND(IF(R1142=0,0,IF(R1142=1,X1142*$S$1,IF(R1142=2,X1142*$S$1*buff的资质计算!$E$2,IF(R1142=3,X1142*$S$1*buff的资质计算!$E$3,0)))),0)*0</f>
        <v>0</v>
      </c>
      <c r="T1142" s="153">
        <v>4</v>
      </c>
      <c r="U1142" s="153">
        <f ca="1" t="shared" si="187"/>
        <v>22</v>
      </c>
      <c r="V1142" s="153">
        <f ca="1">ROUND((OFFSET(卡牌辅助配置表!$O$1,MATCH(U1142,卡牌辅助配置表!M:M,0)-1,0)+(N1142-1)*OFFSET(卡牌辅助配置表!$P$1,MATCH(U1142,卡牌辅助配置表!M:M,0)-1,0))*M1142,2)</f>
        <v>28.35</v>
      </c>
      <c r="W1142" s="157">
        <f ca="1">ROUND(IF(R1142=0,0,IF(R1142=1,X1142*$W$1,IF(R1142=2,X1142*$W$1*buff的资质计算!$E$2,IF(R1142=3,X1142*$W$1*buff的资质计算!$E$3,0)))),2)</f>
        <v>8.25</v>
      </c>
      <c r="X1142" s="157">
        <f ca="1" t="shared" si="193"/>
        <v>27.5</v>
      </c>
      <c r="Y1142" s="157">
        <f ca="1" t="shared" si="192"/>
        <v>27.5</v>
      </c>
      <c r="Z1142" s="304">
        <f ca="1" t="shared" si="194"/>
        <v>27.5</v>
      </c>
      <c r="AA1142" s="304">
        <f ca="1">OFFSET(卡牌辅助配置表!$AD$1,MATCH(AB1142,卡牌辅助配置表!AB:AB,0)-1,0)</f>
        <v>3298</v>
      </c>
      <c r="AB1142" s="304">
        <f ca="1" t="shared" si="188"/>
        <v>2222</v>
      </c>
      <c r="AC1142" s="153">
        <v>8</v>
      </c>
      <c r="AE1142" s="153">
        <v>1</v>
      </c>
      <c r="AF1142" s="153" t="str">
        <f ca="1" t="shared" si="191"/>
        <v>20120011|</v>
      </c>
      <c r="AJ1142" s="205" t="str">
        <f ca="1" t="shared" si="189"/>
        <v>400023|13050|;</v>
      </c>
      <c r="AK1142" s="205">
        <f ca="1">OFFSET([1]item_type!$A$1,MATCH(Q1142,[1]item_type!$G:$G,0)-1,0)</f>
        <v>302012</v>
      </c>
      <c r="AL1142" s="205"/>
      <c r="AM1142" s="205">
        <f ca="1">IF(B1142=B1143,OFFSET(卡牌辅助配置表!$AE$1,MATCH(AB1142,卡牌辅助配置表!AB:AB,0),0),0)</f>
        <v>13050</v>
      </c>
      <c r="AN1142" s="153">
        <f ca="1" t="shared" si="190"/>
        <v>2012023</v>
      </c>
      <c r="AP1142" s="153" t="str">
        <f ca="1">IF(AC1142=0,0,IF(AC1142=12,0,OFFSET(effect!$N$1,MATCH(K1142,effect!M:M,0)-1,0)))</f>
        <v>kpsx_pt</v>
      </c>
    </row>
    <row r="1143" spans="1:42">
      <c r="A1143" s="153">
        <f ca="1" t="shared" si="186"/>
        <v>2012023</v>
      </c>
      <c r="B1143" s="91" t="s">
        <v>486</v>
      </c>
      <c r="C1143" s="186">
        <v>2</v>
      </c>
      <c r="D1143" s="186">
        <v>1</v>
      </c>
      <c r="E1143" s="165" t="s">
        <v>1058</v>
      </c>
      <c r="F1143" s="165" t="str">
        <f>"第一招打出时，增加"&amp;skill!$O$77/100&amp;"%伤害"</f>
        <v>第一招打出时，增加40%伤害</v>
      </c>
      <c r="G1143" s="186">
        <f ca="1">OFFSET(卡牌辅助配置表!$C$1,MATCH(AC1143,卡牌辅助配置表!A:A,0)-1,0)</f>
        <v>3</v>
      </c>
      <c r="H1143" s="186">
        <f ca="1" t="shared" si="185"/>
        <v>0</v>
      </c>
      <c r="I1143" s="186"/>
      <c r="J1143" s="186">
        <f ca="1">OFFSET(card_type!$F$1,MATCH(Q1143,card_type!A:A,0)-1,0)</f>
        <v>2</v>
      </c>
      <c r="K1143" s="243">
        <f ca="1">OFFSET(card_type!$G$1,MATCH(Q1143,card_type!A:A,0)-1,0)</f>
        <v>2</v>
      </c>
      <c r="L1143" s="157">
        <v>1</v>
      </c>
      <c r="M1143" s="157">
        <v>1</v>
      </c>
      <c r="N1143" s="153">
        <f t="shared" si="195"/>
        <v>23</v>
      </c>
      <c r="O1143" s="157"/>
      <c r="P1143" s="157"/>
      <c r="Q1143" s="153">
        <f ca="1">OFFSET(card_type!$A$1,MATCH(card!B1143,card_type!B:B,0)-1,0)</f>
        <v>2012</v>
      </c>
      <c r="R1143" s="153">
        <v>1</v>
      </c>
      <c r="S1143" s="157">
        <f ca="1">ROUND(IF(R1143=0,0,IF(R1143=1,X1143*$S$1,IF(R1143=2,X1143*$S$1*buff的资质计算!$E$2,IF(R1143=3,X1143*$S$1*buff的资质计算!$E$3,0)))),0)*0</f>
        <v>0</v>
      </c>
      <c r="T1143" s="153">
        <v>4</v>
      </c>
      <c r="U1143" s="153">
        <f ca="1" t="shared" si="187"/>
        <v>22</v>
      </c>
      <c r="V1143" s="153">
        <f ca="1">ROUND((OFFSET(卡牌辅助配置表!$O$1,MATCH(U1143,卡牌辅助配置表!M:M,0)-1,0)+(N1143-1)*OFFSET(卡牌辅助配置表!$P$1,MATCH(U1143,卡牌辅助配置表!M:M,0)-1,0))*M1143,2)</f>
        <v>29.2</v>
      </c>
      <c r="W1143" s="157">
        <f ca="1">ROUND(IF(R1143=0,0,IF(R1143=1,X1143*$W$1,IF(R1143=2,X1143*$W$1*buff的资质计算!$E$2,IF(R1143=3,X1143*$W$1*buff的资质计算!$E$3,0)))),2)</f>
        <v>8.4</v>
      </c>
      <c r="X1143" s="157">
        <f ca="1" t="shared" si="193"/>
        <v>28</v>
      </c>
      <c r="Y1143" s="157">
        <f ca="1" t="shared" si="192"/>
        <v>28</v>
      </c>
      <c r="Z1143" s="304">
        <f ca="1" t="shared" si="194"/>
        <v>28</v>
      </c>
      <c r="AA1143" s="304">
        <f ca="1">OFFSET(卡牌辅助配置表!$AD$1,MATCH(AB1143,卡牌辅助配置表!AB:AB,0)-1,0)</f>
        <v>3467</v>
      </c>
      <c r="AB1143" s="304">
        <f ca="1" t="shared" si="188"/>
        <v>2223</v>
      </c>
      <c r="AC1143" s="153">
        <v>8</v>
      </c>
      <c r="AE1143" s="153">
        <v>1</v>
      </c>
      <c r="AF1143" s="153" t="str">
        <f ca="1" t="shared" si="191"/>
        <v>20120011|</v>
      </c>
      <c r="AJ1143" s="205" t="str">
        <f ca="1" t="shared" si="189"/>
        <v>400023|14250|;</v>
      </c>
      <c r="AK1143" s="205">
        <f ca="1">OFFSET([1]item_type!$A$1,MATCH(Q1143,[1]item_type!$G:$G,0)-1,0)</f>
        <v>302012</v>
      </c>
      <c r="AL1143" s="205"/>
      <c r="AM1143" s="205">
        <f ca="1">IF(B1143=B1144,OFFSET(卡牌辅助配置表!$AE$1,MATCH(AB1143,卡牌辅助配置表!AB:AB,0),0),0)</f>
        <v>14250</v>
      </c>
      <c r="AN1143" s="153">
        <f ca="1" t="shared" si="190"/>
        <v>2012024</v>
      </c>
      <c r="AP1143" s="153" t="str">
        <f ca="1">IF(AC1143=0,0,IF(AC1143=12,0,OFFSET(effect!$N$1,MATCH(K1143,effect!M:M,0)-1,0)))</f>
        <v>kpsx_pt</v>
      </c>
    </row>
    <row r="1144" spans="1:42">
      <c r="A1144" s="153">
        <f ca="1" t="shared" si="186"/>
        <v>2012024</v>
      </c>
      <c r="B1144" s="91" t="s">
        <v>486</v>
      </c>
      <c r="C1144" s="186">
        <v>2</v>
      </c>
      <c r="D1144" s="186">
        <v>1</v>
      </c>
      <c r="E1144" s="165" t="s">
        <v>1058</v>
      </c>
      <c r="F1144" s="165" t="str">
        <f>"第一招打出时，增加"&amp;skill!$O$77/100&amp;"%伤害"</f>
        <v>第一招打出时，增加40%伤害</v>
      </c>
      <c r="G1144" s="186">
        <f ca="1">OFFSET(卡牌辅助配置表!$C$1,MATCH(AC1144,卡牌辅助配置表!A:A,0)-1,0)</f>
        <v>3</v>
      </c>
      <c r="H1144" s="186">
        <f ca="1" t="shared" si="185"/>
        <v>0</v>
      </c>
      <c r="I1144" s="186"/>
      <c r="J1144" s="186">
        <f ca="1">OFFSET(card_type!$F$1,MATCH(Q1144,card_type!A:A,0)-1,0)</f>
        <v>2</v>
      </c>
      <c r="K1144" s="243">
        <f ca="1">OFFSET(card_type!$G$1,MATCH(Q1144,card_type!A:A,0)-1,0)</f>
        <v>2</v>
      </c>
      <c r="L1144" s="157">
        <v>1</v>
      </c>
      <c r="M1144" s="157">
        <v>1</v>
      </c>
      <c r="N1144" s="153">
        <f t="shared" si="195"/>
        <v>24</v>
      </c>
      <c r="O1144" s="157"/>
      <c r="P1144" s="157"/>
      <c r="Q1144" s="153">
        <f ca="1">OFFSET(card_type!$A$1,MATCH(card!B1144,card_type!B:B,0)-1,0)</f>
        <v>2012</v>
      </c>
      <c r="R1144" s="153">
        <v>1</v>
      </c>
      <c r="S1144" s="157">
        <f ca="1">ROUND(IF(R1144=0,0,IF(R1144=1,X1144*$S$1,IF(R1144=2,X1144*$S$1*buff的资质计算!$E$2,IF(R1144=3,X1144*$S$1*buff的资质计算!$E$3,0)))),0)*0</f>
        <v>0</v>
      </c>
      <c r="T1144" s="153">
        <v>4</v>
      </c>
      <c r="U1144" s="153">
        <f ca="1" t="shared" si="187"/>
        <v>22</v>
      </c>
      <c r="V1144" s="153">
        <f ca="1">ROUND((OFFSET(卡牌辅助配置表!$O$1,MATCH(U1144,卡牌辅助配置表!M:M,0)-1,0)+(N1144-1)*OFFSET(卡牌辅助配置表!$P$1,MATCH(U1144,卡牌辅助配置表!M:M,0)-1,0))*M1144,2)</f>
        <v>30.05</v>
      </c>
      <c r="W1144" s="157">
        <f ca="1">ROUND(IF(R1144=0,0,IF(R1144=1,X1144*$W$1,IF(R1144=2,X1144*$W$1*buff的资质计算!$E$2,IF(R1144=3,X1144*$W$1*buff的资质计算!$E$3,0)))),2)</f>
        <v>8.55</v>
      </c>
      <c r="X1144" s="157">
        <f ca="1" t="shared" si="193"/>
        <v>28.5</v>
      </c>
      <c r="Y1144" s="157">
        <f ca="1" t="shared" si="192"/>
        <v>28.5</v>
      </c>
      <c r="Z1144" s="304">
        <f ca="1" t="shared" si="194"/>
        <v>28.5</v>
      </c>
      <c r="AA1144" s="304">
        <f ca="1">OFFSET(卡牌辅助配置表!$AD$1,MATCH(AB1144,卡牌辅助配置表!AB:AB,0)-1,0)</f>
        <v>3636</v>
      </c>
      <c r="AB1144" s="304">
        <f ca="1" t="shared" si="188"/>
        <v>2224</v>
      </c>
      <c r="AC1144" s="153">
        <v>8</v>
      </c>
      <c r="AE1144" s="153">
        <v>1</v>
      </c>
      <c r="AF1144" s="153" t="str">
        <f ca="1" t="shared" si="191"/>
        <v>20120011|</v>
      </c>
      <c r="AJ1144" s="205" t="str">
        <f ca="1" t="shared" si="189"/>
        <v>400023|15450|;</v>
      </c>
      <c r="AK1144" s="205">
        <f ca="1">OFFSET([1]item_type!$A$1,MATCH(Q1144,[1]item_type!$G:$G,0)-1,0)</f>
        <v>302012</v>
      </c>
      <c r="AL1144" s="205"/>
      <c r="AM1144" s="205">
        <f ca="1">IF(B1144=B1145,OFFSET(卡牌辅助配置表!$AE$1,MATCH(AB1144,卡牌辅助配置表!AB:AB,0),0),0)</f>
        <v>15450</v>
      </c>
      <c r="AN1144" s="153">
        <f ca="1" t="shared" si="190"/>
        <v>2012025</v>
      </c>
      <c r="AP1144" s="153" t="str">
        <f ca="1">IF(AC1144=0,0,IF(AC1144=12,0,OFFSET(effect!$N$1,MATCH(K1144,effect!M:M,0)-1,0)))</f>
        <v>kpsx_pt</v>
      </c>
    </row>
    <row r="1145" spans="1:42">
      <c r="A1145" s="153">
        <f ca="1" t="shared" si="186"/>
        <v>2012025</v>
      </c>
      <c r="B1145" s="91" t="s">
        <v>486</v>
      </c>
      <c r="C1145" s="186">
        <v>2</v>
      </c>
      <c r="D1145" s="186">
        <v>1</v>
      </c>
      <c r="E1145" s="165" t="s">
        <v>1058</v>
      </c>
      <c r="F1145" s="165" t="str">
        <f>"第一招打出时，增加"&amp;skill!$O$77/100&amp;"%伤害"</f>
        <v>第一招打出时，增加40%伤害</v>
      </c>
      <c r="G1145" s="186">
        <f ca="1">OFFSET(卡牌辅助配置表!$C$1,MATCH(AC1145,卡牌辅助配置表!A:A,0)-1,0)</f>
        <v>3</v>
      </c>
      <c r="H1145" s="186">
        <f ca="1" t="shared" si="185"/>
        <v>0</v>
      </c>
      <c r="I1145" s="186"/>
      <c r="J1145" s="186">
        <f ca="1">OFFSET(card_type!$F$1,MATCH(Q1145,card_type!A:A,0)-1,0)</f>
        <v>2</v>
      </c>
      <c r="K1145" s="243">
        <f ca="1">OFFSET(card_type!$G$1,MATCH(Q1145,card_type!A:A,0)-1,0)</f>
        <v>2</v>
      </c>
      <c r="L1145" s="157">
        <v>1</v>
      </c>
      <c r="M1145" s="157">
        <v>1</v>
      </c>
      <c r="N1145" s="153">
        <f t="shared" si="195"/>
        <v>25</v>
      </c>
      <c r="O1145" s="157"/>
      <c r="P1145" s="157"/>
      <c r="Q1145" s="153">
        <f ca="1">OFFSET(card_type!$A$1,MATCH(card!B1145,card_type!B:B,0)-1,0)</f>
        <v>2012</v>
      </c>
      <c r="R1145" s="153">
        <v>1</v>
      </c>
      <c r="S1145" s="157">
        <f ca="1">ROUND(IF(R1145=0,0,IF(R1145=1,X1145*$S$1,IF(R1145=2,X1145*$S$1*buff的资质计算!$E$2,IF(R1145=3,X1145*$S$1*buff的资质计算!$E$3,0)))),0)*0</f>
        <v>0</v>
      </c>
      <c r="T1145" s="153">
        <v>4</v>
      </c>
      <c r="U1145" s="153">
        <f ca="1" t="shared" si="187"/>
        <v>22</v>
      </c>
      <c r="V1145" s="153">
        <f ca="1">ROUND((OFFSET(卡牌辅助配置表!$O$1,MATCH(U1145,卡牌辅助配置表!M:M,0)-1,0)+(N1145-1)*OFFSET(卡牌辅助配置表!$P$1,MATCH(U1145,卡牌辅助配置表!M:M,0)-1,0))*M1145,2)</f>
        <v>30.9</v>
      </c>
      <c r="W1145" s="157">
        <f ca="1">ROUND(IF(R1145=0,0,IF(R1145=1,X1145*$W$1,IF(R1145=2,X1145*$W$1*buff的资质计算!$E$2,IF(R1145=3,X1145*$W$1*buff的资质计算!$E$3,0)))),2)</f>
        <v>8.7</v>
      </c>
      <c r="X1145" s="157">
        <f ca="1" t="shared" si="193"/>
        <v>29</v>
      </c>
      <c r="Y1145" s="157">
        <f ca="1" t="shared" si="192"/>
        <v>29</v>
      </c>
      <c r="Z1145" s="304">
        <f ca="1" t="shared" si="194"/>
        <v>29</v>
      </c>
      <c r="AA1145" s="304">
        <f ca="1">OFFSET(卡牌辅助配置表!$AD$1,MATCH(AB1145,卡牌辅助配置表!AB:AB,0)-1,0)</f>
        <v>3805</v>
      </c>
      <c r="AB1145" s="304">
        <f ca="1" t="shared" si="188"/>
        <v>2225</v>
      </c>
      <c r="AC1145" s="153">
        <v>8</v>
      </c>
      <c r="AE1145" s="153">
        <v>1</v>
      </c>
      <c r="AF1145" s="153" t="str">
        <f ca="1" t="shared" si="191"/>
        <v>20120011|</v>
      </c>
      <c r="AJ1145" s="205" t="str">
        <f ca="1" t="shared" si="189"/>
        <v>400023|16650|;</v>
      </c>
      <c r="AK1145" s="205">
        <f ca="1">OFFSET([1]item_type!$A$1,MATCH(Q1145,[1]item_type!$G:$G,0)-1,0)</f>
        <v>302012</v>
      </c>
      <c r="AL1145" s="205"/>
      <c r="AM1145" s="205">
        <f ca="1">IF(B1145=B1146,OFFSET(卡牌辅助配置表!$AE$1,MATCH(AB1145,卡牌辅助配置表!AB:AB,0),0),0)</f>
        <v>16650</v>
      </c>
      <c r="AN1145" s="153">
        <f ca="1" t="shared" si="190"/>
        <v>2012026</v>
      </c>
      <c r="AP1145" s="153" t="str">
        <f ca="1">IF(AC1145=0,0,IF(AC1145=12,0,OFFSET(effect!$N$1,MATCH(K1145,effect!M:M,0)-1,0)))</f>
        <v>kpsx_pt</v>
      </c>
    </row>
    <row r="1146" spans="1:42">
      <c r="A1146" s="153">
        <f ca="1" t="shared" si="186"/>
        <v>2012026</v>
      </c>
      <c r="B1146" s="91" t="s">
        <v>486</v>
      </c>
      <c r="C1146" s="186">
        <v>2</v>
      </c>
      <c r="D1146" s="186">
        <v>1</v>
      </c>
      <c r="E1146" s="165" t="s">
        <v>1058</v>
      </c>
      <c r="F1146" s="165" t="str">
        <f>"第一招打出时，增加"&amp;skill!$O$77/100&amp;"%伤害"</f>
        <v>第一招打出时，增加40%伤害</v>
      </c>
      <c r="G1146" s="186">
        <f ca="1">OFFSET(卡牌辅助配置表!$C$1,MATCH(AC1146,卡牌辅助配置表!A:A,0)-1,0)</f>
        <v>3</v>
      </c>
      <c r="H1146" s="186">
        <f ca="1" t="shared" si="185"/>
        <v>0</v>
      </c>
      <c r="I1146" s="186"/>
      <c r="J1146" s="186">
        <f ca="1">OFFSET(card_type!$F$1,MATCH(Q1146,card_type!A:A,0)-1,0)</f>
        <v>2</v>
      </c>
      <c r="K1146" s="243">
        <f ca="1">OFFSET(card_type!$G$1,MATCH(Q1146,card_type!A:A,0)-1,0)</f>
        <v>2</v>
      </c>
      <c r="L1146" s="157">
        <v>1</v>
      </c>
      <c r="M1146" s="157">
        <v>1</v>
      </c>
      <c r="N1146" s="153">
        <f t="shared" si="195"/>
        <v>26</v>
      </c>
      <c r="O1146" s="157"/>
      <c r="P1146" s="157"/>
      <c r="Q1146" s="153">
        <f ca="1">OFFSET(card_type!$A$1,MATCH(card!B1146,card_type!B:B,0)-1,0)</f>
        <v>2012</v>
      </c>
      <c r="R1146" s="153">
        <v>1</v>
      </c>
      <c r="S1146" s="157">
        <f ca="1">ROUND(IF(R1146=0,0,IF(R1146=1,X1146*$S$1,IF(R1146=2,X1146*$S$1*buff的资质计算!$E$2,IF(R1146=3,X1146*$S$1*buff的资质计算!$E$3,0)))),0)*0</f>
        <v>0</v>
      </c>
      <c r="T1146" s="153">
        <v>4</v>
      </c>
      <c r="U1146" s="153">
        <f ca="1" t="shared" si="187"/>
        <v>22</v>
      </c>
      <c r="V1146" s="153">
        <f ca="1">ROUND((OFFSET(卡牌辅助配置表!$O$1,MATCH(U1146,卡牌辅助配置表!M:M,0)-1,0)+(N1146-1)*OFFSET(卡牌辅助配置表!$P$1,MATCH(U1146,卡牌辅助配置表!M:M,0)-1,0))*M1146,2)</f>
        <v>31.75</v>
      </c>
      <c r="W1146" s="157">
        <f ca="1">ROUND(IF(R1146=0,0,IF(R1146=1,X1146*$W$1,IF(R1146=2,X1146*$W$1*buff的资质计算!$E$2,IF(R1146=3,X1146*$W$1*buff的资质计算!$E$3,0)))),2)</f>
        <v>8.85</v>
      </c>
      <c r="X1146" s="157">
        <f ca="1" t="shared" si="193"/>
        <v>29.5</v>
      </c>
      <c r="Y1146" s="157">
        <f ca="1" t="shared" si="192"/>
        <v>29.5</v>
      </c>
      <c r="Z1146" s="304">
        <f ca="1" t="shared" si="194"/>
        <v>29.5</v>
      </c>
      <c r="AA1146" s="304">
        <f ca="1">OFFSET(卡牌辅助配置表!$AD$1,MATCH(AB1146,卡牌辅助配置表!AB:AB,0)-1,0)</f>
        <v>3974</v>
      </c>
      <c r="AB1146" s="304">
        <f ca="1" t="shared" si="188"/>
        <v>2226</v>
      </c>
      <c r="AC1146" s="153">
        <v>8</v>
      </c>
      <c r="AE1146" s="153">
        <v>1</v>
      </c>
      <c r="AF1146" s="153" t="str">
        <f ca="1" t="shared" si="191"/>
        <v>20120011|</v>
      </c>
      <c r="AJ1146" s="205" t="str">
        <f ca="1" t="shared" si="189"/>
        <v>400023|17850|;</v>
      </c>
      <c r="AK1146" s="205">
        <f ca="1">OFFSET([1]item_type!$A$1,MATCH(Q1146,[1]item_type!$G:$G,0)-1,0)</f>
        <v>302012</v>
      </c>
      <c r="AL1146" s="205"/>
      <c r="AM1146" s="205">
        <f ca="1">IF(B1146=B1147,OFFSET(卡牌辅助配置表!$AE$1,MATCH(AB1146,卡牌辅助配置表!AB:AB,0),0),0)</f>
        <v>17850</v>
      </c>
      <c r="AN1146" s="153">
        <f ca="1" t="shared" si="190"/>
        <v>2012027</v>
      </c>
      <c r="AP1146" s="153" t="str">
        <f ca="1">IF(AC1146=0,0,IF(AC1146=12,0,OFFSET(effect!$N$1,MATCH(K1146,effect!M:M,0)-1,0)))</f>
        <v>kpsx_pt</v>
      </c>
    </row>
    <row r="1147" spans="1:42">
      <c r="A1147" s="153">
        <f ca="1" t="shared" si="186"/>
        <v>2012027</v>
      </c>
      <c r="B1147" s="91" t="s">
        <v>486</v>
      </c>
      <c r="C1147" s="186">
        <v>2</v>
      </c>
      <c r="D1147" s="186">
        <v>1</v>
      </c>
      <c r="E1147" s="165" t="s">
        <v>1058</v>
      </c>
      <c r="F1147" s="165" t="str">
        <f>"第一招打出时，增加"&amp;skill!$O$77/100&amp;"%伤害"</f>
        <v>第一招打出时，增加40%伤害</v>
      </c>
      <c r="G1147" s="186">
        <f ca="1">OFFSET(卡牌辅助配置表!$C$1,MATCH(AC1147,卡牌辅助配置表!A:A,0)-1,0)</f>
        <v>3</v>
      </c>
      <c r="H1147" s="186">
        <f ca="1" t="shared" si="185"/>
        <v>0</v>
      </c>
      <c r="I1147" s="186"/>
      <c r="J1147" s="186">
        <f ca="1">OFFSET(card_type!$F$1,MATCH(Q1147,card_type!A:A,0)-1,0)</f>
        <v>2</v>
      </c>
      <c r="K1147" s="243">
        <f ca="1">OFFSET(card_type!$G$1,MATCH(Q1147,card_type!A:A,0)-1,0)</f>
        <v>2</v>
      </c>
      <c r="L1147" s="157">
        <v>1</v>
      </c>
      <c r="M1147" s="157">
        <v>1</v>
      </c>
      <c r="N1147" s="153">
        <f t="shared" si="195"/>
        <v>27</v>
      </c>
      <c r="O1147" s="157"/>
      <c r="P1147" s="157"/>
      <c r="Q1147" s="153">
        <f ca="1">OFFSET(card_type!$A$1,MATCH(card!B1147,card_type!B:B,0)-1,0)</f>
        <v>2012</v>
      </c>
      <c r="R1147" s="153">
        <v>1</v>
      </c>
      <c r="S1147" s="157">
        <f ca="1">ROUND(IF(R1147=0,0,IF(R1147=1,X1147*$S$1,IF(R1147=2,X1147*$S$1*buff的资质计算!$E$2,IF(R1147=3,X1147*$S$1*buff的资质计算!$E$3,0)))),0)*0</f>
        <v>0</v>
      </c>
      <c r="T1147" s="153">
        <v>4</v>
      </c>
      <c r="U1147" s="153">
        <f ca="1" t="shared" si="187"/>
        <v>22</v>
      </c>
      <c r="V1147" s="153">
        <f ca="1">ROUND((OFFSET(卡牌辅助配置表!$O$1,MATCH(U1147,卡牌辅助配置表!M:M,0)-1,0)+(N1147-1)*OFFSET(卡牌辅助配置表!$P$1,MATCH(U1147,卡牌辅助配置表!M:M,0)-1,0))*M1147,2)</f>
        <v>32.6</v>
      </c>
      <c r="W1147" s="157">
        <f ca="1">ROUND(IF(R1147=0,0,IF(R1147=1,X1147*$W$1,IF(R1147=2,X1147*$W$1*buff的资质计算!$E$2,IF(R1147=3,X1147*$W$1*buff的资质计算!$E$3,0)))),2)</f>
        <v>9</v>
      </c>
      <c r="X1147" s="157">
        <f ca="1" t="shared" si="193"/>
        <v>30</v>
      </c>
      <c r="Y1147" s="157">
        <f ca="1" t="shared" si="192"/>
        <v>30</v>
      </c>
      <c r="Z1147" s="304">
        <f ca="1" t="shared" si="194"/>
        <v>30</v>
      </c>
      <c r="AA1147" s="304">
        <f ca="1">OFFSET(卡牌辅助配置表!$AD$1,MATCH(AB1147,卡牌辅助配置表!AB:AB,0)-1,0)</f>
        <v>4143</v>
      </c>
      <c r="AB1147" s="304">
        <f ca="1" t="shared" si="188"/>
        <v>2227</v>
      </c>
      <c r="AC1147" s="153">
        <v>8</v>
      </c>
      <c r="AE1147" s="153">
        <v>1</v>
      </c>
      <c r="AF1147" s="153" t="str">
        <f ca="1" t="shared" si="191"/>
        <v>20120011|</v>
      </c>
      <c r="AJ1147" s="205" t="str">
        <f ca="1" t="shared" si="189"/>
        <v>400023|19050|;</v>
      </c>
      <c r="AK1147" s="205">
        <f ca="1">OFFSET([1]item_type!$A$1,MATCH(Q1147,[1]item_type!$G:$G,0)-1,0)</f>
        <v>302012</v>
      </c>
      <c r="AL1147" s="205"/>
      <c r="AM1147" s="205">
        <f ca="1">IF(B1147=B1148,OFFSET(卡牌辅助配置表!$AE$1,MATCH(AB1147,卡牌辅助配置表!AB:AB,0),0),0)</f>
        <v>19050</v>
      </c>
      <c r="AN1147" s="153">
        <f ca="1" t="shared" si="190"/>
        <v>2012028</v>
      </c>
      <c r="AP1147" s="153" t="str">
        <f ca="1">IF(AC1147=0,0,IF(AC1147=12,0,OFFSET(effect!$N$1,MATCH(K1147,effect!M:M,0)-1,0)))</f>
        <v>kpsx_pt</v>
      </c>
    </row>
    <row r="1148" spans="1:42">
      <c r="A1148" s="153">
        <f ca="1" t="shared" si="186"/>
        <v>2012028</v>
      </c>
      <c r="B1148" s="91" t="s">
        <v>486</v>
      </c>
      <c r="C1148" s="186">
        <v>2</v>
      </c>
      <c r="D1148" s="186">
        <v>1</v>
      </c>
      <c r="E1148" s="165" t="s">
        <v>1058</v>
      </c>
      <c r="F1148" s="165" t="str">
        <f>"第一招打出时，增加"&amp;skill!$O$77/100&amp;"%伤害"</f>
        <v>第一招打出时，增加40%伤害</v>
      </c>
      <c r="G1148" s="186">
        <f ca="1">OFFSET(卡牌辅助配置表!$C$1,MATCH(AC1148,卡牌辅助配置表!A:A,0)-1,0)</f>
        <v>3</v>
      </c>
      <c r="H1148" s="186">
        <f ca="1" t="shared" si="185"/>
        <v>0</v>
      </c>
      <c r="I1148" s="186"/>
      <c r="J1148" s="186">
        <f ca="1">OFFSET(card_type!$F$1,MATCH(Q1148,card_type!A:A,0)-1,0)</f>
        <v>2</v>
      </c>
      <c r="K1148" s="243">
        <f ca="1">OFFSET(card_type!$G$1,MATCH(Q1148,card_type!A:A,0)-1,0)</f>
        <v>2</v>
      </c>
      <c r="L1148" s="157">
        <v>1</v>
      </c>
      <c r="M1148" s="157">
        <v>1</v>
      </c>
      <c r="N1148" s="153">
        <f t="shared" si="195"/>
        <v>28</v>
      </c>
      <c r="O1148" s="157"/>
      <c r="P1148" s="157"/>
      <c r="Q1148" s="153">
        <f ca="1">OFFSET(card_type!$A$1,MATCH(card!B1148,card_type!B:B,0)-1,0)</f>
        <v>2012</v>
      </c>
      <c r="R1148" s="153">
        <v>1</v>
      </c>
      <c r="S1148" s="157">
        <f ca="1">ROUND(IF(R1148=0,0,IF(R1148=1,X1148*$S$1,IF(R1148=2,X1148*$S$1*buff的资质计算!$E$2,IF(R1148=3,X1148*$S$1*buff的资质计算!$E$3,0)))),0)*0</f>
        <v>0</v>
      </c>
      <c r="T1148" s="153">
        <v>4</v>
      </c>
      <c r="U1148" s="153">
        <f ca="1" t="shared" si="187"/>
        <v>22</v>
      </c>
      <c r="V1148" s="153">
        <f ca="1">ROUND((OFFSET(卡牌辅助配置表!$O$1,MATCH(U1148,卡牌辅助配置表!M:M,0)-1,0)+(N1148-1)*OFFSET(卡牌辅助配置表!$P$1,MATCH(U1148,卡牌辅助配置表!M:M,0)-1,0))*M1148,2)</f>
        <v>33.45</v>
      </c>
      <c r="W1148" s="157">
        <f ca="1">ROUND(IF(R1148=0,0,IF(R1148=1,X1148*$W$1,IF(R1148=2,X1148*$W$1*buff的资质计算!$E$2,IF(R1148=3,X1148*$W$1*buff的资质计算!$E$3,0)))),2)</f>
        <v>9.15</v>
      </c>
      <c r="X1148" s="157">
        <f ca="1" t="shared" si="193"/>
        <v>30.5</v>
      </c>
      <c r="Y1148" s="157">
        <f ca="1" t="shared" si="192"/>
        <v>30.5</v>
      </c>
      <c r="Z1148" s="304">
        <f ca="1" t="shared" si="194"/>
        <v>30.5</v>
      </c>
      <c r="AA1148" s="304">
        <f ca="1">OFFSET(卡牌辅助配置表!$AD$1,MATCH(AB1148,卡牌辅助配置表!AB:AB,0)-1,0)</f>
        <v>4312</v>
      </c>
      <c r="AB1148" s="304">
        <f ca="1" t="shared" si="188"/>
        <v>2228</v>
      </c>
      <c r="AC1148" s="153">
        <v>8</v>
      </c>
      <c r="AE1148" s="153">
        <v>1</v>
      </c>
      <c r="AF1148" s="153" t="str">
        <f ca="1" t="shared" si="191"/>
        <v>20120011|</v>
      </c>
      <c r="AJ1148" s="205" t="str">
        <f ca="1" t="shared" si="189"/>
        <v>400023|20250|;</v>
      </c>
      <c r="AK1148" s="205">
        <f ca="1">OFFSET([1]item_type!$A$1,MATCH(Q1148,[1]item_type!$G:$G,0)-1,0)</f>
        <v>302012</v>
      </c>
      <c r="AL1148" s="205"/>
      <c r="AM1148" s="205">
        <f ca="1">IF(B1148=B1149,OFFSET(卡牌辅助配置表!$AE$1,MATCH(AB1148,卡牌辅助配置表!AB:AB,0),0),0)</f>
        <v>20250</v>
      </c>
      <c r="AN1148" s="153">
        <f ca="1" t="shared" si="190"/>
        <v>2012029</v>
      </c>
      <c r="AP1148" s="153" t="str">
        <f ca="1">IF(AC1148=0,0,IF(AC1148=12,0,OFFSET(effect!$N$1,MATCH(K1148,effect!M:M,0)-1,0)))</f>
        <v>kpsx_pt</v>
      </c>
    </row>
    <row r="1149" spans="1:42">
      <c r="A1149" s="153">
        <f ca="1" t="shared" si="186"/>
        <v>2012029</v>
      </c>
      <c r="B1149" s="91" t="s">
        <v>486</v>
      </c>
      <c r="C1149" s="186">
        <v>2</v>
      </c>
      <c r="D1149" s="186">
        <v>1</v>
      </c>
      <c r="E1149" s="165" t="s">
        <v>1058</v>
      </c>
      <c r="F1149" s="165" t="str">
        <f>"第一招打出时，增加"&amp;skill!$O$77/100&amp;"%伤害"</f>
        <v>第一招打出时，增加40%伤害</v>
      </c>
      <c r="G1149" s="186">
        <f ca="1">OFFSET(卡牌辅助配置表!$C$1,MATCH(AC1149,卡牌辅助配置表!A:A,0)-1,0)</f>
        <v>3</v>
      </c>
      <c r="H1149" s="186">
        <f ca="1" t="shared" si="185"/>
        <v>0</v>
      </c>
      <c r="I1149" s="186"/>
      <c r="J1149" s="186">
        <f ca="1">OFFSET(card_type!$F$1,MATCH(Q1149,card_type!A:A,0)-1,0)</f>
        <v>2</v>
      </c>
      <c r="K1149" s="243">
        <f ca="1">OFFSET(card_type!$G$1,MATCH(Q1149,card_type!A:A,0)-1,0)</f>
        <v>2</v>
      </c>
      <c r="L1149" s="157">
        <v>1</v>
      </c>
      <c r="M1149" s="157">
        <v>1</v>
      </c>
      <c r="N1149" s="153">
        <f t="shared" si="195"/>
        <v>29</v>
      </c>
      <c r="O1149" s="157"/>
      <c r="P1149" s="157"/>
      <c r="Q1149" s="153">
        <f ca="1">OFFSET(card_type!$A$1,MATCH(card!B1149,card_type!B:B,0)-1,0)</f>
        <v>2012</v>
      </c>
      <c r="R1149" s="153">
        <v>1</v>
      </c>
      <c r="S1149" s="157">
        <f ca="1">ROUND(IF(R1149=0,0,IF(R1149=1,X1149*$S$1,IF(R1149=2,X1149*$S$1*buff的资质计算!$E$2,IF(R1149=3,X1149*$S$1*buff的资质计算!$E$3,0)))),0)*0</f>
        <v>0</v>
      </c>
      <c r="T1149" s="153">
        <v>4</v>
      </c>
      <c r="U1149" s="153">
        <f ca="1" t="shared" si="187"/>
        <v>22</v>
      </c>
      <c r="V1149" s="153">
        <f ca="1">ROUND((OFFSET(卡牌辅助配置表!$O$1,MATCH(U1149,卡牌辅助配置表!M:M,0)-1,0)+(N1149-1)*OFFSET(卡牌辅助配置表!$P$1,MATCH(U1149,卡牌辅助配置表!M:M,0)-1,0))*M1149,2)</f>
        <v>34.3</v>
      </c>
      <c r="W1149" s="157">
        <f ca="1">ROUND(IF(R1149=0,0,IF(R1149=1,X1149*$W$1,IF(R1149=2,X1149*$W$1*buff的资质计算!$E$2,IF(R1149=3,X1149*$W$1*buff的资质计算!$E$3,0)))),2)</f>
        <v>9.3</v>
      </c>
      <c r="X1149" s="157">
        <f ca="1" t="shared" si="193"/>
        <v>31</v>
      </c>
      <c r="Y1149" s="157">
        <f ca="1" t="shared" si="192"/>
        <v>31</v>
      </c>
      <c r="Z1149" s="304">
        <f ca="1" t="shared" si="194"/>
        <v>31</v>
      </c>
      <c r="AA1149" s="304">
        <f ca="1">OFFSET(卡牌辅助配置表!$AD$1,MATCH(AB1149,卡牌辅助配置表!AB:AB,0)-1,0)</f>
        <v>4481</v>
      </c>
      <c r="AB1149" s="304">
        <f ca="1" t="shared" si="188"/>
        <v>2229</v>
      </c>
      <c r="AC1149" s="153">
        <v>8</v>
      </c>
      <c r="AE1149" s="153">
        <v>1</v>
      </c>
      <c r="AF1149" s="153" t="str">
        <f ca="1" t="shared" si="191"/>
        <v>20120011|</v>
      </c>
      <c r="AJ1149" s="205" t="str">
        <f ca="1" t="shared" si="189"/>
        <v>302012|30|;400023|21450|;</v>
      </c>
      <c r="AK1149" s="205">
        <f ca="1">OFFSET([1]item_type!$A$1,MATCH(Q1149,[1]item_type!$G:$G,0)-1,0)</f>
        <v>302012</v>
      </c>
      <c r="AL1149" s="205">
        <v>30</v>
      </c>
      <c r="AM1149" s="205">
        <f ca="1">IF(B1149=B1150,OFFSET(卡牌辅助配置表!$AE$1,MATCH(AB1149,卡牌辅助配置表!AB:AB,0),0),0)</f>
        <v>21450</v>
      </c>
      <c r="AN1149" s="153">
        <f ca="1" t="shared" si="190"/>
        <v>2012030</v>
      </c>
      <c r="AP1149" s="153" t="str">
        <f ca="1">IF(AC1149=0,0,IF(AC1149=12,0,OFFSET(effect!$N$1,MATCH(K1149,effect!M:M,0)-1,0)))</f>
        <v>kpsx_pt</v>
      </c>
    </row>
    <row r="1150" spans="1:42">
      <c r="A1150" s="153">
        <f ca="1" t="shared" si="186"/>
        <v>2012030</v>
      </c>
      <c r="B1150" s="91" t="s">
        <v>486</v>
      </c>
      <c r="C1150" s="186">
        <v>2</v>
      </c>
      <c r="D1150" s="186">
        <v>1</v>
      </c>
      <c r="E1150" s="165" t="s">
        <v>1058</v>
      </c>
      <c r="F1150" s="165" t="str">
        <f>"第一招打出时，增加"&amp;skill!$O$77/100&amp;"%伤害"</f>
        <v>第一招打出时，增加40%伤害</v>
      </c>
      <c r="G1150" s="186">
        <f ca="1">OFFSET(卡牌辅助配置表!$C$1,MATCH(AC1150,卡牌辅助配置表!A:A,0)-1,0)</f>
        <v>3</v>
      </c>
      <c r="H1150" s="186">
        <f ca="1" t="shared" si="185"/>
        <v>0</v>
      </c>
      <c r="I1150" s="186"/>
      <c r="J1150" s="186">
        <f ca="1">OFFSET(card_type!$F$1,MATCH(Q1150,card_type!A:A,0)-1,0)</f>
        <v>2</v>
      </c>
      <c r="K1150" s="243">
        <f ca="1">OFFSET(card_type!$G$1,MATCH(Q1150,card_type!A:A,0)-1,0)</f>
        <v>2</v>
      </c>
      <c r="L1150" s="157">
        <v>1</v>
      </c>
      <c r="M1150" s="157">
        <v>1</v>
      </c>
      <c r="N1150" s="153">
        <f t="shared" si="195"/>
        <v>30</v>
      </c>
      <c r="O1150" s="157"/>
      <c r="P1150" s="157"/>
      <c r="Q1150" s="153">
        <f ca="1">OFFSET(card_type!$A$1,MATCH(card!B1150,card_type!B:B,0)-1,0)</f>
        <v>2012</v>
      </c>
      <c r="R1150" s="153">
        <v>1</v>
      </c>
      <c r="S1150" s="157">
        <f ca="1">ROUND(IF(R1150=0,0,IF(R1150=1,X1150*$S$1,IF(R1150=2,X1150*$S$1*buff的资质计算!$E$2,IF(R1150=3,X1150*$S$1*buff的资质计算!$E$3,0)))),0)*0</f>
        <v>0</v>
      </c>
      <c r="T1150" s="153">
        <v>4</v>
      </c>
      <c r="U1150" s="153">
        <f ca="1" t="shared" si="187"/>
        <v>22</v>
      </c>
      <c r="V1150" s="153">
        <f ca="1">ROUND((OFFSET(卡牌辅助配置表!$O$1,MATCH(U1150,卡牌辅助配置表!M:M,0)-1,0)+(N1150-1)*OFFSET(卡牌辅助配置表!$P$1,MATCH(U1150,卡牌辅助配置表!M:M,0)-1,0))*M1150,2)</f>
        <v>35.15</v>
      </c>
      <c r="W1150" s="157">
        <f ca="1">ROUND(IF(R1150=0,0,IF(R1150=1,X1150*$W$1,IF(R1150=2,X1150*$W$1*buff的资质计算!$E$2,IF(R1150=3,X1150*$W$1*buff的资质计算!$E$3,0)))),2)</f>
        <v>9.45</v>
      </c>
      <c r="X1150" s="157">
        <f ca="1" t="shared" si="193"/>
        <v>31.5</v>
      </c>
      <c r="Y1150" s="157">
        <f ca="1" t="shared" si="192"/>
        <v>31.5</v>
      </c>
      <c r="Z1150" s="304">
        <f ca="1" t="shared" si="194"/>
        <v>31.5</v>
      </c>
      <c r="AA1150" s="304">
        <f ca="1">OFFSET(卡牌辅助配置表!$AD$1,MATCH(AB1150,卡牌辅助配置表!AB:AB,0)-1,0)</f>
        <v>4650</v>
      </c>
      <c r="AB1150" s="304">
        <f ca="1" t="shared" si="188"/>
        <v>2230</v>
      </c>
      <c r="AC1150" s="153">
        <v>8</v>
      </c>
      <c r="AE1150" s="153">
        <v>1</v>
      </c>
      <c r="AF1150" s="153" t="str">
        <f ca="1" t="shared" si="191"/>
        <v>20120011|</v>
      </c>
      <c r="AJ1150" s="205">
        <f ca="1" t="shared" si="189"/>
        <v>0</v>
      </c>
      <c r="AK1150" s="205">
        <f ca="1">OFFSET([1]item_type!$A$1,MATCH(Q1150,[1]item_type!$G:$G,0)-1,0)</f>
        <v>302012</v>
      </c>
      <c r="AL1150" s="205"/>
      <c r="AM1150" s="205">
        <f ca="1">IF(B1150=B1151,OFFSET(卡牌辅助配置表!$AE$1,MATCH(AB1150,卡牌辅助配置表!AB:AB,0),0),0)</f>
        <v>0</v>
      </c>
      <c r="AN1150" s="153">
        <f ca="1" t="shared" si="190"/>
        <v>0</v>
      </c>
      <c r="AP1150" s="153" t="str">
        <f ca="1">IF(AC1150=0,0,IF(AC1150=12,0,OFFSET(effect!$N$1,MATCH(K1150,effect!M:M,0)-1,0)))</f>
        <v>kpsx_pt</v>
      </c>
    </row>
    <row r="1151" spans="1:42">
      <c r="A1151" s="153">
        <f ca="1" t="shared" si="186"/>
        <v>2013001</v>
      </c>
      <c r="B1151" s="91" t="s">
        <v>768</v>
      </c>
      <c r="C1151" s="186">
        <v>2</v>
      </c>
      <c r="D1151" s="186">
        <v>1</v>
      </c>
      <c r="E1151" s="165" t="s">
        <v>1058</v>
      </c>
      <c r="F1151" s="165" t="str">
        <f>"本回合每出一张剑法牌，伤害增加"&amp;skill!$O$78/100&amp;"%"</f>
        <v>本回合每出一张剑法牌，伤害增加35%</v>
      </c>
      <c r="G1151" s="186">
        <f ca="1">OFFSET(卡牌辅助配置表!$C$1,MATCH(AC1151,卡牌辅助配置表!A:A,0)-1,0)</f>
        <v>3</v>
      </c>
      <c r="H1151" s="186">
        <f ca="1" t="shared" si="185"/>
        <v>0</v>
      </c>
      <c r="I1151" s="186"/>
      <c r="J1151" s="186">
        <f ca="1">OFFSET(card_type!$F$1,MATCH(Q1151,card_type!A:A,0)-1,0)</f>
        <v>2</v>
      </c>
      <c r="K1151" s="243">
        <f ca="1">OFFSET(card_type!$G$1,MATCH(Q1151,card_type!A:A,0)-1,0)</f>
        <v>4</v>
      </c>
      <c r="L1151" s="157">
        <v>2</v>
      </c>
      <c r="M1151" s="157">
        <v>2</v>
      </c>
      <c r="N1151" s="153">
        <f t="shared" si="195"/>
        <v>1</v>
      </c>
      <c r="O1151" s="157"/>
      <c r="P1151" s="157"/>
      <c r="Q1151" s="153">
        <f ca="1">OFFSET(card_type!$A$1,MATCH(card!B1151,card_type!B:B,0)-1,0)</f>
        <v>2013</v>
      </c>
      <c r="R1151" s="153">
        <v>1</v>
      </c>
      <c r="S1151" s="157">
        <f ca="1">ROUND(IF(R1151=0,0,IF(R1151=1,X1151*$S$1,IF(R1151=2,X1151*$S$1*buff的资质计算!$E$2,IF(R1151=3,X1151*$S$1*buff的资质计算!$E$3,0)))),0)*0</f>
        <v>0</v>
      </c>
      <c r="T1151" s="153">
        <v>5</v>
      </c>
      <c r="U1151" s="153">
        <f ca="1" t="shared" si="187"/>
        <v>24</v>
      </c>
      <c r="V1151" s="153">
        <f ca="1">ROUND((OFFSET(卡牌辅助配置表!$O$1,MATCH(U1151,卡牌辅助配置表!M:M,0)-1,0)+(N1151-1)*OFFSET(卡牌辅助配置表!$P$1,MATCH(U1151,卡牌辅助配置表!M:M,0)-1,0))*M1151,2)</f>
        <v>50.4</v>
      </c>
      <c r="W1151" s="157">
        <f ca="1">ROUND(IF(R1151=0,0,IF(R1151=1,X1151*$W$1,IF(R1151=2,X1151*$W$1*buff的资质计算!$E$2,IF(R1151=3,X1151*$W$1*buff的资质计算!$E$3,0)))),2)</f>
        <v>14.1</v>
      </c>
      <c r="X1151" s="157">
        <f ca="1" t="shared" si="193"/>
        <v>47</v>
      </c>
      <c r="Y1151" s="157">
        <f ca="1" t="shared" si="192"/>
        <v>47</v>
      </c>
      <c r="Z1151" s="304">
        <f ca="1" t="shared" si="194"/>
        <v>23.5</v>
      </c>
      <c r="AA1151" s="304">
        <f ca="1">OFFSET(卡牌辅助配置表!$AD$1,MATCH(AB1151,卡牌辅助配置表!AB:AB,0)-1,0)</f>
        <v>352</v>
      </c>
      <c r="AB1151" s="304">
        <f ca="1" t="shared" si="188"/>
        <v>2401</v>
      </c>
      <c r="AC1151" s="153">
        <v>1</v>
      </c>
      <c r="AE1151" s="153">
        <v>2</v>
      </c>
      <c r="AF1151" s="153" t="str">
        <f ca="1" t="shared" si="191"/>
        <v>20130011|</v>
      </c>
      <c r="AJ1151" s="205" t="str">
        <f ca="1" t="shared" si="189"/>
        <v>400023|2100|;</v>
      </c>
      <c r="AK1151" s="205">
        <f ca="1">OFFSET([1]item_type!$A$1,MATCH(Q1151,[1]item_type!$G:$G,0)-1,0)</f>
        <v>302013</v>
      </c>
      <c r="AL1151" s="205"/>
      <c r="AM1151" s="205">
        <f ca="1">IF(B1151=B1152,OFFSET(卡牌辅助配置表!$AE$1,MATCH(AB1151,卡牌辅助配置表!AB:AB,0),0),0)</f>
        <v>2100</v>
      </c>
      <c r="AN1151" s="153">
        <f ca="1" t="shared" si="190"/>
        <v>2013002</v>
      </c>
      <c r="AP1151" s="153" t="str">
        <f ca="1">IF(AC1151=0,0,IF(AC1151=12,0,OFFSET(effect!$N$1,MATCH(K1151,effect!M:M,0)-1,0)))</f>
        <v>kpsx_huangse</v>
      </c>
    </row>
    <row r="1152" spans="1:42">
      <c r="A1152" s="153">
        <f ca="1" t="shared" si="186"/>
        <v>2013002</v>
      </c>
      <c r="B1152" s="91" t="s">
        <v>768</v>
      </c>
      <c r="C1152" s="186">
        <v>2</v>
      </c>
      <c r="D1152" s="186">
        <v>1</v>
      </c>
      <c r="E1152" s="165" t="s">
        <v>1058</v>
      </c>
      <c r="F1152" s="165" t="str">
        <f>"本回合每出一张剑法牌，伤害增加"&amp;skill!$O$78/100&amp;"%"</f>
        <v>本回合每出一张剑法牌，伤害增加35%</v>
      </c>
      <c r="G1152" s="186">
        <f ca="1">OFFSET(卡牌辅助配置表!$C$1,MATCH(AC1152,卡牌辅助配置表!A:A,0)-1,0)</f>
        <v>3</v>
      </c>
      <c r="H1152" s="186">
        <f ca="1" t="shared" si="185"/>
        <v>0</v>
      </c>
      <c r="I1152" s="186"/>
      <c r="J1152" s="186">
        <f ca="1">OFFSET(card_type!$F$1,MATCH(Q1152,card_type!A:A,0)-1,0)</f>
        <v>2</v>
      </c>
      <c r="K1152" s="243">
        <f ca="1">OFFSET(card_type!$G$1,MATCH(Q1152,card_type!A:A,0)-1,0)</f>
        <v>4</v>
      </c>
      <c r="L1152" s="157">
        <v>2</v>
      </c>
      <c r="M1152" s="157">
        <v>2</v>
      </c>
      <c r="N1152" s="153">
        <f t="shared" si="195"/>
        <v>2</v>
      </c>
      <c r="O1152" s="157"/>
      <c r="P1152" s="157"/>
      <c r="Q1152" s="153">
        <f ca="1">OFFSET(card_type!$A$1,MATCH(card!B1152,card_type!B:B,0)-1,0)</f>
        <v>2013</v>
      </c>
      <c r="R1152" s="153">
        <v>1</v>
      </c>
      <c r="S1152" s="157">
        <f ca="1">ROUND(IF(R1152=0,0,IF(R1152=1,X1152*$S$1,IF(R1152=2,X1152*$S$1*buff的资质计算!$E$2,IF(R1152=3,X1152*$S$1*buff的资质计算!$E$3,0)))),0)*0</f>
        <v>0</v>
      </c>
      <c r="T1152" s="153">
        <v>5</v>
      </c>
      <c r="U1152" s="153">
        <f ca="1" t="shared" si="187"/>
        <v>24</v>
      </c>
      <c r="V1152" s="153">
        <f ca="1">ROUND((OFFSET(卡牌辅助配置表!$O$1,MATCH(U1152,卡牌辅助配置表!M:M,0)-1,0)+(N1152-1)*OFFSET(卡牌辅助配置表!$P$1,MATCH(U1152,卡牌辅助配置表!M:M,0)-1,0))*M1152,2)</f>
        <v>53.76</v>
      </c>
      <c r="W1152" s="157">
        <f ca="1">ROUND(IF(R1152=0,0,IF(R1152=1,X1152*$W$1,IF(R1152=2,X1152*$W$1*buff的资质计算!$E$2,IF(R1152=3,X1152*$W$1*buff的资质计算!$E$3,0)))),2)</f>
        <v>14.25</v>
      </c>
      <c r="X1152" s="157">
        <f ca="1" t="shared" si="193"/>
        <v>47.5</v>
      </c>
      <c r="Y1152" s="157">
        <f ca="1" t="shared" si="192"/>
        <v>47.5</v>
      </c>
      <c r="Z1152" s="304">
        <f ca="1" t="shared" si="194"/>
        <v>23.75</v>
      </c>
      <c r="AA1152" s="304">
        <f ca="1">OFFSET(卡牌辅助配置表!$AD$1,MATCH(AB1152,卡牌辅助配置表!AB:AB,0)-1,0)</f>
        <v>704</v>
      </c>
      <c r="AB1152" s="304">
        <f ca="1" t="shared" si="188"/>
        <v>2402</v>
      </c>
      <c r="AC1152" s="153">
        <v>1</v>
      </c>
      <c r="AE1152" s="153">
        <v>2</v>
      </c>
      <c r="AF1152" s="153" t="str">
        <f ca="1" t="shared" si="191"/>
        <v>20130011|</v>
      </c>
      <c r="AJ1152" s="205" t="str">
        <f ca="1" t="shared" si="189"/>
        <v>400023|2700|;</v>
      </c>
      <c r="AK1152" s="205">
        <f ca="1">OFFSET([1]item_type!$A$1,MATCH(Q1152,[1]item_type!$G:$G,0)-1,0)</f>
        <v>302013</v>
      </c>
      <c r="AL1152" s="205"/>
      <c r="AM1152" s="205">
        <f ca="1">IF(B1152=B1153,OFFSET(卡牌辅助配置表!$AE$1,MATCH(AB1152,卡牌辅助配置表!AB:AB,0),0),0)</f>
        <v>2700</v>
      </c>
      <c r="AN1152" s="153">
        <f ca="1" t="shared" si="190"/>
        <v>2013003</v>
      </c>
      <c r="AP1152" s="153" t="str">
        <f ca="1">IF(AC1152=0,0,IF(AC1152=12,0,OFFSET(effect!$N$1,MATCH(K1152,effect!M:M,0)-1,0)))</f>
        <v>kpsx_huangse</v>
      </c>
    </row>
    <row r="1153" spans="1:42">
      <c r="A1153" s="153">
        <f ca="1" t="shared" si="186"/>
        <v>2013003</v>
      </c>
      <c r="B1153" s="91" t="s">
        <v>768</v>
      </c>
      <c r="C1153" s="186">
        <v>2</v>
      </c>
      <c r="D1153" s="186">
        <v>1</v>
      </c>
      <c r="E1153" s="165" t="s">
        <v>1058</v>
      </c>
      <c r="F1153" s="165" t="str">
        <f>"本回合每出一张剑法牌，伤害增加"&amp;skill!$O$78/100&amp;"%"</f>
        <v>本回合每出一张剑法牌，伤害增加35%</v>
      </c>
      <c r="G1153" s="186">
        <f ca="1">OFFSET(卡牌辅助配置表!$C$1,MATCH(AC1153,卡牌辅助配置表!A:A,0)-1,0)</f>
        <v>3</v>
      </c>
      <c r="H1153" s="186">
        <f ca="1" t="shared" si="185"/>
        <v>0</v>
      </c>
      <c r="I1153" s="186"/>
      <c r="J1153" s="186">
        <f ca="1">OFFSET(card_type!$F$1,MATCH(Q1153,card_type!A:A,0)-1,0)</f>
        <v>2</v>
      </c>
      <c r="K1153" s="243">
        <f ca="1">OFFSET(card_type!$G$1,MATCH(Q1153,card_type!A:A,0)-1,0)</f>
        <v>4</v>
      </c>
      <c r="L1153" s="157">
        <v>2</v>
      </c>
      <c r="M1153" s="157">
        <v>2</v>
      </c>
      <c r="N1153" s="153">
        <f t="shared" si="195"/>
        <v>3</v>
      </c>
      <c r="O1153" s="157"/>
      <c r="P1153" s="157"/>
      <c r="Q1153" s="153">
        <f ca="1">OFFSET(card_type!$A$1,MATCH(card!B1153,card_type!B:B,0)-1,0)</f>
        <v>2013</v>
      </c>
      <c r="R1153" s="153">
        <v>1</v>
      </c>
      <c r="S1153" s="157">
        <f ca="1">ROUND(IF(R1153=0,0,IF(R1153=1,X1153*$S$1,IF(R1153=2,X1153*$S$1*buff的资质计算!$E$2,IF(R1153=3,X1153*$S$1*buff的资质计算!$E$3,0)))),0)*0</f>
        <v>0</v>
      </c>
      <c r="T1153" s="153">
        <v>5</v>
      </c>
      <c r="U1153" s="153">
        <f ca="1" t="shared" si="187"/>
        <v>24</v>
      </c>
      <c r="V1153" s="153">
        <f ca="1">ROUND((OFFSET(卡牌辅助配置表!$O$1,MATCH(U1153,卡牌辅助配置表!M:M,0)-1,0)+(N1153-1)*OFFSET(卡牌辅助配置表!$P$1,MATCH(U1153,卡牌辅助配置表!M:M,0)-1,0))*M1153,2)</f>
        <v>57.12</v>
      </c>
      <c r="W1153" s="157">
        <f ca="1">ROUND(IF(R1153=0,0,IF(R1153=1,X1153*$W$1,IF(R1153=2,X1153*$W$1*buff的资质计算!$E$2,IF(R1153=3,X1153*$W$1*buff的资质计算!$E$3,0)))),2)</f>
        <v>14.4</v>
      </c>
      <c r="X1153" s="157">
        <f ca="1" t="shared" si="193"/>
        <v>48</v>
      </c>
      <c r="Y1153" s="157">
        <f ca="1" t="shared" si="192"/>
        <v>48</v>
      </c>
      <c r="Z1153" s="304">
        <f ca="1" t="shared" si="194"/>
        <v>24</v>
      </c>
      <c r="AA1153" s="304">
        <f ca="1">OFFSET(卡牌辅助配置表!$AD$1,MATCH(AB1153,卡牌辅助配置表!AB:AB,0)-1,0)</f>
        <v>1056</v>
      </c>
      <c r="AB1153" s="304">
        <f ca="1" t="shared" si="188"/>
        <v>2403</v>
      </c>
      <c r="AC1153" s="153">
        <v>1</v>
      </c>
      <c r="AE1153" s="153">
        <v>2</v>
      </c>
      <c r="AF1153" s="153" t="str">
        <f ca="1" t="shared" si="191"/>
        <v>20130011|</v>
      </c>
      <c r="AJ1153" s="205" t="str">
        <f ca="1" t="shared" si="189"/>
        <v>400023|3300|;</v>
      </c>
      <c r="AK1153" s="205">
        <f ca="1">OFFSET([1]item_type!$A$1,MATCH(Q1153,[1]item_type!$G:$G,0)-1,0)</f>
        <v>302013</v>
      </c>
      <c r="AL1153" s="205"/>
      <c r="AM1153" s="205">
        <f ca="1">IF(B1153=B1154,OFFSET(卡牌辅助配置表!$AE$1,MATCH(AB1153,卡牌辅助配置表!AB:AB,0),0),0)</f>
        <v>3300</v>
      </c>
      <c r="AN1153" s="153">
        <f ca="1" t="shared" si="190"/>
        <v>2013004</v>
      </c>
      <c r="AP1153" s="153" t="str">
        <f ca="1">IF(AC1153=0,0,IF(AC1153=12,0,OFFSET(effect!$N$1,MATCH(K1153,effect!M:M,0)-1,0)))</f>
        <v>kpsx_huangse</v>
      </c>
    </row>
    <row r="1154" spans="1:42">
      <c r="A1154" s="153">
        <f ca="1" t="shared" si="186"/>
        <v>2013004</v>
      </c>
      <c r="B1154" s="91" t="s">
        <v>768</v>
      </c>
      <c r="C1154" s="186">
        <v>2</v>
      </c>
      <c r="D1154" s="186">
        <v>1</v>
      </c>
      <c r="E1154" s="165" t="s">
        <v>1058</v>
      </c>
      <c r="F1154" s="165" t="str">
        <f>"本回合每出一张剑法牌，伤害增加"&amp;skill!$O$78/100&amp;"%"</f>
        <v>本回合每出一张剑法牌，伤害增加35%</v>
      </c>
      <c r="G1154" s="186">
        <f ca="1">OFFSET(卡牌辅助配置表!$C$1,MATCH(AC1154,卡牌辅助配置表!A:A,0)-1,0)</f>
        <v>3</v>
      </c>
      <c r="H1154" s="186">
        <f ca="1" t="shared" si="185"/>
        <v>0</v>
      </c>
      <c r="I1154" s="186"/>
      <c r="J1154" s="186">
        <f ca="1">OFFSET(card_type!$F$1,MATCH(Q1154,card_type!A:A,0)-1,0)</f>
        <v>2</v>
      </c>
      <c r="K1154" s="243">
        <f ca="1">OFFSET(card_type!$G$1,MATCH(Q1154,card_type!A:A,0)-1,0)</f>
        <v>4</v>
      </c>
      <c r="L1154" s="157">
        <v>2</v>
      </c>
      <c r="M1154" s="157">
        <v>2</v>
      </c>
      <c r="N1154" s="153">
        <f t="shared" si="195"/>
        <v>4</v>
      </c>
      <c r="O1154" s="157"/>
      <c r="P1154" s="157"/>
      <c r="Q1154" s="153">
        <f ca="1">OFFSET(card_type!$A$1,MATCH(card!B1154,card_type!B:B,0)-1,0)</f>
        <v>2013</v>
      </c>
      <c r="R1154" s="153">
        <v>1</v>
      </c>
      <c r="S1154" s="157">
        <f ca="1">ROUND(IF(R1154=0,0,IF(R1154=1,X1154*$S$1,IF(R1154=2,X1154*$S$1*buff的资质计算!$E$2,IF(R1154=3,X1154*$S$1*buff的资质计算!$E$3,0)))),0)*0</f>
        <v>0</v>
      </c>
      <c r="T1154" s="153">
        <v>5</v>
      </c>
      <c r="U1154" s="153">
        <f ca="1" t="shared" si="187"/>
        <v>24</v>
      </c>
      <c r="V1154" s="153">
        <f ca="1">ROUND((OFFSET(卡牌辅助配置表!$O$1,MATCH(U1154,卡牌辅助配置表!M:M,0)-1,0)+(N1154-1)*OFFSET(卡牌辅助配置表!$P$1,MATCH(U1154,卡牌辅助配置表!M:M,0)-1,0))*M1154,2)</f>
        <v>60.48</v>
      </c>
      <c r="W1154" s="157">
        <f ca="1">ROUND(IF(R1154=0,0,IF(R1154=1,X1154*$W$1,IF(R1154=2,X1154*$W$1*buff的资质计算!$E$2,IF(R1154=3,X1154*$W$1*buff的资质计算!$E$3,0)))),2)</f>
        <v>14.55</v>
      </c>
      <c r="X1154" s="157">
        <f ca="1" t="shared" si="193"/>
        <v>48.5</v>
      </c>
      <c r="Y1154" s="157">
        <f ca="1" t="shared" si="192"/>
        <v>48.5</v>
      </c>
      <c r="Z1154" s="304">
        <f ca="1" t="shared" si="194"/>
        <v>24.25</v>
      </c>
      <c r="AA1154" s="304">
        <f ca="1">OFFSET(卡牌辅助配置表!$AD$1,MATCH(AB1154,卡牌辅助配置表!AB:AB,0)-1,0)</f>
        <v>1408</v>
      </c>
      <c r="AB1154" s="304">
        <f ca="1" t="shared" si="188"/>
        <v>2404</v>
      </c>
      <c r="AC1154" s="153">
        <v>1</v>
      </c>
      <c r="AE1154" s="153">
        <v>2</v>
      </c>
      <c r="AF1154" s="153" t="str">
        <f ca="1" t="shared" si="191"/>
        <v>20130011|</v>
      </c>
      <c r="AJ1154" s="205" t="str">
        <f ca="1" t="shared" si="189"/>
        <v>400023|3900|;</v>
      </c>
      <c r="AK1154" s="205">
        <f ca="1">OFFSET([1]item_type!$A$1,MATCH(Q1154,[1]item_type!$G:$G,0)-1,0)</f>
        <v>302013</v>
      </c>
      <c r="AL1154" s="205"/>
      <c r="AM1154" s="205">
        <f ca="1">IF(B1154=B1155,OFFSET(卡牌辅助配置表!$AE$1,MATCH(AB1154,卡牌辅助配置表!AB:AB,0),0),0)</f>
        <v>3900</v>
      </c>
      <c r="AN1154" s="153">
        <f ca="1" t="shared" si="190"/>
        <v>2013005</v>
      </c>
      <c r="AP1154" s="153" t="str">
        <f ca="1">IF(AC1154=0,0,IF(AC1154=12,0,OFFSET(effect!$N$1,MATCH(K1154,effect!M:M,0)-1,0)))</f>
        <v>kpsx_huangse</v>
      </c>
    </row>
    <row r="1155" spans="1:42">
      <c r="A1155" s="153">
        <f ca="1" t="shared" si="186"/>
        <v>2013005</v>
      </c>
      <c r="B1155" s="91" t="s">
        <v>768</v>
      </c>
      <c r="C1155" s="186">
        <v>2</v>
      </c>
      <c r="D1155" s="186">
        <v>1</v>
      </c>
      <c r="E1155" s="165" t="s">
        <v>1058</v>
      </c>
      <c r="F1155" s="165" t="str">
        <f>"本回合每出一张剑法牌，伤害增加"&amp;skill!$O$78/100&amp;"%"</f>
        <v>本回合每出一张剑法牌，伤害增加35%</v>
      </c>
      <c r="G1155" s="186">
        <f ca="1">OFFSET(卡牌辅助配置表!$C$1,MATCH(AC1155,卡牌辅助配置表!A:A,0)-1,0)</f>
        <v>3</v>
      </c>
      <c r="H1155" s="186">
        <f ca="1" t="shared" ref="H1155:H1180" si="196">IF(R1155=0,Y1155,0)</f>
        <v>0</v>
      </c>
      <c r="I1155" s="186"/>
      <c r="J1155" s="186">
        <f ca="1">OFFSET(card_type!$F$1,MATCH(Q1155,card_type!A:A,0)-1,0)</f>
        <v>2</v>
      </c>
      <c r="K1155" s="243">
        <f ca="1">OFFSET(card_type!$G$1,MATCH(Q1155,card_type!A:A,0)-1,0)</f>
        <v>4</v>
      </c>
      <c r="L1155" s="157">
        <v>2</v>
      </c>
      <c r="M1155" s="157">
        <v>2</v>
      </c>
      <c r="N1155" s="153">
        <f t="shared" si="195"/>
        <v>5</v>
      </c>
      <c r="O1155" s="157"/>
      <c r="P1155" s="157"/>
      <c r="Q1155" s="153">
        <f ca="1">OFFSET(card_type!$A$1,MATCH(card!B1155,card_type!B:B,0)-1,0)</f>
        <v>2013</v>
      </c>
      <c r="R1155" s="153">
        <v>1</v>
      </c>
      <c r="S1155" s="157">
        <f ca="1">ROUND(IF(R1155=0,0,IF(R1155=1,X1155*$S$1,IF(R1155=2,X1155*$S$1*buff的资质计算!$E$2,IF(R1155=3,X1155*$S$1*buff的资质计算!$E$3,0)))),0)*0</f>
        <v>0</v>
      </c>
      <c r="T1155" s="153">
        <v>5</v>
      </c>
      <c r="U1155" s="153">
        <f ca="1" t="shared" si="187"/>
        <v>24</v>
      </c>
      <c r="V1155" s="153">
        <f ca="1">ROUND((OFFSET(卡牌辅助配置表!$O$1,MATCH(U1155,卡牌辅助配置表!M:M,0)-1,0)+(N1155-1)*OFFSET(卡牌辅助配置表!$P$1,MATCH(U1155,卡牌辅助配置表!M:M,0)-1,0))*M1155,2)</f>
        <v>63.84</v>
      </c>
      <c r="W1155" s="157">
        <f ca="1">ROUND(IF(R1155=0,0,IF(R1155=1,X1155*$W$1,IF(R1155=2,X1155*$W$1*buff的资质计算!$E$2,IF(R1155=3,X1155*$W$1*buff的资质计算!$E$3,0)))),2)</f>
        <v>14.7</v>
      </c>
      <c r="X1155" s="157">
        <f ca="1" t="shared" si="193"/>
        <v>49</v>
      </c>
      <c r="Y1155" s="157">
        <f ca="1" t="shared" si="192"/>
        <v>49</v>
      </c>
      <c r="Z1155" s="304">
        <f ca="1" t="shared" si="194"/>
        <v>24.5</v>
      </c>
      <c r="AA1155" s="304">
        <f ca="1">OFFSET(卡牌辅助配置表!$AD$1,MATCH(AB1155,卡牌辅助配置表!AB:AB,0)-1,0)</f>
        <v>1760</v>
      </c>
      <c r="AB1155" s="304">
        <f ca="1" t="shared" si="188"/>
        <v>2405</v>
      </c>
      <c r="AC1155" s="153">
        <v>1</v>
      </c>
      <c r="AE1155" s="153">
        <v>2</v>
      </c>
      <c r="AF1155" s="153" t="str">
        <f ca="1" t="shared" si="191"/>
        <v>20130011|</v>
      </c>
      <c r="AJ1155" s="205" t="str">
        <f ca="1" t="shared" si="189"/>
        <v>400023|4500|;</v>
      </c>
      <c r="AK1155" s="205">
        <f ca="1">OFFSET([1]item_type!$A$1,MATCH(Q1155,[1]item_type!$G:$G,0)-1,0)</f>
        <v>302013</v>
      </c>
      <c r="AL1155" s="205"/>
      <c r="AM1155" s="205">
        <f ca="1">IF(B1155=B1156,OFFSET(卡牌辅助配置表!$AE$1,MATCH(AB1155,卡牌辅助配置表!AB:AB,0),0),0)</f>
        <v>4500</v>
      </c>
      <c r="AN1155" s="153">
        <f ca="1" t="shared" si="190"/>
        <v>2013006</v>
      </c>
      <c r="AP1155" s="153" t="str">
        <f ca="1">IF(AC1155=0,0,IF(AC1155=12,0,OFFSET(effect!$N$1,MATCH(K1155,effect!M:M,0)-1,0)))</f>
        <v>kpsx_huangse</v>
      </c>
    </row>
    <row r="1156" spans="1:42">
      <c r="A1156" s="153">
        <f ca="1" t="shared" si="186"/>
        <v>2013006</v>
      </c>
      <c r="B1156" s="91" t="s">
        <v>768</v>
      </c>
      <c r="C1156" s="186">
        <v>2</v>
      </c>
      <c r="D1156" s="186">
        <v>1</v>
      </c>
      <c r="E1156" s="165" t="s">
        <v>1058</v>
      </c>
      <c r="F1156" s="165" t="str">
        <f>"本回合每出一张剑法牌，伤害增加"&amp;skill!$O$78/100&amp;"%"</f>
        <v>本回合每出一张剑法牌，伤害增加35%</v>
      </c>
      <c r="G1156" s="186">
        <f ca="1">OFFSET(卡牌辅助配置表!$C$1,MATCH(AC1156,卡牌辅助配置表!A:A,0)-1,0)</f>
        <v>3</v>
      </c>
      <c r="H1156" s="186">
        <f ca="1" t="shared" si="196"/>
        <v>0</v>
      </c>
      <c r="I1156" s="186"/>
      <c r="J1156" s="186">
        <f ca="1">OFFSET(card_type!$F$1,MATCH(Q1156,card_type!A:A,0)-1,0)</f>
        <v>2</v>
      </c>
      <c r="K1156" s="243">
        <f ca="1">OFFSET(card_type!$G$1,MATCH(Q1156,card_type!A:A,0)-1,0)</f>
        <v>4</v>
      </c>
      <c r="L1156" s="157">
        <v>2</v>
      </c>
      <c r="M1156" s="157">
        <v>2</v>
      </c>
      <c r="N1156" s="153">
        <f t="shared" si="195"/>
        <v>6</v>
      </c>
      <c r="O1156" s="157"/>
      <c r="P1156" s="157"/>
      <c r="Q1156" s="153">
        <f ca="1">OFFSET(card_type!$A$1,MATCH(card!B1156,card_type!B:B,0)-1,0)</f>
        <v>2013</v>
      </c>
      <c r="R1156" s="153">
        <v>1</v>
      </c>
      <c r="S1156" s="157">
        <f ca="1">ROUND(IF(R1156=0,0,IF(R1156=1,X1156*$S$1,IF(R1156=2,X1156*$S$1*buff的资质计算!$E$2,IF(R1156=3,X1156*$S$1*buff的资质计算!$E$3,0)))),0)*0</f>
        <v>0</v>
      </c>
      <c r="T1156" s="153">
        <v>5</v>
      </c>
      <c r="U1156" s="153">
        <f ca="1" t="shared" si="187"/>
        <v>24</v>
      </c>
      <c r="V1156" s="153">
        <f ca="1">ROUND((OFFSET(卡牌辅助配置表!$O$1,MATCH(U1156,卡牌辅助配置表!M:M,0)-1,0)+(N1156-1)*OFFSET(卡牌辅助配置表!$P$1,MATCH(U1156,卡牌辅助配置表!M:M,0)-1,0))*M1156,2)</f>
        <v>67.2</v>
      </c>
      <c r="W1156" s="157">
        <f ca="1">ROUND(IF(R1156=0,0,IF(R1156=1,X1156*$W$1,IF(R1156=2,X1156*$W$1*buff的资质计算!$E$2,IF(R1156=3,X1156*$W$1*buff的资质计算!$E$3,0)))),2)</f>
        <v>14.85</v>
      </c>
      <c r="X1156" s="157">
        <f ca="1" t="shared" si="193"/>
        <v>49.5</v>
      </c>
      <c r="Y1156" s="157">
        <f ca="1" t="shared" si="192"/>
        <v>49.5</v>
      </c>
      <c r="Z1156" s="304">
        <f ca="1" t="shared" si="194"/>
        <v>24.75</v>
      </c>
      <c r="AA1156" s="304">
        <f ca="1">OFFSET(卡牌辅助配置表!$AD$1,MATCH(AB1156,卡牌辅助配置表!AB:AB,0)-1,0)</f>
        <v>2112</v>
      </c>
      <c r="AB1156" s="304">
        <f ca="1" t="shared" si="188"/>
        <v>2406</v>
      </c>
      <c r="AC1156" s="153">
        <v>1</v>
      </c>
      <c r="AE1156" s="153">
        <v>2</v>
      </c>
      <c r="AF1156" s="153" t="str">
        <f ca="1" t="shared" si="191"/>
        <v>20130011|</v>
      </c>
      <c r="AJ1156" s="205" t="str">
        <f ca="1" t="shared" si="189"/>
        <v>400023|5100|;</v>
      </c>
      <c r="AK1156" s="205">
        <f ca="1">OFFSET([1]item_type!$A$1,MATCH(Q1156,[1]item_type!$G:$G,0)-1,0)</f>
        <v>302013</v>
      </c>
      <c r="AL1156" s="205"/>
      <c r="AM1156" s="205">
        <f ca="1">IF(B1156=B1157,OFFSET(卡牌辅助配置表!$AE$1,MATCH(AB1156,卡牌辅助配置表!AB:AB,0),0),0)</f>
        <v>5100</v>
      </c>
      <c r="AN1156" s="153">
        <f ca="1" t="shared" si="190"/>
        <v>2013007</v>
      </c>
      <c r="AP1156" s="153" t="str">
        <f ca="1">IF(AC1156=0,0,IF(AC1156=12,0,OFFSET(effect!$N$1,MATCH(K1156,effect!M:M,0)-1,0)))</f>
        <v>kpsx_huangse</v>
      </c>
    </row>
    <row r="1157" spans="1:42">
      <c r="A1157" s="153">
        <f ca="1" t="shared" si="186"/>
        <v>2013007</v>
      </c>
      <c r="B1157" s="91" t="s">
        <v>768</v>
      </c>
      <c r="C1157" s="186">
        <v>2</v>
      </c>
      <c r="D1157" s="186">
        <v>1</v>
      </c>
      <c r="E1157" s="165" t="s">
        <v>1058</v>
      </c>
      <c r="F1157" s="165" t="str">
        <f>"本回合每出一张剑法牌，伤害增加"&amp;skill!$O$78/100&amp;"%"</f>
        <v>本回合每出一张剑法牌，伤害增加35%</v>
      </c>
      <c r="G1157" s="186">
        <f ca="1">OFFSET(卡牌辅助配置表!$C$1,MATCH(AC1157,卡牌辅助配置表!A:A,0)-1,0)</f>
        <v>3</v>
      </c>
      <c r="H1157" s="186">
        <f ca="1" t="shared" si="196"/>
        <v>0</v>
      </c>
      <c r="I1157" s="186"/>
      <c r="J1157" s="186">
        <f ca="1">OFFSET(card_type!$F$1,MATCH(Q1157,card_type!A:A,0)-1,0)</f>
        <v>2</v>
      </c>
      <c r="K1157" s="243">
        <f ca="1">OFFSET(card_type!$G$1,MATCH(Q1157,card_type!A:A,0)-1,0)</f>
        <v>4</v>
      </c>
      <c r="L1157" s="157">
        <v>2</v>
      </c>
      <c r="M1157" s="157">
        <v>2</v>
      </c>
      <c r="N1157" s="153">
        <f t="shared" si="195"/>
        <v>7</v>
      </c>
      <c r="O1157" s="157"/>
      <c r="P1157" s="157"/>
      <c r="Q1157" s="153">
        <f ca="1">OFFSET(card_type!$A$1,MATCH(card!B1157,card_type!B:B,0)-1,0)</f>
        <v>2013</v>
      </c>
      <c r="R1157" s="153">
        <v>1</v>
      </c>
      <c r="S1157" s="157">
        <f ca="1">ROUND(IF(R1157=0,0,IF(R1157=1,X1157*$S$1,IF(R1157=2,X1157*$S$1*buff的资质计算!$E$2,IF(R1157=3,X1157*$S$1*buff的资质计算!$E$3,0)))),0)*0</f>
        <v>0</v>
      </c>
      <c r="T1157" s="153">
        <v>5</v>
      </c>
      <c r="U1157" s="153">
        <f ca="1" t="shared" si="187"/>
        <v>24</v>
      </c>
      <c r="V1157" s="153">
        <f ca="1">ROUND((OFFSET(卡牌辅助配置表!$O$1,MATCH(U1157,卡牌辅助配置表!M:M,0)-1,0)+(N1157-1)*OFFSET(卡牌辅助配置表!$P$1,MATCH(U1157,卡牌辅助配置表!M:M,0)-1,0))*M1157,2)</f>
        <v>70.56</v>
      </c>
      <c r="W1157" s="157">
        <f ca="1">ROUND(IF(R1157=0,0,IF(R1157=1,X1157*$W$1,IF(R1157=2,X1157*$W$1*buff的资质计算!$E$2,IF(R1157=3,X1157*$W$1*buff的资质计算!$E$3,0)))),2)</f>
        <v>15</v>
      </c>
      <c r="X1157" s="157">
        <f ca="1" t="shared" si="193"/>
        <v>50</v>
      </c>
      <c r="Y1157" s="157">
        <f ca="1" t="shared" si="192"/>
        <v>50</v>
      </c>
      <c r="Z1157" s="304">
        <f ca="1" t="shared" si="194"/>
        <v>25</v>
      </c>
      <c r="AA1157" s="304">
        <f ca="1">OFFSET(卡牌辅助配置表!$AD$1,MATCH(AB1157,卡牌辅助配置表!AB:AB,0)-1,0)</f>
        <v>2464</v>
      </c>
      <c r="AB1157" s="304">
        <f ca="1" t="shared" si="188"/>
        <v>2407</v>
      </c>
      <c r="AC1157" s="153">
        <v>1</v>
      </c>
      <c r="AE1157" s="153">
        <v>2</v>
      </c>
      <c r="AF1157" s="153" t="str">
        <f ca="1" t="shared" si="191"/>
        <v>20130011|</v>
      </c>
      <c r="AJ1157" s="205" t="str">
        <f ca="1" t="shared" si="189"/>
        <v>400023|5700|;</v>
      </c>
      <c r="AK1157" s="205">
        <f ca="1">OFFSET([1]item_type!$A$1,MATCH(Q1157,[1]item_type!$G:$G,0)-1,0)</f>
        <v>302013</v>
      </c>
      <c r="AL1157" s="205"/>
      <c r="AM1157" s="205">
        <f ca="1">IF(B1157=B1158,OFFSET(卡牌辅助配置表!$AE$1,MATCH(AB1157,卡牌辅助配置表!AB:AB,0),0),0)</f>
        <v>5700</v>
      </c>
      <c r="AN1157" s="153">
        <f ca="1" t="shared" si="190"/>
        <v>2013008</v>
      </c>
      <c r="AP1157" s="153" t="str">
        <f ca="1">IF(AC1157=0,0,IF(AC1157=12,0,OFFSET(effect!$N$1,MATCH(K1157,effect!M:M,0)-1,0)))</f>
        <v>kpsx_huangse</v>
      </c>
    </row>
    <row r="1158" spans="1:42">
      <c r="A1158" s="153">
        <f ca="1" t="shared" ref="A1158:A1221" si="197">Q1158*1000+N1158</f>
        <v>2013008</v>
      </c>
      <c r="B1158" s="91" t="s">
        <v>768</v>
      </c>
      <c r="C1158" s="186">
        <v>2</v>
      </c>
      <c r="D1158" s="186">
        <v>1</v>
      </c>
      <c r="E1158" s="165" t="s">
        <v>1058</v>
      </c>
      <c r="F1158" s="165" t="str">
        <f>"本回合每出一张剑法牌，伤害增加"&amp;skill!$O$78/100&amp;"%"</f>
        <v>本回合每出一张剑法牌，伤害增加35%</v>
      </c>
      <c r="G1158" s="186">
        <f ca="1">OFFSET(卡牌辅助配置表!$C$1,MATCH(AC1158,卡牌辅助配置表!A:A,0)-1,0)</f>
        <v>3</v>
      </c>
      <c r="H1158" s="186">
        <f ca="1" t="shared" si="196"/>
        <v>0</v>
      </c>
      <c r="I1158" s="186"/>
      <c r="J1158" s="186">
        <f ca="1">OFFSET(card_type!$F$1,MATCH(Q1158,card_type!A:A,0)-1,0)</f>
        <v>2</v>
      </c>
      <c r="K1158" s="243">
        <f ca="1">OFFSET(card_type!$G$1,MATCH(Q1158,card_type!A:A,0)-1,0)</f>
        <v>4</v>
      </c>
      <c r="L1158" s="157">
        <v>2</v>
      </c>
      <c r="M1158" s="157">
        <v>2</v>
      </c>
      <c r="N1158" s="153">
        <f t="shared" si="195"/>
        <v>8</v>
      </c>
      <c r="O1158" s="157"/>
      <c r="P1158" s="157"/>
      <c r="Q1158" s="153">
        <f ca="1">OFFSET(card_type!$A$1,MATCH(card!B1158,card_type!B:B,0)-1,0)</f>
        <v>2013</v>
      </c>
      <c r="R1158" s="153">
        <v>1</v>
      </c>
      <c r="S1158" s="157">
        <f ca="1">ROUND(IF(R1158=0,0,IF(R1158=1,X1158*$S$1,IF(R1158=2,X1158*$S$1*buff的资质计算!$E$2,IF(R1158=3,X1158*$S$1*buff的资质计算!$E$3,0)))),0)*0</f>
        <v>0</v>
      </c>
      <c r="T1158" s="153">
        <v>5</v>
      </c>
      <c r="U1158" s="153">
        <f ca="1" t="shared" ref="U1158:U1221" si="198">J1158*10+K1158</f>
        <v>24</v>
      </c>
      <c r="V1158" s="153">
        <f ca="1">ROUND((OFFSET(卡牌辅助配置表!$O$1,MATCH(U1158,卡牌辅助配置表!M:M,0)-1,0)+(N1158-1)*OFFSET(卡牌辅助配置表!$P$1,MATCH(U1158,卡牌辅助配置表!M:M,0)-1,0))*M1158,2)</f>
        <v>73.92</v>
      </c>
      <c r="W1158" s="157">
        <f ca="1">ROUND(IF(R1158=0,0,IF(R1158=1,X1158*$W$1,IF(R1158=2,X1158*$W$1*buff的资质计算!$E$2,IF(R1158=3,X1158*$W$1*buff的资质计算!$E$3,0)))),2)</f>
        <v>15.15</v>
      </c>
      <c r="X1158" s="157">
        <f ca="1" t="shared" si="193"/>
        <v>50.5</v>
      </c>
      <c r="Y1158" s="157">
        <f ca="1" t="shared" si="192"/>
        <v>50.5</v>
      </c>
      <c r="Z1158" s="304">
        <f ca="1" t="shared" si="194"/>
        <v>25.25</v>
      </c>
      <c r="AA1158" s="304">
        <f ca="1">OFFSET(卡牌辅助配置表!$AD$1,MATCH(AB1158,卡牌辅助配置表!AB:AB,0)-1,0)</f>
        <v>2816</v>
      </c>
      <c r="AB1158" s="304">
        <f ca="1" t="shared" ref="AB1158:AB1221" si="199">J1158*1000+K1158*100+N1158</f>
        <v>2408</v>
      </c>
      <c r="AC1158" s="153">
        <v>1</v>
      </c>
      <c r="AE1158" s="153">
        <v>2</v>
      </c>
      <c r="AF1158" s="153" t="str">
        <f ca="1" t="shared" si="191"/>
        <v>20130011|</v>
      </c>
      <c r="AJ1158" s="205" t="str">
        <f ca="1" t="shared" ref="AJ1158:AJ1221" si="200">IF(AN1158=0,0,IF(AL1158=0,$AM$1&amp;$AF$1&amp;AM1158&amp;$AF$1&amp;$AJ$1,AK1158&amp;$AF$1&amp;AL1158&amp;$AF$1&amp;$AJ$1&amp;$AM$1&amp;$AF$1&amp;AM1158&amp;$AF$1&amp;$AJ$1))</f>
        <v>400023|6300|;</v>
      </c>
      <c r="AK1158" s="205">
        <f ca="1">OFFSET([1]item_type!$A$1,MATCH(Q1158,[1]item_type!$G:$G,0)-1,0)</f>
        <v>302013</v>
      </c>
      <c r="AL1158" s="205"/>
      <c r="AM1158" s="205">
        <f ca="1">IF(B1158=B1159,OFFSET(卡牌辅助配置表!$AE$1,MATCH(AB1158,卡牌辅助配置表!AB:AB,0),0),0)</f>
        <v>6300</v>
      </c>
      <c r="AN1158" s="153">
        <f ca="1" t="shared" ref="AN1158:AN1221" si="201">IF(B1158=B1159,A1158+1,0)</f>
        <v>2013009</v>
      </c>
      <c r="AP1158" s="153" t="str">
        <f ca="1">IF(AC1158=0,0,IF(AC1158=12,0,OFFSET(effect!$N$1,MATCH(K1158,effect!M:M,0)-1,0)))</f>
        <v>kpsx_huangse</v>
      </c>
    </row>
    <row r="1159" spans="1:42">
      <c r="A1159" s="153">
        <f ca="1" t="shared" si="197"/>
        <v>2013009</v>
      </c>
      <c r="B1159" s="91" t="s">
        <v>768</v>
      </c>
      <c r="C1159" s="186">
        <v>2</v>
      </c>
      <c r="D1159" s="186">
        <v>1</v>
      </c>
      <c r="E1159" s="165" t="s">
        <v>1058</v>
      </c>
      <c r="F1159" s="165" t="str">
        <f>"本回合每出一张剑法牌，伤害增加"&amp;skill!$O$78/100&amp;"%"</f>
        <v>本回合每出一张剑法牌，伤害增加35%</v>
      </c>
      <c r="G1159" s="186">
        <f ca="1">OFFSET(卡牌辅助配置表!$C$1,MATCH(AC1159,卡牌辅助配置表!A:A,0)-1,0)</f>
        <v>3</v>
      </c>
      <c r="H1159" s="186">
        <f ca="1" t="shared" si="196"/>
        <v>0</v>
      </c>
      <c r="I1159" s="186"/>
      <c r="J1159" s="186">
        <f ca="1">OFFSET(card_type!$F$1,MATCH(Q1159,card_type!A:A,0)-1,0)</f>
        <v>2</v>
      </c>
      <c r="K1159" s="243">
        <f ca="1">OFFSET(card_type!$G$1,MATCH(Q1159,card_type!A:A,0)-1,0)</f>
        <v>4</v>
      </c>
      <c r="L1159" s="157">
        <v>2</v>
      </c>
      <c r="M1159" s="157">
        <v>2</v>
      </c>
      <c r="N1159" s="153">
        <f t="shared" si="195"/>
        <v>9</v>
      </c>
      <c r="O1159" s="157"/>
      <c r="P1159" s="157"/>
      <c r="Q1159" s="153">
        <f ca="1">OFFSET(card_type!$A$1,MATCH(card!B1159,card_type!B:B,0)-1,0)</f>
        <v>2013</v>
      </c>
      <c r="R1159" s="153">
        <v>1</v>
      </c>
      <c r="S1159" s="157">
        <f ca="1">ROUND(IF(R1159=0,0,IF(R1159=1,X1159*$S$1,IF(R1159=2,X1159*$S$1*buff的资质计算!$E$2,IF(R1159=3,X1159*$S$1*buff的资质计算!$E$3,0)))),0)*0</f>
        <v>0</v>
      </c>
      <c r="T1159" s="153">
        <v>5</v>
      </c>
      <c r="U1159" s="153">
        <f ca="1" t="shared" si="198"/>
        <v>24</v>
      </c>
      <c r="V1159" s="153">
        <f ca="1">ROUND((OFFSET(卡牌辅助配置表!$O$1,MATCH(U1159,卡牌辅助配置表!M:M,0)-1,0)+(N1159-1)*OFFSET(卡牌辅助配置表!$P$1,MATCH(U1159,卡牌辅助配置表!M:M,0)-1,0))*M1159,2)</f>
        <v>77.28</v>
      </c>
      <c r="W1159" s="157">
        <f ca="1">ROUND(IF(R1159=0,0,IF(R1159=1,X1159*$W$1,IF(R1159=2,X1159*$W$1*buff的资质计算!$E$2,IF(R1159=3,X1159*$W$1*buff的资质计算!$E$3,0)))),2)</f>
        <v>15.3</v>
      </c>
      <c r="X1159" s="157">
        <f ca="1" t="shared" si="193"/>
        <v>51</v>
      </c>
      <c r="Y1159" s="157">
        <f ca="1" t="shared" si="192"/>
        <v>51</v>
      </c>
      <c r="Z1159" s="304">
        <f ca="1" t="shared" si="194"/>
        <v>25.5</v>
      </c>
      <c r="AA1159" s="304">
        <f ca="1">OFFSET(卡牌辅助配置表!$AD$1,MATCH(AB1159,卡牌辅助配置表!AB:AB,0)-1,0)</f>
        <v>3168</v>
      </c>
      <c r="AB1159" s="304">
        <f ca="1" t="shared" si="199"/>
        <v>2409</v>
      </c>
      <c r="AC1159" s="153">
        <v>1</v>
      </c>
      <c r="AE1159" s="153">
        <v>2</v>
      </c>
      <c r="AF1159" s="153" t="str">
        <f ca="1" t="shared" si="191"/>
        <v>20130011|</v>
      </c>
      <c r="AJ1159" s="205" t="str">
        <f ca="1" t="shared" si="200"/>
        <v>302013|15|;400023|6900|;</v>
      </c>
      <c r="AK1159" s="205">
        <f ca="1">OFFSET([1]item_type!$A$1,MATCH(Q1159,[1]item_type!$G:$G,0)-1,0)</f>
        <v>302013</v>
      </c>
      <c r="AL1159" s="205">
        <v>15</v>
      </c>
      <c r="AM1159" s="205">
        <f ca="1">IF(B1159=B1160,OFFSET(卡牌辅助配置表!$AE$1,MATCH(AB1159,卡牌辅助配置表!AB:AB,0),0),0)</f>
        <v>6900</v>
      </c>
      <c r="AN1159" s="153">
        <f ca="1" t="shared" si="201"/>
        <v>2013010</v>
      </c>
      <c r="AP1159" s="153" t="str">
        <f ca="1">IF(AC1159=0,0,IF(AC1159=12,0,OFFSET(effect!$N$1,MATCH(K1159,effect!M:M,0)-1,0)))</f>
        <v>kpsx_huangse</v>
      </c>
    </row>
    <row r="1160" spans="1:42">
      <c r="A1160" s="153">
        <f ca="1" t="shared" si="197"/>
        <v>2013010</v>
      </c>
      <c r="B1160" s="91" t="s">
        <v>768</v>
      </c>
      <c r="C1160" s="186">
        <v>2</v>
      </c>
      <c r="D1160" s="186">
        <v>1</v>
      </c>
      <c r="E1160" s="165" t="s">
        <v>1058</v>
      </c>
      <c r="F1160" s="165" t="str">
        <f>"本回合每出一张剑法牌，伤害增加"&amp;skill!$O$78/100&amp;"%"</f>
        <v>本回合每出一张剑法牌，伤害增加35%</v>
      </c>
      <c r="G1160" s="186">
        <f ca="1">OFFSET(卡牌辅助配置表!$C$1,MATCH(AC1160,卡牌辅助配置表!A:A,0)-1,0)</f>
        <v>3</v>
      </c>
      <c r="H1160" s="186">
        <f ca="1" t="shared" si="196"/>
        <v>0</v>
      </c>
      <c r="I1160" s="186"/>
      <c r="J1160" s="186">
        <f ca="1">OFFSET(card_type!$F$1,MATCH(Q1160,card_type!A:A,0)-1,0)</f>
        <v>2</v>
      </c>
      <c r="K1160" s="243">
        <f ca="1">OFFSET(card_type!$G$1,MATCH(Q1160,card_type!A:A,0)-1,0)</f>
        <v>4</v>
      </c>
      <c r="L1160" s="157">
        <v>2</v>
      </c>
      <c r="M1160" s="157">
        <v>2</v>
      </c>
      <c r="N1160" s="153">
        <f t="shared" si="195"/>
        <v>10</v>
      </c>
      <c r="O1160" s="157"/>
      <c r="P1160" s="157"/>
      <c r="Q1160" s="153">
        <f ca="1">OFFSET(card_type!$A$1,MATCH(card!B1160,card_type!B:B,0)-1,0)</f>
        <v>2013</v>
      </c>
      <c r="R1160" s="153">
        <v>1</v>
      </c>
      <c r="S1160" s="157">
        <f ca="1">ROUND(IF(R1160=0,0,IF(R1160=1,X1160*$S$1,IF(R1160=2,X1160*$S$1*buff的资质计算!$E$2,IF(R1160=3,X1160*$S$1*buff的资质计算!$E$3,0)))),0)*0</f>
        <v>0</v>
      </c>
      <c r="T1160" s="153">
        <v>5</v>
      </c>
      <c r="U1160" s="153">
        <f ca="1" t="shared" si="198"/>
        <v>24</v>
      </c>
      <c r="V1160" s="153">
        <f ca="1">ROUND((OFFSET(卡牌辅助配置表!$O$1,MATCH(U1160,卡牌辅助配置表!M:M,0)-1,0)+(N1160-1)*OFFSET(卡牌辅助配置表!$P$1,MATCH(U1160,卡牌辅助配置表!M:M,0)-1,0))*M1160,2)</f>
        <v>80.64</v>
      </c>
      <c r="W1160" s="157">
        <f ca="1">ROUND(IF(R1160=0,0,IF(R1160=1,X1160*$W$1,IF(R1160=2,X1160*$W$1*buff的资质计算!$E$2,IF(R1160=3,X1160*$W$1*buff的资质计算!$E$3,0)))),2)</f>
        <v>15.45</v>
      </c>
      <c r="X1160" s="157">
        <f ca="1" t="shared" si="193"/>
        <v>51.5</v>
      </c>
      <c r="Y1160" s="157">
        <f ca="1" t="shared" si="192"/>
        <v>51.5</v>
      </c>
      <c r="Z1160" s="304">
        <f ca="1" t="shared" si="194"/>
        <v>25.75</v>
      </c>
      <c r="AA1160" s="304">
        <f ca="1">OFFSET(卡牌辅助配置表!$AD$1,MATCH(AB1160,卡牌辅助配置表!AB:AB,0)-1,0)</f>
        <v>3520</v>
      </c>
      <c r="AB1160" s="304">
        <f ca="1" t="shared" si="199"/>
        <v>2410</v>
      </c>
      <c r="AC1160" s="153">
        <v>1</v>
      </c>
      <c r="AE1160" s="153">
        <v>2</v>
      </c>
      <c r="AF1160" s="153" t="str">
        <f ca="1" t="shared" si="191"/>
        <v>20130011|</v>
      </c>
      <c r="AJ1160" s="205" t="str">
        <f ca="1" t="shared" si="200"/>
        <v>400023|8100|;</v>
      </c>
      <c r="AK1160" s="205">
        <f ca="1">OFFSET([1]item_type!$A$1,MATCH(Q1160,[1]item_type!$G:$G,0)-1,0)</f>
        <v>302013</v>
      </c>
      <c r="AL1160" s="205"/>
      <c r="AM1160" s="205">
        <f ca="1">IF(B1160=B1161,OFFSET(卡牌辅助配置表!$AE$1,MATCH(AB1160,卡牌辅助配置表!AB:AB,0),0),0)</f>
        <v>8100</v>
      </c>
      <c r="AN1160" s="153">
        <f ca="1" t="shared" si="201"/>
        <v>2013011</v>
      </c>
      <c r="AP1160" s="153" t="str">
        <f ca="1">IF(AC1160=0,0,IF(AC1160=12,0,OFFSET(effect!$N$1,MATCH(K1160,effect!M:M,0)-1,0)))</f>
        <v>kpsx_huangse</v>
      </c>
    </row>
    <row r="1161" spans="1:42">
      <c r="A1161" s="153">
        <f ca="1" t="shared" si="197"/>
        <v>2013011</v>
      </c>
      <c r="B1161" s="91" t="s">
        <v>768</v>
      </c>
      <c r="C1161" s="186">
        <v>2</v>
      </c>
      <c r="D1161" s="186">
        <v>1</v>
      </c>
      <c r="E1161" s="165" t="s">
        <v>1058</v>
      </c>
      <c r="F1161" s="165" t="str">
        <f>"本回合每出一张剑法牌，伤害增加"&amp;skill!$O$78/100&amp;"%"</f>
        <v>本回合每出一张剑法牌，伤害增加35%</v>
      </c>
      <c r="G1161" s="186">
        <f ca="1">OFFSET(卡牌辅助配置表!$C$1,MATCH(AC1161,卡牌辅助配置表!A:A,0)-1,0)</f>
        <v>3</v>
      </c>
      <c r="H1161" s="186">
        <f ca="1" t="shared" si="196"/>
        <v>0</v>
      </c>
      <c r="I1161" s="186"/>
      <c r="J1161" s="186">
        <f ca="1">OFFSET(card_type!$F$1,MATCH(Q1161,card_type!A:A,0)-1,0)</f>
        <v>2</v>
      </c>
      <c r="K1161" s="243">
        <f ca="1">OFFSET(card_type!$G$1,MATCH(Q1161,card_type!A:A,0)-1,0)</f>
        <v>4</v>
      </c>
      <c r="L1161" s="157">
        <v>2</v>
      </c>
      <c r="M1161" s="157">
        <v>2</v>
      </c>
      <c r="N1161" s="153">
        <f t="shared" si="195"/>
        <v>11</v>
      </c>
      <c r="O1161" s="157"/>
      <c r="P1161" s="157"/>
      <c r="Q1161" s="153">
        <f ca="1">OFFSET(card_type!$A$1,MATCH(card!B1161,card_type!B:B,0)-1,0)</f>
        <v>2013</v>
      </c>
      <c r="R1161" s="153">
        <v>1</v>
      </c>
      <c r="S1161" s="157">
        <f ca="1">ROUND(IF(R1161=0,0,IF(R1161=1,X1161*$S$1,IF(R1161=2,X1161*$S$1*buff的资质计算!$E$2,IF(R1161=3,X1161*$S$1*buff的资质计算!$E$3,0)))),0)*0</f>
        <v>0</v>
      </c>
      <c r="T1161" s="153">
        <v>5</v>
      </c>
      <c r="U1161" s="153">
        <f ca="1" t="shared" si="198"/>
        <v>24</v>
      </c>
      <c r="V1161" s="153">
        <f ca="1">ROUND((OFFSET(卡牌辅助配置表!$O$1,MATCH(U1161,卡牌辅助配置表!M:M,0)-1,0)+(N1161-1)*OFFSET(卡牌辅助配置表!$P$1,MATCH(U1161,卡牌辅助配置表!M:M,0)-1,0))*M1161,2)</f>
        <v>84</v>
      </c>
      <c r="W1161" s="157">
        <f ca="1">ROUND(IF(R1161=0,0,IF(R1161=1,X1161*$W$1,IF(R1161=2,X1161*$W$1*buff的资质计算!$E$2,IF(R1161=3,X1161*$W$1*buff的资质计算!$E$3,0)))),2)</f>
        <v>15.6</v>
      </c>
      <c r="X1161" s="157">
        <f ca="1" t="shared" si="193"/>
        <v>52</v>
      </c>
      <c r="Y1161" s="157">
        <f ca="1" t="shared" si="192"/>
        <v>52</v>
      </c>
      <c r="Z1161" s="304">
        <f ca="1" t="shared" si="194"/>
        <v>26</v>
      </c>
      <c r="AA1161" s="304">
        <f ca="1">OFFSET(卡牌辅助配置表!$AD$1,MATCH(AB1161,卡牌辅助配置表!AB:AB,0)-1,0)</f>
        <v>4049</v>
      </c>
      <c r="AB1161" s="304">
        <f ca="1" t="shared" si="199"/>
        <v>2411</v>
      </c>
      <c r="AC1161" s="153">
        <v>1</v>
      </c>
      <c r="AE1161" s="153">
        <v>2</v>
      </c>
      <c r="AF1161" s="153" t="str">
        <f ca="1" t="shared" si="191"/>
        <v>20130011|</v>
      </c>
      <c r="AJ1161" s="205" t="str">
        <f ca="1" t="shared" si="200"/>
        <v>400023|9300|;</v>
      </c>
      <c r="AK1161" s="205">
        <f ca="1">OFFSET([1]item_type!$A$1,MATCH(Q1161,[1]item_type!$G:$G,0)-1,0)</f>
        <v>302013</v>
      </c>
      <c r="AL1161" s="205"/>
      <c r="AM1161" s="205">
        <f ca="1">IF(B1161=B1162,OFFSET(卡牌辅助配置表!$AE$1,MATCH(AB1161,卡牌辅助配置表!AB:AB,0),0),0)</f>
        <v>9300</v>
      </c>
      <c r="AN1161" s="153">
        <f ca="1" t="shared" si="201"/>
        <v>2013012</v>
      </c>
      <c r="AP1161" s="153" t="str">
        <f ca="1">IF(AC1161=0,0,IF(AC1161=12,0,OFFSET(effect!$N$1,MATCH(K1161,effect!M:M,0)-1,0)))</f>
        <v>kpsx_huangse</v>
      </c>
    </row>
    <row r="1162" spans="1:42">
      <c r="A1162" s="153">
        <f ca="1" t="shared" si="197"/>
        <v>2013012</v>
      </c>
      <c r="B1162" s="91" t="s">
        <v>768</v>
      </c>
      <c r="C1162" s="186">
        <v>2</v>
      </c>
      <c r="D1162" s="186">
        <v>1</v>
      </c>
      <c r="E1162" s="165" t="s">
        <v>1058</v>
      </c>
      <c r="F1162" s="165" t="str">
        <f>"本回合每出一张剑法牌，伤害增加"&amp;skill!$O$78/100&amp;"%"</f>
        <v>本回合每出一张剑法牌，伤害增加35%</v>
      </c>
      <c r="G1162" s="186">
        <f ca="1">OFFSET(卡牌辅助配置表!$C$1,MATCH(AC1162,卡牌辅助配置表!A:A,0)-1,0)</f>
        <v>3</v>
      </c>
      <c r="H1162" s="186">
        <f ca="1" t="shared" si="196"/>
        <v>0</v>
      </c>
      <c r="I1162" s="186"/>
      <c r="J1162" s="186">
        <f ca="1">OFFSET(card_type!$F$1,MATCH(Q1162,card_type!A:A,0)-1,0)</f>
        <v>2</v>
      </c>
      <c r="K1162" s="243">
        <f ca="1">OFFSET(card_type!$G$1,MATCH(Q1162,card_type!A:A,0)-1,0)</f>
        <v>4</v>
      </c>
      <c r="L1162" s="157">
        <v>2</v>
      </c>
      <c r="M1162" s="157">
        <v>2</v>
      </c>
      <c r="N1162" s="153">
        <f t="shared" si="195"/>
        <v>12</v>
      </c>
      <c r="O1162" s="157"/>
      <c r="P1162" s="157"/>
      <c r="Q1162" s="153">
        <f ca="1">OFFSET(card_type!$A$1,MATCH(card!B1162,card_type!B:B,0)-1,0)</f>
        <v>2013</v>
      </c>
      <c r="R1162" s="153">
        <v>1</v>
      </c>
      <c r="S1162" s="157">
        <f ca="1">ROUND(IF(R1162=0,0,IF(R1162=1,X1162*$S$1,IF(R1162=2,X1162*$S$1*buff的资质计算!$E$2,IF(R1162=3,X1162*$S$1*buff的资质计算!$E$3,0)))),0)*0</f>
        <v>0</v>
      </c>
      <c r="T1162" s="153">
        <v>5</v>
      </c>
      <c r="U1162" s="153">
        <f ca="1" t="shared" si="198"/>
        <v>24</v>
      </c>
      <c r="V1162" s="153">
        <f ca="1">ROUND((OFFSET(卡牌辅助配置表!$O$1,MATCH(U1162,卡牌辅助配置表!M:M,0)-1,0)+(N1162-1)*OFFSET(卡牌辅助配置表!$P$1,MATCH(U1162,卡牌辅助配置表!M:M,0)-1,0))*M1162,2)</f>
        <v>87.36</v>
      </c>
      <c r="W1162" s="157">
        <f ca="1">ROUND(IF(R1162=0,0,IF(R1162=1,X1162*$W$1,IF(R1162=2,X1162*$W$1*buff的资质计算!$E$2,IF(R1162=3,X1162*$W$1*buff的资质计算!$E$3,0)))),2)</f>
        <v>15.75</v>
      </c>
      <c r="X1162" s="157">
        <f ca="1" t="shared" si="193"/>
        <v>52.5</v>
      </c>
      <c r="Y1162" s="157">
        <f ca="1" t="shared" si="192"/>
        <v>52.5</v>
      </c>
      <c r="Z1162" s="304">
        <f ca="1" t="shared" si="194"/>
        <v>26.25</v>
      </c>
      <c r="AA1162" s="304">
        <f ca="1">OFFSET(卡牌辅助配置表!$AD$1,MATCH(AB1162,卡牌辅助配置表!AB:AB,0)-1,0)</f>
        <v>4578</v>
      </c>
      <c r="AB1162" s="304">
        <f ca="1" t="shared" si="199"/>
        <v>2412</v>
      </c>
      <c r="AC1162" s="153">
        <v>1</v>
      </c>
      <c r="AE1162" s="153">
        <v>2</v>
      </c>
      <c r="AF1162" s="153" t="str">
        <f ca="1" t="shared" si="191"/>
        <v>20130011|</v>
      </c>
      <c r="AJ1162" s="205" t="str">
        <f ca="1" t="shared" si="200"/>
        <v>400023|10500|;</v>
      </c>
      <c r="AK1162" s="205">
        <f ca="1">OFFSET([1]item_type!$A$1,MATCH(Q1162,[1]item_type!$G:$G,0)-1,0)</f>
        <v>302013</v>
      </c>
      <c r="AL1162" s="205"/>
      <c r="AM1162" s="205">
        <f ca="1">IF(B1162=B1163,OFFSET(卡牌辅助配置表!$AE$1,MATCH(AB1162,卡牌辅助配置表!AB:AB,0),0),0)</f>
        <v>10500</v>
      </c>
      <c r="AN1162" s="153">
        <f ca="1" t="shared" si="201"/>
        <v>2013013</v>
      </c>
      <c r="AP1162" s="153" t="str">
        <f ca="1">IF(AC1162=0,0,IF(AC1162=12,0,OFFSET(effect!$N$1,MATCH(K1162,effect!M:M,0)-1,0)))</f>
        <v>kpsx_huangse</v>
      </c>
    </row>
    <row r="1163" spans="1:42">
      <c r="A1163" s="153">
        <f ca="1" t="shared" si="197"/>
        <v>2013013</v>
      </c>
      <c r="B1163" s="91" t="s">
        <v>768</v>
      </c>
      <c r="C1163" s="186">
        <v>2</v>
      </c>
      <c r="D1163" s="186">
        <v>1</v>
      </c>
      <c r="E1163" s="165" t="s">
        <v>1058</v>
      </c>
      <c r="F1163" s="165" t="str">
        <f>"本回合每出一张剑法牌，伤害增加"&amp;skill!$O$78/100&amp;"%"</f>
        <v>本回合每出一张剑法牌，伤害增加35%</v>
      </c>
      <c r="G1163" s="186">
        <f ca="1">OFFSET(卡牌辅助配置表!$C$1,MATCH(AC1163,卡牌辅助配置表!A:A,0)-1,0)</f>
        <v>3</v>
      </c>
      <c r="H1163" s="186">
        <f ca="1" t="shared" si="196"/>
        <v>0</v>
      </c>
      <c r="I1163" s="186"/>
      <c r="J1163" s="186">
        <f ca="1">OFFSET(card_type!$F$1,MATCH(Q1163,card_type!A:A,0)-1,0)</f>
        <v>2</v>
      </c>
      <c r="K1163" s="243">
        <f ca="1">OFFSET(card_type!$G$1,MATCH(Q1163,card_type!A:A,0)-1,0)</f>
        <v>4</v>
      </c>
      <c r="L1163" s="157">
        <v>2</v>
      </c>
      <c r="M1163" s="157">
        <v>2</v>
      </c>
      <c r="N1163" s="153">
        <f t="shared" si="195"/>
        <v>13</v>
      </c>
      <c r="O1163" s="157"/>
      <c r="P1163" s="157"/>
      <c r="Q1163" s="153">
        <f ca="1">OFFSET(card_type!$A$1,MATCH(card!B1163,card_type!B:B,0)-1,0)</f>
        <v>2013</v>
      </c>
      <c r="R1163" s="153">
        <v>1</v>
      </c>
      <c r="S1163" s="157">
        <f ca="1">ROUND(IF(R1163=0,0,IF(R1163=1,X1163*$S$1,IF(R1163=2,X1163*$S$1*buff的资质计算!$E$2,IF(R1163=3,X1163*$S$1*buff的资质计算!$E$3,0)))),0)*0</f>
        <v>0</v>
      </c>
      <c r="T1163" s="153">
        <v>5</v>
      </c>
      <c r="U1163" s="153">
        <f ca="1" t="shared" si="198"/>
        <v>24</v>
      </c>
      <c r="V1163" s="153">
        <f ca="1">ROUND((OFFSET(卡牌辅助配置表!$O$1,MATCH(U1163,卡牌辅助配置表!M:M,0)-1,0)+(N1163-1)*OFFSET(卡牌辅助配置表!$P$1,MATCH(U1163,卡牌辅助配置表!M:M,0)-1,0))*M1163,2)</f>
        <v>90.72</v>
      </c>
      <c r="W1163" s="157">
        <f ca="1">ROUND(IF(R1163=0,0,IF(R1163=1,X1163*$W$1,IF(R1163=2,X1163*$W$1*buff的资质计算!$E$2,IF(R1163=3,X1163*$W$1*buff的资质计算!$E$3,0)))),2)</f>
        <v>15.9</v>
      </c>
      <c r="X1163" s="157">
        <f ca="1" t="shared" si="193"/>
        <v>53</v>
      </c>
      <c r="Y1163" s="157">
        <f ca="1" t="shared" si="192"/>
        <v>53</v>
      </c>
      <c r="Z1163" s="304">
        <f ca="1" t="shared" si="194"/>
        <v>26.5</v>
      </c>
      <c r="AA1163" s="304">
        <f ca="1">OFFSET(卡牌辅助配置表!$AD$1,MATCH(AB1163,卡牌辅助配置表!AB:AB,0)-1,0)</f>
        <v>5107</v>
      </c>
      <c r="AB1163" s="304">
        <f ca="1" t="shared" si="199"/>
        <v>2413</v>
      </c>
      <c r="AC1163" s="153">
        <v>1</v>
      </c>
      <c r="AE1163" s="153">
        <v>2</v>
      </c>
      <c r="AF1163" s="153" t="str">
        <f ca="1" t="shared" si="191"/>
        <v>20130011|</v>
      </c>
      <c r="AJ1163" s="205" t="str">
        <f ca="1" t="shared" si="200"/>
        <v>400023|11700|;</v>
      </c>
      <c r="AK1163" s="205">
        <f ca="1">OFFSET([1]item_type!$A$1,MATCH(Q1163,[1]item_type!$G:$G,0)-1,0)</f>
        <v>302013</v>
      </c>
      <c r="AL1163" s="205"/>
      <c r="AM1163" s="205">
        <f ca="1">IF(B1163=B1164,OFFSET(卡牌辅助配置表!$AE$1,MATCH(AB1163,卡牌辅助配置表!AB:AB,0),0),0)</f>
        <v>11700</v>
      </c>
      <c r="AN1163" s="153">
        <f ca="1" t="shared" si="201"/>
        <v>2013014</v>
      </c>
      <c r="AP1163" s="153" t="str">
        <f ca="1">IF(AC1163=0,0,IF(AC1163=12,0,OFFSET(effect!$N$1,MATCH(K1163,effect!M:M,0)-1,0)))</f>
        <v>kpsx_huangse</v>
      </c>
    </row>
    <row r="1164" spans="1:42">
      <c r="A1164" s="153">
        <f ca="1" t="shared" si="197"/>
        <v>2013014</v>
      </c>
      <c r="B1164" s="91" t="s">
        <v>768</v>
      </c>
      <c r="C1164" s="186">
        <v>2</v>
      </c>
      <c r="D1164" s="186">
        <v>1</v>
      </c>
      <c r="E1164" s="165" t="s">
        <v>1058</v>
      </c>
      <c r="F1164" s="165" t="str">
        <f>"本回合每出一张剑法牌，伤害增加"&amp;skill!$O$78/100&amp;"%"</f>
        <v>本回合每出一张剑法牌，伤害增加35%</v>
      </c>
      <c r="G1164" s="186">
        <f ca="1">OFFSET(卡牌辅助配置表!$C$1,MATCH(AC1164,卡牌辅助配置表!A:A,0)-1,0)</f>
        <v>3</v>
      </c>
      <c r="H1164" s="186">
        <f ca="1" t="shared" si="196"/>
        <v>0</v>
      </c>
      <c r="I1164" s="186"/>
      <c r="J1164" s="186">
        <f ca="1">OFFSET(card_type!$F$1,MATCH(Q1164,card_type!A:A,0)-1,0)</f>
        <v>2</v>
      </c>
      <c r="K1164" s="243">
        <f ca="1">OFFSET(card_type!$G$1,MATCH(Q1164,card_type!A:A,0)-1,0)</f>
        <v>4</v>
      </c>
      <c r="L1164" s="157">
        <v>2</v>
      </c>
      <c r="M1164" s="157">
        <v>2</v>
      </c>
      <c r="N1164" s="153">
        <f t="shared" si="195"/>
        <v>14</v>
      </c>
      <c r="O1164" s="157"/>
      <c r="P1164" s="157"/>
      <c r="Q1164" s="153">
        <f ca="1">OFFSET(card_type!$A$1,MATCH(card!B1164,card_type!B:B,0)-1,0)</f>
        <v>2013</v>
      </c>
      <c r="R1164" s="153">
        <v>1</v>
      </c>
      <c r="S1164" s="157">
        <f ca="1">ROUND(IF(R1164=0,0,IF(R1164=1,X1164*$S$1,IF(R1164=2,X1164*$S$1*buff的资质计算!$E$2,IF(R1164=3,X1164*$S$1*buff的资质计算!$E$3,0)))),0)*0</f>
        <v>0</v>
      </c>
      <c r="T1164" s="153">
        <v>5</v>
      </c>
      <c r="U1164" s="153">
        <f ca="1" t="shared" si="198"/>
        <v>24</v>
      </c>
      <c r="V1164" s="153">
        <f ca="1">ROUND((OFFSET(卡牌辅助配置表!$O$1,MATCH(U1164,卡牌辅助配置表!M:M,0)-1,0)+(N1164-1)*OFFSET(卡牌辅助配置表!$P$1,MATCH(U1164,卡牌辅助配置表!M:M,0)-1,0))*M1164,2)</f>
        <v>94.08</v>
      </c>
      <c r="W1164" s="157">
        <f ca="1">ROUND(IF(R1164=0,0,IF(R1164=1,X1164*$W$1,IF(R1164=2,X1164*$W$1*buff的资质计算!$E$2,IF(R1164=3,X1164*$W$1*buff的资质计算!$E$3,0)))),2)</f>
        <v>16.05</v>
      </c>
      <c r="X1164" s="157">
        <f ca="1" t="shared" si="193"/>
        <v>53.5</v>
      </c>
      <c r="Y1164" s="157">
        <f ca="1" t="shared" si="192"/>
        <v>53.5</v>
      </c>
      <c r="Z1164" s="304">
        <f ca="1" t="shared" si="194"/>
        <v>26.75</v>
      </c>
      <c r="AA1164" s="304">
        <f ca="1">OFFSET(卡牌辅助配置表!$AD$1,MATCH(AB1164,卡牌辅助配置表!AB:AB,0)-1,0)</f>
        <v>5636</v>
      </c>
      <c r="AB1164" s="304">
        <f ca="1" t="shared" si="199"/>
        <v>2414</v>
      </c>
      <c r="AC1164" s="153">
        <v>1</v>
      </c>
      <c r="AE1164" s="153">
        <v>2</v>
      </c>
      <c r="AF1164" s="153" t="str">
        <f ca="1" t="shared" si="191"/>
        <v>20130011|</v>
      </c>
      <c r="AJ1164" s="205" t="str">
        <f ca="1" t="shared" si="200"/>
        <v>400023|12900|;</v>
      </c>
      <c r="AK1164" s="205">
        <f ca="1">OFFSET([1]item_type!$A$1,MATCH(Q1164,[1]item_type!$G:$G,0)-1,0)</f>
        <v>302013</v>
      </c>
      <c r="AL1164" s="205"/>
      <c r="AM1164" s="205">
        <f ca="1">IF(B1164=B1165,OFFSET(卡牌辅助配置表!$AE$1,MATCH(AB1164,卡牌辅助配置表!AB:AB,0),0),0)</f>
        <v>12900</v>
      </c>
      <c r="AN1164" s="153">
        <f ca="1" t="shared" si="201"/>
        <v>2013015</v>
      </c>
      <c r="AP1164" s="153" t="str">
        <f ca="1">IF(AC1164=0,0,IF(AC1164=12,0,OFFSET(effect!$N$1,MATCH(K1164,effect!M:M,0)-1,0)))</f>
        <v>kpsx_huangse</v>
      </c>
    </row>
    <row r="1165" spans="1:42">
      <c r="A1165" s="153">
        <f ca="1" t="shared" si="197"/>
        <v>2013015</v>
      </c>
      <c r="B1165" s="91" t="s">
        <v>768</v>
      </c>
      <c r="C1165" s="186">
        <v>2</v>
      </c>
      <c r="D1165" s="186">
        <v>1</v>
      </c>
      <c r="E1165" s="165" t="s">
        <v>1058</v>
      </c>
      <c r="F1165" s="165" t="str">
        <f>"本回合每出一张剑法牌，伤害增加"&amp;skill!$O$78/100&amp;"%"</f>
        <v>本回合每出一张剑法牌，伤害增加35%</v>
      </c>
      <c r="G1165" s="186">
        <f ca="1">OFFSET(卡牌辅助配置表!$C$1,MATCH(AC1165,卡牌辅助配置表!A:A,0)-1,0)</f>
        <v>3</v>
      </c>
      <c r="H1165" s="186">
        <f ca="1" t="shared" si="196"/>
        <v>0</v>
      </c>
      <c r="I1165" s="186"/>
      <c r="J1165" s="186">
        <f ca="1">OFFSET(card_type!$F$1,MATCH(Q1165,card_type!A:A,0)-1,0)</f>
        <v>2</v>
      </c>
      <c r="K1165" s="243">
        <f ca="1">OFFSET(card_type!$G$1,MATCH(Q1165,card_type!A:A,0)-1,0)</f>
        <v>4</v>
      </c>
      <c r="L1165" s="157">
        <v>2</v>
      </c>
      <c r="M1165" s="157">
        <v>2</v>
      </c>
      <c r="N1165" s="153">
        <f t="shared" si="195"/>
        <v>15</v>
      </c>
      <c r="O1165" s="157"/>
      <c r="P1165" s="157"/>
      <c r="Q1165" s="153">
        <f ca="1">OFFSET(card_type!$A$1,MATCH(card!B1165,card_type!B:B,0)-1,0)</f>
        <v>2013</v>
      </c>
      <c r="R1165" s="153">
        <v>1</v>
      </c>
      <c r="S1165" s="157">
        <f ca="1">ROUND(IF(R1165=0,0,IF(R1165=1,X1165*$S$1,IF(R1165=2,X1165*$S$1*buff的资质计算!$E$2,IF(R1165=3,X1165*$S$1*buff的资质计算!$E$3,0)))),0)*0</f>
        <v>0</v>
      </c>
      <c r="T1165" s="153">
        <v>5</v>
      </c>
      <c r="U1165" s="153">
        <f ca="1" t="shared" si="198"/>
        <v>24</v>
      </c>
      <c r="V1165" s="153">
        <f ca="1">ROUND((OFFSET(卡牌辅助配置表!$O$1,MATCH(U1165,卡牌辅助配置表!M:M,0)-1,0)+(N1165-1)*OFFSET(卡牌辅助配置表!$P$1,MATCH(U1165,卡牌辅助配置表!M:M,0)-1,0))*M1165,2)</f>
        <v>97.44</v>
      </c>
      <c r="W1165" s="157">
        <f ca="1">ROUND(IF(R1165=0,0,IF(R1165=1,X1165*$W$1,IF(R1165=2,X1165*$W$1*buff的资质计算!$E$2,IF(R1165=3,X1165*$W$1*buff的资质计算!$E$3,0)))),2)</f>
        <v>16.2</v>
      </c>
      <c r="X1165" s="157">
        <f ca="1" t="shared" si="193"/>
        <v>54</v>
      </c>
      <c r="Y1165" s="157">
        <f ca="1" t="shared" si="192"/>
        <v>54</v>
      </c>
      <c r="Z1165" s="304">
        <f ca="1" t="shared" si="194"/>
        <v>27</v>
      </c>
      <c r="AA1165" s="304">
        <f ca="1">OFFSET(卡牌辅助配置表!$AD$1,MATCH(AB1165,卡牌辅助配置表!AB:AB,0)-1,0)</f>
        <v>6165</v>
      </c>
      <c r="AB1165" s="304">
        <f ca="1" t="shared" si="199"/>
        <v>2415</v>
      </c>
      <c r="AC1165" s="153">
        <v>1</v>
      </c>
      <c r="AE1165" s="153">
        <v>2</v>
      </c>
      <c r="AF1165" s="153" t="str">
        <f ca="1" t="shared" si="191"/>
        <v>20130011|</v>
      </c>
      <c r="AJ1165" s="205" t="str">
        <f ca="1" t="shared" si="200"/>
        <v>400023|14100|;</v>
      </c>
      <c r="AK1165" s="205">
        <f ca="1">OFFSET([1]item_type!$A$1,MATCH(Q1165,[1]item_type!$G:$G,0)-1,0)</f>
        <v>302013</v>
      </c>
      <c r="AL1165" s="205"/>
      <c r="AM1165" s="205">
        <f ca="1">IF(B1165=B1166,OFFSET(卡牌辅助配置表!$AE$1,MATCH(AB1165,卡牌辅助配置表!AB:AB,0),0),0)</f>
        <v>14100</v>
      </c>
      <c r="AN1165" s="153">
        <f ca="1" t="shared" si="201"/>
        <v>2013016</v>
      </c>
      <c r="AP1165" s="153" t="str">
        <f ca="1">IF(AC1165=0,0,IF(AC1165=12,0,OFFSET(effect!$N$1,MATCH(K1165,effect!M:M,0)-1,0)))</f>
        <v>kpsx_huangse</v>
      </c>
    </row>
    <row r="1166" spans="1:42">
      <c r="A1166" s="153">
        <f ca="1" t="shared" si="197"/>
        <v>2013016</v>
      </c>
      <c r="B1166" s="91" t="s">
        <v>768</v>
      </c>
      <c r="C1166" s="186">
        <v>2</v>
      </c>
      <c r="D1166" s="186">
        <v>1</v>
      </c>
      <c r="E1166" s="165" t="s">
        <v>1058</v>
      </c>
      <c r="F1166" s="165" t="str">
        <f>"本回合每出一张剑法牌，伤害增加"&amp;skill!$O$78/100&amp;"%"</f>
        <v>本回合每出一张剑法牌，伤害增加35%</v>
      </c>
      <c r="G1166" s="186">
        <f ca="1">OFFSET(卡牌辅助配置表!$C$1,MATCH(AC1166,卡牌辅助配置表!A:A,0)-1,0)</f>
        <v>3</v>
      </c>
      <c r="H1166" s="186">
        <f ca="1" t="shared" si="196"/>
        <v>0</v>
      </c>
      <c r="I1166" s="186"/>
      <c r="J1166" s="186">
        <f ca="1">OFFSET(card_type!$F$1,MATCH(Q1166,card_type!A:A,0)-1,0)</f>
        <v>2</v>
      </c>
      <c r="K1166" s="243">
        <f ca="1">OFFSET(card_type!$G$1,MATCH(Q1166,card_type!A:A,0)-1,0)</f>
        <v>4</v>
      </c>
      <c r="L1166" s="157">
        <v>2</v>
      </c>
      <c r="M1166" s="157">
        <v>2</v>
      </c>
      <c r="N1166" s="153">
        <f t="shared" si="195"/>
        <v>16</v>
      </c>
      <c r="O1166" s="157"/>
      <c r="P1166" s="157"/>
      <c r="Q1166" s="153">
        <f ca="1">OFFSET(card_type!$A$1,MATCH(card!B1166,card_type!B:B,0)-1,0)</f>
        <v>2013</v>
      </c>
      <c r="R1166" s="153">
        <v>1</v>
      </c>
      <c r="S1166" s="157">
        <f ca="1">ROUND(IF(R1166=0,0,IF(R1166=1,X1166*$S$1,IF(R1166=2,X1166*$S$1*buff的资质计算!$E$2,IF(R1166=3,X1166*$S$1*buff的资质计算!$E$3,0)))),0)*0</f>
        <v>0</v>
      </c>
      <c r="T1166" s="153">
        <v>5</v>
      </c>
      <c r="U1166" s="153">
        <f ca="1" t="shared" si="198"/>
        <v>24</v>
      </c>
      <c r="V1166" s="153">
        <f ca="1">ROUND((OFFSET(卡牌辅助配置表!$O$1,MATCH(U1166,卡牌辅助配置表!M:M,0)-1,0)+(N1166-1)*OFFSET(卡牌辅助配置表!$P$1,MATCH(U1166,卡牌辅助配置表!M:M,0)-1,0))*M1166,2)</f>
        <v>100.8</v>
      </c>
      <c r="W1166" s="157">
        <f ca="1">ROUND(IF(R1166=0,0,IF(R1166=1,X1166*$W$1,IF(R1166=2,X1166*$W$1*buff的资质计算!$E$2,IF(R1166=3,X1166*$W$1*buff的资质计算!$E$3,0)))),2)</f>
        <v>16.35</v>
      </c>
      <c r="X1166" s="157">
        <f ca="1" t="shared" si="193"/>
        <v>54.5</v>
      </c>
      <c r="Y1166" s="157">
        <f ca="1" t="shared" si="192"/>
        <v>54.5</v>
      </c>
      <c r="Z1166" s="304">
        <f ca="1" t="shared" si="194"/>
        <v>27.25</v>
      </c>
      <c r="AA1166" s="304">
        <f ca="1">OFFSET(卡牌辅助配置表!$AD$1,MATCH(AB1166,卡牌辅助配置表!AB:AB,0)-1,0)</f>
        <v>6694</v>
      </c>
      <c r="AB1166" s="304">
        <f ca="1" t="shared" si="199"/>
        <v>2416</v>
      </c>
      <c r="AC1166" s="153">
        <v>1</v>
      </c>
      <c r="AE1166" s="153">
        <v>2</v>
      </c>
      <c r="AF1166" s="153" t="str">
        <f ca="1" t="shared" si="191"/>
        <v>20130011|</v>
      </c>
      <c r="AJ1166" s="205" t="str">
        <f ca="1" t="shared" si="200"/>
        <v>400023|15300|;</v>
      </c>
      <c r="AK1166" s="205">
        <f ca="1">OFFSET([1]item_type!$A$1,MATCH(Q1166,[1]item_type!$G:$G,0)-1,0)</f>
        <v>302013</v>
      </c>
      <c r="AL1166" s="205"/>
      <c r="AM1166" s="205">
        <f ca="1">IF(B1166=B1167,OFFSET(卡牌辅助配置表!$AE$1,MATCH(AB1166,卡牌辅助配置表!AB:AB,0),0),0)</f>
        <v>15300</v>
      </c>
      <c r="AN1166" s="153">
        <f ca="1" t="shared" si="201"/>
        <v>2013017</v>
      </c>
      <c r="AP1166" s="153" t="str">
        <f ca="1">IF(AC1166=0,0,IF(AC1166=12,0,OFFSET(effect!$N$1,MATCH(K1166,effect!M:M,0)-1,0)))</f>
        <v>kpsx_huangse</v>
      </c>
    </row>
    <row r="1167" spans="1:42">
      <c r="A1167" s="153">
        <f ca="1" t="shared" si="197"/>
        <v>2013017</v>
      </c>
      <c r="B1167" s="91" t="s">
        <v>768</v>
      </c>
      <c r="C1167" s="186">
        <v>2</v>
      </c>
      <c r="D1167" s="186">
        <v>1</v>
      </c>
      <c r="E1167" s="165" t="s">
        <v>1058</v>
      </c>
      <c r="F1167" s="165" t="str">
        <f>"本回合每出一张剑法牌，伤害增加"&amp;skill!$O$78/100&amp;"%"</f>
        <v>本回合每出一张剑法牌，伤害增加35%</v>
      </c>
      <c r="G1167" s="186">
        <f ca="1">OFFSET(卡牌辅助配置表!$C$1,MATCH(AC1167,卡牌辅助配置表!A:A,0)-1,0)</f>
        <v>3</v>
      </c>
      <c r="H1167" s="186">
        <f ca="1" t="shared" si="196"/>
        <v>0</v>
      </c>
      <c r="I1167" s="186"/>
      <c r="J1167" s="186">
        <f ca="1">OFFSET(card_type!$F$1,MATCH(Q1167,card_type!A:A,0)-1,0)</f>
        <v>2</v>
      </c>
      <c r="K1167" s="243">
        <f ca="1">OFFSET(card_type!$G$1,MATCH(Q1167,card_type!A:A,0)-1,0)</f>
        <v>4</v>
      </c>
      <c r="L1167" s="157">
        <v>2</v>
      </c>
      <c r="M1167" s="157">
        <v>2</v>
      </c>
      <c r="N1167" s="153">
        <f t="shared" si="195"/>
        <v>17</v>
      </c>
      <c r="O1167" s="157"/>
      <c r="P1167" s="157"/>
      <c r="Q1167" s="153">
        <f ca="1">OFFSET(card_type!$A$1,MATCH(card!B1167,card_type!B:B,0)-1,0)</f>
        <v>2013</v>
      </c>
      <c r="R1167" s="153">
        <v>1</v>
      </c>
      <c r="S1167" s="157">
        <f ca="1">ROUND(IF(R1167=0,0,IF(R1167=1,X1167*$S$1,IF(R1167=2,X1167*$S$1*buff的资质计算!$E$2,IF(R1167=3,X1167*$S$1*buff的资质计算!$E$3,0)))),0)*0</f>
        <v>0</v>
      </c>
      <c r="T1167" s="153">
        <v>5</v>
      </c>
      <c r="U1167" s="153">
        <f ca="1" t="shared" si="198"/>
        <v>24</v>
      </c>
      <c r="V1167" s="153">
        <f ca="1">ROUND((OFFSET(卡牌辅助配置表!$O$1,MATCH(U1167,卡牌辅助配置表!M:M,0)-1,0)+(N1167-1)*OFFSET(卡牌辅助配置表!$P$1,MATCH(U1167,卡牌辅助配置表!M:M,0)-1,0))*M1167,2)</f>
        <v>104.16</v>
      </c>
      <c r="W1167" s="157">
        <f ca="1">ROUND(IF(R1167=0,0,IF(R1167=1,X1167*$W$1,IF(R1167=2,X1167*$W$1*buff的资质计算!$E$2,IF(R1167=3,X1167*$W$1*buff的资质计算!$E$3,0)))),2)</f>
        <v>16.5</v>
      </c>
      <c r="X1167" s="157">
        <f ca="1" t="shared" si="193"/>
        <v>55</v>
      </c>
      <c r="Y1167" s="157">
        <f ca="1" t="shared" si="192"/>
        <v>55</v>
      </c>
      <c r="Z1167" s="304">
        <f ca="1" t="shared" si="194"/>
        <v>27.5</v>
      </c>
      <c r="AA1167" s="304">
        <f ca="1">OFFSET(卡牌辅助配置表!$AD$1,MATCH(AB1167,卡牌辅助配置表!AB:AB,0)-1,0)</f>
        <v>7223</v>
      </c>
      <c r="AB1167" s="304">
        <f ca="1" t="shared" si="199"/>
        <v>2417</v>
      </c>
      <c r="AC1167" s="153">
        <v>1</v>
      </c>
      <c r="AE1167" s="153">
        <v>2</v>
      </c>
      <c r="AF1167" s="153" t="str">
        <f ca="1" t="shared" si="191"/>
        <v>20130011|</v>
      </c>
      <c r="AJ1167" s="205" t="str">
        <f ca="1" t="shared" si="200"/>
        <v>400023|16500|;</v>
      </c>
      <c r="AK1167" s="205">
        <f ca="1">OFFSET([1]item_type!$A$1,MATCH(Q1167,[1]item_type!$G:$G,0)-1,0)</f>
        <v>302013</v>
      </c>
      <c r="AL1167" s="205"/>
      <c r="AM1167" s="205">
        <f ca="1">IF(B1167=B1168,OFFSET(卡牌辅助配置表!$AE$1,MATCH(AB1167,卡牌辅助配置表!AB:AB,0),0),0)</f>
        <v>16500</v>
      </c>
      <c r="AN1167" s="153">
        <f ca="1" t="shared" si="201"/>
        <v>2013018</v>
      </c>
      <c r="AP1167" s="153" t="str">
        <f ca="1">IF(AC1167=0,0,IF(AC1167=12,0,OFFSET(effect!$N$1,MATCH(K1167,effect!M:M,0)-1,0)))</f>
        <v>kpsx_huangse</v>
      </c>
    </row>
    <row r="1168" spans="1:42">
      <c r="A1168" s="153">
        <f ca="1" t="shared" si="197"/>
        <v>2013018</v>
      </c>
      <c r="B1168" s="91" t="s">
        <v>768</v>
      </c>
      <c r="C1168" s="186">
        <v>2</v>
      </c>
      <c r="D1168" s="186">
        <v>1</v>
      </c>
      <c r="E1168" s="165" t="s">
        <v>1058</v>
      </c>
      <c r="F1168" s="165" t="str">
        <f>"本回合每出一张剑法牌，伤害增加"&amp;skill!$O$78/100&amp;"%"</f>
        <v>本回合每出一张剑法牌，伤害增加35%</v>
      </c>
      <c r="G1168" s="186">
        <f ca="1">OFFSET(卡牌辅助配置表!$C$1,MATCH(AC1168,卡牌辅助配置表!A:A,0)-1,0)</f>
        <v>3</v>
      </c>
      <c r="H1168" s="186">
        <f ca="1" t="shared" si="196"/>
        <v>0</v>
      </c>
      <c r="I1168" s="186"/>
      <c r="J1168" s="186">
        <f ca="1">OFFSET(card_type!$F$1,MATCH(Q1168,card_type!A:A,0)-1,0)</f>
        <v>2</v>
      </c>
      <c r="K1168" s="243">
        <f ca="1">OFFSET(card_type!$G$1,MATCH(Q1168,card_type!A:A,0)-1,0)</f>
        <v>4</v>
      </c>
      <c r="L1168" s="157">
        <v>2</v>
      </c>
      <c r="M1168" s="157">
        <v>2</v>
      </c>
      <c r="N1168" s="153">
        <f t="shared" si="195"/>
        <v>18</v>
      </c>
      <c r="O1168" s="157"/>
      <c r="P1168" s="157"/>
      <c r="Q1168" s="153">
        <f ca="1">OFFSET(card_type!$A$1,MATCH(card!B1168,card_type!B:B,0)-1,0)</f>
        <v>2013</v>
      </c>
      <c r="R1168" s="153">
        <v>1</v>
      </c>
      <c r="S1168" s="157">
        <f ca="1">ROUND(IF(R1168=0,0,IF(R1168=1,X1168*$S$1,IF(R1168=2,X1168*$S$1*buff的资质计算!$E$2,IF(R1168=3,X1168*$S$1*buff的资质计算!$E$3,0)))),0)*0</f>
        <v>0</v>
      </c>
      <c r="T1168" s="153">
        <v>5</v>
      </c>
      <c r="U1168" s="153">
        <f ca="1" t="shared" si="198"/>
        <v>24</v>
      </c>
      <c r="V1168" s="153">
        <f ca="1">ROUND((OFFSET(卡牌辅助配置表!$O$1,MATCH(U1168,卡牌辅助配置表!M:M,0)-1,0)+(N1168-1)*OFFSET(卡牌辅助配置表!$P$1,MATCH(U1168,卡牌辅助配置表!M:M,0)-1,0))*M1168,2)</f>
        <v>107.52</v>
      </c>
      <c r="W1168" s="157">
        <f ca="1">ROUND(IF(R1168=0,0,IF(R1168=1,X1168*$W$1,IF(R1168=2,X1168*$W$1*buff的资质计算!$E$2,IF(R1168=3,X1168*$W$1*buff的资质计算!$E$3,0)))),2)</f>
        <v>16.65</v>
      </c>
      <c r="X1168" s="157">
        <f ca="1" t="shared" si="193"/>
        <v>55.5</v>
      </c>
      <c r="Y1168" s="157">
        <f ca="1" t="shared" si="192"/>
        <v>55.5</v>
      </c>
      <c r="Z1168" s="304">
        <f ca="1" t="shared" si="194"/>
        <v>27.75</v>
      </c>
      <c r="AA1168" s="304">
        <f ca="1">OFFSET(卡牌辅助配置表!$AD$1,MATCH(AB1168,卡牌辅助配置表!AB:AB,0)-1,0)</f>
        <v>7752</v>
      </c>
      <c r="AB1168" s="304">
        <f ca="1" t="shared" si="199"/>
        <v>2418</v>
      </c>
      <c r="AC1168" s="153">
        <v>1</v>
      </c>
      <c r="AE1168" s="153">
        <v>2</v>
      </c>
      <c r="AF1168" s="153" t="str">
        <f ca="1" t="shared" ref="AF1168:AF1210" si="202">((Q1168*1000+1)*10+1)&amp;$AF$1</f>
        <v>20130011|</v>
      </c>
      <c r="AJ1168" s="205" t="str">
        <f ca="1" t="shared" si="200"/>
        <v>400023|17700|;</v>
      </c>
      <c r="AK1168" s="205">
        <f ca="1">OFFSET([1]item_type!$A$1,MATCH(Q1168,[1]item_type!$G:$G,0)-1,0)</f>
        <v>302013</v>
      </c>
      <c r="AL1168" s="205"/>
      <c r="AM1168" s="205">
        <f ca="1">IF(B1168=B1169,OFFSET(卡牌辅助配置表!$AE$1,MATCH(AB1168,卡牌辅助配置表!AB:AB,0),0),0)</f>
        <v>17700</v>
      </c>
      <c r="AN1168" s="153">
        <f ca="1" t="shared" si="201"/>
        <v>2013019</v>
      </c>
      <c r="AP1168" s="153" t="str">
        <f ca="1">IF(AC1168=0,0,IF(AC1168=12,0,OFFSET(effect!$N$1,MATCH(K1168,effect!M:M,0)-1,0)))</f>
        <v>kpsx_huangse</v>
      </c>
    </row>
    <row r="1169" spans="1:42">
      <c r="A1169" s="153">
        <f ca="1" t="shared" si="197"/>
        <v>2013019</v>
      </c>
      <c r="B1169" s="91" t="s">
        <v>768</v>
      </c>
      <c r="C1169" s="186">
        <v>2</v>
      </c>
      <c r="D1169" s="186">
        <v>1</v>
      </c>
      <c r="E1169" s="165" t="s">
        <v>1058</v>
      </c>
      <c r="F1169" s="165" t="str">
        <f>"本回合每出一张剑法牌，伤害增加"&amp;skill!$O$78/100&amp;"%"</f>
        <v>本回合每出一张剑法牌，伤害增加35%</v>
      </c>
      <c r="G1169" s="186">
        <f ca="1">OFFSET(卡牌辅助配置表!$C$1,MATCH(AC1169,卡牌辅助配置表!A:A,0)-1,0)</f>
        <v>3</v>
      </c>
      <c r="H1169" s="186">
        <f ca="1" t="shared" si="196"/>
        <v>0</v>
      </c>
      <c r="I1169" s="186"/>
      <c r="J1169" s="186">
        <f ca="1">OFFSET(card_type!$F$1,MATCH(Q1169,card_type!A:A,0)-1,0)</f>
        <v>2</v>
      </c>
      <c r="K1169" s="243">
        <f ca="1">OFFSET(card_type!$G$1,MATCH(Q1169,card_type!A:A,0)-1,0)</f>
        <v>4</v>
      </c>
      <c r="L1169" s="157">
        <v>2</v>
      </c>
      <c r="M1169" s="157">
        <v>2</v>
      </c>
      <c r="N1169" s="153">
        <f t="shared" si="195"/>
        <v>19</v>
      </c>
      <c r="O1169" s="157"/>
      <c r="P1169" s="157"/>
      <c r="Q1169" s="153">
        <f ca="1">OFFSET(card_type!$A$1,MATCH(card!B1169,card_type!B:B,0)-1,0)</f>
        <v>2013</v>
      </c>
      <c r="R1169" s="153">
        <v>1</v>
      </c>
      <c r="S1169" s="157">
        <f ca="1">ROUND(IF(R1169=0,0,IF(R1169=1,X1169*$S$1,IF(R1169=2,X1169*$S$1*buff的资质计算!$E$2,IF(R1169=3,X1169*$S$1*buff的资质计算!$E$3,0)))),0)*0</f>
        <v>0</v>
      </c>
      <c r="T1169" s="153">
        <v>5</v>
      </c>
      <c r="U1169" s="153">
        <f ca="1" t="shared" si="198"/>
        <v>24</v>
      </c>
      <c r="V1169" s="153">
        <f ca="1">ROUND((OFFSET(卡牌辅助配置表!$O$1,MATCH(U1169,卡牌辅助配置表!M:M,0)-1,0)+(N1169-1)*OFFSET(卡牌辅助配置表!$P$1,MATCH(U1169,卡牌辅助配置表!M:M,0)-1,0))*M1169,2)</f>
        <v>110.88</v>
      </c>
      <c r="W1169" s="157">
        <f ca="1">ROUND(IF(R1169=0,0,IF(R1169=1,X1169*$W$1,IF(R1169=2,X1169*$W$1*buff的资质计算!$E$2,IF(R1169=3,X1169*$W$1*buff的资质计算!$E$3,0)))),2)</f>
        <v>16.8</v>
      </c>
      <c r="X1169" s="157">
        <f ca="1" t="shared" si="193"/>
        <v>56</v>
      </c>
      <c r="Y1169" s="157">
        <f ca="1" t="shared" si="192"/>
        <v>56</v>
      </c>
      <c r="Z1169" s="304">
        <f ca="1" t="shared" si="194"/>
        <v>28</v>
      </c>
      <c r="AA1169" s="304">
        <f ca="1">OFFSET(卡牌辅助配置表!$AD$1,MATCH(AB1169,卡牌辅助配置表!AB:AB,0)-1,0)</f>
        <v>8281</v>
      </c>
      <c r="AB1169" s="304">
        <f ca="1" t="shared" si="199"/>
        <v>2419</v>
      </c>
      <c r="AC1169" s="153">
        <v>1</v>
      </c>
      <c r="AE1169" s="153">
        <v>2</v>
      </c>
      <c r="AF1169" s="153" t="str">
        <f ca="1" t="shared" si="202"/>
        <v>20130011|</v>
      </c>
      <c r="AJ1169" s="205" t="str">
        <f ca="1" t="shared" si="200"/>
        <v>302013|20|;400023|18900|;</v>
      </c>
      <c r="AK1169" s="205">
        <f ca="1">OFFSET([1]item_type!$A$1,MATCH(Q1169,[1]item_type!$G:$G,0)-1,0)</f>
        <v>302013</v>
      </c>
      <c r="AL1169" s="205">
        <v>20</v>
      </c>
      <c r="AM1169" s="205">
        <f ca="1">IF(B1169=B1170,OFFSET(卡牌辅助配置表!$AE$1,MATCH(AB1169,卡牌辅助配置表!AB:AB,0),0),0)</f>
        <v>18900</v>
      </c>
      <c r="AN1169" s="153">
        <f ca="1" t="shared" si="201"/>
        <v>2013020</v>
      </c>
      <c r="AP1169" s="153" t="str">
        <f ca="1">IF(AC1169=0,0,IF(AC1169=12,0,OFFSET(effect!$N$1,MATCH(K1169,effect!M:M,0)-1,0)))</f>
        <v>kpsx_huangse</v>
      </c>
    </row>
    <row r="1170" spans="1:42">
      <c r="A1170" s="153">
        <f ca="1" t="shared" si="197"/>
        <v>2013020</v>
      </c>
      <c r="B1170" s="91" t="s">
        <v>768</v>
      </c>
      <c r="C1170" s="186">
        <v>2</v>
      </c>
      <c r="D1170" s="186">
        <v>1</v>
      </c>
      <c r="E1170" s="165" t="s">
        <v>1058</v>
      </c>
      <c r="F1170" s="165" t="str">
        <f>"本回合每出一张剑法牌，伤害增加"&amp;skill!$O$78/100&amp;"%"</f>
        <v>本回合每出一张剑法牌，伤害增加35%</v>
      </c>
      <c r="G1170" s="186">
        <f ca="1">OFFSET(卡牌辅助配置表!$C$1,MATCH(AC1170,卡牌辅助配置表!A:A,0)-1,0)</f>
        <v>3</v>
      </c>
      <c r="H1170" s="186">
        <f ca="1" t="shared" si="196"/>
        <v>0</v>
      </c>
      <c r="I1170" s="186"/>
      <c r="J1170" s="186">
        <f ca="1">OFFSET(card_type!$F$1,MATCH(Q1170,card_type!A:A,0)-1,0)</f>
        <v>2</v>
      </c>
      <c r="K1170" s="243">
        <f ca="1">OFFSET(card_type!$G$1,MATCH(Q1170,card_type!A:A,0)-1,0)</f>
        <v>4</v>
      </c>
      <c r="L1170" s="157">
        <v>2</v>
      </c>
      <c r="M1170" s="157">
        <v>2</v>
      </c>
      <c r="N1170" s="153">
        <f t="shared" si="195"/>
        <v>20</v>
      </c>
      <c r="O1170" s="157"/>
      <c r="P1170" s="157"/>
      <c r="Q1170" s="153">
        <f ca="1">OFFSET(card_type!$A$1,MATCH(card!B1170,card_type!B:B,0)-1,0)</f>
        <v>2013</v>
      </c>
      <c r="R1170" s="153">
        <v>1</v>
      </c>
      <c r="S1170" s="157">
        <f ca="1">ROUND(IF(R1170=0,0,IF(R1170=1,X1170*$S$1,IF(R1170=2,X1170*$S$1*buff的资质计算!$E$2,IF(R1170=3,X1170*$S$1*buff的资质计算!$E$3,0)))),0)*0</f>
        <v>0</v>
      </c>
      <c r="T1170" s="153">
        <v>5</v>
      </c>
      <c r="U1170" s="153">
        <f ca="1" t="shared" si="198"/>
        <v>24</v>
      </c>
      <c r="V1170" s="153">
        <f ca="1">ROUND((OFFSET(卡牌辅助配置表!$O$1,MATCH(U1170,卡牌辅助配置表!M:M,0)-1,0)+(N1170-1)*OFFSET(卡牌辅助配置表!$P$1,MATCH(U1170,卡牌辅助配置表!M:M,0)-1,0))*M1170,2)</f>
        <v>114.24</v>
      </c>
      <c r="W1170" s="157">
        <f ca="1">ROUND(IF(R1170=0,0,IF(R1170=1,X1170*$W$1,IF(R1170=2,X1170*$W$1*buff的资质计算!$E$2,IF(R1170=3,X1170*$W$1*buff的资质计算!$E$3,0)))),2)</f>
        <v>16.95</v>
      </c>
      <c r="X1170" s="157">
        <f ca="1" t="shared" si="193"/>
        <v>56.5</v>
      </c>
      <c r="Y1170" s="157">
        <f ca="1" t="shared" si="192"/>
        <v>56.5</v>
      </c>
      <c r="Z1170" s="304">
        <f ca="1" t="shared" si="194"/>
        <v>28.25</v>
      </c>
      <c r="AA1170" s="304">
        <f ca="1">OFFSET(卡牌辅助配置表!$AD$1,MATCH(AB1170,卡牌辅助配置表!AB:AB,0)-1,0)</f>
        <v>8810</v>
      </c>
      <c r="AB1170" s="304">
        <f ca="1" t="shared" si="199"/>
        <v>2420</v>
      </c>
      <c r="AC1170" s="153">
        <v>1</v>
      </c>
      <c r="AE1170" s="153">
        <v>2</v>
      </c>
      <c r="AF1170" s="153" t="str">
        <f ca="1" t="shared" si="202"/>
        <v>20130011|</v>
      </c>
      <c r="AJ1170" s="205" t="str">
        <f ca="1" t="shared" si="200"/>
        <v>400023|21300|;</v>
      </c>
      <c r="AK1170" s="205">
        <f ca="1">OFFSET([1]item_type!$A$1,MATCH(Q1170,[1]item_type!$G:$G,0)-1,0)</f>
        <v>302013</v>
      </c>
      <c r="AL1170" s="205"/>
      <c r="AM1170" s="205">
        <f ca="1">IF(B1170=B1171,OFFSET(卡牌辅助配置表!$AE$1,MATCH(AB1170,卡牌辅助配置表!AB:AB,0),0),0)</f>
        <v>21300</v>
      </c>
      <c r="AN1170" s="153">
        <f ca="1" t="shared" si="201"/>
        <v>2013021</v>
      </c>
      <c r="AP1170" s="153" t="str">
        <f ca="1">IF(AC1170=0,0,IF(AC1170=12,0,OFFSET(effect!$N$1,MATCH(K1170,effect!M:M,0)-1,0)))</f>
        <v>kpsx_huangse</v>
      </c>
    </row>
    <row r="1171" spans="1:42">
      <c r="A1171" s="153">
        <f ca="1" t="shared" si="197"/>
        <v>2013021</v>
      </c>
      <c r="B1171" s="91" t="s">
        <v>768</v>
      </c>
      <c r="C1171" s="186">
        <v>2</v>
      </c>
      <c r="D1171" s="186">
        <v>1</v>
      </c>
      <c r="E1171" s="165" t="s">
        <v>1058</v>
      </c>
      <c r="F1171" s="165" t="str">
        <f>"本回合每出一张剑法牌，伤害增加"&amp;skill!$O$78/100&amp;"%"</f>
        <v>本回合每出一张剑法牌，伤害增加35%</v>
      </c>
      <c r="G1171" s="186">
        <f ca="1">OFFSET(卡牌辅助配置表!$C$1,MATCH(AC1171,卡牌辅助配置表!A:A,0)-1,0)</f>
        <v>3</v>
      </c>
      <c r="H1171" s="186">
        <f ca="1" t="shared" si="196"/>
        <v>0</v>
      </c>
      <c r="I1171" s="186"/>
      <c r="J1171" s="186">
        <f ca="1">OFFSET(card_type!$F$1,MATCH(Q1171,card_type!A:A,0)-1,0)</f>
        <v>2</v>
      </c>
      <c r="K1171" s="243">
        <f ca="1">OFFSET(card_type!$G$1,MATCH(Q1171,card_type!A:A,0)-1,0)</f>
        <v>4</v>
      </c>
      <c r="L1171" s="157">
        <v>2</v>
      </c>
      <c r="M1171" s="157">
        <v>2</v>
      </c>
      <c r="N1171" s="153">
        <f t="shared" si="195"/>
        <v>21</v>
      </c>
      <c r="O1171" s="157"/>
      <c r="P1171" s="157"/>
      <c r="Q1171" s="153">
        <f ca="1">OFFSET(card_type!$A$1,MATCH(card!B1171,card_type!B:B,0)-1,0)</f>
        <v>2013</v>
      </c>
      <c r="R1171" s="153">
        <v>1</v>
      </c>
      <c r="S1171" s="157">
        <f ca="1">ROUND(IF(R1171=0,0,IF(R1171=1,X1171*$S$1,IF(R1171=2,X1171*$S$1*buff的资质计算!$E$2,IF(R1171=3,X1171*$S$1*buff的资质计算!$E$3,0)))),0)*0</f>
        <v>0</v>
      </c>
      <c r="T1171" s="153">
        <v>5</v>
      </c>
      <c r="U1171" s="153">
        <f ca="1" t="shared" si="198"/>
        <v>24</v>
      </c>
      <c r="V1171" s="153">
        <f ca="1">ROUND((OFFSET(卡牌辅助配置表!$O$1,MATCH(U1171,卡牌辅助配置表!M:M,0)-1,0)+(N1171-1)*OFFSET(卡牌辅助配置表!$P$1,MATCH(U1171,卡牌辅助配置表!M:M,0)-1,0))*M1171,2)</f>
        <v>117.6</v>
      </c>
      <c r="W1171" s="157">
        <f ca="1">ROUND(IF(R1171=0,0,IF(R1171=1,X1171*$W$1,IF(R1171=2,X1171*$W$1*buff的资质计算!$E$2,IF(R1171=3,X1171*$W$1*buff的资质计算!$E$3,0)))),2)</f>
        <v>17.1</v>
      </c>
      <c r="X1171" s="157">
        <f ca="1" t="shared" si="193"/>
        <v>57</v>
      </c>
      <c r="Y1171" s="157">
        <f ca="1" t="shared" ref="Y1171:Y1210" si="203">X1171+H1171</f>
        <v>57</v>
      </c>
      <c r="Z1171" s="304">
        <f ca="1" t="shared" si="194"/>
        <v>28.5</v>
      </c>
      <c r="AA1171" s="304">
        <f ca="1">OFFSET(卡牌辅助配置表!$AD$1,MATCH(AB1171,卡牌辅助配置表!AB:AB,0)-1,0)</f>
        <v>9515</v>
      </c>
      <c r="AB1171" s="304">
        <f ca="1" t="shared" si="199"/>
        <v>2421</v>
      </c>
      <c r="AC1171" s="153">
        <v>1</v>
      </c>
      <c r="AE1171" s="153">
        <v>2</v>
      </c>
      <c r="AF1171" s="153" t="str">
        <f ca="1" t="shared" si="202"/>
        <v>20130011|</v>
      </c>
      <c r="AJ1171" s="205" t="str">
        <f ca="1" t="shared" si="200"/>
        <v>400023|23700|;</v>
      </c>
      <c r="AK1171" s="205">
        <f ca="1">OFFSET([1]item_type!$A$1,MATCH(Q1171,[1]item_type!$G:$G,0)-1,0)</f>
        <v>302013</v>
      </c>
      <c r="AL1171" s="205"/>
      <c r="AM1171" s="205">
        <f ca="1">IF(B1171=B1172,OFFSET(卡牌辅助配置表!$AE$1,MATCH(AB1171,卡牌辅助配置表!AB:AB,0),0),0)</f>
        <v>23700</v>
      </c>
      <c r="AN1171" s="153">
        <f ca="1" t="shared" si="201"/>
        <v>2013022</v>
      </c>
      <c r="AP1171" s="153" t="str">
        <f ca="1">IF(AC1171=0,0,IF(AC1171=12,0,OFFSET(effect!$N$1,MATCH(K1171,effect!M:M,0)-1,0)))</f>
        <v>kpsx_huangse</v>
      </c>
    </row>
    <row r="1172" spans="1:42">
      <c r="A1172" s="153">
        <f ca="1" t="shared" si="197"/>
        <v>2013022</v>
      </c>
      <c r="B1172" s="91" t="s">
        <v>768</v>
      </c>
      <c r="C1172" s="186">
        <v>2</v>
      </c>
      <c r="D1172" s="186">
        <v>1</v>
      </c>
      <c r="E1172" s="165" t="s">
        <v>1058</v>
      </c>
      <c r="F1172" s="165" t="str">
        <f>"本回合每出一张剑法牌，伤害增加"&amp;skill!$O$78/100&amp;"%"</f>
        <v>本回合每出一张剑法牌，伤害增加35%</v>
      </c>
      <c r="G1172" s="186">
        <f ca="1">OFFSET(卡牌辅助配置表!$C$1,MATCH(AC1172,卡牌辅助配置表!A:A,0)-1,0)</f>
        <v>3</v>
      </c>
      <c r="H1172" s="186">
        <f ca="1" t="shared" si="196"/>
        <v>0</v>
      </c>
      <c r="I1172" s="186"/>
      <c r="J1172" s="186">
        <f ca="1">OFFSET(card_type!$F$1,MATCH(Q1172,card_type!A:A,0)-1,0)</f>
        <v>2</v>
      </c>
      <c r="K1172" s="243">
        <f ca="1">OFFSET(card_type!$G$1,MATCH(Q1172,card_type!A:A,0)-1,0)</f>
        <v>4</v>
      </c>
      <c r="L1172" s="157">
        <v>2</v>
      </c>
      <c r="M1172" s="157">
        <v>2</v>
      </c>
      <c r="N1172" s="153">
        <f t="shared" si="195"/>
        <v>22</v>
      </c>
      <c r="O1172" s="157"/>
      <c r="P1172" s="157"/>
      <c r="Q1172" s="153">
        <f ca="1">OFFSET(card_type!$A$1,MATCH(card!B1172,card_type!B:B,0)-1,0)</f>
        <v>2013</v>
      </c>
      <c r="R1172" s="153">
        <v>1</v>
      </c>
      <c r="S1172" s="157">
        <f ca="1">ROUND(IF(R1172=0,0,IF(R1172=1,X1172*$S$1,IF(R1172=2,X1172*$S$1*buff的资质计算!$E$2,IF(R1172=3,X1172*$S$1*buff的资质计算!$E$3,0)))),0)*0</f>
        <v>0</v>
      </c>
      <c r="T1172" s="153">
        <v>5</v>
      </c>
      <c r="U1172" s="153">
        <f ca="1" t="shared" si="198"/>
        <v>24</v>
      </c>
      <c r="V1172" s="153">
        <f ca="1">ROUND((OFFSET(卡牌辅助配置表!$O$1,MATCH(U1172,卡牌辅助配置表!M:M,0)-1,0)+(N1172-1)*OFFSET(卡牌辅助配置表!$P$1,MATCH(U1172,卡牌辅助配置表!M:M,0)-1,0))*M1172,2)</f>
        <v>120.96</v>
      </c>
      <c r="W1172" s="157">
        <f ca="1">ROUND(IF(R1172=0,0,IF(R1172=1,X1172*$W$1,IF(R1172=2,X1172*$W$1*buff的资质计算!$E$2,IF(R1172=3,X1172*$W$1*buff的资质计算!$E$3,0)))),2)</f>
        <v>17.25</v>
      </c>
      <c r="X1172" s="157">
        <f ca="1" t="shared" si="193"/>
        <v>57.5</v>
      </c>
      <c r="Y1172" s="157">
        <f ca="1" t="shared" si="203"/>
        <v>57.5</v>
      </c>
      <c r="Z1172" s="304">
        <f ca="1" t="shared" si="194"/>
        <v>28.75</v>
      </c>
      <c r="AA1172" s="304">
        <f ca="1">OFFSET(卡牌辅助配置表!$AD$1,MATCH(AB1172,卡牌辅助配置表!AB:AB,0)-1,0)</f>
        <v>10220</v>
      </c>
      <c r="AB1172" s="304">
        <f ca="1" t="shared" si="199"/>
        <v>2422</v>
      </c>
      <c r="AC1172" s="153">
        <v>1</v>
      </c>
      <c r="AE1172" s="153">
        <v>2</v>
      </c>
      <c r="AF1172" s="153" t="str">
        <f ca="1" t="shared" si="202"/>
        <v>20130011|</v>
      </c>
      <c r="AJ1172" s="205" t="str">
        <f ca="1" t="shared" si="200"/>
        <v>400023|26100|;</v>
      </c>
      <c r="AK1172" s="205">
        <f ca="1">OFFSET([1]item_type!$A$1,MATCH(Q1172,[1]item_type!$G:$G,0)-1,0)</f>
        <v>302013</v>
      </c>
      <c r="AL1172" s="205"/>
      <c r="AM1172" s="205">
        <f ca="1">IF(B1172=B1173,OFFSET(卡牌辅助配置表!$AE$1,MATCH(AB1172,卡牌辅助配置表!AB:AB,0),0),0)</f>
        <v>26100</v>
      </c>
      <c r="AN1172" s="153">
        <f ca="1" t="shared" si="201"/>
        <v>2013023</v>
      </c>
      <c r="AP1172" s="153" t="str">
        <f ca="1">IF(AC1172=0,0,IF(AC1172=12,0,OFFSET(effect!$N$1,MATCH(K1172,effect!M:M,0)-1,0)))</f>
        <v>kpsx_huangse</v>
      </c>
    </row>
    <row r="1173" spans="1:42">
      <c r="A1173" s="153">
        <f ca="1" t="shared" si="197"/>
        <v>2013023</v>
      </c>
      <c r="B1173" s="91" t="s">
        <v>768</v>
      </c>
      <c r="C1173" s="186">
        <v>2</v>
      </c>
      <c r="D1173" s="186">
        <v>1</v>
      </c>
      <c r="E1173" s="165" t="s">
        <v>1058</v>
      </c>
      <c r="F1173" s="165" t="str">
        <f>"本回合每出一张剑法牌，伤害增加"&amp;skill!$O$78/100&amp;"%"</f>
        <v>本回合每出一张剑法牌，伤害增加35%</v>
      </c>
      <c r="G1173" s="186">
        <f ca="1">OFFSET(卡牌辅助配置表!$C$1,MATCH(AC1173,卡牌辅助配置表!A:A,0)-1,0)</f>
        <v>3</v>
      </c>
      <c r="H1173" s="186">
        <f ca="1" t="shared" si="196"/>
        <v>0</v>
      </c>
      <c r="I1173" s="186"/>
      <c r="J1173" s="186">
        <f ca="1">OFFSET(card_type!$F$1,MATCH(Q1173,card_type!A:A,0)-1,0)</f>
        <v>2</v>
      </c>
      <c r="K1173" s="243">
        <f ca="1">OFFSET(card_type!$G$1,MATCH(Q1173,card_type!A:A,0)-1,0)</f>
        <v>4</v>
      </c>
      <c r="L1173" s="157">
        <v>2</v>
      </c>
      <c r="M1173" s="157">
        <v>2</v>
      </c>
      <c r="N1173" s="153">
        <f t="shared" si="195"/>
        <v>23</v>
      </c>
      <c r="O1173" s="157"/>
      <c r="P1173" s="157"/>
      <c r="Q1173" s="153">
        <f ca="1">OFFSET(card_type!$A$1,MATCH(card!B1173,card_type!B:B,0)-1,0)</f>
        <v>2013</v>
      </c>
      <c r="R1173" s="153">
        <v>1</v>
      </c>
      <c r="S1173" s="157">
        <f ca="1">ROUND(IF(R1173=0,0,IF(R1173=1,X1173*$S$1,IF(R1173=2,X1173*$S$1*buff的资质计算!$E$2,IF(R1173=3,X1173*$S$1*buff的资质计算!$E$3,0)))),0)*0</f>
        <v>0</v>
      </c>
      <c r="T1173" s="153">
        <v>5</v>
      </c>
      <c r="U1173" s="153">
        <f ca="1" t="shared" si="198"/>
        <v>24</v>
      </c>
      <c r="V1173" s="153">
        <f ca="1">ROUND((OFFSET(卡牌辅助配置表!$O$1,MATCH(U1173,卡牌辅助配置表!M:M,0)-1,0)+(N1173-1)*OFFSET(卡牌辅助配置表!$P$1,MATCH(U1173,卡牌辅助配置表!M:M,0)-1,0))*M1173,2)</f>
        <v>124.32</v>
      </c>
      <c r="W1173" s="157">
        <f ca="1">ROUND(IF(R1173=0,0,IF(R1173=1,X1173*$W$1,IF(R1173=2,X1173*$W$1*buff的资质计算!$E$2,IF(R1173=3,X1173*$W$1*buff的资质计算!$E$3,0)))),2)</f>
        <v>17.4</v>
      </c>
      <c r="X1173" s="157">
        <f ca="1" t="shared" si="193"/>
        <v>58</v>
      </c>
      <c r="Y1173" s="157">
        <f ca="1" t="shared" si="203"/>
        <v>58</v>
      </c>
      <c r="Z1173" s="304">
        <f ca="1" t="shared" si="194"/>
        <v>29</v>
      </c>
      <c r="AA1173" s="304">
        <f ca="1">OFFSET(卡牌辅助配置表!$AD$1,MATCH(AB1173,卡牌辅助配置表!AB:AB,0)-1,0)</f>
        <v>10925</v>
      </c>
      <c r="AB1173" s="304">
        <f ca="1" t="shared" si="199"/>
        <v>2423</v>
      </c>
      <c r="AC1173" s="153">
        <v>1</v>
      </c>
      <c r="AE1173" s="153">
        <v>2</v>
      </c>
      <c r="AF1173" s="153" t="str">
        <f ca="1" t="shared" si="202"/>
        <v>20130011|</v>
      </c>
      <c r="AJ1173" s="205" t="str">
        <f ca="1" t="shared" si="200"/>
        <v>400023|28500|;</v>
      </c>
      <c r="AK1173" s="205">
        <f ca="1">OFFSET([1]item_type!$A$1,MATCH(Q1173,[1]item_type!$G:$G,0)-1,0)</f>
        <v>302013</v>
      </c>
      <c r="AL1173" s="205"/>
      <c r="AM1173" s="205">
        <f ca="1">IF(B1173=B1174,OFFSET(卡牌辅助配置表!$AE$1,MATCH(AB1173,卡牌辅助配置表!AB:AB,0),0),0)</f>
        <v>28500</v>
      </c>
      <c r="AN1173" s="153">
        <f ca="1" t="shared" si="201"/>
        <v>2013024</v>
      </c>
      <c r="AP1173" s="153" t="str">
        <f ca="1">IF(AC1173=0,0,IF(AC1173=12,0,OFFSET(effect!$N$1,MATCH(K1173,effect!M:M,0)-1,0)))</f>
        <v>kpsx_huangse</v>
      </c>
    </row>
    <row r="1174" spans="1:42">
      <c r="A1174" s="153">
        <f ca="1" t="shared" si="197"/>
        <v>2013024</v>
      </c>
      <c r="B1174" s="91" t="s">
        <v>768</v>
      </c>
      <c r="C1174" s="186">
        <v>2</v>
      </c>
      <c r="D1174" s="186">
        <v>1</v>
      </c>
      <c r="E1174" s="165" t="s">
        <v>1058</v>
      </c>
      <c r="F1174" s="165" t="str">
        <f>"本回合每出一张剑法牌，伤害增加"&amp;skill!$O$78/100&amp;"%"</f>
        <v>本回合每出一张剑法牌，伤害增加35%</v>
      </c>
      <c r="G1174" s="186">
        <f ca="1">OFFSET(卡牌辅助配置表!$C$1,MATCH(AC1174,卡牌辅助配置表!A:A,0)-1,0)</f>
        <v>3</v>
      </c>
      <c r="H1174" s="186">
        <f ca="1" t="shared" si="196"/>
        <v>0</v>
      </c>
      <c r="I1174" s="186"/>
      <c r="J1174" s="186">
        <f ca="1">OFFSET(card_type!$F$1,MATCH(Q1174,card_type!A:A,0)-1,0)</f>
        <v>2</v>
      </c>
      <c r="K1174" s="243">
        <f ca="1">OFFSET(card_type!$G$1,MATCH(Q1174,card_type!A:A,0)-1,0)</f>
        <v>4</v>
      </c>
      <c r="L1174" s="157">
        <v>2</v>
      </c>
      <c r="M1174" s="157">
        <v>2</v>
      </c>
      <c r="N1174" s="153">
        <f t="shared" si="195"/>
        <v>24</v>
      </c>
      <c r="O1174" s="157"/>
      <c r="P1174" s="157"/>
      <c r="Q1174" s="153">
        <f ca="1">OFFSET(card_type!$A$1,MATCH(card!B1174,card_type!B:B,0)-1,0)</f>
        <v>2013</v>
      </c>
      <c r="R1174" s="153">
        <v>1</v>
      </c>
      <c r="S1174" s="157">
        <f ca="1">ROUND(IF(R1174=0,0,IF(R1174=1,X1174*$S$1,IF(R1174=2,X1174*$S$1*buff的资质计算!$E$2,IF(R1174=3,X1174*$S$1*buff的资质计算!$E$3,0)))),0)*0</f>
        <v>0</v>
      </c>
      <c r="T1174" s="153">
        <v>5</v>
      </c>
      <c r="U1174" s="153">
        <f ca="1" t="shared" si="198"/>
        <v>24</v>
      </c>
      <c r="V1174" s="153">
        <f ca="1">ROUND((OFFSET(卡牌辅助配置表!$O$1,MATCH(U1174,卡牌辅助配置表!M:M,0)-1,0)+(N1174-1)*OFFSET(卡牌辅助配置表!$P$1,MATCH(U1174,卡牌辅助配置表!M:M,0)-1,0))*M1174,2)</f>
        <v>127.68</v>
      </c>
      <c r="W1174" s="157">
        <f ca="1">ROUND(IF(R1174=0,0,IF(R1174=1,X1174*$W$1,IF(R1174=2,X1174*$W$1*buff的资质计算!$E$2,IF(R1174=3,X1174*$W$1*buff的资质计算!$E$3,0)))),2)</f>
        <v>17.55</v>
      </c>
      <c r="X1174" s="157">
        <f ca="1" t="shared" si="193"/>
        <v>58.5</v>
      </c>
      <c r="Y1174" s="157">
        <f ca="1" t="shared" si="203"/>
        <v>58.5</v>
      </c>
      <c r="Z1174" s="304">
        <f ca="1" t="shared" si="194"/>
        <v>29.25</v>
      </c>
      <c r="AA1174" s="304">
        <f ca="1">OFFSET(卡牌辅助配置表!$AD$1,MATCH(AB1174,卡牌辅助配置表!AB:AB,0)-1,0)</f>
        <v>11630</v>
      </c>
      <c r="AB1174" s="304">
        <f ca="1" t="shared" si="199"/>
        <v>2424</v>
      </c>
      <c r="AC1174" s="153">
        <v>1</v>
      </c>
      <c r="AE1174" s="153">
        <v>2</v>
      </c>
      <c r="AF1174" s="153" t="str">
        <f ca="1" t="shared" si="202"/>
        <v>20130011|</v>
      </c>
      <c r="AJ1174" s="205" t="str">
        <f ca="1" t="shared" si="200"/>
        <v>400023|30900|;</v>
      </c>
      <c r="AK1174" s="205">
        <f ca="1">OFFSET([1]item_type!$A$1,MATCH(Q1174,[1]item_type!$G:$G,0)-1,0)</f>
        <v>302013</v>
      </c>
      <c r="AL1174" s="205"/>
      <c r="AM1174" s="205">
        <f ca="1">IF(B1174=B1175,OFFSET(卡牌辅助配置表!$AE$1,MATCH(AB1174,卡牌辅助配置表!AB:AB,0),0),0)</f>
        <v>30900</v>
      </c>
      <c r="AN1174" s="153">
        <f ca="1" t="shared" si="201"/>
        <v>2013025</v>
      </c>
      <c r="AP1174" s="153" t="str">
        <f ca="1">IF(AC1174=0,0,IF(AC1174=12,0,OFFSET(effect!$N$1,MATCH(K1174,effect!M:M,0)-1,0)))</f>
        <v>kpsx_huangse</v>
      </c>
    </row>
    <row r="1175" spans="1:42">
      <c r="A1175" s="153">
        <f ca="1" t="shared" si="197"/>
        <v>2013025</v>
      </c>
      <c r="B1175" s="91" t="s">
        <v>768</v>
      </c>
      <c r="C1175" s="186">
        <v>2</v>
      </c>
      <c r="D1175" s="186">
        <v>1</v>
      </c>
      <c r="E1175" s="165" t="s">
        <v>1058</v>
      </c>
      <c r="F1175" s="165" t="str">
        <f>"本回合每出一张剑法牌，伤害增加"&amp;skill!$O$78/100&amp;"%"</f>
        <v>本回合每出一张剑法牌，伤害增加35%</v>
      </c>
      <c r="G1175" s="186">
        <f ca="1">OFFSET(卡牌辅助配置表!$C$1,MATCH(AC1175,卡牌辅助配置表!A:A,0)-1,0)</f>
        <v>3</v>
      </c>
      <c r="H1175" s="186">
        <f ca="1" t="shared" si="196"/>
        <v>0</v>
      </c>
      <c r="I1175" s="186"/>
      <c r="J1175" s="186">
        <f ca="1">OFFSET(card_type!$F$1,MATCH(Q1175,card_type!A:A,0)-1,0)</f>
        <v>2</v>
      </c>
      <c r="K1175" s="243">
        <f ca="1">OFFSET(card_type!$G$1,MATCH(Q1175,card_type!A:A,0)-1,0)</f>
        <v>4</v>
      </c>
      <c r="L1175" s="157">
        <v>2</v>
      </c>
      <c r="M1175" s="157">
        <v>2</v>
      </c>
      <c r="N1175" s="153">
        <f t="shared" si="195"/>
        <v>25</v>
      </c>
      <c r="O1175" s="157"/>
      <c r="P1175" s="157"/>
      <c r="Q1175" s="153">
        <f ca="1">OFFSET(card_type!$A$1,MATCH(card!B1175,card_type!B:B,0)-1,0)</f>
        <v>2013</v>
      </c>
      <c r="R1175" s="153">
        <v>1</v>
      </c>
      <c r="S1175" s="157">
        <f ca="1">ROUND(IF(R1175=0,0,IF(R1175=1,X1175*$S$1,IF(R1175=2,X1175*$S$1*buff的资质计算!$E$2,IF(R1175=3,X1175*$S$1*buff的资质计算!$E$3,0)))),0)*0</f>
        <v>0</v>
      </c>
      <c r="T1175" s="153">
        <v>5</v>
      </c>
      <c r="U1175" s="153">
        <f ca="1" t="shared" si="198"/>
        <v>24</v>
      </c>
      <c r="V1175" s="153">
        <f ca="1">ROUND((OFFSET(卡牌辅助配置表!$O$1,MATCH(U1175,卡牌辅助配置表!M:M,0)-1,0)+(N1175-1)*OFFSET(卡牌辅助配置表!$P$1,MATCH(U1175,卡牌辅助配置表!M:M,0)-1,0))*M1175,2)</f>
        <v>131.04</v>
      </c>
      <c r="W1175" s="157">
        <f ca="1">ROUND(IF(R1175=0,0,IF(R1175=1,X1175*$W$1,IF(R1175=2,X1175*$W$1*buff的资质计算!$E$2,IF(R1175=3,X1175*$W$1*buff的资质计算!$E$3,0)))),2)</f>
        <v>17.7</v>
      </c>
      <c r="X1175" s="157">
        <f ca="1" t="shared" si="193"/>
        <v>59</v>
      </c>
      <c r="Y1175" s="157">
        <f ca="1" t="shared" si="203"/>
        <v>59</v>
      </c>
      <c r="Z1175" s="304">
        <f ca="1" t="shared" si="194"/>
        <v>29.5</v>
      </c>
      <c r="AA1175" s="304">
        <f ca="1">OFFSET(卡牌辅助配置表!$AD$1,MATCH(AB1175,卡牌辅助配置表!AB:AB,0)-1,0)</f>
        <v>12335</v>
      </c>
      <c r="AB1175" s="304">
        <f ca="1" t="shared" si="199"/>
        <v>2425</v>
      </c>
      <c r="AC1175" s="153">
        <v>1</v>
      </c>
      <c r="AE1175" s="153">
        <v>2</v>
      </c>
      <c r="AF1175" s="153" t="str">
        <f ca="1" t="shared" si="202"/>
        <v>20130011|</v>
      </c>
      <c r="AJ1175" s="205" t="str">
        <f ca="1" t="shared" si="200"/>
        <v>400023|33300|;</v>
      </c>
      <c r="AK1175" s="205">
        <f ca="1">OFFSET([1]item_type!$A$1,MATCH(Q1175,[1]item_type!$G:$G,0)-1,0)</f>
        <v>302013</v>
      </c>
      <c r="AL1175" s="205"/>
      <c r="AM1175" s="205">
        <f ca="1">IF(B1175=B1176,OFFSET(卡牌辅助配置表!$AE$1,MATCH(AB1175,卡牌辅助配置表!AB:AB,0),0),0)</f>
        <v>33300</v>
      </c>
      <c r="AN1175" s="153">
        <f ca="1" t="shared" si="201"/>
        <v>2013026</v>
      </c>
      <c r="AP1175" s="153" t="str">
        <f ca="1">IF(AC1175=0,0,IF(AC1175=12,0,OFFSET(effect!$N$1,MATCH(K1175,effect!M:M,0)-1,0)))</f>
        <v>kpsx_huangse</v>
      </c>
    </row>
    <row r="1176" spans="1:42">
      <c r="A1176" s="153">
        <f ca="1" t="shared" si="197"/>
        <v>2013026</v>
      </c>
      <c r="B1176" s="91" t="s">
        <v>768</v>
      </c>
      <c r="C1176" s="186">
        <v>2</v>
      </c>
      <c r="D1176" s="186">
        <v>1</v>
      </c>
      <c r="E1176" s="165" t="s">
        <v>1058</v>
      </c>
      <c r="F1176" s="165" t="str">
        <f>"本回合每出一张剑法牌，伤害增加"&amp;skill!$O$78/100&amp;"%"</f>
        <v>本回合每出一张剑法牌，伤害增加35%</v>
      </c>
      <c r="G1176" s="186">
        <f ca="1">OFFSET(卡牌辅助配置表!$C$1,MATCH(AC1176,卡牌辅助配置表!A:A,0)-1,0)</f>
        <v>3</v>
      </c>
      <c r="H1176" s="186">
        <f ca="1" t="shared" si="196"/>
        <v>0</v>
      </c>
      <c r="I1176" s="186"/>
      <c r="J1176" s="186">
        <f ca="1">OFFSET(card_type!$F$1,MATCH(Q1176,card_type!A:A,0)-1,0)</f>
        <v>2</v>
      </c>
      <c r="K1176" s="243">
        <f ca="1">OFFSET(card_type!$G$1,MATCH(Q1176,card_type!A:A,0)-1,0)</f>
        <v>4</v>
      </c>
      <c r="L1176" s="157">
        <v>2</v>
      </c>
      <c r="M1176" s="157">
        <v>2</v>
      </c>
      <c r="N1176" s="153">
        <f t="shared" si="195"/>
        <v>26</v>
      </c>
      <c r="O1176" s="157"/>
      <c r="P1176" s="157"/>
      <c r="Q1176" s="153">
        <f ca="1">OFFSET(card_type!$A$1,MATCH(card!B1176,card_type!B:B,0)-1,0)</f>
        <v>2013</v>
      </c>
      <c r="R1176" s="153">
        <v>1</v>
      </c>
      <c r="S1176" s="157">
        <f ca="1">ROUND(IF(R1176=0,0,IF(R1176=1,X1176*$S$1,IF(R1176=2,X1176*$S$1*buff的资质计算!$E$2,IF(R1176=3,X1176*$S$1*buff的资质计算!$E$3,0)))),0)*0</f>
        <v>0</v>
      </c>
      <c r="T1176" s="153">
        <v>5</v>
      </c>
      <c r="U1176" s="153">
        <f ca="1" t="shared" si="198"/>
        <v>24</v>
      </c>
      <c r="V1176" s="153">
        <f ca="1">ROUND((OFFSET(卡牌辅助配置表!$O$1,MATCH(U1176,卡牌辅助配置表!M:M,0)-1,0)+(N1176-1)*OFFSET(卡牌辅助配置表!$P$1,MATCH(U1176,卡牌辅助配置表!M:M,0)-1,0))*M1176,2)</f>
        <v>134.4</v>
      </c>
      <c r="W1176" s="157">
        <f ca="1">ROUND(IF(R1176=0,0,IF(R1176=1,X1176*$W$1,IF(R1176=2,X1176*$W$1*buff的资质计算!$E$2,IF(R1176=3,X1176*$W$1*buff的资质计算!$E$3,0)))),2)</f>
        <v>17.85</v>
      </c>
      <c r="X1176" s="157">
        <f ca="1" t="shared" si="193"/>
        <v>59.5</v>
      </c>
      <c r="Y1176" s="157">
        <f ca="1" t="shared" si="203"/>
        <v>59.5</v>
      </c>
      <c r="Z1176" s="304">
        <f ca="1" t="shared" si="194"/>
        <v>29.75</v>
      </c>
      <c r="AA1176" s="304">
        <f ca="1">OFFSET(卡牌辅助配置表!$AD$1,MATCH(AB1176,卡牌辅助配置表!AB:AB,0)-1,0)</f>
        <v>13040</v>
      </c>
      <c r="AB1176" s="304">
        <f ca="1" t="shared" si="199"/>
        <v>2426</v>
      </c>
      <c r="AC1176" s="153">
        <v>1</v>
      </c>
      <c r="AE1176" s="153">
        <v>2</v>
      </c>
      <c r="AF1176" s="153" t="str">
        <f ca="1" t="shared" si="202"/>
        <v>20130011|</v>
      </c>
      <c r="AJ1176" s="205" t="str">
        <f ca="1" t="shared" si="200"/>
        <v>400023|35700|;</v>
      </c>
      <c r="AK1176" s="205">
        <f ca="1">OFFSET([1]item_type!$A$1,MATCH(Q1176,[1]item_type!$G:$G,0)-1,0)</f>
        <v>302013</v>
      </c>
      <c r="AL1176" s="205"/>
      <c r="AM1176" s="205">
        <f ca="1">IF(B1176=B1177,OFFSET(卡牌辅助配置表!$AE$1,MATCH(AB1176,卡牌辅助配置表!AB:AB,0),0),0)</f>
        <v>35700</v>
      </c>
      <c r="AN1176" s="153">
        <f ca="1" t="shared" si="201"/>
        <v>2013027</v>
      </c>
      <c r="AP1176" s="153" t="str">
        <f ca="1">IF(AC1176=0,0,IF(AC1176=12,0,OFFSET(effect!$N$1,MATCH(K1176,effect!M:M,0)-1,0)))</f>
        <v>kpsx_huangse</v>
      </c>
    </row>
    <row r="1177" spans="1:42">
      <c r="A1177" s="153">
        <f ca="1" t="shared" si="197"/>
        <v>2013027</v>
      </c>
      <c r="B1177" s="91" t="s">
        <v>768</v>
      </c>
      <c r="C1177" s="186">
        <v>2</v>
      </c>
      <c r="D1177" s="186">
        <v>1</v>
      </c>
      <c r="E1177" s="165" t="s">
        <v>1058</v>
      </c>
      <c r="F1177" s="165" t="str">
        <f>"本回合每出一张剑法牌，伤害增加"&amp;skill!$O$78/100&amp;"%"</f>
        <v>本回合每出一张剑法牌，伤害增加35%</v>
      </c>
      <c r="G1177" s="186">
        <f ca="1">OFFSET(卡牌辅助配置表!$C$1,MATCH(AC1177,卡牌辅助配置表!A:A,0)-1,0)</f>
        <v>3</v>
      </c>
      <c r="H1177" s="186">
        <f ca="1" t="shared" si="196"/>
        <v>0</v>
      </c>
      <c r="I1177" s="186"/>
      <c r="J1177" s="186">
        <f ca="1">OFFSET(card_type!$F$1,MATCH(Q1177,card_type!A:A,0)-1,0)</f>
        <v>2</v>
      </c>
      <c r="K1177" s="243">
        <f ca="1">OFFSET(card_type!$G$1,MATCH(Q1177,card_type!A:A,0)-1,0)</f>
        <v>4</v>
      </c>
      <c r="L1177" s="157">
        <v>2</v>
      </c>
      <c r="M1177" s="157">
        <v>2</v>
      </c>
      <c r="N1177" s="153">
        <f t="shared" si="195"/>
        <v>27</v>
      </c>
      <c r="O1177" s="157"/>
      <c r="P1177" s="157"/>
      <c r="Q1177" s="153">
        <f ca="1">OFFSET(card_type!$A$1,MATCH(card!B1177,card_type!B:B,0)-1,0)</f>
        <v>2013</v>
      </c>
      <c r="R1177" s="153">
        <v>1</v>
      </c>
      <c r="S1177" s="157">
        <f ca="1">ROUND(IF(R1177=0,0,IF(R1177=1,X1177*$S$1,IF(R1177=2,X1177*$S$1*buff的资质计算!$E$2,IF(R1177=3,X1177*$S$1*buff的资质计算!$E$3,0)))),0)*0</f>
        <v>0</v>
      </c>
      <c r="T1177" s="153">
        <v>5</v>
      </c>
      <c r="U1177" s="153">
        <f ca="1" t="shared" si="198"/>
        <v>24</v>
      </c>
      <c r="V1177" s="153">
        <f ca="1">ROUND((OFFSET(卡牌辅助配置表!$O$1,MATCH(U1177,卡牌辅助配置表!M:M,0)-1,0)+(N1177-1)*OFFSET(卡牌辅助配置表!$P$1,MATCH(U1177,卡牌辅助配置表!M:M,0)-1,0))*M1177,2)</f>
        <v>137.76</v>
      </c>
      <c r="W1177" s="157">
        <f ca="1">ROUND(IF(R1177=0,0,IF(R1177=1,X1177*$W$1,IF(R1177=2,X1177*$W$1*buff的资质计算!$E$2,IF(R1177=3,X1177*$W$1*buff的资质计算!$E$3,0)))),2)</f>
        <v>18</v>
      </c>
      <c r="X1177" s="157">
        <f ca="1" t="shared" si="193"/>
        <v>60</v>
      </c>
      <c r="Y1177" s="157">
        <f ca="1" t="shared" si="203"/>
        <v>60</v>
      </c>
      <c r="Z1177" s="304">
        <f ca="1" t="shared" si="194"/>
        <v>30</v>
      </c>
      <c r="AA1177" s="304">
        <f ca="1">OFFSET(卡牌辅助配置表!$AD$1,MATCH(AB1177,卡牌辅助配置表!AB:AB,0)-1,0)</f>
        <v>13745</v>
      </c>
      <c r="AB1177" s="304">
        <f ca="1" t="shared" si="199"/>
        <v>2427</v>
      </c>
      <c r="AC1177" s="153">
        <v>1</v>
      </c>
      <c r="AE1177" s="153">
        <v>2</v>
      </c>
      <c r="AF1177" s="153" t="str">
        <f ca="1" t="shared" si="202"/>
        <v>20130011|</v>
      </c>
      <c r="AJ1177" s="205" t="str">
        <f ca="1" t="shared" si="200"/>
        <v>400023|38100|;</v>
      </c>
      <c r="AK1177" s="205">
        <f ca="1">OFFSET([1]item_type!$A$1,MATCH(Q1177,[1]item_type!$G:$G,0)-1,0)</f>
        <v>302013</v>
      </c>
      <c r="AL1177" s="205"/>
      <c r="AM1177" s="205">
        <f ca="1">IF(B1177=B1178,OFFSET(卡牌辅助配置表!$AE$1,MATCH(AB1177,卡牌辅助配置表!AB:AB,0),0),0)</f>
        <v>38100</v>
      </c>
      <c r="AN1177" s="153">
        <f ca="1" t="shared" si="201"/>
        <v>2013028</v>
      </c>
      <c r="AP1177" s="153" t="str">
        <f ca="1">IF(AC1177=0,0,IF(AC1177=12,0,OFFSET(effect!$N$1,MATCH(K1177,effect!M:M,0)-1,0)))</f>
        <v>kpsx_huangse</v>
      </c>
    </row>
    <row r="1178" spans="1:42">
      <c r="A1178" s="153">
        <f ca="1" t="shared" si="197"/>
        <v>2013028</v>
      </c>
      <c r="B1178" s="91" t="s">
        <v>768</v>
      </c>
      <c r="C1178" s="186">
        <v>2</v>
      </c>
      <c r="D1178" s="186">
        <v>1</v>
      </c>
      <c r="E1178" s="165" t="s">
        <v>1058</v>
      </c>
      <c r="F1178" s="165" t="str">
        <f>"本回合每出一张剑法牌，伤害增加"&amp;skill!$O$78/100&amp;"%"</f>
        <v>本回合每出一张剑法牌，伤害增加35%</v>
      </c>
      <c r="G1178" s="186">
        <f ca="1">OFFSET(卡牌辅助配置表!$C$1,MATCH(AC1178,卡牌辅助配置表!A:A,0)-1,0)</f>
        <v>3</v>
      </c>
      <c r="H1178" s="186">
        <f ca="1" t="shared" si="196"/>
        <v>0</v>
      </c>
      <c r="I1178" s="186"/>
      <c r="J1178" s="186">
        <f ca="1">OFFSET(card_type!$F$1,MATCH(Q1178,card_type!A:A,0)-1,0)</f>
        <v>2</v>
      </c>
      <c r="K1178" s="243">
        <f ca="1">OFFSET(card_type!$G$1,MATCH(Q1178,card_type!A:A,0)-1,0)</f>
        <v>4</v>
      </c>
      <c r="L1178" s="157">
        <v>2</v>
      </c>
      <c r="M1178" s="157">
        <v>2</v>
      </c>
      <c r="N1178" s="153">
        <f t="shared" si="195"/>
        <v>28</v>
      </c>
      <c r="O1178" s="157"/>
      <c r="P1178" s="157"/>
      <c r="Q1178" s="153">
        <f ca="1">OFFSET(card_type!$A$1,MATCH(card!B1178,card_type!B:B,0)-1,0)</f>
        <v>2013</v>
      </c>
      <c r="R1178" s="153">
        <v>1</v>
      </c>
      <c r="S1178" s="157">
        <f ca="1">ROUND(IF(R1178=0,0,IF(R1178=1,X1178*$S$1,IF(R1178=2,X1178*$S$1*buff的资质计算!$E$2,IF(R1178=3,X1178*$S$1*buff的资质计算!$E$3,0)))),0)*0</f>
        <v>0</v>
      </c>
      <c r="T1178" s="153">
        <v>5</v>
      </c>
      <c r="U1178" s="153">
        <f ca="1" t="shared" si="198"/>
        <v>24</v>
      </c>
      <c r="V1178" s="153">
        <f ca="1">ROUND((OFFSET(卡牌辅助配置表!$O$1,MATCH(U1178,卡牌辅助配置表!M:M,0)-1,0)+(N1178-1)*OFFSET(卡牌辅助配置表!$P$1,MATCH(U1178,卡牌辅助配置表!M:M,0)-1,0))*M1178,2)</f>
        <v>141.12</v>
      </c>
      <c r="W1178" s="157">
        <f ca="1">ROUND(IF(R1178=0,0,IF(R1178=1,X1178*$W$1,IF(R1178=2,X1178*$W$1*buff的资质计算!$E$2,IF(R1178=3,X1178*$W$1*buff的资质计算!$E$3,0)))),2)</f>
        <v>18.15</v>
      </c>
      <c r="X1178" s="157">
        <f ca="1" t="shared" si="193"/>
        <v>60.5</v>
      </c>
      <c r="Y1178" s="157">
        <f ca="1" t="shared" si="203"/>
        <v>60.5</v>
      </c>
      <c r="Z1178" s="304">
        <f ca="1" t="shared" si="194"/>
        <v>30.25</v>
      </c>
      <c r="AA1178" s="304">
        <f ca="1">OFFSET(卡牌辅助配置表!$AD$1,MATCH(AB1178,卡牌辅助配置表!AB:AB,0)-1,0)</f>
        <v>14450</v>
      </c>
      <c r="AB1178" s="304">
        <f ca="1" t="shared" si="199"/>
        <v>2428</v>
      </c>
      <c r="AC1178" s="153">
        <v>1</v>
      </c>
      <c r="AE1178" s="153">
        <v>2</v>
      </c>
      <c r="AF1178" s="153" t="str">
        <f ca="1" t="shared" si="202"/>
        <v>20130011|</v>
      </c>
      <c r="AJ1178" s="205" t="str">
        <f ca="1" t="shared" si="200"/>
        <v>400023|40500|;</v>
      </c>
      <c r="AK1178" s="205">
        <f ca="1">OFFSET([1]item_type!$A$1,MATCH(Q1178,[1]item_type!$G:$G,0)-1,0)</f>
        <v>302013</v>
      </c>
      <c r="AL1178" s="205"/>
      <c r="AM1178" s="205">
        <f ca="1">IF(B1178=B1179,OFFSET(卡牌辅助配置表!$AE$1,MATCH(AB1178,卡牌辅助配置表!AB:AB,0),0),0)</f>
        <v>40500</v>
      </c>
      <c r="AN1178" s="153">
        <f ca="1" t="shared" si="201"/>
        <v>2013029</v>
      </c>
      <c r="AP1178" s="153" t="str">
        <f ca="1">IF(AC1178=0,0,IF(AC1178=12,0,OFFSET(effect!$N$1,MATCH(K1178,effect!M:M,0)-1,0)))</f>
        <v>kpsx_huangse</v>
      </c>
    </row>
    <row r="1179" spans="1:42">
      <c r="A1179" s="153">
        <f ca="1" t="shared" si="197"/>
        <v>2013029</v>
      </c>
      <c r="B1179" s="91" t="s">
        <v>768</v>
      </c>
      <c r="C1179" s="186">
        <v>2</v>
      </c>
      <c r="D1179" s="186">
        <v>1</v>
      </c>
      <c r="E1179" s="165" t="s">
        <v>1058</v>
      </c>
      <c r="F1179" s="165" t="str">
        <f>"本回合每出一张剑法牌，伤害增加"&amp;skill!$O$78/100&amp;"%"</f>
        <v>本回合每出一张剑法牌，伤害增加35%</v>
      </c>
      <c r="G1179" s="186">
        <f ca="1">OFFSET(卡牌辅助配置表!$C$1,MATCH(AC1179,卡牌辅助配置表!A:A,0)-1,0)</f>
        <v>3</v>
      </c>
      <c r="H1179" s="186">
        <f ca="1" t="shared" si="196"/>
        <v>0</v>
      </c>
      <c r="I1179" s="186"/>
      <c r="J1179" s="186">
        <f ca="1">OFFSET(card_type!$F$1,MATCH(Q1179,card_type!A:A,0)-1,0)</f>
        <v>2</v>
      </c>
      <c r="K1179" s="243">
        <f ca="1">OFFSET(card_type!$G$1,MATCH(Q1179,card_type!A:A,0)-1,0)</f>
        <v>4</v>
      </c>
      <c r="L1179" s="157">
        <v>2</v>
      </c>
      <c r="M1179" s="157">
        <v>2</v>
      </c>
      <c r="N1179" s="153">
        <f t="shared" si="195"/>
        <v>29</v>
      </c>
      <c r="O1179" s="157"/>
      <c r="P1179" s="157"/>
      <c r="Q1179" s="153">
        <f ca="1">OFFSET(card_type!$A$1,MATCH(card!B1179,card_type!B:B,0)-1,0)</f>
        <v>2013</v>
      </c>
      <c r="R1179" s="153">
        <v>1</v>
      </c>
      <c r="S1179" s="157">
        <f ca="1">ROUND(IF(R1179=0,0,IF(R1179=1,X1179*$S$1,IF(R1179=2,X1179*$S$1*buff的资质计算!$E$2,IF(R1179=3,X1179*$S$1*buff的资质计算!$E$3,0)))),0)*0</f>
        <v>0</v>
      </c>
      <c r="T1179" s="153">
        <v>5</v>
      </c>
      <c r="U1179" s="153">
        <f ca="1" t="shared" si="198"/>
        <v>24</v>
      </c>
      <c r="V1179" s="153">
        <f ca="1">ROUND((OFFSET(卡牌辅助配置表!$O$1,MATCH(U1179,卡牌辅助配置表!M:M,0)-1,0)+(N1179-1)*OFFSET(卡牌辅助配置表!$P$1,MATCH(U1179,卡牌辅助配置表!M:M,0)-1,0))*M1179,2)</f>
        <v>144.48</v>
      </c>
      <c r="W1179" s="157">
        <f ca="1">ROUND(IF(R1179=0,0,IF(R1179=1,X1179*$W$1,IF(R1179=2,X1179*$W$1*buff的资质计算!$E$2,IF(R1179=3,X1179*$W$1*buff的资质计算!$E$3,0)))),2)</f>
        <v>18.3</v>
      </c>
      <c r="X1179" s="157">
        <f ca="1" t="shared" si="193"/>
        <v>61</v>
      </c>
      <c r="Y1179" s="157">
        <f ca="1" t="shared" si="203"/>
        <v>61</v>
      </c>
      <c r="Z1179" s="304">
        <f ca="1" t="shared" si="194"/>
        <v>30.5</v>
      </c>
      <c r="AA1179" s="304">
        <f ca="1">OFFSET(卡牌辅助配置表!$AD$1,MATCH(AB1179,卡牌辅助配置表!AB:AB,0)-1,0)</f>
        <v>15155</v>
      </c>
      <c r="AB1179" s="304">
        <f ca="1" t="shared" si="199"/>
        <v>2429</v>
      </c>
      <c r="AC1179" s="153">
        <v>1</v>
      </c>
      <c r="AE1179" s="153">
        <v>2</v>
      </c>
      <c r="AF1179" s="153" t="str">
        <f ca="1" t="shared" si="202"/>
        <v>20130011|</v>
      </c>
      <c r="AJ1179" s="205" t="str">
        <f ca="1" t="shared" si="200"/>
        <v>302013|30|;400023|42900|;</v>
      </c>
      <c r="AK1179" s="205">
        <f ca="1">OFFSET([1]item_type!$A$1,MATCH(Q1179,[1]item_type!$G:$G,0)-1,0)</f>
        <v>302013</v>
      </c>
      <c r="AL1179" s="205">
        <v>30</v>
      </c>
      <c r="AM1179" s="205">
        <f ca="1">IF(B1179=B1180,OFFSET(卡牌辅助配置表!$AE$1,MATCH(AB1179,卡牌辅助配置表!AB:AB,0),0),0)</f>
        <v>42900</v>
      </c>
      <c r="AN1179" s="153">
        <f ca="1" t="shared" si="201"/>
        <v>2013030</v>
      </c>
      <c r="AP1179" s="153" t="str">
        <f ca="1">IF(AC1179=0,0,IF(AC1179=12,0,OFFSET(effect!$N$1,MATCH(K1179,effect!M:M,0)-1,0)))</f>
        <v>kpsx_huangse</v>
      </c>
    </row>
    <row r="1180" spans="1:42">
      <c r="A1180" s="153">
        <f ca="1" t="shared" si="197"/>
        <v>2013030</v>
      </c>
      <c r="B1180" s="91" t="s">
        <v>768</v>
      </c>
      <c r="C1180" s="186">
        <v>2</v>
      </c>
      <c r="D1180" s="186">
        <v>1</v>
      </c>
      <c r="E1180" s="165" t="s">
        <v>1058</v>
      </c>
      <c r="F1180" s="165" t="str">
        <f>"本回合每出一张剑法牌，伤害增加"&amp;skill!$O$78/100&amp;"%"</f>
        <v>本回合每出一张剑法牌，伤害增加35%</v>
      </c>
      <c r="G1180" s="186">
        <f ca="1">OFFSET(卡牌辅助配置表!$C$1,MATCH(AC1180,卡牌辅助配置表!A:A,0)-1,0)</f>
        <v>3</v>
      </c>
      <c r="H1180" s="186">
        <f ca="1" t="shared" si="196"/>
        <v>0</v>
      </c>
      <c r="I1180" s="186"/>
      <c r="J1180" s="186">
        <f ca="1">OFFSET(card_type!$F$1,MATCH(Q1180,card_type!A:A,0)-1,0)</f>
        <v>2</v>
      </c>
      <c r="K1180" s="243">
        <f ca="1">OFFSET(card_type!$G$1,MATCH(Q1180,card_type!A:A,0)-1,0)</f>
        <v>4</v>
      </c>
      <c r="L1180" s="157">
        <v>2</v>
      </c>
      <c r="M1180" s="157">
        <v>2</v>
      </c>
      <c r="N1180" s="153">
        <f t="shared" si="195"/>
        <v>30</v>
      </c>
      <c r="O1180" s="157"/>
      <c r="P1180" s="157"/>
      <c r="Q1180" s="153">
        <f ca="1">OFFSET(card_type!$A$1,MATCH(card!B1180,card_type!B:B,0)-1,0)</f>
        <v>2013</v>
      </c>
      <c r="R1180" s="153">
        <v>1</v>
      </c>
      <c r="S1180" s="157">
        <f ca="1">ROUND(IF(R1180=0,0,IF(R1180=1,X1180*$S$1,IF(R1180=2,X1180*$S$1*buff的资质计算!$E$2,IF(R1180=3,X1180*$S$1*buff的资质计算!$E$3,0)))),0)*0</f>
        <v>0</v>
      </c>
      <c r="T1180" s="153">
        <v>5</v>
      </c>
      <c r="U1180" s="153">
        <f ca="1" t="shared" si="198"/>
        <v>24</v>
      </c>
      <c r="V1180" s="153">
        <f ca="1">ROUND((OFFSET(卡牌辅助配置表!$O$1,MATCH(U1180,卡牌辅助配置表!M:M,0)-1,0)+(N1180-1)*OFFSET(卡牌辅助配置表!$P$1,MATCH(U1180,卡牌辅助配置表!M:M,0)-1,0))*M1180,2)</f>
        <v>147.84</v>
      </c>
      <c r="W1180" s="157">
        <f ca="1">ROUND(IF(R1180=0,0,IF(R1180=1,X1180*$W$1,IF(R1180=2,X1180*$W$1*buff的资质计算!$E$2,IF(R1180=3,X1180*$W$1*buff的资质计算!$E$3,0)))),2)</f>
        <v>18.45</v>
      </c>
      <c r="X1180" s="157">
        <f ca="1" t="shared" si="193"/>
        <v>61.5</v>
      </c>
      <c r="Y1180" s="157">
        <f ca="1" t="shared" si="203"/>
        <v>61.5</v>
      </c>
      <c r="Z1180" s="304">
        <f ca="1" t="shared" si="194"/>
        <v>30.75</v>
      </c>
      <c r="AA1180" s="304">
        <f ca="1">OFFSET(卡牌辅助配置表!$AD$1,MATCH(AB1180,卡牌辅助配置表!AB:AB,0)-1,0)</f>
        <v>15860</v>
      </c>
      <c r="AB1180" s="304">
        <f ca="1" t="shared" si="199"/>
        <v>2430</v>
      </c>
      <c r="AC1180" s="153">
        <v>1</v>
      </c>
      <c r="AE1180" s="153">
        <v>2</v>
      </c>
      <c r="AF1180" s="153" t="str">
        <f ca="1" t="shared" si="202"/>
        <v>20130011|</v>
      </c>
      <c r="AJ1180" s="205">
        <f ca="1" t="shared" si="200"/>
        <v>0</v>
      </c>
      <c r="AK1180" s="205">
        <f ca="1">OFFSET([1]item_type!$A$1,MATCH(Q1180,[1]item_type!$G:$G,0)-1,0)</f>
        <v>302013</v>
      </c>
      <c r="AL1180" s="205"/>
      <c r="AM1180" s="205">
        <f ca="1">IF(B1180=B1181,OFFSET(卡牌辅助配置表!$AE$1,MATCH(AB1180,卡牌辅助配置表!AB:AB,0),0),0)</f>
        <v>0</v>
      </c>
      <c r="AN1180" s="153">
        <f ca="1" t="shared" si="201"/>
        <v>0</v>
      </c>
      <c r="AP1180" s="153" t="str">
        <f ca="1">IF(AC1180=0,0,IF(AC1180=12,0,OFFSET(effect!$N$1,MATCH(K1180,effect!M:M,0)-1,0)))</f>
        <v>kpsx_huangse</v>
      </c>
    </row>
    <row r="1181" spans="1:42">
      <c r="A1181" s="153">
        <f ca="1" t="shared" si="197"/>
        <v>2014001</v>
      </c>
      <c r="B1181" s="91" t="s">
        <v>357</v>
      </c>
      <c r="C1181" s="186">
        <v>2</v>
      </c>
      <c r="D1181" s="186">
        <v>5</v>
      </c>
      <c r="E1181" s="165" t="s">
        <v>1058</v>
      </c>
      <c r="F1181" s="179" t="s">
        <v>1062</v>
      </c>
      <c r="G1181" s="186">
        <f ca="1">OFFSET(卡牌辅助配置表!$C$1,MATCH(AC1181,卡牌辅助配置表!A:A,0)-1,0)</f>
        <v>0</v>
      </c>
      <c r="H1181" s="186" t="e">
        <f ca="1">OFFSET(skill!$Q$1,MATCH(B1181,skill!B:B,0)-1,0)</f>
        <v>#VALUE!</v>
      </c>
      <c r="I1181" s="186"/>
      <c r="J1181" s="186">
        <f ca="1">OFFSET(card_type!$F$1,MATCH(Q1181,card_type!A:A,0)-1,0)</f>
        <v>2</v>
      </c>
      <c r="K1181" s="243">
        <f ca="1">OFFSET(card_type!$G$1,MATCH(Q1181,card_type!A:A,0)-1,0)</f>
        <v>3</v>
      </c>
      <c r="L1181" s="157">
        <v>2</v>
      </c>
      <c r="M1181" s="157">
        <v>2</v>
      </c>
      <c r="N1181" s="153">
        <f t="shared" si="195"/>
        <v>1</v>
      </c>
      <c r="O1181" s="157"/>
      <c r="P1181" s="157"/>
      <c r="Q1181" s="153">
        <f ca="1">OFFSET(card_type!$A$1,MATCH(card!B1181,card_type!B:B,0)-1,0)</f>
        <v>2014</v>
      </c>
      <c r="R1181" s="153">
        <v>1</v>
      </c>
      <c r="S1181" s="157">
        <f ca="1">ROUND(IF(R1181=0,0,IF(R1181=1,X1181*$S$1,IF(R1181=2,X1181*$S$1*buff的资质计算!$E$2,IF(R1181=3,X1181*$S$1*buff的资质计算!$E$3,0)))),0)*0</f>
        <v>0</v>
      </c>
      <c r="T1181" s="153">
        <v>4</v>
      </c>
      <c r="U1181" s="153">
        <f ca="1" t="shared" si="198"/>
        <v>23</v>
      </c>
      <c r="V1181" s="153">
        <f ca="1">ROUND((OFFSET(卡牌辅助配置表!$O$1,MATCH(U1181,卡牌辅助配置表!M:M,0)-1,0)+(N1181-1)*OFFSET(卡牌辅助配置表!$P$1,MATCH(U1181,卡牌辅助配置表!M:M,0)-1,0))*M1181,2)</f>
        <v>33.6</v>
      </c>
      <c r="W1181" s="157">
        <f ca="1">ROUND(IF(R1181=0,0,IF(R1181=1,X1181*$W$1,IF(R1181=2,X1181*$W$1*buff的资质计算!$E$2,IF(R1181=3,X1181*$W$1*buff的资质计算!$E$3,0)))),2)</f>
        <v>10.8</v>
      </c>
      <c r="X1181" s="157">
        <f ca="1" t="shared" si="193"/>
        <v>36</v>
      </c>
      <c r="Y1181" s="157" t="e">
        <f ca="1" t="shared" si="203"/>
        <v>#VALUE!</v>
      </c>
      <c r="Z1181" s="304" t="e">
        <f ca="1" t="shared" si="194"/>
        <v>#VALUE!</v>
      </c>
      <c r="AA1181" s="304">
        <f ca="1">OFFSET(卡牌辅助配置表!$AD$1,MATCH(AB1181,卡牌辅助配置表!AB:AB,0)-1,0)</f>
        <v>211</v>
      </c>
      <c r="AB1181" s="304">
        <f ca="1" t="shared" si="199"/>
        <v>2301</v>
      </c>
      <c r="AC1181" s="153">
        <v>12</v>
      </c>
      <c r="AF1181" s="153" t="str">
        <f ca="1" t="shared" si="202"/>
        <v>20140011|</v>
      </c>
      <c r="AJ1181" s="205" t="str">
        <f ca="1" t="shared" si="200"/>
        <v>400023|1400|;</v>
      </c>
      <c r="AK1181" s="205">
        <f ca="1">OFFSET([1]item_type!$A$1,MATCH(Q1181,[1]item_type!$G:$G,0)-1,0)</f>
        <v>302014</v>
      </c>
      <c r="AL1181" s="205"/>
      <c r="AM1181" s="205">
        <f ca="1">IF(B1181=B1182,OFFSET(卡牌辅助配置表!$AE$1,MATCH(AB1181,卡牌辅助配置表!AB:AB,0),0),0)</f>
        <v>1400</v>
      </c>
      <c r="AN1181" s="153">
        <f ca="1" t="shared" si="201"/>
        <v>2014002</v>
      </c>
      <c r="AP1181" s="153">
        <f ca="1">IF(AC1181=0,0,IF(AC1181=12,0,OFFSET(effect!$N$1,MATCH(K1181,effect!M:M,0)-1,0)))</f>
        <v>0</v>
      </c>
    </row>
    <row r="1182" spans="1:42">
      <c r="A1182" s="153">
        <f ca="1" t="shared" si="197"/>
        <v>2014002</v>
      </c>
      <c r="B1182" s="91" t="s">
        <v>357</v>
      </c>
      <c r="C1182" s="186">
        <v>2</v>
      </c>
      <c r="D1182" s="186">
        <v>5</v>
      </c>
      <c r="E1182" s="165" t="s">
        <v>1058</v>
      </c>
      <c r="F1182" s="179" t="s">
        <v>1062</v>
      </c>
      <c r="G1182" s="186">
        <f ca="1">OFFSET(卡牌辅助配置表!$C$1,MATCH(AC1182,卡牌辅助配置表!A:A,0)-1,0)</f>
        <v>0</v>
      </c>
      <c r="H1182" s="186" t="e">
        <f ca="1">OFFSET(skill!$Q$1,MATCH(B1182,skill!B:B,0)-1,0)</f>
        <v>#VALUE!</v>
      </c>
      <c r="I1182" s="186"/>
      <c r="J1182" s="186">
        <f ca="1">OFFSET(card_type!$F$1,MATCH(Q1182,card_type!A:A,0)-1,0)</f>
        <v>2</v>
      </c>
      <c r="K1182" s="243">
        <f ca="1">OFFSET(card_type!$G$1,MATCH(Q1182,card_type!A:A,0)-1,0)</f>
        <v>3</v>
      </c>
      <c r="L1182" s="157">
        <v>2</v>
      </c>
      <c r="M1182" s="157">
        <v>2</v>
      </c>
      <c r="N1182" s="153">
        <f t="shared" si="195"/>
        <v>2</v>
      </c>
      <c r="O1182" s="157"/>
      <c r="P1182" s="157"/>
      <c r="Q1182" s="153">
        <f ca="1">OFFSET(card_type!$A$1,MATCH(card!B1182,card_type!B:B,0)-1,0)</f>
        <v>2014</v>
      </c>
      <c r="R1182" s="153">
        <v>1</v>
      </c>
      <c r="S1182" s="157">
        <f ca="1">ROUND(IF(R1182=0,0,IF(R1182=1,X1182*$S$1,IF(R1182=2,X1182*$S$1*buff的资质计算!$E$2,IF(R1182=3,X1182*$S$1*buff的资质计算!$E$3,0)))),0)*0</f>
        <v>0</v>
      </c>
      <c r="T1182" s="153">
        <v>4</v>
      </c>
      <c r="U1182" s="153">
        <f ca="1" t="shared" si="198"/>
        <v>23</v>
      </c>
      <c r="V1182" s="153">
        <f ca="1">ROUND((OFFSET(卡牌辅助配置表!$O$1,MATCH(U1182,卡牌辅助配置表!M:M,0)-1,0)+(N1182-1)*OFFSET(卡牌辅助配置表!$P$1,MATCH(U1182,卡牌辅助配置表!M:M,0)-1,0))*M1182,2)</f>
        <v>35.84</v>
      </c>
      <c r="W1182" s="157">
        <f ca="1">ROUND(IF(R1182=0,0,IF(R1182=1,X1182*$W$1,IF(R1182=2,X1182*$W$1*buff的资质计算!$E$2,IF(R1182=3,X1182*$W$1*buff的资质计算!$E$3,0)))),2)</f>
        <v>10.95</v>
      </c>
      <c r="X1182" s="157">
        <f ca="1" t="shared" si="193"/>
        <v>36.5</v>
      </c>
      <c r="Y1182" s="157" t="e">
        <f ca="1" t="shared" si="203"/>
        <v>#VALUE!</v>
      </c>
      <c r="Z1182" s="304" t="e">
        <f ca="1" t="shared" si="194"/>
        <v>#VALUE!</v>
      </c>
      <c r="AA1182" s="304">
        <f ca="1">OFFSET(卡牌辅助配置表!$AD$1,MATCH(AB1182,卡牌辅助配置表!AB:AB,0)-1,0)</f>
        <v>422</v>
      </c>
      <c r="AB1182" s="304">
        <f ca="1" t="shared" si="199"/>
        <v>2302</v>
      </c>
      <c r="AC1182" s="153">
        <v>12</v>
      </c>
      <c r="AF1182" s="153" t="str">
        <f ca="1" t="shared" si="202"/>
        <v>20140011|</v>
      </c>
      <c r="AJ1182" s="205" t="str">
        <f ca="1" t="shared" si="200"/>
        <v>400023|1800|;</v>
      </c>
      <c r="AK1182" s="205">
        <f ca="1">OFFSET([1]item_type!$A$1,MATCH(Q1182,[1]item_type!$G:$G,0)-1,0)</f>
        <v>302014</v>
      </c>
      <c r="AL1182" s="205"/>
      <c r="AM1182" s="205">
        <f ca="1">IF(B1182=B1183,OFFSET(卡牌辅助配置表!$AE$1,MATCH(AB1182,卡牌辅助配置表!AB:AB,0),0),0)</f>
        <v>1800</v>
      </c>
      <c r="AN1182" s="153">
        <f ca="1" t="shared" si="201"/>
        <v>2014003</v>
      </c>
      <c r="AP1182" s="153">
        <f ca="1">IF(AC1182=0,0,IF(AC1182=12,0,OFFSET(effect!$N$1,MATCH(K1182,effect!M:M,0)-1,0)))</f>
        <v>0</v>
      </c>
    </row>
    <row r="1183" spans="1:42">
      <c r="A1183" s="153">
        <f ca="1" t="shared" si="197"/>
        <v>2014003</v>
      </c>
      <c r="B1183" s="91" t="s">
        <v>357</v>
      </c>
      <c r="C1183" s="186">
        <v>2</v>
      </c>
      <c r="D1183" s="186">
        <v>5</v>
      </c>
      <c r="E1183" s="165" t="s">
        <v>1058</v>
      </c>
      <c r="F1183" s="179" t="s">
        <v>1062</v>
      </c>
      <c r="G1183" s="186">
        <f ca="1">OFFSET(卡牌辅助配置表!$C$1,MATCH(AC1183,卡牌辅助配置表!A:A,0)-1,0)</f>
        <v>0</v>
      </c>
      <c r="H1183" s="186" t="e">
        <f ca="1">OFFSET(skill!$Q$1,MATCH(B1183,skill!B:B,0)-1,0)</f>
        <v>#VALUE!</v>
      </c>
      <c r="I1183" s="186"/>
      <c r="J1183" s="186">
        <f ca="1">OFFSET(card_type!$F$1,MATCH(Q1183,card_type!A:A,0)-1,0)</f>
        <v>2</v>
      </c>
      <c r="K1183" s="243">
        <f ca="1">OFFSET(card_type!$G$1,MATCH(Q1183,card_type!A:A,0)-1,0)</f>
        <v>3</v>
      </c>
      <c r="L1183" s="157">
        <v>2</v>
      </c>
      <c r="M1183" s="157">
        <v>2</v>
      </c>
      <c r="N1183" s="153">
        <f t="shared" si="195"/>
        <v>3</v>
      </c>
      <c r="O1183" s="157"/>
      <c r="P1183" s="157"/>
      <c r="Q1183" s="153">
        <f ca="1">OFFSET(card_type!$A$1,MATCH(card!B1183,card_type!B:B,0)-1,0)</f>
        <v>2014</v>
      </c>
      <c r="R1183" s="153">
        <v>1</v>
      </c>
      <c r="S1183" s="157">
        <f ca="1">ROUND(IF(R1183=0,0,IF(R1183=1,X1183*$S$1,IF(R1183=2,X1183*$S$1*buff的资质计算!$E$2,IF(R1183=3,X1183*$S$1*buff的资质计算!$E$3,0)))),0)*0</f>
        <v>0</v>
      </c>
      <c r="T1183" s="153">
        <v>4</v>
      </c>
      <c r="U1183" s="153">
        <f ca="1" t="shared" si="198"/>
        <v>23</v>
      </c>
      <c r="V1183" s="153">
        <f ca="1">ROUND((OFFSET(卡牌辅助配置表!$O$1,MATCH(U1183,卡牌辅助配置表!M:M,0)-1,0)+(N1183-1)*OFFSET(卡牌辅助配置表!$P$1,MATCH(U1183,卡牌辅助配置表!M:M,0)-1,0))*M1183,2)</f>
        <v>38.08</v>
      </c>
      <c r="W1183" s="157">
        <f ca="1">ROUND(IF(R1183=0,0,IF(R1183=1,X1183*$W$1,IF(R1183=2,X1183*$W$1*buff的资质计算!$E$2,IF(R1183=3,X1183*$W$1*buff的资质计算!$E$3,0)))),2)</f>
        <v>11.1</v>
      </c>
      <c r="X1183" s="157">
        <f ca="1" t="shared" si="193"/>
        <v>37</v>
      </c>
      <c r="Y1183" s="157" t="e">
        <f ca="1" t="shared" si="203"/>
        <v>#VALUE!</v>
      </c>
      <c r="Z1183" s="304" t="e">
        <f ca="1" t="shared" si="194"/>
        <v>#VALUE!</v>
      </c>
      <c r="AA1183" s="304">
        <f ca="1">OFFSET(卡牌辅助配置表!$AD$1,MATCH(AB1183,卡牌辅助配置表!AB:AB,0)-1,0)</f>
        <v>633</v>
      </c>
      <c r="AB1183" s="304">
        <f ca="1" t="shared" si="199"/>
        <v>2303</v>
      </c>
      <c r="AC1183" s="153">
        <v>12</v>
      </c>
      <c r="AF1183" s="153" t="str">
        <f ca="1" t="shared" si="202"/>
        <v>20140011|</v>
      </c>
      <c r="AJ1183" s="205" t="str">
        <f ca="1" t="shared" si="200"/>
        <v>400023|2200|;</v>
      </c>
      <c r="AK1183" s="205">
        <f ca="1">OFFSET([1]item_type!$A$1,MATCH(Q1183,[1]item_type!$G:$G,0)-1,0)</f>
        <v>302014</v>
      </c>
      <c r="AL1183" s="205"/>
      <c r="AM1183" s="205">
        <f ca="1">IF(B1183=B1184,OFFSET(卡牌辅助配置表!$AE$1,MATCH(AB1183,卡牌辅助配置表!AB:AB,0),0),0)</f>
        <v>2200</v>
      </c>
      <c r="AN1183" s="153">
        <f ca="1" t="shared" si="201"/>
        <v>2014004</v>
      </c>
      <c r="AP1183" s="153">
        <f ca="1">IF(AC1183=0,0,IF(AC1183=12,0,OFFSET(effect!$N$1,MATCH(K1183,effect!M:M,0)-1,0)))</f>
        <v>0</v>
      </c>
    </row>
    <row r="1184" spans="1:42">
      <c r="A1184" s="153">
        <f ca="1" t="shared" si="197"/>
        <v>2014004</v>
      </c>
      <c r="B1184" s="91" t="s">
        <v>357</v>
      </c>
      <c r="C1184" s="186">
        <v>2</v>
      </c>
      <c r="D1184" s="186">
        <v>5</v>
      </c>
      <c r="E1184" s="165" t="s">
        <v>1058</v>
      </c>
      <c r="F1184" s="179" t="s">
        <v>1062</v>
      </c>
      <c r="G1184" s="186">
        <f ca="1">OFFSET(卡牌辅助配置表!$C$1,MATCH(AC1184,卡牌辅助配置表!A:A,0)-1,0)</f>
        <v>0</v>
      </c>
      <c r="H1184" s="186" t="e">
        <f ca="1">OFFSET(skill!$Q$1,MATCH(B1184,skill!B:B,0)-1,0)</f>
        <v>#VALUE!</v>
      </c>
      <c r="I1184" s="186"/>
      <c r="J1184" s="186">
        <f ca="1">OFFSET(card_type!$F$1,MATCH(Q1184,card_type!A:A,0)-1,0)</f>
        <v>2</v>
      </c>
      <c r="K1184" s="243">
        <f ca="1">OFFSET(card_type!$G$1,MATCH(Q1184,card_type!A:A,0)-1,0)</f>
        <v>3</v>
      </c>
      <c r="L1184" s="157">
        <v>2</v>
      </c>
      <c r="M1184" s="157">
        <v>2</v>
      </c>
      <c r="N1184" s="153">
        <f t="shared" si="195"/>
        <v>4</v>
      </c>
      <c r="O1184" s="157"/>
      <c r="P1184" s="157"/>
      <c r="Q1184" s="153">
        <f ca="1">OFFSET(card_type!$A$1,MATCH(card!B1184,card_type!B:B,0)-1,0)</f>
        <v>2014</v>
      </c>
      <c r="R1184" s="153">
        <v>1</v>
      </c>
      <c r="S1184" s="157">
        <f ca="1">ROUND(IF(R1184=0,0,IF(R1184=1,X1184*$S$1,IF(R1184=2,X1184*$S$1*buff的资质计算!$E$2,IF(R1184=3,X1184*$S$1*buff的资质计算!$E$3,0)))),0)*0</f>
        <v>0</v>
      </c>
      <c r="T1184" s="153">
        <v>4</v>
      </c>
      <c r="U1184" s="153">
        <f ca="1" t="shared" si="198"/>
        <v>23</v>
      </c>
      <c r="V1184" s="153">
        <f ca="1">ROUND((OFFSET(卡牌辅助配置表!$O$1,MATCH(U1184,卡牌辅助配置表!M:M,0)-1,0)+(N1184-1)*OFFSET(卡牌辅助配置表!$P$1,MATCH(U1184,卡牌辅助配置表!M:M,0)-1,0))*M1184,2)</f>
        <v>40.32</v>
      </c>
      <c r="W1184" s="157">
        <f ca="1">ROUND(IF(R1184=0,0,IF(R1184=1,X1184*$W$1,IF(R1184=2,X1184*$W$1*buff的资质计算!$E$2,IF(R1184=3,X1184*$W$1*buff的资质计算!$E$3,0)))),2)</f>
        <v>11.25</v>
      </c>
      <c r="X1184" s="157">
        <f ca="1" t="shared" si="193"/>
        <v>37.5</v>
      </c>
      <c r="Y1184" s="157" t="e">
        <f ca="1" t="shared" si="203"/>
        <v>#VALUE!</v>
      </c>
      <c r="Z1184" s="304" t="e">
        <f ca="1" t="shared" si="194"/>
        <v>#VALUE!</v>
      </c>
      <c r="AA1184" s="304">
        <f ca="1">OFFSET(卡牌辅助配置表!$AD$1,MATCH(AB1184,卡牌辅助配置表!AB:AB,0)-1,0)</f>
        <v>844</v>
      </c>
      <c r="AB1184" s="304">
        <f ca="1" t="shared" si="199"/>
        <v>2304</v>
      </c>
      <c r="AC1184" s="153">
        <v>12</v>
      </c>
      <c r="AF1184" s="153" t="str">
        <f ca="1" t="shared" si="202"/>
        <v>20140011|</v>
      </c>
      <c r="AJ1184" s="205" t="str">
        <f ca="1" t="shared" si="200"/>
        <v>400023|2600|;</v>
      </c>
      <c r="AK1184" s="205">
        <f ca="1">OFFSET([1]item_type!$A$1,MATCH(Q1184,[1]item_type!$G:$G,0)-1,0)</f>
        <v>302014</v>
      </c>
      <c r="AL1184" s="205"/>
      <c r="AM1184" s="205">
        <f ca="1">IF(B1184=B1185,OFFSET(卡牌辅助配置表!$AE$1,MATCH(AB1184,卡牌辅助配置表!AB:AB,0),0),0)</f>
        <v>2600</v>
      </c>
      <c r="AN1184" s="153">
        <f ca="1" t="shared" si="201"/>
        <v>2014005</v>
      </c>
      <c r="AP1184" s="153">
        <f ca="1">IF(AC1184=0,0,IF(AC1184=12,0,OFFSET(effect!$N$1,MATCH(K1184,effect!M:M,0)-1,0)))</f>
        <v>0</v>
      </c>
    </row>
    <row r="1185" spans="1:42">
      <c r="A1185" s="153">
        <f ca="1" t="shared" si="197"/>
        <v>2014005</v>
      </c>
      <c r="B1185" s="91" t="s">
        <v>357</v>
      </c>
      <c r="C1185" s="186">
        <v>2</v>
      </c>
      <c r="D1185" s="186">
        <v>5</v>
      </c>
      <c r="E1185" s="165" t="s">
        <v>1058</v>
      </c>
      <c r="F1185" s="179" t="s">
        <v>1062</v>
      </c>
      <c r="G1185" s="186">
        <f ca="1">OFFSET(卡牌辅助配置表!$C$1,MATCH(AC1185,卡牌辅助配置表!A:A,0)-1,0)</f>
        <v>0</v>
      </c>
      <c r="H1185" s="186" t="e">
        <f ca="1">OFFSET(skill!$Q$1,MATCH(B1185,skill!B:B,0)-1,0)</f>
        <v>#VALUE!</v>
      </c>
      <c r="I1185" s="186"/>
      <c r="J1185" s="186">
        <f ca="1">OFFSET(card_type!$F$1,MATCH(Q1185,card_type!A:A,0)-1,0)</f>
        <v>2</v>
      </c>
      <c r="K1185" s="243">
        <f ca="1">OFFSET(card_type!$G$1,MATCH(Q1185,card_type!A:A,0)-1,0)</f>
        <v>3</v>
      </c>
      <c r="L1185" s="157">
        <v>2</v>
      </c>
      <c r="M1185" s="157">
        <v>2</v>
      </c>
      <c r="N1185" s="153">
        <f t="shared" si="195"/>
        <v>5</v>
      </c>
      <c r="O1185" s="157"/>
      <c r="P1185" s="157"/>
      <c r="Q1185" s="153">
        <f ca="1">OFFSET(card_type!$A$1,MATCH(card!B1185,card_type!B:B,0)-1,0)</f>
        <v>2014</v>
      </c>
      <c r="R1185" s="153">
        <v>1</v>
      </c>
      <c r="S1185" s="157">
        <f ca="1">ROUND(IF(R1185=0,0,IF(R1185=1,X1185*$S$1,IF(R1185=2,X1185*$S$1*buff的资质计算!$E$2,IF(R1185=3,X1185*$S$1*buff的资质计算!$E$3,0)))),0)*0</f>
        <v>0</v>
      </c>
      <c r="T1185" s="153">
        <v>4</v>
      </c>
      <c r="U1185" s="153">
        <f ca="1" t="shared" si="198"/>
        <v>23</v>
      </c>
      <c r="V1185" s="153">
        <f ca="1">ROUND((OFFSET(卡牌辅助配置表!$O$1,MATCH(U1185,卡牌辅助配置表!M:M,0)-1,0)+(N1185-1)*OFFSET(卡牌辅助配置表!$P$1,MATCH(U1185,卡牌辅助配置表!M:M,0)-1,0))*M1185,2)</f>
        <v>42.56</v>
      </c>
      <c r="W1185" s="157">
        <f ca="1">ROUND(IF(R1185=0,0,IF(R1185=1,X1185*$W$1,IF(R1185=2,X1185*$W$1*buff的资质计算!$E$2,IF(R1185=3,X1185*$W$1*buff的资质计算!$E$3,0)))),2)</f>
        <v>11.4</v>
      </c>
      <c r="X1185" s="157">
        <f ca="1" t="shared" si="193"/>
        <v>38</v>
      </c>
      <c r="Y1185" s="157" t="e">
        <f ca="1" t="shared" si="203"/>
        <v>#VALUE!</v>
      </c>
      <c r="Z1185" s="304" t="e">
        <f ca="1" t="shared" si="194"/>
        <v>#VALUE!</v>
      </c>
      <c r="AA1185" s="304">
        <f ca="1">OFFSET(卡牌辅助配置表!$AD$1,MATCH(AB1185,卡牌辅助配置表!AB:AB,0)-1,0)</f>
        <v>1055</v>
      </c>
      <c r="AB1185" s="304">
        <f ca="1" t="shared" si="199"/>
        <v>2305</v>
      </c>
      <c r="AC1185" s="153">
        <v>12</v>
      </c>
      <c r="AF1185" s="153" t="str">
        <f ca="1" t="shared" si="202"/>
        <v>20140011|</v>
      </c>
      <c r="AJ1185" s="205" t="str">
        <f ca="1" t="shared" si="200"/>
        <v>400023|3000|;</v>
      </c>
      <c r="AK1185" s="205">
        <f ca="1">OFFSET([1]item_type!$A$1,MATCH(Q1185,[1]item_type!$G:$G,0)-1,0)</f>
        <v>302014</v>
      </c>
      <c r="AL1185" s="205"/>
      <c r="AM1185" s="205">
        <f ca="1">IF(B1185=B1186,OFFSET(卡牌辅助配置表!$AE$1,MATCH(AB1185,卡牌辅助配置表!AB:AB,0),0),0)</f>
        <v>3000</v>
      </c>
      <c r="AN1185" s="153">
        <f ca="1" t="shared" si="201"/>
        <v>2014006</v>
      </c>
      <c r="AP1185" s="153">
        <f ca="1">IF(AC1185=0,0,IF(AC1185=12,0,OFFSET(effect!$N$1,MATCH(K1185,effect!M:M,0)-1,0)))</f>
        <v>0</v>
      </c>
    </row>
    <row r="1186" spans="1:42">
      <c r="A1186" s="153">
        <f ca="1" t="shared" si="197"/>
        <v>2014006</v>
      </c>
      <c r="B1186" s="91" t="s">
        <v>357</v>
      </c>
      <c r="C1186" s="186">
        <v>2</v>
      </c>
      <c r="D1186" s="186">
        <v>5</v>
      </c>
      <c r="E1186" s="165" t="s">
        <v>1058</v>
      </c>
      <c r="F1186" s="179" t="s">
        <v>1062</v>
      </c>
      <c r="G1186" s="186">
        <f ca="1">OFFSET(卡牌辅助配置表!$C$1,MATCH(AC1186,卡牌辅助配置表!A:A,0)-1,0)</f>
        <v>0</v>
      </c>
      <c r="H1186" s="186" t="e">
        <f ca="1">OFFSET(skill!$Q$1,MATCH(B1186,skill!B:B,0)-1,0)</f>
        <v>#VALUE!</v>
      </c>
      <c r="I1186" s="186"/>
      <c r="J1186" s="186">
        <f ca="1">OFFSET(card_type!$F$1,MATCH(Q1186,card_type!A:A,0)-1,0)</f>
        <v>2</v>
      </c>
      <c r="K1186" s="243">
        <f ca="1">OFFSET(card_type!$G$1,MATCH(Q1186,card_type!A:A,0)-1,0)</f>
        <v>3</v>
      </c>
      <c r="L1186" s="157">
        <v>2</v>
      </c>
      <c r="M1186" s="157">
        <v>2</v>
      </c>
      <c r="N1186" s="153">
        <f t="shared" si="195"/>
        <v>6</v>
      </c>
      <c r="O1186" s="157"/>
      <c r="P1186" s="157"/>
      <c r="Q1186" s="153">
        <f ca="1">OFFSET(card_type!$A$1,MATCH(card!B1186,card_type!B:B,0)-1,0)</f>
        <v>2014</v>
      </c>
      <c r="R1186" s="153">
        <v>1</v>
      </c>
      <c r="S1186" s="157">
        <f ca="1">ROUND(IF(R1186=0,0,IF(R1186=1,X1186*$S$1,IF(R1186=2,X1186*$S$1*buff的资质计算!$E$2,IF(R1186=3,X1186*$S$1*buff的资质计算!$E$3,0)))),0)*0</f>
        <v>0</v>
      </c>
      <c r="T1186" s="153">
        <v>4</v>
      </c>
      <c r="U1186" s="153">
        <f ca="1" t="shared" si="198"/>
        <v>23</v>
      </c>
      <c r="V1186" s="153">
        <f ca="1">ROUND((OFFSET(卡牌辅助配置表!$O$1,MATCH(U1186,卡牌辅助配置表!M:M,0)-1,0)+(N1186-1)*OFFSET(卡牌辅助配置表!$P$1,MATCH(U1186,卡牌辅助配置表!M:M,0)-1,0))*M1186,2)</f>
        <v>44.8</v>
      </c>
      <c r="W1186" s="157">
        <f ca="1">ROUND(IF(R1186=0,0,IF(R1186=1,X1186*$W$1,IF(R1186=2,X1186*$W$1*buff的资质计算!$E$2,IF(R1186=3,X1186*$W$1*buff的资质计算!$E$3,0)))),2)</f>
        <v>11.55</v>
      </c>
      <c r="X1186" s="157">
        <f ca="1" t="shared" si="193"/>
        <v>38.5</v>
      </c>
      <c r="Y1186" s="157" t="e">
        <f ca="1" t="shared" si="203"/>
        <v>#VALUE!</v>
      </c>
      <c r="Z1186" s="304" t="e">
        <f ca="1" t="shared" si="194"/>
        <v>#VALUE!</v>
      </c>
      <c r="AA1186" s="304">
        <f ca="1">OFFSET(卡牌辅助配置表!$AD$1,MATCH(AB1186,卡牌辅助配置表!AB:AB,0)-1,0)</f>
        <v>1266</v>
      </c>
      <c r="AB1186" s="304">
        <f ca="1" t="shared" si="199"/>
        <v>2306</v>
      </c>
      <c r="AC1186" s="153">
        <v>12</v>
      </c>
      <c r="AF1186" s="153" t="str">
        <f ca="1" t="shared" si="202"/>
        <v>20140011|</v>
      </c>
      <c r="AJ1186" s="205" t="str">
        <f ca="1" t="shared" si="200"/>
        <v>400023|3400|;</v>
      </c>
      <c r="AK1186" s="205">
        <f ca="1">OFFSET([1]item_type!$A$1,MATCH(Q1186,[1]item_type!$G:$G,0)-1,0)</f>
        <v>302014</v>
      </c>
      <c r="AL1186" s="205"/>
      <c r="AM1186" s="205">
        <f ca="1">IF(B1186=B1187,OFFSET(卡牌辅助配置表!$AE$1,MATCH(AB1186,卡牌辅助配置表!AB:AB,0),0),0)</f>
        <v>3400</v>
      </c>
      <c r="AN1186" s="153">
        <f ca="1" t="shared" si="201"/>
        <v>2014007</v>
      </c>
      <c r="AP1186" s="153">
        <f ca="1">IF(AC1186=0,0,IF(AC1186=12,0,OFFSET(effect!$N$1,MATCH(K1186,effect!M:M,0)-1,0)))</f>
        <v>0</v>
      </c>
    </row>
    <row r="1187" spans="1:42">
      <c r="A1187" s="153">
        <f ca="1" t="shared" si="197"/>
        <v>2014007</v>
      </c>
      <c r="B1187" s="91" t="s">
        <v>357</v>
      </c>
      <c r="C1187" s="186">
        <v>2</v>
      </c>
      <c r="D1187" s="186">
        <v>5</v>
      </c>
      <c r="E1187" s="165" t="s">
        <v>1058</v>
      </c>
      <c r="F1187" s="179" t="s">
        <v>1062</v>
      </c>
      <c r="G1187" s="186">
        <f ca="1">OFFSET(卡牌辅助配置表!$C$1,MATCH(AC1187,卡牌辅助配置表!A:A,0)-1,0)</f>
        <v>0</v>
      </c>
      <c r="H1187" s="186" t="e">
        <f ca="1">OFFSET(skill!$Q$1,MATCH(B1187,skill!B:B,0)-1,0)</f>
        <v>#VALUE!</v>
      </c>
      <c r="I1187" s="186"/>
      <c r="J1187" s="186">
        <f ca="1">OFFSET(card_type!$F$1,MATCH(Q1187,card_type!A:A,0)-1,0)</f>
        <v>2</v>
      </c>
      <c r="K1187" s="243">
        <f ca="1">OFFSET(card_type!$G$1,MATCH(Q1187,card_type!A:A,0)-1,0)</f>
        <v>3</v>
      </c>
      <c r="L1187" s="157">
        <v>2</v>
      </c>
      <c r="M1187" s="157">
        <v>2</v>
      </c>
      <c r="N1187" s="153">
        <f t="shared" si="195"/>
        <v>7</v>
      </c>
      <c r="O1187" s="157"/>
      <c r="P1187" s="157"/>
      <c r="Q1187" s="153">
        <f ca="1">OFFSET(card_type!$A$1,MATCH(card!B1187,card_type!B:B,0)-1,0)</f>
        <v>2014</v>
      </c>
      <c r="R1187" s="153">
        <v>1</v>
      </c>
      <c r="S1187" s="157">
        <f ca="1">ROUND(IF(R1187=0,0,IF(R1187=1,X1187*$S$1,IF(R1187=2,X1187*$S$1*buff的资质计算!$E$2,IF(R1187=3,X1187*$S$1*buff的资质计算!$E$3,0)))),0)*0</f>
        <v>0</v>
      </c>
      <c r="T1187" s="153">
        <v>4</v>
      </c>
      <c r="U1187" s="153">
        <f ca="1" t="shared" si="198"/>
        <v>23</v>
      </c>
      <c r="V1187" s="153">
        <f ca="1">ROUND((OFFSET(卡牌辅助配置表!$O$1,MATCH(U1187,卡牌辅助配置表!M:M,0)-1,0)+(N1187-1)*OFFSET(卡牌辅助配置表!$P$1,MATCH(U1187,卡牌辅助配置表!M:M,0)-1,0))*M1187,2)</f>
        <v>47.04</v>
      </c>
      <c r="W1187" s="157">
        <f ca="1">ROUND(IF(R1187=0,0,IF(R1187=1,X1187*$W$1,IF(R1187=2,X1187*$W$1*buff的资质计算!$E$2,IF(R1187=3,X1187*$W$1*buff的资质计算!$E$3,0)))),2)</f>
        <v>11.7</v>
      </c>
      <c r="X1187" s="157">
        <f ca="1" t="shared" si="193"/>
        <v>39</v>
      </c>
      <c r="Y1187" s="157" t="e">
        <f ca="1" t="shared" si="203"/>
        <v>#VALUE!</v>
      </c>
      <c r="Z1187" s="304" t="e">
        <f ca="1" t="shared" si="194"/>
        <v>#VALUE!</v>
      </c>
      <c r="AA1187" s="304">
        <f ca="1">OFFSET(卡牌辅助配置表!$AD$1,MATCH(AB1187,卡牌辅助配置表!AB:AB,0)-1,0)</f>
        <v>1477</v>
      </c>
      <c r="AB1187" s="304">
        <f ca="1" t="shared" si="199"/>
        <v>2307</v>
      </c>
      <c r="AC1187" s="153">
        <v>12</v>
      </c>
      <c r="AF1187" s="153" t="str">
        <f ca="1" t="shared" si="202"/>
        <v>20140011|</v>
      </c>
      <c r="AJ1187" s="205" t="str">
        <f ca="1" t="shared" si="200"/>
        <v>400023|3800|;</v>
      </c>
      <c r="AK1187" s="205">
        <f ca="1">OFFSET([1]item_type!$A$1,MATCH(Q1187,[1]item_type!$G:$G,0)-1,0)</f>
        <v>302014</v>
      </c>
      <c r="AL1187" s="205"/>
      <c r="AM1187" s="205">
        <f ca="1">IF(B1187=B1188,OFFSET(卡牌辅助配置表!$AE$1,MATCH(AB1187,卡牌辅助配置表!AB:AB,0),0),0)</f>
        <v>3800</v>
      </c>
      <c r="AN1187" s="153">
        <f ca="1" t="shared" si="201"/>
        <v>2014008</v>
      </c>
      <c r="AP1187" s="153">
        <f ca="1">IF(AC1187=0,0,IF(AC1187=12,0,OFFSET(effect!$N$1,MATCH(K1187,effect!M:M,0)-1,0)))</f>
        <v>0</v>
      </c>
    </row>
    <row r="1188" spans="1:42">
      <c r="A1188" s="153">
        <f ca="1" t="shared" si="197"/>
        <v>2014008</v>
      </c>
      <c r="B1188" s="91" t="s">
        <v>357</v>
      </c>
      <c r="C1188" s="186">
        <v>2</v>
      </c>
      <c r="D1188" s="186">
        <v>5</v>
      </c>
      <c r="E1188" s="165" t="s">
        <v>1058</v>
      </c>
      <c r="F1188" s="179" t="s">
        <v>1062</v>
      </c>
      <c r="G1188" s="186">
        <f ca="1">OFFSET(卡牌辅助配置表!$C$1,MATCH(AC1188,卡牌辅助配置表!A:A,0)-1,0)</f>
        <v>0</v>
      </c>
      <c r="H1188" s="186" t="e">
        <f ca="1">OFFSET(skill!$Q$1,MATCH(B1188,skill!B:B,0)-1,0)</f>
        <v>#VALUE!</v>
      </c>
      <c r="I1188" s="186"/>
      <c r="J1188" s="186">
        <f ca="1">OFFSET(card_type!$F$1,MATCH(Q1188,card_type!A:A,0)-1,0)</f>
        <v>2</v>
      </c>
      <c r="K1188" s="243">
        <f ca="1">OFFSET(card_type!$G$1,MATCH(Q1188,card_type!A:A,0)-1,0)</f>
        <v>3</v>
      </c>
      <c r="L1188" s="157">
        <v>2</v>
      </c>
      <c r="M1188" s="157">
        <v>2</v>
      </c>
      <c r="N1188" s="153">
        <f t="shared" si="195"/>
        <v>8</v>
      </c>
      <c r="O1188" s="157"/>
      <c r="P1188" s="157"/>
      <c r="Q1188" s="153">
        <f ca="1">OFFSET(card_type!$A$1,MATCH(card!B1188,card_type!B:B,0)-1,0)</f>
        <v>2014</v>
      </c>
      <c r="R1188" s="153">
        <v>1</v>
      </c>
      <c r="S1188" s="157">
        <f ca="1">ROUND(IF(R1188=0,0,IF(R1188=1,X1188*$S$1,IF(R1188=2,X1188*$S$1*buff的资质计算!$E$2,IF(R1188=3,X1188*$S$1*buff的资质计算!$E$3,0)))),0)*0</f>
        <v>0</v>
      </c>
      <c r="T1188" s="153">
        <v>4</v>
      </c>
      <c r="U1188" s="153">
        <f ca="1" t="shared" si="198"/>
        <v>23</v>
      </c>
      <c r="V1188" s="153">
        <f ca="1">ROUND((OFFSET(卡牌辅助配置表!$O$1,MATCH(U1188,卡牌辅助配置表!M:M,0)-1,0)+(N1188-1)*OFFSET(卡牌辅助配置表!$P$1,MATCH(U1188,卡牌辅助配置表!M:M,0)-1,0))*M1188,2)</f>
        <v>49.28</v>
      </c>
      <c r="W1188" s="157">
        <f ca="1">ROUND(IF(R1188=0,0,IF(R1188=1,X1188*$W$1,IF(R1188=2,X1188*$W$1*buff的资质计算!$E$2,IF(R1188=3,X1188*$W$1*buff的资质计算!$E$3,0)))),2)</f>
        <v>11.85</v>
      </c>
      <c r="X1188" s="157">
        <f ca="1" t="shared" si="193"/>
        <v>39.5</v>
      </c>
      <c r="Y1188" s="157" t="e">
        <f ca="1" t="shared" si="203"/>
        <v>#VALUE!</v>
      </c>
      <c r="Z1188" s="304" t="e">
        <f ca="1" t="shared" si="194"/>
        <v>#VALUE!</v>
      </c>
      <c r="AA1188" s="304">
        <f ca="1">OFFSET(卡牌辅助配置表!$AD$1,MATCH(AB1188,卡牌辅助配置表!AB:AB,0)-1,0)</f>
        <v>1688</v>
      </c>
      <c r="AB1188" s="304">
        <f ca="1" t="shared" si="199"/>
        <v>2308</v>
      </c>
      <c r="AC1188" s="153">
        <v>12</v>
      </c>
      <c r="AF1188" s="153" t="str">
        <f ca="1" t="shared" si="202"/>
        <v>20140011|</v>
      </c>
      <c r="AJ1188" s="205" t="str">
        <f ca="1" t="shared" si="200"/>
        <v>400023|4200|;</v>
      </c>
      <c r="AK1188" s="205">
        <f ca="1">OFFSET([1]item_type!$A$1,MATCH(Q1188,[1]item_type!$G:$G,0)-1,0)</f>
        <v>302014</v>
      </c>
      <c r="AL1188" s="205"/>
      <c r="AM1188" s="205">
        <f ca="1">IF(B1188=B1189,OFFSET(卡牌辅助配置表!$AE$1,MATCH(AB1188,卡牌辅助配置表!AB:AB,0),0),0)</f>
        <v>4200</v>
      </c>
      <c r="AN1188" s="153">
        <f ca="1" t="shared" si="201"/>
        <v>2014009</v>
      </c>
      <c r="AP1188" s="153">
        <f ca="1">IF(AC1188=0,0,IF(AC1188=12,0,OFFSET(effect!$N$1,MATCH(K1188,effect!M:M,0)-1,0)))</f>
        <v>0</v>
      </c>
    </row>
    <row r="1189" spans="1:42">
      <c r="A1189" s="153">
        <f ca="1" t="shared" si="197"/>
        <v>2014009</v>
      </c>
      <c r="B1189" s="91" t="s">
        <v>357</v>
      </c>
      <c r="C1189" s="186">
        <v>2</v>
      </c>
      <c r="D1189" s="186">
        <v>5</v>
      </c>
      <c r="E1189" s="165" t="s">
        <v>1058</v>
      </c>
      <c r="F1189" s="179" t="s">
        <v>1062</v>
      </c>
      <c r="G1189" s="186">
        <f ca="1">OFFSET(卡牌辅助配置表!$C$1,MATCH(AC1189,卡牌辅助配置表!A:A,0)-1,0)</f>
        <v>0</v>
      </c>
      <c r="H1189" s="186" t="e">
        <f ca="1">OFFSET(skill!$Q$1,MATCH(B1189,skill!B:B,0)-1,0)</f>
        <v>#VALUE!</v>
      </c>
      <c r="I1189" s="186"/>
      <c r="J1189" s="186">
        <f ca="1">OFFSET(card_type!$F$1,MATCH(Q1189,card_type!A:A,0)-1,0)</f>
        <v>2</v>
      </c>
      <c r="K1189" s="243">
        <f ca="1">OFFSET(card_type!$G$1,MATCH(Q1189,card_type!A:A,0)-1,0)</f>
        <v>3</v>
      </c>
      <c r="L1189" s="157">
        <v>2</v>
      </c>
      <c r="M1189" s="157">
        <v>2</v>
      </c>
      <c r="N1189" s="153">
        <f t="shared" si="195"/>
        <v>9</v>
      </c>
      <c r="O1189" s="157"/>
      <c r="P1189" s="157"/>
      <c r="Q1189" s="153">
        <f ca="1">OFFSET(card_type!$A$1,MATCH(card!B1189,card_type!B:B,0)-1,0)</f>
        <v>2014</v>
      </c>
      <c r="R1189" s="153">
        <v>1</v>
      </c>
      <c r="S1189" s="157">
        <f ca="1">ROUND(IF(R1189=0,0,IF(R1189=1,X1189*$S$1,IF(R1189=2,X1189*$S$1*buff的资质计算!$E$2,IF(R1189=3,X1189*$S$1*buff的资质计算!$E$3,0)))),0)*0</f>
        <v>0</v>
      </c>
      <c r="T1189" s="153">
        <v>4</v>
      </c>
      <c r="U1189" s="153">
        <f ca="1" t="shared" si="198"/>
        <v>23</v>
      </c>
      <c r="V1189" s="153">
        <f ca="1">ROUND((OFFSET(卡牌辅助配置表!$O$1,MATCH(U1189,卡牌辅助配置表!M:M,0)-1,0)+(N1189-1)*OFFSET(卡牌辅助配置表!$P$1,MATCH(U1189,卡牌辅助配置表!M:M,0)-1,0))*M1189,2)</f>
        <v>51.52</v>
      </c>
      <c r="W1189" s="157">
        <f ca="1">ROUND(IF(R1189=0,0,IF(R1189=1,X1189*$W$1,IF(R1189=2,X1189*$W$1*buff的资质计算!$E$2,IF(R1189=3,X1189*$W$1*buff的资质计算!$E$3,0)))),2)</f>
        <v>12</v>
      </c>
      <c r="X1189" s="157">
        <f ca="1" t="shared" si="193"/>
        <v>40</v>
      </c>
      <c r="Y1189" s="157" t="e">
        <f ca="1" t="shared" si="203"/>
        <v>#VALUE!</v>
      </c>
      <c r="Z1189" s="304" t="e">
        <f ca="1" t="shared" si="194"/>
        <v>#VALUE!</v>
      </c>
      <c r="AA1189" s="304">
        <f ca="1">OFFSET(卡牌辅助配置表!$AD$1,MATCH(AB1189,卡牌辅助配置表!AB:AB,0)-1,0)</f>
        <v>1899</v>
      </c>
      <c r="AB1189" s="304">
        <f ca="1" t="shared" si="199"/>
        <v>2309</v>
      </c>
      <c r="AC1189" s="153">
        <v>12</v>
      </c>
      <c r="AF1189" s="153" t="str">
        <f ca="1" t="shared" si="202"/>
        <v>20140011|</v>
      </c>
      <c r="AJ1189" s="205" t="str">
        <f ca="1" t="shared" si="200"/>
        <v>302014|15|;400023|4600|;</v>
      </c>
      <c r="AK1189" s="205">
        <f ca="1">OFFSET([1]item_type!$A$1,MATCH(Q1189,[1]item_type!$G:$G,0)-1,0)</f>
        <v>302014</v>
      </c>
      <c r="AL1189" s="205">
        <v>15</v>
      </c>
      <c r="AM1189" s="205">
        <f ca="1">IF(B1189=B1190,OFFSET(卡牌辅助配置表!$AE$1,MATCH(AB1189,卡牌辅助配置表!AB:AB,0),0),0)</f>
        <v>4600</v>
      </c>
      <c r="AN1189" s="153">
        <f ca="1" t="shared" si="201"/>
        <v>2014010</v>
      </c>
      <c r="AP1189" s="153">
        <f ca="1">IF(AC1189=0,0,IF(AC1189=12,0,OFFSET(effect!$N$1,MATCH(K1189,effect!M:M,0)-1,0)))</f>
        <v>0</v>
      </c>
    </row>
    <row r="1190" spans="1:42">
      <c r="A1190" s="153">
        <f ca="1" t="shared" si="197"/>
        <v>2014010</v>
      </c>
      <c r="B1190" s="91" t="s">
        <v>357</v>
      </c>
      <c r="C1190" s="186">
        <v>2</v>
      </c>
      <c r="D1190" s="186">
        <v>5</v>
      </c>
      <c r="E1190" s="165" t="s">
        <v>1058</v>
      </c>
      <c r="F1190" s="179" t="s">
        <v>1062</v>
      </c>
      <c r="G1190" s="186">
        <f ca="1">OFFSET(卡牌辅助配置表!$C$1,MATCH(AC1190,卡牌辅助配置表!A:A,0)-1,0)</f>
        <v>0</v>
      </c>
      <c r="H1190" s="186" t="e">
        <f ca="1">OFFSET(skill!$Q$1,MATCH(B1190,skill!B:B,0)-1,0)</f>
        <v>#VALUE!</v>
      </c>
      <c r="I1190" s="186"/>
      <c r="J1190" s="186">
        <f ca="1">OFFSET(card_type!$F$1,MATCH(Q1190,card_type!A:A,0)-1,0)</f>
        <v>2</v>
      </c>
      <c r="K1190" s="243">
        <f ca="1">OFFSET(card_type!$G$1,MATCH(Q1190,card_type!A:A,0)-1,0)</f>
        <v>3</v>
      </c>
      <c r="L1190" s="157">
        <v>2</v>
      </c>
      <c r="M1190" s="157">
        <v>2</v>
      </c>
      <c r="N1190" s="153">
        <f t="shared" si="195"/>
        <v>10</v>
      </c>
      <c r="O1190" s="157"/>
      <c r="P1190" s="157"/>
      <c r="Q1190" s="153">
        <f ca="1">OFFSET(card_type!$A$1,MATCH(card!B1190,card_type!B:B,0)-1,0)</f>
        <v>2014</v>
      </c>
      <c r="R1190" s="153">
        <v>1</v>
      </c>
      <c r="S1190" s="157">
        <f ca="1">ROUND(IF(R1190=0,0,IF(R1190=1,X1190*$S$1,IF(R1190=2,X1190*$S$1*buff的资质计算!$E$2,IF(R1190=3,X1190*$S$1*buff的资质计算!$E$3,0)))),0)*0</f>
        <v>0</v>
      </c>
      <c r="T1190" s="153">
        <v>4</v>
      </c>
      <c r="U1190" s="153">
        <f ca="1" t="shared" si="198"/>
        <v>23</v>
      </c>
      <c r="V1190" s="153">
        <f ca="1">ROUND((OFFSET(卡牌辅助配置表!$O$1,MATCH(U1190,卡牌辅助配置表!M:M,0)-1,0)+(N1190-1)*OFFSET(卡牌辅助配置表!$P$1,MATCH(U1190,卡牌辅助配置表!M:M,0)-1,0))*M1190,2)</f>
        <v>53.76</v>
      </c>
      <c r="W1190" s="157">
        <f ca="1">ROUND(IF(R1190=0,0,IF(R1190=1,X1190*$W$1,IF(R1190=2,X1190*$W$1*buff的资质计算!$E$2,IF(R1190=3,X1190*$W$1*buff的资质计算!$E$3,0)))),2)</f>
        <v>12.15</v>
      </c>
      <c r="X1190" s="157">
        <f ca="1" t="shared" si="193"/>
        <v>40.5</v>
      </c>
      <c r="Y1190" s="157" t="e">
        <f ca="1" t="shared" si="203"/>
        <v>#VALUE!</v>
      </c>
      <c r="Z1190" s="304" t="e">
        <f ca="1" t="shared" si="194"/>
        <v>#VALUE!</v>
      </c>
      <c r="AA1190" s="304">
        <f ca="1">OFFSET(卡牌辅助配置表!$AD$1,MATCH(AB1190,卡牌辅助配置表!AB:AB,0)-1,0)</f>
        <v>2110</v>
      </c>
      <c r="AB1190" s="304">
        <f ca="1" t="shared" si="199"/>
        <v>2310</v>
      </c>
      <c r="AC1190" s="153">
        <v>12</v>
      </c>
      <c r="AF1190" s="153" t="str">
        <f ca="1" t="shared" si="202"/>
        <v>20140011|</v>
      </c>
      <c r="AJ1190" s="205" t="str">
        <f ca="1" t="shared" si="200"/>
        <v>400023|5400|;</v>
      </c>
      <c r="AK1190" s="205">
        <f ca="1">OFFSET([1]item_type!$A$1,MATCH(Q1190,[1]item_type!$G:$G,0)-1,0)</f>
        <v>302014</v>
      </c>
      <c r="AL1190" s="205"/>
      <c r="AM1190" s="205">
        <f ca="1">IF(B1190=B1191,OFFSET(卡牌辅助配置表!$AE$1,MATCH(AB1190,卡牌辅助配置表!AB:AB,0),0),0)</f>
        <v>5400</v>
      </c>
      <c r="AN1190" s="153">
        <f ca="1" t="shared" si="201"/>
        <v>2014011</v>
      </c>
      <c r="AP1190" s="153">
        <f ca="1">IF(AC1190=0,0,IF(AC1190=12,0,OFFSET(effect!$N$1,MATCH(K1190,effect!M:M,0)-1,0)))</f>
        <v>0</v>
      </c>
    </row>
    <row r="1191" spans="1:42">
      <c r="A1191" s="153">
        <f ca="1" t="shared" si="197"/>
        <v>2014011</v>
      </c>
      <c r="B1191" s="91" t="s">
        <v>357</v>
      </c>
      <c r="C1191" s="186">
        <v>2</v>
      </c>
      <c r="D1191" s="186">
        <v>5</v>
      </c>
      <c r="E1191" s="165" t="s">
        <v>1058</v>
      </c>
      <c r="F1191" s="179" t="s">
        <v>1062</v>
      </c>
      <c r="G1191" s="186">
        <f ca="1">OFFSET(卡牌辅助配置表!$C$1,MATCH(AC1191,卡牌辅助配置表!A:A,0)-1,0)</f>
        <v>0</v>
      </c>
      <c r="H1191" s="186" t="e">
        <f ca="1">OFFSET(skill!$Q$1,MATCH(B1191,skill!B:B,0)-1,0)</f>
        <v>#VALUE!</v>
      </c>
      <c r="I1191" s="186"/>
      <c r="J1191" s="186">
        <f ca="1">OFFSET(card_type!$F$1,MATCH(Q1191,card_type!A:A,0)-1,0)</f>
        <v>2</v>
      </c>
      <c r="K1191" s="243">
        <f ca="1">OFFSET(card_type!$G$1,MATCH(Q1191,card_type!A:A,0)-1,0)</f>
        <v>3</v>
      </c>
      <c r="L1191" s="157">
        <v>2</v>
      </c>
      <c r="M1191" s="157">
        <v>2</v>
      </c>
      <c r="N1191" s="153">
        <f t="shared" si="195"/>
        <v>11</v>
      </c>
      <c r="O1191" s="157"/>
      <c r="P1191" s="157"/>
      <c r="Q1191" s="153">
        <f ca="1">OFFSET(card_type!$A$1,MATCH(card!B1191,card_type!B:B,0)-1,0)</f>
        <v>2014</v>
      </c>
      <c r="R1191" s="153">
        <v>1</v>
      </c>
      <c r="S1191" s="157">
        <f ca="1">ROUND(IF(R1191=0,0,IF(R1191=1,X1191*$S$1,IF(R1191=2,X1191*$S$1*buff的资质计算!$E$2,IF(R1191=3,X1191*$S$1*buff的资质计算!$E$3,0)))),0)*0</f>
        <v>0</v>
      </c>
      <c r="T1191" s="153">
        <v>4</v>
      </c>
      <c r="U1191" s="153">
        <f ca="1" t="shared" si="198"/>
        <v>23</v>
      </c>
      <c r="V1191" s="153">
        <f ca="1">ROUND((OFFSET(卡牌辅助配置表!$O$1,MATCH(U1191,卡牌辅助配置表!M:M,0)-1,0)+(N1191-1)*OFFSET(卡牌辅助配置表!$P$1,MATCH(U1191,卡牌辅助配置表!M:M,0)-1,0))*M1191,2)</f>
        <v>56</v>
      </c>
      <c r="W1191" s="157">
        <f ca="1">ROUND(IF(R1191=0,0,IF(R1191=1,X1191*$W$1,IF(R1191=2,X1191*$W$1*buff的资质计算!$E$2,IF(R1191=3,X1191*$W$1*buff的资质计算!$E$3,0)))),2)</f>
        <v>12.3</v>
      </c>
      <c r="X1191" s="157">
        <f ca="1" t="shared" si="193"/>
        <v>41</v>
      </c>
      <c r="Y1191" s="157" t="e">
        <f ca="1" t="shared" si="203"/>
        <v>#VALUE!</v>
      </c>
      <c r="Z1191" s="304" t="e">
        <f ca="1" t="shared" si="194"/>
        <v>#VALUE!</v>
      </c>
      <c r="AA1191" s="304">
        <f ca="1">OFFSET(卡牌辅助配置表!$AD$1,MATCH(AB1191,卡牌辅助配置表!AB:AB,0)-1,0)</f>
        <v>2427</v>
      </c>
      <c r="AB1191" s="304">
        <f ca="1" t="shared" si="199"/>
        <v>2311</v>
      </c>
      <c r="AC1191" s="153">
        <v>12</v>
      </c>
      <c r="AF1191" s="153" t="str">
        <f ca="1" t="shared" si="202"/>
        <v>20140011|</v>
      </c>
      <c r="AJ1191" s="205" t="str">
        <f ca="1" t="shared" si="200"/>
        <v>400023|6200|;</v>
      </c>
      <c r="AK1191" s="205">
        <f ca="1">OFFSET([1]item_type!$A$1,MATCH(Q1191,[1]item_type!$G:$G,0)-1,0)</f>
        <v>302014</v>
      </c>
      <c r="AL1191" s="205"/>
      <c r="AM1191" s="205">
        <f ca="1">IF(B1191=B1192,OFFSET(卡牌辅助配置表!$AE$1,MATCH(AB1191,卡牌辅助配置表!AB:AB,0),0),0)</f>
        <v>6200</v>
      </c>
      <c r="AN1191" s="153">
        <f ca="1" t="shared" si="201"/>
        <v>2014012</v>
      </c>
      <c r="AP1191" s="153">
        <f ca="1">IF(AC1191=0,0,IF(AC1191=12,0,OFFSET(effect!$N$1,MATCH(K1191,effect!M:M,0)-1,0)))</f>
        <v>0</v>
      </c>
    </row>
    <row r="1192" spans="1:42">
      <c r="A1192" s="153">
        <f ca="1" t="shared" si="197"/>
        <v>2014012</v>
      </c>
      <c r="B1192" s="91" t="s">
        <v>357</v>
      </c>
      <c r="C1192" s="186">
        <v>2</v>
      </c>
      <c r="D1192" s="186">
        <v>5</v>
      </c>
      <c r="E1192" s="165" t="s">
        <v>1058</v>
      </c>
      <c r="F1192" s="179" t="s">
        <v>1062</v>
      </c>
      <c r="G1192" s="186">
        <f ca="1">OFFSET(卡牌辅助配置表!$C$1,MATCH(AC1192,卡牌辅助配置表!A:A,0)-1,0)</f>
        <v>0</v>
      </c>
      <c r="H1192" s="186" t="e">
        <f ca="1">OFFSET(skill!$Q$1,MATCH(B1192,skill!B:B,0)-1,0)</f>
        <v>#VALUE!</v>
      </c>
      <c r="I1192" s="186"/>
      <c r="J1192" s="186">
        <f ca="1">OFFSET(card_type!$F$1,MATCH(Q1192,card_type!A:A,0)-1,0)</f>
        <v>2</v>
      </c>
      <c r="K1192" s="243">
        <f ca="1">OFFSET(card_type!$G$1,MATCH(Q1192,card_type!A:A,0)-1,0)</f>
        <v>3</v>
      </c>
      <c r="L1192" s="157">
        <v>2</v>
      </c>
      <c r="M1192" s="157">
        <v>2</v>
      </c>
      <c r="N1192" s="153">
        <f t="shared" si="195"/>
        <v>12</v>
      </c>
      <c r="O1192" s="157"/>
      <c r="P1192" s="157"/>
      <c r="Q1192" s="153">
        <f ca="1">OFFSET(card_type!$A$1,MATCH(card!B1192,card_type!B:B,0)-1,0)</f>
        <v>2014</v>
      </c>
      <c r="R1192" s="153">
        <v>1</v>
      </c>
      <c r="S1192" s="157">
        <f ca="1">ROUND(IF(R1192=0,0,IF(R1192=1,X1192*$S$1,IF(R1192=2,X1192*$S$1*buff的资质计算!$E$2,IF(R1192=3,X1192*$S$1*buff的资质计算!$E$3,0)))),0)*0</f>
        <v>0</v>
      </c>
      <c r="T1192" s="153">
        <v>4</v>
      </c>
      <c r="U1192" s="153">
        <f ca="1" t="shared" si="198"/>
        <v>23</v>
      </c>
      <c r="V1192" s="153">
        <f ca="1">ROUND((OFFSET(卡牌辅助配置表!$O$1,MATCH(U1192,卡牌辅助配置表!M:M,0)-1,0)+(N1192-1)*OFFSET(卡牌辅助配置表!$P$1,MATCH(U1192,卡牌辅助配置表!M:M,0)-1,0))*M1192,2)</f>
        <v>58.24</v>
      </c>
      <c r="W1192" s="157">
        <f ca="1">ROUND(IF(R1192=0,0,IF(R1192=1,X1192*$W$1,IF(R1192=2,X1192*$W$1*buff的资质计算!$E$2,IF(R1192=3,X1192*$W$1*buff的资质计算!$E$3,0)))),2)</f>
        <v>12.45</v>
      </c>
      <c r="X1192" s="157">
        <f ca="1" t="shared" si="193"/>
        <v>41.5</v>
      </c>
      <c r="Y1192" s="157" t="e">
        <f ca="1" t="shared" si="203"/>
        <v>#VALUE!</v>
      </c>
      <c r="Z1192" s="304" t="e">
        <f ca="1" t="shared" si="194"/>
        <v>#VALUE!</v>
      </c>
      <c r="AA1192" s="304">
        <f ca="1">OFFSET(卡牌辅助配置表!$AD$1,MATCH(AB1192,卡牌辅助配置表!AB:AB,0)-1,0)</f>
        <v>2744</v>
      </c>
      <c r="AB1192" s="304">
        <f ca="1" t="shared" si="199"/>
        <v>2312</v>
      </c>
      <c r="AC1192" s="153">
        <v>12</v>
      </c>
      <c r="AF1192" s="153" t="str">
        <f ca="1" t="shared" si="202"/>
        <v>20140011|</v>
      </c>
      <c r="AJ1192" s="205" t="str">
        <f ca="1" t="shared" si="200"/>
        <v>400023|7000|;</v>
      </c>
      <c r="AK1192" s="205">
        <f ca="1">OFFSET([1]item_type!$A$1,MATCH(Q1192,[1]item_type!$G:$G,0)-1,0)</f>
        <v>302014</v>
      </c>
      <c r="AL1192" s="205"/>
      <c r="AM1192" s="205">
        <f ca="1">IF(B1192=B1193,OFFSET(卡牌辅助配置表!$AE$1,MATCH(AB1192,卡牌辅助配置表!AB:AB,0),0),0)</f>
        <v>7000</v>
      </c>
      <c r="AN1192" s="153">
        <f ca="1" t="shared" si="201"/>
        <v>2014013</v>
      </c>
      <c r="AP1192" s="153">
        <f ca="1">IF(AC1192=0,0,IF(AC1192=12,0,OFFSET(effect!$N$1,MATCH(K1192,effect!M:M,0)-1,0)))</f>
        <v>0</v>
      </c>
    </row>
    <row r="1193" spans="1:42">
      <c r="A1193" s="153">
        <f ca="1" t="shared" si="197"/>
        <v>2014013</v>
      </c>
      <c r="B1193" s="91" t="s">
        <v>357</v>
      </c>
      <c r="C1193" s="186">
        <v>2</v>
      </c>
      <c r="D1193" s="186">
        <v>5</v>
      </c>
      <c r="E1193" s="165" t="s">
        <v>1058</v>
      </c>
      <c r="F1193" s="179" t="s">
        <v>1062</v>
      </c>
      <c r="G1193" s="186">
        <f ca="1">OFFSET(卡牌辅助配置表!$C$1,MATCH(AC1193,卡牌辅助配置表!A:A,0)-1,0)</f>
        <v>0</v>
      </c>
      <c r="H1193" s="186" t="e">
        <f ca="1">OFFSET(skill!$Q$1,MATCH(B1193,skill!B:B,0)-1,0)</f>
        <v>#VALUE!</v>
      </c>
      <c r="I1193" s="186"/>
      <c r="J1193" s="186">
        <f ca="1">OFFSET(card_type!$F$1,MATCH(Q1193,card_type!A:A,0)-1,0)</f>
        <v>2</v>
      </c>
      <c r="K1193" s="243">
        <f ca="1">OFFSET(card_type!$G$1,MATCH(Q1193,card_type!A:A,0)-1,0)</f>
        <v>3</v>
      </c>
      <c r="L1193" s="157">
        <v>2</v>
      </c>
      <c r="M1193" s="157">
        <v>2</v>
      </c>
      <c r="N1193" s="153">
        <f t="shared" si="195"/>
        <v>13</v>
      </c>
      <c r="O1193" s="157"/>
      <c r="P1193" s="157"/>
      <c r="Q1193" s="153">
        <f ca="1">OFFSET(card_type!$A$1,MATCH(card!B1193,card_type!B:B,0)-1,0)</f>
        <v>2014</v>
      </c>
      <c r="R1193" s="153">
        <v>1</v>
      </c>
      <c r="S1193" s="157">
        <f ca="1">ROUND(IF(R1193=0,0,IF(R1193=1,X1193*$S$1,IF(R1193=2,X1193*$S$1*buff的资质计算!$E$2,IF(R1193=3,X1193*$S$1*buff的资质计算!$E$3,0)))),0)*0</f>
        <v>0</v>
      </c>
      <c r="T1193" s="153">
        <v>4</v>
      </c>
      <c r="U1193" s="153">
        <f ca="1" t="shared" si="198"/>
        <v>23</v>
      </c>
      <c r="V1193" s="153">
        <f ca="1">ROUND((OFFSET(卡牌辅助配置表!$O$1,MATCH(U1193,卡牌辅助配置表!M:M,0)-1,0)+(N1193-1)*OFFSET(卡牌辅助配置表!$P$1,MATCH(U1193,卡牌辅助配置表!M:M,0)-1,0))*M1193,2)</f>
        <v>60.48</v>
      </c>
      <c r="W1193" s="157">
        <f ca="1">ROUND(IF(R1193=0,0,IF(R1193=1,X1193*$W$1,IF(R1193=2,X1193*$W$1*buff的资质计算!$E$2,IF(R1193=3,X1193*$W$1*buff的资质计算!$E$3,0)))),2)</f>
        <v>12.6</v>
      </c>
      <c r="X1193" s="157">
        <f ca="1" t="shared" si="193"/>
        <v>42</v>
      </c>
      <c r="Y1193" s="157" t="e">
        <f ca="1" t="shared" si="203"/>
        <v>#VALUE!</v>
      </c>
      <c r="Z1193" s="304" t="e">
        <f ca="1" t="shared" si="194"/>
        <v>#VALUE!</v>
      </c>
      <c r="AA1193" s="304">
        <f ca="1">OFFSET(卡牌辅助配置表!$AD$1,MATCH(AB1193,卡牌辅助配置表!AB:AB,0)-1,0)</f>
        <v>3061</v>
      </c>
      <c r="AB1193" s="304">
        <f ca="1" t="shared" si="199"/>
        <v>2313</v>
      </c>
      <c r="AC1193" s="153">
        <v>12</v>
      </c>
      <c r="AF1193" s="153" t="str">
        <f ca="1" t="shared" si="202"/>
        <v>20140011|</v>
      </c>
      <c r="AJ1193" s="205" t="str">
        <f ca="1" t="shared" si="200"/>
        <v>400023|7800|;</v>
      </c>
      <c r="AK1193" s="205">
        <f ca="1">OFFSET([1]item_type!$A$1,MATCH(Q1193,[1]item_type!$G:$G,0)-1,0)</f>
        <v>302014</v>
      </c>
      <c r="AL1193" s="205"/>
      <c r="AM1193" s="205">
        <f ca="1">IF(B1193=B1194,OFFSET(卡牌辅助配置表!$AE$1,MATCH(AB1193,卡牌辅助配置表!AB:AB,0),0),0)</f>
        <v>7800</v>
      </c>
      <c r="AN1193" s="153">
        <f ca="1" t="shared" si="201"/>
        <v>2014014</v>
      </c>
      <c r="AP1193" s="153">
        <f ca="1">IF(AC1193=0,0,IF(AC1193=12,0,OFFSET(effect!$N$1,MATCH(K1193,effect!M:M,0)-1,0)))</f>
        <v>0</v>
      </c>
    </row>
    <row r="1194" spans="1:42">
      <c r="A1194" s="153">
        <f ca="1" t="shared" si="197"/>
        <v>2014014</v>
      </c>
      <c r="B1194" s="91" t="s">
        <v>357</v>
      </c>
      <c r="C1194" s="186">
        <v>2</v>
      </c>
      <c r="D1194" s="186">
        <v>5</v>
      </c>
      <c r="E1194" s="165" t="s">
        <v>1058</v>
      </c>
      <c r="F1194" s="179" t="s">
        <v>1062</v>
      </c>
      <c r="G1194" s="186">
        <f ca="1">OFFSET(卡牌辅助配置表!$C$1,MATCH(AC1194,卡牌辅助配置表!A:A,0)-1,0)</f>
        <v>0</v>
      </c>
      <c r="H1194" s="186" t="e">
        <f ca="1">OFFSET(skill!$Q$1,MATCH(B1194,skill!B:B,0)-1,0)</f>
        <v>#VALUE!</v>
      </c>
      <c r="I1194" s="186"/>
      <c r="J1194" s="186">
        <f ca="1">OFFSET(card_type!$F$1,MATCH(Q1194,card_type!A:A,0)-1,0)</f>
        <v>2</v>
      </c>
      <c r="K1194" s="243">
        <f ca="1">OFFSET(card_type!$G$1,MATCH(Q1194,card_type!A:A,0)-1,0)</f>
        <v>3</v>
      </c>
      <c r="L1194" s="157">
        <v>2</v>
      </c>
      <c r="M1194" s="157">
        <v>2</v>
      </c>
      <c r="N1194" s="153">
        <f t="shared" si="195"/>
        <v>14</v>
      </c>
      <c r="O1194" s="157"/>
      <c r="P1194" s="157"/>
      <c r="Q1194" s="153">
        <f ca="1">OFFSET(card_type!$A$1,MATCH(card!B1194,card_type!B:B,0)-1,0)</f>
        <v>2014</v>
      </c>
      <c r="R1194" s="153">
        <v>1</v>
      </c>
      <c r="S1194" s="157">
        <f ca="1">ROUND(IF(R1194=0,0,IF(R1194=1,X1194*$S$1,IF(R1194=2,X1194*$S$1*buff的资质计算!$E$2,IF(R1194=3,X1194*$S$1*buff的资质计算!$E$3,0)))),0)*0</f>
        <v>0</v>
      </c>
      <c r="T1194" s="153">
        <v>4</v>
      </c>
      <c r="U1194" s="153">
        <f ca="1" t="shared" si="198"/>
        <v>23</v>
      </c>
      <c r="V1194" s="153">
        <f ca="1">ROUND((OFFSET(卡牌辅助配置表!$O$1,MATCH(U1194,卡牌辅助配置表!M:M,0)-1,0)+(N1194-1)*OFFSET(卡牌辅助配置表!$P$1,MATCH(U1194,卡牌辅助配置表!M:M,0)-1,0))*M1194,2)</f>
        <v>62.72</v>
      </c>
      <c r="W1194" s="157">
        <f ca="1">ROUND(IF(R1194=0,0,IF(R1194=1,X1194*$W$1,IF(R1194=2,X1194*$W$1*buff的资质计算!$E$2,IF(R1194=3,X1194*$W$1*buff的资质计算!$E$3,0)))),2)</f>
        <v>12.75</v>
      </c>
      <c r="X1194" s="157">
        <f ca="1" t="shared" si="193"/>
        <v>42.5</v>
      </c>
      <c r="Y1194" s="157" t="e">
        <f ca="1" t="shared" si="203"/>
        <v>#VALUE!</v>
      </c>
      <c r="Z1194" s="304" t="e">
        <f ca="1" t="shared" si="194"/>
        <v>#VALUE!</v>
      </c>
      <c r="AA1194" s="304">
        <f ca="1">OFFSET(卡牌辅助配置表!$AD$1,MATCH(AB1194,卡牌辅助配置表!AB:AB,0)-1,0)</f>
        <v>3378</v>
      </c>
      <c r="AB1194" s="304">
        <f ca="1" t="shared" si="199"/>
        <v>2314</v>
      </c>
      <c r="AC1194" s="153">
        <v>12</v>
      </c>
      <c r="AF1194" s="153" t="str">
        <f ca="1" t="shared" si="202"/>
        <v>20140011|</v>
      </c>
      <c r="AJ1194" s="205" t="str">
        <f ca="1" t="shared" si="200"/>
        <v>400023|8600|;</v>
      </c>
      <c r="AK1194" s="205">
        <f ca="1">OFFSET([1]item_type!$A$1,MATCH(Q1194,[1]item_type!$G:$G,0)-1,0)</f>
        <v>302014</v>
      </c>
      <c r="AL1194" s="205"/>
      <c r="AM1194" s="205">
        <f ca="1">IF(B1194=B1195,OFFSET(卡牌辅助配置表!$AE$1,MATCH(AB1194,卡牌辅助配置表!AB:AB,0),0),0)</f>
        <v>8600</v>
      </c>
      <c r="AN1194" s="153">
        <f ca="1" t="shared" si="201"/>
        <v>2014015</v>
      </c>
      <c r="AP1194" s="153">
        <f ca="1">IF(AC1194=0,0,IF(AC1194=12,0,OFFSET(effect!$N$1,MATCH(K1194,effect!M:M,0)-1,0)))</f>
        <v>0</v>
      </c>
    </row>
    <row r="1195" spans="1:42">
      <c r="A1195" s="153">
        <f ca="1" t="shared" si="197"/>
        <v>2014015</v>
      </c>
      <c r="B1195" s="91" t="s">
        <v>357</v>
      </c>
      <c r="C1195" s="186">
        <v>2</v>
      </c>
      <c r="D1195" s="186">
        <v>5</v>
      </c>
      <c r="E1195" s="165" t="s">
        <v>1058</v>
      </c>
      <c r="F1195" s="179" t="s">
        <v>1062</v>
      </c>
      <c r="G1195" s="186">
        <f ca="1">OFFSET(卡牌辅助配置表!$C$1,MATCH(AC1195,卡牌辅助配置表!A:A,0)-1,0)</f>
        <v>0</v>
      </c>
      <c r="H1195" s="186" t="e">
        <f ca="1">OFFSET(skill!$Q$1,MATCH(B1195,skill!B:B,0)-1,0)</f>
        <v>#VALUE!</v>
      </c>
      <c r="I1195" s="186"/>
      <c r="J1195" s="186">
        <f ca="1">OFFSET(card_type!$F$1,MATCH(Q1195,card_type!A:A,0)-1,0)</f>
        <v>2</v>
      </c>
      <c r="K1195" s="243">
        <f ca="1">OFFSET(card_type!$G$1,MATCH(Q1195,card_type!A:A,0)-1,0)</f>
        <v>3</v>
      </c>
      <c r="L1195" s="157">
        <v>2</v>
      </c>
      <c r="M1195" s="157">
        <v>2</v>
      </c>
      <c r="N1195" s="153">
        <f t="shared" si="195"/>
        <v>15</v>
      </c>
      <c r="O1195" s="157"/>
      <c r="P1195" s="157"/>
      <c r="Q1195" s="153">
        <f ca="1">OFFSET(card_type!$A$1,MATCH(card!B1195,card_type!B:B,0)-1,0)</f>
        <v>2014</v>
      </c>
      <c r="R1195" s="153">
        <v>1</v>
      </c>
      <c r="S1195" s="157">
        <f ca="1">ROUND(IF(R1195=0,0,IF(R1195=1,X1195*$S$1,IF(R1195=2,X1195*$S$1*buff的资质计算!$E$2,IF(R1195=3,X1195*$S$1*buff的资质计算!$E$3,0)))),0)*0</f>
        <v>0</v>
      </c>
      <c r="T1195" s="153">
        <v>4</v>
      </c>
      <c r="U1195" s="153">
        <f ca="1" t="shared" si="198"/>
        <v>23</v>
      </c>
      <c r="V1195" s="153">
        <f ca="1">ROUND((OFFSET(卡牌辅助配置表!$O$1,MATCH(U1195,卡牌辅助配置表!M:M,0)-1,0)+(N1195-1)*OFFSET(卡牌辅助配置表!$P$1,MATCH(U1195,卡牌辅助配置表!M:M,0)-1,0))*M1195,2)</f>
        <v>64.96</v>
      </c>
      <c r="W1195" s="157">
        <f ca="1">ROUND(IF(R1195=0,0,IF(R1195=1,X1195*$W$1,IF(R1195=2,X1195*$W$1*buff的资质计算!$E$2,IF(R1195=3,X1195*$W$1*buff的资质计算!$E$3,0)))),2)</f>
        <v>12.9</v>
      </c>
      <c r="X1195" s="157">
        <f ca="1" t="shared" si="193"/>
        <v>43</v>
      </c>
      <c r="Y1195" s="157" t="e">
        <f ca="1" t="shared" si="203"/>
        <v>#VALUE!</v>
      </c>
      <c r="Z1195" s="304" t="e">
        <f ca="1" t="shared" si="194"/>
        <v>#VALUE!</v>
      </c>
      <c r="AA1195" s="304">
        <f ca="1">OFFSET(卡牌辅助配置表!$AD$1,MATCH(AB1195,卡牌辅助配置表!AB:AB,0)-1,0)</f>
        <v>3695</v>
      </c>
      <c r="AB1195" s="304">
        <f ca="1" t="shared" si="199"/>
        <v>2315</v>
      </c>
      <c r="AC1195" s="153">
        <v>12</v>
      </c>
      <c r="AF1195" s="153" t="str">
        <f ca="1" t="shared" si="202"/>
        <v>20140011|</v>
      </c>
      <c r="AJ1195" s="205" t="str">
        <f ca="1" t="shared" si="200"/>
        <v>400023|9400|;</v>
      </c>
      <c r="AK1195" s="205">
        <f ca="1">OFFSET([1]item_type!$A$1,MATCH(Q1195,[1]item_type!$G:$G,0)-1,0)</f>
        <v>302014</v>
      </c>
      <c r="AL1195" s="205"/>
      <c r="AM1195" s="205">
        <f ca="1">IF(B1195=B1196,OFFSET(卡牌辅助配置表!$AE$1,MATCH(AB1195,卡牌辅助配置表!AB:AB,0),0),0)</f>
        <v>9400</v>
      </c>
      <c r="AN1195" s="153">
        <f ca="1" t="shared" si="201"/>
        <v>2014016</v>
      </c>
      <c r="AP1195" s="153">
        <f ca="1">IF(AC1195=0,0,IF(AC1195=12,0,OFFSET(effect!$N$1,MATCH(K1195,effect!M:M,0)-1,0)))</f>
        <v>0</v>
      </c>
    </row>
    <row r="1196" spans="1:42">
      <c r="A1196" s="153">
        <f ca="1" t="shared" si="197"/>
        <v>2014016</v>
      </c>
      <c r="B1196" s="91" t="s">
        <v>357</v>
      </c>
      <c r="C1196" s="186">
        <v>2</v>
      </c>
      <c r="D1196" s="186">
        <v>5</v>
      </c>
      <c r="E1196" s="165" t="s">
        <v>1058</v>
      </c>
      <c r="F1196" s="179" t="s">
        <v>1062</v>
      </c>
      <c r="G1196" s="186">
        <f ca="1">OFFSET(卡牌辅助配置表!$C$1,MATCH(AC1196,卡牌辅助配置表!A:A,0)-1,0)</f>
        <v>0</v>
      </c>
      <c r="H1196" s="186" t="e">
        <f ca="1">OFFSET(skill!$Q$1,MATCH(B1196,skill!B:B,0)-1,0)</f>
        <v>#VALUE!</v>
      </c>
      <c r="I1196" s="186"/>
      <c r="J1196" s="186">
        <f ca="1">OFFSET(card_type!$F$1,MATCH(Q1196,card_type!A:A,0)-1,0)</f>
        <v>2</v>
      </c>
      <c r="K1196" s="243">
        <f ca="1">OFFSET(card_type!$G$1,MATCH(Q1196,card_type!A:A,0)-1,0)</f>
        <v>3</v>
      </c>
      <c r="L1196" s="157">
        <v>2</v>
      </c>
      <c r="M1196" s="157">
        <v>2</v>
      </c>
      <c r="N1196" s="153">
        <f t="shared" si="195"/>
        <v>16</v>
      </c>
      <c r="O1196" s="157"/>
      <c r="P1196" s="157"/>
      <c r="Q1196" s="153">
        <f ca="1">OFFSET(card_type!$A$1,MATCH(card!B1196,card_type!B:B,0)-1,0)</f>
        <v>2014</v>
      </c>
      <c r="R1196" s="153">
        <v>1</v>
      </c>
      <c r="S1196" s="157">
        <f ca="1">ROUND(IF(R1196=0,0,IF(R1196=1,X1196*$S$1,IF(R1196=2,X1196*$S$1*buff的资质计算!$E$2,IF(R1196=3,X1196*$S$1*buff的资质计算!$E$3,0)))),0)*0</f>
        <v>0</v>
      </c>
      <c r="T1196" s="153">
        <v>4</v>
      </c>
      <c r="U1196" s="153">
        <f ca="1" t="shared" si="198"/>
        <v>23</v>
      </c>
      <c r="V1196" s="153">
        <f ca="1">ROUND((OFFSET(卡牌辅助配置表!$O$1,MATCH(U1196,卡牌辅助配置表!M:M,0)-1,0)+(N1196-1)*OFFSET(卡牌辅助配置表!$P$1,MATCH(U1196,卡牌辅助配置表!M:M,0)-1,0))*M1196,2)</f>
        <v>67.2</v>
      </c>
      <c r="W1196" s="157">
        <f ca="1">ROUND(IF(R1196=0,0,IF(R1196=1,X1196*$W$1,IF(R1196=2,X1196*$W$1*buff的资质计算!$E$2,IF(R1196=3,X1196*$W$1*buff的资质计算!$E$3,0)))),2)</f>
        <v>13.05</v>
      </c>
      <c r="X1196" s="157">
        <f ca="1" t="shared" si="193"/>
        <v>43.5</v>
      </c>
      <c r="Y1196" s="157" t="e">
        <f ca="1" t="shared" si="203"/>
        <v>#VALUE!</v>
      </c>
      <c r="Z1196" s="304" t="e">
        <f ca="1" t="shared" si="194"/>
        <v>#VALUE!</v>
      </c>
      <c r="AA1196" s="304">
        <f ca="1">OFFSET(卡牌辅助配置表!$AD$1,MATCH(AB1196,卡牌辅助配置表!AB:AB,0)-1,0)</f>
        <v>4012</v>
      </c>
      <c r="AB1196" s="304">
        <f ca="1" t="shared" si="199"/>
        <v>2316</v>
      </c>
      <c r="AC1196" s="153">
        <v>12</v>
      </c>
      <c r="AF1196" s="153" t="str">
        <f ca="1" t="shared" si="202"/>
        <v>20140011|</v>
      </c>
      <c r="AJ1196" s="205" t="str">
        <f ca="1" t="shared" si="200"/>
        <v>400023|10200|;</v>
      </c>
      <c r="AK1196" s="205">
        <f ca="1">OFFSET([1]item_type!$A$1,MATCH(Q1196,[1]item_type!$G:$G,0)-1,0)</f>
        <v>302014</v>
      </c>
      <c r="AL1196" s="205"/>
      <c r="AM1196" s="205">
        <f ca="1">IF(B1196=B1197,OFFSET(卡牌辅助配置表!$AE$1,MATCH(AB1196,卡牌辅助配置表!AB:AB,0),0),0)</f>
        <v>10200</v>
      </c>
      <c r="AN1196" s="153">
        <f ca="1" t="shared" si="201"/>
        <v>2014017</v>
      </c>
      <c r="AP1196" s="153">
        <f ca="1">IF(AC1196=0,0,IF(AC1196=12,0,OFFSET(effect!$N$1,MATCH(K1196,effect!M:M,0)-1,0)))</f>
        <v>0</v>
      </c>
    </row>
    <row r="1197" spans="1:42">
      <c r="A1197" s="153">
        <f ca="1" t="shared" si="197"/>
        <v>2014017</v>
      </c>
      <c r="B1197" s="91" t="s">
        <v>357</v>
      </c>
      <c r="C1197" s="186">
        <v>2</v>
      </c>
      <c r="D1197" s="186">
        <v>5</v>
      </c>
      <c r="E1197" s="165" t="s">
        <v>1058</v>
      </c>
      <c r="F1197" s="179" t="s">
        <v>1062</v>
      </c>
      <c r="G1197" s="186">
        <f ca="1">OFFSET(卡牌辅助配置表!$C$1,MATCH(AC1197,卡牌辅助配置表!A:A,0)-1,0)</f>
        <v>0</v>
      </c>
      <c r="H1197" s="186" t="e">
        <f ca="1">OFFSET(skill!$Q$1,MATCH(B1197,skill!B:B,0)-1,0)</f>
        <v>#VALUE!</v>
      </c>
      <c r="I1197" s="186"/>
      <c r="J1197" s="186">
        <f ca="1">OFFSET(card_type!$F$1,MATCH(Q1197,card_type!A:A,0)-1,0)</f>
        <v>2</v>
      </c>
      <c r="K1197" s="243">
        <f ca="1">OFFSET(card_type!$G$1,MATCH(Q1197,card_type!A:A,0)-1,0)</f>
        <v>3</v>
      </c>
      <c r="L1197" s="157">
        <v>2</v>
      </c>
      <c r="M1197" s="157">
        <v>2</v>
      </c>
      <c r="N1197" s="153">
        <f t="shared" si="195"/>
        <v>17</v>
      </c>
      <c r="O1197" s="157"/>
      <c r="P1197" s="157"/>
      <c r="Q1197" s="153">
        <f ca="1">OFFSET(card_type!$A$1,MATCH(card!B1197,card_type!B:B,0)-1,0)</f>
        <v>2014</v>
      </c>
      <c r="R1197" s="153">
        <v>1</v>
      </c>
      <c r="S1197" s="157">
        <f ca="1">ROUND(IF(R1197=0,0,IF(R1197=1,X1197*$S$1,IF(R1197=2,X1197*$S$1*buff的资质计算!$E$2,IF(R1197=3,X1197*$S$1*buff的资质计算!$E$3,0)))),0)*0</f>
        <v>0</v>
      </c>
      <c r="T1197" s="153">
        <v>4</v>
      </c>
      <c r="U1197" s="153">
        <f ca="1" t="shared" si="198"/>
        <v>23</v>
      </c>
      <c r="V1197" s="153">
        <f ca="1">ROUND((OFFSET(卡牌辅助配置表!$O$1,MATCH(U1197,卡牌辅助配置表!M:M,0)-1,0)+(N1197-1)*OFFSET(卡牌辅助配置表!$P$1,MATCH(U1197,卡牌辅助配置表!M:M,0)-1,0))*M1197,2)</f>
        <v>69.44</v>
      </c>
      <c r="W1197" s="157">
        <f ca="1">ROUND(IF(R1197=0,0,IF(R1197=1,X1197*$W$1,IF(R1197=2,X1197*$W$1*buff的资质计算!$E$2,IF(R1197=3,X1197*$W$1*buff的资质计算!$E$3,0)))),2)</f>
        <v>13.2</v>
      </c>
      <c r="X1197" s="157">
        <f ca="1" t="shared" si="193"/>
        <v>44</v>
      </c>
      <c r="Y1197" s="157" t="e">
        <f ca="1" t="shared" si="203"/>
        <v>#VALUE!</v>
      </c>
      <c r="Z1197" s="304" t="e">
        <f ca="1" t="shared" si="194"/>
        <v>#VALUE!</v>
      </c>
      <c r="AA1197" s="304">
        <f ca="1">OFFSET(卡牌辅助配置表!$AD$1,MATCH(AB1197,卡牌辅助配置表!AB:AB,0)-1,0)</f>
        <v>4329</v>
      </c>
      <c r="AB1197" s="304">
        <f ca="1" t="shared" si="199"/>
        <v>2317</v>
      </c>
      <c r="AC1197" s="153">
        <v>12</v>
      </c>
      <c r="AF1197" s="153" t="str">
        <f ca="1" t="shared" si="202"/>
        <v>20140011|</v>
      </c>
      <c r="AJ1197" s="205" t="str">
        <f ca="1" t="shared" si="200"/>
        <v>400023|11000|;</v>
      </c>
      <c r="AK1197" s="205">
        <f ca="1">OFFSET([1]item_type!$A$1,MATCH(Q1197,[1]item_type!$G:$G,0)-1,0)</f>
        <v>302014</v>
      </c>
      <c r="AL1197" s="205"/>
      <c r="AM1197" s="205">
        <f ca="1">IF(B1197=B1198,OFFSET(卡牌辅助配置表!$AE$1,MATCH(AB1197,卡牌辅助配置表!AB:AB,0),0),0)</f>
        <v>11000</v>
      </c>
      <c r="AN1197" s="153">
        <f ca="1" t="shared" si="201"/>
        <v>2014018</v>
      </c>
      <c r="AP1197" s="153">
        <f ca="1">IF(AC1197=0,0,IF(AC1197=12,0,OFFSET(effect!$N$1,MATCH(K1197,effect!M:M,0)-1,0)))</f>
        <v>0</v>
      </c>
    </row>
    <row r="1198" spans="1:42">
      <c r="A1198" s="153">
        <f ca="1" t="shared" si="197"/>
        <v>2014018</v>
      </c>
      <c r="B1198" s="91" t="s">
        <v>357</v>
      </c>
      <c r="C1198" s="186">
        <v>2</v>
      </c>
      <c r="D1198" s="186">
        <v>5</v>
      </c>
      <c r="E1198" s="165" t="s">
        <v>1058</v>
      </c>
      <c r="F1198" s="179" t="s">
        <v>1062</v>
      </c>
      <c r="G1198" s="186">
        <f ca="1">OFFSET(卡牌辅助配置表!$C$1,MATCH(AC1198,卡牌辅助配置表!A:A,0)-1,0)</f>
        <v>0</v>
      </c>
      <c r="H1198" s="186" t="e">
        <f ca="1">OFFSET(skill!$Q$1,MATCH(B1198,skill!B:B,0)-1,0)</f>
        <v>#VALUE!</v>
      </c>
      <c r="I1198" s="186"/>
      <c r="J1198" s="186">
        <f ca="1">OFFSET(card_type!$F$1,MATCH(Q1198,card_type!A:A,0)-1,0)</f>
        <v>2</v>
      </c>
      <c r="K1198" s="243">
        <f ca="1">OFFSET(card_type!$G$1,MATCH(Q1198,card_type!A:A,0)-1,0)</f>
        <v>3</v>
      </c>
      <c r="L1198" s="157">
        <v>2</v>
      </c>
      <c r="M1198" s="157">
        <v>2</v>
      </c>
      <c r="N1198" s="153">
        <f t="shared" si="195"/>
        <v>18</v>
      </c>
      <c r="O1198" s="157"/>
      <c r="P1198" s="157"/>
      <c r="Q1198" s="153">
        <f ca="1">OFFSET(card_type!$A$1,MATCH(card!B1198,card_type!B:B,0)-1,0)</f>
        <v>2014</v>
      </c>
      <c r="R1198" s="153">
        <v>1</v>
      </c>
      <c r="S1198" s="157">
        <f ca="1">ROUND(IF(R1198=0,0,IF(R1198=1,X1198*$S$1,IF(R1198=2,X1198*$S$1*buff的资质计算!$E$2,IF(R1198=3,X1198*$S$1*buff的资质计算!$E$3,0)))),0)*0</f>
        <v>0</v>
      </c>
      <c r="T1198" s="153">
        <v>4</v>
      </c>
      <c r="U1198" s="153">
        <f ca="1" t="shared" si="198"/>
        <v>23</v>
      </c>
      <c r="V1198" s="153">
        <f ca="1">ROUND((OFFSET(卡牌辅助配置表!$O$1,MATCH(U1198,卡牌辅助配置表!M:M,0)-1,0)+(N1198-1)*OFFSET(卡牌辅助配置表!$P$1,MATCH(U1198,卡牌辅助配置表!M:M,0)-1,0))*M1198,2)</f>
        <v>71.68</v>
      </c>
      <c r="W1198" s="157">
        <f ca="1">ROUND(IF(R1198=0,0,IF(R1198=1,X1198*$W$1,IF(R1198=2,X1198*$W$1*buff的资质计算!$E$2,IF(R1198=3,X1198*$W$1*buff的资质计算!$E$3,0)))),2)</f>
        <v>13.35</v>
      </c>
      <c r="X1198" s="157">
        <f ca="1" t="shared" si="193"/>
        <v>44.5</v>
      </c>
      <c r="Y1198" s="157" t="e">
        <f ca="1" t="shared" si="203"/>
        <v>#VALUE!</v>
      </c>
      <c r="Z1198" s="304" t="e">
        <f ca="1" t="shared" si="194"/>
        <v>#VALUE!</v>
      </c>
      <c r="AA1198" s="304">
        <f ca="1">OFFSET(卡牌辅助配置表!$AD$1,MATCH(AB1198,卡牌辅助配置表!AB:AB,0)-1,0)</f>
        <v>4646</v>
      </c>
      <c r="AB1198" s="304">
        <f ca="1" t="shared" si="199"/>
        <v>2318</v>
      </c>
      <c r="AC1198" s="153">
        <v>12</v>
      </c>
      <c r="AF1198" s="153" t="str">
        <f ca="1" t="shared" si="202"/>
        <v>20140011|</v>
      </c>
      <c r="AJ1198" s="205" t="str">
        <f ca="1" t="shared" si="200"/>
        <v>400023|11800|;</v>
      </c>
      <c r="AK1198" s="205">
        <f ca="1">OFFSET([1]item_type!$A$1,MATCH(Q1198,[1]item_type!$G:$G,0)-1,0)</f>
        <v>302014</v>
      </c>
      <c r="AL1198" s="205"/>
      <c r="AM1198" s="205">
        <f ca="1">IF(B1198=B1199,OFFSET(卡牌辅助配置表!$AE$1,MATCH(AB1198,卡牌辅助配置表!AB:AB,0),0),0)</f>
        <v>11800</v>
      </c>
      <c r="AN1198" s="153">
        <f ca="1" t="shared" si="201"/>
        <v>2014019</v>
      </c>
      <c r="AP1198" s="153">
        <f ca="1">IF(AC1198=0,0,IF(AC1198=12,0,OFFSET(effect!$N$1,MATCH(K1198,effect!M:M,0)-1,0)))</f>
        <v>0</v>
      </c>
    </row>
    <row r="1199" spans="1:42">
      <c r="A1199" s="153">
        <f ca="1" t="shared" si="197"/>
        <v>2014019</v>
      </c>
      <c r="B1199" s="91" t="s">
        <v>357</v>
      </c>
      <c r="C1199" s="186">
        <v>2</v>
      </c>
      <c r="D1199" s="186">
        <v>5</v>
      </c>
      <c r="E1199" s="165" t="s">
        <v>1058</v>
      </c>
      <c r="F1199" s="179" t="s">
        <v>1062</v>
      </c>
      <c r="G1199" s="186">
        <f ca="1">OFFSET(卡牌辅助配置表!$C$1,MATCH(AC1199,卡牌辅助配置表!A:A,0)-1,0)</f>
        <v>0</v>
      </c>
      <c r="H1199" s="186" t="e">
        <f ca="1">OFFSET(skill!$Q$1,MATCH(B1199,skill!B:B,0)-1,0)</f>
        <v>#VALUE!</v>
      </c>
      <c r="I1199" s="186"/>
      <c r="J1199" s="186">
        <f ca="1">OFFSET(card_type!$F$1,MATCH(Q1199,card_type!A:A,0)-1,0)</f>
        <v>2</v>
      </c>
      <c r="K1199" s="243">
        <f ca="1">OFFSET(card_type!$G$1,MATCH(Q1199,card_type!A:A,0)-1,0)</f>
        <v>3</v>
      </c>
      <c r="L1199" s="157">
        <v>2</v>
      </c>
      <c r="M1199" s="157">
        <v>2</v>
      </c>
      <c r="N1199" s="153">
        <f t="shared" si="195"/>
        <v>19</v>
      </c>
      <c r="O1199" s="157"/>
      <c r="P1199" s="157"/>
      <c r="Q1199" s="153">
        <f ca="1">OFFSET(card_type!$A$1,MATCH(card!B1199,card_type!B:B,0)-1,0)</f>
        <v>2014</v>
      </c>
      <c r="R1199" s="153">
        <v>1</v>
      </c>
      <c r="S1199" s="157">
        <f ca="1">ROUND(IF(R1199=0,0,IF(R1199=1,X1199*$S$1,IF(R1199=2,X1199*$S$1*buff的资质计算!$E$2,IF(R1199=3,X1199*$S$1*buff的资质计算!$E$3,0)))),0)*0</f>
        <v>0</v>
      </c>
      <c r="T1199" s="153">
        <v>4</v>
      </c>
      <c r="U1199" s="153">
        <f ca="1" t="shared" si="198"/>
        <v>23</v>
      </c>
      <c r="V1199" s="153">
        <f ca="1">ROUND((OFFSET(卡牌辅助配置表!$O$1,MATCH(U1199,卡牌辅助配置表!M:M,0)-1,0)+(N1199-1)*OFFSET(卡牌辅助配置表!$P$1,MATCH(U1199,卡牌辅助配置表!M:M,0)-1,0))*M1199,2)</f>
        <v>73.92</v>
      </c>
      <c r="W1199" s="157">
        <f ca="1">ROUND(IF(R1199=0,0,IF(R1199=1,X1199*$W$1,IF(R1199=2,X1199*$W$1*buff的资质计算!$E$2,IF(R1199=3,X1199*$W$1*buff的资质计算!$E$3,0)))),2)</f>
        <v>13.5</v>
      </c>
      <c r="X1199" s="157">
        <f ca="1" t="shared" si="193"/>
        <v>45</v>
      </c>
      <c r="Y1199" s="157" t="e">
        <f ca="1" t="shared" si="203"/>
        <v>#VALUE!</v>
      </c>
      <c r="Z1199" s="304" t="e">
        <f ca="1" t="shared" si="194"/>
        <v>#VALUE!</v>
      </c>
      <c r="AA1199" s="304">
        <f ca="1">OFFSET(卡牌辅助配置表!$AD$1,MATCH(AB1199,卡牌辅助配置表!AB:AB,0)-1,0)</f>
        <v>4963</v>
      </c>
      <c r="AB1199" s="304">
        <f ca="1" t="shared" si="199"/>
        <v>2319</v>
      </c>
      <c r="AC1199" s="153">
        <v>12</v>
      </c>
      <c r="AF1199" s="153" t="str">
        <f ca="1" t="shared" si="202"/>
        <v>20140011|</v>
      </c>
      <c r="AJ1199" s="205" t="str">
        <f ca="1" t="shared" si="200"/>
        <v>302014|20|;400023|12600|;</v>
      </c>
      <c r="AK1199" s="205">
        <f ca="1">OFFSET([1]item_type!$A$1,MATCH(Q1199,[1]item_type!$G:$G,0)-1,0)</f>
        <v>302014</v>
      </c>
      <c r="AL1199" s="205">
        <v>20</v>
      </c>
      <c r="AM1199" s="205">
        <f ca="1">IF(B1199=B1200,OFFSET(卡牌辅助配置表!$AE$1,MATCH(AB1199,卡牌辅助配置表!AB:AB,0),0),0)</f>
        <v>12600</v>
      </c>
      <c r="AN1199" s="153">
        <f ca="1" t="shared" si="201"/>
        <v>2014020</v>
      </c>
      <c r="AP1199" s="153">
        <f ca="1">IF(AC1199=0,0,IF(AC1199=12,0,OFFSET(effect!$N$1,MATCH(K1199,effect!M:M,0)-1,0)))</f>
        <v>0</v>
      </c>
    </row>
    <row r="1200" spans="1:42">
      <c r="A1200" s="153">
        <f ca="1" t="shared" si="197"/>
        <v>2014020</v>
      </c>
      <c r="B1200" s="91" t="s">
        <v>357</v>
      </c>
      <c r="C1200" s="186">
        <v>2</v>
      </c>
      <c r="D1200" s="186">
        <v>5</v>
      </c>
      <c r="E1200" s="165" t="s">
        <v>1058</v>
      </c>
      <c r="F1200" s="179" t="s">
        <v>1062</v>
      </c>
      <c r="G1200" s="186">
        <f ca="1">OFFSET(卡牌辅助配置表!$C$1,MATCH(AC1200,卡牌辅助配置表!A:A,0)-1,0)</f>
        <v>0</v>
      </c>
      <c r="H1200" s="186" t="e">
        <f ca="1">OFFSET(skill!$Q$1,MATCH(B1200,skill!B:B,0)-1,0)</f>
        <v>#VALUE!</v>
      </c>
      <c r="I1200" s="186"/>
      <c r="J1200" s="186">
        <f ca="1">OFFSET(card_type!$F$1,MATCH(Q1200,card_type!A:A,0)-1,0)</f>
        <v>2</v>
      </c>
      <c r="K1200" s="243">
        <f ca="1">OFFSET(card_type!$G$1,MATCH(Q1200,card_type!A:A,0)-1,0)</f>
        <v>3</v>
      </c>
      <c r="L1200" s="157">
        <v>2</v>
      </c>
      <c r="M1200" s="157">
        <v>2</v>
      </c>
      <c r="N1200" s="153">
        <f t="shared" si="195"/>
        <v>20</v>
      </c>
      <c r="O1200" s="157"/>
      <c r="P1200" s="157"/>
      <c r="Q1200" s="153">
        <f ca="1">OFFSET(card_type!$A$1,MATCH(card!B1200,card_type!B:B,0)-1,0)</f>
        <v>2014</v>
      </c>
      <c r="R1200" s="153">
        <v>1</v>
      </c>
      <c r="S1200" s="157">
        <f ca="1">ROUND(IF(R1200=0,0,IF(R1200=1,X1200*$S$1,IF(R1200=2,X1200*$S$1*buff的资质计算!$E$2,IF(R1200=3,X1200*$S$1*buff的资质计算!$E$3,0)))),0)*0</f>
        <v>0</v>
      </c>
      <c r="T1200" s="153">
        <v>4</v>
      </c>
      <c r="U1200" s="153">
        <f ca="1" t="shared" si="198"/>
        <v>23</v>
      </c>
      <c r="V1200" s="153">
        <f ca="1">ROUND((OFFSET(卡牌辅助配置表!$O$1,MATCH(U1200,卡牌辅助配置表!M:M,0)-1,0)+(N1200-1)*OFFSET(卡牌辅助配置表!$P$1,MATCH(U1200,卡牌辅助配置表!M:M,0)-1,0))*M1200,2)</f>
        <v>76.16</v>
      </c>
      <c r="W1200" s="157">
        <f ca="1">ROUND(IF(R1200=0,0,IF(R1200=1,X1200*$W$1,IF(R1200=2,X1200*$W$1*buff的资质计算!$E$2,IF(R1200=3,X1200*$W$1*buff的资质计算!$E$3,0)))),2)</f>
        <v>13.65</v>
      </c>
      <c r="X1200" s="157">
        <f ca="1" t="shared" si="193"/>
        <v>45.5</v>
      </c>
      <c r="Y1200" s="157" t="e">
        <f ca="1" t="shared" si="203"/>
        <v>#VALUE!</v>
      </c>
      <c r="Z1200" s="304" t="e">
        <f ca="1" t="shared" si="194"/>
        <v>#VALUE!</v>
      </c>
      <c r="AA1200" s="304">
        <f ca="1">OFFSET(卡牌辅助配置表!$AD$1,MATCH(AB1200,卡牌辅助配置表!AB:AB,0)-1,0)</f>
        <v>5280</v>
      </c>
      <c r="AB1200" s="304">
        <f ca="1" t="shared" si="199"/>
        <v>2320</v>
      </c>
      <c r="AC1200" s="153">
        <v>12</v>
      </c>
      <c r="AF1200" s="153" t="str">
        <f ca="1" t="shared" si="202"/>
        <v>20140011|</v>
      </c>
      <c r="AJ1200" s="205" t="str">
        <f ca="1" t="shared" si="200"/>
        <v>400023|14200|;</v>
      </c>
      <c r="AK1200" s="205">
        <f ca="1">OFFSET([1]item_type!$A$1,MATCH(Q1200,[1]item_type!$G:$G,0)-1,0)</f>
        <v>302014</v>
      </c>
      <c r="AL1200" s="205"/>
      <c r="AM1200" s="205">
        <f ca="1">IF(B1200=B1201,OFFSET(卡牌辅助配置表!$AE$1,MATCH(AB1200,卡牌辅助配置表!AB:AB,0),0),0)</f>
        <v>14200</v>
      </c>
      <c r="AN1200" s="153">
        <f ca="1" t="shared" si="201"/>
        <v>2014021</v>
      </c>
      <c r="AP1200" s="153">
        <f ca="1">IF(AC1200=0,0,IF(AC1200=12,0,OFFSET(effect!$N$1,MATCH(K1200,effect!M:M,0)-1,0)))</f>
        <v>0</v>
      </c>
    </row>
    <row r="1201" spans="1:42">
      <c r="A1201" s="153">
        <f ca="1" t="shared" si="197"/>
        <v>2014021</v>
      </c>
      <c r="B1201" s="91" t="s">
        <v>357</v>
      </c>
      <c r="C1201" s="186">
        <v>2</v>
      </c>
      <c r="D1201" s="186">
        <v>5</v>
      </c>
      <c r="E1201" s="165" t="s">
        <v>1058</v>
      </c>
      <c r="F1201" s="179" t="s">
        <v>1062</v>
      </c>
      <c r="G1201" s="186">
        <f ca="1">OFFSET(卡牌辅助配置表!$C$1,MATCH(AC1201,卡牌辅助配置表!A:A,0)-1,0)</f>
        <v>0</v>
      </c>
      <c r="H1201" s="186" t="e">
        <f ca="1">OFFSET(skill!$Q$1,MATCH(B1201,skill!B:B,0)-1,0)</f>
        <v>#VALUE!</v>
      </c>
      <c r="I1201" s="186"/>
      <c r="J1201" s="186">
        <f ca="1">OFFSET(card_type!$F$1,MATCH(Q1201,card_type!A:A,0)-1,0)</f>
        <v>2</v>
      </c>
      <c r="K1201" s="243">
        <f ca="1">OFFSET(card_type!$G$1,MATCH(Q1201,card_type!A:A,0)-1,0)</f>
        <v>3</v>
      </c>
      <c r="L1201" s="157">
        <v>2</v>
      </c>
      <c r="M1201" s="157">
        <v>2</v>
      </c>
      <c r="N1201" s="153">
        <f t="shared" si="195"/>
        <v>21</v>
      </c>
      <c r="O1201" s="157"/>
      <c r="P1201" s="157"/>
      <c r="Q1201" s="153">
        <f ca="1">OFFSET(card_type!$A$1,MATCH(card!B1201,card_type!B:B,0)-1,0)</f>
        <v>2014</v>
      </c>
      <c r="R1201" s="153">
        <v>1</v>
      </c>
      <c r="S1201" s="157">
        <f ca="1">ROUND(IF(R1201=0,0,IF(R1201=1,X1201*$S$1,IF(R1201=2,X1201*$S$1*buff的资质计算!$E$2,IF(R1201=3,X1201*$S$1*buff的资质计算!$E$3,0)))),0)*0</f>
        <v>0</v>
      </c>
      <c r="T1201" s="153">
        <v>4</v>
      </c>
      <c r="U1201" s="153">
        <f ca="1" t="shared" si="198"/>
        <v>23</v>
      </c>
      <c r="V1201" s="153">
        <f ca="1">ROUND((OFFSET(卡牌辅助配置表!$O$1,MATCH(U1201,卡牌辅助配置表!M:M,0)-1,0)+(N1201-1)*OFFSET(卡牌辅助配置表!$P$1,MATCH(U1201,卡牌辅助配置表!M:M,0)-1,0))*M1201,2)</f>
        <v>78.4</v>
      </c>
      <c r="W1201" s="157">
        <f ca="1">ROUND(IF(R1201=0,0,IF(R1201=1,X1201*$W$1,IF(R1201=2,X1201*$W$1*buff的资质计算!$E$2,IF(R1201=3,X1201*$W$1*buff的资质计算!$E$3,0)))),2)</f>
        <v>13.8</v>
      </c>
      <c r="X1201" s="157">
        <f ca="1" t="shared" si="193"/>
        <v>46</v>
      </c>
      <c r="Y1201" s="157" t="e">
        <f ca="1" t="shared" si="203"/>
        <v>#VALUE!</v>
      </c>
      <c r="Z1201" s="304" t="e">
        <f ca="1" t="shared" si="194"/>
        <v>#VALUE!</v>
      </c>
      <c r="AA1201" s="304">
        <f ca="1">OFFSET(卡牌辅助配置表!$AD$1,MATCH(AB1201,卡牌辅助配置表!AB:AB,0)-1,0)</f>
        <v>5703</v>
      </c>
      <c r="AB1201" s="304">
        <f ca="1" t="shared" si="199"/>
        <v>2321</v>
      </c>
      <c r="AC1201" s="153">
        <v>12</v>
      </c>
      <c r="AF1201" s="153" t="str">
        <f ca="1" t="shared" si="202"/>
        <v>20140011|</v>
      </c>
      <c r="AJ1201" s="205" t="str">
        <f ca="1" t="shared" si="200"/>
        <v>400023|15800|;</v>
      </c>
      <c r="AK1201" s="205">
        <f ca="1">OFFSET([1]item_type!$A$1,MATCH(Q1201,[1]item_type!$G:$G,0)-1,0)</f>
        <v>302014</v>
      </c>
      <c r="AL1201" s="205"/>
      <c r="AM1201" s="205">
        <f ca="1">IF(B1201=B1202,OFFSET(卡牌辅助配置表!$AE$1,MATCH(AB1201,卡牌辅助配置表!AB:AB,0),0),0)</f>
        <v>15800</v>
      </c>
      <c r="AN1201" s="153">
        <f ca="1" t="shared" si="201"/>
        <v>2014022</v>
      </c>
      <c r="AP1201" s="153">
        <f ca="1">IF(AC1201=0,0,IF(AC1201=12,0,OFFSET(effect!$N$1,MATCH(K1201,effect!M:M,0)-1,0)))</f>
        <v>0</v>
      </c>
    </row>
    <row r="1202" spans="1:42">
      <c r="A1202" s="153">
        <f ca="1" t="shared" si="197"/>
        <v>2014022</v>
      </c>
      <c r="B1202" s="91" t="s">
        <v>357</v>
      </c>
      <c r="C1202" s="186">
        <v>2</v>
      </c>
      <c r="D1202" s="186">
        <v>5</v>
      </c>
      <c r="E1202" s="165" t="s">
        <v>1058</v>
      </c>
      <c r="F1202" s="179" t="s">
        <v>1062</v>
      </c>
      <c r="G1202" s="186">
        <f ca="1">OFFSET(卡牌辅助配置表!$C$1,MATCH(AC1202,卡牌辅助配置表!A:A,0)-1,0)</f>
        <v>0</v>
      </c>
      <c r="H1202" s="186" t="e">
        <f ca="1">OFFSET(skill!$Q$1,MATCH(B1202,skill!B:B,0)-1,0)</f>
        <v>#VALUE!</v>
      </c>
      <c r="I1202" s="186"/>
      <c r="J1202" s="186">
        <f ca="1">OFFSET(card_type!$F$1,MATCH(Q1202,card_type!A:A,0)-1,0)</f>
        <v>2</v>
      </c>
      <c r="K1202" s="243">
        <f ca="1">OFFSET(card_type!$G$1,MATCH(Q1202,card_type!A:A,0)-1,0)</f>
        <v>3</v>
      </c>
      <c r="L1202" s="157">
        <v>2</v>
      </c>
      <c r="M1202" s="157">
        <v>2</v>
      </c>
      <c r="N1202" s="153">
        <f t="shared" si="195"/>
        <v>22</v>
      </c>
      <c r="O1202" s="157"/>
      <c r="P1202" s="157"/>
      <c r="Q1202" s="153">
        <f ca="1">OFFSET(card_type!$A$1,MATCH(card!B1202,card_type!B:B,0)-1,0)</f>
        <v>2014</v>
      </c>
      <c r="R1202" s="153">
        <v>1</v>
      </c>
      <c r="S1202" s="157">
        <f ca="1">ROUND(IF(R1202=0,0,IF(R1202=1,X1202*$S$1,IF(R1202=2,X1202*$S$1*buff的资质计算!$E$2,IF(R1202=3,X1202*$S$1*buff的资质计算!$E$3,0)))),0)*0</f>
        <v>0</v>
      </c>
      <c r="T1202" s="153">
        <v>4</v>
      </c>
      <c r="U1202" s="153">
        <f ca="1" t="shared" si="198"/>
        <v>23</v>
      </c>
      <c r="V1202" s="153">
        <f ca="1">ROUND((OFFSET(卡牌辅助配置表!$O$1,MATCH(U1202,卡牌辅助配置表!M:M,0)-1,0)+(N1202-1)*OFFSET(卡牌辅助配置表!$P$1,MATCH(U1202,卡牌辅助配置表!M:M,0)-1,0))*M1202,2)</f>
        <v>80.64</v>
      </c>
      <c r="W1202" s="157">
        <f ca="1">ROUND(IF(R1202=0,0,IF(R1202=1,X1202*$W$1,IF(R1202=2,X1202*$W$1*buff的资质计算!$E$2,IF(R1202=3,X1202*$W$1*buff的资质计算!$E$3,0)))),2)</f>
        <v>13.95</v>
      </c>
      <c r="X1202" s="157">
        <f ca="1" t="shared" si="193"/>
        <v>46.5</v>
      </c>
      <c r="Y1202" s="157" t="e">
        <f ca="1" t="shared" si="203"/>
        <v>#VALUE!</v>
      </c>
      <c r="Z1202" s="304" t="e">
        <f ca="1" t="shared" si="194"/>
        <v>#VALUE!</v>
      </c>
      <c r="AA1202" s="304">
        <f ca="1">OFFSET(卡牌辅助配置表!$AD$1,MATCH(AB1202,卡牌辅助配置表!AB:AB,0)-1,0)</f>
        <v>6126</v>
      </c>
      <c r="AB1202" s="304">
        <f ca="1" t="shared" si="199"/>
        <v>2322</v>
      </c>
      <c r="AC1202" s="153">
        <v>12</v>
      </c>
      <c r="AF1202" s="153" t="str">
        <f ca="1" t="shared" si="202"/>
        <v>20140011|</v>
      </c>
      <c r="AJ1202" s="205" t="str">
        <f ca="1" t="shared" si="200"/>
        <v>400023|17400|;</v>
      </c>
      <c r="AK1202" s="205">
        <f ca="1">OFFSET([1]item_type!$A$1,MATCH(Q1202,[1]item_type!$G:$G,0)-1,0)</f>
        <v>302014</v>
      </c>
      <c r="AL1202" s="205"/>
      <c r="AM1202" s="205">
        <f ca="1">IF(B1202=B1203,OFFSET(卡牌辅助配置表!$AE$1,MATCH(AB1202,卡牌辅助配置表!AB:AB,0),0),0)</f>
        <v>17400</v>
      </c>
      <c r="AN1202" s="153">
        <f ca="1" t="shared" si="201"/>
        <v>2014023</v>
      </c>
      <c r="AP1202" s="153">
        <f ca="1">IF(AC1202=0,0,IF(AC1202=12,0,OFFSET(effect!$N$1,MATCH(K1202,effect!M:M,0)-1,0)))</f>
        <v>0</v>
      </c>
    </row>
    <row r="1203" spans="1:42">
      <c r="A1203" s="153">
        <f ca="1" t="shared" si="197"/>
        <v>2014023</v>
      </c>
      <c r="B1203" s="91" t="s">
        <v>357</v>
      </c>
      <c r="C1203" s="186">
        <v>2</v>
      </c>
      <c r="D1203" s="186">
        <v>5</v>
      </c>
      <c r="E1203" s="165" t="s">
        <v>1058</v>
      </c>
      <c r="F1203" s="179" t="s">
        <v>1062</v>
      </c>
      <c r="G1203" s="186">
        <f ca="1">OFFSET(卡牌辅助配置表!$C$1,MATCH(AC1203,卡牌辅助配置表!A:A,0)-1,0)</f>
        <v>0</v>
      </c>
      <c r="H1203" s="186" t="e">
        <f ca="1">OFFSET(skill!$Q$1,MATCH(B1203,skill!B:B,0)-1,0)</f>
        <v>#VALUE!</v>
      </c>
      <c r="I1203" s="186"/>
      <c r="J1203" s="186">
        <f ca="1">OFFSET(card_type!$F$1,MATCH(Q1203,card_type!A:A,0)-1,0)</f>
        <v>2</v>
      </c>
      <c r="K1203" s="243">
        <f ca="1">OFFSET(card_type!$G$1,MATCH(Q1203,card_type!A:A,0)-1,0)</f>
        <v>3</v>
      </c>
      <c r="L1203" s="157">
        <v>2</v>
      </c>
      <c r="M1203" s="157">
        <v>2</v>
      </c>
      <c r="N1203" s="153">
        <f t="shared" si="195"/>
        <v>23</v>
      </c>
      <c r="O1203" s="157"/>
      <c r="P1203" s="157"/>
      <c r="Q1203" s="153">
        <f ca="1">OFFSET(card_type!$A$1,MATCH(card!B1203,card_type!B:B,0)-1,0)</f>
        <v>2014</v>
      </c>
      <c r="R1203" s="153">
        <v>1</v>
      </c>
      <c r="S1203" s="157">
        <f ca="1">ROUND(IF(R1203=0,0,IF(R1203=1,X1203*$S$1,IF(R1203=2,X1203*$S$1*buff的资质计算!$E$2,IF(R1203=3,X1203*$S$1*buff的资质计算!$E$3,0)))),0)*0</f>
        <v>0</v>
      </c>
      <c r="T1203" s="153">
        <v>4</v>
      </c>
      <c r="U1203" s="153">
        <f ca="1" t="shared" si="198"/>
        <v>23</v>
      </c>
      <c r="V1203" s="153">
        <f ca="1">ROUND((OFFSET(卡牌辅助配置表!$O$1,MATCH(U1203,卡牌辅助配置表!M:M,0)-1,0)+(N1203-1)*OFFSET(卡牌辅助配置表!$P$1,MATCH(U1203,卡牌辅助配置表!M:M,0)-1,0))*M1203,2)</f>
        <v>82.88</v>
      </c>
      <c r="W1203" s="157">
        <f ca="1">ROUND(IF(R1203=0,0,IF(R1203=1,X1203*$W$1,IF(R1203=2,X1203*$W$1*buff的资质计算!$E$2,IF(R1203=3,X1203*$W$1*buff的资质计算!$E$3,0)))),2)</f>
        <v>14.1</v>
      </c>
      <c r="X1203" s="157">
        <f ca="1" t="shared" si="193"/>
        <v>47</v>
      </c>
      <c r="Y1203" s="157" t="e">
        <f ca="1" t="shared" si="203"/>
        <v>#VALUE!</v>
      </c>
      <c r="Z1203" s="304" t="e">
        <f ca="1" t="shared" si="194"/>
        <v>#VALUE!</v>
      </c>
      <c r="AA1203" s="304">
        <f ca="1">OFFSET(卡牌辅助配置表!$AD$1,MATCH(AB1203,卡牌辅助配置表!AB:AB,0)-1,0)</f>
        <v>6549</v>
      </c>
      <c r="AB1203" s="304">
        <f ca="1" t="shared" si="199"/>
        <v>2323</v>
      </c>
      <c r="AC1203" s="153">
        <v>12</v>
      </c>
      <c r="AF1203" s="153" t="str">
        <f ca="1" t="shared" si="202"/>
        <v>20140011|</v>
      </c>
      <c r="AJ1203" s="205" t="str">
        <f ca="1" t="shared" si="200"/>
        <v>400023|19000|;</v>
      </c>
      <c r="AK1203" s="205">
        <f ca="1">OFFSET([1]item_type!$A$1,MATCH(Q1203,[1]item_type!$G:$G,0)-1,0)</f>
        <v>302014</v>
      </c>
      <c r="AL1203" s="205"/>
      <c r="AM1203" s="205">
        <f ca="1">IF(B1203=B1204,OFFSET(卡牌辅助配置表!$AE$1,MATCH(AB1203,卡牌辅助配置表!AB:AB,0),0),0)</f>
        <v>19000</v>
      </c>
      <c r="AN1203" s="153">
        <f ca="1" t="shared" si="201"/>
        <v>2014024</v>
      </c>
      <c r="AP1203" s="153">
        <f ca="1">IF(AC1203=0,0,IF(AC1203=12,0,OFFSET(effect!$N$1,MATCH(K1203,effect!M:M,0)-1,0)))</f>
        <v>0</v>
      </c>
    </row>
    <row r="1204" spans="1:42">
      <c r="A1204" s="153">
        <f ca="1" t="shared" si="197"/>
        <v>2014024</v>
      </c>
      <c r="B1204" s="91" t="s">
        <v>357</v>
      </c>
      <c r="C1204" s="186">
        <v>2</v>
      </c>
      <c r="D1204" s="186">
        <v>5</v>
      </c>
      <c r="E1204" s="165" t="s">
        <v>1058</v>
      </c>
      <c r="F1204" s="179" t="s">
        <v>1062</v>
      </c>
      <c r="G1204" s="186">
        <f ca="1">OFFSET(卡牌辅助配置表!$C$1,MATCH(AC1204,卡牌辅助配置表!A:A,0)-1,0)</f>
        <v>0</v>
      </c>
      <c r="H1204" s="186" t="e">
        <f ca="1">OFFSET(skill!$Q$1,MATCH(B1204,skill!B:B,0)-1,0)</f>
        <v>#VALUE!</v>
      </c>
      <c r="I1204" s="186"/>
      <c r="J1204" s="186">
        <f ca="1">OFFSET(card_type!$F$1,MATCH(Q1204,card_type!A:A,0)-1,0)</f>
        <v>2</v>
      </c>
      <c r="K1204" s="243">
        <f ca="1">OFFSET(card_type!$G$1,MATCH(Q1204,card_type!A:A,0)-1,0)</f>
        <v>3</v>
      </c>
      <c r="L1204" s="157">
        <v>2</v>
      </c>
      <c r="M1204" s="157">
        <v>2</v>
      </c>
      <c r="N1204" s="153">
        <f t="shared" si="195"/>
        <v>24</v>
      </c>
      <c r="O1204" s="157"/>
      <c r="P1204" s="157"/>
      <c r="Q1204" s="153">
        <f ca="1">OFFSET(card_type!$A$1,MATCH(card!B1204,card_type!B:B,0)-1,0)</f>
        <v>2014</v>
      </c>
      <c r="R1204" s="153">
        <v>1</v>
      </c>
      <c r="S1204" s="157">
        <f ca="1">ROUND(IF(R1204=0,0,IF(R1204=1,X1204*$S$1,IF(R1204=2,X1204*$S$1*buff的资质计算!$E$2,IF(R1204=3,X1204*$S$1*buff的资质计算!$E$3,0)))),0)*0</f>
        <v>0</v>
      </c>
      <c r="T1204" s="153">
        <v>4</v>
      </c>
      <c r="U1204" s="153">
        <f ca="1" t="shared" si="198"/>
        <v>23</v>
      </c>
      <c r="V1204" s="153">
        <f ca="1">ROUND((OFFSET(卡牌辅助配置表!$O$1,MATCH(U1204,卡牌辅助配置表!M:M,0)-1,0)+(N1204-1)*OFFSET(卡牌辅助配置表!$P$1,MATCH(U1204,卡牌辅助配置表!M:M,0)-1,0))*M1204,2)</f>
        <v>85.12</v>
      </c>
      <c r="W1204" s="157">
        <f ca="1">ROUND(IF(R1204=0,0,IF(R1204=1,X1204*$W$1,IF(R1204=2,X1204*$W$1*buff的资质计算!$E$2,IF(R1204=3,X1204*$W$1*buff的资质计算!$E$3,0)))),2)</f>
        <v>14.25</v>
      </c>
      <c r="X1204" s="157">
        <f ca="1" t="shared" ref="X1204:X1267" si="204">M1204*($M$1+(J1204-1)*$J$1+(K1204-1)*$K$1)+G1204+$J$1*(N1204-1)/$N$1</f>
        <v>47.5</v>
      </c>
      <c r="Y1204" s="157" t="e">
        <f ca="1" t="shared" si="203"/>
        <v>#VALUE!</v>
      </c>
      <c r="Z1204" s="304" t="e">
        <f ca="1" t="shared" ref="Z1204:Z1267" si="205">Y1204/M1204</f>
        <v>#VALUE!</v>
      </c>
      <c r="AA1204" s="304">
        <f ca="1">OFFSET(卡牌辅助配置表!$AD$1,MATCH(AB1204,卡牌辅助配置表!AB:AB,0)-1,0)</f>
        <v>6972</v>
      </c>
      <c r="AB1204" s="304">
        <f ca="1" t="shared" si="199"/>
        <v>2324</v>
      </c>
      <c r="AC1204" s="153">
        <v>12</v>
      </c>
      <c r="AF1204" s="153" t="str">
        <f ca="1" t="shared" si="202"/>
        <v>20140011|</v>
      </c>
      <c r="AJ1204" s="205" t="str">
        <f ca="1" t="shared" si="200"/>
        <v>400023|20600|;</v>
      </c>
      <c r="AK1204" s="205">
        <f ca="1">OFFSET([1]item_type!$A$1,MATCH(Q1204,[1]item_type!$G:$G,0)-1,0)</f>
        <v>302014</v>
      </c>
      <c r="AL1204" s="205"/>
      <c r="AM1204" s="205">
        <f ca="1">IF(B1204=B1205,OFFSET(卡牌辅助配置表!$AE$1,MATCH(AB1204,卡牌辅助配置表!AB:AB,0),0),0)</f>
        <v>20600</v>
      </c>
      <c r="AN1204" s="153">
        <f ca="1" t="shared" si="201"/>
        <v>2014025</v>
      </c>
      <c r="AP1204" s="153">
        <f ca="1">IF(AC1204=0,0,IF(AC1204=12,0,OFFSET(effect!$N$1,MATCH(K1204,effect!M:M,0)-1,0)))</f>
        <v>0</v>
      </c>
    </row>
    <row r="1205" spans="1:42">
      <c r="A1205" s="153">
        <f ca="1" t="shared" si="197"/>
        <v>2014025</v>
      </c>
      <c r="B1205" s="91" t="s">
        <v>357</v>
      </c>
      <c r="C1205" s="186">
        <v>2</v>
      </c>
      <c r="D1205" s="186">
        <v>5</v>
      </c>
      <c r="E1205" s="165" t="s">
        <v>1058</v>
      </c>
      <c r="F1205" s="179" t="s">
        <v>1062</v>
      </c>
      <c r="G1205" s="186">
        <f ca="1">OFFSET(卡牌辅助配置表!$C$1,MATCH(AC1205,卡牌辅助配置表!A:A,0)-1,0)</f>
        <v>0</v>
      </c>
      <c r="H1205" s="186" t="e">
        <f ca="1">OFFSET(skill!$Q$1,MATCH(B1205,skill!B:B,0)-1,0)</f>
        <v>#VALUE!</v>
      </c>
      <c r="I1205" s="186"/>
      <c r="J1205" s="186">
        <f ca="1">OFFSET(card_type!$F$1,MATCH(Q1205,card_type!A:A,0)-1,0)</f>
        <v>2</v>
      </c>
      <c r="K1205" s="243">
        <f ca="1">OFFSET(card_type!$G$1,MATCH(Q1205,card_type!A:A,0)-1,0)</f>
        <v>3</v>
      </c>
      <c r="L1205" s="157">
        <v>2</v>
      </c>
      <c r="M1205" s="157">
        <v>2</v>
      </c>
      <c r="N1205" s="153">
        <f t="shared" ref="N1205:N1268" si="206">IF(B1204=B1205,N1204+1,1)</f>
        <v>25</v>
      </c>
      <c r="O1205" s="157"/>
      <c r="P1205" s="157"/>
      <c r="Q1205" s="153">
        <f ca="1">OFFSET(card_type!$A$1,MATCH(card!B1205,card_type!B:B,0)-1,0)</f>
        <v>2014</v>
      </c>
      <c r="R1205" s="153">
        <v>1</v>
      </c>
      <c r="S1205" s="157">
        <f ca="1">ROUND(IF(R1205=0,0,IF(R1205=1,X1205*$S$1,IF(R1205=2,X1205*$S$1*buff的资质计算!$E$2,IF(R1205=3,X1205*$S$1*buff的资质计算!$E$3,0)))),0)*0</f>
        <v>0</v>
      </c>
      <c r="T1205" s="153">
        <v>4</v>
      </c>
      <c r="U1205" s="153">
        <f ca="1" t="shared" si="198"/>
        <v>23</v>
      </c>
      <c r="V1205" s="153">
        <f ca="1">ROUND((OFFSET(卡牌辅助配置表!$O$1,MATCH(U1205,卡牌辅助配置表!M:M,0)-1,0)+(N1205-1)*OFFSET(卡牌辅助配置表!$P$1,MATCH(U1205,卡牌辅助配置表!M:M,0)-1,0))*M1205,2)</f>
        <v>87.36</v>
      </c>
      <c r="W1205" s="157">
        <f ca="1">ROUND(IF(R1205=0,0,IF(R1205=1,X1205*$W$1,IF(R1205=2,X1205*$W$1*buff的资质计算!$E$2,IF(R1205=3,X1205*$W$1*buff的资质计算!$E$3,0)))),2)</f>
        <v>14.4</v>
      </c>
      <c r="X1205" s="157">
        <f ca="1" t="shared" si="204"/>
        <v>48</v>
      </c>
      <c r="Y1205" s="157" t="e">
        <f ca="1" t="shared" si="203"/>
        <v>#VALUE!</v>
      </c>
      <c r="Z1205" s="304" t="e">
        <f ca="1" t="shared" si="205"/>
        <v>#VALUE!</v>
      </c>
      <c r="AA1205" s="304">
        <f ca="1">OFFSET(卡牌辅助配置表!$AD$1,MATCH(AB1205,卡牌辅助配置表!AB:AB,0)-1,0)</f>
        <v>7395</v>
      </c>
      <c r="AB1205" s="304">
        <f ca="1" t="shared" si="199"/>
        <v>2325</v>
      </c>
      <c r="AC1205" s="153">
        <v>12</v>
      </c>
      <c r="AF1205" s="153" t="str">
        <f ca="1" t="shared" si="202"/>
        <v>20140011|</v>
      </c>
      <c r="AJ1205" s="205" t="str">
        <f ca="1" t="shared" si="200"/>
        <v>400023|22200|;</v>
      </c>
      <c r="AK1205" s="205">
        <f ca="1">OFFSET([1]item_type!$A$1,MATCH(Q1205,[1]item_type!$G:$G,0)-1,0)</f>
        <v>302014</v>
      </c>
      <c r="AL1205" s="205"/>
      <c r="AM1205" s="205">
        <f ca="1">IF(B1205=B1206,OFFSET(卡牌辅助配置表!$AE$1,MATCH(AB1205,卡牌辅助配置表!AB:AB,0),0),0)</f>
        <v>22200</v>
      </c>
      <c r="AN1205" s="153">
        <f ca="1" t="shared" si="201"/>
        <v>2014026</v>
      </c>
      <c r="AP1205" s="153">
        <f ca="1">IF(AC1205=0,0,IF(AC1205=12,0,OFFSET(effect!$N$1,MATCH(K1205,effect!M:M,0)-1,0)))</f>
        <v>0</v>
      </c>
    </row>
    <row r="1206" spans="1:42">
      <c r="A1206" s="153">
        <f ca="1" t="shared" si="197"/>
        <v>2014026</v>
      </c>
      <c r="B1206" s="91" t="s">
        <v>357</v>
      </c>
      <c r="C1206" s="186">
        <v>2</v>
      </c>
      <c r="D1206" s="186">
        <v>5</v>
      </c>
      <c r="E1206" s="165" t="s">
        <v>1058</v>
      </c>
      <c r="F1206" s="179" t="s">
        <v>1062</v>
      </c>
      <c r="G1206" s="186">
        <f ca="1">OFFSET(卡牌辅助配置表!$C$1,MATCH(AC1206,卡牌辅助配置表!A:A,0)-1,0)</f>
        <v>0</v>
      </c>
      <c r="H1206" s="186" t="e">
        <f ca="1">OFFSET(skill!$Q$1,MATCH(B1206,skill!B:B,0)-1,0)</f>
        <v>#VALUE!</v>
      </c>
      <c r="I1206" s="186"/>
      <c r="J1206" s="186">
        <f ca="1">OFFSET(card_type!$F$1,MATCH(Q1206,card_type!A:A,0)-1,0)</f>
        <v>2</v>
      </c>
      <c r="K1206" s="243">
        <f ca="1">OFFSET(card_type!$G$1,MATCH(Q1206,card_type!A:A,0)-1,0)</f>
        <v>3</v>
      </c>
      <c r="L1206" s="157">
        <v>2</v>
      </c>
      <c r="M1206" s="157">
        <v>2</v>
      </c>
      <c r="N1206" s="153">
        <f t="shared" si="206"/>
        <v>26</v>
      </c>
      <c r="O1206" s="157"/>
      <c r="P1206" s="157"/>
      <c r="Q1206" s="153">
        <f ca="1">OFFSET(card_type!$A$1,MATCH(card!B1206,card_type!B:B,0)-1,0)</f>
        <v>2014</v>
      </c>
      <c r="R1206" s="153">
        <v>1</v>
      </c>
      <c r="S1206" s="157">
        <f ca="1">ROUND(IF(R1206=0,0,IF(R1206=1,X1206*$S$1,IF(R1206=2,X1206*$S$1*buff的资质计算!$E$2,IF(R1206=3,X1206*$S$1*buff的资质计算!$E$3,0)))),0)*0</f>
        <v>0</v>
      </c>
      <c r="T1206" s="153">
        <v>4</v>
      </c>
      <c r="U1206" s="153">
        <f ca="1" t="shared" si="198"/>
        <v>23</v>
      </c>
      <c r="V1206" s="153">
        <f ca="1">ROUND((OFFSET(卡牌辅助配置表!$O$1,MATCH(U1206,卡牌辅助配置表!M:M,0)-1,0)+(N1206-1)*OFFSET(卡牌辅助配置表!$P$1,MATCH(U1206,卡牌辅助配置表!M:M,0)-1,0))*M1206,2)</f>
        <v>89.6</v>
      </c>
      <c r="W1206" s="157">
        <f ca="1">ROUND(IF(R1206=0,0,IF(R1206=1,X1206*$W$1,IF(R1206=2,X1206*$W$1*buff的资质计算!$E$2,IF(R1206=3,X1206*$W$1*buff的资质计算!$E$3,0)))),2)</f>
        <v>14.55</v>
      </c>
      <c r="X1206" s="157">
        <f ca="1" t="shared" si="204"/>
        <v>48.5</v>
      </c>
      <c r="Y1206" s="157" t="e">
        <f ca="1" t="shared" si="203"/>
        <v>#VALUE!</v>
      </c>
      <c r="Z1206" s="304" t="e">
        <f ca="1" t="shared" si="205"/>
        <v>#VALUE!</v>
      </c>
      <c r="AA1206" s="304">
        <f ca="1">OFFSET(卡牌辅助配置表!$AD$1,MATCH(AB1206,卡牌辅助配置表!AB:AB,0)-1,0)</f>
        <v>7818</v>
      </c>
      <c r="AB1206" s="304">
        <f ca="1" t="shared" si="199"/>
        <v>2326</v>
      </c>
      <c r="AC1206" s="153">
        <v>12</v>
      </c>
      <c r="AF1206" s="153" t="str">
        <f ca="1" t="shared" si="202"/>
        <v>20140011|</v>
      </c>
      <c r="AJ1206" s="205" t="str">
        <f ca="1" t="shared" si="200"/>
        <v>400023|23800|;</v>
      </c>
      <c r="AK1206" s="205">
        <f ca="1">OFFSET([1]item_type!$A$1,MATCH(Q1206,[1]item_type!$G:$G,0)-1,0)</f>
        <v>302014</v>
      </c>
      <c r="AL1206" s="205"/>
      <c r="AM1206" s="205">
        <f ca="1">IF(B1206=B1207,OFFSET(卡牌辅助配置表!$AE$1,MATCH(AB1206,卡牌辅助配置表!AB:AB,0),0),0)</f>
        <v>23800</v>
      </c>
      <c r="AN1206" s="153">
        <f ca="1" t="shared" si="201"/>
        <v>2014027</v>
      </c>
      <c r="AP1206" s="153">
        <f ca="1">IF(AC1206=0,0,IF(AC1206=12,0,OFFSET(effect!$N$1,MATCH(K1206,effect!M:M,0)-1,0)))</f>
        <v>0</v>
      </c>
    </row>
    <row r="1207" spans="1:42">
      <c r="A1207" s="153">
        <f ca="1" t="shared" si="197"/>
        <v>2014027</v>
      </c>
      <c r="B1207" s="91" t="s">
        <v>357</v>
      </c>
      <c r="C1207" s="186">
        <v>2</v>
      </c>
      <c r="D1207" s="186">
        <v>5</v>
      </c>
      <c r="E1207" s="165" t="s">
        <v>1058</v>
      </c>
      <c r="F1207" s="179" t="s">
        <v>1062</v>
      </c>
      <c r="G1207" s="186">
        <f ca="1">OFFSET(卡牌辅助配置表!$C$1,MATCH(AC1207,卡牌辅助配置表!A:A,0)-1,0)</f>
        <v>0</v>
      </c>
      <c r="H1207" s="186" t="e">
        <f ca="1">OFFSET(skill!$Q$1,MATCH(B1207,skill!B:B,0)-1,0)</f>
        <v>#VALUE!</v>
      </c>
      <c r="I1207" s="186"/>
      <c r="J1207" s="186">
        <f ca="1">OFFSET(card_type!$F$1,MATCH(Q1207,card_type!A:A,0)-1,0)</f>
        <v>2</v>
      </c>
      <c r="K1207" s="243">
        <f ca="1">OFFSET(card_type!$G$1,MATCH(Q1207,card_type!A:A,0)-1,0)</f>
        <v>3</v>
      </c>
      <c r="L1207" s="157">
        <v>2</v>
      </c>
      <c r="M1207" s="157">
        <v>2</v>
      </c>
      <c r="N1207" s="153">
        <f t="shared" si="206"/>
        <v>27</v>
      </c>
      <c r="O1207" s="157"/>
      <c r="P1207" s="157"/>
      <c r="Q1207" s="153">
        <f ca="1">OFFSET(card_type!$A$1,MATCH(card!B1207,card_type!B:B,0)-1,0)</f>
        <v>2014</v>
      </c>
      <c r="R1207" s="153">
        <v>1</v>
      </c>
      <c r="S1207" s="157">
        <f ca="1">ROUND(IF(R1207=0,0,IF(R1207=1,X1207*$S$1,IF(R1207=2,X1207*$S$1*buff的资质计算!$E$2,IF(R1207=3,X1207*$S$1*buff的资质计算!$E$3,0)))),0)*0</f>
        <v>0</v>
      </c>
      <c r="T1207" s="153">
        <v>4</v>
      </c>
      <c r="U1207" s="153">
        <f ca="1" t="shared" si="198"/>
        <v>23</v>
      </c>
      <c r="V1207" s="153">
        <f ca="1">ROUND((OFFSET(卡牌辅助配置表!$O$1,MATCH(U1207,卡牌辅助配置表!M:M,0)-1,0)+(N1207-1)*OFFSET(卡牌辅助配置表!$P$1,MATCH(U1207,卡牌辅助配置表!M:M,0)-1,0))*M1207,2)</f>
        <v>91.84</v>
      </c>
      <c r="W1207" s="157">
        <f ca="1">ROUND(IF(R1207=0,0,IF(R1207=1,X1207*$W$1,IF(R1207=2,X1207*$W$1*buff的资质计算!$E$2,IF(R1207=3,X1207*$W$1*buff的资质计算!$E$3,0)))),2)</f>
        <v>14.7</v>
      </c>
      <c r="X1207" s="157">
        <f ca="1" t="shared" si="204"/>
        <v>49</v>
      </c>
      <c r="Y1207" s="157" t="e">
        <f ca="1" t="shared" si="203"/>
        <v>#VALUE!</v>
      </c>
      <c r="Z1207" s="304" t="e">
        <f ca="1" t="shared" si="205"/>
        <v>#VALUE!</v>
      </c>
      <c r="AA1207" s="304">
        <f ca="1">OFFSET(卡牌辅助配置表!$AD$1,MATCH(AB1207,卡牌辅助配置表!AB:AB,0)-1,0)</f>
        <v>8241</v>
      </c>
      <c r="AB1207" s="304">
        <f ca="1" t="shared" si="199"/>
        <v>2327</v>
      </c>
      <c r="AC1207" s="153">
        <v>12</v>
      </c>
      <c r="AF1207" s="153" t="str">
        <f ca="1" t="shared" si="202"/>
        <v>20140011|</v>
      </c>
      <c r="AJ1207" s="205" t="str">
        <f ca="1" t="shared" si="200"/>
        <v>400023|25400|;</v>
      </c>
      <c r="AK1207" s="205">
        <f ca="1">OFFSET([1]item_type!$A$1,MATCH(Q1207,[1]item_type!$G:$G,0)-1,0)</f>
        <v>302014</v>
      </c>
      <c r="AL1207" s="205"/>
      <c r="AM1207" s="205">
        <f ca="1">IF(B1207=B1208,OFFSET(卡牌辅助配置表!$AE$1,MATCH(AB1207,卡牌辅助配置表!AB:AB,0),0),0)</f>
        <v>25400</v>
      </c>
      <c r="AN1207" s="153">
        <f ca="1" t="shared" si="201"/>
        <v>2014028</v>
      </c>
      <c r="AP1207" s="153">
        <f ca="1">IF(AC1207=0,0,IF(AC1207=12,0,OFFSET(effect!$N$1,MATCH(K1207,effect!M:M,0)-1,0)))</f>
        <v>0</v>
      </c>
    </row>
    <row r="1208" spans="1:42">
      <c r="A1208" s="153">
        <f ca="1" t="shared" si="197"/>
        <v>2014028</v>
      </c>
      <c r="B1208" s="91" t="s">
        <v>357</v>
      </c>
      <c r="C1208" s="186">
        <v>2</v>
      </c>
      <c r="D1208" s="186">
        <v>5</v>
      </c>
      <c r="E1208" s="165" t="s">
        <v>1058</v>
      </c>
      <c r="F1208" s="179" t="s">
        <v>1062</v>
      </c>
      <c r="G1208" s="186">
        <f ca="1">OFFSET(卡牌辅助配置表!$C$1,MATCH(AC1208,卡牌辅助配置表!A:A,0)-1,0)</f>
        <v>0</v>
      </c>
      <c r="H1208" s="186" t="e">
        <f ca="1">OFFSET(skill!$Q$1,MATCH(B1208,skill!B:B,0)-1,0)</f>
        <v>#VALUE!</v>
      </c>
      <c r="I1208" s="186"/>
      <c r="J1208" s="186">
        <f ca="1">OFFSET(card_type!$F$1,MATCH(Q1208,card_type!A:A,0)-1,0)</f>
        <v>2</v>
      </c>
      <c r="K1208" s="243">
        <f ca="1">OFFSET(card_type!$G$1,MATCH(Q1208,card_type!A:A,0)-1,0)</f>
        <v>3</v>
      </c>
      <c r="L1208" s="157">
        <v>2</v>
      </c>
      <c r="M1208" s="157">
        <v>2</v>
      </c>
      <c r="N1208" s="153">
        <f t="shared" si="206"/>
        <v>28</v>
      </c>
      <c r="O1208" s="157"/>
      <c r="P1208" s="157"/>
      <c r="Q1208" s="153">
        <f ca="1">OFFSET(card_type!$A$1,MATCH(card!B1208,card_type!B:B,0)-1,0)</f>
        <v>2014</v>
      </c>
      <c r="R1208" s="153">
        <v>1</v>
      </c>
      <c r="S1208" s="157">
        <f ca="1">ROUND(IF(R1208=0,0,IF(R1208=1,X1208*$S$1,IF(R1208=2,X1208*$S$1*buff的资质计算!$E$2,IF(R1208=3,X1208*$S$1*buff的资质计算!$E$3,0)))),0)*0</f>
        <v>0</v>
      </c>
      <c r="T1208" s="153">
        <v>4</v>
      </c>
      <c r="U1208" s="153">
        <f ca="1" t="shared" si="198"/>
        <v>23</v>
      </c>
      <c r="V1208" s="153">
        <f ca="1">ROUND((OFFSET(卡牌辅助配置表!$O$1,MATCH(U1208,卡牌辅助配置表!M:M,0)-1,0)+(N1208-1)*OFFSET(卡牌辅助配置表!$P$1,MATCH(U1208,卡牌辅助配置表!M:M,0)-1,0))*M1208,2)</f>
        <v>94.08</v>
      </c>
      <c r="W1208" s="157">
        <f ca="1">ROUND(IF(R1208=0,0,IF(R1208=1,X1208*$W$1,IF(R1208=2,X1208*$W$1*buff的资质计算!$E$2,IF(R1208=3,X1208*$W$1*buff的资质计算!$E$3,0)))),2)</f>
        <v>14.85</v>
      </c>
      <c r="X1208" s="157">
        <f ca="1" t="shared" si="204"/>
        <v>49.5</v>
      </c>
      <c r="Y1208" s="157" t="e">
        <f ca="1" t="shared" si="203"/>
        <v>#VALUE!</v>
      </c>
      <c r="Z1208" s="304" t="e">
        <f ca="1" t="shared" si="205"/>
        <v>#VALUE!</v>
      </c>
      <c r="AA1208" s="304">
        <f ca="1">OFFSET(卡牌辅助配置表!$AD$1,MATCH(AB1208,卡牌辅助配置表!AB:AB,0)-1,0)</f>
        <v>8664</v>
      </c>
      <c r="AB1208" s="304">
        <f ca="1" t="shared" si="199"/>
        <v>2328</v>
      </c>
      <c r="AC1208" s="153">
        <v>12</v>
      </c>
      <c r="AF1208" s="153" t="str">
        <f ca="1" t="shared" si="202"/>
        <v>20140011|</v>
      </c>
      <c r="AJ1208" s="205" t="str">
        <f ca="1" t="shared" si="200"/>
        <v>400023|27000|;</v>
      </c>
      <c r="AK1208" s="205">
        <f ca="1">OFFSET([1]item_type!$A$1,MATCH(Q1208,[1]item_type!$G:$G,0)-1,0)</f>
        <v>302014</v>
      </c>
      <c r="AL1208" s="205"/>
      <c r="AM1208" s="205">
        <f ca="1">IF(B1208=B1209,OFFSET(卡牌辅助配置表!$AE$1,MATCH(AB1208,卡牌辅助配置表!AB:AB,0),0),0)</f>
        <v>27000</v>
      </c>
      <c r="AN1208" s="153">
        <f ca="1" t="shared" si="201"/>
        <v>2014029</v>
      </c>
      <c r="AP1208" s="153">
        <f ca="1">IF(AC1208=0,0,IF(AC1208=12,0,OFFSET(effect!$N$1,MATCH(K1208,effect!M:M,0)-1,0)))</f>
        <v>0</v>
      </c>
    </row>
    <row r="1209" spans="1:42">
      <c r="A1209" s="153">
        <f ca="1" t="shared" si="197"/>
        <v>2014029</v>
      </c>
      <c r="B1209" s="91" t="s">
        <v>357</v>
      </c>
      <c r="C1209" s="186">
        <v>2</v>
      </c>
      <c r="D1209" s="186">
        <v>5</v>
      </c>
      <c r="E1209" s="165" t="s">
        <v>1058</v>
      </c>
      <c r="F1209" s="179" t="s">
        <v>1062</v>
      </c>
      <c r="G1209" s="186">
        <f ca="1">OFFSET(卡牌辅助配置表!$C$1,MATCH(AC1209,卡牌辅助配置表!A:A,0)-1,0)</f>
        <v>0</v>
      </c>
      <c r="H1209" s="186" t="e">
        <f ca="1">OFFSET(skill!$Q$1,MATCH(B1209,skill!B:B,0)-1,0)</f>
        <v>#VALUE!</v>
      </c>
      <c r="I1209" s="186"/>
      <c r="J1209" s="186">
        <f ca="1">OFFSET(card_type!$F$1,MATCH(Q1209,card_type!A:A,0)-1,0)</f>
        <v>2</v>
      </c>
      <c r="K1209" s="243">
        <f ca="1">OFFSET(card_type!$G$1,MATCH(Q1209,card_type!A:A,0)-1,0)</f>
        <v>3</v>
      </c>
      <c r="L1209" s="157">
        <v>2</v>
      </c>
      <c r="M1209" s="157">
        <v>2</v>
      </c>
      <c r="N1209" s="153">
        <f t="shared" si="206"/>
        <v>29</v>
      </c>
      <c r="O1209" s="157"/>
      <c r="P1209" s="157"/>
      <c r="Q1209" s="153">
        <f ca="1">OFFSET(card_type!$A$1,MATCH(card!B1209,card_type!B:B,0)-1,0)</f>
        <v>2014</v>
      </c>
      <c r="R1209" s="153">
        <v>1</v>
      </c>
      <c r="S1209" s="157">
        <f ca="1">ROUND(IF(R1209=0,0,IF(R1209=1,X1209*$S$1,IF(R1209=2,X1209*$S$1*buff的资质计算!$E$2,IF(R1209=3,X1209*$S$1*buff的资质计算!$E$3,0)))),0)*0</f>
        <v>0</v>
      </c>
      <c r="T1209" s="153">
        <v>4</v>
      </c>
      <c r="U1209" s="153">
        <f ca="1" t="shared" si="198"/>
        <v>23</v>
      </c>
      <c r="V1209" s="153">
        <f ca="1">ROUND((OFFSET(卡牌辅助配置表!$O$1,MATCH(U1209,卡牌辅助配置表!M:M,0)-1,0)+(N1209-1)*OFFSET(卡牌辅助配置表!$P$1,MATCH(U1209,卡牌辅助配置表!M:M,0)-1,0))*M1209,2)</f>
        <v>96.32</v>
      </c>
      <c r="W1209" s="157">
        <f ca="1">ROUND(IF(R1209=0,0,IF(R1209=1,X1209*$W$1,IF(R1209=2,X1209*$W$1*buff的资质计算!$E$2,IF(R1209=3,X1209*$W$1*buff的资质计算!$E$3,0)))),2)</f>
        <v>15</v>
      </c>
      <c r="X1209" s="157">
        <f ca="1" t="shared" si="204"/>
        <v>50</v>
      </c>
      <c r="Y1209" s="157" t="e">
        <f ca="1" t="shared" si="203"/>
        <v>#VALUE!</v>
      </c>
      <c r="Z1209" s="304" t="e">
        <f ca="1" t="shared" si="205"/>
        <v>#VALUE!</v>
      </c>
      <c r="AA1209" s="304">
        <f ca="1">OFFSET(卡牌辅助配置表!$AD$1,MATCH(AB1209,卡牌辅助配置表!AB:AB,0)-1,0)</f>
        <v>9087</v>
      </c>
      <c r="AB1209" s="304">
        <f ca="1" t="shared" si="199"/>
        <v>2329</v>
      </c>
      <c r="AC1209" s="153">
        <v>12</v>
      </c>
      <c r="AF1209" s="153" t="str">
        <f ca="1" t="shared" si="202"/>
        <v>20140011|</v>
      </c>
      <c r="AJ1209" s="205" t="str">
        <f ca="1" t="shared" si="200"/>
        <v>302014|30|;400023|28600|;</v>
      </c>
      <c r="AK1209" s="205">
        <f ca="1">OFFSET([1]item_type!$A$1,MATCH(Q1209,[1]item_type!$G:$G,0)-1,0)</f>
        <v>302014</v>
      </c>
      <c r="AL1209" s="205">
        <v>30</v>
      </c>
      <c r="AM1209" s="205">
        <f ca="1">IF(B1209=B1210,OFFSET(卡牌辅助配置表!$AE$1,MATCH(AB1209,卡牌辅助配置表!AB:AB,0),0),0)</f>
        <v>28600</v>
      </c>
      <c r="AN1209" s="153">
        <f ca="1" t="shared" si="201"/>
        <v>2014030</v>
      </c>
      <c r="AP1209" s="153">
        <f ca="1">IF(AC1209=0,0,IF(AC1209=12,0,OFFSET(effect!$N$1,MATCH(K1209,effect!M:M,0)-1,0)))</f>
        <v>0</v>
      </c>
    </row>
    <row r="1210" spans="1:42">
      <c r="A1210" s="153">
        <f ca="1" t="shared" si="197"/>
        <v>2014030</v>
      </c>
      <c r="B1210" s="91" t="s">
        <v>357</v>
      </c>
      <c r="C1210" s="186">
        <v>2</v>
      </c>
      <c r="D1210" s="186">
        <v>5</v>
      </c>
      <c r="E1210" s="165" t="s">
        <v>1058</v>
      </c>
      <c r="F1210" s="179" t="s">
        <v>1062</v>
      </c>
      <c r="G1210" s="186">
        <f ca="1">OFFSET(卡牌辅助配置表!$C$1,MATCH(AC1210,卡牌辅助配置表!A:A,0)-1,0)</f>
        <v>0</v>
      </c>
      <c r="H1210" s="186" t="e">
        <f ca="1">OFFSET(skill!$Q$1,MATCH(B1210,skill!B:B,0)-1,0)</f>
        <v>#VALUE!</v>
      </c>
      <c r="I1210" s="186"/>
      <c r="J1210" s="186">
        <f ca="1">OFFSET(card_type!$F$1,MATCH(Q1210,card_type!A:A,0)-1,0)</f>
        <v>2</v>
      </c>
      <c r="K1210" s="243">
        <f ca="1">OFFSET(card_type!$G$1,MATCH(Q1210,card_type!A:A,0)-1,0)</f>
        <v>3</v>
      </c>
      <c r="L1210" s="157">
        <v>2</v>
      </c>
      <c r="M1210" s="157">
        <v>2</v>
      </c>
      <c r="N1210" s="153">
        <f t="shared" si="206"/>
        <v>30</v>
      </c>
      <c r="O1210" s="157"/>
      <c r="P1210" s="157"/>
      <c r="Q1210" s="153">
        <f ca="1">OFFSET(card_type!$A$1,MATCH(card!B1210,card_type!B:B,0)-1,0)</f>
        <v>2014</v>
      </c>
      <c r="R1210" s="153">
        <v>1</v>
      </c>
      <c r="S1210" s="157">
        <f ca="1">ROUND(IF(R1210=0,0,IF(R1210=1,X1210*$S$1,IF(R1210=2,X1210*$S$1*buff的资质计算!$E$2,IF(R1210=3,X1210*$S$1*buff的资质计算!$E$3,0)))),0)*0</f>
        <v>0</v>
      </c>
      <c r="T1210" s="153">
        <v>4</v>
      </c>
      <c r="U1210" s="153">
        <f ca="1" t="shared" si="198"/>
        <v>23</v>
      </c>
      <c r="V1210" s="153">
        <f ca="1">ROUND((OFFSET(卡牌辅助配置表!$O$1,MATCH(U1210,卡牌辅助配置表!M:M,0)-1,0)+(N1210-1)*OFFSET(卡牌辅助配置表!$P$1,MATCH(U1210,卡牌辅助配置表!M:M,0)-1,0))*M1210,2)</f>
        <v>98.56</v>
      </c>
      <c r="W1210" s="157">
        <f ca="1">ROUND(IF(R1210=0,0,IF(R1210=1,X1210*$W$1,IF(R1210=2,X1210*$W$1*buff的资质计算!$E$2,IF(R1210=3,X1210*$W$1*buff的资质计算!$E$3,0)))),2)</f>
        <v>15.15</v>
      </c>
      <c r="X1210" s="157">
        <f ca="1" t="shared" si="204"/>
        <v>50.5</v>
      </c>
      <c r="Y1210" s="157" t="e">
        <f ca="1" t="shared" si="203"/>
        <v>#VALUE!</v>
      </c>
      <c r="Z1210" s="304" t="e">
        <f ca="1" t="shared" si="205"/>
        <v>#VALUE!</v>
      </c>
      <c r="AA1210" s="304">
        <f ca="1">OFFSET(卡牌辅助配置表!$AD$1,MATCH(AB1210,卡牌辅助配置表!AB:AB,0)-1,0)</f>
        <v>9510</v>
      </c>
      <c r="AB1210" s="304">
        <f ca="1" t="shared" si="199"/>
        <v>2330</v>
      </c>
      <c r="AC1210" s="153">
        <v>12</v>
      </c>
      <c r="AF1210" s="153" t="str">
        <f ca="1" t="shared" si="202"/>
        <v>20140011|</v>
      </c>
      <c r="AJ1210" s="205">
        <f ca="1" t="shared" si="200"/>
        <v>0</v>
      </c>
      <c r="AK1210" s="205">
        <f ca="1">OFFSET([1]item_type!$A$1,MATCH(Q1210,[1]item_type!$G:$G,0)-1,0)</f>
        <v>302014</v>
      </c>
      <c r="AL1210" s="205"/>
      <c r="AM1210" s="205">
        <f ca="1">IF(B1210=B1211,OFFSET(卡牌辅助配置表!$AE$1,MATCH(AB1210,卡牌辅助配置表!AB:AB,0),0),0)</f>
        <v>0</v>
      </c>
      <c r="AN1210" s="153">
        <f ca="1" t="shared" si="201"/>
        <v>0</v>
      </c>
      <c r="AP1210" s="153">
        <f ca="1">IF(AC1210=0,0,IF(AC1210=12,0,OFFSET(effect!$N$1,MATCH(K1210,effect!M:M,0)-1,0)))</f>
        <v>0</v>
      </c>
    </row>
    <row r="1211" spans="1:42">
      <c r="A1211" s="153">
        <f ca="1" t="shared" si="197"/>
        <v>2015001</v>
      </c>
      <c r="B1211" s="91" t="s">
        <v>393</v>
      </c>
      <c r="C1211" s="186">
        <v>2</v>
      </c>
      <c r="D1211" s="186">
        <v>1</v>
      </c>
      <c r="E1211" s="165"/>
      <c r="F1211" s="179" t="str">
        <f>buff!C71</f>
        <v>增加剑法伤害15%，持续2回合</v>
      </c>
      <c r="G1211" s="186">
        <f ca="1">OFFSET(卡牌辅助配置表!$C$1,MATCH(AC1211,卡牌辅助配置表!A:A,0)-1,0)</f>
        <v>0</v>
      </c>
      <c r="H1211" s="186" t="e">
        <f ca="1">skill!Q80</f>
        <v>#VALUE!</v>
      </c>
      <c r="I1211" s="186"/>
      <c r="J1211" s="186">
        <f ca="1">OFFSET(card_type!$F$1,MATCH(Q1211,card_type!A:A,0)-1,0)</f>
        <v>2</v>
      </c>
      <c r="K1211" s="243">
        <f ca="1">OFFSET(card_type!$G$1,MATCH(Q1211,card_type!A:A,0)-1,0)</f>
        <v>1</v>
      </c>
      <c r="L1211" s="157">
        <v>2</v>
      </c>
      <c r="M1211" s="157">
        <v>2</v>
      </c>
      <c r="N1211" s="153">
        <f t="shared" si="206"/>
        <v>1</v>
      </c>
      <c r="O1211" s="157"/>
      <c r="P1211" s="157"/>
      <c r="Q1211" s="153">
        <f ca="1">OFFSET(card_type!$A$1,MATCH(card!B1211,card_type!B:B,0)-1,0)</f>
        <v>2015</v>
      </c>
      <c r="R1211" s="153">
        <v>0</v>
      </c>
      <c r="S1211" s="157">
        <f ca="1">ROUND(IF(R1211=0,0,IF(R1211=1,X1211*$S$1,IF(R1211=2,X1211*$S$1*buff的资质计算!$E$2,IF(R1211=3,X1211*$S$1*buff的资质计算!$E$3,0)))),0)*0</f>
        <v>0</v>
      </c>
      <c r="T1211" s="153">
        <v>4</v>
      </c>
      <c r="U1211" s="153">
        <f ca="1" t="shared" si="198"/>
        <v>21</v>
      </c>
      <c r="V1211" s="153">
        <f ca="1">ROUND((OFFSET(卡牌辅助配置表!$O$1,MATCH(U1211,卡牌辅助配置表!M:M,0)-1,0)+(N1211-1)*OFFSET(卡牌辅助配置表!$P$1,MATCH(U1211,卡牌辅助配置表!M:M,0)-1,0))*M1211,2)</f>
        <v>13.86</v>
      </c>
      <c r="W1211" s="157">
        <f ca="1">ROUND(IF(R1211=0,0,IF(R1211=1,X1211*$W$1,IF(R1211=2,X1211*$W$1*buff的资质计算!$E$2,IF(R1211=3,X1211*$W$1*buff的资质计算!$E$3,0)))),2)</f>
        <v>0</v>
      </c>
      <c r="X1211" s="157">
        <f ca="1" t="shared" si="204"/>
        <v>20</v>
      </c>
      <c r="Y1211" s="157" t="e">
        <f ca="1" t="shared" ref="Y1211:Y1240" si="207">IF(R1211=0,H1211,X1211+H1211)</f>
        <v>#VALUE!</v>
      </c>
      <c r="Z1211" s="304" t="e">
        <f ca="1" t="shared" si="205"/>
        <v>#VALUE!</v>
      </c>
      <c r="AA1211" s="304">
        <f ca="1">OFFSET(卡牌辅助配置表!$AD$1,MATCH(AB1211,卡牌辅助配置表!AB:AB,0)-1,0)</f>
        <v>42</v>
      </c>
      <c r="AB1211" s="304">
        <f ca="1" t="shared" si="199"/>
        <v>2101</v>
      </c>
      <c r="AC1211" s="153">
        <v>12</v>
      </c>
      <c r="AF1211" s="153" t="str">
        <f ca="1" t="shared" ref="AF1211:AF1240" si="208">AG1211&amp;$AF$1</f>
        <v>20150011|</v>
      </c>
      <c r="AG1211" s="153">
        <f ca="1">skill!A80</f>
        <v>20150011</v>
      </c>
      <c r="AJ1211" s="205" t="str">
        <f ca="1" t="shared" si="200"/>
        <v>400023|700|;</v>
      </c>
      <c r="AK1211" s="205">
        <f ca="1">OFFSET([1]item_type!$A$1,MATCH(Q1211,[1]item_type!$G:$G,0)-1,0)</f>
        <v>302015</v>
      </c>
      <c r="AL1211" s="205"/>
      <c r="AM1211" s="205">
        <f ca="1">IF(B1211=B1212,OFFSET(卡牌辅助配置表!$AE$1,MATCH(AB1211,卡牌辅助配置表!AB:AB,0),0),0)</f>
        <v>700</v>
      </c>
      <c r="AN1211" s="153">
        <f ca="1" t="shared" si="201"/>
        <v>2015002</v>
      </c>
      <c r="AP1211" s="153">
        <f ca="1">IF(AC1211=0,0,IF(AC1211=12,0,OFFSET(effect!$N$1,MATCH(K1211,effect!M:M,0)-1,0)))</f>
        <v>0</v>
      </c>
    </row>
    <row r="1212" spans="1:42">
      <c r="A1212" s="153">
        <f ca="1" t="shared" si="197"/>
        <v>2015002</v>
      </c>
      <c r="B1212" s="91" t="s">
        <v>393</v>
      </c>
      <c r="C1212" s="186">
        <v>2</v>
      </c>
      <c r="D1212" s="186">
        <v>1</v>
      </c>
      <c r="E1212" s="165"/>
      <c r="F1212" s="179" t="str">
        <f>buff!C72</f>
        <v>增加剑法伤害15.5%，持续2回合</v>
      </c>
      <c r="G1212" s="186">
        <f ca="1">OFFSET(卡牌辅助配置表!$C$1,MATCH(AC1212,卡牌辅助配置表!A:A,0)-1,0)</f>
        <v>0</v>
      </c>
      <c r="H1212" s="186" t="e">
        <f ca="1">skill!Q81</f>
        <v>#VALUE!</v>
      </c>
      <c r="I1212" s="186"/>
      <c r="J1212" s="186">
        <f ca="1">OFFSET(card_type!$F$1,MATCH(Q1212,card_type!A:A,0)-1,0)</f>
        <v>2</v>
      </c>
      <c r="K1212" s="243">
        <f ca="1">OFFSET(card_type!$G$1,MATCH(Q1212,card_type!A:A,0)-1,0)</f>
        <v>1</v>
      </c>
      <c r="L1212" s="157">
        <v>2</v>
      </c>
      <c r="M1212" s="157">
        <v>2</v>
      </c>
      <c r="N1212" s="153">
        <f t="shared" si="206"/>
        <v>2</v>
      </c>
      <c r="O1212" s="157"/>
      <c r="P1212" s="157"/>
      <c r="Q1212" s="153">
        <f ca="1">OFFSET(card_type!$A$1,MATCH(card!B1212,card_type!B:B,0)-1,0)</f>
        <v>2015</v>
      </c>
      <c r="R1212" s="153">
        <v>0</v>
      </c>
      <c r="S1212" s="157">
        <f ca="1">ROUND(IF(R1212=0,0,IF(R1212=1,X1212*$S$1,IF(R1212=2,X1212*$S$1*buff的资质计算!$E$2,IF(R1212=3,X1212*$S$1*buff的资质计算!$E$3,0)))),0)*0</f>
        <v>0</v>
      </c>
      <c r="T1212" s="153">
        <v>4</v>
      </c>
      <c r="U1212" s="153">
        <f ca="1" t="shared" si="198"/>
        <v>21</v>
      </c>
      <c r="V1212" s="153">
        <f ca="1">ROUND((OFFSET(卡牌辅助配置表!$O$1,MATCH(U1212,卡牌辅助配置表!M:M,0)-1,0)+(N1212-1)*OFFSET(卡牌辅助配置表!$P$1,MATCH(U1212,卡牌辅助配置表!M:M,0)-1,0))*M1212,2)</f>
        <v>14.98</v>
      </c>
      <c r="W1212" s="157">
        <f ca="1">ROUND(IF(R1212=0,0,IF(R1212=1,X1212*$W$1,IF(R1212=2,X1212*$W$1*buff的资质计算!$E$2,IF(R1212=3,X1212*$W$1*buff的资质计算!$E$3,0)))),2)</f>
        <v>0</v>
      </c>
      <c r="X1212" s="157">
        <f ca="1" t="shared" si="204"/>
        <v>20.5</v>
      </c>
      <c r="Y1212" s="157" t="e">
        <f ca="1" t="shared" si="207"/>
        <v>#VALUE!</v>
      </c>
      <c r="Z1212" s="304" t="e">
        <f ca="1" t="shared" si="205"/>
        <v>#VALUE!</v>
      </c>
      <c r="AA1212" s="304">
        <f ca="1">OFFSET(卡牌辅助配置表!$AD$1,MATCH(AB1212,卡牌辅助配置表!AB:AB,0)-1,0)</f>
        <v>84</v>
      </c>
      <c r="AB1212" s="304">
        <f ca="1" t="shared" si="199"/>
        <v>2102</v>
      </c>
      <c r="AC1212" s="153">
        <v>12</v>
      </c>
      <c r="AF1212" s="153" t="str">
        <f ca="1" t="shared" si="208"/>
        <v>20150012|</v>
      </c>
      <c r="AG1212" s="153">
        <f ca="1">skill!A81</f>
        <v>20150012</v>
      </c>
      <c r="AJ1212" s="205" t="str">
        <f ca="1" t="shared" si="200"/>
        <v>400023|900|;</v>
      </c>
      <c r="AK1212" s="205">
        <f ca="1">OFFSET([1]item_type!$A$1,MATCH(Q1212,[1]item_type!$G:$G,0)-1,0)</f>
        <v>302015</v>
      </c>
      <c r="AL1212" s="205"/>
      <c r="AM1212" s="205">
        <f ca="1">IF(B1212=B1213,OFFSET(卡牌辅助配置表!$AE$1,MATCH(AB1212,卡牌辅助配置表!AB:AB,0),0),0)</f>
        <v>900</v>
      </c>
      <c r="AN1212" s="153">
        <f ca="1" t="shared" si="201"/>
        <v>2015003</v>
      </c>
      <c r="AP1212" s="153">
        <f ca="1">IF(AC1212=0,0,IF(AC1212=12,0,OFFSET(effect!$N$1,MATCH(K1212,effect!M:M,0)-1,0)))</f>
        <v>0</v>
      </c>
    </row>
    <row r="1213" spans="1:42">
      <c r="A1213" s="153">
        <f ca="1" t="shared" si="197"/>
        <v>2015003</v>
      </c>
      <c r="B1213" s="91" t="s">
        <v>393</v>
      </c>
      <c r="C1213" s="186">
        <v>2</v>
      </c>
      <c r="D1213" s="186">
        <v>1</v>
      </c>
      <c r="E1213" s="165"/>
      <c r="F1213" s="179" t="str">
        <f>buff!C73</f>
        <v>增加剑法伤害16%，持续2回合</v>
      </c>
      <c r="G1213" s="186">
        <f ca="1">OFFSET(卡牌辅助配置表!$C$1,MATCH(AC1213,卡牌辅助配置表!A:A,0)-1,0)</f>
        <v>0</v>
      </c>
      <c r="H1213" s="186" t="e">
        <f ca="1">skill!Q82</f>
        <v>#VALUE!</v>
      </c>
      <c r="I1213" s="186"/>
      <c r="J1213" s="186">
        <f ca="1">OFFSET(card_type!$F$1,MATCH(Q1213,card_type!A:A,0)-1,0)</f>
        <v>2</v>
      </c>
      <c r="K1213" s="243">
        <f ca="1">OFFSET(card_type!$G$1,MATCH(Q1213,card_type!A:A,0)-1,0)</f>
        <v>1</v>
      </c>
      <c r="L1213" s="157">
        <v>2</v>
      </c>
      <c r="M1213" s="157">
        <v>2</v>
      </c>
      <c r="N1213" s="153">
        <f t="shared" si="206"/>
        <v>3</v>
      </c>
      <c r="O1213" s="157"/>
      <c r="P1213" s="157"/>
      <c r="Q1213" s="153">
        <f ca="1">OFFSET(card_type!$A$1,MATCH(card!B1213,card_type!B:B,0)-1,0)</f>
        <v>2015</v>
      </c>
      <c r="R1213" s="153">
        <v>0</v>
      </c>
      <c r="S1213" s="157">
        <f ca="1">ROUND(IF(R1213=0,0,IF(R1213=1,X1213*$S$1,IF(R1213=2,X1213*$S$1*buff的资质计算!$E$2,IF(R1213=3,X1213*$S$1*buff的资质计算!$E$3,0)))),0)*0</f>
        <v>0</v>
      </c>
      <c r="T1213" s="153">
        <v>4</v>
      </c>
      <c r="U1213" s="153">
        <f ca="1" t="shared" si="198"/>
        <v>21</v>
      </c>
      <c r="V1213" s="153">
        <f ca="1">ROUND((OFFSET(卡牌辅助配置表!$O$1,MATCH(U1213,卡牌辅助配置表!M:M,0)-1,0)+(N1213-1)*OFFSET(卡牌辅助配置表!$P$1,MATCH(U1213,卡牌辅助配置表!M:M,0)-1,0))*M1213,2)</f>
        <v>16.1</v>
      </c>
      <c r="W1213" s="157">
        <f ca="1">ROUND(IF(R1213=0,0,IF(R1213=1,X1213*$W$1,IF(R1213=2,X1213*$W$1*buff的资质计算!$E$2,IF(R1213=3,X1213*$W$1*buff的资质计算!$E$3,0)))),2)</f>
        <v>0</v>
      </c>
      <c r="X1213" s="157">
        <f ca="1" t="shared" si="204"/>
        <v>21</v>
      </c>
      <c r="Y1213" s="157" t="e">
        <f ca="1" t="shared" si="207"/>
        <v>#VALUE!</v>
      </c>
      <c r="Z1213" s="304" t="e">
        <f ca="1" t="shared" si="205"/>
        <v>#VALUE!</v>
      </c>
      <c r="AA1213" s="304">
        <f ca="1">OFFSET(卡牌辅助配置表!$AD$1,MATCH(AB1213,卡牌辅助配置表!AB:AB,0)-1,0)</f>
        <v>126</v>
      </c>
      <c r="AB1213" s="304">
        <f ca="1" t="shared" si="199"/>
        <v>2103</v>
      </c>
      <c r="AC1213" s="153">
        <v>12</v>
      </c>
      <c r="AF1213" s="153" t="str">
        <f ca="1" t="shared" si="208"/>
        <v>20150013|</v>
      </c>
      <c r="AG1213" s="153">
        <f ca="1">skill!A82</f>
        <v>20150013</v>
      </c>
      <c r="AJ1213" s="205" t="str">
        <f ca="1" t="shared" si="200"/>
        <v>400023|1100|;</v>
      </c>
      <c r="AK1213" s="205">
        <f ca="1">OFFSET([1]item_type!$A$1,MATCH(Q1213,[1]item_type!$G:$G,0)-1,0)</f>
        <v>302015</v>
      </c>
      <c r="AL1213" s="205"/>
      <c r="AM1213" s="205">
        <f ca="1">IF(B1213=B1214,OFFSET(卡牌辅助配置表!$AE$1,MATCH(AB1213,卡牌辅助配置表!AB:AB,0),0),0)</f>
        <v>1100</v>
      </c>
      <c r="AN1213" s="153">
        <f ca="1" t="shared" si="201"/>
        <v>2015004</v>
      </c>
      <c r="AP1213" s="153">
        <f ca="1">IF(AC1213=0,0,IF(AC1213=12,0,OFFSET(effect!$N$1,MATCH(K1213,effect!M:M,0)-1,0)))</f>
        <v>0</v>
      </c>
    </row>
    <row r="1214" spans="1:42">
      <c r="A1214" s="153">
        <f ca="1" t="shared" si="197"/>
        <v>2015004</v>
      </c>
      <c r="B1214" s="91" t="s">
        <v>393</v>
      </c>
      <c r="C1214" s="186">
        <v>2</v>
      </c>
      <c r="D1214" s="186">
        <v>1</v>
      </c>
      <c r="E1214" s="165"/>
      <c r="F1214" s="179" t="str">
        <f>buff!C74</f>
        <v>增加剑法伤害16.5%，持续2回合</v>
      </c>
      <c r="G1214" s="186">
        <f ca="1">OFFSET(卡牌辅助配置表!$C$1,MATCH(AC1214,卡牌辅助配置表!A:A,0)-1,0)</f>
        <v>0</v>
      </c>
      <c r="H1214" s="186" t="e">
        <f ca="1">skill!Q83</f>
        <v>#VALUE!</v>
      </c>
      <c r="I1214" s="186"/>
      <c r="J1214" s="186">
        <f ca="1">OFFSET(card_type!$F$1,MATCH(Q1214,card_type!A:A,0)-1,0)</f>
        <v>2</v>
      </c>
      <c r="K1214" s="243">
        <f ca="1">OFFSET(card_type!$G$1,MATCH(Q1214,card_type!A:A,0)-1,0)</f>
        <v>1</v>
      </c>
      <c r="L1214" s="157">
        <v>2</v>
      </c>
      <c r="M1214" s="157">
        <v>2</v>
      </c>
      <c r="N1214" s="153">
        <f t="shared" si="206"/>
        <v>4</v>
      </c>
      <c r="O1214" s="157"/>
      <c r="P1214" s="157"/>
      <c r="Q1214" s="153">
        <f ca="1">OFFSET(card_type!$A$1,MATCH(card!B1214,card_type!B:B,0)-1,0)</f>
        <v>2015</v>
      </c>
      <c r="R1214" s="153">
        <v>0</v>
      </c>
      <c r="S1214" s="157">
        <f ca="1">ROUND(IF(R1214=0,0,IF(R1214=1,X1214*$S$1,IF(R1214=2,X1214*$S$1*buff的资质计算!$E$2,IF(R1214=3,X1214*$S$1*buff的资质计算!$E$3,0)))),0)*0</f>
        <v>0</v>
      </c>
      <c r="T1214" s="153">
        <v>4</v>
      </c>
      <c r="U1214" s="153">
        <f ca="1" t="shared" si="198"/>
        <v>21</v>
      </c>
      <c r="V1214" s="153">
        <f ca="1">ROUND((OFFSET(卡牌辅助配置表!$O$1,MATCH(U1214,卡牌辅助配置表!M:M,0)-1,0)+(N1214-1)*OFFSET(卡牌辅助配置表!$P$1,MATCH(U1214,卡牌辅助配置表!M:M,0)-1,0))*M1214,2)</f>
        <v>17.23</v>
      </c>
      <c r="W1214" s="157">
        <f ca="1">ROUND(IF(R1214=0,0,IF(R1214=1,X1214*$W$1,IF(R1214=2,X1214*$W$1*buff的资质计算!$E$2,IF(R1214=3,X1214*$W$1*buff的资质计算!$E$3,0)))),2)</f>
        <v>0</v>
      </c>
      <c r="X1214" s="157">
        <f ca="1" t="shared" si="204"/>
        <v>21.5</v>
      </c>
      <c r="Y1214" s="157" t="e">
        <f ca="1" t="shared" si="207"/>
        <v>#VALUE!</v>
      </c>
      <c r="Z1214" s="304" t="e">
        <f ca="1" t="shared" si="205"/>
        <v>#VALUE!</v>
      </c>
      <c r="AA1214" s="304">
        <f ca="1">OFFSET(卡牌辅助配置表!$AD$1,MATCH(AB1214,卡牌辅助配置表!AB:AB,0)-1,0)</f>
        <v>168</v>
      </c>
      <c r="AB1214" s="304">
        <f ca="1" t="shared" si="199"/>
        <v>2104</v>
      </c>
      <c r="AC1214" s="153">
        <v>12</v>
      </c>
      <c r="AF1214" s="153" t="str">
        <f ca="1" t="shared" si="208"/>
        <v>20150014|</v>
      </c>
      <c r="AG1214" s="153">
        <f ca="1">skill!A83</f>
        <v>20150014</v>
      </c>
      <c r="AJ1214" s="205" t="str">
        <f ca="1" t="shared" si="200"/>
        <v>400023|1300|;</v>
      </c>
      <c r="AK1214" s="205">
        <f ca="1">OFFSET([1]item_type!$A$1,MATCH(Q1214,[1]item_type!$G:$G,0)-1,0)</f>
        <v>302015</v>
      </c>
      <c r="AL1214" s="205"/>
      <c r="AM1214" s="205">
        <f ca="1">IF(B1214=B1215,OFFSET(卡牌辅助配置表!$AE$1,MATCH(AB1214,卡牌辅助配置表!AB:AB,0),0),0)</f>
        <v>1300</v>
      </c>
      <c r="AN1214" s="153">
        <f ca="1" t="shared" si="201"/>
        <v>2015005</v>
      </c>
      <c r="AP1214" s="153">
        <f ca="1">IF(AC1214=0,0,IF(AC1214=12,0,OFFSET(effect!$N$1,MATCH(K1214,effect!M:M,0)-1,0)))</f>
        <v>0</v>
      </c>
    </row>
    <row r="1215" spans="1:42">
      <c r="A1215" s="153">
        <f ca="1" t="shared" si="197"/>
        <v>2015005</v>
      </c>
      <c r="B1215" s="91" t="s">
        <v>393</v>
      </c>
      <c r="C1215" s="186">
        <v>2</v>
      </c>
      <c r="D1215" s="186">
        <v>1</v>
      </c>
      <c r="E1215" s="165"/>
      <c r="F1215" s="179" t="str">
        <f>buff!C75</f>
        <v>增加剑法伤害17%，持续2回合</v>
      </c>
      <c r="G1215" s="186">
        <f ca="1">OFFSET(卡牌辅助配置表!$C$1,MATCH(AC1215,卡牌辅助配置表!A:A,0)-1,0)</f>
        <v>0</v>
      </c>
      <c r="H1215" s="186" t="e">
        <f ca="1">skill!Q84</f>
        <v>#VALUE!</v>
      </c>
      <c r="I1215" s="186"/>
      <c r="J1215" s="186">
        <f ca="1">OFFSET(card_type!$F$1,MATCH(Q1215,card_type!A:A,0)-1,0)</f>
        <v>2</v>
      </c>
      <c r="K1215" s="243">
        <f ca="1">OFFSET(card_type!$G$1,MATCH(Q1215,card_type!A:A,0)-1,0)</f>
        <v>1</v>
      </c>
      <c r="L1215" s="157">
        <v>2</v>
      </c>
      <c r="M1215" s="157">
        <v>2</v>
      </c>
      <c r="N1215" s="153">
        <f t="shared" si="206"/>
        <v>5</v>
      </c>
      <c r="O1215" s="157"/>
      <c r="P1215" s="157"/>
      <c r="Q1215" s="153">
        <f ca="1">OFFSET(card_type!$A$1,MATCH(card!B1215,card_type!B:B,0)-1,0)</f>
        <v>2015</v>
      </c>
      <c r="R1215" s="153">
        <v>0</v>
      </c>
      <c r="S1215" s="157">
        <f ca="1">ROUND(IF(R1215=0,0,IF(R1215=1,X1215*$S$1,IF(R1215=2,X1215*$S$1*buff的资质计算!$E$2,IF(R1215=3,X1215*$S$1*buff的资质计算!$E$3,0)))),0)*0</f>
        <v>0</v>
      </c>
      <c r="T1215" s="153">
        <v>4</v>
      </c>
      <c r="U1215" s="153">
        <f ca="1" t="shared" si="198"/>
        <v>21</v>
      </c>
      <c r="V1215" s="153">
        <f ca="1">ROUND((OFFSET(卡牌辅助配置表!$O$1,MATCH(U1215,卡牌辅助配置表!M:M,0)-1,0)+(N1215-1)*OFFSET(卡牌辅助配置表!$P$1,MATCH(U1215,卡牌辅助配置表!M:M,0)-1,0))*M1215,2)</f>
        <v>18.35</v>
      </c>
      <c r="W1215" s="157">
        <f ca="1">ROUND(IF(R1215=0,0,IF(R1215=1,X1215*$W$1,IF(R1215=2,X1215*$W$1*buff的资质计算!$E$2,IF(R1215=3,X1215*$W$1*buff的资质计算!$E$3,0)))),2)</f>
        <v>0</v>
      </c>
      <c r="X1215" s="157">
        <f ca="1" t="shared" si="204"/>
        <v>22</v>
      </c>
      <c r="Y1215" s="157" t="e">
        <f ca="1" t="shared" si="207"/>
        <v>#VALUE!</v>
      </c>
      <c r="Z1215" s="304" t="e">
        <f ca="1" t="shared" si="205"/>
        <v>#VALUE!</v>
      </c>
      <c r="AA1215" s="304">
        <f ca="1">OFFSET(卡牌辅助配置表!$AD$1,MATCH(AB1215,卡牌辅助配置表!AB:AB,0)-1,0)</f>
        <v>210</v>
      </c>
      <c r="AB1215" s="304">
        <f ca="1" t="shared" si="199"/>
        <v>2105</v>
      </c>
      <c r="AC1215" s="153">
        <v>12</v>
      </c>
      <c r="AF1215" s="153" t="str">
        <f ca="1" t="shared" si="208"/>
        <v>20150015|</v>
      </c>
      <c r="AG1215" s="153">
        <f ca="1">skill!A84</f>
        <v>20150015</v>
      </c>
      <c r="AJ1215" s="205" t="str">
        <f ca="1" t="shared" si="200"/>
        <v>400023|1500|;</v>
      </c>
      <c r="AK1215" s="205">
        <f ca="1">OFFSET([1]item_type!$A$1,MATCH(Q1215,[1]item_type!$G:$G,0)-1,0)</f>
        <v>302015</v>
      </c>
      <c r="AL1215" s="205"/>
      <c r="AM1215" s="205">
        <f ca="1">IF(B1215=B1216,OFFSET(卡牌辅助配置表!$AE$1,MATCH(AB1215,卡牌辅助配置表!AB:AB,0),0),0)</f>
        <v>1500</v>
      </c>
      <c r="AN1215" s="153">
        <f ca="1" t="shared" si="201"/>
        <v>2015006</v>
      </c>
      <c r="AP1215" s="153">
        <f ca="1">IF(AC1215=0,0,IF(AC1215=12,0,OFFSET(effect!$N$1,MATCH(K1215,effect!M:M,0)-1,0)))</f>
        <v>0</v>
      </c>
    </row>
    <row r="1216" spans="1:42">
      <c r="A1216" s="153">
        <f ca="1" t="shared" si="197"/>
        <v>2015006</v>
      </c>
      <c r="B1216" s="91" t="s">
        <v>393</v>
      </c>
      <c r="C1216" s="186">
        <v>2</v>
      </c>
      <c r="D1216" s="186">
        <v>1</v>
      </c>
      <c r="E1216" s="165"/>
      <c r="F1216" s="179" t="str">
        <f>buff!C76</f>
        <v>增加剑法伤害17.5%，持续2回合</v>
      </c>
      <c r="G1216" s="186">
        <f ca="1">OFFSET(卡牌辅助配置表!$C$1,MATCH(AC1216,卡牌辅助配置表!A:A,0)-1,0)</f>
        <v>0</v>
      </c>
      <c r="H1216" s="186" t="e">
        <f ca="1">skill!Q85</f>
        <v>#VALUE!</v>
      </c>
      <c r="I1216" s="186"/>
      <c r="J1216" s="186">
        <f ca="1">OFFSET(card_type!$F$1,MATCH(Q1216,card_type!A:A,0)-1,0)</f>
        <v>2</v>
      </c>
      <c r="K1216" s="243">
        <f ca="1">OFFSET(card_type!$G$1,MATCH(Q1216,card_type!A:A,0)-1,0)</f>
        <v>1</v>
      </c>
      <c r="L1216" s="157">
        <v>2</v>
      </c>
      <c r="M1216" s="157">
        <v>2</v>
      </c>
      <c r="N1216" s="153">
        <f t="shared" si="206"/>
        <v>6</v>
      </c>
      <c r="O1216" s="157"/>
      <c r="P1216" s="157"/>
      <c r="Q1216" s="153">
        <f ca="1">OFFSET(card_type!$A$1,MATCH(card!B1216,card_type!B:B,0)-1,0)</f>
        <v>2015</v>
      </c>
      <c r="R1216" s="153">
        <v>0</v>
      </c>
      <c r="S1216" s="157">
        <f ca="1">ROUND(IF(R1216=0,0,IF(R1216=1,X1216*$S$1,IF(R1216=2,X1216*$S$1*buff的资质计算!$E$2,IF(R1216=3,X1216*$S$1*buff的资质计算!$E$3,0)))),0)*0</f>
        <v>0</v>
      </c>
      <c r="T1216" s="153">
        <v>4</v>
      </c>
      <c r="U1216" s="153">
        <f ca="1" t="shared" si="198"/>
        <v>21</v>
      </c>
      <c r="V1216" s="153">
        <f ca="1">ROUND((OFFSET(卡牌辅助配置表!$O$1,MATCH(U1216,卡牌辅助配置表!M:M,0)-1,0)+(N1216-1)*OFFSET(卡牌辅助配置表!$P$1,MATCH(U1216,卡牌辅助配置表!M:M,0)-1,0))*M1216,2)</f>
        <v>19.47</v>
      </c>
      <c r="W1216" s="157">
        <f ca="1">ROUND(IF(R1216=0,0,IF(R1216=1,X1216*$W$1,IF(R1216=2,X1216*$W$1*buff的资质计算!$E$2,IF(R1216=3,X1216*$W$1*buff的资质计算!$E$3,0)))),2)</f>
        <v>0</v>
      </c>
      <c r="X1216" s="157">
        <f ca="1" t="shared" si="204"/>
        <v>22.5</v>
      </c>
      <c r="Y1216" s="157" t="e">
        <f ca="1" t="shared" si="207"/>
        <v>#VALUE!</v>
      </c>
      <c r="Z1216" s="304" t="e">
        <f ca="1" t="shared" si="205"/>
        <v>#VALUE!</v>
      </c>
      <c r="AA1216" s="304">
        <f ca="1">OFFSET(卡牌辅助配置表!$AD$1,MATCH(AB1216,卡牌辅助配置表!AB:AB,0)-1,0)</f>
        <v>252</v>
      </c>
      <c r="AB1216" s="304">
        <f ca="1" t="shared" si="199"/>
        <v>2106</v>
      </c>
      <c r="AC1216" s="153">
        <v>12</v>
      </c>
      <c r="AF1216" s="153" t="str">
        <f ca="1" t="shared" si="208"/>
        <v>20150016|</v>
      </c>
      <c r="AG1216" s="153">
        <f ca="1">skill!A85</f>
        <v>20150016</v>
      </c>
      <c r="AJ1216" s="205" t="str">
        <f ca="1" t="shared" si="200"/>
        <v>400023|1700|;</v>
      </c>
      <c r="AK1216" s="205">
        <f ca="1">OFFSET([1]item_type!$A$1,MATCH(Q1216,[1]item_type!$G:$G,0)-1,0)</f>
        <v>302015</v>
      </c>
      <c r="AL1216" s="205"/>
      <c r="AM1216" s="205">
        <f ca="1">IF(B1216=B1217,OFFSET(卡牌辅助配置表!$AE$1,MATCH(AB1216,卡牌辅助配置表!AB:AB,0),0),0)</f>
        <v>1700</v>
      </c>
      <c r="AN1216" s="153">
        <f ca="1" t="shared" si="201"/>
        <v>2015007</v>
      </c>
      <c r="AP1216" s="153">
        <f ca="1">IF(AC1216=0,0,IF(AC1216=12,0,OFFSET(effect!$N$1,MATCH(K1216,effect!M:M,0)-1,0)))</f>
        <v>0</v>
      </c>
    </row>
    <row r="1217" spans="1:42">
      <c r="A1217" s="153">
        <f ca="1" t="shared" si="197"/>
        <v>2015007</v>
      </c>
      <c r="B1217" s="91" t="s">
        <v>393</v>
      </c>
      <c r="C1217" s="186">
        <v>2</v>
      </c>
      <c r="D1217" s="186">
        <v>1</v>
      </c>
      <c r="E1217" s="165"/>
      <c r="F1217" s="179" t="str">
        <f>buff!C77</f>
        <v>增加剑法伤害18%，持续2回合</v>
      </c>
      <c r="G1217" s="186">
        <f ca="1">OFFSET(卡牌辅助配置表!$C$1,MATCH(AC1217,卡牌辅助配置表!A:A,0)-1,0)</f>
        <v>0</v>
      </c>
      <c r="H1217" s="186" t="e">
        <f ca="1">skill!Q86</f>
        <v>#VALUE!</v>
      </c>
      <c r="I1217" s="186"/>
      <c r="J1217" s="186">
        <f ca="1">OFFSET(card_type!$F$1,MATCH(Q1217,card_type!A:A,0)-1,0)</f>
        <v>2</v>
      </c>
      <c r="K1217" s="243">
        <f ca="1">OFFSET(card_type!$G$1,MATCH(Q1217,card_type!A:A,0)-1,0)</f>
        <v>1</v>
      </c>
      <c r="L1217" s="157">
        <v>2</v>
      </c>
      <c r="M1217" s="157">
        <v>2</v>
      </c>
      <c r="N1217" s="153">
        <f t="shared" si="206"/>
        <v>7</v>
      </c>
      <c r="O1217" s="157"/>
      <c r="P1217" s="157"/>
      <c r="Q1217" s="153">
        <f ca="1">OFFSET(card_type!$A$1,MATCH(card!B1217,card_type!B:B,0)-1,0)</f>
        <v>2015</v>
      </c>
      <c r="R1217" s="153">
        <v>0</v>
      </c>
      <c r="S1217" s="157">
        <f ca="1">ROUND(IF(R1217=0,0,IF(R1217=1,X1217*$S$1,IF(R1217=2,X1217*$S$1*buff的资质计算!$E$2,IF(R1217=3,X1217*$S$1*buff的资质计算!$E$3,0)))),0)*0</f>
        <v>0</v>
      </c>
      <c r="T1217" s="153">
        <v>4</v>
      </c>
      <c r="U1217" s="153">
        <f ca="1" t="shared" si="198"/>
        <v>21</v>
      </c>
      <c r="V1217" s="153">
        <f ca="1">ROUND((OFFSET(卡牌辅助配置表!$O$1,MATCH(U1217,卡牌辅助配置表!M:M,0)-1,0)+(N1217-1)*OFFSET(卡牌辅助配置表!$P$1,MATCH(U1217,卡牌辅助配置表!M:M,0)-1,0))*M1217,2)</f>
        <v>20.59</v>
      </c>
      <c r="W1217" s="157">
        <f ca="1">ROUND(IF(R1217=0,0,IF(R1217=1,X1217*$W$1,IF(R1217=2,X1217*$W$1*buff的资质计算!$E$2,IF(R1217=3,X1217*$W$1*buff的资质计算!$E$3,0)))),2)</f>
        <v>0</v>
      </c>
      <c r="X1217" s="157">
        <f ca="1" t="shared" si="204"/>
        <v>23</v>
      </c>
      <c r="Y1217" s="157" t="e">
        <f ca="1" t="shared" si="207"/>
        <v>#VALUE!</v>
      </c>
      <c r="Z1217" s="304" t="e">
        <f ca="1" t="shared" si="205"/>
        <v>#VALUE!</v>
      </c>
      <c r="AA1217" s="304">
        <f ca="1">OFFSET(卡牌辅助配置表!$AD$1,MATCH(AB1217,卡牌辅助配置表!AB:AB,0)-1,0)</f>
        <v>294</v>
      </c>
      <c r="AB1217" s="304">
        <f ca="1" t="shared" si="199"/>
        <v>2107</v>
      </c>
      <c r="AC1217" s="153">
        <v>12</v>
      </c>
      <c r="AF1217" s="153" t="str">
        <f ca="1" t="shared" si="208"/>
        <v>20150017|</v>
      </c>
      <c r="AG1217" s="153">
        <f ca="1">skill!A86</f>
        <v>20150017</v>
      </c>
      <c r="AJ1217" s="205" t="str">
        <f ca="1" t="shared" si="200"/>
        <v>400023|1900|;</v>
      </c>
      <c r="AK1217" s="205">
        <f ca="1">OFFSET([1]item_type!$A$1,MATCH(Q1217,[1]item_type!$G:$G,0)-1,0)</f>
        <v>302015</v>
      </c>
      <c r="AL1217" s="205"/>
      <c r="AM1217" s="205">
        <f ca="1">IF(B1217=B1218,OFFSET(卡牌辅助配置表!$AE$1,MATCH(AB1217,卡牌辅助配置表!AB:AB,0),0),0)</f>
        <v>1900</v>
      </c>
      <c r="AN1217" s="153">
        <f ca="1" t="shared" si="201"/>
        <v>2015008</v>
      </c>
      <c r="AP1217" s="153">
        <f ca="1">IF(AC1217=0,0,IF(AC1217=12,0,OFFSET(effect!$N$1,MATCH(K1217,effect!M:M,0)-1,0)))</f>
        <v>0</v>
      </c>
    </row>
    <row r="1218" spans="1:42">
      <c r="A1218" s="153">
        <f ca="1" t="shared" si="197"/>
        <v>2015008</v>
      </c>
      <c r="B1218" s="91" t="s">
        <v>393</v>
      </c>
      <c r="C1218" s="186">
        <v>2</v>
      </c>
      <c r="D1218" s="186">
        <v>1</v>
      </c>
      <c r="E1218" s="165"/>
      <c r="F1218" s="179" t="str">
        <f>buff!C78</f>
        <v>增加剑法伤害18.5%，持续2回合</v>
      </c>
      <c r="G1218" s="186">
        <f ca="1">OFFSET(卡牌辅助配置表!$C$1,MATCH(AC1218,卡牌辅助配置表!A:A,0)-1,0)</f>
        <v>0</v>
      </c>
      <c r="H1218" s="186" t="e">
        <f ca="1">skill!Q87</f>
        <v>#VALUE!</v>
      </c>
      <c r="I1218" s="186"/>
      <c r="J1218" s="186">
        <f ca="1">OFFSET(card_type!$F$1,MATCH(Q1218,card_type!A:A,0)-1,0)</f>
        <v>2</v>
      </c>
      <c r="K1218" s="243">
        <f ca="1">OFFSET(card_type!$G$1,MATCH(Q1218,card_type!A:A,0)-1,0)</f>
        <v>1</v>
      </c>
      <c r="L1218" s="157">
        <v>2</v>
      </c>
      <c r="M1218" s="157">
        <v>2</v>
      </c>
      <c r="N1218" s="153">
        <f t="shared" si="206"/>
        <v>8</v>
      </c>
      <c r="O1218" s="157"/>
      <c r="P1218" s="157"/>
      <c r="Q1218" s="153">
        <f ca="1">OFFSET(card_type!$A$1,MATCH(card!B1218,card_type!B:B,0)-1,0)</f>
        <v>2015</v>
      </c>
      <c r="R1218" s="153">
        <v>0</v>
      </c>
      <c r="S1218" s="157">
        <f ca="1">ROUND(IF(R1218=0,0,IF(R1218=1,X1218*$S$1,IF(R1218=2,X1218*$S$1*buff的资质计算!$E$2,IF(R1218=3,X1218*$S$1*buff的资质计算!$E$3,0)))),0)*0</f>
        <v>0</v>
      </c>
      <c r="T1218" s="153">
        <v>4</v>
      </c>
      <c r="U1218" s="153">
        <f ca="1" t="shared" si="198"/>
        <v>21</v>
      </c>
      <c r="V1218" s="153">
        <f ca="1">ROUND((OFFSET(卡牌辅助配置表!$O$1,MATCH(U1218,卡牌辅助配置表!M:M,0)-1,0)+(N1218-1)*OFFSET(卡牌辅助配置表!$P$1,MATCH(U1218,卡牌辅助配置表!M:M,0)-1,0))*M1218,2)</f>
        <v>21.71</v>
      </c>
      <c r="W1218" s="157">
        <f ca="1">ROUND(IF(R1218=0,0,IF(R1218=1,X1218*$W$1,IF(R1218=2,X1218*$W$1*buff的资质计算!$E$2,IF(R1218=3,X1218*$W$1*buff的资质计算!$E$3,0)))),2)</f>
        <v>0</v>
      </c>
      <c r="X1218" s="157">
        <f ca="1" t="shared" si="204"/>
        <v>23.5</v>
      </c>
      <c r="Y1218" s="157" t="e">
        <f ca="1" t="shared" si="207"/>
        <v>#VALUE!</v>
      </c>
      <c r="Z1218" s="304" t="e">
        <f ca="1" t="shared" si="205"/>
        <v>#VALUE!</v>
      </c>
      <c r="AA1218" s="304">
        <f ca="1">OFFSET(卡牌辅助配置表!$AD$1,MATCH(AB1218,卡牌辅助配置表!AB:AB,0)-1,0)</f>
        <v>336</v>
      </c>
      <c r="AB1218" s="304">
        <f ca="1" t="shared" si="199"/>
        <v>2108</v>
      </c>
      <c r="AC1218" s="153">
        <v>12</v>
      </c>
      <c r="AF1218" s="153" t="str">
        <f ca="1" t="shared" si="208"/>
        <v>20150018|</v>
      </c>
      <c r="AG1218" s="153">
        <f ca="1">skill!A87</f>
        <v>20150018</v>
      </c>
      <c r="AJ1218" s="205" t="str">
        <f ca="1" t="shared" si="200"/>
        <v>400023|2100|;</v>
      </c>
      <c r="AK1218" s="205">
        <f ca="1">OFFSET([1]item_type!$A$1,MATCH(Q1218,[1]item_type!$G:$G,0)-1,0)</f>
        <v>302015</v>
      </c>
      <c r="AL1218" s="205"/>
      <c r="AM1218" s="205">
        <f ca="1">IF(B1218=B1219,OFFSET(卡牌辅助配置表!$AE$1,MATCH(AB1218,卡牌辅助配置表!AB:AB,0),0),0)</f>
        <v>2100</v>
      </c>
      <c r="AN1218" s="153">
        <f ca="1" t="shared" si="201"/>
        <v>2015009</v>
      </c>
      <c r="AP1218" s="153">
        <f ca="1">IF(AC1218=0,0,IF(AC1218=12,0,OFFSET(effect!$N$1,MATCH(K1218,effect!M:M,0)-1,0)))</f>
        <v>0</v>
      </c>
    </row>
    <row r="1219" spans="1:42">
      <c r="A1219" s="153">
        <f ca="1" t="shared" si="197"/>
        <v>2015009</v>
      </c>
      <c r="B1219" s="91" t="s">
        <v>393</v>
      </c>
      <c r="C1219" s="186">
        <v>2</v>
      </c>
      <c r="D1219" s="186">
        <v>1</v>
      </c>
      <c r="E1219" s="165"/>
      <c r="F1219" s="179" t="str">
        <f>buff!C79</f>
        <v>增加剑法伤害19%，持续2回合</v>
      </c>
      <c r="G1219" s="186">
        <f ca="1">OFFSET(卡牌辅助配置表!$C$1,MATCH(AC1219,卡牌辅助配置表!A:A,0)-1,0)</f>
        <v>0</v>
      </c>
      <c r="H1219" s="186" t="e">
        <f ca="1">skill!Q88</f>
        <v>#VALUE!</v>
      </c>
      <c r="I1219" s="186"/>
      <c r="J1219" s="186">
        <f ca="1">OFFSET(card_type!$F$1,MATCH(Q1219,card_type!A:A,0)-1,0)</f>
        <v>2</v>
      </c>
      <c r="K1219" s="243">
        <f ca="1">OFFSET(card_type!$G$1,MATCH(Q1219,card_type!A:A,0)-1,0)</f>
        <v>1</v>
      </c>
      <c r="L1219" s="157">
        <v>2</v>
      </c>
      <c r="M1219" s="157">
        <v>2</v>
      </c>
      <c r="N1219" s="153">
        <f t="shared" si="206"/>
        <v>9</v>
      </c>
      <c r="O1219" s="157"/>
      <c r="P1219" s="157"/>
      <c r="Q1219" s="153">
        <f ca="1">OFFSET(card_type!$A$1,MATCH(card!B1219,card_type!B:B,0)-1,0)</f>
        <v>2015</v>
      </c>
      <c r="R1219" s="153">
        <v>0</v>
      </c>
      <c r="S1219" s="157">
        <f ca="1">ROUND(IF(R1219=0,0,IF(R1219=1,X1219*$S$1,IF(R1219=2,X1219*$S$1*buff的资质计算!$E$2,IF(R1219=3,X1219*$S$1*buff的资质计算!$E$3,0)))),0)*0</f>
        <v>0</v>
      </c>
      <c r="T1219" s="153">
        <v>4</v>
      </c>
      <c r="U1219" s="153">
        <f ca="1" t="shared" si="198"/>
        <v>21</v>
      </c>
      <c r="V1219" s="153">
        <f ca="1">ROUND((OFFSET(卡牌辅助配置表!$O$1,MATCH(U1219,卡牌辅助配置表!M:M,0)-1,0)+(N1219-1)*OFFSET(卡牌辅助配置表!$P$1,MATCH(U1219,卡牌辅助配置表!M:M,0)-1,0))*M1219,2)</f>
        <v>22.84</v>
      </c>
      <c r="W1219" s="157">
        <f ca="1">ROUND(IF(R1219=0,0,IF(R1219=1,X1219*$W$1,IF(R1219=2,X1219*$W$1*buff的资质计算!$E$2,IF(R1219=3,X1219*$W$1*buff的资质计算!$E$3,0)))),2)</f>
        <v>0</v>
      </c>
      <c r="X1219" s="157">
        <f ca="1" t="shared" si="204"/>
        <v>24</v>
      </c>
      <c r="Y1219" s="157" t="e">
        <f ca="1" t="shared" si="207"/>
        <v>#VALUE!</v>
      </c>
      <c r="Z1219" s="304" t="e">
        <f ca="1" t="shared" si="205"/>
        <v>#VALUE!</v>
      </c>
      <c r="AA1219" s="304">
        <f ca="1">OFFSET(卡牌辅助配置表!$AD$1,MATCH(AB1219,卡牌辅助配置表!AB:AB,0)-1,0)</f>
        <v>378</v>
      </c>
      <c r="AB1219" s="304">
        <f ca="1" t="shared" si="199"/>
        <v>2109</v>
      </c>
      <c r="AC1219" s="153">
        <v>12</v>
      </c>
      <c r="AF1219" s="153" t="str">
        <f ca="1" t="shared" si="208"/>
        <v>20150019|</v>
      </c>
      <c r="AG1219" s="153">
        <f ca="1">skill!A88</f>
        <v>20150019</v>
      </c>
      <c r="AJ1219" s="205" t="str">
        <f ca="1" t="shared" si="200"/>
        <v>302015|15|;400023|2300|;</v>
      </c>
      <c r="AK1219" s="205">
        <f ca="1">OFFSET([1]item_type!$A$1,MATCH(Q1219,[1]item_type!$G:$G,0)-1,0)</f>
        <v>302015</v>
      </c>
      <c r="AL1219" s="205">
        <v>15</v>
      </c>
      <c r="AM1219" s="205">
        <f ca="1">IF(B1219=B1220,OFFSET(卡牌辅助配置表!$AE$1,MATCH(AB1219,卡牌辅助配置表!AB:AB,0),0),0)</f>
        <v>2300</v>
      </c>
      <c r="AN1219" s="153">
        <f ca="1" t="shared" si="201"/>
        <v>2015010</v>
      </c>
      <c r="AP1219" s="153">
        <f ca="1">IF(AC1219=0,0,IF(AC1219=12,0,OFFSET(effect!$N$1,MATCH(K1219,effect!M:M,0)-1,0)))</f>
        <v>0</v>
      </c>
    </row>
    <row r="1220" spans="1:42">
      <c r="A1220" s="153">
        <f ca="1" t="shared" si="197"/>
        <v>2015010</v>
      </c>
      <c r="B1220" s="91" t="s">
        <v>393</v>
      </c>
      <c r="C1220" s="186">
        <v>2</v>
      </c>
      <c r="D1220" s="186">
        <v>1</v>
      </c>
      <c r="E1220" s="165"/>
      <c r="F1220" s="179" t="str">
        <f>buff!C80</f>
        <v>增加剑法伤害19.5%，持续2回合</v>
      </c>
      <c r="G1220" s="186">
        <f ca="1">OFFSET(卡牌辅助配置表!$C$1,MATCH(AC1220,卡牌辅助配置表!A:A,0)-1,0)</f>
        <v>0</v>
      </c>
      <c r="H1220" s="186" t="e">
        <f ca="1">skill!Q89</f>
        <v>#VALUE!</v>
      </c>
      <c r="I1220" s="186"/>
      <c r="J1220" s="186">
        <f ca="1">OFFSET(card_type!$F$1,MATCH(Q1220,card_type!A:A,0)-1,0)</f>
        <v>2</v>
      </c>
      <c r="K1220" s="243">
        <f ca="1">OFFSET(card_type!$G$1,MATCH(Q1220,card_type!A:A,0)-1,0)</f>
        <v>1</v>
      </c>
      <c r="L1220" s="157">
        <v>2</v>
      </c>
      <c r="M1220" s="157">
        <v>2</v>
      </c>
      <c r="N1220" s="153">
        <f t="shared" si="206"/>
        <v>10</v>
      </c>
      <c r="O1220" s="157"/>
      <c r="P1220" s="157"/>
      <c r="Q1220" s="153">
        <f ca="1">OFFSET(card_type!$A$1,MATCH(card!B1220,card_type!B:B,0)-1,0)</f>
        <v>2015</v>
      </c>
      <c r="R1220" s="153">
        <v>0</v>
      </c>
      <c r="S1220" s="157">
        <f ca="1">ROUND(IF(R1220=0,0,IF(R1220=1,X1220*$S$1,IF(R1220=2,X1220*$S$1*buff的资质计算!$E$2,IF(R1220=3,X1220*$S$1*buff的资质计算!$E$3,0)))),0)*0</f>
        <v>0</v>
      </c>
      <c r="T1220" s="153">
        <v>4</v>
      </c>
      <c r="U1220" s="153">
        <f ca="1" t="shared" si="198"/>
        <v>21</v>
      </c>
      <c r="V1220" s="153">
        <f ca="1">ROUND((OFFSET(卡牌辅助配置表!$O$1,MATCH(U1220,卡牌辅助配置表!M:M,0)-1,0)+(N1220-1)*OFFSET(卡牌辅助配置表!$P$1,MATCH(U1220,卡牌辅助配置表!M:M,0)-1,0))*M1220,2)</f>
        <v>23.96</v>
      </c>
      <c r="W1220" s="157">
        <f ca="1">ROUND(IF(R1220=0,0,IF(R1220=1,X1220*$W$1,IF(R1220=2,X1220*$W$1*buff的资质计算!$E$2,IF(R1220=3,X1220*$W$1*buff的资质计算!$E$3,0)))),2)</f>
        <v>0</v>
      </c>
      <c r="X1220" s="157">
        <f ca="1" t="shared" si="204"/>
        <v>24.5</v>
      </c>
      <c r="Y1220" s="157" t="e">
        <f ca="1" t="shared" si="207"/>
        <v>#VALUE!</v>
      </c>
      <c r="Z1220" s="304" t="e">
        <f ca="1" t="shared" si="205"/>
        <v>#VALUE!</v>
      </c>
      <c r="AA1220" s="304">
        <f ca="1">OFFSET(卡牌辅助配置表!$AD$1,MATCH(AB1220,卡牌辅助配置表!AB:AB,0)-1,0)</f>
        <v>420</v>
      </c>
      <c r="AB1220" s="304">
        <f ca="1" t="shared" si="199"/>
        <v>2110</v>
      </c>
      <c r="AC1220" s="153">
        <v>12</v>
      </c>
      <c r="AF1220" s="153" t="str">
        <f ca="1" t="shared" si="208"/>
        <v>20150020|</v>
      </c>
      <c r="AG1220" s="153">
        <f ca="1">skill!A89</f>
        <v>20150020</v>
      </c>
      <c r="AJ1220" s="205" t="str">
        <f ca="1" t="shared" si="200"/>
        <v>400023|2700|;</v>
      </c>
      <c r="AK1220" s="205">
        <f ca="1">OFFSET([1]item_type!$A$1,MATCH(Q1220,[1]item_type!$G:$G,0)-1,0)</f>
        <v>302015</v>
      </c>
      <c r="AL1220" s="205"/>
      <c r="AM1220" s="205">
        <f ca="1">IF(B1220=B1221,OFFSET(卡牌辅助配置表!$AE$1,MATCH(AB1220,卡牌辅助配置表!AB:AB,0),0),0)</f>
        <v>2700</v>
      </c>
      <c r="AN1220" s="153">
        <f ca="1" t="shared" si="201"/>
        <v>2015011</v>
      </c>
      <c r="AP1220" s="153">
        <f ca="1">IF(AC1220=0,0,IF(AC1220=12,0,OFFSET(effect!$N$1,MATCH(K1220,effect!M:M,0)-1,0)))</f>
        <v>0</v>
      </c>
    </row>
    <row r="1221" spans="1:42">
      <c r="A1221" s="153">
        <f ca="1" t="shared" si="197"/>
        <v>2015011</v>
      </c>
      <c r="B1221" s="91" t="s">
        <v>393</v>
      </c>
      <c r="C1221" s="186">
        <v>2</v>
      </c>
      <c r="D1221" s="186">
        <v>1</v>
      </c>
      <c r="E1221" s="165"/>
      <c r="F1221" s="179" t="str">
        <f>buff!C81</f>
        <v>增加剑法伤害20%，持续2回合</v>
      </c>
      <c r="G1221" s="186">
        <f ca="1">OFFSET(卡牌辅助配置表!$C$1,MATCH(AC1221,卡牌辅助配置表!A:A,0)-1,0)</f>
        <v>0</v>
      </c>
      <c r="H1221" s="186" t="e">
        <f ca="1">skill!Q90</f>
        <v>#VALUE!</v>
      </c>
      <c r="I1221" s="186"/>
      <c r="J1221" s="186">
        <f ca="1">OFFSET(card_type!$F$1,MATCH(Q1221,card_type!A:A,0)-1,0)</f>
        <v>2</v>
      </c>
      <c r="K1221" s="243">
        <f ca="1">OFFSET(card_type!$G$1,MATCH(Q1221,card_type!A:A,0)-1,0)</f>
        <v>1</v>
      </c>
      <c r="L1221" s="157">
        <v>2</v>
      </c>
      <c r="M1221" s="157">
        <v>2</v>
      </c>
      <c r="N1221" s="153">
        <f t="shared" si="206"/>
        <v>11</v>
      </c>
      <c r="O1221" s="157"/>
      <c r="P1221" s="157"/>
      <c r="Q1221" s="153">
        <f ca="1">OFFSET(card_type!$A$1,MATCH(card!B1221,card_type!B:B,0)-1,0)</f>
        <v>2015</v>
      </c>
      <c r="R1221" s="153">
        <v>0</v>
      </c>
      <c r="S1221" s="157">
        <f ca="1">ROUND(IF(R1221=0,0,IF(R1221=1,X1221*$S$1,IF(R1221=2,X1221*$S$1*buff的资质计算!$E$2,IF(R1221=3,X1221*$S$1*buff的资质计算!$E$3,0)))),0)*0</f>
        <v>0</v>
      </c>
      <c r="T1221" s="153">
        <v>4</v>
      </c>
      <c r="U1221" s="153">
        <f ca="1" t="shared" si="198"/>
        <v>21</v>
      </c>
      <c r="V1221" s="153">
        <f ca="1">ROUND((OFFSET(卡牌辅助配置表!$O$1,MATCH(U1221,卡牌辅助配置表!M:M,0)-1,0)+(N1221-1)*OFFSET(卡牌辅助配置表!$P$1,MATCH(U1221,卡牌辅助配置表!M:M,0)-1,0))*M1221,2)</f>
        <v>25.08</v>
      </c>
      <c r="W1221" s="157">
        <f ca="1">ROUND(IF(R1221=0,0,IF(R1221=1,X1221*$W$1,IF(R1221=2,X1221*$W$1*buff的资质计算!$E$2,IF(R1221=3,X1221*$W$1*buff的资质计算!$E$3,0)))),2)</f>
        <v>0</v>
      </c>
      <c r="X1221" s="157">
        <f ca="1" t="shared" si="204"/>
        <v>25</v>
      </c>
      <c r="Y1221" s="157" t="e">
        <f ca="1" t="shared" si="207"/>
        <v>#VALUE!</v>
      </c>
      <c r="Z1221" s="304" t="e">
        <f ca="1" t="shared" si="205"/>
        <v>#VALUE!</v>
      </c>
      <c r="AA1221" s="304">
        <f ca="1">OFFSET(卡牌辅助配置表!$AD$1,MATCH(AB1221,卡牌辅助配置表!AB:AB,0)-1,0)</f>
        <v>483</v>
      </c>
      <c r="AB1221" s="304">
        <f ca="1" t="shared" si="199"/>
        <v>2111</v>
      </c>
      <c r="AC1221" s="153">
        <v>12</v>
      </c>
      <c r="AF1221" s="153" t="str">
        <f ca="1" t="shared" si="208"/>
        <v>20150021|</v>
      </c>
      <c r="AG1221" s="153">
        <f ca="1">skill!A90</f>
        <v>20150021</v>
      </c>
      <c r="AJ1221" s="205" t="str">
        <f ca="1" t="shared" si="200"/>
        <v>400023|3100|;</v>
      </c>
      <c r="AK1221" s="205">
        <f ca="1">OFFSET([1]item_type!$A$1,MATCH(Q1221,[1]item_type!$G:$G,0)-1,0)</f>
        <v>302015</v>
      </c>
      <c r="AL1221" s="205"/>
      <c r="AM1221" s="205">
        <f ca="1">IF(B1221=B1222,OFFSET(卡牌辅助配置表!$AE$1,MATCH(AB1221,卡牌辅助配置表!AB:AB,0),0),0)</f>
        <v>3100</v>
      </c>
      <c r="AN1221" s="153">
        <f ca="1" t="shared" si="201"/>
        <v>2015012</v>
      </c>
      <c r="AP1221" s="153">
        <f ca="1">IF(AC1221=0,0,IF(AC1221=12,0,OFFSET(effect!$N$1,MATCH(K1221,effect!M:M,0)-1,0)))</f>
        <v>0</v>
      </c>
    </row>
    <row r="1222" spans="1:42">
      <c r="A1222" s="153">
        <f ca="1" t="shared" ref="A1222:A1285" si="209">Q1222*1000+N1222</f>
        <v>2015012</v>
      </c>
      <c r="B1222" s="91" t="s">
        <v>393</v>
      </c>
      <c r="C1222" s="186">
        <v>2</v>
      </c>
      <c r="D1222" s="186">
        <v>1</v>
      </c>
      <c r="E1222" s="165"/>
      <c r="F1222" s="179" t="str">
        <f>buff!C82</f>
        <v>增加剑法伤害20.5%，持续2回合</v>
      </c>
      <c r="G1222" s="186">
        <f ca="1">OFFSET(卡牌辅助配置表!$C$1,MATCH(AC1222,卡牌辅助配置表!A:A,0)-1,0)</f>
        <v>0</v>
      </c>
      <c r="H1222" s="186" t="e">
        <f ca="1">skill!Q91</f>
        <v>#VALUE!</v>
      </c>
      <c r="I1222" s="186"/>
      <c r="J1222" s="186">
        <f ca="1">OFFSET(card_type!$F$1,MATCH(Q1222,card_type!A:A,0)-1,0)</f>
        <v>2</v>
      </c>
      <c r="K1222" s="243">
        <f ca="1">OFFSET(card_type!$G$1,MATCH(Q1222,card_type!A:A,0)-1,0)</f>
        <v>1</v>
      </c>
      <c r="L1222" s="157">
        <v>2</v>
      </c>
      <c r="M1222" s="157">
        <v>2</v>
      </c>
      <c r="N1222" s="153">
        <f t="shared" si="206"/>
        <v>12</v>
      </c>
      <c r="O1222" s="157"/>
      <c r="P1222" s="157"/>
      <c r="Q1222" s="153">
        <f ca="1">OFFSET(card_type!$A$1,MATCH(card!B1222,card_type!B:B,0)-1,0)</f>
        <v>2015</v>
      </c>
      <c r="R1222" s="153">
        <v>0</v>
      </c>
      <c r="S1222" s="157">
        <f ca="1">ROUND(IF(R1222=0,0,IF(R1222=1,X1222*$S$1,IF(R1222=2,X1222*$S$1*buff的资质计算!$E$2,IF(R1222=3,X1222*$S$1*buff的资质计算!$E$3,0)))),0)*0</f>
        <v>0</v>
      </c>
      <c r="T1222" s="153">
        <v>4</v>
      </c>
      <c r="U1222" s="153">
        <f ca="1" t="shared" ref="U1222:U1285" si="210">J1222*10+K1222</f>
        <v>21</v>
      </c>
      <c r="V1222" s="153">
        <f ca="1">ROUND((OFFSET(卡牌辅助配置表!$O$1,MATCH(U1222,卡牌辅助配置表!M:M,0)-1,0)+(N1222-1)*OFFSET(卡牌辅助配置表!$P$1,MATCH(U1222,卡牌辅助配置表!M:M,0)-1,0))*M1222,2)</f>
        <v>26.2</v>
      </c>
      <c r="W1222" s="157">
        <f ca="1">ROUND(IF(R1222=0,0,IF(R1222=1,X1222*$W$1,IF(R1222=2,X1222*$W$1*buff的资质计算!$E$2,IF(R1222=3,X1222*$W$1*buff的资质计算!$E$3,0)))),2)</f>
        <v>0</v>
      </c>
      <c r="X1222" s="157">
        <f ca="1" t="shared" si="204"/>
        <v>25.5</v>
      </c>
      <c r="Y1222" s="157" t="e">
        <f ca="1" t="shared" si="207"/>
        <v>#VALUE!</v>
      </c>
      <c r="Z1222" s="304" t="e">
        <f ca="1" t="shared" si="205"/>
        <v>#VALUE!</v>
      </c>
      <c r="AA1222" s="304">
        <f ca="1">OFFSET(卡牌辅助配置表!$AD$1,MATCH(AB1222,卡牌辅助配置表!AB:AB,0)-1,0)</f>
        <v>546</v>
      </c>
      <c r="AB1222" s="304">
        <f ca="1" t="shared" ref="AB1222:AB1285" si="211">J1222*1000+K1222*100+N1222</f>
        <v>2112</v>
      </c>
      <c r="AC1222" s="153">
        <v>12</v>
      </c>
      <c r="AF1222" s="153" t="str">
        <f ca="1" t="shared" si="208"/>
        <v>20150022|</v>
      </c>
      <c r="AG1222" s="153">
        <f ca="1">skill!A91</f>
        <v>20150022</v>
      </c>
      <c r="AJ1222" s="205" t="str">
        <f ca="1" t="shared" ref="AJ1222:AJ1285" si="212">IF(AN1222=0,0,IF(AL1222=0,$AM$1&amp;$AF$1&amp;AM1222&amp;$AF$1&amp;$AJ$1,AK1222&amp;$AF$1&amp;AL1222&amp;$AF$1&amp;$AJ$1&amp;$AM$1&amp;$AF$1&amp;AM1222&amp;$AF$1&amp;$AJ$1))</f>
        <v>400023|3500|;</v>
      </c>
      <c r="AK1222" s="205">
        <f ca="1">OFFSET([1]item_type!$A$1,MATCH(Q1222,[1]item_type!$G:$G,0)-1,0)</f>
        <v>302015</v>
      </c>
      <c r="AL1222" s="205"/>
      <c r="AM1222" s="205">
        <f ca="1">IF(B1222=B1223,OFFSET(卡牌辅助配置表!$AE$1,MATCH(AB1222,卡牌辅助配置表!AB:AB,0),0),0)</f>
        <v>3500</v>
      </c>
      <c r="AN1222" s="153">
        <f ca="1" t="shared" ref="AN1222:AN1285" si="213">IF(B1222=B1223,A1222+1,0)</f>
        <v>2015013</v>
      </c>
      <c r="AP1222" s="153">
        <f ca="1">IF(AC1222=0,0,IF(AC1222=12,0,OFFSET(effect!$N$1,MATCH(K1222,effect!M:M,0)-1,0)))</f>
        <v>0</v>
      </c>
    </row>
    <row r="1223" spans="1:42">
      <c r="A1223" s="153">
        <f ca="1" t="shared" si="209"/>
        <v>2015013</v>
      </c>
      <c r="B1223" s="91" t="s">
        <v>393</v>
      </c>
      <c r="C1223" s="186">
        <v>2</v>
      </c>
      <c r="D1223" s="186">
        <v>1</v>
      </c>
      <c r="E1223" s="165"/>
      <c r="F1223" s="179" t="str">
        <f>buff!C83</f>
        <v>增加剑法伤害21%，持续2回合</v>
      </c>
      <c r="G1223" s="186">
        <f ca="1">OFFSET(卡牌辅助配置表!$C$1,MATCH(AC1223,卡牌辅助配置表!A:A,0)-1,0)</f>
        <v>0</v>
      </c>
      <c r="H1223" s="186" t="e">
        <f ca="1">skill!Q92</f>
        <v>#VALUE!</v>
      </c>
      <c r="I1223" s="186"/>
      <c r="J1223" s="186">
        <f ca="1">OFFSET(card_type!$F$1,MATCH(Q1223,card_type!A:A,0)-1,0)</f>
        <v>2</v>
      </c>
      <c r="K1223" s="243">
        <f ca="1">OFFSET(card_type!$G$1,MATCH(Q1223,card_type!A:A,0)-1,0)</f>
        <v>1</v>
      </c>
      <c r="L1223" s="157">
        <v>2</v>
      </c>
      <c r="M1223" s="157">
        <v>2</v>
      </c>
      <c r="N1223" s="153">
        <f t="shared" si="206"/>
        <v>13</v>
      </c>
      <c r="O1223" s="157"/>
      <c r="P1223" s="157"/>
      <c r="Q1223" s="153">
        <f ca="1">OFFSET(card_type!$A$1,MATCH(card!B1223,card_type!B:B,0)-1,0)</f>
        <v>2015</v>
      </c>
      <c r="R1223" s="153">
        <v>0</v>
      </c>
      <c r="S1223" s="157">
        <f ca="1">ROUND(IF(R1223=0,0,IF(R1223=1,X1223*$S$1,IF(R1223=2,X1223*$S$1*buff的资质计算!$E$2,IF(R1223=3,X1223*$S$1*buff的资质计算!$E$3,0)))),0)*0</f>
        <v>0</v>
      </c>
      <c r="T1223" s="153">
        <v>4</v>
      </c>
      <c r="U1223" s="153">
        <f ca="1" t="shared" si="210"/>
        <v>21</v>
      </c>
      <c r="V1223" s="153">
        <f ca="1">ROUND((OFFSET(卡牌辅助配置表!$O$1,MATCH(U1223,卡牌辅助配置表!M:M,0)-1,0)+(N1223-1)*OFFSET(卡牌辅助配置表!$P$1,MATCH(U1223,卡牌辅助配置表!M:M,0)-1,0))*M1223,2)</f>
        <v>27.32</v>
      </c>
      <c r="W1223" s="157">
        <f ca="1">ROUND(IF(R1223=0,0,IF(R1223=1,X1223*$W$1,IF(R1223=2,X1223*$W$1*buff的资质计算!$E$2,IF(R1223=3,X1223*$W$1*buff的资质计算!$E$3,0)))),2)</f>
        <v>0</v>
      </c>
      <c r="X1223" s="157">
        <f ca="1" t="shared" si="204"/>
        <v>26</v>
      </c>
      <c r="Y1223" s="157" t="e">
        <f ca="1" t="shared" si="207"/>
        <v>#VALUE!</v>
      </c>
      <c r="Z1223" s="304" t="e">
        <f ca="1" t="shared" si="205"/>
        <v>#VALUE!</v>
      </c>
      <c r="AA1223" s="304">
        <f ca="1">OFFSET(卡牌辅助配置表!$AD$1,MATCH(AB1223,卡牌辅助配置表!AB:AB,0)-1,0)</f>
        <v>609</v>
      </c>
      <c r="AB1223" s="304">
        <f ca="1" t="shared" si="211"/>
        <v>2113</v>
      </c>
      <c r="AC1223" s="153">
        <v>12</v>
      </c>
      <c r="AF1223" s="153" t="str">
        <f ca="1" t="shared" si="208"/>
        <v>20150023|</v>
      </c>
      <c r="AG1223" s="153">
        <f ca="1">skill!A92</f>
        <v>20150023</v>
      </c>
      <c r="AJ1223" s="205" t="str">
        <f ca="1" t="shared" si="212"/>
        <v>400023|3900|;</v>
      </c>
      <c r="AK1223" s="205">
        <f ca="1">OFFSET([1]item_type!$A$1,MATCH(Q1223,[1]item_type!$G:$G,0)-1,0)</f>
        <v>302015</v>
      </c>
      <c r="AL1223" s="205"/>
      <c r="AM1223" s="205">
        <f ca="1">IF(B1223=B1224,OFFSET(卡牌辅助配置表!$AE$1,MATCH(AB1223,卡牌辅助配置表!AB:AB,0),0),0)</f>
        <v>3900</v>
      </c>
      <c r="AN1223" s="153">
        <f ca="1" t="shared" si="213"/>
        <v>2015014</v>
      </c>
      <c r="AP1223" s="153">
        <f ca="1">IF(AC1223=0,0,IF(AC1223=12,0,OFFSET(effect!$N$1,MATCH(K1223,effect!M:M,0)-1,0)))</f>
        <v>0</v>
      </c>
    </row>
    <row r="1224" spans="1:42">
      <c r="A1224" s="153">
        <f ca="1" t="shared" si="209"/>
        <v>2015014</v>
      </c>
      <c r="B1224" s="91" t="s">
        <v>393</v>
      </c>
      <c r="C1224" s="186">
        <v>2</v>
      </c>
      <c r="D1224" s="186">
        <v>1</v>
      </c>
      <c r="E1224" s="165"/>
      <c r="F1224" s="179" t="str">
        <f>buff!C84</f>
        <v>增加剑法伤害21.5%，持续2回合</v>
      </c>
      <c r="G1224" s="186">
        <f ca="1">OFFSET(卡牌辅助配置表!$C$1,MATCH(AC1224,卡牌辅助配置表!A:A,0)-1,0)</f>
        <v>0</v>
      </c>
      <c r="H1224" s="186" t="e">
        <f ca="1">skill!Q93</f>
        <v>#VALUE!</v>
      </c>
      <c r="I1224" s="186"/>
      <c r="J1224" s="186">
        <f ca="1">OFFSET(card_type!$F$1,MATCH(Q1224,card_type!A:A,0)-1,0)</f>
        <v>2</v>
      </c>
      <c r="K1224" s="243">
        <f ca="1">OFFSET(card_type!$G$1,MATCH(Q1224,card_type!A:A,0)-1,0)</f>
        <v>1</v>
      </c>
      <c r="L1224" s="157">
        <v>2</v>
      </c>
      <c r="M1224" s="157">
        <v>2</v>
      </c>
      <c r="N1224" s="153">
        <f t="shared" si="206"/>
        <v>14</v>
      </c>
      <c r="O1224" s="157"/>
      <c r="P1224" s="157"/>
      <c r="Q1224" s="153">
        <f ca="1">OFFSET(card_type!$A$1,MATCH(card!B1224,card_type!B:B,0)-1,0)</f>
        <v>2015</v>
      </c>
      <c r="R1224" s="153">
        <v>0</v>
      </c>
      <c r="S1224" s="157">
        <f ca="1">ROUND(IF(R1224=0,0,IF(R1224=1,X1224*$S$1,IF(R1224=2,X1224*$S$1*buff的资质计算!$E$2,IF(R1224=3,X1224*$S$1*buff的资质计算!$E$3,0)))),0)*0</f>
        <v>0</v>
      </c>
      <c r="T1224" s="153">
        <v>4</v>
      </c>
      <c r="U1224" s="153">
        <f ca="1" t="shared" si="210"/>
        <v>21</v>
      </c>
      <c r="V1224" s="153">
        <f ca="1">ROUND((OFFSET(卡牌辅助配置表!$O$1,MATCH(U1224,卡牌辅助配置表!M:M,0)-1,0)+(N1224-1)*OFFSET(卡牌辅助配置表!$P$1,MATCH(U1224,卡牌辅助配置表!M:M,0)-1,0))*M1224,2)</f>
        <v>28.45</v>
      </c>
      <c r="W1224" s="157">
        <f ca="1">ROUND(IF(R1224=0,0,IF(R1224=1,X1224*$W$1,IF(R1224=2,X1224*$W$1*buff的资质计算!$E$2,IF(R1224=3,X1224*$W$1*buff的资质计算!$E$3,0)))),2)</f>
        <v>0</v>
      </c>
      <c r="X1224" s="157">
        <f ca="1" t="shared" si="204"/>
        <v>26.5</v>
      </c>
      <c r="Y1224" s="157" t="e">
        <f ca="1" t="shared" si="207"/>
        <v>#VALUE!</v>
      </c>
      <c r="Z1224" s="304" t="e">
        <f ca="1" t="shared" si="205"/>
        <v>#VALUE!</v>
      </c>
      <c r="AA1224" s="304">
        <f ca="1">OFFSET(卡牌辅助配置表!$AD$1,MATCH(AB1224,卡牌辅助配置表!AB:AB,0)-1,0)</f>
        <v>672</v>
      </c>
      <c r="AB1224" s="304">
        <f ca="1" t="shared" si="211"/>
        <v>2114</v>
      </c>
      <c r="AC1224" s="153">
        <v>12</v>
      </c>
      <c r="AF1224" s="153" t="str">
        <f ca="1" t="shared" si="208"/>
        <v>20150024|</v>
      </c>
      <c r="AG1224" s="153">
        <f ca="1">skill!A93</f>
        <v>20150024</v>
      </c>
      <c r="AJ1224" s="205" t="str">
        <f ca="1" t="shared" si="212"/>
        <v>400023|4300|;</v>
      </c>
      <c r="AK1224" s="205">
        <f ca="1">OFFSET([1]item_type!$A$1,MATCH(Q1224,[1]item_type!$G:$G,0)-1,0)</f>
        <v>302015</v>
      </c>
      <c r="AL1224" s="205"/>
      <c r="AM1224" s="205">
        <f ca="1">IF(B1224=B1225,OFFSET(卡牌辅助配置表!$AE$1,MATCH(AB1224,卡牌辅助配置表!AB:AB,0),0),0)</f>
        <v>4300</v>
      </c>
      <c r="AN1224" s="153">
        <f ca="1" t="shared" si="213"/>
        <v>2015015</v>
      </c>
      <c r="AP1224" s="153">
        <f ca="1">IF(AC1224=0,0,IF(AC1224=12,0,OFFSET(effect!$N$1,MATCH(K1224,effect!M:M,0)-1,0)))</f>
        <v>0</v>
      </c>
    </row>
    <row r="1225" spans="1:42">
      <c r="A1225" s="153">
        <f ca="1" t="shared" si="209"/>
        <v>2015015</v>
      </c>
      <c r="B1225" s="91" t="s">
        <v>393</v>
      </c>
      <c r="C1225" s="186">
        <v>2</v>
      </c>
      <c r="D1225" s="186">
        <v>1</v>
      </c>
      <c r="E1225" s="165"/>
      <c r="F1225" s="179" t="str">
        <f>buff!C85</f>
        <v>增加剑法伤害22%，持续2回合</v>
      </c>
      <c r="G1225" s="186">
        <f ca="1">OFFSET(卡牌辅助配置表!$C$1,MATCH(AC1225,卡牌辅助配置表!A:A,0)-1,0)</f>
        <v>0</v>
      </c>
      <c r="H1225" s="186" t="e">
        <f ca="1">skill!Q94</f>
        <v>#VALUE!</v>
      </c>
      <c r="I1225" s="186"/>
      <c r="J1225" s="186">
        <f ca="1">OFFSET(card_type!$F$1,MATCH(Q1225,card_type!A:A,0)-1,0)</f>
        <v>2</v>
      </c>
      <c r="K1225" s="243">
        <f ca="1">OFFSET(card_type!$G$1,MATCH(Q1225,card_type!A:A,0)-1,0)</f>
        <v>1</v>
      </c>
      <c r="L1225" s="157">
        <v>2</v>
      </c>
      <c r="M1225" s="157">
        <v>2</v>
      </c>
      <c r="N1225" s="153">
        <f t="shared" si="206"/>
        <v>15</v>
      </c>
      <c r="O1225" s="157"/>
      <c r="P1225" s="157"/>
      <c r="Q1225" s="153">
        <f ca="1">OFFSET(card_type!$A$1,MATCH(card!B1225,card_type!B:B,0)-1,0)</f>
        <v>2015</v>
      </c>
      <c r="R1225" s="153">
        <v>0</v>
      </c>
      <c r="S1225" s="157">
        <f ca="1">ROUND(IF(R1225=0,0,IF(R1225=1,X1225*$S$1,IF(R1225=2,X1225*$S$1*buff的资质计算!$E$2,IF(R1225=3,X1225*$S$1*buff的资质计算!$E$3,0)))),0)*0</f>
        <v>0</v>
      </c>
      <c r="T1225" s="153">
        <v>4</v>
      </c>
      <c r="U1225" s="153">
        <f ca="1" t="shared" si="210"/>
        <v>21</v>
      </c>
      <c r="V1225" s="153">
        <f ca="1">ROUND((OFFSET(卡牌辅助配置表!$O$1,MATCH(U1225,卡牌辅助配置表!M:M,0)-1,0)+(N1225-1)*OFFSET(卡牌辅助配置表!$P$1,MATCH(U1225,卡牌辅助配置表!M:M,0)-1,0))*M1225,2)</f>
        <v>29.57</v>
      </c>
      <c r="W1225" s="157">
        <f ca="1">ROUND(IF(R1225=0,0,IF(R1225=1,X1225*$W$1,IF(R1225=2,X1225*$W$1*buff的资质计算!$E$2,IF(R1225=3,X1225*$W$1*buff的资质计算!$E$3,0)))),2)</f>
        <v>0</v>
      </c>
      <c r="X1225" s="157">
        <f ca="1" t="shared" si="204"/>
        <v>27</v>
      </c>
      <c r="Y1225" s="157" t="e">
        <f ca="1" t="shared" si="207"/>
        <v>#VALUE!</v>
      </c>
      <c r="Z1225" s="304" t="e">
        <f ca="1" t="shared" si="205"/>
        <v>#VALUE!</v>
      </c>
      <c r="AA1225" s="304">
        <f ca="1">OFFSET(卡牌辅助配置表!$AD$1,MATCH(AB1225,卡牌辅助配置表!AB:AB,0)-1,0)</f>
        <v>735</v>
      </c>
      <c r="AB1225" s="304">
        <f ca="1" t="shared" si="211"/>
        <v>2115</v>
      </c>
      <c r="AC1225" s="153">
        <v>12</v>
      </c>
      <c r="AF1225" s="153" t="str">
        <f ca="1" t="shared" si="208"/>
        <v>20150025|</v>
      </c>
      <c r="AG1225" s="153">
        <f ca="1">skill!A94</f>
        <v>20150025</v>
      </c>
      <c r="AJ1225" s="205" t="str">
        <f ca="1" t="shared" si="212"/>
        <v>400023|4700|;</v>
      </c>
      <c r="AK1225" s="205">
        <f ca="1">OFFSET([1]item_type!$A$1,MATCH(Q1225,[1]item_type!$G:$G,0)-1,0)</f>
        <v>302015</v>
      </c>
      <c r="AL1225" s="205"/>
      <c r="AM1225" s="205">
        <f ca="1">IF(B1225=B1226,OFFSET(卡牌辅助配置表!$AE$1,MATCH(AB1225,卡牌辅助配置表!AB:AB,0),0),0)</f>
        <v>4700</v>
      </c>
      <c r="AN1225" s="153">
        <f ca="1" t="shared" si="213"/>
        <v>2015016</v>
      </c>
      <c r="AP1225" s="153">
        <f ca="1">IF(AC1225=0,0,IF(AC1225=12,0,OFFSET(effect!$N$1,MATCH(K1225,effect!M:M,0)-1,0)))</f>
        <v>0</v>
      </c>
    </row>
    <row r="1226" spans="1:42">
      <c r="A1226" s="153">
        <f ca="1" t="shared" si="209"/>
        <v>2015016</v>
      </c>
      <c r="B1226" s="91" t="s">
        <v>393</v>
      </c>
      <c r="C1226" s="186">
        <v>2</v>
      </c>
      <c r="D1226" s="186">
        <v>1</v>
      </c>
      <c r="E1226" s="165"/>
      <c r="F1226" s="179" t="str">
        <f>buff!C86</f>
        <v>增加剑法伤害22.5%，持续2回合</v>
      </c>
      <c r="G1226" s="186">
        <f ca="1">OFFSET(卡牌辅助配置表!$C$1,MATCH(AC1226,卡牌辅助配置表!A:A,0)-1,0)</f>
        <v>0</v>
      </c>
      <c r="H1226" s="186" t="e">
        <f ca="1">skill!Q95</f>
        <v>#VALUE!</v>
      </c>
      <c r="I1226" s="186"/>
      <c r="J1226" s="186">
        <f ca="1">OFFSET(card_type!$F$1,MATCH(Q1226,card_type!A:A,0)-1,0)</f>
        <v>2</v>
      </c>
      <c r="K1226" s="243">
        <f ca="1">OFFSET(card_type!$G$1,MATCH(Q1226,card_type!A:A,0)-1,0)</f>
        <v>1</v>
      </c>
      <c r="L1226" s="157">
        <v>2</v>
      </c>
      <c r="M1226" s="157">
        <v>2</v>
      </c>
      <c r="N1226" s="153">
        <f t="shared" si="206"/>
        <v>16</v>
      </c>
      <c r="O1226" s="157"/>
      <c r="P1226" s="157"/>
      <c r="Q1226" s="153">
        <f ca="1">OFFSET(card_type!$A$1,MATCH(card!B1226,card_type!B:B,0)-1,0)</f>
        <v>2015</v>
      </c>
      <c r="R1226" s="153">
        <v>0</v>
      </c>
      <c r="S1226" s="157">
        <f ca="1">ROUND(IF(R1226=0,0,IF(R1226=1,X1226*$S$1,IF(R1226=2,X1226*$S$1*buff的资质计算!$E$2,IF(R1226=3,X1226*$S$1*buff的资质计算!$E$3,0)))),0)*0</f>
        <v>0</v>
      </c>
      <c r="T1226" s="153">
        <v>4</v>
      </c>
      <c r="U1226" s="153">
        <f ca="1" t="shared" si="210"/>
        <v>21</v>
      </c>
      <c r="V1226" s="153">
        <f ca="1">ROUND((OFFSET(卡牌辅助配置表!$O$1,MATCH(U1226,卡牌辅助配置表!M:M,0)-1,0)+(N1226-1)*OFFSET(卡牌辅助配置表!$P$1,MATCH(U1226,卡牌辅助配置表!M:M,0)-1,0))*M1226,2)</f>
        <v>30.69</v>
      </c>
      <c r="W1226" s="157">
        <f ca="1">ROUND(IF(R1226=0,0,IF(R1226=1,X1226*$W$1,IF(R1226=2,X1226*$W$1*buff的资质计算!$E$2,IF(R1226=3,X1226*$W$1*buff的资质计算!$E$3,0)))),2)</f>
        <v>0</v>
      </c>
      <c r="X1226" s="157">
        <f ca="1" t="shared" si="204"/>
        <v>27.5</v>
      </c>
      <c r="Y1226" s="157" t="e">
        <f ca="1" t="shared" si="207"/>
        <v>#VALUE!</v>
      </c>
      <c r="Z1226" s="304" t="e">
        <f ca="1" t="shared" si="205"/>
        <v>#VALUE!</v>
      </c>
      <c r="AA1226" s="304">
        <f ca="1">OFFSET(卡牌辅助配置表!$AD$1,MATCH(AB1226,卡牌辅助配置表!AB:AB,0)-1,0)</f>
        <v>798</v>
      </c>
      <c r="AB1226" s="304">
        <f ca="1" t="shared" si="211"/>
        <v>2116</v>
      </c>
      <c r="AC1226" s="153">
        <v>12</v>
      </c>
      <c r="AF1226" s="153" t="str">
        <f ca="1" t="shared" si="208"/>
        <v>20150026|</v>
      </c>
      <c r="AG1226" s="153">
        <f ca="1">skill!A95</f>
        <v>20150026</v>
      </c>
      <c r="AJ1226" s="205" t="str">
        <f ca="1" t="shared" si="212"/>
        <v>400023|5100|;</v>
      </c>
      <c r="AK1226" s="205">
        <f ca="1">OFFSET([1]item_type!$A$1,MATCH(Q1226,[1]item_type!$G:$G,0)-1,0)</f>
        <v>302015</v>
      </c>
      <c r="AL1226" s="205"/>
      <c r="AM1226" s="205">
        <f ca="1">IF(B1226=B1227,OFFSET(卡牌辅助配置表!$AE$1,MATCH(AB1226,卡牌辅助配置表!AB:AB,0),0),0)</f>
        <v>5100</v>
      </c>
      <c r="AN1226" s="153">
        <f ca="1" t="shared" si="213"/>
        <v>2015017</v>
      </c>
      <c r="AP1226" s="153">
        <f ca="1">IF(AC1226=0,0,IF(AC1226=12,0,OFFSET(effect!$N$1,MATCH(K1226,effect!M:M,0)-1,0)))</f>
        <v>0</v>
      </c>
    </row>
    <row r="1227" spans="1:42">
      <c r="A1227" s="153">
        <f ca="1" t="shared" si="209"/>
        <v>2015017</v>
      </c>
      <c r="B1227" s="91" t="s">
        <v>393</v>
      </c>
      <c r="C1227" s="186">
        <v>2</v>
      </c>
      <c r="D1227" s="186">
        <v>1</v>
      </c>
      <c r="E1227" s="165"/>
      <c r="F1227" s="179" t="str">
        <f>buff!C87</f>
        <v>增加剑法伤害23%，持续2回合</v>
      </c>
      <c r="G1227" s="186">
        <f ca="1">OFFSET(卡牌辅助配置表!$C$1,MATCH(AC1227,卡牌辅助配置表!A:A,0)-1,0)</f>
        <v>0</v>
      </c>
      <c r="H1227" s="186" t="e">
        <f ca="1">skill!Q96</f>
        <v>#VALUE!</v>
      </c>
      <c r="I1227" s="186"/>
      <c r="J1227" s="186">
        <f ca="1">OFFSET(card_type!$F$1,MATCH(Q1227,card_type!A:A,0)-1,0)</f>
        <v>2</v>
      </c>
      <c r="K1227" s="243">
        <f ca="1">OFFSET(card_type!$G$1,MATCH(Q1227,card_type!A:A,0)-1,0)</f>
        <v>1</v>
      </c>
      <c r="L1227" s="157">
        <v>2</v>
      </c>
      <c r="M1227" s="157">
        <v>2</v>
      </c>
      <c r="N1227" s="153">
        <f t="shared" si="206"/>
        <v>17</v>
      </c>
      <c r="O1227" s="157"/>
      <c r="P1227" s="157"/>
      <c r="Q1227" s="153">
        <f ca="1">OFFSET(card_type!$A$1,MATCH(card!B1227,card_type!B:B,0)-1,0)</f>
        <v>2015</v>
      </c>
      <c r="R1227" s="153">
        <v>0</v>
      </c>
      <c r="S1227" s="157">
        <f ca="1">ROUND(IF(R1227=0,0,IF(R1227=1,X1227*$S$1,IF(R1227=2,X1227*$S$1*buff的资质计算!$E$2,IF(R1227=3,X1227*$S$1*buff的资质计算!$E$3,0)))),0)*0</f>
        <v>0</v>
      </c>
      <c r="T1227" s="153">
        <v>4</v>
      </c>
      <c r="U1227" s="153">
        <f ca="1" t="shared" si="210"/>
        <v>21</v>
      </c>
      <c r="V1227" s="153">
        <f ca="1">ROUND((OFFSET(卡牌辅助配置表!$O$1,MATCH(U1227,卡牌辅助配置表!M:M,0)-1,0)+(N1227-1)*OFFSET(卡牌辅助配置表!$P$1,MATCH(U1227,卡牌辅助配置表!M:M,0)-1,0))*M1227,2)</f>
        <v>31.81</v>
      </c>
      <c r="W1227" s="157">
        <f ca="1">ROUND(IF(R1227=0,0,IF(R1227=1,X1227*$W$1,IF(R1227=2,X1227*$W$1*buff的资质计算!$E$2,IF(R1227=3,X1227*$W$1*buff的资质计算!$E$3,0)))),2)</f>
        <v>0</v>
      </c>
      <c r="X1227" s="157">
        <f ca="1" t="shared" si="204"/>
        <v>28</v>
      </c>
      <c r="Y1227" s="157" t="e">
        <f ca="1" t="shared" si="207"/>
        <v>#VALUE!</v>
      </c>
      <c r="Z1227" s="304" t="e">
        <f ca="1" t="shared" si="205"/>
        <v>#VALUE!</v>
      </c>
      <c r="AA1227" s="304">
        <f ca="1">OFFSET(卡牌辅助配置表!$AD$1,MATCH(AB1227,卡牌辅助配置表!AB:AB,0)-1,0)</f>
        <v>861</v>
      </c>
      <c r="AB1227" s="304">
        <f ca="1" t="shared" si="211"/>
        <v>2117</v>
      </c>
      <c r="AC1227" s="153">
        <v>12</v>
      </c>
      <c r="AF1227" s="153" t="str">
        <f ca="1" t="shared" si="208"/>
        <v>20150027|</v>
      </c>
      <c r="AG1227" s="153">
        <f ca="1">skill!A96</f>
        <v>20150027</v>
      </c>
      <c r="AJ1227" s="205" t="str">
        <f ca="1" t="shared" si="212"/>
        <v>400023|5500|;</v>
      </c>
      <c r="AK1227" s="205">
        <f ca="1">OFFSET([1]item_type!$A$1,MATCH(Q1227,[1]item_type!$G:$G,0)-1,0)</f>
        <v>302015</v>
      </c>
      <c r="AL1227" s="205"/>
      <c r="AM1227" s="205">
        <f ca="1">IF(B1227=B1228,OFFSET(卡牌辅助配置表!$AE$1,MATCH(AB1227,卡牌辅助配置表!AB:AB,0),0),0)</f>
        <v>5500</v>
      </c>
      <c r="AN1227" s="153">
        <f ca="1" t="shared" si="213"/>
        <v>2015018</v>
      </c>
      <c r="AP1227" s="153">
        <f ca="1">IF(AC1227=0,0,IF(AC1227=12,0,OFFSET(effect!$N$1,MATCH(K1227,effect!M:M,0)-1,0)))</f>
        <v>0</v>
      </c>
    </row>
    <row r="1228" spans="1:42">
      <c r="A1228" s="153">
        <f ca="1" t="shared" si="209"/>
        <v>2015018</v>
      </c>
      <c r="B1228" s="91" t="s">
        <v>393</v>
      </c>
      <c r="C1228" s="186">
        <v>2</v>
      </c>
      <c r="D1228" s="186">
        <v>1</v>
      </c>
      <c r="E1228" s="165"/>
      <c r="F1228" s="179" t="str">
        <f>buff!C88</f>
        <v>增加剑法伤害23.5%，持续2回合</v>
      </c>
      <c r="G1228" s="186">
        <f ca="1">OFFSET(卡牌辅助配置表!$C$1,MATCH(AC1228,卡牌辅助配置表!A:A,0)-1,0)</f>
        <v>0</v>
      </c>
      <c r="H1228" s="186" t="e">
        <f ca="1">skill!Q97</f>
        <v>#VALUE!</v>
      </c>
      <c r="I1228" s="186"/>
      <c r="J1228" s="186">
        <f ca="1">OFFSET(card_type!$F$1,MATCH(Q1228,card_type!A:A,0)-1,0)</f>
        <v>2</v>
      </c>
      <c r="K1228" s="243">
        <f ca="1">OFFSET(card_type!$G$1,MATCH(Q1228,card_type!A:A,0)-1,0)</f>
        <v>1</v>
      </c>
      <c r="L1228" s="157">
        <v>2</v>
      </c>
      <c r="M1228" s="157">
        <v>2</v>
      </c>
      <c r="N1228" s="153">
        <f t="shared" si="206"/>
        <v>18</v>
      </c>
      <c r="O1228" s="157"/>
      <c r="P1228" s="157"/>
      <c r="Q1228" s="153">
        <f ca="1">OFFSET(card_type!$A$1,MATCH(card!B1228,card_type!B:B,0)-1,0)</f>
        <v>2015</v>
      </c>
      <c r="R1228" s="153">
        <v>0</v>
      </c>
      <c r="S1228" s="157">
        <f ca="1">ROUND(IF(R1228=0,0,IF(R1228=1,X1228*$S$1,IF(R1228=2,X1228*$S$1*buff的资质计算!$E$2,IF(R1228=3,X1228*$S$1*buff的资质计算!$E$3,0)))),0)*0</f>
        <v>0</v>
      </c>
      <c r="T1228" s="153">
        <v>4</v>
      </c>
      <c r="U1228" s="153">
        <f ca="1" t="shared" si="210"/>
        <v>21</v>
      </c>
      <c r="V1228" s="153">
        <f ca="1">ROUND((OFFSET(卡牌辅助配置表!$O$1,MATCH(U1228,卡牌辅助配置表!M:M,0)-1,0)+(N1228-1)*OFFSET(卡牌辅助配置表!$P$1,MATCH(U1228,卡牌辅助配置表!M:M,0)-1,0))*M1228,2)</f>
        <v>32.93</v>
      </c>
      <c r="W1228" s="157">
        <f ca="1">ROUND(IF(R1228=0,0,IF(R1228=1,X1228*$W$1,IF(R1228=2,X1228*$W$1*buff的资质计算!$E$2,IF(R1228=3,X1228*$W$1*buff的资质计算!$E$3,0)))),2)</f>
        <v>0</v>
      </c>
      <c r="X1228" s="157">
        <f ca="1" t="shared" si="204"/>
        <v>28.5</v>
      </c>
      <c r="Y1228" s="157" t="e">
        <f ca="1" t="shared" si="207"/>
        <v>#VALUE!</v>
      </c>
      <c r="Z1228" s="304" t="e">
        <f ca="1" t="shared" si="205"/>
        <v>#VALUE!</v>
      </c>
      <c r="AA1228" s="304">
        <f ca="1">OFFSET(卡牌辅助配置表!$AD$1,MATCH(AB1228,卡牌辅助配置表!AB:AB,0)-1,0)</f>
        <v>924</v>
      </c>
      <c r="AB1228" s="304">
        <f ca="1" t="shared" si="211"/>
        <v>2118</v>
      </c>
      <c r="AC1228" s="153">
        <v>12</v>
      </c>
      <c r="AF1228" s="153" t="str">
        <f ca="1" t="shared" si="208"/>
        <v>20150028|</v>
      </c>
      <c r="AG1228" s="153">
        <f ca="1">skill!A97</f>
        <v>20150028</v>
      </c>
      <c r="AJ1228" s="205" t="str">
        <f ca="1" t="shared" si="212"/>
        <v>400023|5900|;</v>
      </c>
      <c r="AK1228" s="205">
        <f ca="1">OFFSET([1]item_type!$A$1,MATCH(Q1228,[1]item_type!$G:$G,0)-1,0)</f>
        <v>302015</v>
      </c>
      <c r="AL1228" s="205"/>
      <c r="AM1228" s="205">
        <f ca="1">IF(B1228=B1229,OFFSET(卡牌辅助配置表!$AE$1,MATCH(AB1228,卡牌辅助配置表!AB:AB,0),0),0)</f>
        <v>5900</v>
      </c>
      <c r="AN1228" s="153">
        <f ca="1" t="shared" si="213"/>
        <v>2015019</v>
      </c>
      <c r="AP1228" s="153">
        <f ca="1">IF(AC1228=0,0,IF(AC1228=12,0,OFFSET(effect!$N$1,MATCH(K1228,effect!M:M,0)-1,0)))</f>
        <v>0</v>
      </c>
    </row>
    <row r="1229" spans="1:42">
      <c r="A1229" s="153">
        <f ca="1" t="shared" si="209"/>
        <v>2015019</v>
      </c>
      <c r="B1229" s="91" t="s">
        <v>393</v>
      </c>
      <c r="C1229" s="186">
        <v>2</v>
      </c>
      <c r="D1229" s="186">
        <v>1</v>
      </c>
      <c r="E1229" s="165"/>
      <c r="F1229" s="179" t="str">
        <f>buff!C89</f>
        <v>增加剑法伤害24%，持续2回合</v>
      </c>
      <c r="G1229" s="186">
        <f ca="1">OFFSET(卡牌辅助配置表!$C$1,MATCH(AC1229,卡牌辅助配置表!A:A,0)-1,0)</f>
        <v>0</v>
      </c>
      <c r="H1229" s="186" t="e">
        <f ca="1">skill!Q98</f>
        <v>#VALUE!</v>
      </c>
      <c r="I1229" s="186"/>
      <c r="J1229" s="186">
        <f ca="1">OFFSET(card_type!$F$1,MATCH(Q1229,card_type!A:A,0)-1,0)</f>
        <v>2</v>
      </c>
      <c r="K1229" s="243">
        <f ca="1">OFFSET(card_type!$G$1,MATCH(Q1229,card_type!A:A,0)-1,0)</f>
        <v>1</v>
      </c>
      <c r="L1229" s="157">
        <v>2</v>
      </c>
      <c r="M1229" s="157">
        <v>2</v>
      </c>
      <c r="N1229" s="153">
        <f t="shared" si="206"/>
        <v>19</v>
      </c>
      <c r="O1229" s="157"/>
      <c r="P1229" s="157"/>
      <c r="Q1229" s="153">
        <f ca="1">OFFSET(card_type!$A$1,MATCH(card!B1229,card_type!B:B,0)-1,0)</f>
        <v>2015</v>
      </c>
      <c r="R1229" s="153">
        <v>0</v>
      </c>
      <c r="S1229" s="157">
        <f ca="1">ROUND(IF(R1229=0,0,IF(R1229=1,X1229*$S$1,IF(R1229=2,X1229*$S$1*buff的资质计算!$E$2,IF(R1229=3,X1229*$S$1*buff的资质计算!$E$3,0)))),0)*0</f>
        <v>0</v>
      </c>
      <c r="T1229" s="153">
        <v>4</v>
      </c>
      <c r="U1229" s="153">
        <f ca="1" t="shared" si="210"/>
        <v>21</v>
      </c>
      <c r="V1229" s="153">
        <f ca="1">ROUND((OFFSET(卡牌辅助配置表!$O$1,MATCH(U1229,卡牌辅助配置表!M:M,0)-1,0)+(N1229-1)*OFFSET(卡牌辅助配置表!$P$1,MATCH(U1229,卡牌辅助配置表!M:M,0)-1,0))*M1229,2)</f>
        <v>34.06</v>
      </c>
      <c r="W1229" s="157">
        <f ca="1">ROUND(IF(R1229=0,0,IF(R1229=1,X1229*$W$1,IF(R1229=2,X1229*$W$1*buff的资质计算!$E$2,IF(R1229=3,X1229*$W$1*buff的资质计算!$E$3,0)))),2)</f>
        <v>0</v>
      </c>
      <c r="X1229" s="157">
        <f ca="1" t="shared" si="204"/>
        <v>29</v>
      </c>
      <c r="Y1229" s="157" t="e">
        <f ca="1" t="shared" si="207"/>
        <v>#VALUE!</v>
      </c>
      <c r="Z1229" s="304" t="e">
        <f ca="1" t="shared" si="205"/>
        <v>#VALUE!</v>
      </c>
      <c r="AA1229" s="304">
        <f ca="1">OFFSET(卡牌辅助配置表!$AD$1,MATCH(AB1229,卡牌辅助配置表!AB:AB,0)-1,0)</f>
        <v>987</v>
      </c>
      <c r="AB1229" s="304">
        <f ca="1" t="shared" si="211"/>
        <v>2119</v>
      </c>
      <c r="AC1229" s="153">
        <v>12</v>
      </c>
      <c r="AF1229" s="153" t="str">
        <f ca="1" t="shared" si="208"/>
        <v>20150029|</v>
      </c>
      <c r="AG1229" s="153">
        <f ca="1">skill!A98</f>
        <v>20150029</v>
      </c>
      <c r="AJ1229" s="205" t="str">
        <f ca="1" t="shared" si="212"/>
        <v>302015|20|;400023|6300|;</v>
      </c>
      <c r="AK1229" s="205">
        <f ca="1">OFFSET([1]item_type!$A$1,MATCH(Q1229,[1]item_type!$G:$G,0)-1,0)</f>
        <v>302015</v>
      </c>
      <c r="AL1229" s="205">
        <v>20</v>
      </c>
      <c r="AM1229" s="205">
        <f ca="1">IF(B1229=B1230,OFFSET(卡牌辅助配置表!$AE$1,MATCH(AB1229,卡牌辅助配置表!AB:AB,0),0),0)</f>
        <v>6300</v>
      </c>
      <c r="AN1229" s="153">
        <f ca="1" t="shared" si="213"/>
        <v>2015020</v>
      </c>
      <c r="AP1229" s="153">
        <f ca="1">IF(AC1229=0,0,IF(AC1229=12,0,OFFSET(effect!$N$1,MATCH(K1229,effect!M:M,0)-1,0)))</f>
        <v>0</v>
      </c>
    </row>
    <row r="1230" spans="1:42">
      <c r="A1230" s="153">
        <f ca="1" t="shared" si="209"/>
        <v>2015020</v>
      </c>
      <c r="B1230" s="91" t="s">
        <v>393</v>
      </c>
      <c r="C1230" s="186">
        <v>2</v>
      </c>
      <c r="D1230" s="186">
        <v>1</v>
      </c>
      <c r="E1230" s="165"/>
      <c r="F1230" s="179" t="str">
        <f>buff!C90</f>
        <v>增加剑法伤害24.5%，持续2回合</v>
      </c>
      <c r="G1230" s="186">
        <f ca="1">OFFSET(卡牌辅助配置表!$C$1,MATCH(AC1230,卡牌辅助配置表!A:A,0)-1,0)</f>
        <v>0</v>
      </c>
      <c r="H1230" s="186" t="e">
        <f ca="1">skill!Q99</f>
        <v>#VALUE!</v>
      </c>
      <c r="I1230" s="186"/>
      <c r="J1230" s="186">
        <f ca="1">OFFSET(card_type!$F$1,MATCH(Q1230,card_type!A:A,0)-1,0)</f>
        <v>2</v>
      </c>
      <c r="K1230" s="243">
        <f ca="1">OFFSET(card_type!$G$1,MATCH(Q1230,card_type!A:A,0)-1,0)</f>
        <v>1</v>
      </c>
      <c r="L1230" s="157">
        <v>2</v>
      </c>
      <c r="M1230" s="157">
        <v>2</v>
      </c>
      <c r="N1230" s="153">
        <f t="shared" si="206"/>
        <v>20</v>
      </c>
      <c r="O1230" s="157"/>
      <c r="P1230" s="157"/>
      <c r="Q1230" s="153">
        <f ca="1">OFFSET(card_type!$A$1,MATCH(card!B1230,card_type!B:B,0)-1,0)</f>
        <v>2015</v>
      </c>
      <c r="R1230" s="153">
        <v>0</v>
      </c>
      <c r="S1230" s="157">
        <f ca="1">ROUND(IF(R1230=0,0,IF(R1230=1,X1230*$S$1,IF(R1230=2,X1230*$S$1*buff的资质计算!$E$2,IF(R1230=3,X1230*$S$1*buff的资质计算!$E$3,0)))),0)*0</f>
        <v>0</v>
      </c>
      <c r="T1230" s="153">
        <v>4</v>
      </c>
      <c r="U1230" s="153">
        <f ca="1" t="shared" si="210"/>
        <v>21</v>
      </c>
      <c r="V1230" s="153">
        <f ca="1">ROUND((OFFSET(卡牌辅助配置表!$O$1,MATCH(U1230,卡牌辅助配置表!M:M,0)-1,0)+(N1230-1)*OFFSET(卡牌辅助配置表!$P$1,MATCH(U1230,卡牌辅助配置表!M:M,0)-1,0))*M1230,2)</f>
        <v>35.18</v>
      </c>
      <c r="W1230" s="157">
        <f ca="1">ROUND(IF(R1230=0,0,IF(R1230=1,X1230*$W$1,IF(R1230=2,X1230*$W$1*buff的资质计算!$E$2,IF(R1230=3,X1230*$W$1*buff的资质计算!$E$3,0)))),2)</f>
        <v>0</v>
      </c>
      <c r="X1230" s="157">
        <f ca="1" t="shared" si="204"/>
        <v>29.5</v>
      </c>
      <c r="Y1230" s="157" t="e">
        <f ca="1" t="shared" si="207"/>
        <v>#VALUE!</v>
      </c>
      <c r="Z1230" s="304" t="e">
        <f ca="1" t="shared" si="205"/>
        <v>#VALUE!</v>
      </c>
      <c r="AA1230" s="304">
        <f ca="1">OFFSET(卡牌辅助配置表!$AD$1,MATCH(AB1230,卡牌辅助配置表!AB:AB,0)-1,0)</f>
        <v>1050</v>
      </c>
      <c r="AB1230" s="304">
        <f ca="1" t="shared" si="211"/>
        <v>2120</v>
      </c>
      <c r="AC1230" s="153">
        <v>12</v>
      </c>
      <c r="AF1230" s="153" t="str">
        <f ca="1" t="shared" si="208"/>
        <v>20150030|</v>
      </c>
      <c r="AG1230" s="153">
        <f ca="1">skill!A99</f>
        <v>20150030</v>
      </c>
      <c r="AJ1230" s="205" t="str">
        <f ca="1" t="shared" si="212"/>
        <v>400023|7100|;</v>
      </c>
      <c r="AK1230" s="205">
        <f ca="1">OFFSET([1]item_type!$A$1,MATCH(Q1230,[1]item_type!$G:$G,0)-1,0)</f>
        <v>302015</v>
      </c>
      <c r="AL1230" s="205"/>
      <c r="AM1230" s="205">
        <f ca="1">IF(B1230=B1231,OFFSET(卡牌辅助配置表!$AE$1,MATCH(AB1230,卡牌辅助配置表!AB:AB,0),0),0)</f>
        <v>7100</v>
      </c>
      <c r="AN1230" s="153">
        <f ca="1" t="shared" si="213"/>
        <v>2015021</v>
      </c>
      <c r="AP1230" s="153">
        <f ca="1">IF(AC1230=0,0,IF(AC1230=12,0,OFFSET(effect!$N$1,MATCH(K1230,effect!M:M,0)-1,0)))</f>
        <v>0</v>
      </c>
    </row>
    <row r="1231" spans="1:42">
      <c r="A1231" s="153">
        <f ca="1" t="shared" si="209"/>
        <v>2015021</v>
      </c>
      <c r="B1231" s="91" t="s">
        <v>393</v>
      </c>
      <c r="C1231" s="186">
        <v>2</v>
      </c>
      <c r="D1231" s="186">
        <v>1</v>
      </c>
      <c r="E1231" s="165"/>
      <c r="F1231" s="179" t="str">
        <f>buff!C91</f>
        <v>增加剑法伤害25%，持续2回合</v>
      </c>
      <c r="G1231" s="186">
        <f ca="1">OFFSET(卡牌辅助配置表!$C$1,MATCH(AC1231,卡牌辅助配置表!A:A,0)-1,0)</f>
        <v>0</v>
      </c>
      <c r="H1231" s="186" t="e">
        <f ca="1">skill!Q100</f>
        <v>#VALUE!</v>
      </c>
      <c r="I1231" s="186"/>
      <c r="J1231" s="186">
        <f ca="1">OFFSET(card_type!$F$1,MATCH(Q1231,card_type!A:A,0)-1,0)</f>
        <v>2</v>
      </c>
      <c r="K1231" s="243">
        <f ca="1">OFFSET(card_type!$G$1,MATCH(Q1231,card_type!A:A,0)-1,0)</f>
        <v>1</v>
      </c>
      <c r="L1231" s="157">
        <v>2</v>
      </c>
      <c r="M1231" s="157">
        <v>2</v>
      </c>
      <c r="N1231" s="153">
        <f t="shared" si="206"/>
        <v>21</v>
      </c>
      <c r="O1231" s="157"/>
      <c r="P1231" s="157"/>
      <c r="Q1231" s="153">
        <f ca="1">OFFSET(card_type!$A$1,MATCH(card!B1231,card_type!B:B,0)-1,0)</f>
        <v>2015</v>
      </c>
      <c r="R1231" s="153">
        <v>0</v>
      </c>
      <c r="S1231" s="157">
        <f ca="1">ROUND(IF(R1231=0,0,IF(R1231=1,X1231*$S$1,IF(R1231=2,X1231*$S$1*buff的资质计算!$E$2,IF(R1231=3,X1231*$S$1*buff的资质计算!$E$3,0)))),0)*0</f>
        <v>0</v>
      </c>
      <c r="T1231" s="153">
        <v>4</v>
      </c>
      <c r="U1231" s="153">
        <f ca="1" t="shared" si="210"/>
        <v>21</v>
      </c>
      <c r="V1231" s="153">
        <f ca="1">ROUND((OFFSET(卡牌辅助配置表!$O$1,MATCH(U1231,卡牌辅助配置表!M:M,0)-1,0)+(N1231-1)*OFFSET(卡牌辅助配置表!$P$1,MATCH(U1231,卡牌辅助配置表!M:M,0)-1,0))*M1231,2)</f>
        <v>36.3</v>
      </c>
      <c r="W1231" s="157">
        <f ca="1">ROUND(IF(R1231=0,0,IF(R1231=1,X1231*$W$1,IF(R1231=2,X1231*$W$1*buff的资质计算!$E$2,IF(R1231=3,X1231*$W$1*buff的资质计算!$E$3,0)))),2)</f>
        <v>0</v>
      </c>
      <c r="X1231" s="157">
        <f ca="1" t="shared" si="204"/>
        <v>30</v>
      </c>
      <c r="Y1231" s="157" t="e">
        <f ca="1" t="shared" si="207"/>
        <v>#VALUE!</v>
      </c>
      <c r="Z1231" s="304" t="e">
        <f ca="1" t="shared" si="205"/>
        <v>#VALUE!</v>
      </c>
      <c r="AA1231" s="304">
        <f ca="1">OFFSET(卡牌辅助配置表!$AD$1,MATCH(AB1231,卡牌辅助配置表!AB:AB,0)-1,0)</f>
        <v>1135</v>
      </c>
      <c r="AB1231" s="304">
        <f ca="1" t="shared" si="211"/>
        <v>2121</v>
      </c>
      <c r="AC1231" s="153">
        <v>12</v>
      </c>
      <c r="AF1231" s="153" t="str">
        <f ca="1" t="shared" si="208"/>
        <v>20150031|</v>
      </c>
      <c r="AG1231" s="153">
        <f ca="1">skill!A100</f>
        <v>20150031</v>
      </c>
      <c r="AJ1231" s="205" t="str">
        <f ca="1" t="shared" si="212"/>
        <v>400023|7900|;</v>
      </c>
      <c r="AK1231" s="205">
        <f ca="1">OFFSET([1]item_type!$A$1,MATCH(Q1231,[1]item_type!$G:$G,0)-1,0)</f>
        <v>302015</v>
      </c>
      <c r="AL1231" s="205"/>
      <c r="AM1231" s="205">
        <f ca="1">IF(B1231=B1232,OFFSET(卡牌辅助配置表!$AE$1,MATCH(AB1231,卡牌辅助配置表!AB:AB,0),0),0)</f>
        <v>7900</v>
      </c>
      <c r="AN1231" s="153">
        <f ca="1" t="shared" si="213"/>
        <v>2015022</v>
      </c>
      <c r="AP1231" s="153">
        <f ca="1">IF(AC1231=0,0,IF(AC1231=12,0,OFFSET(effect!$N$1,MATCH(K1231,effect!M:M,0)-1,0)))</f>
        <v>0</v>
      </c>
    </row>
    <row r="1232" spans="1:42">
      <c r="A1232" s="153">
        <f ca="1" t="shared" si="209"/>
        <v>2015022</v>
      </c>
      <c r="B1232" s="91" t="s">
        <v>393</v>
      </c>
      <c r="C1232" s="186">
        <v>2</v>
      </c>
      <c r="D1232" s="186">
        <v>1</v>
      </c>
      <c r="E1232" s="165"/>
      <c r="F1232" s="179" t="str">
        <f>buff!C92</f>
        <v>增加剑法伤害25.5%，持续2回合</v>
      </c>
      <c r="G1232" s="186">
        <f ca="1">OFFSET(卡牌辅助配置表!$C$1,MATCH(AC1232,卡牌辅助配置表!A:A,0)-1,0)</f>
        <v>0</v>
      </c>
      <c r="H1232" s="186" t="e">
        <f ca="1">skill!Q101</f>
        <v>#VALUE!</v>
      </c>
      <c r="I1232" s="186"/>
      <c r="J1232" s="186">
        <f ca="1">OFFSET(card_type!$F$1,MATCH(Q1232,card_type!A:A,0)-1,0)</f>
        <v>2</v>
      </c>
      <c r="K1232" s="243">
        <f ca="1">OFFSET(card_type!$G$1,MATCH(Q1232,card_type!A:A,0)-1,0)</f>
        <v>1</v>
      </c>
      <c r="L1232" s="157">
        <v>2</v>
      </c>
      <c r="M1232" s="157">
        <v>2</v>
      </c>
      <c r="N1232" s="153">
        <f t="shared" si="206"/>
        <v>22</v>
      </c>
      <c r="O1232" s="157"/>
      <c r="P1232" s="157"/>
      <c r="Q1232" s="153">
        <f ca="1">OFFSET(card_type!$A$1,MATCH(card!B1232,card_type!B:B,0)-1,0)</f>
        <v>2015</v>
      </c>
      <c r="R1232" s="153">
        <v>0</v>
      </c>
      <c r="S1232" s="157">
        <f ca="1">ROUND(IF(R1232=0,0,IF(R1232=1,X1232*$S$1,IF(R1232=2,X1232*$S$1*buff的资质计算!$E$2,IF(R1232=3,X1232*$S$1*buff的资质计算!$E$3,0)))),0)*0</f>
        <v>0</v>
      </c>
      <c r="T1232" s="153">
        <v>4</v>
      </c>
      <c r="U1232" s="153">
        <f ca="1" t="shared" si="210"/>
        <v>21</v>
      </c>
      <c r="V1232" s="153">
        <f ca="1">ROUND((OFFSET(卡牌辅助配置表!$O$1,MATCH(U1232,卡牌辅助配置表!M:M,0)-1,0)+(N1232-1)*OFFSET(卡牌辅助配置表!$P$1,MATCH(U1232,卡牌辅助配置表!M:M,0)-1,0))*M1232,2)</f>
        <v>37.42</v>
      </c>
      <c r="W1232" s="157">
        <f ca="1">ROUND(IF(R1232=0,0,IF(R1232=1,X1232*$W$1,IF(R1232=2,X1232*$W$1*buff的资质计算!$E$2,IF(R1232=3,X1232*$W$1*buff的资质计算!$E$3,0)))),2)</f>
        <v>0</v>
      </c>
      <c r="X1232" s="157">
        <f ca="1" t="shared" si="204"/>
        <v>30.5</v>
      </c>
      <c r="Y1232" s="157" t="e">
        <f ca="1" t="shared" si="207"/>
        <v>#VALUE!</v>
      </c>
      <c r="Z1232" s="304" t="e">
        <f ca="1" t="shared" si="205"/>
        <v>#VALUE!</v>
      </c>
      <c r="AA1232" s="304">
        <f ca="1">OFFSET(卡牌辅助配置表!$AD$1,MATCH(AB1232,卡牌辅助配置表!AB:AB,0)-1,0)</f>
        <v>1220</v>
      </c>
      <c r="AB1232" s="304">
        <f ca="1" t="shared" si="211"/>
        <v>2122</v>
      </c>
      <c r="AC1232" s="153">
        <v>12</v>
      </c>
      <c r="AF1232" s="153" t="str">
        <f ca="1" t="shared" si="208"/>
        <v>20150032|</v>
      </c>
      <c r="AG1232" s="153">
        <f ca="1">skill!A101</f>
        <v>20150032</v>
      </c>
      <c r="AJ1232" s="205" t="str">
        <f ca="1" t="shared" si="212"/>
        <v>400023|8700|;</v>
      </c>
      <c r="AK1232" s="205">
        <f ca="1">OFFSET([1]item_type!$A$1,MATCH(Q1232,[1]item_type!$G:$G,0)-1,0)</f>
        <v>302015</v>
      </c>
      <c r="AL1232" s="205"/>
      <c r="AM1232" s="205">
        <f ca="1">IF(B1232=B1233,OFFSET(卡牌辅助配置表!$AE$1,MATCH(AB1232,卡牌辅助配置表!AB:AB,0),0),0)</f>
        <v>8700</v>
      </c>
      <c r="AN1232" s="153">
        <f ca="1" t="shared" si="213"/>
        <v>2015023</v>
      </c>
      <c r="AP1232" s="153">
        <f ca="1">IF(AC1232=0,0,IF(AC1232=12,0,OFFSET(effect!$N$1,MATCH(K1232,effect!M:M,0)-1,0)))</f>
        <v>0</v>
      </c>
    </row>
    <row r="1233" spans="1:42">
      <c r="A1233" s="153">
        <f ca="1" t="shared" si="209"/>
        <v>2015023</v>
      </c>
      <c r="B1233" s="91" t="s">
        <v>393</v>
      </c>
      <c r="C1233" s="186">
        <v>2</v>
      </c>
      <c r="D1233" s="186">
        <v>1</v>
      </c>
      <c r="E1233" s="165"/>
      <c r="F1233" s="179" t="str">
        <f>buff!C93</f>
        <v>增加剑法伤害26%，持续2回合</v>
      </c>
      <c r="G1233" s="186">
        <f ca="1">OFFSET(卡牌辅助配置表!$C$1,MATCH(AC1233,卡牌辅助配置表!A:A,0)-1,0)</f>
        <v>0</v>
      </c>
      <c r="H1233" s="186" t="e">
        <f ca="1">skill!Q102</f>
        <v>#VALUE!</v>
      </c>
      <c r="I1233" s="186"/>
      <c r="J1233" s="186">
        <f ca="1">OFFSET(card_type!$F$1,MATCH(Q1233,card_type!A:A,0)-1,0)</f>
        <v>2</v>
      </c>
      <c r="K1233" s="243">
        <f ca="1">OFFSET(card_type!$G$1,MATCH(Q1233,card_type!A:A,0)-1,0)</f>
        <v>1</v>
      </c>
      <c r="L1233" s="157">
        <v>2</v>
      </c>
      <c r="M1233" s="157">
        <v>2</v>
      </c>
      <c r="N1233" s="153">
        <f t="shared" si="206"/>
        <v>23</v>
      </c>
      <c r="O1233" s="157"/>
      <c r="P1233" s="157"/>
      <c r="Q1233" s="153">
        <f ca="1">OFFSET(card_type!$A$1,MATCH(card!B1233,card_type!B:B,0)-1,0)</f>
        <v>2015</v>
      </c>
      <c r="R1233" s="153">
        <v>0</v>
      </c>
      <c r="S1233" s="157">
        <f ca="1">ROUND(IF(R1233=0,0,IF(R1233=1,X1233*$S$1,IF(R1233=2,X1233*$S$1*buff的资质计算!$E$2,IF(R1233=3,X1233*$S$1*buff的资质计算!$E$3,0)))),0)*0</f>
        <v>0</v>
      </c>
      <c r="T1233" s="153">
        <v>4</v>
      </c>
      <c r="U1233" s="153">
        <f ca="1" t="shared" si="210"/>
        <v>21</v>
      </c>
      <c r="V1233" s="153">
        <f ca="1">ROUND((OFFSET(卡牌辅助配置表!$O$1,MATCH(U1233,卡牌辅助配置表!M:M,0)-1,0)+(N1233-1)*OFFSET(卡牌辅助配置表!$P$1,MATCH(U1233,卡牌辅助配置表!M:M,0)-1,0))*M1233,2)</f>
        <v>38.54</v>
      </c>
      <c r="W1233" s="157">
        <f ca="1">ROUND(IF(R1233=0,0,IF(R1233=1,X1233*$W$1,IF(R1233=2,X1233*$W$1*buff的资质计算!$E$2,IF(R1233=3,X1233*$W$1*buff的资质计算!$E$3,0)))),2)</f>
        <v>0</v>
      </c>
      <c r="X1233" s="157">
        <f ca="1" t="shared" si="204"/>
        <v>31</v>
      </c>
      <c r="Y1233" s="157" t="e">
        <f ca="1" t="shared" si="207"/>
        <v>#VALUE!</v>
      </c>
      <c r="Z1233" s="304" t="e">
        <f ca="1" t="shared" si="205"/>
        <v>#VALUE!</v>
      </c>
      <c r="AA1233" s="304">
        <f ca="1">OFFSET(卡牌辅助配置表!$AD$1,MATCH(AB1233,卡牌辅助配置表!AB:AB,0)-1,0)</f>
        <v>1305</v>
      </c>
      <c r="AB1233" s="304">
        <f ca="1" t="shared" si="211"/>
        <v>2123</v>
      </c>
      <c r="AC1233" s="153">
        <v>12</v>
      </c>
      <c r="AF1233" s="153" t="str">
        <f ca="1" t="shared" si="208"/>
        <v>20150033|</v>
      </c>
      <c r="AG1233" s="153">
        <f ca="1">skill!A102</f>
        <v>20150033</v>
      </c>
      <c r="AJ1233" s="205" t="str">
        <f ca="1" t="shared" si="212"/>
        <v>400023|9500|;</v>
      </c>
      <c r="AK1233" s="205">
        <f ca="1">OFFSET([1]item_type!$A$1,MATCH(Q1233,[1]item_type!$G:$G,0)-1,0)</f>
        <v>302015</v>
      </c>
      <c r="AL1233" s="205"/>
      <c r="AM1233" s="205">
        <f ca="1">IF(B1233=B1234,OFFSET(卡牌辅助配置表!$AE$1,MATCH(AB1233,卡牌辅助配置表!AB:AB,0),0),0)</f>
        <v>9500</v>
      </c>
      <c r="AN1233" s="153">
        <f ca="1" t="shared" si="213"/>
        <v>2015024</v>
      </c>
      <c r="AP1233" s="153">
        <f ca="1">IF(AC1233=0,0,IF(AC1233=12,0,OFFSET(effect!$N$1,MATCH(K1233,effect!M:M,0)-1,0)))</f>
        <v>0</v>
      </c>
    </row>
    <row r="1234" spans="1:42">
      <c r="A1234" s="153">
        <f ca="1" t="shared" si="209"/>
        <v>2015024</v>
      </c>
      <c r="B1234" s="91" t="s">
        <v>393</v>
      </c>
      <c r="C1234" s="186">
        <v>2</v>
      </c>
      <c r="D1234" s="186">
        <v>1</v>
      </c>
      <c r="E1234" s="165"/>
      <c r="F1234" s="179" t="str">
        <f>buff!C94</f>
        <v>增加剑法伤害26.5%，持续2回合</v>
      </c>
      <c r="G1234" s="186">
        <f ca="1">OFFSET(卡牌辅助配置表!$C$1,MATCH(AC1234,卡牌辅助配置表!A:A,0)-1,0)</f>
        <v>0</v>
      </c>
      <c r="H1234" s="186" t="e">
        <f ca="1">skill!Q103</f>
        <v>#VALUE!</v>
      </c>
      <c r="I1234" s="186"/>
      <c r="J1234" s="186">
        <f ca="1">OFFSET(card_type!$F$1,MATCH(Q1234,card_type!A:A,0)-1,0)</f>
        <v>2</v>
      </c>
      <c r="K1234" s="243">
        <f ca="1">OFFSET(card_type!$G$1,MATCH(Q1234,card_type!A:A,0)-1,0)</f>
        <v>1</v>
      </c>
      <c r="L1234" s="157">
        <v>2</v>
      </c>
      <c r="M1234" s="157">
        <v>2</v>
      </c>
      <c r="N1234" s="153">
        <f t="shared" si="206"/>
        <v>24</v>
      </c>
      <c r="O1234" s="157"/>
      <c r="P1234" s="157"/>
      <c r="Q1234" s="153">
        <f ca="1">OFFSET(card_type!$A$1,MATCH(card!B1234,card_type!B:B,0)-1,0)</f>
        <v>2015</v>
      </c>
      <c r="R1234" s="153">
        <v>0</v>
      </c>
      <c r="S1234" s="157">
        <f ca="1">ROUND(IF(R1234=0,0,IF(R1234=1,X1234*$S$1,IF(R1234=2,X1234*$S$1*buff的资质计算!$E$2,IF(R1234=3,X1234*$S$1*buff的资质计算!$E$3,0)))),0)*0</f>
        <v>0</v>
      </c>
      <c r="T1234" s="153">
        <v>4</v>
      </c>
      <c r="U1234" s="153">
        <f ca="1" t="shared" si="210"/>
        <v>21</v>
      </c>
      <c r="V1234" s="153">
        <f ca="1">ROUND((OFFSET(卡牌辅助配置表!$O$1,MATCH(U1234,卡牌辅助配置表!M:M,0)-1,0)+(N1234-1)*OFFSET(卡牌辅助配置表!$P$1,MATCH(U1234,卡牌辅助配置表!M:M,0)-1,0))*M1234,2)</f>
        <v>39.67</v>
      </c>
      <c r="W1234" s="157">
        <f ca="1">ROUND(IF(R1234=0,0,IF(R1234=1,X1234*$W$1,IF(R1234=2,X1234*$W$1*buff的资质计算!$E$2,IF(R1234=3,X1234*$W$1*buff的资质计算!$E$3,0)))),2)</f>
        <v>0</v>
      </c>
      <c r="X1234" s="157">
        <f ca="1" t="shared" si="204"/>
        <v>31.5</v>
      </c>
      <c r="Y1234" s="157" t="e">
        <f ca="1" t="shared" si="207"/>
        <v>#VALUE!</v>
      </c>
      <c r="Z1234" s="304" t="e">
        <f ca="1" t="shared" si="205"/>
        <v>#VALUE!</v>
      </c>
      <c r="AA1234" s="304">
        <f ca="1">OFFSET(卡牌辅助配置表!$AD$1,MATCH(AB1234,卡牌辅助配置表!AB:AB,0)-1,0)</f>
        <v>1390</v>
      </c>
      <c r="AB1234" s="304">
        <f ca="1" t="shared" si="211"/>
        <v>2124</v>
      </c>
      <c r="AC1234" s="153">
        <v>12</v>
      </c>
      <c r="AF1234" s="153" t="str">
        <f ca="1" t="shared" si="208"/>
        <v>20150034|</v>
      </c>
      <c r="AG1234" s="153">
        <f ca="1">skill!A103</f>
        <v>20150034</v>
      </c>
      <c r="AJ1234" s="205" t="str">
        <f ca="1" t="shared" si="212"/>
        <v>400023|10300|;</v>
      </c>
      <c r="AK1234" s="205">
        <f ca="1">OFFSET([1]item_type!$A$1,MATCH(Q1234,[1]item_type!$G:$G,0)-1,0)</f>
        <v>302015</v>
      </c>
      <c r="AL1234" s="205"/>
      <c r="AM1234" s="205">
        <f ca="1">IF(B1234=B1235,OFFSET(卡牌辅助配置表!$AE$1,MATCH(AB1234,卡牌辅助配置表!AB:AB,0),0),0)</f>
        <v>10300</v>
      </c>
      <c r="AN1234" s="153">
        <f ca="1" t="shared" si="213"/>
        <v>2015025</v>
      </c>
      <c r="AP1234" s="153">
        <f ca="1">IF(AC1234=0,0,IF(AC1234=12,0,OFFSET(effect!$N$1,MATCH(K1234,effect!M:M,0)-1,0)))</f>
        <v>0</v>
      </c>
    </row>
    <row r="1235" spans="1:42">
      <c r="A1235" s="153">
        <f ca="1" t="shared" si="209"/>
        <v>2015025</v>
      </c>
      <c r="B1235" s="91" t="s">
        <v>393</v>
      </c>
      <c r="C1235" s="186">
        <v>2</v>
      </c>
      <c r="D1235" s="186">
        <v>1</v>
      </c>
      <c r="E1235" s="165"/>
      <c r="F1235" s="179" t="str">
        <f>buff!C95</f>
        <v>增加剑法伤害27%，持续2回合</v>
      </c>
      <c r="G1235" s="186">
        <f ca="1">OFFSET(卡牌辅助配置表!$C$1,MATCH(AC1235,卡牌辅助配置表!A:A,0)-1,0)</f>
        <v>0</v>
      </c>
      <c r="H1235" s="186" t="e">
        <f ca="1">skill!Q104</f>
        <v>#VALUE!</v>
      </c>
      <c r="I1235" s="186"/>
      <c r="J1235" s="186">
        <f ca="1">OFFSET(card_type!$F$1,MATCH(Q1235,card_type!A:A,0)-1,0)</f>
        <v>2</v>
      </c>
      <c r="K1235" s="243">
        <f ca="1">OFFSET(card_type!$G$1,MATCH(Q1235,card_type!A:A,0)-1,0)</f>
        <v>1</v>
      </c>
      <c r="L1235" s="157">
        <v>2</v>
      </c>
      <c r="M1235" s="157">
        <v>2</v>
      </c>
      <c r="N1235" s="153">
        <f t="shared" si="206"/>
        <v>25</v>
      </c>
      <c r="O1235" s="157"/>
      <c r="P1235" s="157"/>
      <c r="Q1235" s="153">
        <f ca="1">OFFSET(card_type!$A$1,MATCH(card!B1235,card_type!B:B,0)-1,0)</f>
        <v>2015</v>
      </c>
      <c r="R1235" s="153">
        <v>0</v>
      </c>
      <c r="S1235" s="157">
        <f ca="1">ROUND(IF(R1235=0,0,IF(R1235=1,X1235*$S$1,IF(R1235=2,X1235*$S$1*buff的资质计算!$E$2,IF(R1235=3,X1235*$S$1*buff的资质计算!$E$3,0)))),0)*0</f>
        <v>0</v>
      </c>
      <c r="T1235" s="153">
        <v>4</v>
      </c>
      <c r="U1235" s="153">
        <f ca="1" t="shared" si="210"/>
        <v>21</v>
      </c>
      <c r="V1235" s="153">
        <f ca="1">ROUND((OFFSET(卡牌辅助配置表!$O$1,MATCH(U1235,卡牌辅助配置表!M:M,0)-1,0)+(N1235-1)*OFFSET(卡牌辅助配置表!$P$1,MATCH(U1235,卡牌辅助配置表!M:M,0)-1,0))*M1235,2)</f>
        <v>40.79</v>
      </c>
      <c r="W1235" s="157">
        <f ca="1">ROUND(IF(R1235=0,0,IF(R1235=1,X1235*$W$1,IF(R1235=2,X1235*$W$1*buff的资质计算!$E$2,IF(R1235=3,X1235*$W$1*buff的资质计算!$E$3,0)))),2)</f>
        <v>0</v>
      </c>
      <c r="X1235" s="157">
        <f ca="1" t="shared" si="204"/>
        <v>32</v>
      </c>
      <c r="Y1235" s="157" t="e">
        <f ca="1" t="shared" si="207"/>
        <v>#VALUE!</v>
      </c>
      <c r="Z1235" s="304" t="e">
        <f ca="1" t="shared" si="205"/>
        <v>#VALUE!</v>
      </c>
      <c r="AA1235" s="304">
        <f ca="1">OFFSET(卡牌辅助配置表!$AD$1,MATCH(AB1235,卡牌辅助配置表!AB:AB,0)-1,0)</f>
        <v>1475</v>
      </c>
      <c r="AB1235" s="304">
        <f ca="1" t="shared" si="211"/>
        <v>2125</v>
      </c>
      <c r="AC1235" s="153">
        <v>12</v>
      </c>
      <c r="AF1235" s="153" t="str">
        <f ca="1" t="shared" si="208"/>
        <v>20150035|</v>
      </c>
      <c r="AG1235" s="153">
        <f ca="1">skill!A104</f>
        <v>20150035</v>
      </c>
      <c r="AJ1235" s="205" t="str">
        <f ca="1" t="shared" si="212"/>
        <v>400023|11100|;</v>
      </c>
      <c r="AK1235" s="205">
        <f ca="1">OFFSET([1]item_type!$A$1,MATCH(Q1235,[1]item_type!$G:$G,0)-1,0)</f>
        <v>302015</v>
      </c>
      <c r="AL1235" s="205"/>
      <c r="AM1235" s="205">
        <f ca="1">IF(B1235=B1236,OFFSET(卡牌辅助配置表!$AE$1,MATCH(AB1235,卡牌辅助配置表!AB:AB,0),0),0)</f>
        <v>11100</v>
      </c>
      <c r="AN1235" s="153">
        <f ca="1" t="shared" si="213"/>
        <v>2015026</v>
      </c>
      <c r="AP1235" s="153">
        <f ca="1">IF(AC1235=0,0,IF(AC1235=12,0,OFFSET(effect!$N$1,MATCH(K1235,effect!M:M,0)-1,0)))</f>
        <v>0</v>
      </c>
    </row>
    <row r="1236" spans="1:42">
      <c r="A1236" s="153">
        <f ca="1" t="shared" si="209"/>
        <v>2015026</v>
      </c>
      <c r="B1236" s="91" t="s">
        <v>393</v>
      </c>
      <c r="C1236" s="186">
        <v>2</v>
      </c>
      <c r="D1236" s="186">
        <v>1</v>
      </c>
      <c r="E1236" s="165"/>
      <c r="F1236" s="179" t="str">
        <f>buff!C96</f>
        <v>增加剑法伤害27.5%，持续2回合</v>
      </c>
      <c r="G1236" s="186">
        <f ca="1">OFFSET(卡牌辅助配置表!$C$1,MATCH(AC1236,卡牌辅助配置表!A:A,0)-1,0)</f>
        <v>0</v>
      </c>
      <c r="H1236" s="186" t="e">
        <f ca="1">skill!Q105</f>
        <v>#VALUE!</v>
      </c>
      <c r="I1236" s="186"/>
      <c r="J1236" s="186">
        <f ca="1">OFFSET(card_type!$F$1,MATCH(Q1236,card_type!A:A,0)-1,0)</f>
        <v>2</v>
      </c>
      <c r="K1236" s="243">
        <f ca="1">OFFSET(card_type!$G$1,MATCH(Q1236,card_type!A:A,0)-1,0)</f>
        <v>1</v>
      </c>
      <c r="L1236" s="157">
        <v>2</v>
      </c>
      <c r="M1236" s="157">
        <v>2</v>
      </c>
      <c r="N1236" s="153">
        <f t="shared" si="206"/>
        <v>26</v>
      </c>
      <c r="O1236" s="157"/>
      <c r="P1236" s="157"/>
      <c r="Q1236" s="153">
        <f ca="1">OFFSET(card_type!$A$1,MATCH(card!B1236,card_type!B:B,0)-1,0)</f>
        <v>2015</v>
      </c>
      <c r="R1236" s="153">
        <v>0</v>
      </c>
      <c r="S1236" s="157">
        <f ca="1">ROUND(IF(R1236=0,0,IF(R1236=1,X1236*$S$1,IF(R1236=2,X1236*$S$1*buff的资质计算!$E$2,IF(R1236=3,X1236*$S$1*buff的资质计算!$E$3,0)))),0)*0</f>
        <v>0</v>
      </c>
      <c r="T1236" s="153">
        <v>4</v>
      </c>
      <c r="U1236" s="153">
        <f ca="1" t="shared" si="210"/>
        <v>21</v>
      </c>
      <c r="V1236" s="153">
        <f ca="1">ROUND((OFFSET(卡牌辅助配置表!$O$1,MATCH(U1236,卡牌辅助配置表!M:M,0)-1,0)+(N1236-1)*OFFSET(卡牌辅助配置表!$P$1,MATCH(U1236,卡牌辅助配置表!M:M,0)-1,0))*M1236,2)</f>
        <v>41.91</v>
      </c>
      <c r="W1236" s="157">
        <f ca="1">ROUND(IF(R1236=0,0,IF(R1236=1,X1236*$W$1,IF(R1236=2,X1236*$W$1*buff的资质计算!$E$2,IF(R1236=3,X1236*$W$1*buff的资质计算!$E$3,0)))),2)</f>
        <v>0</v>
      </c>
      <c r="X1236" s="157">
        <f ca="1" t="shared" si="204"/>
        <v>32.5</v>
      </c>
      <c r="Y1236" s="157" t="e">
        <f ca="1" t="shared" si="207"/>
        <v>#VALUE!</v>
      </c>
      <c r="Z1236" s="304" t="e">
        <f ca="1" t="shared" si="205"/>
        <v>#VALUE!</v>
      </c>
      <c r="AA1236" s="304">
        <f ca="1">OFFSET(卡牌辅助配置表!$AD$1,MATCH(AB1236,卡牌辅助配置表!AB:AB,0)-1,0)</f>
        <v>1560</v>
      </c>
      <c r="AB1236" s="304">
        <f ca="1" t="shared" si="211"/>
        <v>2126</v>
      </c>
      <c r="AC1236" s="153">
        <v>12</v>
      </c>
      <c r="AF1236" s="153" t="str">
        <f ca="1" t="shared" si="208"/>
        <v>20150036|</v>
      </c>
      <c r="AG1236" s="153">
        <f ca="1">skill!A105</f>
        <v>20150036</v>
      </c>
      <c r="AJ1236" s="205" t="str">
        <f ca="1" t="shared" si="212"/>
        <v>400023|11900|;</v>
      </c>
      <c r="AK1236" s="205">
        <f ca="1">OFFSET([1]item_type!$A$1,MATCH(Q1236,[1]item_type!$G:$G,0)-1,0)</f>
        <v>302015</v>
      </c>
      <c r="AL1236" s="205"/>
      <c r="AM1236" s="205">
        <f ca="1">IF(B1236=B1237,OFFSET(卡牌辅助配置表!$AE$1,MATCH(AB1236,卡牌辅助配置表!AB:AB,0),0),0)</f>
        <v>11900</v>
      </c>
      <c r="AN1236" s="153">
        <f ca="1" t="shared" si="213"/>
        <v>2015027</v>
      </c>
      <c r="AP1236" s="153">
        <f ca="1">IF(AC1236=0,0,IF(AC1236=12,0,OFFSET(effect!$N$1,MATCH(K1236,effect!M:M,0)-1,0)))</f>
        <v>0</v>
      </c>
    </row>
    <row r="1237" spans="1:42">
      <c r="A1237" s="153">
        <f ca="1" t="shared" si="209"/>
        <v>2015027</v>
      </c>
      <c r="B1237" s="91" t="s">
        <v>393</v>
      </c>
      <c r="C1237" s="186">
        <v>2</v>
      </c>
      <c r="D1237" s="186">
        <v>1</v>
      </c>
      <c r="E1237" s="165"/>
      <c r="F1237" s="179" t="str">
        <f>buff!C97</f>
        <v>增加剑法伤害28%，持续2回合</v>
      </c>
      <c r="G1237" s="186">
        <f ca="1">OFFSET(卡牌辅助配置表!$C$1,MATCH(AC1237,卡牌辅助配置表!A:A,0)-1,0)</f>
        <v>0</v>
      </c>
      <c r="H1237" s="186" t="e">
        <f ca="1">skill!Q106</f>
        <v>#VALUE!</v>
      </c>
      <c r="I1237" s="186"/>
      <c r="J1237" s="186">
        <f ca="1">OFFSET(card_type!$F$1,MATCH(Q1237,card_type!A:A,0)-1,0)</f>
        <v>2</v>
      </c>
      <c r="K1237" s="243">
        <f ca="1">OFFSET(card_type!$G$1,MATCH(Q1237,card_type!A:A,0)-1,0)</f>
        <v>1</v>
      </c>
      <c r="L1237" s="157">
        <v>2</v>
      </c>
      <c r="M1237" s="157">
        <v>2</v>
      </c>
      <c r="N1237" s="153">
        <f t="shared" si="206"/>
        <v>27</v>
      </c>
      <c r="O1237" s="157"/>
      <c r="P1237" s="157"/>
      <c r="Q1237" s="153">
        <f ca="1">OFFSET(card_type!$A$1,MATCH(card!B1237,card_type!B:B,0)-1,0)</f>
        <v>2015</v>
      </c>
      <c r="R1237" s="153">
        <v>0</v>
      </c>
      <c r="S1237" s="157">
        <f ca="1">ROUND(IF(R1237=0,0,IF(R1237=1,X1237*$S$1,IF(R1237=2,X1237*$S$1*buff的资质计算!$E$2,IF(R1237=3,X1237*$S$1*buff的资质计算!$E$3,0)))),0)*0</f>
        <v>0</v>
      </c>
      <c r="T1237" s="153">
        <v>4</v>
      </c>
      <c r="U1237" s="153">
        <f ca="1" t="shared" si="210"/>
        <v>21</v>
      </c>
      <c r="V1237" s="153">
        <f ca="1">ROUND((OFFSET(卡牌辅助配置表!$O$1,MATCH(U1237,卡牌辅助配置表!M:M,0)-1,0)+(N1237-1)*OFFSET(卡牌辅助配置表!$P$1,MATCH(U1237,卡牌辅助配置表!M:M,0)-1,0))*M1237,2)</f>
        <v>43.03</v>
      </c>
      <c r="W1237" s="157">
        <f ca="1">ROUND(IF(R1237=0,0,IF(R1237=1,X1237*$W$1,IF(R1237=2,X1237*$W$1*buff的资质计算!$E$2,IF(R1237=3,X1237*$W$1*buff的资质计算!$E$3,0)))),2)</f>
        <v>0</v>
      </c>
      <c r="X1237" s="157">
        <f ca="1" t="shared" si="204"/>
        <v>33</v>
      </c>
      <c r="Y1237" s="157" t="e">
        <f ca="1" t="shared" si="207"/>
        <v>#VALUE!</v>
      </c>
      <c r="Z1237" s="304" t="e">
        <f ca="1" t="shared" si="205"/>
        <v>#VALUE!</v>
      </c>
      <c r="AA1237" s="304">
        <f ca="1">OFFSET(卡牌辅助配置表!$AD$1,MATCH(AB1237,卡牌辅助配置表!AB:AB,0)-1,0)</f>
        <v>1645</v>
      </c>
      <c r="AB1237" s="304">
        <f ca="1" t="shared" si="211"/>
        <v>2127</v>
      </c>
      <c r="AC1237" s="153">
        <v>12</v>
      </c>
      <c r="AF1237" s="153" t="str">
        <f ca="1" t="shared" si="208"/>
        <v>20150037|</v>
      </c>
      <c r="AG1237" s="153">
        <f ca="1">skill!A106</f>
        <v>20150037</v>
      </c>
      <c r="AJ1237" s="205" t="str">
        <f ca="1" t="shared" si="212"/>
        <v>400023|12700|;</v>
      </c>
      <c r="AK1237" s="205">
        <f ca="1">OFFSET([1]item_type!$A$1,MATCH(Q1237,[1]item_type!$G:$G,0)-1,0)</f>
        <v>302015</v>
      </c>
      <c r="AL1237" s="205"/>
      <c r="AM1237" s="205">
        <f ca="1">IF(B1237=B1238,OFFSET(卡牌辅助配置表!$AE$1,MATCH(AB1237,卡牌辅助配置表!AB:AB,0),0),0)</f>
        <v>12700</v>
      </c>
      <c r="AN1237" s="153">
        <f ca="1" t="shared" si="213"/>
        <v>2015028</v>
      </c>
      <c r="AP1237" s="153">
        <f ca="1">IF(AC1237=0,0,IF(AC1237=12,0,OFFSET(effect!$N$1,MATCH(K1237,effect!M:M,0)-1,0)))</f>
        <v>0</v>
      </c>
    </row>
    <row r="1238" spans="1:42">
      <c r="A1238" s="153">
        <f ca="1" t="shared" si="209"/>
        <v>2015028</v>
      </c>
      <c r="B1238" s="91" t="s">
        <v>393</v>
      </c>
      <c r="C1238" s="186">
        <v>2</v>
      </c>
      <c r="D1238" s="186">
        <v>1</v>
      </c>
      <c r="E1238" s="165"/>
      <c r="F1238" s="179" t="str">
        <f>buff!C98</f>
        <v>增加剑法伤害28.5%，持续2回合</v>
      </c>
      <c r="G1238" s="186">
        <f ca="1">OFFSET(卡牌辅助配置表!$C$1,MATCH(AC1238,卡牌辅助配置表!A:A,0)-1,0)</f>
        <v>0</v>
      </c>
      <c r="H1238" s="186" t="e">
        <f ca="1">skill!Q107</f>
        <v>#VALUE!</v>
      </c>
      <c r="I1238" s="186"/>
      <c r="J1238" s="186">
        <f ca="1">OFFSET(card_type!$F$1,MATCH(Q1238,card_type!A:A,0)-1,0)</f>
        <v>2</v>
      </c>
      <c r="K1238" s="243">
        <f ca="1">OFFSET(card_type!$G$1,MATCH(Q1238,card_type!A:A,0)-1,0)</f>
        <v>1</v>
      </c>
      <c r="L1238" s="157">
        <v>2</v>
      </c>
      <c r="M1238" s="157">
        <v>2</v>
      </c>
      <c r="N1238" s="153">
        <f t="shared" si="206"/>
        <v>28</v>
      </c>
      <c r="O1238" s="157"/>
      <c r="P1238" s="157"/>
      <c r="Q1238" s="153">
        <f ca="1">OFFSET(card_type!$A$1,MATCH(card!B1238,card_type!B:B,0)-1,0)</f>
        <v>2015</v>
      </c>
      <c r="R1238" s="153">
        <v>0</v>
      </c>
      <c r="S1238" s="157">
        <f ca="1">ROUND(IF(R1238=0,0,IF(R1238=1,X1238*$S$1,IF(R1238=2,X1238*$S$1*buff的资质计算!$E$2,IF(R1238=3,X1238*$S$1*buff的资质计算!$E$3,0)))),0)*0</f>
        <v>0</v>
      </c>
      <c r="T1238" s="153">
        <v>4</v>
      </c>
      <c r="U1238" s="153">
        <f ca="1" t="shared" si="210"/>
        <v>21</v>
      </c>
      <c r="V1238" s="153">
        <f ca="1">ROUND((OFFSET(卡牌辅助配置表!$O$1,MATCH(U1238,卡牌辅助配置表!M:M,0)-1,0)+(N1238-1)*OFFSET(卡牌辅助配置表!$P$1,MATCH(U1238,卡牌辅助配置表!M:M,0)-1,0))*M1238,2)</f>
        <v>44.15</v>
      </c>
      <c r="W1238" s="157">
        <f ca="1">ROUND(IF(R1238=0,0,IF(R1238=1,X1238*$W$1,IF(R1238=2,X1238*$W$1*buff的资质计算!$E$2,IF(R1238=3,X1238*$W$1*buff的资质计算!$E$3,0)))),2)</f>
        <v>0</v>
      </c>
      <c r="X1238" s="157">
        <f ca="1" t="shared" si="204"/>
        <v>33.5</v>
      </c>
      <c r="Y1238" s="157" t="e">
        <f ca="1" t="shared" si="207"/>
        <v>#VALUE!</v>
      </c>
      <c r="Z1238" s="304" t="e">
        <f ca="1" t="shared" si="205"/>
        <v>#VALUE!</v>
      </c>
      <c r="AA1238" s="304">
        <f ca="1">OFFSET(卡牌辅助配置表!$AD$1,MATCH(AB1238,卡牌辅助配置表!AB:AB,0)-1,0)</f>
        <v>1730</v>
      </c>
      <c r="AB1238" s="304">
        <f ca="1" t="shared" si="211"/>
        <v>2128</v>
      </c>
      <c r="AC1238" s="153">
        <v>12</v>
      </c>
      <c r="AF1238" s="153" t="str">
        <f ca="1" t="shared" si="208"/>
        <v>20150038|</v>
      </c>
      <c r="AG1238" s="153">
        <f ca="1">skill!A107</f>
        <v>20150038</v>
      </c>
      <c r="AJ1238" s="205" t="str">
        <f ca="1" t="shared" si="212"/>
        <v>400023|13500|;</v>
      </c>
      <c r="AK1238" s="205">
        <f ca="1">OFFSET([1]item_type!$A$1,MATCH(Q1238,[1]item_type!$G:$G,0)-1,0)</f>
        <v>302015</v>
      </c>
      <c r="AL1238" s="205"/>
      <c r="AM1238" s="205">
        <f ca="1">IF(B1238=B1239,OFFSET(卡牌辅助配置表!$AE$1,MATCH(AB1238,卡牌辅助配置表!AB:AB,0),0),0)</f>
        <v>13500</v>
      </c>
      <c r="AN1238" s="153">
        <f ca="1" t="shared" si="213"/>
        <v>2015029</v>
      </c>
      <c r="AP1238" s="153">
        <f ca="1">IF(AC1238=0,0,IF(AC1238=12,0,OFFSET(effect!$N$1,MATCH(K1238,effect!M:M,0)-1,0)))</f>
        <v>0</v>
      </c>
    </row>
    <row r="1239" spans="1:42">
      <c r="A1239" s="153">
        <f ca="1" t="shared" si="209"/>
        <v>2015029</v>
      </c>
      <c r="B1239" s="91" t="s">
        <v>393</v>
      </c>
      <c r="C1239" s="186">
        <v>2</v>
      </c>
      <c r="D1239" s="186">
        <v>1</v>
      </c>
      <c r="E1239" s="165"/>
      <c r="F1239" s="179" t="str">
        <f>buff!C99</f>
        <v>增加剑法伤害29%，持续2回合</v>
      </c>
      <c r="G1239" s="186">
        <f ca="1">OFFSET(卡牌辅助配置表!$C$1,MATCH(AC1239,卡牌辅助配置表!A:A,0)-1,0)</f>
        <v>0</v>
      </c>
      <c r="H1239" s="186" t="e">
        <f ca="1">skill!Q108</f>
        <v>#VALUE!</v>
      </c>
      <c r="I1239" s="186"/>
      <c r="J1239" s="186">
        <f ca="1">OFFSET(card_type!$F$1,MATCH(Q1239,card_type!A:A,0)-1,0)</f>
        <v>2</v>
      </c>
      <c r="K1239" s="243">
        <f ca="1">OFFSET(card_type!$G$1,MATCH(Q1239,card_type!A:A,0)-1,0)</f>
        <v>1</v>
      </c>
      <c r="L1239" s="157">
        <v>2</v>
      </c>
      <c r="M1239" s="157">
        <v>2</v>
      </c>
      <c r="N1239" s="153">
        <f t="shared" si="206"/>
        <v>29</v>
      </c>
      <c r="O1239" s="157"/>
      <c r="P1239" s="157"/>
      <c r="Q1239" s="153">
        <f ca="1">OFFSET(card_type!$A$1,MATCH(card!B1239,card_type!B:B,0)-1,0)</f>
        <v>2015</v>
      </c>
      <c r="R1239" s="153">
        <v>0</v>
      </c>
      <c r="S1239" s="157">
        <f ca="1">ROUND(IF(R1239=0,0,IF(R1239=1,X1239*$S$1,IF(R1239=2,X1239*$S$1*buff的资质计算!$E$2,IF(R1239=3,X1239*$S$1*buff的资质计算!$E$3,0)))),0)*0</f>
        <v>0</v>
      </c>
      <c r="T1239" s="153">
        <v>4</v>
      </c>
      <c r="U1239" s="153">
        <f ca="1" t="shared" si="210"/>
        <v>21</v>
      </c>
      <c r="V1239" s="153">
        <f ca="1">ROUND((OFFSET(卡牌辅助配置表!$O$1,MATCH(U1239,卡牌辅助配置表!M:M,0)-1,0)+(N1239-1)*OFFSET(卡牌辅助配置表!$P$1,MATCH(U1239,卡牌辅助配置表!M:M,0)-1,0))*M1239,2)</f>
        <v>45.28</v>
      </c>
      <c r="W1239" s="157">
        <f ca="1">ROUND(IF(R1239=0,0,IF(R1239=1,X1239*$W$1,IF(R1239=2,X1239*$W$1*buff的资质计算!$E$2,IF(R1239=3,X1239*$W$1*buff的资质计算!$E$3,0)))),2)</f>
        <v>0</v>
      </c>
      <c r="X1239" s="157">
        <f ca="1" t="shared" si="204"/>
        <v>34</v>
      </c>
      <c r="Y1239" s="157" t="e">
        <f ca="1" t="shared" si="207"/>
        <v>#VALUE!</v>
      </c>
      <c r="Z1239" s="304" t="e">
        <f ca="1" t="shared" si="205"/>
        <v>#VALUE!</v>
      </c>
      <c r="AA1239" s="304">
        <f ca="1">OFFSET(卡牌辅助配置表!$AD$1,MATCH(AB1239,卡牌辅助配置表!AB:AB,0)-1,0)</f>
        <v>1815</v>
      </c>
      <c r="AB1239" s="304">
        <f ca="1" t="shared" si="211"/>
        <v>2129</v>
      </c>
      <c r="AC1239" s="153">
        <v>12</v>
      </c>
      <c r="AF1239" s="153" t="str">
        <f ca="1" t="shared" si="208"/>
        <v>20150039|</v>
      </c>
      <c r="AG1239" s="153">
        <f ca="1">skill!A108</f>
        <v>20150039</v>
      </c>
      <c r="AJ1239" s="205" t="str">
        <f ca="1" t="shared" si="212"/>
        <v>302015|30|;400023|14300|;</v>
      </c>
      <c r="AK1239" s="205">
        <f ca="1">OFFSET([1]item_type!$A$1,MATCH(Q1239,[1]item_type!$G:$G,0)-1,0)</f>
        <v>302015</v>
      </c>
      <c r="AL1239" s="205">
        <v>30</v>
      </c>
      <c r="AM1239" s="205">
        <f ca="1">IF(B1239=B1240,OFFSET(卡牌辅助配置表!$AE$1,MATCH(AB1239,卡牌辅助配置表!AB:AB,0),0),0)</f>
        <v>14300</v>
      </c>
      <c r="AN1239" s="153">
        <f ca="1" t="shared" si="213"/>
        <v>2015030</v>
      </c>
      <c r="AP1239" s="153">
        <f ca="1">IF(AC1239=0,0,IF(AC1239=12,0,OFFSET(effect!$N$1,MATCH(K1239,effect!M:M,0)-1,0)))</f>
        <v>0</v>
      </c>
    </row>
    <row r="1240" spans="1:42">
      <c r="A1240" s="153">
        <f ca="1" t="shared" si="209"/>
        <v>2015030</v>
      </c>
      <c r="B1240" s="91" t="s">
        <v>393</v>
      </c>
      <c r="C1240" s="186">
        <v>2</v>
      </c>
      <c r="D1240" s="186">
        <v>1</v>
      </c>
      <c r="E1240" s="165"/>
      <c r="F1240" s="179" t="str">
        <f>buff!C100</f>
        <v>增加剑法伤害30%，持续2回合</v>
      </c>
      <c r="G1240" s="186">
        <f ca="1">OFFSET(卡牌辅助配置表!$C$1,MATCH(AC1240,卡牌辅助配置表!A:A,0)-1,0)</f>
        <v>0</v>
      </c>
      <c r="H1240" s="186" t="e">
        <f ca="1">skill!Q109</f>
        <v>#VALUE!</v>
      </c>
      <c r="I1240" s="186"/>
      <c r="J1240" s="186">
        <f ca="1">OFFSET(card_type!$F$1,MATCH(Q1240,card_type!A:A,0)-1,0)</f>
        <v>2</v>
      </c>
      <c r="K1240" s="243">
        <f ca="1">OFFSET(card_type!$G$1,MATCH(Q1240,card_type!A:A,0)-1,0)</f>
        <v>1</v>
      </c>
      <c r="L1240" s="157">
        <v>2</v>
      </c>
      <c r="M1240" s="157">
        <v>2</v>
      </c>
      <c r="N1240" s="153">
        <f t="shared" si="206"/>
        <v>30</v>
      </c>
      <c r="O1240" s="157"/>
      <c r="P1240" s="157"/>
      <c r="Q1240" s="153">
        <f ca="1">OFFSET(card_type!$A$1,MATCH(card!B1240,card_type!B:B,0)-1,0)</f>
        <v>2015</v>
      </c>
      <c r="R1240" s="153">
        <v>0</v>
      </c>
      <c r="S1240" s="157">
        <f ca="1">ROUND(IF(R1240=0,0,IF(R1240=1,X1240*$S$1,IF(R1240=2,X1240*$S$1*buff的资质计算!$E$2,IF(R1240=3,X1240*$S$1*buff的资质计算!$E$3,0)))),0)*0</f>
        <v>0</v>
      </c>
      <c r="T1240" s="153">
        <v>4</v>
      </c>
      <c r="U1240" s="153">
        <f ca="1" t="shared" si="210"/>
        <v>21</v>
      </c>
      <c r="V1240" s="153">
        <f ca="1">ROUND((OFFSET(卡牌辅助配置表!$O$1,MATCH(U1240,卡牌辅助配置表!M:M,0)-1,0)+(N1240-1)*OFFSET(卡牌辅助配置表!$P$1,MATCH(U1240,卡牌辅助配置表!M:M,0)-1,0))*M1240,2)</f>
        <v>46.4</v>
      </c>
      <c r="W1240" s="157">
        <f ca="1">ROUND(IF(R1240=0,0,IF(R1240=1,X1240*$W$1,IF(R1240=2,X1240*$W$1*buff的资质计算!$E$2,IF(R1240=3,X1240*$W$1*buff的资质计算!$E$3,0)))),2)</f>
        <v>0</v>
      </c>
      <c r="X1240" s="157">
        <f ca="1" t="shared" si="204"/>
        <v>34.5</v>
      </c>
      <c r="Y1240" s="157" t="e">
        <f ca="1" t="shared" si="207"/>
        <v>#VALUE!</v>
      </c>
      <c r="Z1240" s="304" t="e">
        <f ca="1" t="shared" si="205"/>
        <v>#VALUE!</v>
      </c>
      <c r="AA1240" s="304">
        <f ca="1">OFFSET(卡牌辅助配置表!$AD$1,MATCH(AB1240,卡牌辅助配置表!AB:AB,0)-1,0)</f>
        <v>1900</v>
      </c>
      <c r="AB1240" s="304">
        <f ca="1" t="shared" si="211"/>
        <v>2130</v>
      </c>
      <c r="AC1240" s="153">
        <v>12</v>
      </c>
      <c r="AF1240" s="153" t="str">
        <f ca="1" t="shared" si="208"/>
        <v>20150040|</v>
      </c>
      <c r="AG1240" s="153">
        <f ca="1">skill!A109</f>
        <v>20150040</v>
      </c>
      <c r="AJ1240" s="205">
        <f ca="1" t="shared" si="212"/>
        <v>0</v>
      </c>
      <c r="AK1240" s="205">
        <f ca="1">OFFSET([1]item_type!$A$1,MATCH(Q1240,[1]item_type!$G:$G,0)-1,0)</f>
        <v>302015</v>
      </c>
      <c r="AL1240" s="205"/>
      <c r="AM1240" s="205">
        <f ca="1">IF(B1240=B1241,OFFSET(卡牌辅助配置表!$AE$1,MATCH(AB1240,卡牌辅助配置表!AB:AB,0),0),0)</f>
        <v>0</v>
      </c>
      <c r="AN1240" s="153">
        <f ca="1" t="shared" si="213"/>
        <v>0</v>
      </c>
      <c r="AP1240" s="153">
        <f ca="1">IF(AC1240=0,0,IF(AC1240=12,0,OFFSET(effect!$N$1,MATCH(K1240,effect!M:M,0)-1,0)))</f>
        <v>0</v>
      </c>
    </row>
    <row r="1241" spans="1:42">
      <c r="A1241" s="153">
        <f ca="1" t="shared" si="209"/>
        <v>2016001</v>
      </c>
      <c r="B1241" s="91" t="s">
        <v>514</v>
      </c>
      <c r="C1241" s="186">
        <v>2</v>
      </c>
      <c r="D1241" s="186">
        <v>1</v>
      </c>
      <c r="E1241" s="165" t="s">
        <v>1058</v>
      </c>
      <c r="F1241" s="179" t="s">
        <v>1063</v>
      </c>
      <c r="G1241" s="186">
        <f ca="1">OFFSET(卡牌辅助配置表!$C$1,MATCH(AC1241,卡牌辅助配置表!A:A,0)-1,0)</f>
        <v>3</v>
      </c>
      <c r="H1241" s="186" t="e">
        <f ca="1">OFFSET(skill!$Q$1,MATCH(B1241,skill!B:B,0)-1,0)</f>
        <v>#VALUE!</v>
      </c>
      <c r="I1241" s="186"/>
      <c r="J1241" s="186">
        <f ca="1">OFFSET(card_type!$F$1,MATCH(Q1241,card_type!A:A,0)-1,0)</f>
        <v>3</v>
      </c>
      <c r="K1241" s="243">
        <f ca="1">OFFSET(card_type!$G$1,MATCH(Q1241,card_type!A:A,0)-1,0)</f>
        <v>2</v>
      </c>
      <c r="L1241" s="157">
        <v>2</v>
      </c>
      <c r="M1241" s="157">
        <v>2</v>
      </c>
      <c r="N1241" s="153">
        <f t="shared" si="206"/>
        <v>1</v>
      </c>
      <c r="O1241" s="157"/>
      <c r="P1241" s="157"/>
      <c r="Q1241" s="153">
        <f ca="1">OFFSET(card_type!$A$1,MATCH(card!B1241,card_type!B:B,0)-1,0)</f>
        <v>2016</v>
      </c>
      <c r="R1241" s="153">
        <v>1</v>
      </c>
      <c r="S1241" s="157">
        <f ca="1">ROUND(IF(R1241=0,0,IF(R1241=1,X1241*$S$1,IF(R1241=2,X1241*$S$1*buff的资质计算!$E$2,IF(R1241=3,X1241*$S$1*buff的资质计算!$E$3,0)))),0)*0</f>
        <v>0</v>
      </c>
      <c r="T1241" s="153">
        <v>5</v>
      </c>
      <c r="U1241" s="153">
        <f ca="1" t="shared" si="210"/>
        <v>32</v>
      </c>
      <c r="V1241" s="153">
        <f ca="1">ROUND((OFFSET(卡牌辅助配置表!$O$1,MATCH(U1241,卡牌辅助配置表!M:M,0)-1,0)+(N1241-1)*OFFSET(卡牌辅助配置表!$P$1,MATCH(U1241,卡牌辅助配置表!M:M,0)-1,0))*M1241,2)</f>
        <v>28.71</v>
      </c>
      <c r="W1241" s="157">
        <f ca="1">ROUND(IF(R1241=0,0,IF(R1241=1,X1241*$W$1,IF(R1241=2,X1241*$W$1*buff的资质计算!$E$2,IF(R1241=3,X1241*$W$1*buff的资质计算!$E$3,0)))),2)</f>
        <v>12.3</v>
      </c>
      <c r="X1241" s="157">
        <f ca="1" t="shared" si="204"/>
        <v>41</v>
      </c>
      <c r="Y1241" s="157" t="e">
        <f ca="1" t="shared" ref="Y1241:Y1304" si="214">X1241+H1241</f>
        <v>#VALUE!</v>
      </c>
      <c r="Z1241" s="304" t="e">
        <f ca="1" t="shared" si="205"/>
        <v>#VALUE!</v>
      </c>
      <c r="AA1241" s="304">
        <f ca="1">OFFSET(卡牌辅助配置表!$AD$1,MATCH(AB1241,卡牌辅助配置表!AB:AB,0)-1,0)</f>
        <v>199</v>
      </c>
      <c r="AB1241" s="304">
        <f ca="1" t="shared" si="211"/>
        <v>3201</v>
      </c>
      <c r="AC1241" s="153">
        <v>3</v>
      </c>
      <c r="AE1241" s="153">
        <v>2</v>
      </c>
      <c r="AF1241" s="153" t="str">
        <f ca="1" t="shared" ref="AF1241:AF1304" si="215">((Q1241*1000+1)*10+1)&amp;$AF$1</f>
        <v>20160011|</v>
      </c>
      <c r="AJ1241" s="205" t="str">
        <f ca="1" t="shared" si="212"/>
        <v>400023|1050|;</v>
      </c>
      <c r="AK1241" s="205">
        <f ca="1">OFFSET([1]item_type!$A$1,MATCH(Q1241,[1]item_type!$G:$G,0)-1,0)</f>
        <v>302016</v>
      </c>
      <c r="AL1241" s="205"/>
      <c r="AM1241" s="205">
        <f ca="1">IF(B1241=B1242,OFFSET(卡牌辅助配置表!$AE$1,MATCH(AB1241,卡牌辅助配置表!AB:AB,0),0),0)</f>
        <v>1050</v>
      </c>
      <c r="AN1241" s="153">
        <f ca="1" t="shared" si="213"/>
        <v>2016002</v>
      </c>
      <c r="AP1241" s="153" t="str">
        <f ca="1">IF(AC1241=0,0,IF(AC1241=12,0,OFFSET(effect!$N$1,MATCH(K1241,effect!M:M,0)-1,0)))</f>
        <v>kpsx_pt</v>
      </c>
    </row>
    <row r="1242" spans="1:42">
      <c r="A1242" s="153">
        <f ca="1" t="shared" si="209"/>
        <v>2016002</v>
      </c>
      <c r="B1242" s="91" t="s">
        <v>514</v>
      </c>
      <c r="C1242" s="186">
        <v>2</v>
      </c>
      <c r="D1242" s="186">
        <v>1</v>
      </c>
      <c r="E1242" s="165" t="s">
        <v>1058</v>
      </c>
      <c r="F1242" s="179" t="s">
        <v>1063</v>
      </c>
      <c r="G1242" s="186">
        <f ca="1">OFFSET(卡牌辅助配置表!$C$1,MATCH(AC1242,卡牌辅助配置表!A:A,0)-1,0)</f>
        <v>3</v>
      </c>
      <c r="H1242" s="186" t="e">
        <f ca="1">OFFSET(skill!$Q$1,MATCH(B1242,skill!B:B,0)-1,0)</f>
        <v>#VALUE!</v>
      </c>
      <c r="I1242" s="186"/>
      <c r="J1242" s="186">
        <f ca="1">OFFSET(card_type!$F$1,MATCH(Q1242,card_type!A:A,0)-1,0)</f>
        <v>3</v>
      </c>
      <c r="K1242" s="243">
        <f ca="1">OFFSET(card_type!$G$1,MATCH(Q1242,card_type!A:A,0)-1,0)</f>
        <v>2</v>
      </c>
      <c r="L1242" s="157">
        <v>2</v>
      </c>
      <c r="M1242" s="157">
        <v>2</v>
      </c>
      <c r="N1242" s="153">
        <f t="shared" si="206"/>
        <v>2</v>
      </c>
      <c r="O1242" s="157"/>
      <c r="P1242" s="157"/>
      <c r="Q1242" s="153">
        <f ca="1">OFFSET(card_type!$A$1,MATCH(card!B1242,card_type!B:B,0)-1,0)</f>
        <v>2016</v>
      </c>
      <c r="R1242" s="153">
        <v>1</v>
      </c>
      <c r="S1242" s="157">
        <f ca="1">ROUND(IF(R1242=0,0,IF(R1242=1,X1242*$S$1,IF(R1242=2,X1242*$S$1*buff的资质计算!$E$2,IF(R1242=3,X1242*$S$1*buff的资质计算!$E$3,0)))),0)*0</f>
        <v>0</v>
      </c>
      <c r="T1242" s="153">
        <v>5</v>
      </c>
      <c r="U1242" s="153">
        <f ca="1" t="shared" si="210"/>
        <v>32</v>
      </c>
      <c r="V1242" s="153">
        <f ca="1">ROUND((OFFSET(卡牌辅助配置表!$O$1,MATCH(U1242,卡牌辅助配置表!M:M,0)-1,0)+(N1242-1)*OFFSET(卡牌辅助配置表!$P$1,MATCH(U1242,卡牌辅助配置表!M:M,0)-1,0))*M1242,2)</f>
        <v>32.28</v>
      </c>
      <c r="W1242" s="157">
        <f ca="1">ROUND(IF(R1242=0,0,IF(R1242=1,X1242*$W$1,IF(R1242=2,X1242*$W$1*buff的资质计算!$E$2,IF(R1242=3,X1242*$W$1*buff的资质计算!$E$3,0)))),2)</f>
        <v>12.45</v>
      </c>
      <c r="X1242" s="157">
        <f ca="1" t="shared" si="204"/>
        <v>41.5</v>
      </c>
      <c r="Y1242" s="157" t="e">
        <f ca="1" t="shared" si="214"/>
        <v>#VALUE!</v>
      </c>
      <c r="Z1242" s="304" t="e">
        <f ca="1" t="shared" si="205"/>
        <v>#VALUE!</v>
      </c>
      <c r="AA1242" s="304">
        <f ca="1">OFFSET(卡牌辅助配置表!$AD$1,MATCH(AB1242,卡牌辅助配置表!AB:AB,0)-1,0)</f>
        <v>398</v>
      </c>
      <c r="AB1242" s="304">
        <f ca="1" t="shared" si="211"/>
        <v>3202</v>
      </c>
      <c r="AC1242" s="153">
        <v>3</v>
      </c>
      <c r="AE1242" s="153">
        <v>2</v>
      </c>
      <c r="AF1242" s="153" t="str">
        <f ca="1" t="shared" si="215"/>
        <v>20160011|</v>
      </c>
      <c r="AJ1242" s="205" t="str">
        <f ca="1" t="shared" si="212"/>
        <v>400023|1350|;</v>
      </c>
      <c r="AK1242" s="205">
        <f ca="1">OFFSET([1]item_type!$A$1,MATCH(Q1242,[1]item_type!$G:$G,0)-1,0)</f>
        <v>302016</v>
      </c>
      <c r="AL1242" s="205"/>
      <c r="AM1242" s="205">
        <f ca="1">IF(B1242=B1243,OFFSET(卡牌辅助配置表!$AE$1,MATCH(AB1242,卡牌辅助配置表!AB:AB,0),0),0)</f>
        <v>1350</v>
      </c>
      <c r="AN1242" s="153">
        <f ca="1" t="shared" si="213"/>
        <v>2016003</v>
      </c>
      <c r="AP1242" s="153" t="str">
        <f ca="1">IF(AC1242=0,0,IF(AC1242=12,0,OFFSET(effect!$N$1,MATCH(K1242,effect!M:M,0)-1,0)))</f>
        <v>kpsx_pt</v>
      </c>
    </row>
    <row r="1243" spans="1:42">
      <c r="A1243" s="153">
        <f ca="1" t="shared" si="209"/>
        <v>2016003</v>
      </c>
      <c r="B1243" s="91" t="s">
        <v>514</v>
      </c>
      <c r="C1243" s="186">
        <v>2</v>
      </c>
      <c r="D1243" s="186">
        <v>1</v>
      </c>
      <c r="E1243" s="165" t="s">
        <v>1058</v>
      </c>
      <c r="F1243" s="179" t="s">
        <v>1063</v>
      </c>
      <c r="G1243" s="186">
        <f ca="1">OFFSET(卡牌辅助配置表!$C$1,MATCH(AC1243,卡牌辅助配置表!A:A,0)-1,0)</f>
        <v>3</v>
      </c>
      <c r="H1243" s="186" t="e">
        <f ca="1">OFFSET(skill!$Q$1,MATCH(B1243,skill!B:B,0)-1,0)</f>
        <v>#VALUE!</v>
      </c>
      <c r="I1243" s="186"/>
      <c r="J1243" s="186">
        <f ca="1">OFFSET(card_type!$F$1,MATCH(Q1243,card_type!A:A,0)-1,0)</f>
        <v>3</v>
      </c>
      <c r="K1243" s="243">
        <f ca="1">OFFSET(card_type!$G$1,MATCH(Q1243,card_type!A:A,0)-1,0)</f>
        <v>2</v>
      </c>
      <c r="L1243" s="157">
        <v>2</v>
      </c>
      <c r="M1243" s="157">
        <v>2</v>
      </c>
      <c r="N1243" s="153">
        <f t="shared" si="206"/>
        <v>3</v>
      </c>
      <c r="O1243" s="157"/>
      <c r="P1243" s="157"/>
      <c r="Q1243" s="153">
        <f ca="1">OFFSET(card_type!$A$1,MATCH(card!B1243,card_type!B:B,0)-1,0)</f>
        <v>2016</v>
      </c>
      <c r="R1243" s="153">
        <v>1</v>
      </c>
      <c r="S1243" s="157">
        <f ca="1">ROUND(IF(R1243=0,0,IF(R1243=1,X1243*$S$1,IF(R1243=2,X1243*$S$1*buff的资质计算!$E$2,IF(R1243=3,X1243*$S$1*buff的资质计算!$E$3,0)))),0)*0</f>
        <v>0</v>
      </c>
      <c r="T1243" s="153">
        <v>5</v>
      </c>
      <c r="U1243" s="153">
        <f ca="1" t="shared" si="210"/>
        <v>32</v>
      </c>
      <c r="V1243" s="153">
        <f ca="1">ROUND((OFFSET(卡牌辅助配置表!$O$1,MATCH(U1243,卡牌辅助配置表!M:M,0)-1,0)+(N1243-1)*OFFSET(卡牌辅助配置表!$P$1,MATCH(U1243,卡牌辅助配置表!M:M,0)-1,0))*M1243,2)</f>
        <v>35.84</v>
      </c>
      <c r="W1243" s="157">
        <f ca="1">ROUND(IF(R1243=0,0,IF(R1243=1,X1243*$W$1,IF(R1243=2,X1243*$W$1*buff的资质计算!$E$2,IF(R1243=3,X1243*$W$1*buff的资质计算!$E$3,0)))),2)</f>
        <v>12.6</v>
      </c>
      <c r="X1243" s="157">
        <f ca="1" t="shared" si="204"/>
        <v>42</v>
      </c>
      <c r="Y1243" s="157" t="e">
        <f ca="1" t="shared" si="214"/>
        <v>#VALUE!</v>
      </c>
      <c r="Z1243" s="304" t="e">
        <f ca="1" t="shared" si="205"/>
        <v>#VALUE!</v>
      </c>
      <c r="AA1243" s="304">
        <f ca="1">OFFSET(卡牌辅助配置表!$AD$1,MATCH(AB1243,卡牌辅助配置表!AB:AB,0)-1,0)</f>
        <v>597</v>
      </c>
      <c r="AB1243" s="304">
        <f ca="1" t="shared" si="211"/>
        <v>3203</v>
      </c>
      <c r="AC1243" s="153">
        <v>3</v>
      </c>
      <c r="AE1243" s="153">
        <v>2</v>
      </c>
      <c r="AF1243" s="153" t="str">
        <f ca="1" t="shared" si="215"/>
        <v>20160011|</v>
      </c>
      <c r="AJ1243" s="205" t="str">
        <f ca="1" t="shared" si="212"/>
        <v>400023|1650|;</v>
      </c>
      <c r="AK1243" s="205">
        <f ca="1">OFFSET([1]item_type!$A$1,MATCH(Q1243,[1]item_type!$G:$G,0)-1,0)</f>
        <v>302016</v>
      </c>
      <c r="AL1243" s="205"/>
      <c r="AM1243" s="205">
        <f ca="1">IF(B1243=B1244,OFFSET(卡牌辅助配置表!$AE$1,MATCH(AB1243,卡牌辅助配置表!AB:AB,0),0),0)</f>
        <v>1650</v>
      </c>
      <c r="AN1243" s="153">
        <f ca="1" t="shared" si="213"/>
        <v>2016004</v>
      </c>
      <c r="AP1243" s="153" t="str">
        <f ca="1">IF(AC1243=0,0,IF(AC1243=12,0,OFFSET(effect!$N$1,MATCH(K1243,effect!M:M,0)-1,0)))</f>
        <v>kpsx_pt</v>
      </c>
    </row>
    <row r="1244" spans="1:42">
      <c r="A1244" s="153">
        <f ca="1" t="shared" si="209"/>
        <v>2016004</v>
      </c>
      <c r="B1244" s="91" t="s">
        <v>514</v>
      </c>
      <c r="C1244" s="186">
        <v>2</v>
      </c>
      <c r="D1244" s="186">
        <v>1</v>
      </c>
      <c r="E1244" s="165" t="s">
        <v>1058</v>
      </c>
      <c r="F1244" s="179" t="s">
        <v>1063</v>
      </c>
      <c r="G1244" s="186">
        <f ca="1">OFFSET(卡牌辅助配置表!$C$1,MATCH(AC1244,卡牌辅助配置表!A:A,0)-1,0)</f>
        <v>3</v>
      </c>
      <c r="H1244" s="186" t="e">
        <f ca="1">OFFSET(skill!$Q$1,MATCH(B1244,skill!B:B,0)-1,0)</f>
        <v>#VALUE!</v>
      </c>
      <c r="I1244" s="186"/>
      <c r="J1244" s="186">
        <f ca="1">OFFSET(card_type!$F$1,MATCH(Q1244,card_type!A:A,0)-1,0)</f>
        <v>3</v>
      </c>
      <c r="K1244" s="243">
        <f ca="1">OFFSET(card_type!$G$1,MATCH(Q1244,card_type!A:A,0)-1,0)</f>
        <v>2</v>
      </c>
      <c r="L1244" s="157">
        <v>2</v>
      </c>
      <c r="M1244" s="157">
        <v>2</v>
      </c>
      <c r="N1244" s="153">
        <f t="shared" si="206"/>
        <v>4</v>
      </c>
      <c r="O1244" s="157"/>
      <c r="P1244" s="157"/>
      <c r="Q1244" s="153">
        <f ca="1">OFFSET(card_type!$A$1,MATCH(card!B1244,card_type!B:B,0)-1,0)</f>
        <v>2016</v>
      </c>
      <c r="R1244" s="153">
        <v>1</v>
      </c>
      <c r="S1244" s="157">
        <f ca="1">ROUND(IF(R1244=0,0,IF(R1244=1,X1244*$S$1,IF(R1244=2,X1244*$S$1*buff的资质计算!$E$2,IF(R1244=3,X1244*$S$1*buff的资质计算!$E$3,0)))),0)*0</f>
        <v>0</v>
      </c>
      <c r="T1244" s="153">
        <v>5</v>
      </c>
      <c r="U1244" s="153">
        <f ca="1" t="shared" si="210"/>
        <v>32</v>
      </c>
      <c r="V1244" s="153">
        <f ca="1">ROUND((OFFSET(卡牌辅助配置表!$O$1,MATCH(U1244,卡牌辅助配置表!M:M,0)-1,0)+(N1244-1)*OFFSET(卡牌辅助配置表!$P$1,MATCH(U1244,卡牌辅助配置表!M:M,0)-1,0))*M1244,2)</f>
        <v>39.41</v>
      </c>
      <c r="W1244" s="157">
        <f ca="1">ROUND(IF(R1244=0,0,IF(R1244=1,X1244*$W$1,IF(R1244=2,X1244*$W$1*buff的资质计算!$E$2,IF(R1244=3,X1244*$W$1*buff的资质计算!$E$3,0)))),2)</f>
        <v>12.75</v>
      </c>
      <c r="X1244" s="157">
        <f ca="1" t="shared" si="204"/>
        <v>42.5</v>
      </c>
      <c r="Y1244" s="157" t="e">
        <f ca="1" t="shared" si="214"/>
        <v>#VALUE!</v>
      </c>
      <c r="Z1244" s="304" t="e">
        <f ca="1" t="shared" si="205"/>
        <v>#VALUE!</v>
      </c>
      <c r="AA1244" s="304">
        <f ca="1">OFFSET(卡牌辅助配置表!$AD$1,MATCH(AB1244,卡牌辅助配置表!AB:AB,0)-1,0)</f>
        <v>796</v>
      </c>
      <c r="AB1244" s="304">
        <f ca="1" t="shared" si="211"/>
        <v>3204</v>
      </c>
      <c r="AC1244" s="153">
        <v>3</v>
      </c>
      <c r="AE1244" s="153">
        <v>2</v>
      </c>
      <c r="AF1244" s="153" t="str">
        <f ca="1" t="shared" si="215"/>
        <v>20160011|</v>
      </c>
      <c r="AJ1244" s="205" t="str">
        <f ca="1" t="shared" si="212"/>
        <v>400023|1950|;</v>
      </c>
      <c r="AK1244" s="205">
        <f ca="1">OFFSET([1]item_type!$A$1,MATCH(Q1244,[1]item_type!$G:$G,0)-1,0)</f>
        <v>302016</v>
      </c>
      <c r="AL1244" s="205"/>
      <c r="AM1244" s="205">
        <f ca="1">IF(B1244=B1245,OFFSET(卡牌辅助配置表!$AE$1,MATCH(AB1244,卡牌辅助配置表!AB:AB,0),0),0)</f>
        <v>1950</v>
      </c>
      <c r="AN1244" s="153">
        <f ca="1" t="shared" si="213"/>
        <v>2016005</v>
      </c>
      <c r="AP1244" s="153" t="str">
        <f ca="1">IF(AC1244=0,0,IF(AC1244=12,0,OFFSET(effect!$N$1,MATCH(K1244,effect!M:M,0)-1,0)))</f>
        <v>kpsx_pt</v>
      </c>
    </row>
    <row r="1245" spans="1:42">
      <c r="A1245" s="153">
        <f ca="1" t="shared" si="209"/>
        <v>2016005</v>
      </c>
      <c r="B1245" s="91" t="s">
        <v>514</v>
      </c>
      <c r="C1245" s="186">
        <v>2</v>
      </c>
      <c r="D1245" s="186">
        <v>1</v>
      </c>
      <c r="E1245" s="165" t="s">
        <v>1058</v>
      </c>
      <c r="F1245" s="179" t="s">
        <v>1063</v>
      </c>
      <c r="G1245" s="186">
        <f ca="1">OFFSET(卡牌辅助配置表!$C$1,MATCH(AC1245,卡牌辅助配置表!A:A,0)-1,0)</f>
        <v>3</v>
      </c>
      <c r="H1245" s="186" t="e">
        <f ca="1">OFFSET(skill!$Q$1,MATCH(B1245,skill!B:B,0)-1,0)</f>
        <v>#VALUE!</v>
      </c>
      <c r="I1245" s="186"/>
      <c r="J1245" s="186">
        <f ca="1">OFFSET(card_type!$F$1,MATCH(Q1245,card_type!A:A,0)-1,0)</f>
        <v>3</v>
      </c>
      <c r="K1245" s="243">
        <f ca="1">OFFSET(card_type!$G$1,MATCH(Q1245,card_type!A:A,0)-1,0)</f>
        <v>2</v>
      </c>
      <c r="L1245" s="157">
        <v>2</v>
      </c>
      <c r="M1245" s="157">
        <v>2</v>
      </c>
      <c r="N1245" s="153">
        <f t="shared" si="206"/>
        <v>5</v>
      </c>
      <c r="O1245" s="157"/>
      <c r="P1245" s="157"/>
      <c r="Q1245" s="153">
        <f ca="1">OFFSET(card_type!$A$1,MATCH(card!B1245,card_type!B:B,0)-1,0)</f>
        <v>2016</v>
      </c>
      <c r="R1245" s="153">
        <v>1</v>
      </c>
      <c r="S1245" s="157">
        <f ca="1">ROUND(IF(R1245=0,0,IF(R1245=1,X1245*$S$1,IF(R1245=2,X1245*$S$1*buff的资质计算!$E$2,IF(R1245=3,X1245*$S$1*buff的资质计算!$E$3,0)))),0)*0</f>
        <v>0</v>
      </c>
      <c r="T1245" s="153">
        <v>5</v>
      </c>
      <c r="U1245" s="153">
        <f ca="1" t="shared" si="210"/>
        <v>32</v>
      </c>
      <c r="V1245" s="153">
        <f ca="1">ROUND((OFFSET(卡牌辅助配置表!$O$1,MATCH(U1245,卡牌辅助配置表!M:M,0)-1,0)+(N1245-1)*OFFSET(卡牌辅助配置表!$P$1,MATCH(U1245,卡牌辅助配置表!M:M,0)-1,0))*M1245,2)</f>
        <v>42.98</v>
      </c>
      <c r="W1245" s="157">
        <f ca="1">ROUND(IF(R1245=0,0,IF(R1245=1,X1245*$W$1,IF(R1245=2,X1245*$W$1*buff的资质计算!$E$2,IF(R1245=3,X1245*$W$1*buff的资质计算!$E$3,0)))),2)</f>
        <v>12.9</v>
      </c>
      <c r="X1245" s="157">
        <f ca="1" t="shared" si="204"/>
        <v>43</v>
      </c>
      <c r="Y1245" s="157" t="e">
        <f ca="1" t="shared" si="214"/>
        <v>#VALUE!</v>
      </c>
      <c r="Z1245" s="304" t="e">
        <f ca="1" t="shared" si="205"/>
        <v>#VALUE!</v>
      </c>
      <c r="AA1245" s="304">
        <f ca="1">OFFSET(卡牌辅助配置表!$AD$1,MATCH(AB1245,卡牌辅助配置表!AB:AB,0)-1,0)</f>
        <v>995</v>
      </c>
      <c r="AB1245" s="304">
        <f ca="1" t="shared" si="211"/>
        <v>3205</v>
      </c>
      <c r="AC1245" s="153">
        <v>3</v>
      </c>
      <c r="AE1245" s="153">
        <v>2</v>
      </c>
      <c r="AF1245" s="153" t="str">
        <f ca="1" t="shared" si="215"/>
        <v>20160011|</v>
      </c>
      <c r="AJ1245" s="205" t="str">
        <f ca="1" t="shared" si="212"/>
        <v>400023|2250|;</v>
      </c>
      <c r="AK1245" s="205">
        <f ca="1">OFFSET([1]item_type!$A$1,MATCH(Q1245,[1]item_type!$G:$G,0)-1,0)</f>
        <v>302016</v>
      </c>
      <c r="AL1245" s="205"/>
      <c r="AM1245" s="205">
        <f ca="1">IF(B1245=B1246,OFFSET(卡牌辅助配置表!$AE$1,MATCH(AB1245,卡牌辅助配置表!AB:AB,0),0),0)</f>
        <v>2250</v>
      </c>
      <c r="AN1245" s="153">
        <f ca="1" t="shared" si="213"/>
        <v>2016006</v>
      </c>
      <c r="AP1245" s="153" t="str">
        <f ca="1">IF(AC1245=0,0,IF(AC1245=12,0,OFFSET(effect!$N$1,MATCH(K1245,effect!M:M,0)-1,0)))</f>
        <v>kpsx_pt</v>
      </c>
    </row>
    <row r="1246" spans="1:42">
      <c r="A1246" s="153">
        <f ca="1" t="shared" si="209"/>
        <v>2016006</v>
      </c>
      <c r="B1246" s="91" t="s">
        <v>514</v>
      </c>
      <c r="C1246" s="186">
        <v>2</v>
      </c>
      <c r="D1246" s="186">
        <v>1</v>
      </c>
      <c r="E1246" s="165" t="s">
        <v>1058</v>
      </c>
      <c r="F1246" s="179" t="s">
        <v>1063</v>
      </c>
      <c r="G1246" s="186">
        <f ca="1">OFFSET(卡牌辅助配置表!$C$1,MATCH(AC1246,卡牌辅助配置表!A:A,0)-1,0)</f>
        <v>3</v>
      </c>
      <c r="H1246" s="186" t="e">
        <f ca="1">OFFSET(skill!$Q$1,MATCH(B1246,skill!B:B,0)-1,0)</f>
        <v>#VALUE!</v>
      </c>
      <c r="I1246" s="186"/>
      <c r="J1246" s="186">
        <f ca="1">OFFSET(card_type!$F$1,MATCH(Q1246,card_type!A:A,0)-1,0)</f>
        <v>3</v>
      </c>
      <c r="K1246" s="243">
        <f ca="1">OFFSET(card_type!$G$1,MATCH(Q1246,card_type!A:A,0)-1,0)</f>
        <v>2</v>
      </c>
      <c r="L1246" s="157">
        <v>2</v>
      </c>
      <c r="M1246" s="157">
        <v>2</v>
      </c>
      <c r="N1246" s="153">
        <f t="shared" si="206"/>
        <v>6</v>
      </c>
      <c r="O1246" s="157"/>
      <c r="P1246" s="157"/>
      <c r="Q1246" s="153">
        <f ca="1">OFFSET(card_type!$A$1,MATCH(card!B1246,card_type!B:B,0)-1,0)</f>
        <v>2016</v>
      </c>
      <c r="R1246" s="153">
        <v>1</v>
      </c>
      <c r="S1246" s="157">
        <f ca="1">ROUND(IF(R1246=0,0,IF(R1246=1,X1246*$S$1,IF(R1246=2,X1246*$S$1*buff的资质计算!$E$2,IF(R1246=3,X1246*$S$1*buff的资质计算!$E$3,0)))),0)*0</f>
        <v>0</v>
      </c>
      <c r="T1246" s="153">
        <v>5</v>
      </c>
      <c r="U1246" s="153">
        <f ca="1" t="shared" si="210"/>
        <v>32</v>
      </c>
      <c r="V1246" s="153">
        <f ca="1">ROUND((OFFSET(卡牌辅助配置表!$O$1,MATCH(U1246,卡牌辅助配置表!M:M,0)-1,0)+(N1246-1)*OFFSET(卡牌辅助配置表!$P$1,MATCH(U1246,卡牌辅助配置表!M:M,0)-1,0))*M1246,2)</f>
        <v>46.54</v>
      </c>
      <c r="W1246" s="157">
        <f ca="1">ROUND(IF(R1246=0,0,IF(R1246=1,X1246*$W$1,IF(R1246=2,X1246*$W$1*buff的资质计算!$E$2,IF(R1246=3,X1246*$W$1*buff的资质计算!$E$3,0)))),2)</f>
        <v>13.05</v>
      </c>
      <c r="X1246" s="157">
        <f ca="1" t="shared" si="204"/>
        <v>43.5</v>
      </c>
      <c r="Y1246" s="157" t="e">
        <f ca="1" t="shared" si="214"/>
        <v>#VALUE!</v>
      </c>
      <c r="Z1246" s="304" t="e">
        <f ca="1" t="shared" si="205"/>
        <v>#VALUE!</v>
      </c>
      <c r="AA1246" s="304">
        <f ca="1">OFFSET(卡牌辅助配置表!$AD$1,MATCH(AB1246,卡牌辅助配置表!AB:AB,0)-1,0)</f>
        <v>1194</v>
      </c>
      <c r="AB1246" s="304">
        <f ca="1" t="shared" si="211"/>
        <v>3206</v>
      </c>
      <c r="AC1246" s="153">
        <v>3</v>
      </c>
      <c r="AE1246" s="153">
        <v>2</v>
      </c>
      <c r="AF1246" s="153" t="str">
        <f ca="1" t="shared" si="215"/>
        <v>20160011|</v>
      </c>
      <c r="AJ1246" s="205" t="str">
        <f ca="1" t="shared" si="212"/>
        <v>400023|2550|;</v>
      </c>
      <c r="AK1246" s="205">
        <f ca="1">OFFSET([1]item_type!$A$1,MATCH(Q1246,[1]item_type!$G:$G,0)-1,0)</f>
        <v>302016</v>
      </c>
      <c r="AL1246" s="205"/>
      <c r="AM1246" s="205">
        <f ca="1">IF(B1246=B1247,OFFSET(卡牌辅助配置表!$AE$1,MATCH(AB1246,卡牌辅助配置表!AB:AB,0),0),0)</f>
        <v>2550</v>
      </c>
      <c r="AN1246" s="153">
        <f ca="1" t="shared" si="213"/>
        <v>2016007</v>
      </c>
      <c r="AP1246" s="153" t="str">
        <f ca="1">IF(AC1246=0,0,IF(AC1246=12,0,OFFSET(effect!$N$1,MATCH(K1246,effect!M:M,0)-1,0)))</f>
        <v>kpsx_pt</v>
      </c>
    </row>
    <row r="1247" spans="1:42">
      <c r="A1247" s="153">
        <f ca="1" t="shared" si="209"/>
        <v>2016007</v>
      </c>
      <c r="B1247" s="91" t="s">
        <v>514</v>
      </c>
      <c r="C1247" s="186">
        <v>2</v>
      </c>
      <c r="D1247" s="186">
        <v>1</v>
      </c>
      <c r="E1247" s="165" t="s">
        <v>1058</v>
      </c>
      <c r="F1247" s="179" t="s">
        <v>1063</v>
      </c>
      <c r="G1247" s="186">
        <f ca="1">OFFSET(卡牌辅助配置表!$C$1,MATCH(AC1247,卡牌辅助配置表!A:A,0)-1,0)</f>
        <v>3</v>
      </c>
      <c r="H1247" s="186" t="e">
        <f ca="1">OFFSET(skill!$Q$1,MATCH(B1247,skill!B:B,0)-1,0)</f>
        <v>#VALUE!</v>
      </c>
      <c r="I1247" s="186"/>
      <c r="J1247" s="186">
        <f ca="1">OFFSET(card_type!$F$1,MATCH(Q1247,card_type!A:A,0)-1,0)</f>
        <v>3</v>
      </c>
      <c r="K1247" s="243">
        <f ca="1">OFFSET(card_type!$G$1,MATCH(Q1247,card_type!A:A,0)-1,0)</f>
        <v>2</v>
      </c>
      <c r="L1247" s="157">
        <v>2</v>
      </c>
      <c r="M1247" s="157">
        <v>2</v>
      </c>
      <c r="N1247" s="153">
        <f t="shared" si="206"/>
        <v>7</v>
      </c>
      <c r="O1247" s="157"/>
      <c r="P1247" s="157"/>
      <c r="Q1247" s="153">
        <f ca="1">OFFSET(card_type!$A$1,MATCH(card!B1247,card_type!B:B,0)-1,0)</f>
        <v>2016</v>
      </c>
      <c r="R1247" s="153">
        <v>1</v>
      </c>
      <c r="S1247" s="157">
        <f ca="1">ROUND(IF(R1247=0,0,IF(R1247=1,X1247*$S$1,IF(R1247=2,X1247*$S$1*buff的资质计算!$E$2,IF(R1247=3,X1247*$S$1*buff的资质计算!$E$3,0)))),0)*0</f>
        <v>0</v>
      </c>
      <c r="T1247" s="153">
        <v>5</v>
      </c>
      <c r="U1247" s="153">
        <f ca="1" t="shared" si="210"/>
        <v>32</v>
      </c>
      <c r="V1247" s="153">
        <f ca="1">ROUND((OFFSET(卡牌辅助配置表!$O$1,MATCH(U1247,卡牌辅助配置表!M:M,0)-1,0)+(N1247-1)*OFFSET(卡牌辅助配置表!$P$1,MATCH(U1247,卡牌辅助配置表!M:M,0)-1,0))*M1247,2)</f>
        <v>50.11</v>
      </c>
      <c r="W1247" s="157">
        <f ca="1">ROUND(IF(R1247=0,0,IF(R1247=1,X1247*$W$1,IF(R1247=2,X1247*$W$1*buff的资质计算!$E$2,IF(R1247=3,X1247*$W$1*buff的资质计算!$E$3,0)))),2)</f>
        <v>13.2</v>
      </c>
      <c r="X1247" s="157">
        <f ca="1" t="shared" si="204"/>
        <v>44</v>
      </c>
      <c r="Y1247" s="157" t="e">
        <f ca="1" t="shared" si="214"/>
        <v>#VALUE!</v>
      </c>
      <c r="Z1247" s="304" t="e">
        <f ca="1" t="shared" si="205"/>
        <v>#VALUE!</v>
      </c>
      <c r="AA1247" s="304">
        <f ca="1">OFFSET(卡牌辅助配置表!$AD$1,MATCH(AB1247,卡牌辅助配置表!AB:AB,0)-1,0)</f>
        <v>1393</v>
      </c>
      <c r="AB1247" s="304">
        <f ca="1" t="shared" si="211"/>
        <v>3207</v>
      </c>
      <c r="AC1247" s="153">
        <v>3</v>
      </c>
      <c r="AE1247" s="153">
        <v>2</v>
      </c>
      <c r="AF1247" s="153" t="str">
        <f ca="1" t="shared" si="215"/>
        <v>20160011|</v>
      </c>
      <c r="AJ1247" s="205" t="str">
        <f ca="1" t="shared" si="212"/>
        <v>400023|2850|;</v>
      </c>
      <c r="AK1247" s="205">
        <f ca="1">OFFSET([1]item_type!$A$1,MATCH(Q1247,[1]item_type!$G:$G,0)-1,0)</f>
        <v>302016</v>
      </c>
      <c r="AL1247" s="205"/>
      <c r="AM1247" s="205">
        <f ca="1">IF(B1247=B1248,OFFSET(卡牌辅助配置表!$AE$1,MATCH(AB1247,卡牌辅助配置表!AB:AB,0),0),0)</f>
        <v>2850</v>
      </c>
      <c r="AN1247" s="153">
        <f ca="1" t="shared" si="213"/>
        <v>2016008</v>
      </c>
      <c r="AP1247" s="153" t="str">
        <f ca="1">IF(AC1247=0,0,IF(AC1247=12,0,OFFSET(effect!$N$1,MATCH(K1247,effect!M:M,0)-1,0)))</f>
        <v>kpsx_pt</v>
      </c>
    </row>
    <row r="1248" spans="1:42">
      <c r="A1248" s="153">
        <f ca="1" t="shared" si="209"/>
        <v>2016008</v>
      </c>
      <c r="B1248" s="91" t="s">
        <v>514</v>
      </c>
      <c r="C1248" s="186">
        <v>2</v>
      </c>
      <c r="D1248" s="186">
        <v>1</v>
      </c>
      <c r="E1248" s="165" t="s">
        <v>1058</v>
      </c>
      <c r="F1248" s="179" t="s">
        <v>1063</v>
      </c>
      <c r="G1248" s="186">
        <f ca="1">OFFSET(卡牌辅助配置表!$C$1,MATCH(AC1248,卡牌辅助配置表!A:A,0)-1,0)</f>
        <v>3</v>
      </c>
      <c r="H1248" s="186" t="e">
        <f ca="1">OFFSET(skill!$Q$1,MATCH(B1248,skill!B:B,0)-1,0)</f>
        <v>#VALUE!</v>
      </c>
      <c r="I1248" s="186"/>
      <c r="J1248" s="186">
        <f ca="1">OFFSET(card_type!$F$1,MATCH(Q1248,card_type!A:A,0)-1,0)</f>
        <v>3</v>
      </c>
      <c r="K1248" s="243">
        <f ca="1">OFFSET(card_type!$G$1,MATCH(Q1248,card_type!A:A,0)-1,0)</f>
        <v>2</v>
      </c>
      <c r="L1248" s="157">
        <v>2</v>
      </c>
      <c r="M1248" s="157">
        <v>2</v>
      </c>
      <c r="N1248" s="153">
        <f t="shared" si="206"/>
        <v>8</v>
      </c>
      <c r="O1248" s="157"/>
      <c r="P1248" s="157"/>
      <c r="Q1248" s="153">
        <f ca="1">OFFSET(card_type!$A$1,MATCH(card!B1248,card_type!B:B,0)-1,0)</f>
        <v>2016</v>
      </c>
      <c r="R1248" s="153">
        <v>1</v>
      </c>
      <c r="S1248" s="157">
        <f ca="1">ROUND(IF(R1248=0,0,IF(R1248=1,X1248*$S$1,IF(R1248=2,X1248*$S$1*buff的资质计算!$E$2,IF(R1248=3,X1248*$S$1*buff的资质计算!$E$3,0)))),0)*0</f>
        <v>0</v>
      </c>
      <c r="T1248" s="153">
        <v>5</v>
      </c>
      <c r="U1248" s="153">
        <f ca="1" t="shared" si="210"/>
        <v>32</v>
      </c>
      <c r="V1248" s="153">
        <f ca="1">ROUND((OFFSET(卡牌辅助配置表!$O$1,MATCH(U1248,卡牌辅助配置表!M:M,0)-1,0)+(N1248-1)*OFFSET(卡牌辅助配置表!$P$1,MATCH(U1248,卡牌辅助配置表!M:M,0)-1,0))*M1248,2)</f>
        <v>53.68</v>
      </c>
      <c r="W1248" s="157">
        <f ca="1">ROUND(IF(R1248=0,0,IF(R1248=1,X1248*$W$1,IF(R1248=2,X1248*$W$1*buff的资质计算!$E$2,IF(R1248=3,X1248*$W$1*buff的资质计算!$E$3,0)))),2)</f>
        <v>13.35</v>
      </c>
      <c r="X1248" s="157">
        <f ca="1" t="shared" si="204"/>
        <v>44.5</v>
      </c>
      <c r="Y1248" s="157" t="e">
        <f ca="1" t="shared" si="214"/>
        <v>#VALUE!</v>
      </c>
      <c r="Z1248" s="304" t="e">
        <f ca="1" t="shared" si="205"/>
        <v>#VALUE!</v>
      </c>
      <c r="AA1248" s="304">
        <f ca="1">OFFSET(卡牌辅助配置表!$AD$1,MATCH(AB1248,卡牌辅助配置表!AB:AB,0)-1,0)</f>
        <v>1592</v>
      </c>
      <c r="AB1248" s="304">
        <f ca="1" t="shared" si="211"/>
        <v>3208</v>
      </c>
      <c r="AC1248" s="153">
        <v>3</v>
      </c>
      <c r="AE1248" s="153">
        <v>2</v>
      </c>
      <c r="AF1248" s="153" t="str">
        <f ca="1" t="shared" si="215"/>
        <v>20160011|</v>
      </c>
      <c r="AJ1248" s="205" t="str">
        <f ca="1" t="shared" si="212"/>
        <v>400023|3150|;</v>
      </c>
      <c r="AK1248" s="205">
        <f ca="1">OFFSET([1]item_type!$A$1,MATCH(Q1248,[1]item_type!$G:$G,0)-1,0)</f>
        <v>302016</v>
      </c>
      <c r="AL1248" s="205"/>
      <c r="AM1248" s="205">
        <f ca="1">IF(B1248=B1249,OFFSET(卡牌辅助配置表!$AE$1,MATCH(AB1248,卡牌辅助配置表!AB:AB,0),0),0)</f>
        <v>3150</v>
      </c>
      <c r="AN1248" s="153">
        <f ca="1" t="shared" si="213"/>
        <v>2016009</v>
      </c>
      <c r="AP1248" s="153" t="str">
        <f ca="1">IF(AC1248=0,0,IF(AC1248=12,0,OFFSET(effect!$N$1,MATCH(K1248,effect!M:M,0)-1,0)))</f>
        <v>kpsx_pt</v>
      </c>
    </row>
    <row r="1249" spans="1:42">
      <c r="A1249" s="153">
        <f ca="1" t="shared" si="209"/>
        <v>2016009</v>
      </c>
      <c r="B1249" s="91" t="s">
        <v>514</v>
      </c>
      <c r="C1249" s="186">
        <v>2</v>
      </c>
      <c r="D1249" s="186">
        <v>1</v>
      </c>
      <c r="E1249" s="165" t="s">
        <v>1058</v>
      </c>
      <c r="F1249" s="179" t="s">
        <v>1063</v>
      </c>
      <c r="G1249" s="186">
        <f ca="1">OFFSET(卡牌辅助配置表!$C$1,MATCH(AC1249,卡牌辅助配置表!A:A,0)-1,0)</f>
        <v>3</v>
      </c>
      <c r="H1249" s="186" t="e">
        <f ca="1">OFFSET(skill!$Q$1,MATCH(B1249,skill!B:B,0)-1,0)</f>
        <v>#VALUE!</v>
      </c>
      <c r="I1249" s="186"/>
      <c r="J1249" s="186">
        <f ca="1">OFFSET(card_type!$F$1,MATCH(Q1249,card_type!A:A,0)-1,0)</f>
        <v>3</v>
      </c>
      <c r="K1249" s="243">
        <f ca="1">OFFSET(card_type!$G$1,MATCH(Q1249,card_type!A:A,0)-1,0)</f>
        <v>2</v>
      </c>
      <c r="L1249" s="157">
        <v>2</v>
      </c>
      <c r="M1249" s="157">
        <v>2</v>
      </c>
      <c r="N1249" s="153">
        <f t="shared" si="206"/>
        <v>9</v>
      </c>
      <c r="O1249" s="157"/>
      <c r="P1249" s="157"/>
      <c r="Q1249" s="153">
        <f ca="1">OFFSET(card_type!$A$1,MATCH(card!B1249,card_type!B:B,0)-1,0)</f>
        <v>2016</v>
      </c>
      <c r="R1249" s="153">
        <v>1</v>
      </c>
      <c r="S1249" s="157">
        <f ca="1">ROUND(IF(R1249=0,0,IF(R1249=1,X1249*$S$1,IF(R1249=2,X1249*$S$1*buff的资质计算!$E$2,IF(R1249=3,X1249*$S$1*buff的资质计算!$E$3,0)))),0)*0</f>
        <v>0</v>
      </c>
      <c r="T1249" s="153">
        <v>5</v>
      </c>
      <c r="U1249" s="153">
        <f ca="1" t="shared" si="210"/>
        <v>32</v>
      </c>
      <c r="V1249" s="153">
        <f ca="1">ROUND((OFFSET(卡牌辅助配置表!$O$1,MATCH(U1249,卡牌辅助配置表!M:M,0)-1,0)+(N1249-1)*OFFSET(卡牌辅助配置表!$P$1,MATCH(U1249,卡牌辅助配置表!M:M,0)-1,0))*M1249,2)</f>
        <v>57.24</v>
      </c>
      <c r="W1249" s="157">
        <f ca="1">ROUND(IF(R1249=0,0,IF(R1249=1,X1249*$W$1,IF(R1249=2,X1249*$W$1*buff的资质计算!$E$2,IF(R1249=3,X1249*$W$1*buff的资质计算!$E$3,0)))),2)</f>
        <v>13.5</v>
      </c>
      <c r="X1249" s="157">
        <f ca="1" t="shared" si="204"/>
        <v>45</v>
      </c>
      <c r="Y1249" s="157" t="e">
        <f ca="1" t="shared" si="214"/>
        <v>#VALUE!</v>
      </c>
      <c r="Z1249" s="304" t="e">
        <f ca="1" t="shared" si="205"/>
        <v>#VALUE!</v>
      </c>
      <c r="AA1249" s="304">
        <f ca="1">OFFSET(卡牌辅助配置表!$AD$1,MATCH(AB1249,卡牌辅助配置表!AB:AB,0)-1,0)</f>
        <v>1791</v>
      </c>
      <c r="AB1249" s="304">
        <f ca="1" t="shared" si="211"/>
        <v>3209</v>
      </c>
      <c r="AC1249" s="153">
        <v>3</v>
      </c>
      <c r="AE1249" s="153">
        <v>2</v>
      </c>
      <c r="AF1249" s="153" t="str">
        <f ca="1" t="shared" si="215"/>
        <v>20160011|</v>
      </c>
      <c r="AJ1249" s="205" t="str">
        <f ca="1" t="shared" si="212"/>
        <v>302016|15|;400023|3450|;</v>
      </c>
      <c r="AK1249" s="205">
        <f ca="1">OFFSET([1]item_type!$A$1,MATCH(Q1249,[1]item_type!$G:$G,0)-1,0)</f>
        <v>302016</v>
      </c>
      <c r="AL1249" s="205">
        <v>15</v>
      </c>
      <c r="AM1249" s="205">
        <f ca="1">IF(B1249=B1250,OFFSET(卡牌辅助配置表!$AE$1,MATCH(AB1249,卡牌辅助配置表!AB:AB,0),0),0)</f>
        <v>3450</v>
      </c>
      <c r="AN1249" s="153">
        <f ca="1" t="shared" si="213"/>
        <v>2016010</v>
      </c>
      <c r="AP1249" s="153" t="str">
        <f ca="1">IF(AC1249=0,0,IF(AC1249=12,0,OFFSET(effect!$N$1,MATCH(K1249,effect!M:M,0)-1,0)))</f>
        <v>kpsx_pt</v>
      </c>
    </row>
    <row r="1250" spans="1:42">
      <c r="A1250" s="153">
        <f ca="1" t="shared" si="209"/>
        <v>2016010</v>
      </c>
      <c r="B1250" s="91" t="s">
        <v>514</v>
      </c>
      <c r="C1250" s="186">
        <v>2</v>
      </c>
      <c r="D1250" s="186">
        <v>1</v>
      </c>
      <c r="E1250" s="165" t="s">
        <v>1058</v>
      </c>
      <c r="F1250" s="179" t="s">
        <v>1063</v>
      </c>
      <c r="G1250" s="186">
        <f ca="1">OFFSET(卡牌辅助配置表!$C$1,MATCH(AC1250,卡牌辅助配置表!A:A,0)-1,0)</f>
        <v>3</v>
      </c>
      <c r="H1250" s="186" t="e">
        <f ca="1">OFFSET(skill!$Q$1,MATCH(B1250,skill!B:B,0)-1,0)</f>
        <v>#VALUE!</v>
      </c>
      <c r="I1250" s="186"/>
      <c r="J1250" s="186">
        <f ca="1">OFFSET(card_type!$F$1,MATCH(Q1250,card_type!A:A,0)-1,0)</f>
        <v>3</v>
      </c>
      <c r="K1250" s="243">
        <f ca="1">OFFSET(card_type!$G$1,MATCH(Q1250,card_type!A:A,0)-1,0)</f>
        <v>2</v>
      </c>
      <c r="L1250" s="157">
        <v>2</v>
      </c>
      <c r="M1250" s="157">
        <v>2</v>
      </c>
      <c r="N1250" s="153">
        <f t="shared" si="206"/>
        <v>10</v>
      </c>
      <c r="O1250" s="157"/>
      <c r="P1250" s="157"/>
      <c r="Q1250" s="153">
        <f ca="1">OFFSET(card_type!$A$1,MATCH(card!B1250,card_type!B:B,0)-1,0)</f>
        <v>2016</v>
      </c>
      <c r="R1250" s="153">
        <v>1</v>
      </c>
      <c r="S1250" s="157">
        <f ca="1">ROUND(IF(R1250=0,0,IF(R1250=1,X1250*$S$1,IF(R1250=2,X1250*$S$1*buff的资质计算!$E$2,IF(R1250=3,X1250*$S$1*buff的资质计算!$E$3,0)))),0)*0</f>
        <v>0</v>
      </c>
      <c r="T1250" s="153">
        <v>5</v>
      </c>
      <c r="U1250" s="153">
        <f ca="1" t="shared" si="210"/>
        <v>32</v>
      </c>
      <c r="V1250" s="153">
        <f ca="1">ROUND((OFFSET(卡牌辅助配置表!$O$1,MATCH(U1250,卡牌辅助配置表!M:M,0)-1,0)+(N1250-1)*OFFSET(卡牌辅助配置表!$P$1,MATCH(U1250,卡牌辅助配置表!M:M,0)-1,0))*M1250,2)</f>
        <v>60.81</v>
      </c>
      <c r="W1250" s="157">
        <f ca="1">ROUND(IF(R1250=0,0,IF(R1250=1,X1250*$W$1,IF(R1250=2,X1250*$W$1*buff的资质计算!$E$2,IF(R1250=3,X1250*$W$1*buff的资质计算!$E$3,0)))),2)</f>
        <v>13.65</v>
      </c>
      <c r="X1250" s="157">
        <f ca="1" t="shared" si="204"/>
        <v>45.5</v>
      </c>
      <c r="Y1250" s="157" t="e">
        <f ca="1" t="shared" si="214"/>
        <v>#VALUE!</v>
      </c>
      <c r="Z1250" s="304" t="e">
        <f ca="1" t="shared" si="205"/>
        <v>#VALUE!</v>
      </c>
      <c r="AA1250" s="304">
        <f ca="1">OFFSET(卡牌辅助配置表!$AD$1,MATCH(AB1250,卡牌辅助配置表!AB:AB,0)-1,0)</f>
        <v>1990</v>
      </c>
      <c r="AB1250" s="304">
        <f ca="1" t="shared" si="211"/>
        <v>3210</v>
      </c>
      <c r="AC1250" s="153">
        <v>3</v>
      </c>
      <c r="AE1250" s="153">
        <v>2</v>
      </c>
      <c r="AF1250" s="153" t="str">
        <f ca="1" t="shared" si="215"/>
        <v>20160011|</v>
      </c>
      <c r="AJ1250" s="205" t="str">
        <f ca="1" t="shared" si="212"/>
        <v>400023|4050|;</v>
      </c>
      <c r="AK1250" s="205">
        <f ca="1">OFFSET([1]item_type!$A$1,MATCH(Q1250,[1]item_type!$G:$G,0)-1,0)</f>
        <v>302016</v>
      </c>
      <c r="AL1250" s="205"/>
      <c r="AM1250" s="205">
        <f ca="1">IF(B1250=B1251,OFFSET(卡牌辅助配置表!$AE$1,MATCH(AB1250,卡牌辅助配置表!AB:AB,0),0),0)</f>
        <v>4050</v>
      </c>
      <c r="AN1250" s="153">
        <f ca="1" t="shared" si="213"/>
        <v>2016011</v>
      </c>
      <c r="AP1250" s="153" t="str">
        <f ca="1">IF(AC1250=0,0,IF(AC1250=12,0,OFFSET(effect!$N$1,MATCH(K1250,effect!M:M,0)-1,0)))</f>
        <v>kpsx_pt</v>
      </c>
    </row>
    <row r="1251" spans="1:42">
      <c r="A1251" s="153">
        <f ca="1" t="shared" si="209"/>
        <v>2016011</v>
      </c>
      <c r="B1251" s="91" t="s">
        <v>514</v>
      </c>
      <c r="C1251" s="186">
        <v>2</v>
      </c>
      <c r="D1251" s="186">
        <v>1</v>
      </c>
      <c r="E1251" s="165" t="s">
        <v>1058</v>
      </c>
      <c r="F1251" s="179" t="s">
        <v>1063</v>
      </c>
      <c r="G1251" s="186">
        <f ca="1">OFFSET(卡牌辅助配置表!$C$1,MATCH(AC1251,卡牌辅助配置表!A:A,0)-1,0)</f>
        <v>3</v>
      </c>
      <c r="H1251" s="186" t="e">
        <f ca="1">OFFSET(skill!$Q$1,MATCH(B1251,skill!B:B,0)-1,0)</f>
        <v>#VALUE!</v>
      </c>
      <c r="I1251" s="186"/>
      <c r="J1251" s="186">
        <f ca="1">OFFSET(card_type!$F$1,MATCH(Q1251,card_type!A:A,0)-1,0)</f>
        <v>3</v>
      </c>
      <c r="K1251" s="243">
        <f ca="1">OFFSET(card_type!$G$1,MATCH(Q1251,card_type!A:A,0)-1,0)</f>
        <v>2</v>
      </c>
      <c r="L1251" s="157">
        <v>2</v>
      </c>
      <c r="M1251" s="157">
        <v>2</v>
      </c>
      <c r="N1251" s="153">
        <f t="shared" si="206"/>
        <v>11</v>
      </c>
      <c r="O1251" s="157"/>
      <c r="P1251" s="157"/>
      <c r="Q1251" s="153">
        <f ca="1">OFFSET(card_type!$A$1,MATCH(card!B1251,card_type!B:B,0)-1,0)</f>
        <v>2016</v>
      </c>
      <c r="R1251" s="153">
        <v>1</v>
      </c>
      <c r="S1251" s="157">
        <f ca="1">ROUND(IF(R1251=0,0,IF(R1251=1,X1251*$S$1,IF(R1251=2,X1251*$S$1*buff的资质计算!$E$2,IF(R1251=3,X1251*$S$1*buff的资质计算!$E$3,0)))),0)*0</f>
        <v>0</v>
      </c>
      <c r="T1251" s="153">
        <v>5</v>
      </c>
      <c r="U1251" s="153">
        <f ca="1" t="shared" si="210"/>
        <v>32</v>
      </c>
      <c r="V1251" s="153">
        <f ca="1">ROUND((OFFSET(卡牌辅助配置表!$O$1,MATCH(U1251,卡牌辅助配置表!M:M,0)-1,0)+(N1251-1)*OFFSET(卡牌辅助配置表!$P$1,MATCH(U1251,卡牌辅助配置表!M:M,0)-1,0))*M1251,2)</f>
        <v>64.38</v>
      </c>
      <c r="W1251" s="157">
        <f ca="1">ROUND(IF(R1251=0,0,IF(R1251=1,X1251*$W$1,IF(R1251=2,X1251*$W$1*buff的资质计算!$E$2,IF(R1251=3,X1251*$W$1*buff的资质计算!$E$3,0)))),2)</f>
        <v>13.8</v>
      </c>
      <c r="X1251" s="157">
        <f ca="1" t="shared" si="204"/>
        <v>46</v>
      </c>
      <c r="Y1251" s="157" t="e">
        <f ca="1" t="shared" si="214"/>
        <v>#VALUE!</v>
      </c>
      <c r="Z1251" s="304" t="e">
        <f ca="1" t="shared" si="205"/>
        <v>#VALUE!</v>
      </c>
      <c r="AA1251" s="304">
        <f ca="1">OFFSET(卡牌辅助配置表!$AD$1,MATCH(AB1251,卡牌辅助配置表!AB:AB,0)-1,0)</f>
        <v>2289</v>
      </c>
      <c r="AB1251" s="304">
        <f ca="1" t="shared" si="211"/>
        <v>3211</v>
      </c>
      <c r="AC1251" s="153">
        <v>3</v>
      </c>
      <c r="AE1251" s="153">
        <v>2</v>
      </c>
      <c r="AF1251" s="153" t="str">
        <f ca="1" t="shared" si="215"/>
        <v>20160011|</v>
      </c>
      <c r="AJ1251" s="205" t="str">
        <f ca="1" t="shared" si="212"/>
        <v>400023|4650|;</v>
      </c>
      <c r="AK1251" s="205">
        <f ca="1">OFFSET([1]item_type!$A$1,MATCH(Q1251,[1]item_type!$G:$G,0)-1,0)</f>
        <v>302016</v>
      </c>
      <c r="AL1251" s="205"/>
      <c r="AM1251" s="205">
        <f ca="1">IF(B1251=B1252,OFFSET(卡牌辅助配置表!$AE$1,MATCH(AB1251,卡牌辅助配置表!AB:AB,0),0),0)</f>
        <v>4650</v>
      </c>
      <c r="AN1251" s="153">
        <f ca="1" t="shared" si="213"/>
        <v>2016012</v>
      </c>
      <c r="AP1251" s="153" t="str">
        <f ca="1">IF(AC1251=0,0,IF(AC1251=12,0,OFFSET(effect!$N$1,MATCH(K1251,effect!M:M,0)-1,0)))</f>
        <v>kpsx_pt</v>
      </c>
    </row>
    <row r="1252" spans="1:42">
      <c r="A1252" s="153">
        <f ca="1" t="shared" si="209"/>
        <v>2016012</v>
      </c>
      <c r="B1252" s="91" t="s">
        <v>514</v>
      </c>
      <c r="C1252" s="186">
        <v>2</v>
      </c>
      <c r="D1252" s="186">
        <v>1</v>
      </c>
      <c r="E1252" s="165" t="s">
        <v>1058</v>
      </c>
      <c r="F1252" s="179" t="s">
        <v>1063</v>
      </c>
      <c r="G1252" s="186">
        <f ca="1">OFFSET(卡牌辅助配置表!$C$1,MATCH(AC1252,卡牌辅助配置表!A:A,0)-1,0)</f>
        <v>3</v>
      </c>
      <c r="H1252" s="186" t="e">
        <f ca="1">OFFSET(skill!$Q$1,MATCH(B1252,skill!B:B,0)-1,0)</f>
        <v>#VALUE!</v>
      </c>
      <c r="I1252" s="186"/>
      <c r="J1252" s="186">
        <f ca="1">OFFSET(card_type!$F$1,MATCH(Q1252,card_type!A:A,0)-1,0)</f>
        <v>3</v>
      </c>
      <c r="K1252" s="243">
        <f ca="1">OFFSET(card_type!$G$1,MATCH(Q1252,card_type!A:A,0)-1,0)</f>
        <v>2</v>
      </c>
      <c r="L1252" s="157">
        <v>2</v>
      </c>
      <c r="M1252" s="157">
        <v>2</v>
      </c>
      <c r="N1252" s="153">
        <f t="shared" si="206"/>
        <v>12</v>
      </c>
      <c r="O1252" s="157"/>
      <c r="P1252" s="157"/>
      <c r="Q1252" s="153">
        <f ca="1">OFFSET(card_type!$A$1,MATCH(card!B1252,card_type!B:B,0)-1,0)</f>
        <v>2016</v>
      </c>
      <c r="R1252" s="153">
        <v>1</v>
      </c>
      <c r="S1252" s="157">
        <f ca="1">ROUND(IF(R1252=0,0,IF(R1252=1,X1252*$S$1,IF(R1252=2,X1252*$S$1*buff的资质计算!$E$2,IF(R1252=3,X1252*$S$1*buff的资质计算!$E$3,0)))),0)*0</f>
        <v>0</v>
      </c>
      <c r="T1252" s="153">
        <v>5</v>
      </c>
      <c r="U1252" s="153">
        <f ca="1" t="shared" si="210"/>
        <v>32</v>
      </c>
      <c r="V1252" s="153">
        <f ca="1">ROUND((OFFSET(卡牌辅助配置表!$O$1,MATCH(U1252,卡牌辅助配置表!M:M,0)-1,0)+(N1252-1)*OFFSET(卡牌辅助配置表!$P$1,MATCH(U1252,卡牌辅助配置表!M:M,0)-1,0))*M1252,2)</f>
        <v>67.94</v>
      </c>
      <c r="W1252" s="157">
        <f ca="1">ROUND(IF(R1252=0,0,IF(R1252=1,X1252*$W$1,IF(R1252=2,X1252*$W$1*buff的资质计算!$E$2,IF(R1252=3,X1252*$W$1*buff的资质计算!$E$3,0)))),2)</f>
        <v>13.95</v>
      </c>
      <c r="X1252" s="157">
        <f ca="1" t="shared" si="204"/>
        <v>46.5</v>
      </c>
      <c r="Y1252" s="157" t="e">
        <f ca="1" t="shared" si="214"/>
        <v>#VALUE!</v>
      </c>
      <c r="Z1252" s="304" t="e">
        <f ca="1" t="shared" si="205"/>
        <v>#VALUE!</v>
      </c>
      <c r="AA1252" s="304">
        <f ca="1">OFFSET(卡牌辅助配置表!$AD$1,MATCH(AB1252,卡牌辅助配置表!AB:AB,0)-1,0)</f>
        <v>2588</v>
      </c>
      <c r="AB1252" s="304">
        <f ca="1" t="shared" si="211"/>
        <v>3212</v>
      </c>
      <c r="AC1252" s="153">
        <v>3</v>
      </c>
      <c r="AE1252" s="153">
        <v>2</v>
      </c>
      <c r="AF1252" s="153" t="str">
        <f ca="1" t="shared" si="215"/>
        <v>20160011|</v>
      </c>
      <c r="AJ1252" s="205" t="str">
        <f ca="1" t="shared" si="212"/>
        <v>400023|5250|;</v>
      </c>
      <c r="AK1252" s="205">
        <f ca="1">OFFSET([1]item_type!$A$1,MATCH(Q1252,[1]item_type!$G:$G,0)-1,0)</f>
        <v>302016</v>
      </c>
      <c r="AL1252" s="205"/>
      <c r="AM1252" s="205">
        <f ca="1">IF(B1252=B1253,OFFSET(卡牌辅助配置表!$AE$1,MATCH(AB1252,卡牌辅助配置表!AB:AB,0),0),0)</f>
        <v>5250</v>
      </c>
      <c r="AN1252" s="153">
        <f ca="1" t="shared" si="213"/>
        <v>2016013</v>
      </c>
      <c r="AP1252" s="153" t="str">
        <f ca="1">IF(AC1252=0,0,IF(AC1252=12,0,OFFSET(effect!$N$1,MATCH(K1252,effect!M:M,0)-1,0)))</f>
        <v>kpsx_pt</v>
      </c>
    </row>
    <row r="1253" spans="1:42">
      <c r="A1253" s="153">
        <f ca="1" t="shared" si="209"/>
        <v>2016013</v>
      </c>
      <c r="B1253" s="91" t="s">
        <v>514</v>
      </c>
      <c r="C1253" s="186">
        <v>2</v>
      </c>
      <c r="D1253" s="186">
        <v>1</v>
      </c>
      <c r="E1253" s="165" t="s">
        <v>1058</v>
      </c>
      <c r="F1253" s="179" t="s">
        <v>1063</v>
      </c>
      <c r="G1253" s="186">
        <f ca="1">OFFSET(卡牌辅助配置表!$C$1,MATCH(AC1253,卡牌辅助配置表!A:A,0)-1,0)</f>
        <v>3</v>
      </c>
      <c r="H1253" s="186" t="e">
        <f ca="1">OFFSET(skill!$Q$1,MATCH(B1253,skill!B:B,0)-1,0)</f>
        <v>#VALUE!</v>
      </c>
      <c r="I1253" s="186"/>
      <c r="J1253" s="186">
        <f ca="1">OFFSET(card_type!$F$1,MATCH(Q1253,card_type!A:A,0)-1,0)</f>
        <v>3</v>
      </c>
      <c r="K1253" s="243">
        <f ca="1">OFFSET(card_type!$G$1,MATCH(Q1253,card_type!A:A,0)-1,0)</f>
        <v>2</v>
      </c>
      <c r="L1253" s="157">
        <v>2</v>
      </c>
      <c r="M1253" s="157">
        <v>2</v>
      </c>
      <c r="N1253" s="153">
        <f t="shared" si="206"/>
        <v>13</v>
      </c>
      <c r="O1253" s="157"/>
      <c r="P1253" s="157"/>
      <c r="Q1253" s="153">
        <f ca="1">OFFSET(card_type!$A$1,MATCH(card!B1253,card_type!B:B,0)-1,0)</f>
        <v>2016</v>
      </c>
      <c r="R1253" s="153">
        <v>1</v>
      </c>
      <c r="S1253" s="157">
        <f ca="1">ROUND(IF(R1253=0,0,IF(R1253=1,X1253*$S$1,IF(R1253=2,X1253*$S$1*buff的资质计算!$E$2,IF(R1253=3,X1253*$S$1*buff的资质计算!$E$3,0)))),0)*0</f>
        <v>0</v>
      </c>
      <c r="T1253" s="153">
        <v>5</v>
      </c>
      <c r="U1253" s="153">
        <f ca="1" t="shared" si="210"/>
        <v>32</v>
      </c>
      <c r="V1253" s="153">
        <f ca="1">ROUND((OFFSET(卡牌辅助配置表!$O$1,MATCH(U1253,卡牌辅助配置表!M:M,0)-1,0)+(N1253-1)*OFFSET(卡牌辅助配置表!$P$1,MATCH(U1253,卡牌辅助配置表!M:M,0)-1,0))*M1253,2)</f>
        <v>71.51</v>
      </c>
      <c r="W1253" s="157">
        <f ca="1">ROUND(IF(R1253=0,0,IF(R1253=1,X1253*$W$1,IF(R1253=2,X1253*$W$1*buff的资质计算!$E$2,IF(R1253=3,X1253*$W$1*buff的资质计算!$E$3,0)))),2)</f>
        <v>14.1</v>
      </c>
      <c r="X1253" s="157">
        <f ca="1" t="shared" si="204"/>
        <v>47</v>
      </c>
      <c r="Y1253" s="157" t="e">
        <f ca="1" t="shared" si="214"/>
        <v>#VALUE!</v>
      </c>
      <c r="Z1253" s="304" t="e">
        <f ca="1" t="shared" si="205"/>
        <v>#VALUE!</v>
      </c>
      <c r="AA1253" s="304">
        <f ca="1">OFFSET(卡牌辅助配置表!$AD$1,MATCH(AB1253,卡牌辅助配置表!AB:AB,0)-1,0)</f>
        <v>2887</v>
      </c>
      <c r="AB1253" s="304">
        <f ca="1" t="shared" si="211"/>
        <v>3213</v>
      </c>
      <c r="AC1253" s="153">
        <v>3</v>
      </c>
      <c r="AE1253" s="153">
        <v>2</v>
      </c>
      <c r="AF1253" s="153" t="str">
        <f ca="1" t="shared" si="215"/>
        <v>20160011|</v>
      </c>
      <c r="AJ1253" s="205" t="str">
        <f ca="1" t="shared" si="212"/>
        <v>400023|5850|;</v>
      </c>
      <c r="AK1253" s="205">
        <f ca="1">OFFSET([1]item_type!$A$1,MATCH(Q1253,[1]item_type!$G:$G,0)-1,0)</f>
        <v>302016</v>
      </c>
      <c r="AL1253" s="205"/>
      <c r="AM1253" s="205">
        <f ca="1">IF(B1253=B1254,OFFSET(卡牌辅助配置表!$AE$1,MATCH(AB1253,卡牌辅助配置表!AB:AB,0),0),0)</f>
        <v>5850</v>
      </c>
      <c r="AN1253" s="153">
        <f ca="1" t="shared" si="213"/>
        <v>2016014</v>
      </c>
      <c r="AP1253" s="153" t="str">
        <f ca="1">IF(AC1253=0,0,IF(AC1253=12,0,OFFSET(effect!$N$1,MATCH(K1253,effect!M:M,0)-1,0)))</f>
        <v>kpsx_pt</v>
      </c>
    </row>
    <row r="1254" spans="1:42">
      <c r="A1254" s="153">
        <f ca="1" t="shared" si="209"/>
        <v>2016014</v>
      </c>
      <c r="B1254" s="91" t="s">
        <v>514</v>
      </c>
      <c r="C1254" s="186">
        <v>2</v>
      </c>
      <c r="D1254" s="186">
        <v>1</v>
      </c>
      <c r="E1254" s="165" t="s">
        <v>1058</v>
      </c>
      <c r="F1254" s="179" t="s">
        <v>1063</v>
      </c>
      <c r="G1254" s="186">
        <f ca="1">OFFSET(卡牌辅助配置表!$C$1,MATCH(AC1254,卡牌辅助配置表!A:A,0)-1,0)</f>
        <v>3</v>
      </c>
      <c r="H1254" s="186" t="e">
        <f ca="1">OFFSET(skill!$Q$1,MATCH(B1254,skill!B:B,0)-1,0)</f>
        <v>#VALUE!</v>
      </c>
      <c r="I1254" s="186"/>
      <c r="J1254" s="186">
        <f ca="1">OFFSET(card_type!$F$1,MATCH(Q1254,card_type!A:A,0)-1,0)</f>
        <v>3</v>
      </c>
      <c r="K1254" s="243">
        <f ca="1">OFFSET(card_type!$G$1,MATCH(Q1254,card_type!A:A,0)-1,0)</f>
        <v>2</v>
      </c>
      <c r="L1254" s="157">
        <v>2</v>
      </c>
      <c r="M1254" s="157">
        <v>2</v>
      </c>
      <c r="N1254" s="153">
        <f t="shared" si="206"/>
        <v>14</v>
      </c>
      <c r="O1254" s="157"/>
      <c r="P1254" s="157"/>
      <c r="Q1254" s="153">
        <f ca="1">OFFSET(card_type!$A$1,MATCH(card!B1254,card_type!B:B,0)-1,0)</f>
        <v>2016</v>
      </c>
      <c r="R1254" s="153">
        <v>1</v>
      </c>
      <c r="S1254" s="157">
        <f ca="1">ROUND(IF(R1254=0,0,IF(R1254=1,X1254*$S$1,IF(R1254=2,X1254*$S$1*buff的资质计算!$E$2,IF(R1254=3,X1254*$S$1*buff的资质计算!$E$3,0)))),0)*0</f>
        <v>0</v>
      </c>
      <c r="T1254" s="153">
        <v>5</v>
      </c>
      <c r="U1254" s="153">
        <f ca="1" t="shared" si="210"/>
        <v>32</v>
      </c>
      <c r="V1254" s="153">
        <f ca="1">ROUND((OFFSET(卡牌辅助配置表!$O$1,MATCH(U1254,卡牌辅助配置表!M:M,0)-1,0)+(N1254-1)*OFFSET(卡牌辅助配置表!$P$1,MATCH(U1254,卡牌辅助配置表!M:M,0)-1,0))*M1254,2)</f>
        <v>75.08</v>
      </c>
      <c r="W1254" s="157">
        <f ca="1">ROUND(IF(R1254=0,0,IF(R1254=1,X1254*$W$1,IF(R1254=2,X1254*$W$1*buff的资质计算!$E$2,IF(R1254=3,X1254*$W$1*buff的资质计算!$E$3,0)))),2)</f>
        <v>14.25</v>
      </c>
      <c r="X1254" s="157">
        <f ca="1" t="shared" si="204"/>
        <v>47.5</v>
      </c>
      <c r="Y1254" s="157" t="e">
        <f ca="1" t="shared" si="214"/>
        <v>#VALUE!</v>
      </c>
      <c r="Z1254" s="304" t="e">
        <f ca="1" t="shared" si="205"/>
        <v>#VALUE!</v>
      </c>
      <c r="AA1254" s="304">
        <f ca="1">OFFSET(卡牌辅助配置表!$AD$1,MATCH(AB1254,卡牌辅助配置表!AB:AB,0)-1,0)</f>
        <v>3186</v>
      </c>
      <c r="AB1254" s="304">
        <f ca="1" t="shared" si="211"/>
        <v>3214</v>
      </c>
      <c r="AC1254" s="153">
        <v>3</v>
      </c>
      <c r="AE1254" s="153">
        <v>2</v>
      </c>
      <c r="AF1254" s="153" t="str">
        <f ca="1" t="shared" si="215"/>
        <v>20160011|</v>
      </c>
      <c r="AJ1254" s="205" t="str">
        <f ca="1" t="shared" si="212"/>
        <v>400023|6450|;</v>
      </c>
      <c r="AK1254" s="205">
        <f ca="1">OFFSET([1]item_type!$A$1,MATCH(Q1254,[1]item_type!$G:$G,0)-1,0)</f>
        <v>302016</v>
      </c>
      <c r="AL1254" s="205"/>
      <c r="AM1254" s="205">
        <f ca="1">IF(B1254=B1255,OFFSET(卡牌辅助配置表!$AE$1,MATCH(AB1254,卡牌辅助配置表!AB:AB,0),0),0)</f>
        <v>6450</v>
      </c>
      <c r="AN1254" s="153">
        <f ca="1" t="shared" si="213"/>
        <v>2016015</v>
      </c>
      <c r="AP1254" s="153" t="str">
        <f ca="1">IF(AC1254=0,0,IF(AC1254=12,0,OFFSET(effect!$N$1,MATCH(K1254,effect!M:M,0)-1,0)))</f>
        <v>kpsx_pt</v>
      </c>
    </row>
    <row r="1255" spans="1:42">
      <c r="A1255" s="153">
        <f ca="1" t="shared" si="209"/>
        <v>2016015</v>
      </c>
      <c r="B1255" s="91" t="s">
        <v>514</v>
      </c>
      <c r="C1255" s="186">
        <v>2</v>
      </c>
      <c r="D1255" s="186">
        <v>1</v>
      </c>
      <c r="E1255" s="165" t="s">
        <v>1058</v>
      </c>
      <c r="F1255" s="179" t="s">
        <v>1063</v>
      </c>
      <c r="G1255" s="186">
        <f ca="1">OFFSET(卡牌辅助配置表!$C$1,MATCH(AC1255,卡牌辅助配置表!A:A,0)-1,0)</f>
        <v>3</v>
      </c>
      <c r="H1255" s="186" t="e">
        <f ca="1">OFFSET(skill!$Q$1,MATCH(B1255,skill!B:B,0)-1,0)</f>
        <v>#VALUE!</v>
      </c>
      <c r="I1255" s="186"/>
      <c r="J1255" s="186">
        <f ca="1">OFFSET(card_type!$F$1,MATCH(Q1255,card_type!A:A,0)-1,0)</f>
        <v>3</v>
      </c>
      <c r="K1255" s="243">
        <f ca="1">OFFSET(card_type!$G$1,MATCH(Q1255,card_type!A:A,0)-1,0)</f>
        <v>2</v>
      </c>
      <c r="L1255" s="157">
        <v>2</v>
      </c>
      <c r="M1255" s="157">
        <v>2</v>
      </c>
      <c r="N1255" s="153">
        <f t="shared" si="206"/>
        <v>15</v>
      </c>
      <c r="O1255" s="157"/>
      <c r="P1255" s="157"/>
      <c r="Q1255" s="153">
        <f ca="1">OFFSET(card_type!$A$1,MATCH(card!B1255,card_type!B:B,0)-1,0)</f>
        <v>2016</v>
      </c>
      <c r="R1255" s="153">
        <v>1</v>
      </c>
      <c r="S1255" s="157">
        <f ca="1">ROUND(IF(R1255=0,0,IF(R1255=1,X1255*$S$1,IF(R1255=2,X1255*$S$1*buff的资质计算!$E$2,IF(R1255=3,X1255*$S$1*buff的资质计算!$E$3,0)))),0)*0</f>
        <v>0</v>
      </c>
      <c r="T1255" s="153">
        <v>5</v>
      </c>
      <c r="U1255" s="153">
        <f ca="1" t="shared" si="210"/>
        <v>32</v>
      </c>
      <c r="V1255" s="153">
        <f ca="1">ROUND((OFFSET(卡牌辅助配置表!$O$1,MATCH(U1255,卡牌辅助配置表!M:M,0)-1,0)+(N1255-1)*OFFSET(卡牌辅助配置表!$P$1,MATCH(U1255,卡牌辅助配置表!M:M,0)-1,0))*M1255,2)</f>
        <v>78.64</v>
      </c>
      <c r="W1255" s="157">
        <f ca="1">ROUND(IF(R1255=0,0,IF(R1255=1,X1255*$W$1,IF(R1255=2,X1255*$W$1*buff的资质计算!$E$2,IF(R1255=3,X1255*$W$1*buff的资质计算!$E$3,0)))),2)</f>
        <v>14.4</v>
      </c>
      <c r="X1255" s="157">
        <f ca="1" t="shared" si="204"/>
        <v>48</v>
      </c>
      <c r="Y1255" s="157" t="e">
        <f ca="1" t="shared" si="214"/>
        <v>#VALUE!</v>
      </c>
      <c r="Z1255" s="304" t="e">
        <f ca="1" t="shared" si="205"/>
        <v>#VALUE!</v>
      </c>
      <c r="AA1255" s="304">
        <f ca="1">OFFSET(卡牌辅助配置表!$AD$1,MATCH(AB1255,卡牌辅助配置表!AB:AB,0)-1,0)</f>
        <v>3485</v>
      </c>
      <c r="AB1255" s="304">
        <f ca="1" t="shared" si="211"/>
        <v>3215</v>
      </c>
      <c r="AC1255" s="153">
        <v>3</v>
      </c>
      <c r="AE1255" s="153">
        <v>2</v>
      </c>
      <c r="AF1255" s="153" t="str">
        <f ca="1" t="shared" si="215"/>
        <v>20160011|</v>
      </c>
      <c r="AJ1255" s="205" t="str">
        <f ca="1" t="shared" si="212"/>
        <v>400023|7050|;</v>
      </c>
      <c r="AK1255" s="205">
        <f ca="1">OFFSET([1]item_type!$A$1,MATCH(Q1255,[1]item_type!$G:$G,0)-1,0)</f>
        <v>302016</v>
      </c>
      <c r="AL1255" s="205"/>
      <c r="AM1255" s="205">
        <f ca="1">IF(B1255=B1256,OFFSET(卡牌辅助配置表!$AE$1,MATCH(AB1255,卡牌辅助配置表!AB:AB,0),0),0)</f>
        <v>7050</v>
      </c>
      <c r="AN1255" s="153">
        <f ca="1" t="shared" si="213"/>
        <v>2016016</v>
      </c>
      <c r="AP1255" s="153" t="str">
        <f ca="1">IF(AC1255=0,0,IF(AC1255=12,0,OFFSET(effect!$N$1,MATCH(K1255,effect!M:M,0)-1,0)))</f>
        <v>kpsx_pt</v>
      </c>
    </row>
    <row r="1256" spans="1:42">
      <c r="A1256" s="153">
        <f ca="1" t="shared" si="209"/>
        <v>2016016</v>
      </c>
      <c r="B1256" s="91" t="s">
        <v>514</v>
      </c>
      <c r="C1256" s="186">
        <v>2</v>
      </c>
      <c r="D1256" s="186">
        <v>1</v>
      </c>
      <c r="E1256" s="165" t="s">
        <v>1058</v>
      </c>
      <c r="F1256" s="179" t="s">
        <v>1063</v>
      </c>
      <c r="G1256" s="186">
        <f ca="1">OFFSET(卡牌辅助配置表!$C$1,MATCH(AC1256,卡牌辅助配置表!A:A,0)-1,0)</f>
        <v>3</v>
      </c>
      <c r="H1256" s="186" t="e">
        <f ca="1">OFFSET(skill!$Q$1,MATCH(B1256,skill!B:B,0)-1,0)</f>
        <v>#VALUE!</v>
      </c>
      <c r="I1256" s="186"/>
      <c r="J1256" s="186">
        <f ca="1">OFFSET(card_type!$F$1,MATCH(Q1256,card_type!A:A,0)-1,0)</f>
        <v>3</v>
      </c>
      <c r="K1256" s="243">
        <f ca="1">OFFSET(card_type!$G$1,MATCH(Q1256,card_type!A:A,0)-1,0)</f>
        <v>2</v>
      </c>
      <c r="L1256" s="157">
        <v>2</v>
      </c>
      <c r="M1256" s="157">
        <v>2</v>
      </c>
      <c r="N1256" s="153">
        <f t="shared" si="206"/>
        <v>16</v>
      </c>
      <c r="O1256" s="157"/>
      <c r="P1256" s="157"/>
      <c r="Q1256" s="153">
        <f ca="1">OFFSET(card_type!$A$1,MATCH(card!B1256,card_type!B:B,0)-1,0)</f>
        <v>2016</v>
      </c>
      <c r="R1256" s="153">
        <v>1</v>
      </c>
      <c r="S1256" s="157">
        <f ca="1">ROUND(IF(R1256=0,0,IF(R1256=1,X1256*$S$1,IF(R1256=2,X1256*$S$1*buff的资质计算!$E$2,IF(R1256=3,X1256*$S$1*buff的资质计算!$E$3,0)))),0)*0</f>
        <v>0</v>
      </c>
      <c r="T1256" s="153">
        <v>5</v>
      </c>
      <c r="U1256" s="153">
        <f ca="1" t="shared" si="210"/>
        <v>32</v>
      </c>
      <c r="V1256" s="153">
        <f ca="1">ROUND((OFFSET(卡牌辅助配置表!$O$1,MATCH(U1256,卡牌辅助配置表!M:M,0)-1,0)+(N1256-1)*OFFSET(卡牌辅助配置表!$P$1,MATCH(U1256,卡牌辅助配置表!M:M,0)-1,0))*M1256,2)</f>
        <v>82.21</v>
      </c>
      <c r="W1256" s="157">
        <f ca="1">ROUND(IF(R1256=0,0,IF(R1256=1,X1256*$W$1,IF(R1256=2,X1256*$W$1*buff的资质计算!$E$2,IF(R1256=3,X1256*$W$1*buff的资质计算!$E$3,0)))),2)</f>
        <v>14.55</v>
      </c>
      <c r="X1256" s="157">
        <f ca="1" t="shared" si="204"/>
        <v>48.5</v>
      </c>
      <c r="Y1256" s="157" t="e">
        <f ca="1" t="shared" si="214"/>
        <v>#VALUE!</v>
      </c>
      <c r="Z1256" s="304" t="e">
        <f ca="1" t="shared" si="205"/>
        <v>#VALUE!</v>
      </c>
      <c r="AA1256" s="304">
        <f ca="1">OFFSET(卡牌辅助配置表!$AD$1,MATCH(AB1256,卡牌辅助配置表!AB:AB,0)-1,0)</f>
        <v>3784</v>
      </c>
      <c r="AB1256" s="304">
        <f ca="1" t="shared" si="211"/>
        <v>3216</v>
      </c>
      <c r="AC1256" s="153">
        <v>3</v>
      </c>
      <c r="AE1256" s="153">
        <v>2</v>
      </c>
      <c r="AF1256" s="153" t="str">
        <f ca="1" t="shared" si="215"/>
        <v>20160011|</v>
      </c>
      <c r="AJ1256" s="205" t="str">
        <f ca="1" t="shared" si="212"/>
        <v>400023|7650|;</v>
      </c>
      <c r="AK1256" s="205">
        <f ca="1">OFFSET([1]item_type!$A$1,MATCH(Q1256,[1]item_type!$G:$G,0)-1,0)</f>
        <v>302016</v>
      </c>
      <c r="AL1256" s="205"/>
      <c r="AM1256" s="205">
        <f ca="1">IF(B1256=B1257,OFFSET(卡牌辅助配置表!$AE$1,MATCH(AB1256,卡牌辅助配置表!AB:AB,0),0),0)</f>
        <v>7650</v>
      </c>
      <c r="AN1256" s="153">
        <f ca="1" t="shared" si="213"/>
        <v>2016017</v>
      </c>
      <c r="AP1256" s="153" t="str">
        <f ca="1">IF(AC1256=0,0,IF(AC1256=12,0,OFFSET(effect!$N$1,MATCH(K1256,effect!M:M,0)-1,0)))</f>
        <v>kpsx_pt</v>
      </c>
    </row>
    <row r="1257" spans="1:42">
      <c r="A1257" s="153">
        <f ca="1" t="shared" si="209"/>
        <v>2016017</v>
      </c>
      <c r="B1257" s="91" t="s">
        <v>514</v>
      </c>
      <c r="C1257" s="186">
        <v>2</v>
      </c>
      <c r="D1257" s="186">
        <v>1</v>
      </c>
      <c r="E1257" s="165" t="s">
        <v>1058</v>
      </c>
      <c r="F1257" s="179" t="s">
        <v>1063</v>
      </c>
      <c r="G1257" s="186">
        <f ca="1">OFFSET(卡牌辅助配置表!$C$1,MATCH(AC1257,卡牌辅助配置表!A:A,0)-1,0)</f>
        <v>3</v>
      </c>
      <c r="H1257" s="186" t="e">
        <f ca="1">OFFSET(skill!$Q$1,MATCH(B1257,skill!B:B,0)-1,0)</f>
        <v>#VALUE!</v>
      </c>
      <c r="I1257" s="186"/>
      <c r="J1257" s="186">
        <f ca="1">OFFSET(card_type!$F$1,MATCH(Q1257,card_type!A:A,0)-1,0)</f>
        <v>3</v>
      </c>
      <c r="K1257" s="243">
        <f ca="1">OFFSET(card_type!$G$1,MATCH(Q1257,card_type!A:A,0)-1,0)</f>
        <v>2</v>
      </c>
      <c r="L1257" s="157">
        <v>2</v>
      </c>
      <c r="M1257" s="157">
        <v>2</v>
      </c>
      <c r="N1257" s="153">
        <f t="shared" si="206"/>
        <v>17</v>
      </c>
      <c r="O1257" s="157"/>
      <c r="P1257" s="157"/>
      <c r="Q1257" s="153">
        <f ca="1">OFFSET(card_type!$A$1,MATCH(card!B1257,card_type!B:B,0)-1,0)</f>
        <v>2016</v>
      </c>
      <c r="R1257" s="153">
        <v>1</v>
      </c>
      <c r="S1257" s="157">
        <f ca="1">ROUND(IF(R1257=0,0,IF(R1257=1,X1257*$S$1,IF(R1257=2,X1257*$S$1*buff的资质计算!$E$2,IF(R1257=3,X1257*$S$1*buff的资质计算!$E$3,0)))),0)*0</f>
        <v>0</v>
      </c>
      <c r="T1257" s="153">
        <v>5</v>
      </c>
      <c r="U1257" s="153">
        <f ca="1" t="shared" si="210"/>
        <v>32</v>
      </c>
      <c r="V1257" s="153">
        <f ca="1">ROUND((OFFSET(卡牌辅助配置表!$O$1,MATCH(U1257,卡牌辅助配置表!M:M,0)-1,0)+(N1257-1)*OFFSET(卡牌辅助配置表!$P$1,MATCH(U1257,卡牌辅助配置表!M:M,0)-1,0))*M1257,2)</f>
        <v>85.78</v>
      </c>
      <c r="W1257" s="157">
        <f ca="1">ROUND(IF(R1257=0,0,IF(R1257=1,X1257*$W$1,IF(R1257=2,X1257*$W$1*buff的资质计算!$E$2,IF(R1257=3,X1257*$W$1*buff的资质计算!$E$3,0)))),2)</f>
        <v>14.7</v>
      </c>
      <c r="X1257" s="157">
        <f ca="1" t="shared" si="204"/>
        <v>49</v>
      </c>
      <c r="Y1257" s="157" t="e">
        <f ca="1" t="shared" si="214"/>
        <v>#VALUE!</v>
      </c>
      <c r="Z1257" s="304" t="e">
        <f ca="1" t="shared" si="205"/>
        <v>#VALUE!</v>
      </c>
      <c r="AA1257" s="304">
        <f ca="1">OFFSET(卡牌辅助配置表!$AD$1,MATCH(AB1257,卡牌辅助配置表!AB:AB,0)-1,0)</f>
        <v>4083</v>
      </c>
      <c r="AB1257" s="304">
        <f ca="1" t="shared" si="211"/>
        <v>3217</v>
      </c>
      <c r="AC1257" s="153">
        <v>3</v>
      </c>
      <c r="AE1257" s="153">
        <v>2</v>
      </c>
      <c r="AF1257" s="153" t="str">
        <f ca="1" t="shared" si="215"/>
        <v>20160011|</v>
      </c>
      <c r="AJ1257" s="205" t="str">
        <f ca="1" t="shared" si="212"/>
        <v>400023|8250|;</v>
      </c>
      <c r="AK1257" s="205">
        <f ca="1">OFFSET([1]item_type!$A$1,MATCH(Q1257,[1]item_type!$G:$G,0)-1,0)</f>
        <v>302016</v>
      </c>
      <c r="AL1257" s="205"/>
      <c r="AM1257" s="205">
        <f ca="1">IF(B1257=B1258,OFFSET(卡牌辅助配置表!$AE$1,MATCH(AB1257,卡牌辅助配置表!AB:AB,0),0),0)</f>
        <v>8250</v>
      </c>
      <c r="AN1257" s="153">
        <f ca="1" t="shared" si="213"/>
        <v>2016018</v>
      </c>
      <c r="AP1257" s="153" t="str">
        <f ca="1">IF(AC1257=0,0,IF(AC1257=12,0,OFFSET(effect!$N$1,MATCH(K1257,effect!M:M,0)-1,0)))</f>
        <v>kpsx_pt</v>
      </c>
    </row>
    <row r="1258" spans="1:42">
      <c r="A1258" s="153">
        <f ca="1" t="shared" si="209"/>
        <v>2016018</v>
      </c>
      <c r="B1258" s="91" t="s">
        <v>514</v>
      </c>
      <c r="C1258" s="186">
        <v>2</v>
      </c>
      <c r="D1258" s="186">
        <v>1</v>
      </c>
      <c r="E1258" s="165" t="s">
        <v>1058</v>
      </c>
      <c r="F1258" s="179" t="s">
        <v>1063</v>
      </c>
      <c r="G1258" s="186">
        <f ca="1">OFFSET(卡牌辅助配置表!$C$1,MATCH(AC1258,卡牌辅助配置表!A:A,0)-1,0)</f>
        <v>3</v>
      </c>
      <c r="H1258" s="186" t="e">
        <f ca="1">OFFSET(skill!$Q$1,MATCH(B1258,skill!B:B,0)-1,0)</f>
        <v>#VALUE!</v>
      </c>
      <c r="I1258" s="186"/>
      <c r="J1258" s="186">
        <f ca="1">OFFSET(card_type!$F$1,MATCH(Q1258,card_type!A:A,0)-1,0)</f>
        <v>3</v>
      </c>
      <c r="K1258" s="243">
        <f ca="1">OFFSET(card_type!$G$1,MATCH(Q1258,card_type!A:A,0)-1,0)</f>
        <v>2</v>
      </c>
      <c r="L1258" s="157">
        <v>2</v>
      </c>
      <c r="M1258" s="157">
        <v>2</v>
      </c>
      <c r="N1258" s="153">
        <f t="shared" si="206"/>
        <v>18</v>
      </c>
      <c r="O1258" s="157"/>
      <c r="P1258" s="157"/>
      <c r="Q1258" s="153">
        <f ca="1">OFFSET(card_type!$A$1,MATCH(card!B1258,card_type!B:B,0)-1,0)</f>
        <v>2016</v>
      </c>
      <c r="R1258" s="153">
        <v>1</v>
      </c>
      <c r="S1258" s="157">
        <f ca="1">ROUND(IF(R1258=0,0,IF(R1258=1,X1258*$S$1,IF(R1258=2,X1258*$S$1*buff的资质计算!$E$2,IF(R1258=3,X1258*$S$1*buff的资质计算!$E$3,0)))),0)*0</f>
        <v>0</v>
      </c>
      <c r="T1258" s="153">
        <v>5</v>
      </c>
      <c r="U1258" s="153">
        <f ca="1" t="shared" si="210"/>
        <v>32</v>
      </c>
      <c r="V1258" s="153">
        <f ca="1">ROUND((OFFSET(卡牌辅助配置表!$O$1,MATCH(U1258,卡牌辅助配置表!M:M,0)-1,0)+(N1258-1)*OFFSET(卡牌辅助配置表!$P$1,MATCH(U1258,卡牌辅助配置表!M:M,0)-1,0))*M1258,2)</f>
        <v>89.34</v>
      </c>
      <c r="W1258" s="157">
        <f ca="1">ROUND(IF(R1258=0,0,IF(R1258=1,X1258*$W$1,IF(R1258=2,X1258*$W$1*buff的资质计算!$E$2,IF(R1258=3,X1258*$W$1*buff的资质计算!$E$3,0)))),2)</f>
        <v>14.85</v>
      </c>
      <c r="X1258" s="157">
        <f ca="1" t="shared" si="204"/>
        <v>49.5</v>
      </c>
      <c r="Y1258" s="157" t="e">
        <f ca="1" t="shared" si="214"/>
        <v>#VALUE!</v>
      </c>
      <c r="Z1258" s="304" t="e">
        <f ca="1" t="shared" si="205"/>
        <v>#VALUE!</v>
      </c>
      <c r="AA1258" s="304">
        <f ca="1">OFFSET(卡牌辅助配置表!$AD$1,MATCH(AB1258,卡牌辅助配置表!AB:AB,0)-1,0)</f>
        <v>4382</v>
      </c>
      <c r="AB1258" s="304">
        <f ca="1" t="shared" si="211"/>
        <v>3218</v>
      </c>
      <c r="AC1258" s="153">
        <v>3</v>
      </c>
      <c r="AE1258" s="153">
        <v>2</v>
      </c>
      <c r="AF1258" s="153" t="str">
        <f ca="1" t="shared" si="215"/>
        <v>20160011|</v>
      </c>
      <c r="AJ1258" s="205" t="str">
        <f ca="1" t="shared" si="212"/>
        <v>400023|8850|;</v>
      </c>
      <c r="AK1258" s="205">
        <f ca="1">OFFSET([1]item_type!$A$1,MATCH(Q1258,[1]item_type!$G:$G,0)-1,0)</f>
        <v>302016</v>
      </c>
      <c r="AL1258" s="205"/>
      <c r="AM1258" s="205">
        <f ca="1">IF(B1258=B1259,OFFSET(卡牌辅助配置表!$AE$1,MATCH(AB1258,卡牌辅助配置表!AB:AB,0),0),0)</f>
        <v>8850</v>
      </c>
      <c r="AN1258" s="153">
        <f ca="1" t="shared" si="213"/>
        <v>2016019</v>
      </c>
      <c r="AP1258" s="153" t="str">
        <f ca="1">IF(AC1258=0,0,IF(AC1258=12,0,OFFSET(effect!$N$1,MATCH(K1258,effect!M:M,0)-1,0)))</f>
        <v>kpsx_pt</v>
      </c>
    </row>
    <row r="1259" spans="1:42">
      <c r="A1259" s="153">
        <f ca="1" t="shared" si="209"/>
        <v>2016019</v>
      </c>
      <c r="B1259" s="91" t="s">
        <v>514</v>
      </c>
      <c r="C1259" s="186">
        <v>2</v>
      </c>
      <c r="D1259" s="186">
        <v>1</v>
      </c>
      <c r="E1259" s="165" t="s">
        <v>1058</v>
      </c>
      <c r="F1259" s="179" t="s">
        <v>1063</v>
      </c>
      <c r="G1259" s="186">
        <f ca="1">OFFSET(卡牌辅助配置表!$C$1,MATCH(AC1259,卡牌辅助配置表!A:A,0)-1,0)</f>
        <v>3</v>
      </c>
      <c r="H1259" s="186" t="e">
        <f ca="1">OFFSET(skill!$Q$1,MATCH(B1259,skill!B:B,0)-1,0)</f>
        <v>#VALUE!</v>
      </c>
      <c r="I1259" s="186"/>
      <c r="J1259" s="186">
        <f ca="1">OFFSET(card_type!$F$1,MATCH(Q1259,card_type!A:A,0)-1,0)</f>
        <v>3</v>
      </c>
      <c r="K1259" s="243">
        <f ca="1">OFFSET(card_type!$G$1,MATCH(Q1259,card_type!A:A,0)-1,0)</f>
        <v>2</v>
      </c>
      <c r="L1259" s="157">
        <v>2</v>
      </c>
      <c r="M1259" s="157">
        <v>2</v>
      </c>
      <c r="N1259" s="153">
        <f t="shared" si="206"/>
        <v>19</v>
      </c>
      <c r="O1259" s="157"/>
      <c r="P1259" s="157"/>
      <c r="Q1259" s="153">
        <f ca="1">OFFSET(card_type!$A$1,MATCH(card!B1259,card_type!B:B,0)-1,0)</f>
        <v>2016</v>
      </c>
      <c r="R1259" s="153">
        <v>1</v>
      </c>
      <c r="S1259" s="157">
        <f ca="1">ROUND(IF(R1259=0,0,IF(R1259=1,X1259*$S$1,IF(R1259=2,X1259*$S$1*buff的资质计算!$E$2,IF(R1259=3,X1259*$S$1*buff的资质计算!$E$3,0)))),0)*0</f>
        <v>0</v>
      </c>
      <c r="T1259" s="153">
        <v>5</v>
      </c>
      <c r="U1259" s="153">
        <f ca="1" t="shared" si="210"/>
        <v>32</v>
      </c>
      <c r="V1259" s="153">
        <f ca="1">ROUND((OFFSET(卡牌辅助配置表!$O$1,MATCH(U1259,卡牌辅助配置表!M:M,0)-1,0)+(N1259-1)*OFFSET(卡牌辅助配置表!$P$1,MATCH(U1259,卡牌辅助配置表!M:M,0)-1,0))*M1259,2)</f>
        <v>92.91</v>
      </c>
      <c r="W1259" s="157">
        <f ca="1">ROUND(IF(R1259=0,0,IF(R1259=1,X1259*$W$1,IF(R1259=2,X1259*$W$1*buff的资质计算!$E$2,IF(R1259=3,X1259*$W$1*buff的资质计算!$E$3,0)))),2)</f>
        <v>15</v>
      </c>
      <c r="X1259" s="157">
        <f ca="1" t="shared" si="204"/>
        <v>50</v>
      </c>
      <c r="Y1259" s="157" t="e">
        <f ca="1" t="shared" si="214"/>
        <v>#VALUE!</v>
      </c>
      <c r="Z1259" s="304" t="e">
        <f ca="1" t="shared" si="205"/>
        <v>#VALUE!</v>
      </c>
      <c r="AA1259" s="304">
        <f ca="1">OFFSET(卡牌辅助配置表!$AD$1,MATCH(AB1259,卡牌辅助配置表!AB:AB,0)-1,0)</f>
        <v>4681</v>
      </c>
      <c r="AB1259" s="304">
        <f ca="1" t="shared" si="211"/>
        <v>3219</v>
      </c>
      <c r="AC1259" s="153">
        <v>3</v>
      </c>
      <c r="AE1259" s="153">
        <v>2</v>
      </c>
      <c r="AF1259" s="153" t="str">
        <f ca="1" t="shared" si="215"/>
        <v>20160011|</v>
      </c>
      <c r="AJ1259" s="205" t="str">
        <f ca="1" t="shared" si="212"/>
        <v>302016|20|;400023|9450|;</v>
      </c>
      <c r="AK1259" s="205">
        <f ca="1">OFFSET([1]item_type!$A$1,MATCH(Q1259,[1]item_type!$G:$G,0)-1,0)</f>
        <v>302016</v>
      </c>
      <c r="AL1259" s="205">
        <v>20</v>
      </c>
      <c r="AM1259" s="205">
        <f ca="1">IF(B1259=B1260,OFFSET(卡牌辅助配置表!$AE$1,MATCH(AB1259,卡牌辅助配置表!AB:AB,0),0),0)</f>
        <v>9450</v>
      </c>
      <c r="AN1259" s="153">
        <f ca="1" t="shared" si="213"/>
        <v>2016020</v>
      </c>
      <c r="AP1259" s="153" t="str">
        <f ca="1">IF(AC1259=0,0,IF(AC1259=12,0,OFFSET(effect!$N$1,MATCH(K1259,effect!M:M,0)-1,0)))</f>
        <v>kpsx_pt</v>
      </c>
    </row>
    <row r="1260" spans="1:42">
      <c r="A1260" s="153">
        <f ca="1" t="shared" si="209"/>
        <v>2016020</v>
      </c>
      <c r="B1260" s="91" t="s">
        <v>514</v>
      </c>
      <c r="C1260" s="186">
        <v>2</v>
      </c>
      <c r="D1260" s="186">
        <v>1</v>
      </c>
      <c r="E1260" s="165" t="s">
        <v>1058</v>
      </c>
      <c r="F1260" s="179" t="s">
        <v>1063</v>
      </c>
      <c r="G1260" s="186">
        <f ca="1">OFFSET(卡牌辅助配置表!$C$1,MATCH(AC1260,卡牌辅助配置表!A:A,0)-1,0)</f>
        <v>3</v>
      </c>
      <c r="H1260" s="186" t="e">
        <f ca="1">OFFSET(skill!$Q$1,MATCH(B1260,skill!B:B,0)-1,0)</f>
        <v>#VALUE!</v>
      </c>
      <c r="I1260" s="186"/>
      <c r="J1260" s="186">
        <f ca="1">OFFSET(card_type!$F$1,MATCH(Q1260,card_type!A:A,0)-1,0)</f>
        <v>3</v>
      </c>
      <c r="K1260" s="243">
        <f ca="1">OFFSET(card_type!$G$1,MATCH(Q1260,card_type!A:A,0)-1,0)</f>
        <v>2</v>
      </c>
      <c r="L1260" s="157">
        <v>2</v>
      </c>
      <c r="M1260" s="157">
        <v>2</v>
      </c>
      <c r="N1260" s="153">
        <f t="shared" si="206"/>
        <v>20</v>
      </c>
      <c r="O1260" s="157"/>
      <c r="P1260" s="157"/>
      <c r="Q1260" s="153">
        <f ca="1">OFFSET(card_type!$A$1,MATCH(card!B1260,card_type!B:B,0)-1,0)</f>
        <v>2016</v>
      </c>
      <c r="R1260" s="153">
        <v>1</v>
      </c>
      <c r="S1260" s="157">
        <f ca="1">ROUND(IF(R1260=0,0,IF(R1260=1,X1260*$S$1,IF(R1260=2,X1260*$S$1*buff的资质计算!$E$2,IF(R1260=3,X1260*$S$1*buff的资质计算!$E$3,0)))),0)*0</f>
        <v>0</v>
      </c>
      <c r="T1260" s="153">
        <v>5</v>
      </c>
      <c r="U1260" s="153">
        <f ca="1" t="shared" si="210"/>
        <v>32</v>
      </c>
      <c r="V1260" s="153">
        <f ca="1">ROUND((OFFSET(卡牌辅助配置表!$O$1,MATCH(U1260,卡牌辅助配置表!M:M,0)-1,0)+(N1260-1)*OFFSET(卡牌辅助配置表!$P$1,MATCH(U1260,卡牌辅助配置表!M:M,0)-1,0))*M1260,2)</f>
        <v>96.48</v>
      </c>
      <c r="W1260" s="157">
        <f ca="1">ROUND(IF(R1260=0,0,IF(R1260=1,X1260*$W$1,IF(R1260=2,X1260*$W$1*buff的资质计算!$E$2,IF(R1260=3,X1260*$W$1*buff的资质计算!$E$3,0)))),2)</f>
        <v>15.15</v>
      </c>
      <c r="X1260" s="157">
        <f ca="1" t="shared" si="204"/>
        <v>50.5</v>
      </c>
      <c r="Y1260" s="157" t="e">
        <f ca="1" t="shared" si="214"/>
        <v>#VALUE!</v>
      </c>
      <c r="Z1260" s="304" t="e">
        <f ca="1" t="shared" si="205"/>
        <v>#VALUE!</v>
      </c>
      <c r="AA1260" s="304">
        <f ca="1">OFFSET(卡牌辅助配置表!$AD$1,MATCH(AB1260,卡牌辅助配置表!AB:AB,0)-1,0)</f>
        <v>4980</v>
      </c>
      <c r="AB1260" s="304">
        <f ca="1" t="shared" si="211"/>
        <v>3220</v>
      </c>
      <c r="AC1260" s="153">
        <v>3</v>
      </c>
      <c r="AE1260" s="153">
        <v>2</v>
      </c>
      <c r="AF1260" s="153" t="str">
        <f ca="1" t="shared" si="215"/>
        <v>20160011|</v>
      </c>
      <c r="AJ1260" s="205" t="str">
        <f ca="1" t="shared" si="212"/>
        <v>400023|10650|;</v>
      </c>
      <c r="AK1260" s="205">
        <f ca="1">OFFSET([1]item_type!$A$1,MATCH(Q1260,[1]item_type!$G:$G,0)-1,0)</f>
        <v>302016</v>
      </c>
      <c r="AL1260" s="205"/>
      <c r="AM1260" s="205">
        <f ca="1">IF(B1260=B1261,OFFSET(卡牌辅助配置表!$AE$1,MATCH(AB1260,卡牌辅助配置表!AB:AB,0),0),0)</f>
        <v>10650</v>
      </c>
      <c r="AN1260" s="153">
        <f ca="1" t="shared" si="213"/>
        <v>2016021</v>
      </c>
      <c r="AP1260" s="153" t="str">
        <f ca="1">IF(AC1260=0,0,IF(AC1260=12,0,OFFSET(effect!$N$1,MATCH(K1260,effect!M:M,0)-1,0)))</f>
        <v>kpsx_pt</v>
      </c>
    </row>
    <row r="1261" spans="1:42">
      <c r="A1261" s="153">
        <f ca="1" t="shared" si="209"/>
        <v>2016021</v>
      </c>
      <c r="B1261" s="91" t="s">
        <v>514</v>
      </c>
      <c r="C1261" s="186">
        <v>2</v>
      </c>
      <c r="D1261" s="186">
        <v>1</v>
      </c>
      <c r="E1261" s="165" t="s">
        <v>1058</v>
      </c>
      <c r="F1261" s="179" t="s">
        <v>1063</v>
      </c>
      <c r="G1261" s="186">
        <f ca="1">OFFSET(卡牌辅助配置表!$C$1,MATCH(AC1261,卡牌辅助配置表!A:A,0)-1,0)</f>
        <v>3</v>
      </c>
      <c r="H1261" s="186" t="e">
        <f ca="1">OFFSET(skill!$Q$1,MATCH(B1261,skill!B:B,0)-1,0)</f>
        <v>#VALUE!</v>
      </c>
      <c r="I1261" s="186"/>
      <c r="J1261" s="186">
        <f ca="1">OFFSET(card_type!$F$1,MATCH(Q1261,card_type!A:A,0)-1,0)</f>
        <v>3</v>
      </c>
      <c r="K1261" s="243">
        <f ca="1">OFFSET(card_type!$G$1,MATCH(Q1261,card_type!A:A,0)-1,0)</f>
        <v>2</v>
      </c>
      <c r="L1261" s="157">
        <v>2</v>
      </c>
      <c r="M1261" s="157">
        <v>2</v>
      </c>
      <c r="N1261" s="153">
        <f t="shared" si="206"/>
        <v>21</v>
      </c>
      <c r="O1261" s="157"/>
      <c r="P1261" s="157"/>
      <c r="Q1261" s="153">
        <f ca="1">OFFSET(card_type!$A$1,MATCH(card!B1261,card_type!B:B,0)-1,0)</f>
        <v>2016</v>
      </c>
      <c r="R1261" s="153">
        <v>1</v>
      </c>
      <c r="S1261" s="157">
        <f ca="1">ROUND(IF(R1261=0,0,IF(R1261=1,X1261*$S$1,IF(R1261=2,X1261*$S$1*buff的资质计算!$E$2,IF(R1261=3,X1261*$S$1*buff的资质计算!$E$3,0)))),0)*0</f>
        <v>0</v>
      </c>
      <c r="T1261" s="153">
        <v>5</v>
      </c>
      <c r="U1261" s="153">
        <f ca="1" t="shared" si="210"/>
        <v>32</v>
      </c>
      <c r="V1261" s="153">
        <f ca="1">ROUND((OFFSET(卡牌辅助配置表!$O$1,MATCH(U1261,卡牌辅助配置表!M:M,0)-1,0)+(N1261-1)*OFFSET(卡牌辅助配置表!$P$1,MATCH(U1261,卡牌辅助配置表!M:M,0)-1,0))*M1261,2)</f>
        <v>100.04</v>
      </c>
      <c r="W1261" s="157">
        <f ca="1">ROUND(IF(R1261=0,0,IF(R1261=1,X1261*$W$1,IF(R1261=2,X1261*$W$1*buff的资质计算!$E$2,IF(R1261=3,X1261*$W$1*buff的资质计算!$E$3,0)))),2)</f>
        <v>15.3</v>
      </c>
      <c r="X1261" s="157">
        <f ca="1" t="shared" si="204"/>
        <v>51</v>
      </c>
      <c r="Y1261" s="157" t="e">
        <f ca="1" t="shared" si="214"/>
        <v>#VALUE!</v>
      </c>
      <c r="Z1261" s="304" t="e">
        <f ca="1" t="shared" si="205"/>
        <v>#VALUE!</v>
      </c>
      <c r="AA1261" s="304">
        <f ca="1">OFFSET(卡牌辅助配置表!$AD$1,MATCH(AB1261,卡牌辅助配置表!AB:AB,0)-1,0)</f>
        <v>5378</v>
      </c>
      <c r="AB1261" s="304">
        <f ca="1" t="shared" si="211"/>
        <v>3221</v>
      </c>
      <c r="AC1261" s="153">
        <v>3</v>
      </c>
      <c r="AE1261" s="153">
        <v>2</v>
      </c>
      <c r="AF1261" s="153" t="str">
        <f ca="1" t="shared" si="215"/>
        <v>20160011|</v>
      </c>
      <c r="AJ1261" s="205" t="str">
        <f ca="1" t="shared" si="212"/>
        <v>400023|11850|;</v>
      </c>
      <c r="AK1261" s="205">
        <f ca="1">OFFSET([1]item_type!$A$1,MATCH(Q1261,[1]item_type!$G:$G,0)-1,0)</f>
        <v>302016</v>
      </c>
      <c r="AL1261" s="205"/>
      <c r="AM1261" s="205">
        <f ca="1">IF(B1261=B1262,OFFSET(卡牌辅助配置表!$AE$1,MATCH(AB1261,卡牌辅助配置表!AB:AB,0),0),0)</f>
        <v>11850</v>
      </c>
      <c r="AN1261" s="153">
        <f ca="1" t="shared" si="213"/>
        <v>2016022</v>
      </c>
      <c r="AP1261" s="153" t="str">
        <f ca="1">IF(AC1261=0,0,IF(AC1261=12,0,OFFSET(effect!$N$1,MATCH(K1261,effect!M:M,0)-1,0)))</f>
        <v>kpsx_pt</v>
      </c>
    </row>
    <row r="1262" spans="1:42">
      <c r="A1262" s="153">
        <f ca="1" t="shared" si="209"/>
        <v>2016022</v>
      </c>
      <c r="B1262" s="91" t="s">
        <v>514</v>
      </c>
      <c r="C1262" s="186">
        <v>2</v>
      </c>
      <c r="D1262" s="186">
        <v>1</v>
      </c>
      <c r="E1262" s="165" t="s">
        <v>1058</v>
      </c>
      <c r="F1262" s="179" t="s">
        <v>1063</v>
      </c>
      <c r="G1262" s="186">
        <f ca="1">OFFSET(卡牌辅助配置表!$C$1,MATCH(AC1262,卡牌辅助配置表!A:A,0)-1,0)</f>
        <v>3</v>
      </c>
      <c r="H1262" s="186" t="e">
        <f ca="1">OFFSET(skill!$Q$1,MATCH(B1262,skill!B:B,0)-1,0)</f>
        <v>#VALUE!</v>
      </c>
      <c r="I1262" s="186"/>
      <c r="J1262" s="186">
        <f ca="1">OFFSET(card_type!$F$1,MATCH(Q1262,card_type!A:A,0)-1,0)</f>
        <v>3</v>
      </c>
      <c r="K1262" s="243">
        <f ca="1">OFFSET(card_type!$G$1,MATCH(Q1262,card_type!A:A,0)-1,0)</f>
        <v>2</v>
      </c>
      <c r="L1262" s="157">
        <v>2</v>
      </c>
      <c r="M1262" s="157">
        <v>2</v>
      </c>
      <c r="N1262" s="153">
        <f t="shared" si="206"/>
        <v>22</v>
      </c>
      <c r="O1262" s="157"/>
      <c r="P1262" s="157"/>
      <c r="Q1262" s="153">
        <f ca="1">OFFSET(card_type!$A$1,MATCH(card!B1262,card_type!B:B,0)-1,0)</f>
        <v>2016</v>
      </c>
      <c r="R1262" s="153">
        <v>1</v>
      </c>
      <c r="S1262" s="157">
        <f ca="1">ROUND(IF(R1262=0,0,IF(R1262=1,X1262*$S$1,IF(R1262=2,X1262*$S$1*buff的资质计算!$E$2,IF(R1262=3,X1262*$S$1*buff的资质计算!$E$3,0)))),0)*0</f>
        <v>0</v>
      </c>
      <c r="T1262" s="153">
        <v>5</v>
      </c>
      <c r="U1262" s="153">
        <f ca="1" t="shared" si="210"/>
        <v>32</v>
      </c>
      <c r="V1262" s="153">
        <f ca="1">ROUND((OFFSET(卡牌辅助配置表!$O$1,MATCH(U1262,卡牌辅助配置表!M:M,0)-1,0)+(N1262-1)*OFFSET(卡牌辅助配置表!$P$1,MATCH(U1262,卡牌辅助配置表!M:M,0)-1,0))*M1262,2)</f>
        <v>103.61</v>
      </c>
      <c r="W1262" s="157">
        <f ca="1">ROUND(IF(R1262=0,0,IF(R1262=1,X1262*$W$1,IF(R1262=2,X1262*$W$1*buff的资质计算!$E$2,IF(R1262=3,X1262*$W$1*buff的资质计算!$E$3,0)))),2)</f>
        <v>15.45</v>
      </c>
      <c r="X1262" s="157">
        <f ca="1" t="shared" si="204"/>
        <v>51.5</v>
      </c>
      <c r="Y1262" s="157" t="e">
        <f ca="1" t="shared" si="214"/>
        <v>#VALUE!</v>
      </c>
      <c r="Z1262" s="304" t="e">
        <f ca="1" t="shared" si="205"/>
        <v>#VALUE!</v>
      </c>
      <c r="AA1262" s="304">
        <f ca="1">OFFSET(卡牌辅助配置表!$AD$1,MATCH(AB1262,卡牌辅助配置表!AB:AB,0)-1,0)</f>
        <v>5776</v>
      </c>
      <c r="AB1262" s="304">
        <f ca="1" t="shared" si="211"/>
        <v>3222</v>
      </c>
      <c r="AC1262" s="153">
        <v>3</v>
      </c>
      <c r="AE1262" s="153">
        <v>2</v>
      </c>
      <c r="AF1262" s="153" t="str">
        <f ca="1" t="shared" si="215"/>
        <v>20160011|</v>
      </c>
      <c r="AJ1262" s="205" t="str">
        <f ca="1" t="shared" si="212"/>
        <v>400023|13050|;</v>
      </c>
      <c r="AK1262" s="205">
        <f ca="1">OFFSET([1]item_type!$A$1,MATCH(Q1262,[1]item_type!$G:$G,0)-1,0)</f>
        <v>302016</v>
      </c>
      <c r="AL1262" s="205"/>
      <c r="AM1262" s="205">
        <f ca="1">IF(B1262=B1263,OFFSET(卡牌辅助配置表!$AE$1,MATCH(AB1262,卡牌辅助配置表!AB:AB,0),0),0)</f>
        <v>13050</v>
      </c>
      <c r="AN1262" s="153">
        <f ca="1" t="shared" si="213"/>
        <v>2016023</v>
      </c>
      <c r="AP1262" s="153" t="str">
        <f ca="1">IF(AC1262=0,0,IF(AC1262=12,0,OFFSET(effect!$N$1,MATCH(K1262,effect!M:M,0)-1,0)))</f>
        <v>kpsx_pt</v>
      </c>
    </row>
    <row r="1263" spans="1:42">
      <c r="A1263" s="153">
        <f ca="1" t="shared" si="209"/>
        <v>2016023</v>
      </c>
      <c r="B1263" s="91" t="s">
        <v>514</v>
      </c>
      <c r="C1263" s="186">
        <v>2</v>
      </c>
      <c r="D1263" s="186">
        <v>1</v>
      </c>
      <c r="E1263" s="165" t="s">
        <v>1058</v>
      </c>
      <c r="F1263" s="179" t="s">
        <v>1063</v>
      </c>
      <c r="G1263" s="186">
        <f ca="1">OFFSET(卡牌辅助配置表!$C$1,MATCH(AC1263,卡牌辅助配置表!A:A,0)-1,0)</f>
        <v>3</v>
      </c>
      <c r="H1263" s="186" t="e">
        <f ca="1">OFFSET(skill!$Q$1,MATCH(B1263,skill!B:B,0)-1,0)</f>
        <v>#VALUE!</v>
      </c>
      <c r="I1263" s="186"/>
      <c r="J1263" s="186">
        <f ca="1">OFFSET(card_type!$F$1,MATCH(Q1263,card_type!A:A,0)-1,0)</f>
        <v>3</v>
      </c>
      <c r="K1263" s="243">
        <f ca="1">OFFSET(card_type!$G$1,MATCH(Q1263,card_type!A:A,0)-1,0)</f>
        <v>2</v>
      </c>
      <c r="L1263" s="157">
        <v>2</v>
      </c>
      <c r="M1263" s="157">
        <v>2</v>
      </c>
      <c r="N1263" s="153">
        <f t="shared" si="206"/>
        <v>23</v>
      </c>
      <c r="O1263" s="157"/>
      <c r="P1263" s="157"/>
      <c r="Q1263" s="153">
        <f ca="1">OFFSET(card_type!$A$1,MATCH(card!B1263,card_type!B:B,0)-1,0)</f>
        <v>2016</v>
      </c>
      <c r="R1263" s="153">
        <v>1</v>
      </c>
      <c r="S1263" s="157">
        <f ca="1">ROUND(IF(R1263=0,0,IF(R1263=1,X1263*$S$1,IF(R1263=2,X1263*$S$1*buff的资质计算!$E$2,IF(R1263=3,X1263*$S$1*buff的资质计算!$E$3,0)))),0)*0</f>
        <v>0</v>
      </c>
      <c r="T1263" s="153">
        <v>5</v>
      </c>
      <c r="U1263" s="153">
        <f ca="1" t="shared" si="210"/>
        <v>32</v>
      </c>
      <c r="V1263" s="153">
        <f ca="1">ROUND((OFFSET(卡牌辅助配置表!$O$1,MATCH(U1263,卡牌辅助配置表!M:M,0)-1,0)+(N1263-1)*OFFSET(卡牌辅助配置表!$P$1,MATCH(U1263,卡牌辅助配置表!M:M,0)-1,0))*M1263,2)</f>
        <v>107.18</v>
      </c>
      <c r="W1263" s="157">
        <f ca="1">ROUND(IF(R1263=0,0,IF(R1263=1,X1263*$W$1,IF(R1263=2,X1263*$W$1*buff的资质计算!$E$2,IF(R1263=3,X1263*$W$1*buff的资质计算!$E$3,0)))),2)</f>
        <v>15.6</v>
      </c>
      <c r="X1263" s="157">
        <f ca="1" t="shared" si="204"/>
        <v>52</v>
      </c>
      <c r="Y1263" s="157" t="e">
        <f ca="1" t="shared" si="214"/>
        <v>#VALUE!</v>
      </c>
      <c r="Z1263" s="304" t="e">
        <f ca="1" t="shared" si="205"/>
        <v>#VALUE!</v>
      </c>
      <c r="AA1263" s="304">
        <f ca="1">OFFSET(卡牌辅助配置表!$AD$1,MATCH(AB1263,卡牌辅助配置表!AB:AB,0)-1,0)</f>
        <v>6174</v>
      </c>
      <c r="AB1263" s="304">
        <f ca="1" t="shared" si="211"/>
        <v>3223</v>
      </c>
      <c r="AC1263" s="153">
        <v>3</v>
      </c>
      <c r="AE1263" s="153">
        <v>2</v>
      </c>
      <c r="AF1263" s="153" t="str">
        <f ca="1" t="shared" si="215"/>
        <v>20160011|</v>
      </c>
      <c r="AJ1263" s="205" t="str">
        <f ca="1" t="shared" si="212"/>
        <v>400023|14250|;</v>
      </c>
      <c r="AK1263" s="205">
        <f ca="1">OFFSET([1]item_type!$A$1,MATCH(Q1263,[1]item_type!$G:$G,0)-1,0)</f>
        <v>302016</v>
      </c>
      <c r="AL1263" s="205"/>
      <c r="AM1263" s="205">
        <f ca="1">IF(B1263=B1264,OFFSET(卡牌辅助配置表!$AE$1,MATCH(AB1263,卡牌辅助配置表!AB:AB,0),0),0)</f>
        <v>14250</v>
      </c>
      <c r="AN1263" s="153">
        <f ca="1" t="shared" si="213"/>
        <v>2016024</v>
      </c>
      <c r="AP1263" s="153" t="str">
        <f ca="1">IF(AC1263=0,0,IF(AC1263=12,0,OFFSET(effect!$N$1,MATCH(K1263,effect!M:M,0)-1,0)))</f>
        <v>kpsx_pt</v>
      </c>
    </row>
    <row r="1264" spans="1:42">
      <c r="A1264" s="153">
        <f ca="1" t="shared" si="209"/>
        <v>2016024</v>
      </c>
      <c r="B1264" s="91" t="s">
        <v>514</v>
      </c>
      <c r="C1264" s="186">
        <v>2</v>
      </c>
      <c r="D1264" s="186">
        <v>1</v>
      </c>
      <c r="E1264" s="165" t="s">
        <v>1058</v>
      </c>
      <c r="F1264" s="179" t="s">
        <v>1063</v>
      </c>
      <c r="G1264" s="186">
        <f ca="1">OFFSET(卡牌辅助配置表!$C$1,MATCH(AC1264,卡牌辅助配置表!A:A,0)-1,0)</f>
        <v>3</v>
      </c>
      <c r="H1264" s="186" t="e">
        <f ca="1">OFFSET(skill!$Q$1,MATCH(B1264,skill!B:B,0)-1,0)</f>
        <v>#VALUE!</v>
      </c>
      <c r="I1264" s="186"/>
      <c r="J1264" s="186">
        <f ca="1">OFFSET(card_type!$F$1,MATCH(Q1264,card_type!A:A,0)-1,0)</f>
        <v>3</v>
      </c>
      <c r="K1264" s="243">
        <f ca="1">OFFSET(card_type!$G$1,MATCH(Q1264,card_type!A:A,0)-1,0)</f>
        <v>2</v>
      </c>
      <c r="L1264" s="157">
        <v>2</v>
      </c>
      <c r="M1264" s="157">
        <v>2</v>
      </c>
      <c r="N1264" s="153">
        <f t="shared" si="206"/>
        <v>24</v>
      </c>
      <c r="O1264" s="157"/>
      <c r="P1264" s="157"/>
      <c r="Q1264" s="153">
        <f ca="1">OFFSET(card_type!$A$1,MATCH(card!B1264,card_type!B:B,0)-1,0)</f>
        <v>2016</v>
      </c>
      <c r="R1264" s="153">
        <v>1</v>
      </c>
      <c r="S1264" s="157">
        <f ca="1">ROUND(IF(R1264=0,0,IF(R1264=1,X1264*$S$1,IF(R1264=2,X1264*$S$1*buff的资质计算!$E$2,IF(R1264=3,X1264*$S$1*buff的资质计算!$E$3,0)))),0)*0</f>
        <v>0</v>
      </c>
      <c r="T1264" s="153">
        <v>5</v>
      </c>
      <c r="U1264" s="153">
        <f ca="1" t="shared" si="210"/>
        <v>32</v>
      </c>
      <c r="V1264" s="153">
        <f ca="1">ROUND((OFFSET(卡牌辅助配置表!$O$1,MATCH(U1264,卡牌辅助配置表!M:M,0)-1,0)+(N1264-1)*OFFSET(卡牌辅助配置表!$P$1,MATCH(U1264,卡牌辅助配置表!M:M,0)-1,0))*M1264,2)</f>
        <v>110.74</v>
      </c>
      <c r="W1264" s="157">
        <f ca="1">ROUND(IF(R1264=0,0,IF(R1264=1,X1264*$W$1,IF(R1264=2,X1264*$W$1*buff的资质计算!$E$2,IF(R1264=3,X1264*$W$1*buff的资质计算!$E$3,0)))),2)</f>
        <v>15.75</v>
      </c>
      <c r="X1264" s="157">
        <f ca="1" t="shared" si="204"/>
        <v>52.5</v>
      </c>
      <c r="Y1264" s="157" t="e">
        <f ca="1" t="shared" si="214"/>
        <v>#VALUE!</v>
      </c>
      <c r="Z1264" s="304" t="e">
        <f ca="1" t="shared" si="205"/>
        <v>#VALUE!</v>
      </c>
      <c r="AA1264" s="304">
        <f ca="1">OFFSET(卡牌辅助配置表!$AD$1,MATCH(AB1264,卡牌辅助配置表!AB:AB,0)-1,0)</f>
        <v>6572</v>
      </c>
      <c r="AB1264" s="304">
        <f ca="1" t="shared" si="211"/>
        <v>3224</v>
      </c>
      <c r="AC1264" s="153">
        <v>3</v>
      </c>
      <c r="AE1264" s="153">
        <v>2</v>
      </c>
      <c r="AF1264" s="153" t="str">
        <f ca="1" t="shared" si="215"/>
        <v>20160011|</v>
      </c>
      <c r="AJ1264" s="205" t="str">
        <f ca="1" t="shared" si="212"/>
        <v>400023|15450|;</v>
      </c>
      <c r="AK1264" s="205">
        <f ca="1">OFFSET([1]item_type!$A$1,MATCH(Q1264,[1]item_type!$G:$G,0)-1,0)</f>
        <v>302016</v>
      </c>
      <c r="AL1264" s="205"/>
      <c r="AM1264" s="205">
        <f ca="1">IF(B1264=B1265,OFFSET(卡牌辅助配置表!$AE$1,MATCH(AB1264,卡牌辅助配置表!AB:AB,0),0),0)</f>
        <v>15450</v>
      </c>
      <c r="AN1264" s="153">
        <f ca="1" t="shared" si="213"/>
        <v>2016025</v>
      </c>
      <c r="AP1264" s="153" t="str">
        <f ca="1">IF(AC1264=0,0,IF(AC1264=12,0,OFFSET(effect!$N$1,MATCH(K1264,effect!M:M,0)-1,0)))</f>
        <v>kpsx_pt</v>
      </c>
    </row>
    <row r="1265" spans="1:42">
      <c r="A1265" s="153">
        <f ca="1" t="shared" si="209"/>
        <v>2016025</v>
      </c>
      <c r="B1265" s="91" t="s">
        <v>514</v>
      </c>
      <c r="C1265" s="186">
        <v>2</v>
      </c>
      <c r="D1265" s="186">
        <v>1</v>
      </c>
      <c r="E1265" s="165" t="s">
        <v>1058</v>
      </c>
      <c r="F1265" s="179" t="s">
        <v>1063</v>
      </c>
      <c r="G1265" s="186">
        <f ca="1">OFFSET(卡牌辅助配置表!$C$1,MATCH(AC1265,卡牌辅助配置表!A:A,0)-1,0)</f>
        <v>3</v>
      </c>
      <c r="H1265" s="186" t="e">
        <f ca="1">OFFSET(skill!$Q$1,MATCH(B1265,skill!B:B,0)-1,0)</f>
        <v>#VALUE!</v>
      </c>
      <c r="I1265" s="186"/>
      <c r="J1265" s="186">
        <f ca="1">OFFSET(card_type!$F$1,MATCH(Q1265,card_type!A:A,0)-1,0)</f>
        <v>3</v>
      </c>
      <c r="K1265" s="243">
        <f ca="1">OFFSET(card_type!$G$1,MATCH(Q1265,card_type!A:A,0)-1,0)</f>
        <v>2</v>
      </c>
      <c r="L1265" s="157">
        <v>2</v>
      </c>
      <c r="M1265" s="157">
        <v>2</v>
      </c>
      <c r="N1265" s="153">
        <f t="shared" si="206"/>
        <v>25</v>
      </c>
      <c r="O1265" s="157"/>
      <c r="P1265" s="157"/>
      <c r="Q1265" s="153">
        <f ca="1">OFFSET(card_type!$A$1,MATCH(card!B1265,card_type!B:B,0)-1,0)</f>
        <v>2016</v>
      </c>
      <c r="R1265" s="153">
        <v>1</v>
      </c>
      <c r="S1265" s="157">
        <f ca="1">ROUND(IF(R1265=0,0,IF(R1265=1,X1265*$S$1,IF(R1265=2,X1265*$S$1*buff的资质计算!$E$2,IF(R1265=3,X1265*$S$1*buff的资质计算!$E$3,0)))),0)*0</f>
        <v>0</v>
      </c>
      <c r="T1265" s="153">
        <v>5</v>
      </c>
      <c r="U1265" s="153">
        <f ca="1" t="shared" si="210"/>
        <v>32</v>
      </c>
      <c r="V1265" s="153">
        <f ca="1">ROUND((OFFSET(卡牌辅助配置表!$O$1,MATCH(U1265,卡牌辅助配置表!M:M,0)-1,0)+(N1265-1)*OFFSET(卡牌辅助配置表!$P$1,MATCH(U1265,卡牌辅助配置表!M:M,0)-1,0))*M1265,2)</f>
        <v>114.31</v>
      </c>
      <c r="W1265" s="157">
        <f ca="1">ROUND(IF(R1265=0,0,IF(R1265=1,X1265*$W$1,IF(R1265=2,X1265*$W$1*buff的资质计算!$E$2,IF(R1265=3,X1265*$W$1*buff的资质计算!$E$3,0)))),2)</f>
        <v>15.9</v>
      </c>
      <c r="X1265" s="157">
        <f ca="1" t="shared" si="204"/>
        <v>53</v>
      </c>
      <c r="Y1265" s="157" t="e">
        <f ca="1" t="shared" si="214"/>
        <v>#VALUE!</v>
      </c>
      <c r="Z1265" s="304" t="e">
        <f ca="1" t="shared" si="205"/>
        <v>#VALUE!</v>
      </c>
      <c r="AA1265" s="304">
        <f ca="1">OFFSET(卡牌辅助配置表!$AD$1,MATCH(AB1265,卡牌辅助配置表!AB:AB,0)-1,0)</f>
        <v>6970</v>
      </c>
      <c r="AB1265" s="304">
        <f ca="1" t="shared" si="211"/>
        <v>3225</v>
      </c>
      <c r="AC1265" s="153">
        <v>3</v>
      </c>
      <c r="AE1265" s="153">
        <v>2</v>
      </c>
      <c r="AF1265" s="153" t="str">
        <f ca="1" t="shared" si="215"/>
        <v>20160011|</v>
      </c>
      <c r="AJ1265" s="205" t="str">
        <f ca="1" t="shared" si="212"/>
        <v>400023|16650|;</v>
      </c>
      <c r="AK1265" s="205">
        <f ca="1">OFFSET([1]item_type!$A$1,MATCH(Q1265,[1]item_type!$G:$G,0)-1,0)</f>
        <v>302016</v>
      </c>
      <c r="AL1265" s="205"/>
      <c r="AM1265" s="205">
        <f ca="1">IF(B1265=B1266,OFFSET(卡牌辅助配置表!$AE$1,MATCH(AB1265,卡牌辅助配置表!AB:AB,0),0),0)</f>
        <v>16650</v>
      </c>
      <c r="AN1265" s="153">
        <f ca="1" t="shared" si="213"/>
        <v>2016026</v>
      </c>
      <c r="AP1265" s="153" t="str">
        <f ca="1">IF(AC1265=0,0,IF(AC1265=12,0,OFFSET(effect!$N$1,MATCH(K1265,effect!M:M,0)-1,0)))</f>
        <v>kpsx_pt</v>
      </c>
    </row>
    <row r="1266" spans="1:42">
      <c r="A1266" s="153">
        <f ca="1" t="shared" si="209"/>
        <v>2016026</v>
      </c>
      <c r="B1266" s="91" t="s">
        <v>514</v>
      </c>
      <c r="C1266" s="186">
        <v>2</v>
      </c>
      <c r="D1266" s="186">
        <v>1</v>
      </c>
      <c r="E1266" s="165" t="s">
        <v>1058</v>
      </c>
      <c r="F1266" s="179" t="s">
        <v>1063</v>
      </c>
      <c r="G1266" s="186">
        <f ca="1">OFFSET(卡牌辅助配置表!$C$1,MATCH(AC1266,卡牌辅助配置表!A:A,0)-1,0)</f>
        <v>3</v>
      </c>
      <c r="H1266" s="186" t="e">
        <f ca="1">OFFSET(skill!$Q$1,MATCH(B1266,skill!B:B,0)-1,0)</f>
        <v>#VALUE!</v>
      </c>
      <c r="I1266" s="186"/>
      <c r="J1266" s="186">
        <f ca="1">OFFSET(card_type!$F$1,MATCH(Q1266,card_type!A:A,0)-1,0)</f>
        <v>3</v>
      </c>
      <c r="K1266" s="243">
        <f ca="1">OFFSET(card_type!$G$1,MATCH(Q1266,card_type!A:A,0)-1,0)</f>
        <v>2</v>
      </c>
      <c r="L1266" s="157">
        <v>2</v>
      </c>
      <c r="M1266" s="157">
        <v>2</v>
      </c>
      <c r="N1266" s="153">
        <f t="shared" si="206"/>
        <v>26</v>
      </c>
      <c r="O1266" s="157"/>
      <c r="P1266" s="157"/>
      <c r="Q1266" s="153">
        <f ca="1">OFFSET(card_type!$A$1,MATCH(card!B1266,card_type!B:B,0)-1,0)</f>
        <v>2016</v>
      </c>
      <c r="R1266" s="153">
        <v>1</v>
      </c>
      <c r="S1266" s="157">
        <f ca="1">ROUND(IF(R1266=0,0,IF(R1266=1,X1266*$S$1,IF(R1266=2,X1266*$S$1*buff的资质计算!$E$2,IF(R1266=3,X1266*$S$1*buff的资质计算!$E$3,0)))),0)*0</f>
        <v>0</v>
      </c>
      <c r="T1266" s="153">
        <v>5</v>
      </c>
      <c r="U1266" s="153">
        <f ca="1" t="shared" si="210"/>
        <v>32</v>
      </c>
      <c r="V1266" s="153">
        <f ca="1">ROUND((OFFSET(卡牌辅助配置表!$O$1,MATCH(U1266,卡牌辅助配置表!M:M,0)-1,0)+(N1266-1)*OFFSET(卡牌辅助配置表!$P$1,MATCH(U1266,卡牌辅助配置表!M:M,0)-1,0))*M1266,2)</f>
        <v>117.88</v>
      </c>
      <c r="W1266" s="157">
        <f ca="1">ROUND(IF(R1266=0,0,IF(R1266=1,X1266*$W$1,IF(R1266=2,X1266*$W$1*buff的资质计算!$E$2,IF(R1266=3,X1266*$W$1*buff的资质计算!$E$3,0)))),2)</f>
        <v>16.05</v>
      </c>
      <c r="X1266" s="157">
        <f ca="1" t="shared" si="204"/>
        <v>53.5</v>
      </c>
      <c r="Y1266" s="157" t="e">
        <f ca="1" t="shared" si="214"/>
        <v>#VALUE!</v>
      </c>
      <c r="Z1266" s="304" t="e">
        <f ca="1" t="shared" si="205"/>
        <v>#VALUE!</v>
      </c>
      <c r="AA1266" s="304">
        <f ca="1">OFFSET(卡牌辅助配置表!$AD$1,MATCH(AB1266,卡牌辅助配置表!AB:AB,0)-1,0)</f>
        <v>7368</v>
      </c>
      <c r="AB1266" s="304">
        <f ca="1" t="shared" si="211"/>
        <v>3226</v>
      </c>
      <c r="AC1266" s="153">
        <v>3</v>
      </c>
      <c r="AE1266" s="153">
        <v>2</v>
      </c>
      <c r="AF1266" s="153" t="str">
        <f ca="1" t="shared" si="215"/>
        <v>20160011|</v>
      </c>
      <c r="AJ1266" s="205" t="str">
        <f ca="1" t="shared" si="212"/>
        <v>400023|17850|;</v>
      </c>
      <c r="AK1266" s="205">
        <f ca="1">OFFSET([1]item_type!$A$1,MATCH(Q1266,[1]item_type!$G:$G,0)-1,0)</f>
        <v>302016</v>
      </c>
      <c r="AL1266" s="205"/>
      <c r="AM1266" s="205">
        <f ca="1">IF(B1266=B1267,OFFSET(卡牌辅助配置表!$AE$1,MATCH(AB1266,卡牌辅助配置表!AB:AB,0),0),0)</f>
        <v>17850</v>
      </c>
      <c r="AN1266" s="153">
        <f ca="1" t="shared" si="213"/>
        <v>2016027</v>
      </c>
      <c r="AP1266" s="153" t="str">
        <f ca="1">IF(AC1266=0,0,IF(AC1266=12,0,OFFSET(effect!$N$1,MATCH(K1266,effect!M:M,0)-1,0)))</f>
        <v>kpsx_pt</v>
      </c>
    </row>
    <row r="1267" spans="1:42">
      <c r="A1267" s="153">
        <f ca="1" t="shared" si="209"/>
        <v>2016027</v>
      </c>
      <c r="B1267" s="91" t="s">
        <v>514</v>
      </c>
      <c r="C1267" s="186">
        <v>2</v>
      </c>
      <c r="D1267" s="186">
        <v>1</v>
      </c>
      <c r="E1267" s="165" t="s">
        <v>1058</v>
      </c>
      <c r="F1267" s="179" t="s">
        <v>1063</v>
      </c>
      <c r="G1267" s="186">
        <f ca="1">OFFSET(卡牌辅助配置表!$C$1,MATCH(AC1267,卡牌辅助配置表!A:A,0)-1,0)</f>
        <v>3</v>
      </c>
      <c r="H1267" s="186" t="e">
        <f ca="1">OFFSET(skill!$Q$1,MATCH(B1267,skill!B:B,0)-1,0)</f>
        <v>#VALUE!</v>
      </c>
      <c r="I1267" s="186"/>
      <c r="J1267" s="186">
        <f ca="1">OFFSET(card_type!$F$1,MATCH(Q1267,card_type!A:A,0)-1,0)</f>
        <v>3</v>
      </c>
      <c r="K1267" s="243">
        <f ca="1">OFFSET(card_type!$G$1,MATCH(Q1267,card_type!A:A,0)-1,0)</f>
        <v>2</v>
      </c>
      <c r="L1267" s="157">
        <v>2</v>
      </c>
      <c r="M1267" s="157">
        <v>2</v>
      </c>
      <c r="N1267" s="153">
        <f t="shared" si="206"/>
        <v>27</v>
      </c>
      <c r="O1267" s="157"/>
      <c r="P1267" s="157"/>
      <c r="Q1267" s="153">
        <f ca="1">OFFSET(card_type!$A$1,MATCH(card!B1267,card_type!B:B,0)-1,0)</f>
        <v>2016</v>
      </c>
      <c r="R1267" s="153">
        <v>1</v>
      </c>
      <c r="S1267" s="157">
        <f ca="1">ROUND(IF(R1267=0,0,IF(R1267=1,X1267*$S$1,IF(R1267=2,X1267*$S$1*buff的资质计算!$E$2,IF(R1267=3,X1267*$S$1*buff的资质计算!$E$3,0)))),0)*0</f>
        <v>0</v>
      </c>
      <c r="T1267" s="153">
        <v>5</v>
      </c>
      <c r="U1267" s="153">
        <f ca="1" t="shared" si="210"/>
        <v>32</v>
      </c>
      <c r="V1267" s="153">
        <f ca="1">ROUND((OFFSET(卡牌辅助配置表!$O$1,MATCH(U1267,卡牌辅助配置表!M:M,0)-1,0)+(N1267-1)*OFFSET(卡牌辅助配置表!$P$1,MATCH(U1267,卡牌辅助配置表!M:M,0)-1,0))*M1267,2)</f>
        <v>121.44</v>
      </c>
      <c r="W1267" s="157">
        <f ca="1">ROUND(IF(R1267=0,0,IF(R1267=1,X1267*$W$1,IF(R1267=2,X1267*$W$1*buff的资质计算!$E$2,IF(R1267=3,X1267*$W$1*buff的资质计算!$E$3,0)))),2)</f>
        <v>16.2</v>
      </c>
      <c r="X1267" s="157">
        <f ca="1" t="shared" si="204"/>
        <v>54</v>
      </c>
      <c r="Y1267" s="157" t="e">
        <f ca="1" t="shared" si="214"/>
        <v>#VALUE!</v>
      </c>
      <c r="Z1267" s="304" t="e">
        <f ca="1" t="shared" si="205"/>
        <v>#VALUE!</v>
      </c>
      <c r="AA1267" s="304">
        <f ca="1">OFFSET(卡牌辅助配置表!$AD$1,MATCH(AB1267,卡牌辅助配置表!AB:AB,0)-1,0)</f>
        <v>7766</v>
      </c>
      <c r="AB1267" s="304">
        <f ca="1" t="shared" si="211"/>
        <v>3227</v>
      </c>
      <c r="AC1267" s="153">
        <v>3</v>
      </c>
      <c r="AE1267" s="153">
        <v>2</v>
      </c>
      <c r="AF1267" s="153" t="str">
        <f ca="1" t="shared" si="215"/>
        <v>20160011|</v>
      </c>
      <c r="AJ1267" s="205" t="str">
        <f ca="1" t="shared" si="212"/>
        <v>400023|19050|;</v>
      </c>
      <c r="AK1267" s="205">
        <f ca="1">OFFSET([1]item_type!$A$1,MATCH(Q1267,[1]item_type!$G:$G,0)-1,0)</f>
        <v>302016</v>
      </c>
      <c r="AL1267" s="205"/>
      <c r="AM1267" s="205">
        <f ca="1">IF(B1267=B1268,OFFSET(卡牌辅助配置表!$AE$1,MATCH(AB1267,卡牌辅助配置表!AB:AB,0),0),0)</f>
        <v>19050</v>
      </c>
      <c r="AN1267" s="153">
        <f ca="1" t="shared" si="213"/>
        <v>2016028</v>
      </c>
      <c r="AP1267" s="153" t="str">
        <f ca="1">IF(AC1267=0,0,IF(AC1267=12,0,OFFSET(effect!$N$1,MATCH(K1267,effect!M:M,0)-1,0)))</f>
        <v>kpsx_pt</v>
      </c>
    </row>
    <row r="1268" spans="1:42">
      <c r="A1268" s="153">
        <f ca="1" t="shared" si="209"/>
        <v>2016028</v>
      </c>
      <c r="B1268" s="91" t="s">
        <v>514</v>
      </c>
      <c r="C1268" s="186">
        <v>2</v>
      </c>
      <c r="D1268" s="186">
        <v>1</v>
      </c>
      <c r="E1268" s="165" t="s">
        <v>1058</v>
      </c>
      <c r="F1268" s="179" t="s">
        <v>1063</v>
      </c>
      <c r="G1268" s="186">
        <f ca="1">OFFSET(卡牌辅助配置表!$C$1,MATCH(AC1268,卡牌辅助配置表!A:A,0)-1,0)</f>
        <v>3</v>
      </c>
      <c r="H1268" s="186" t="e">
        <f ca="1">OFFSET(skill!$Q$1,MATCH(B1268,skill!B:B,0)-1,0)</f>
        <v>#VALUE!</v>
      </c>
      <c r="I1268" s="186"/>
      <c r="J1268" s="186">
        <f ca="1">OFFSET(card_type!$F$1,MATCH(Q1268,card_type!A:A,0)-1,0)</f>
        <v>3</v>
      </c>
      <c r="K1268" s="243">
        <f ca="1">OFFSET(card_type!$G$1,MATCH(Q1268,card_type!A:A,0)-1,0)</f>
        <v>2</v>
      </c>
      <c r="L1268" s="157">
        <v>2</v>
      </c>
      <c r="M1268" s="157">
        <v>2</v>
      </c>
      <c r="N1268" s="153">
        <f t="shared" si="206"/>
        <v>28</v>
      </c>
      <c r="O1268" s="157"/>
      <c r="P1268" s="157"/>
      <c r="Q1268" s="153">
        <f ca="1">OFFSET(card_type!$A$1,MATCH(card!B1268,card_type!B:B,0)-1,0)</f>
        <v>2016</v>
      </c>
      <c r="R1268" s="153">
        <v>1</v>
      </c>
      <c r="S1268" s="157">
        <f ca="1">ROUND(IF(R1268=0,0,IF(R1268=1,X1268*$S$1,IF(R1268=2,X1268*$S$1*buff的资质计算!$E$2,IF(R1268=3,X1268*$S$1*buff的资质计算!$E$3,0)))),0)*0</f>
        <v>0</v>
      </c>
      <c r="T1268" s="153">
        <v>5</v>
      </c>
      <c r="U1268" s="153">
        <f ca="1" t="shared" si="210"/>
        <v>32</v>
      </c>
      <c r="V1268" s="153">
        <f ca="1">ROUND((OFFSET(卡牌辅助配置表!$O$1,MATCH(U1268,卡牌辅助配置表!M:M,0)-1,0)+(N1268-1)*OFFSET(卡牌辅助配置表!$P$1,MATCH(U1268,卡牌辅助配置表!M:M,0)-1,0))*M1268,2)</f>
        <v>125.01</v>
      </c>
      <c r="W1268" s="157">
        <f ca="1">ROUND(IF(R1268=0,0,IF(R1268=1,X1268*$W$1,IF(R1268=2,X1268*$W$1*buff的资质计算!$E$2,IF(R1268=3,X1268*$W$1*buff的资质计算!$E$3,0)))),2)</f>
        <v>16.35</v>
      </c>
      <c r="X1268" s="157">
        <f ca="1" t="shared" ref="X1268:X1331" si="216">M1268*($M$1+(J1268-1)*$J$1+(K1268-1)*$K$1)+G1268+$J$1*(N1268-1)/$N$1</f>
        <v>54.5</v>
      </c>
      <c r="Y1268" s="157" t="e">
        <f ca="1" t="shared" si="214"/>
        <v>#VALUE!</v>
      </c>
      <c r="Z1268" s="304" t="e">
        <f ca="1" t="shared" ref="Z1268:Z1331" si="217">Y1268/M1268</f>
        <v>#VALUE!</v>
      </c>
      <c r="AA1268" s="304">
        <f ca="1">OFFSET(卡牌辅助配置表!$AD$1,MATCH(AB1268,卡牌辅助配置表!AB:AB,0)-1,0)</f>
        <v>8164</v>
      </c>
      <c r="AB1268" s="304">
        <f ca="1" t="shared" si="211"/>
        <v>3228</v>
      </c>
      <c r="AC1268" s="153">
        <v>3</v>
      </c>
      <c r="AE1268" s="153">
        <v>2</v>
      </c>
      <c r="AF1268" s="153" t="str">
        <f ca="1" t="shared" si="215"/>
        <v>20160011|</v>
      </c>
      <c r="AJ1268" s="205" t="str">
        <f ca="1" t="shared" si="212"/>
        <v>400023|20250|;</v>
      </c>
      <c r="AK1268" s="205">
        <f ca="1">OFFSET([1]item_type!$A$1,MATCH(Q1268,[1]item_type!$G:$G,0)-1,0)</f>
        <v>302016</v>
      </c>
      <c r="AL1268" s="205"/>
      <c r="AM1268" s="205">
        <f ca="1">IF(B1268=B1269,OFFSET(卡牌辅助配置表!$AE$1,MATCH(AB1268,卡牌辅助配置表!AB:AB,0),0),0)</f>
        <v>20250</v>
      </c>
      <c r="AN1268" s="153">
        <f ca="1" t="shared" si="213"/>
        <v>2016029</v>
      </c>
      <c r="AP1268" s="153" t="str">
        <f ca="1">IF(AC1268=0,0,IF(AC1268=12,0,OFFSET(effect!$N$1,MATCH(K1268,effect!M:M,0)-1,0)))</f>
        <v>kpsx_pt</v>
      </c>
    </row>
    <row r="1269" spans="1:42">
      <c r="A1269" s="153">
        <f ca="1" t="shared" si="209"/>
        <v>2016029</v>
      </c>
      <c r="B1269" s="91" t="s">
        <v>514</v>
      </c>
      <c r="C1269" s="186">
        <v>2</v>
      </c>
      <c r="D1269" s="186">
        <v>1</v>
      </c>
      <c r="E1269" s="165" t="s">
        <v>1058</v>
      </c>
      <c r="F1269" s="179" t="s">
        <v>1063</v>
      </c>
      <c r="G1269" s="186">
        <f ca="1">OFFSET(卡牌辅助配置表!$C$1,MATCH(AC1269,卡牌辅助配置表!A:A,0)-1,0)</f>
        <v>3</v>
      </c>
      <c r="H1269" s="186" t="e">
        <f ca="1">OFFSET(skill!$Q$1,MATCH(B1269,skill!B:B,0)-1,0)</f>
        <v>#VALUE!</v>
      </c>
      <c r="I1269" s="186"/>
      <c r="J1269" s="186">
        <f ca="1">OFFSET(card_type!$F$1,MATCH(Q1269,card_type!A:A,0)-1,0)</f>
        <v>3</v>
      </c>
      <c r="K1269" s="243">
        <f ca="1">OFFSET(card_type!$G$1,MATCH(Q1269,card_type!A:A,0)-1,0)</f>
        <v>2</v>
      </c>
      <c r="L1269" s="157">
        <v>2</v>
      </c>
      <c r="M1269" s="157">
        <v>2</v>
      </c>
      <c r="N1269" s="153">
        <f t="shared" ref="N1269:N1332" si="218">IF(B1268=B1269,N1268+1,1)</f>
        <v>29</v>
      </c>
      <c r="O1269" s="157"/>
      <c r="P1269" s="157"/>
      <c r="Q1269" s="153">
        <f ca="1">OFFSET(card_type!$A$1,MATCH(card!B1269,card_type!B:B,0)-1,0)</f>
        <v>2016</v>
      </c>
      <c r="R1269" s="153">
        <v>1</v>
      </c>
      <c r="S1269" s="157">
        <f ca="1">ROUND(IF(R1269=0,0,IF(R1269=1,X1269*$S$1,IF(R1269=2,X1269*$S$1*buff的资质计算!$E$2,IF(R1269=3,X1269*$S$1*buff的资质计算!$E$3,0)))),0)*0</f>
        <v>0</v>
      </c>
      <c r="T1269" s="153">
        <v>5</v>
      </c>
      <c r="U1269" s="153">
        <f ca="1" t="shared" si="210"/>
        <v>32</v>
      </c>
      <c r="V1269" s="153">
        <f ca="1">ROUND((OFFSET(卡牌辅助配置表!$O$1,MATCH(U1269,卡牌辅助配置表!M:M,0)-1,0)+(N1269-1)*OFFSET(卡牌辅助配置表!$P$1,MATCH(U1269,卡牌辅助配置表!M:M,0)-1,0))*M1269,2)</f>
        <v>128.58</v>
      </c>
      <c r="W1269" s="157">
        <f ca="1">ROUND(IF(R1269=0,0,IF(R1269=1,X1269*$W$1,IF(R1269=2,X1269*$W$1*buff的资质计算!$E$2,IF(R1269=3,X1269*$W$1*buff的资质计算!$E$3,0)))),2)</f>
        <v>16.5</v>
      </c>
      <c r="X1269" s="157">
        <f ca="1" t="shared" si="216"/>
        <v>55</v>
      </c>
      <c r="Y1269" s="157" t="e">
        <f ca="1" t="shared" si="214"/>
        <v>#VALUE!</v>
      </c>
      <c r="Z1269" s="304" t="e">
        <f ca="1" t="shared" si="217"/>
        <v>#VALUE!</v>
      </c>
      <c r="AA1269" s="304">
        <f ca="1">OFFSET(卡牌辅助配置表!$AD$1,MATCH(AB1269,卡牌辅助配置表!AB:AB,0)-1,0)</f>
        <v>8562</v>
      </c>
      <c r="AB1269" s="304">
        <f ca="1" t="shared" si="211"/>
        <v>3229</v>
      </c>
      <c r="AC1269" s="153">
        <v>3</v>
      </c>
      <c r="AE1269" s="153">
        <v>2</v>
      </c>
      <c r="AF1269" s="153" t="str">
        <f ca="1" t="shared" si="215"/>
        <v>20160011|</v>
      </c>
      <c r="AJ1269" s="205" t="str">
        <f ca="1" t="shared" si="212"/>
        <v>302016|30|;400023|21450|;</v>
      </c>
      <c r="AK1269" s="205">
        <f ca="1">OFFSET([1]item_type!$A$1,MATCH(Q1269,[1]item_type!$G:$G,0)-1,0)</f>
        <v>302016</v>
      </c>
      <c r="AL1269" s="205">
        <v>30</v>
      </c>
      <c r="AM1269" s="205">
        <f ca="1">IF(B1269=B1270,OFFSET(卡牌辅助配置表!$AE$1,MATCH(AB1269,卡牌辅助配置表!AB:AB,0),0),0)</f>
        <v>21450</v>
      </c>
      <c r="AN1269" s="153">
        <f ca="1" t="shared" si="213"/>
        <v>2016030</v>
      </c>
      <c r="AP1269" s="153" t="str">
        <f ca="1">IF(AC1269=0,0,IF(AC1269=12,0,OFFSET(effect!$N$1,MATCH(K1269,effect!M:M,0)-1,0)))</f>
        <v>kpsx_pt</v>
      </c>
    </row>
    <row r="1270" spans="1:42">
      <c r="A1270" s="153">
        <f ca="1" t="shared" si="209"/>
        <v>2016030</v>
      </c>
      <c r="B1270" s="91" t="s">
        <v>514</v>
      </c>
      <c r="C1270" s="186">
        <v>2</v>
      </c>
      <c r="D1270" s="186">
        <v>1</v>
      </c>
      <c r="E1270" s="165" t="s">
        <v>1058</v>
      </c>
      <c r="F1270" s="179" t="s">
        <v>1063</v>
      </c>
      <c r="G1270" s="186">
        <f ca="1">OFFSET(卡牌辅助配置表!$C$1,MATCH(AC1270,卡牌辅助配置表!A:A,0)-1,0)</f>
        <v>3</v>
      </c>
      <c r="H1270" s="186" t="e">
        <f ca="1">OFFSET(skill!$Q$1,MATCH(B1270,skill!B:B,0)-1,0)</f>
        <v>#VALUE!</v>
      </c>
      <c r="I1270" s="186"/>
      <c r="J1270" s="186">
        <f ca="1">OFFSET(card_type!$F$1,MATCH(Q1270,card_type!A:A,0)-1,0)</f>
        <v>3</v>
      </c>
      <c r="K1270" s="243">
        <f ca="1">OFFSET(card_type!$G$1,MATCH(Q1270,card_type!A:A,0)-1,0)</f>
        <v>2</v>
      </c>
      <c r="L1270" s="157">
        <v>2</v>
      </c>
      <c r="M1270" s="157">
        <v>2</v>
      </c>
      <c r="N1270" s="153">
        <f t="shared" si="218"/>
        <v>30</v>
      </c>
      <c r="O1270" s="157"/>
      <c r="P1270" s="157"/>
      <c r="Q1270" s="153">
        <f ca="1">OFFSET(card_type!$A$1,MATCH(card!B1270,card_type!B:B,0)-1,0)</f>
        <v>2016</v>
      </c>
      <c r="R1270" s="153">
        <v>1</v>
      </c>
      <c r="S1270" s="157">
        <f ca="1">ROUND(IF(R1270=0,0,IF(R1270=1,X1270*$S$1,IF(R1270=2,X1270*$S$1*buff的资质计算!$E$2,IF(R1270=3,X1270*$S$1*buff的资质计算!$E$3,0)))),0)*0</f>
        <v>0</v>
      </c>
      <c r="T1270" s="153">
        <v>5</v>
      </c>
      <c r="U1270" s="153">
        <f ca="1" t="shared" si="210"/>
        <v>32</v>
      </c>
      <c r="V1270" s="153">
        <f ca="1">ROUND((OFFSET(卡牌辅助配置表!$O$1,MATCH(U1270,卡牌辅助配置表!M:M,0)-1,0)+(N1270-1)*OFFSET(卡牌辅助配置表!$P$1,MATCH(U1270,卡牌辅助配置表!M:M,0)-1,0))*M1270,2)</f>
        <v>132.14</v>
      </c>
      <c r="W1270" s="157">
        <f ca="1">ROUND(IF(R1270=0,0,IF(R1270=1,X1270*$W$1,IF(R1270=2,X1270*$W$1*buff的资质计算!$E$2,IF(R1270=3,X1270*$W$1*buff的资质计算!$E$3,0)))),2)</f>
        <v>16.65</v>
      </c>
      <c r="X1270" s="157">
        <f ca="1" t="shared" si="216"/>
        <v>55.5</v>
      </c>
      <c r="Y1270" s="157" t="e">
        <f ca="1" t="shared" si="214"/>
        <v>#VALUE!</v>
      </c>
      <c r="Z1270" s="304" t="e">
        <f ca="1" t="shared" si="217"/>
        <v>#VALUE!</v>
      </c>
      <c r="AA1270" s="304">
        <f ca="1">OFFSET(卡牌辅助配置表!$AD$1,MATCH(AB1270,卡牌辅助配置表!AB:AB,0)-1,0)</f>
        <v>8960</v>
      </c>
      <c r="AB1270" s="304">
        <f ca="1" t="shared" si="211"/>
        <v>3230</v>
      </c>
      <c r="AC1270" s="153">
        <v>3</v>
      </c>
      <c r="AE1270" s="153">
        <v>2</v>
      </c>
      <c r="AF1270" s="153" t="str">
        <f ca="1" t="shared" si="215"/>
        <v>20160011|</v>
      </c>
      <c r="AJ1270" s="205">
        <f ca="1" t="shared" si="212"/>
        <v>0</v>
      </c>
      <c r="AK1270" s="205">
        <f ca="1">OFFSET([1]item_type!$A$1,MATCH(Q1270,[1]item_type!$G:$G,0)-1,0)</f>
        <v>302016</v>
      </c>
      <c r="AL1270" s="205"/>
      <c r="AM1270" s="205">
        <f ca="1">IF(B1270=B1271,OFFSET(卡牌辅助配置表!$AE$1,MATCH(AB1270,卡牌辅助配置表!AB:AB,0),0),0)</f>
        <v>0</v>
      </c>
      <c r="AN1270" s="153">
        <f ca="1" t="shared" si="213"/>
        <v>0</v>
      </c>
      <c r="AP1270" s="153" t="str">
        <f ca="1">IF(AC1270=0,0,IF(AC1270=12,0,OFFSET(effect!$N$1,MATCH(K1270,effect!M:M,0)-1,0)))</f>
        <v>kpsx_pt</v>
      </c>
    </row>
    <row r="1271" spans="1:42">
      <c r="A1271" s="153">
        <f ca="1" t="shared" si="209"/>
        <v>2017001</v>
      </c>
      <c r="B1271" s="91" t="s">
        <v>291</v>
      </c>
      <c r="C1271" s="186">
        <v>2</v>
      </c>
      <c r="D1271" s="186">
        <v>4</v>
      </c>
      <c r="E1271" s="165" t="s">
        <v>1058</v>
      </c>
      <c r="F1271" s="179" t="s">
        <v>1055</v>
      </c>
      <c r="G1271" s="186">
        <f ca="1">OFFSET(卡牌辅助配置表!$C$1,MATCH(AC1271,卡牌辅助配置表!A:A,0)-1,0)</f>
        <v>0</v>
      </c>
      <c r="H1271" s="186">
        <f ca="1">OFFSET(skill!$Q$1,MATCH(B1271,skill!B:B,0)-1,0)</f>
        <v>10</v>
      </c>
      <c r="I1271" s="186"/>
      <c r="J1271" s="186">
        <f ca="1">OFFSET(card_type!$F$1,MATCH(Q1271,card_type!A:A,0)-1,0)</f>
        <v>3</v>
      </c>
      <c r="K1271" s="243">
        <f ca="1">OFFSET(card_type!$G$1,MATCH(Q1271,card_type!A:A,0)-1,0)</f>
        <v>1</v>
      </c>
      <c r="L1271" s="157">
        <v>3</v>
      </c>
      <c r="M1271" s="157">
        <v>3</v>
      </c>
      <c r="N1271" s="153">
        <f t="shared" si="218"/>
        <v>1</v>
      </c>
      <c r="O1271" s="157"/>
      <c r="P1271" s="157"/>
      <c r="Q1271" s="153">
        <f ca="1">OFFSET(card_type!$A$1,MATCH(card!B1271,card_type!B:B,0)-1,0)</f>
        <v>2017</v>
      </c>
      <c r="R1271" s="153">
        <v>1</v>
      </c>
      <c r="S1271" s="157">
        <f ca="1">ROUND(IF(R1271=0,0,IF(R1271=1,X1271*$S$1,IF(R1271=2,X1271*$S$1*buff的资质计算!$E$2,IF(R1271=3,X1271*$S$1*buff的资质计算!$E$3,0)))),0)*0</f>
        <v>0</v>
      </c>
      <c r="T1271" s="153">
        <v>4</v>
      </c>
      <c r="U1271" s="153">
        <f ca="1" t="shared" si="210"/>
        <v>31</v>
      </c>
      <c r="V1271" s="153">
        <f ca="1">ROUND((OFFSET(卡牌辅助配置表!$O$1,MATCH(U1271,卡牌辅助配置表!M:M,0)-1,0)+(N1271-1)*OFFSET(卡牌辅助配置表!$P$1,MATCH(U1271,卡牌辅助配置表!M:M,0)-1,0))*M1271,2)</f>
        <v>28.42</v>
      </c>
      <c r="W1271" s="157">
        <f ca="1">ROUND(IF(R1271=0,0,IF(R1271=1,X1271*$W$1,IF(R1271=2,X1271*$W$1*buff的资质计算!$E$2,IF(R1271=3,X1271*$W$1*buff的资质计算!$E$3,0)))),2)</f>
        <v>13.5</v>
      </c>
      <c r="X1271" s="157">
        <f ca="1" t="shared" si="216"/>
        <v>45</v>
      </c>
      <c r="Y1271" s="157">
        <f ca="1" t="shared" si="214"/>
        <v>55</v>
      </c>
      <c r="Z1271" s="304">
        <f ca="1" t="shared" si="217"/>
        <v>18.3333333333333</v>
      </c>
      <c r="AA1271" s="304">
        <f ca="1">OFFSET(卡牌辅助配置表!$AD$1,MATCH(AB1271,卡牌辅助配置表!AB:AB,0)-1,0)</f>
        <v>100</v>
      </c>
      <c r="AB1271" s="304">
        <f ca="1" t="shared" si="211"/>
        <v>3101</v>
      </c>
      <c r="AC1271" s="153">
        <v>12</v>
      </c>
      <c r="AF1271" s="153" t="str">
        <f ca="1" t="shared" si="215"/>
        <v>20170011|</v>
      </c>
      <c r="AJ1271" s="205" t="str">
        <f ca="1" t="shared" si="212"/>
        <v>400023|700|;</v>
      </c>
      <c r="AK1271" s="205">
        <f ca="1">OFFSET([1]item_type!$A$1,MATCH(Q1271,[1]item_type!$G:$G,0)-1,0)</f>
        <v>302017</v>
      </c>
      <c r="AL1271" s="205"/>
      <c r="AM1271" s="205">
        <f ca="1">IF(B1271=B1272,OFFSET(卡牌辅助配置表!$AE$1,MATCH(AB1271,卡牌辅助配置表!AB:AB,0),0),0)</f>
        <v>700</v>
      </c>
      <c r="AN1271" s="153">
        <f ca="1" t="shared" si="213"/>
        <v>2017002</v>
      </c>
      <c r="AP1271" s="153">
        <f ca="1">IF(AC1271=0,0,IF(AC1271=12,0,OFFSET(effect!$N$1,MATCH(K1271,effect!M:M,0)-1,0)))</f>
        <v>0</v>
      </c>
    </row>
    <row r="1272" spans="1:42">
      <c r="A1272" s="153">
        <f ca="1" t="shared" si="209"/>
        <v>2017002</v>
      </c>
      <c r="B1272" s="91" t="s">
        <v>291</v>
      </c>
      <c r="C1272" s="186">
        <v>2</v>
      </c>
      <c r="D1272" s="186">
        <v>4</v>
      </c>
      <c r="E1272" s="165" t="s">
        <v>1058</v>
      </c>
      <c r="F1272" s="179" t="s">
        <v>1055</v>
      </c>
      <c r="G1272" s="186">
        <f ca="1">OFFSET(卡牌辅助配置表!$C$1,MATCH(AC1272,卡牌辅助配置表!A:A,0)-1,0)</f>
        <v>0</v>
      </c>
      <c r="H1272" s="186">
        <f ca="1">OFFSET(skill!$Q$1,MATCH(B1272,skill!B:B,0)-1,0)</f>
        <v>10</v>
      </c>
      <c r="I1272" s="186"/>
      <c r="J1272" s="186">
        <f ca="1">OFFSET(card_type!$F$1,MATCH(Q1272,card_type!A:A,0)-1,0)</f>
        <v>3</v>
      </c>
      <c r="K1272" s="243">
        <f ca="1">OFFSET(card_type!$G$1,MATCH(Q1272,card_type!A:A,0)-1,0)</f>
        <v>1</v>
      </c>
      <c r="L1272" s="157">
        <v>3</v>
      </c>
      <c r="M1272" s="157">
        <v>3</v>
      </c>
      <c r="N1272" s="153">
        <f t="shared" si="218"/>
        <v>2</v>
      </c>
      <c r="O1272" s="157"/>
      <c r="P1272" s="157"/>
      <c r="Q1272" s="153">
        <f ca="1">OFFSET(card_type!$A$1,MATCH(card!B1272,card_type!B:B,0)-1,0)</f>
        <v>2017</v>
      </c>
      <c r="R1272" s="153">
        <v>1</v>
      </c>
      <c r="S1272" s="157">
        <f ca="1">ROUND(IF(R1272=0,0,IF(R1272=1,X1272*$S$1,IF(R1272=2,X1272*$S$1*buff的资质计算!$E$2,IF(R1272=3,X1272*$S$1*buff的资质计算!$E$3,0)))),0)*0</f>
        <v>0</v>
      </c>
      <c r="T1272" s="153">
        <v>4</v>
      </c>
      <c r="U1272" s="153">
        <f ca="1" t="shared" si="210"/>
        <v>31</v>
      </c>
      <c r="V1272" s="153">
        <f ca="1">ROUND((OFFSET(卡牌辅助配置表!$O$1,MATCH(U1272,卡牌辅助配置表!M:M,0)-1,0)+(N1272-1)*OFFSET(卡牌辅助配置表!$P$1,MATCH(U1272,卡牌辅助配置表!M:M,0)-1,0))*M1272,2)</f>
        <v>31.95</v>
      </c>
      <c r="W1272" s="157">
        <f ca="1">ROUND(IF(R1272=0,0,IF(R1272=1,X1272*$W$1,IF(R1272=2,X1272*$W$1*buff的资质计算!$E$2,IF(R1272=3,X1272*$W$1*buff的资质计算!$E$3,0)))),2)</f>
        <v>13.65</v>
      </c>
      <c r="X1272" s="157">
        <f ca="1" t="shared" si="216"/>
        <v>45.5</v>
      </c>
      <c r="Y1272" s="157">
        <f ca="1" t="shared" si="214"/>
        <v>55.5</v>
      </c>
      <c r="Z1272" s="304">
        <f ca="1" t="shared" si="217"/>
        <v>18.5</v>
      </c>
      <c r="AA1272" s="304">
        <f ca="1">OFFSET(卡牌辅助配置表!$AD$1,MATCH(AB1272,卡牌辅助配置表!AB:AB,0)-1,0)</f>
        <v>200</v>
      </c>
      <c r="AB1272" s="304">
        <f ca="1" t="shared" si="211"/>
        <v>3102</v>
      </c>
      <c r="AC1272" s="153">
        <v>12</v>
      </c>
      <c r="AF1272" s="153" t="str">
        <f ca="1" t="shared" si="215"/>
        <v>20170011|</v>
      </c>
      <c r="AJ1272" s="205" t="str">
        <f ca="1" t="shared" si="212"/>
        <v>400023|900|;</v>
      </c>
      <c r="AK1272" s="205">
        <f ca="1">OFFSET([1]item_type!$A$1,MATCH(Q1272,[1]item_type!$G:$G,0)-1,0)</f>
        <v>302017</v>
      </c>
      <c r="AL1272" s="205"/>
      <c r="AM1272" s="205">
        <f ca="1">IF(B1272=B1273,OFFSET(卡牌辅助配置表!$AE$1,MATCH(AB1272,卡牌辅助配置表!AB:AB,0),0),0)</f>
        <v>900</v>
      </c>
      <c r="AN1272" s="153">
        <f ca="1" t="shared" si="213"/>
        <v>2017003</v>
      </c>
      <c r="AP1272" s="153">
        <f ca="1">IF(AC1272=0,0,IF(AC1272=12,0,OFFSET(effect!$N$1,MATCH(K1272,effect!M:M,0)-1,0)))</f>
        <v>0</v>
      </c>
    </row>
    <row r="1273" spans="1:42">
      <c r="A1273" s="153">
        <f ca="1" t="shared" si="209"/>
        <v>2017003</v>
      </c>
      <c r="B1273" s="91" t="s">
        <v>291</v>
      </c>
      <c r="C1273" s="186">
        <v>2</v>
      </c>
      <c r="D1273" s="186">
        <v>4</v>
      </c>
      <c r="E1273" s="165" t="s">
        <v>1058</v>
      </c>
      <c r="F1273" s="179" t="s">
        <v>1055</v>
      </c>
      <c r="G1273" s="186">
        <f ca="1">OFFSET(卡牌辅助配置表!$C$1,MATCH(AC1273,卡牌辅助配置表!A:A,0)-1,0)</f>
        <v>0</v>
      </c>
      <c r="H1273" s="186">
        <f ca="1">OFFSET(skill!$Q$1,MATCH(B1273,skill!B:B,0)-1,0)</f>
        <v>10</v>
      </c>
      <c r="I1273" s="186"/>
      <c r="J1273" s="186">
        <f ca="1">OFFSET(card_type!$F$1,MATCH(Q1273,card_type!A:A,0)-1,0)</f>
        <v>3</v>
      </c>
      <c r="K1273" s="243">
        <f ca="1">OFFSET(card_type!$G$1,MATCH(Q1273,card_type!A:A,0)-1,0)</f>
        <v>1</v>
      </c>
      <c r="L1273" s="157">
        <v>3</v>
      </c>
      <c r="M1273" s="157">
        <v>3</v>
      </c>
      <c r="N1273" s="153">
        <f t="shared" si="218"/>
        <v>3</v>
      </c>
      <c r="O1273" s="157"/>
      <c r="P1273" s="157"/>
      <c r="Q1273" s="153">
        <f ca="1">OFFSET(card_type!$A$1,MATCH(card!B1273,card_type!B:B,0)-1,0)</f>
        <v>2017</v>
      </c>
      <c r="R1273" s="153">
        <v>1</v>
      </c>
      <c r="S1273" s="157">
        <f ca="1">ROUND(IF(R1273=0,0,IF(R1273=1,X1273*$S$1,IF(R1273=2,X1273*$S$1*buff的资质计算!$E$2,IF(R1273=3,X1273*$S$1*buff的资质计算!$E$3,0)))),0)*0</f>
        <v>0</v>
      </c>
      <c r="T1273" s="153">
        <v>4</v>
      </c>
      <c r="U1273" s="153">
        <f ca="1" t="shared" si="210"/>
        <v>31</v>
      </c>
      <c r="V1273" s="153">
        <f ca="1">ROUND((OFFSET(卡牌辅助配置表!$O$1,MATCH(U1273,卡牌辅助配置表!M:M,0)-1,0)+(N1273-1)*OFFSET(卡牌辅助配置表!$P$1,MATCH(U1273,卡牌辅助配置表!M:M,0)-1,0))*M1273,2)</f>
        <v>35.48</v>
      </c>
      <c r="W1273" s="157">
        <f ca="1">ROUND(IF(R1273=0,0,IF(R1273=1,X1273*$W$1,IF(R1273=2,X1273*$W$1*buff的资质计算!$E$2,IF(R1273=3,X1273*$W$1*buff的资质计算!$E$3,0)))),2)</f>
        <v>13.8</v>
      </c>
      <c r="X1273" s="157">
        <f ca="1" t="shared" si="216"/>
        <v>46</v>
      </c>
      <c r="Y1273" s="157">
        <f ca="1" t="shared" si="214"/>
        <v>56</v>
      </c>
      <c r="Z1273" s="304">
        <f ca="1" t="shared" si="217"/>
        <v>18.6666666666667</v>
      </c>
      <c r="AA1273" s="304">
        <f ca="1">OFFSET(卡牌辅助配置表!$AD$1,MATCH(AB1273,卡牌辅助配置表!AB:AB,0)-1,0)</f>
        <v>300</v>
      </c>
      <c r="AB1273" s="304">
        <f ca="1" t="shared" si="211"/>
        <v>3103</v>
      </c>
      <c r="AC1273" s="153">
        <v>12</v>
      </c>
      <c r="AF1273" s="153" t="str">
        <f ca="1" t="shared" si="215"/>
        <v>20170011|</v>
      </c>
      <c r="AJ1273" s="205" t="str">
        <f ca="1" t="shared" si="212"/>
        <v>400023|1100|;</v>
      </c>
      <c r="AK1273" s="205">
        <f ca="1">OFFSET([1]item_type!$A$1,MATCH(Q1273,[1]item_type!$G:$G,0)-1,0)</f>
        <v>302017</v>
      </c>
      <c r="AL1273" s="205"/>
      <c r="AM1273" s="205">
        <f ca="1">IF(B1273=B1274,OFFSET(卡牌辅助配置表!$AE$1,MATCH(AB1273,卡牌辅助配置表!AB:AB,0),0),0)</f>
        <v>1100</v>
      </c>
      <c r="AN1273" s="153">
        <f ca="1" t="shared" si="213"/>
        <v>2017004</v>
      </c>
      <c r="AP1273" s="153">
        <f ca="1">IF(AC1273=0,0,IF(AC1273=12,0,OFFSET(effect!$N$1,MATCH(K1273,effect!M:M,0)-1,0)))</f>
        <v>0</v>
      </c>
    </row>
    <row r="1274" spans="1:42">
      <c r="A1274" s="153">
        <f ca="1" t="shared" si="209"/>
        <v>2017004</v>
      </c>
      <c r="B1274" s="91" t="s">
        <v>291</v>
      </c>
      <c r="C1274" s="186">
        <v>2</v>
      </c>
      <c r="D1274" s="186">
        <v>4</v>
      </c>
      <c r="E1274" s="165" t="s">
        <v>1058</v>
      </c>
      <c r="F1274" s="179" t="s">
        <v>1055</v>
      </c>
      <c r="G1274" s="186">
        <f ca="1">OFFSET(卡牌辅助配置表!$C$1,MATCH(AC1274,卡牌辅助配置表!A:A,0)-1,0)</f>
        <v>0</v>
      </c>
      <c r="H1274" s="186">
        <f ca="1">OFFSET(skill!$Q$1,MATCH(B1274,skill!B:B,0)-1,0)</f>
        <v>10</v>
      </c>
      <c r="I1274" s="186"/>
      <c r="J1274" s="186">
        <f ca="1">OFFSET(card_type!$F$1,MATCH(Q1274,card_type!A:A,0)-1,0)</f>
        <v>3</v>
      </c>
      <c r="K1274" s="243">
        <f ca="1">OFFSET(card_type!$G$1,MATCH(Q1274,card_type!A:A,0)-1,0)</f>
        <v>1</v>
      </c>
      <c r="L1274" s="157">
        <v>3</v>
      </c>
      <c r="M1274" s="157">
        <v>3</v>
      </c>
      <c r="N1274" s="153">
        <f t="shared" si="218"/>
        <v>4</v>
      </c>
      <c r="O1274" s="157"/>
      <c r="P1274" s="157"/>
      <c r="Q1274" s="153">
        <f ca="1">OFFSET(card_type!$A$1,MATCH(card!B1274,card_type!B:B,0)-1,0)</f>
        <v>2017</v>
      </c>
      <c r="R1274" s="153">
        <v>1</v>
      </c>
      <c r="S1274" s="157">
        <f ca="1">ROUND(IF(R1274=0,0,IF(R1274=1,X1274*$S$1,IF(R1274=2,X1274*$S$1*buff的资质计算!$E$2,IF(R1274=3,X1274*$S$1*buff的资质计算!$E$3,0)))),0)*0</f>
        <v>0</v>
      </c>
      <c r="T1274" s="153">
        <v>4</v>
      </c>
      <c r="U1274" s="153">
        <f ca="1" t="shared" si="210"/>
        <v>31</v>
      </c>
      <c r="V1274" s="153">
        <f ca="1">ROUND((OFFSET(卡牌辅助配置表!$O$1,MATCH(U1274,卡牌辅助配置表!M:M,0)-1,0)+(N1274-1)*OFFSET(卡牌辅助配置表!$P$1,MATCH(U1274,卡牌辅助配置表!M:M,0)-1,0))*M1274,2)</f>
        <v>39.02</v>
      </c>
      <c r="W1274" s="157">
        <f ca="1">ROUND(IF(R1274=0,0,IF(R1274=1,X1274*$W$1,IF(R1274=2,X1274*$W$1*buff的资质计算!$E$2,IF(R1274=3,X1274*$W$1*buff的资质计算!$E$3,0)))),2)</f>
        <v>13.95</v>
      </c>
      <c r="X1274" s="157">
        <f ca="1" t="shared" si="216"/>
        <v>46.5</v>
      </c>
      <c r="Y1274" s="157">
        <f ca="1" t="shared" si="214"/>
        <v>56.5</v>
      </c>
      <c r="Z1274" s="304">
        <f ca="1" t="shared" si="217"/>
        <v>18.8333333333333</v>
      </c>
      <c r="AA1274" s="304">
        <f ca="1">OFFSET(卡牌辅助配置表!$AD$1,MATCH(AB1274,卡牌辅助配置表!AB:AB,0)-1,0)</f>
        <v>400</v>
      </c>
      <c r="AB1274" s="304">
        <f ca="1" t="shared" si="211"/>
        <v>3104</v>
      </c>
      <c r="AC1274" s="153">
        <v>12</v>
      </c>
      <c r="AF1274" s="153" t="str">
        <f ca="1" t="shared" si="215"/>
        <v>20170011|</v>
      </c>
      <c r="AJ1274" s="205" t="str">
        <f ca="1" t="shared" si="212"/>
        <v>400023|1300|;</v>
      </c>
      <c r="AK1274" s="205">
        <f ca="1">OFFSET([1]item_type!$A$1,MATCH(Q1274,[1]item_type!$G:$G,0)-1,0)</f>
        <v>302017</v>
      </c>
      <c r="AL1274" s="205"/>
      <c r="AM1274" s="205">
        <f ca="1">IF(B1274=B1275,OFFSET(卡牌辅助配置表!$AE$1,MATCH(AB1274,卡牌辅助配置表!AB:AB,0),0),0)</f>
        <v>1300</v>
      </c>
      <c r="AN1274" s="153">
        <f ca="1" t="shared" si="213"/>
        <v>2017005</v>
      </c>
      <c r="AP1274" s="153">
        <f ca="1">IF(AC1274=0,0,IF(AC1274=12,0,OFFSET(effect!$N$1,MATCH(K1274,effect!M:M,0)-1,0)))</f>
        <v>0</v>
      </c>
    </row>
    <row r="1275" spans="1:42">
      <c r="A1275" s="153">
        <f ca="1" t="shared" si="209"/>
        <v>2017005</v>
      </c>
      <c r="B1275" s="91" t="s">
        <v>291</v>
      </c>
      <c r="C1275" s="186">
        <v>2</v>
      </c>
      <c r="D1275" s="186">
        <v>4</v>
      </c>
      <c r="E1275" s="165" t="s">
        <v>1058</v>
      </c>
      <c r="F1275" s="179" t="s">
        <v>1055</v>
      </c>
      <c r="G1275" s="186">
        <f ca="1">OFFSET(卡牌辅助配置表!$C$1,MATCH(AC1275,卡牌辅助配置表!A:A,0)-1,0)</f>
        <v>0</v>
      </c>
      <c r="H1275" s="186">
        <f ca="1">OFFSET(skill!$Q$1,MATCH(B1275,skill!B:B,0)-1,0)</f>
        <v>10</v>
      </c>
      <c r="I1275" s="186"/>
      <c r="J1275" s="186">
        <f ca="1">OFFSET(card_type!$F$1,MATCH(Q1275,card_type!A:A,0)-1,0)</f>
        <v>3</v>
      </c>
      <c r="K1275" s="243">
        <f ca="1">OFFSET(card_type!$G$1,MATCH(Q1275,card_type!A:A,0)-1,0)</f>
        <v>1</v>
      </c>
      <c r="L1275" s="157">
        <v>3</v>
      </c>
      <c r="M1275" s="157">
        <v>3</v>
      </c>
      <c r="N1275" s="153">
        <f t="shared" si="218"/>
        <v>5</v>
      </c>
      <c r="O1275" s="157"/>
      <c r="P1275" s="157"/>
      <c r="Q1275" s="153">
        <f ca="1">OFFSET(card_type!$A$1,MATCH(card!B1275,card_type!B:B,0)-1,0)</f>
        <v>2017</v>
      </c>
      <c r="R1275" s="153">
        <v>1</v>
      </c>
      <c r="S1275" s="157">
        <f ca="1">ROUND(IF(R1275=0,0,IF(R1275=1,X1275*$S$1,IF(R1275=2,X1275*$S$1*buff的资质计算!$E$2,IF(R1275=3,X1275*$S$1*buff的资质计算!$E$3,0)))),0)*0</f>
        <v>0</v>
      </c>
      <c r="T1275" s="153">
        <v>4</v>
      </c>
      <c r="U1275" s="153">
        <f ca="1" t="shared" si="210"/>
        <v>31</v>
      </c>
      <c r="V1275" s="153">
        <f ca="1">ROUND((OFFSET(卡牌辅助配置表!$O$1,MATCH(U1275,卡牌辅助配置表!M:M,0)-1,0)+(N1275-1)*OFFSET(卡牌辅助配置表!$P$1,MATCH(U1275,卡牌辅助配置表!M:M,0)-1,0))*M1275,2)</f>
        <v>42.55</v>
      </c>
      <c r="W1275" s="157">
        <f ca="1">ROUND(IF(R1275=0,0,IF(R1275=1,X1275*$W$1,IF(R1275=2,X1275*$W$1*buff的资质计算!$E$2,IF(R1275=3,X1275*$W$1*buff的资质计算!$E$3,0)))),2)</f>
        <v>14.1</v>
      </c>
      <c r="X1275" s="157">
        <f ca="1" t="shared" si="216"/>
        <v>47</v>
      </c>
      <c r="Y1275" s="157">
        <f ca="1" t="shared" si="214"/>
        <v>57</v>
      </c>
      <c r="Z1275" s="304">
        <f ca="1" t="shared" si="217"/>
        <v>19</v>
      </c>
      <c r="AA1275" s="304">
        <f ca="1">OFFSET(卡牌辅助配置表!$AD$1,MATCH(AB1275,卡牌辅助配置表!AB:AB,0)-1,0)</f>
        <v>500</v>
      </c>
      <c r="AB1275" s="304">
        <f ca="1" t="shared" si="211"/>
        <v>3105</v>
      </c>
      <c r="AC1275" s="153">
        <v>12</v>
      </c>
      <c r="AF1275" s="153" t="str">
        <f ca="1" t="shared" si="215"/>
        <v>20170011|</v>
      </c>
      <c r="AJ1275" s="205" t="str">
        <f ca="1" t="shared" si="212"/>
        <v>400023|1500|;</v>
      </c>
      <c r="AK1275" s="205">
        <f ca="1">OFFSET([1]item_type!$A$1,MATCH(Q1275,[1]item_type!$G:$G,0)-1,0)</f>
        <v>302017</v>
      </c>
      <c r="AL1275" s="205"/>
      <c r="AM1275" s="205">
        <f ca="1">IF(B1275=B1276,OFFSET(卡牌辅助配置表!$AE$1,MATCH(AB1275,卡牌辅助配置表!AB:AB,0),0),0)</f>
        <v>1500</v>
      </c>
      <c r="AN1275" s="153">
        <f ca="1" t="shared" si="213"/>
        <v>2017006</v>
      </c>
      <c r="AP1275" s="153">
        <f ca="1">IF(AC1275=0,0,IF(AC1275=12,0,OFFSET(effect!$N$1,MATCH(K1275,effect!M:M,0)-1,0)))</f>
        <v>0</v>
      </c>
    </row>
    <row r="1276" spans="1:42">
      <c r="A1276" s="153">
        <f ca="1" t="shared" si="209"/>
        <v>2017006</v>
      </c>
      <c r="B1276" s="91" t="s">
        <v>291</v>
      </c>
      <c r="C1276" s="186">
        <v>2</v>
      </c>
      <c r="D1276" s="186">
        <v>4</v>
      </c>
      <c r="E1276" s="165" t="s">
        <v>1058</v>
      </c>
      <c r="F1276" s="179" t="s">
        <v>1055</v>
      </c>
      <c r="G1276" s="186">
        <f ca="1">OFFSET(卡牌辅助配置表!$C$1,MATCH(AC1276,卡牌辅助配置表!A:A,0)-1,0)</f>
        <v>0</v>
      </c>
      <c r="H1276" s="186">
        <f ca="1">OFFSET(skill!$Q$1,MATCH(B1276,skill!B:B,0)-1,0)</f>
        <v>10</v>
      </c>
      <c r="I1276" s="186"/>
      <c r="J1276" s="186">
        <f ca="1">OFFSET(card_type!$F$1,MATCH(Q1276,card_type!A:A,0)-1,0)</f>
        <v>3</v>
      </c>
      <c r="K1276" s="243">
        <f ca="1">OFFSET(card_type!$G$1,MATCH(Q1276,card_type!A:A,0)-1,0)</f>
        <v>1</v>
      </c>
      <c r="L1276" s="157">
        <v>3</v>
      </c>
      <c r="M1276" s="157">
        <v>3</v>
      </c>
      <c r="N1276" s="153">
        <f t="shared" si="218"/>
        <v>6</v>
      </c>
      <c r="O1276" s="157"/>
      <c r="P1276" s="157"/>
      <c r="Q1276" s="153">
        <f ca="1">OFFSET(card_type!$A$1,MATCH(card!B1276,card_type!B:B,0)-1,0)</f>
        <v>2017</v>
      </c>
      <c r="R1276" s="153">
        <v>1</v>
      </c>
      <c r="S1276" s="157">
        <f ca="1">ROUND(IF(R1276=0,0,IF(R1276=1,X1276*$S$1,IF(R1276=2,X1276*$S$1*buff的资质计算!$E$2,IF(R1276=3,X1276*$S$1*buff的资质计算!$E$3,0)))),0)*0</f>
        <v>0</v>
      </c>
      <c r="T1276" s="153">
        <v>4</v>
      </c>
      <c r="U1276" s="153">
        <f ca="1" t="shared" si="210"/>
        <v>31</v>
      </c>
      <c r="V1276" s="153">
        <f ca="1">ROUND((OFFSET(卡牌辅助配置表!$O$1,MATCH(U1276,卡牌辅助配置表!M:M,0)-1,0)+(N1276-1)*OFFSET(卡牌辅助配置表!$P$1,MATCH(U1276,卡牌辅助配置表!M:M,0)-1,0))*M1276,2)</f>
        <v>46.08</v>
      </c>
      <c r="W1276" s="157">
        <f ca="1">ROUND(IF(R1276=0,0,IF(R1276=1,X1276*$W$1,IF(R1276=2,X1276*$W$1*buff的资质计算!$E$2,IF(R1276=3,X1276*$W$1*buff的资质计算!$E$3,0)))),2)</f>
        <v>14.25</v>
      </c>
      <c r="X1276" s="157">
        <f ca="1" t="shared" si="216"/>
        <v>47.5</v>
      </c>
      <c r="Y1276" s="157">
        <f ca="1" t="shared" si="214"/>
        <v>57.5</v>
      </c>
      <c r="Z1276" s="304">
        <f ca="1" t="shared" si="217"/>
        <v>19.1666666666667</v>
      </c>
      <c r="AA1276" s="304">
        <f ca="1">OFFSET(卡牌辅助配置表!$AD$1,MATCH(AB1276,卡牌辅助配置表!AB:AB,0)-1,0)</f>
        <v>600</v>
      </c>
      <c r="AB1276" s="304">
        <f ca="1" t="shared" si="211"/>
        <v>3106</v>
      </c>
      <c r="AC1276" s="153">
        <v>12</v>
      </c>
      <c r="AF1276" s="153" t="str">
        <f ca="1" t="shared" si="215"/>
        <v>20170011|</v>
      </c>
      <c r="AJ1276" s="205" t="str">
        <f ca="1" t="shared" si="212"/>
        <v>400023|1700|;</v>
      </c>
      <c r="AK1276" s="205">
        <f ca="1">OFFSET([1]item_type!$A$1,MATCH(Q1276,[1]item_type!$G:$G,0)-1,0)</f>
        <v>302017</v>
      </c>
      <c r="AL1276" s="205"/>
      <c r="AM1276" s="205">
        <f ca="1">IF(B1276=B1277,OFFSET(卡牌辅助配置表!$AE$1,MATCH(AB1276,卡牌辅助配置表!AB:AB,0),0),0)</f>
        <v>1700</v>
      </c>
      <c r="AN1276" s="153">
        <f ca="1" t="shared" si="213"/>
        <v>2017007</v>
      </c>
      <c r="AP1276" s="153">
        <f ca="1">IF(AC1276=0,0,IF(AC1276=12,0,OFFSET(effect!$N$1,MATCH(K1276,effect!M:M,0)-1,0)))</f>
        <v>0</v>
      </c>
    </row>
    <row r="1277" spans="1:42">
      <c r="A1277" s="153">
        <f ca="1" t="shared" si="209"/>
        <v>2017007</v>
      </c>
      <c r="B1277" s="91" t="s">
        <v>291</v>
      </c>
      <c r="C1277" s="186">
        <v>2</v>
      </c>
      <c r="D1277" s="186">
        <v>4</v>
      </c>
      <c r="E1277" s="165" t="s">
        <v>1058</v>
      </c>
      <c r="F1277" s="179" t="s">
        <v>1055</v>
      </c>
      <c r="G1277" s="186">
        <f ca="1">OFFSET(卡牌辅助配置表!$C$1,MATCH(AC1277,卡牌辅助配置表!A:A,0)-1,0)</f>
        <v>0</v>
      </c>
      <c r="H1277" s="186">
        <f ca="1">OFFSET(skill!$Q$1,MATCH(B1277,skill!B:B,0)-1,0)</f>
        <v>10</v>
      </c>
      <c r="I1277" s="186"/>
      <c r="J1277" s="186">
        <f ca="1">OFFSET(card_type!$F$1,MATCH(Q1277,card_type!A:A,0)-1,0)</f>
        <v>3</v>
      </c>
      <c r="K1277" s="243">
        <f ca="1">OFFSET(card_type!$G$1,MATCH(Q1277,card_type!A:A,0)-1,0)</f>
        <v>1</v>
      </c>
      <c r="L1277" s="157">
        <v>3</v>
      </c>
      <c r="M1277" s="157">
        <v>3</v>
      </c>
      <c r="N1277" s="153">
        <f t="shared" si="218"/>
        <v>7</v>
      </c>
      <c r="O1277" s="157"/>
      <c r="P1277" s="157"/>
      <c r="Q1277" s="153">
        <f ca="1">OFFSET(card_type!$A$1,MATCH(card!B1277,card_type!B:B,0)-1,0)</f>
        <v>2017</v>
      </c>
      <c r="R1277" s="153">
        <v>1</v>
      </c>
      <c r="S1277" s="157">
        <f ca="1">ROUND(IF(R1277=0,0,IF(R1277=1,X1277*$S$1,IF(R1277=2,X1277*$S$1*buff的资质计算!$E$2,IF(R1277=3,X1277*$S$1*buff的资质计算!$E$3,0)))),0)*0</f>
        <v>0</v>
      </c>
      <c r="T1277" s="153">
        <v>4</v>
      </c>
      <c r="U1277" s="153">
        <f ca="1" t="shared" si="210"/>
        <v>31</v>
      </c>
      <c r="V1277" s="153">
        <f ca="1">ROUND((OFFSET(卡牌辅助配置表!$O$1,MATCH(U1277,卡牌辅助配置表!M:M,0)-1,0)+(N1277-1)*OFFSET(卡牌辅助配置表!$P$1,MATCH(U1277,卡牌辅助配置表!M:M,0)-1,0))*M1277,2)</f>
        <v>49.61</v>
      </c>
      <c r="W1277" s="157">
        <f ca="1">ROUND(IF(R1277=0,0,IF(R1277=1,X1277*$W$1,IF(R1277=2,X1277*$W$1*buff的资质计算!$E$2,IF(R1277=3,X1277*$W$1*buff的资质计算!$E$3,0)))),2)</f>
        <v>14.4</v>
      </c>
      <c r="X1277" s="157">
        <f ca="1" t="shared" si="216"/>
        <v>48</v>
      </c>
      <c r="Y1277" s="157">
        <f ca="1" t="shared" si="214"/>
        <v>58</v>
      </c>
      <c r="Z1277" s="304">
        <f ca="1" t="shared" si="217"/>
        <v>19.3333333333333</v>
      </c>
      <c r="AA1277" s="304">
        <f ca="1">OFFSET(卡牌辅助配置表!$AD$1,MATCH(AB1277,卡牌辅助配置表!AB:AB,0)-1,0)</f>
        <v>700</v>
      </c>
      <c r="AB1277" s="304">
        <f ca="1" t="shared" si="211"/>
        <v>3107</v>
      </c>
      <c r="AC1277" s="153">
        <v>12</v>
      </c>
      <c r="AF1277" s="153" t="str">
        <f ca="1" t="shared" si="215"/>
        <v>20170011|</v>
      </c>
      <c r="AJ1277" s="205" t="str">
        <f ca="1" t="shared" si="212"/>
        <v>400023|1900|;</v>
      </c>
      <c r="AK1277" s="205">
        <f ca="1">OFFSET([1]item_type!$A$1,MATCH(Q1277,[1]item_type!$G:$G,0)-1,0)</f>
        <v>302017</v>
      </c>
      <c r="AL1277" s="205"/>
      <c r="AM1277" s="205">
        <f ca="1">IF(B1277=B1278,OFFSET(卡牌辅助配置表!$AE$1,MATCH(AB1277,卡牌辅助配置表!AB:AB,0),0),0)</f>
        <v>1900</v>
      </c>
      <c r="AN1277" s="153">
        <f ca="1" t="shared" si="213"/>
        <v>2017008</v>
      </c>
      <c r="AP1277" s="153">
        <f ca="1">IF(AC1277=0,0,IF(AC1277=12,0,OFFSET(effect!$N$1,MATCH(K1277,effect!M:M,0)-1,0)))</f>
        <v>0</v>
      </c>
    </row>
    <row r="1278" spans="1:42">
      <c r="A1278" s="153">
        <f ca="1" t="shared" si="209"/>
        <v>2017008</v>
      </c>
      <c r="B1278" s="91" t="s">
        <v>291</v>
      </c>
      <c r="C1278" s="186">
        <v>2</v>
      </c>
      <c r="D1278" s="186">
        <v>4</v>
      </c>
      <c r="E1278" s="165" t="s">
        <v>1058</v>
      </c>
      <c r="F1278" s="179" t="s">
        <v>1055</v>
      </c>
      <c r="G1278" s="186">
        <f ca="1">OFFSET(卡牌辅助配置表!$C$1,MATCH(AC1278,卡牌辅助配置表!A:A,0)-1,0)</f>
        <v>0</v>
      </c>
      <c r="H1278" s="186">
        <f ca="1">OFFSET(skill!$Q$1,MATCH(B1278,skill!B:B,0)-1,0)</f>
        <v>10</v>
      </c>
      <c r="I1278" s="186"/>
      <c r="J1278" s="186">
        <f ca="1">OFFSET(card_type!$F$1,MATCH(Q1278,card_type!A:A,0)-1,0)</f>
        <v>3</v>
      </c>
      <c r="K1278" s="243">
        <f ca="1">OFFSET(card_type!$G$1,MATCH(Q1278,card_type!A:A,0)-1,0)</f>
        <v>1</v>
      </c>
      <c r="L1278" s="157">
        <v>3</v>
      </c>
      <c r="M1278" s="157">
        <v>3</v>
      </c>
      <c r="N1278" s="153">
        <f t="shared" si="218"/>
        <v>8</v>
      </c>
      <c r="O1278" s="157"/>
      <c r="P1278" s="157"/>
      <c r="Q1278" s="153">
        <f ca="1">OFFSET(card_type!$A$1,MATCH(card!B1278,card_type!B:B,0)-1,0)</f>
        <v>2017</v>
      </c>
      <c r="R1278" s="153">
        <v>1</v>
      </c>
      <c r="S1278" s="157">
        <f ca="1">ROUND(IF(R1278=0,0,IF(R1278=1,X1278*$S$1,IF(R1278=2,X1278*$S$1*buff的资质计算!$E$2,IF(R1278=3,X1278*$S$1*buff的资质计算!$E$3,0)))),0)*0</f>
        <v>0</v>
      </c>
      <c r="T1278" s="153">
        <v>4</v>
      </c>
      <c r="U1278" s="153">
        <f ca="1" t="shared" si="210"/>
        <v>31</v>
      </c>
      <c r="V1278" s="153">
        <f ca="1">ROUND((OFFSET(卡牌辅助配置表!$O$1,MATCH(U1278,卡牌辅助配置表!M:M,0)-1,0)+(N1278-1)*OFFSET(卡牌辅助配置表!$P$1,MATCH(U1278,卡牌辅助配置表!M:M,0)-1,0))*M1278,2)</f>
        <v>53.14</v>
      </c>
      <c r="W1278" s="157">
        <f ca="1">ROUND(IF(R1278=0,0,IF(R1278=1,X1278*$W$1,IF(R1278=2,X1278*$W$1*buff的资质计算!$E$2,IF(R1278=3,X1278*$W$1*buff的资质计算!$E$3,0)))),2)</f>
        <v>14.55</v>
      </c>
      <c r="X1278" s="157">
        <f ca="1" t="shared" si="216"/>
        <v>48.5</v>
      </c>
      <c r="Y1278" s="157">
        <f ca="1" t="shared" si="214"/>
        <v>58.5</v>
      </c>
      <c r="Z1278" s="304">
        <f ca="1" t="shared" si="217"/>
        <v>19.5</v>
      </c>
      <c r="AA1278" s="304">
        <f ca="1">OFFSET(卡牌辅助配置表!$AD$1,MATCH(AB1278,卡牌辅助配置表!AB:AB,0)-1,0)</f>
        <v>800</v>
      </c>
      <c r="AB1278" s="304">
        <f ca="1" t="shared" si="211"/>
        <v>3108</v>
      </c>
      <c r="AC1278" s="153">
        <v>12</v>
      </c>
      <c r="AF1278" s="153" t="str">
        <f ca="1" t="shared" si="215"/>
        <v>20170011|</v>
      </c>
      <c r="AJ1278" s="205" t="str">
        <f ca="1" t="shared" si="212"/>
        <v>400023|2100|;</v>
      </c>
      <c r="AK1278" s="205">
        <f ca="1">OFFSET([1]item_type!$A$1,MATCH(Q1278,[1]item_type!$G:$G,0)-1,0)</f>
        <v>302017</v>
      </c>
      <c r="AL1278" s="205"/>
      <c r="AM1278" s="205">
        <f ca="1">IF(B1278=B1279,OFFSET(卡牌辅助配置表!$AE$1,MATCH(AB1278,卡牌辅助配置表!AB:AB,0),0),0)</f>
        <v>2100</v>
      </c>
      <c r="AN1278" s="153">
        <f ca="1" t="shared" si="213"/>
        <v>2017009</v>
      </c>
      <c r="AP1278" s="153">
        <f ca="1">IF(AC1278=0,0,IF(AC1278=12,0,OFFSET(effect!$N$1,MATCH(K1278,effect!M:M,0)-1,0)))</f>
        <v>0</v>
      </c>
    </row>
    <row r="1279" spans="1:42">
      <c r="A1279" s="153">
        <f ca="1" t="shared" si="209"/>
        <v>2017009</v>
      </c>
      <c r="B1279" s="91" t="s">
        <v>291</v>
      </c>
      <c r="C1279" s="186">
        <v>2</v>
      </c>
      <c r="D1279" s="186">
        <v>4</v>
      </c>
      <c r="E1279" s="165" t="s">
        <v>1058</v>
      </c>
      <c r="F1279" s="179" t="s">
        <v>1055</v>
      </c>
      <c r="G1279" s="186">
        <f ca="1">OFFSET(卡牌辅助配置表!$C$1,MATCH(AC1279,卡牌辅助配置表!A:A,0)-1,0)</f>
        <v>0</v>
      </c>
      <c r="H1279" s="186">
        <f ca="1">OFFSET(skill!$Q$1,MATCH(B1279,skill!B:B,0)-1,0)</f>
        <v>10</v>
      </c>
      <c r="I1279" s="186"/>
      <c r="J1279" s="186">
        <f ca="1">OFFSET(card_type!$F$1,MATCH(Q1279,card_type!A:A,0)-1,0)</f>
        <v>3</v>
      </c>
      <c r="K1279" s="243">
        <f ca="1">OFFSET(card_type!$G$1,MATCH(Q1279,card_type!A:A,0)-1,0)</f>
        <v>1</v>
      </c>
      <c r="L1279" s="157">
        <v>3</v>
      </c>
      <c r="M1279" s="157">
        <v>3</v>
      </c>
      <c r="N1279" s="153">
        <f t="shared" si="218"/>
        <v>9</v>
      </c>
      <c r="O1279" s="157"/>
      <c r="P1279" s="157"/>
      <c r="Q1279" s="153">
        <f ca="1">OFFSET(card_type!$A$1,MATCH(card!B1279,card_type!B:B,0)-1,0)</f>
        <v>2017</v>
      </c>
      <c r="R1279" s="153">
        <v>1</v>
      </c>
      <c r="S1279" s="157">
        <f ca="1">ROUND(IF(R1279=0,0,IF(R1279=1,X1279*$S$1,IF(R1279=2,X1279*$S$1*buff的资质计算!$E$2,IF(R1279=3,X1279*$S$1*buff的资质计算!$E$3,0)))),0)*0</f>
        <v>0</v>
      </c>
      <c r="T1279" s="153">
        <v>4</v>
      </c>
      <c r="U1279" s="153">
        <f ca="1" t="shared" si="210"/>
        <v>31</v>
      </c>
      <c r="V1279" s="153">
        <f ca="1">ROUND((OFFSET(卡牌辅助配置表!$O$1,MATCH(U1279,卡牌辅助配置表!M:M,0)-1,0)+(N1279-1)*OFFSET(卡牌辅助配置表!$P$1,MATCH(U1279,卡牌辅助配置表!M:M,0)-1,0))*M1279,2)</f>
        <v>56.67</v>
      </c>
      <c r="W1279" s="157">
        <f ca="1">ROUND(IF(R1279=0,0,IF(R1279=1,X1279*$W$1,IF(R1279=2,X1279*$W$1*buff的资质计算!$E$2,IF(R1279=3,X1279*$W$1*buff的资质计算!$E$3,0)))),2)</f>
        <v>14.7</v>
      </c>
      <c r="X1279" s="157">
        <f ca="1" t="shared" si="216"/>
        <v>49</v>
      </c>
      <c r="Y1279" s="157">
        <f ca="1" t="shared" si="214"/>
        <v>59</v>
      </c>
      <c r="Z1279" s="304">
        <f ca="1" t="shared" si="217"/>
        <v>19.6666666666667</v>
      </c>
      <c r="AA1279" s="304">
        <f ca="1">OFFSET(卡牌辅助配置表!$AD$1,MATCH(AB1279,卡牌辅助配置表!AB:AB,0)-1,0)</f>
        <v>900</v>
      </c>
      <c r="AB1279" s="304">
        <f ca="1" t="shared" si="211"/>
        <v>3109</v>
      </c>
      <c r="AC1279" s="153">
        <v>12</v>
      </c>
      <c r="AF1279" s="153" t="str">
        <f ca="1" t="shared" si="215"/>
        <v>20170011|</v>
      </c>
      <c r="AJ1279" s="205" t="str">
        <f ca="1" t="shared" si="212"/>
        <v>302017|15|;400023|2300|;</v>
      </c>
      <c r="AK1279" s="205">
        <f ca="1">OFFSET([1]item_type!$A$1,MATCH(Q1279,[1]item_type!$G:$G,0)-1,0)</f>
        <v>302017</v>
      </c>
      <c r="AL1279" s="205">
        <v>15</v>
      </c>
      <c r="AM1279" s="205">
        <f ca="1">IF(B1279=B1280,OFFSET(卡牌辅助配置表!$AE$1,MATCH(AB1279,卡牌辅助配置表!AB:AB,0),0),0)</f>
        <v>2300</v>
      </c>
      <c r="AN1279" s="153">
        <f ca="1" t="shared" si="213"/>
        <v>2017010</v>
      </c>
      <c r="AP1279" s="153">
        <f ca="1">IF(AC1279=0,0,IF(AC1279=12,0,OFFSET(effect!$N$1,MATCH(K1279,effect!M:M,0)-1,0)))</f>
        <v>0</v>
      </c>
    </row>
    <row r="1280" spans="1:42">
      <c r="A1280" s="153">
        <f ca="1" t="shared" si="209"/>
        <v>2017010</v>
      </c>
      <c r="B1280" s="91" t="s">
        <v>291</v>
      </c>
      <c r="C1280" s="186">
        <v>2</v>
      </c>
      <c r="D1280" s="186">
        <v>4</v>
      </c>
      <c r="E1280" s="165" t="s">
        <v>1058</v>
      </c>
      <c r="F1280" s="179" t="s">
        <v>1055</v>
      </c>
      <c r="G1280" s="186">
        <f ca="1">OFFSET(卡牌辅助配置表!$C$1,MATCH(AC1280,卡牌辅助配置表!A:A,0)-1,0)</f>
        <v>0</v>
      </c>
      <c r="H1280" s="186">
        <f ca="1">OFFSET(skill!$Q$1,MATCH(B1280,skill!B:B,0)-1,0)</f>
        <v>10</v>
      </c>
      <c r="I1280" s="186"/>
      <c r="J1280" s="186">
        <f ca="1">OFFSET(card_type!$F$1,MATCH(Q1280,card_type!A:A,0)-1,0)</f>
        <v>3</v>
      </c>
      <c r="K1280" s="243">
        <f ca="1">OFFSET(card_type!$G$1,MATCH(Q1280,card_type!A:A,0)-1,0)</f>
        <v>1</v>
      </c>
      <c r="L1280" s="157">
        <v>3</v>
      </c>
      <c r="M1280" s="157">
        <v>3</v>
      </c>
      <c r="N1280" s="153">
        <f t="shared" si="218"/>
        <v>10</v>
      </c>
      <c r="O1280" s="157"/>
      <c r="P1280" s="157"/>
      <c r="Q1280" s="153">
        <f ca="1">OFFSET(card_type!$A$1,MATCH(card!B1280,card_type!B:B,0)-1,0)</f>
        <v>2017</v>
      </c>
      <c r="R1280" s="153">
        <v>1</v>
      </c>
      <c r="S1280" s="157">
        <f ca="1">ROUND(IF(R1280=0,0,IF(R1280=1,X1280*$S$1,IF(R1280=2,X1280*$S$1*buff的资质计算!$E$2,IF(R1280=3,X1280*$S$1*buff的资质计算!$E$3,0)))),0)*0</f>
        <v>0</v>
      </c>
      <c r="T1280" s="153">
        <v>4</v>
      </c>
      <c r="U1280" s="153">
        <f ca="1" t="shared" si="210"/>
        <v>31</v>
      </c>
      <c r="V1280" s="153">
        <f ca="1">ROUND((OFFSET(卡牌辅助配置表!$O$1,MATCH(U1280,卡牌辅助配置表!M:M,0)-1,0)+(N1280-1)*OFFSET(卡牌辅助配置表!$P$1,MATCH(U1280,卡牌辅助配置表!M:M,0)-1,0))*M1280,2)</f>
        <v>60.2</v>
      </c>
      <c r="W1280" s="157">
        <f ca="1">ROUND(IF(R1280=0,0,IF(R1280=1,X1280*$W$1,IF(R1280=2,X1280*$W$1*buff的资质计算!$E$2,IF(R1280=3,X1280*$W$1*buff的资质计算!$E$3,0)))),2)</f>
        <v>14.85</v>
      </c>
      <c r="X1280" s="157">
        <f ca="1" t="shared" si="216"/>
        <v>49.5</v>
      </c>
      <c r="Y1280" s="157">
        <f ca="1" t="shared" si="214"/>
        <v>59.5</v>
      </c>
      <c r="Z1280" s="304">
        <f ca="1" t="shared" si="217"/>
        <v>19.8333333333333</v>
      </c>
      <c r="AA1280" s="304">
        <f ca="1">OFFSET(卡牌辅助配置表!$AD$1,MATCH(AB1280,卡牌辅助配置表!AB:AB,0)-1,0)</f>
        <v>1000</v>
      </c>
      <c r="AB1280" s="304">
        <f ca="1" t="shared" si="211"/>
        <v>3110</v>
      </c>
      <c r="AC1280" s="153">
        <v>12</v>
      </c>
      <c r="AF1280" s="153" t="str">
        <f ca="1" t="shared" si="215"/>
        <v>20170011|</v>
      </c>
      <c r="AJ1280" s="205" t="str">
        <f ca="1" t="shared" si="212"/>
        <v>400023|2700|;</v>
      </c>
      <c r="AK1280" s="205">
        <f ca="1">OFFSET([1]item_type!$A$1,MATCH(Q1280,[1]item_type!$G:$G,0)-1,0)</f>
        <v>302017</v>
      </c>
      <c r="AL1280" s="205"/>
      <c r="AM1280" s="205">
        <f ca="1">IF(B1280=B1281,OFFSET(卡牌辅助配置表!$AE$1,MATCH(AB1280,卡牌辅助配置表!AB:AB,0),0),0)</f>
        <v>2700</v>
      </c>
      <c r="AN1280" s="153">
        <f ca="1" t="shared" si="213"/>
        <v>2017011</v>
      </c>
      <c r="AP1280" s="153">
        <f ca="1">IF(AC1280=0,0,IF(AC1280=12,0,OFFSET(effect!$N$1,MATCH(K1280,effect!M:M,0)-1,0)))</f>
        <v>0</v>
      </c>
    </row>
    <row r="1281" spans="1:42">
      <c r="A1281" s="153">
        <f ca="1" t="shared" si="209"/>
        <v>2017011</v>
      </c>
      <c r="B1281" s="91" t="s">
        <v>291</v>
      </c>
      <c r="C1281" s="186">
        <v>2</v>
      </c>
      <c r="D1281" s="186">
        <v>4</v>
      </c>
      <c r="E1281" s="165" t="s">
        <v>1058</v>
      </c>
      <c r="F1281" s="179" t="s">
        <v>1055</v>
      </c>
      <c r="G1281" s="186">
        <f ca="1">OFFSET(卡牌辅助配置表!$C$1,MATCH(AC1281,卡牌辅助配置表!A:A,0)-1,0)</f>
        <v>0</v>
      </c>
      <c r="H1281" s="186">
        <f ca="1">OFFSET(skill!$Q$1,MATCH(B1281,skill!B:B,0)-1,0)</f>
        <v>10</v>
      </c>
      <c r="I1281" s="186"/>
      <c r="J1281" s="186">
        <f ca="1">OFFSET(card_type!$F$1,MATCH(Q1281,card_type!A:A,0)-1,0)</f>
        <v>3</v>
      </c>
      <c r="K1281" s="243">
        <f ca="1">OFFSET(card_type!$G$1,MATCH(Q1281,card_type!A:A,0)-1,0)</f>
        <v>1</v>
      </c>
      <c r="L1281" s="157">
        <v>3</v>
      </c>
      <c r="M1281" s="157">
        <v>3</v>
      </c>
      <c r="N1281" s="153">
        <f t="shared" si="218"/>
        <v>11</v>
      </c>
      <c r="O1281" s="157"/>
      <c r="P1281" s="157"/>
      <c r="Q1281" s="153">
        <f ca="1">OFFSET(card_type!$A$1,MATCH(card!B1281,card_type!B:B,0)-1,0)</f>
        <v>2017</v>
      </c>
      <c r="R1281" s="153">
        <v>1</v>
      </c>
      <c r="S1281" s="157">
        <f ca="1">ROUND(IF(R1281=0,0,IF(R1281=1,X1281*$S$1,IF(R1281=2,X1281*$S$1*buff的资质计算!$E$2,IF(R1281=3,X1281*$S$1*buff的资质计算!$E$3,0)))),0)*0</f>
        <v>0</v>
      </c>
      <c r="T1281" s="153">
        <v>4</v>
      </c>
      <c r="U1281" s="153">
        <f ca="1" t="shared" si="210"/>
        <v>31</v>
      </c>
      <c r="V1281" s="153">
        <f ca="1">ROUND((OFFSET(卡牌辅助配置表!$O$1,MATCH(U1281,卡牌辅助配置表!M:M,0)-1,0)+(N1281-1)*OFFSET(卡牌辅助配置表!$P$1,MATCH(U1281,卡牌辅助配置表!M:M,0)-1,0))*M1281,2)</f>
        <v>63.73</v>
      </c>
      <c r="W1281" s="157">
        <f ca="1">ROUND(IF(R1281=0,0,IF(R1281=1,X1281*$W$1,IF(R1281=2,X1281*$W$1*buff的资质计算!$E$2,IF(R1281=3,X1281*$W$1*buff的资质计算!$E$3,0)))),2)</f>
        <v>15</v>
      </c>
      <c r="X1281" s="157">
        <f ca="1" t="shared" si="216"/>
        <v>50</v>
      </c>
      <c r="Y1281" s="157">
        <f ca="1" t="shared" si="214"/>
        <v>60</v>
      </c>
      <c r="Z1281" s="304">
        <f ca="1" t="shared" si="217"/>
        <v>20</v>
      </c>
      <c r="AA1281" s="304">
        <f ca="1">OFFSET(卡牌辅助配置表!$AD$1,MATCH(AB1281,卡牌辅助配置表!AB:AB,0)-1,0)</f>
        <v>1149</v>
      </c>
      <c r="AB1281" s="304">
        <f ca="1" t="shared" si="211"/>
        <v>3111</v>
      </c>
      <c r="AC1281" s="153">
        <v>12</v>
      </c>
      <c r="AF1281" s="153" t="str">
        <f ca="1" t="shared" si="215"/>
        <v>20170011|</v>
      </c>
      <c r="AJ1281" s="205" t="str">
        <f ca="1" t="shared" si="212"/>
        <v>400023|3100|;</v>
      </c>
      <c r="AK1281" s="205">
        <f ca="1">OFFSET([1]item_type!$A$1,MATCH(Q1281,[1]item_type!$G:$G,0)-1,0)</f>
        <v>302017</v>
      </c>
      <c r="AL1281" s="205"/>
      <c r="AM1281" s="205">
        <f ca="1">IF(B1281=B1282,OFFSET(卡牌辅助配置表!$AE$1,MATCH(AB1281,卡牌辅助配置表!AB:AB,0),0),0)</f>
        <v>3100</v>
      </c>
      <c r="AN1281" s="153">
        <f ca="1" t="shared" si="213"/>
        <v>2017012</v>
      </c>
      <c r="AP1281" s="153">
        <f ca="1">IF(AC1281=0,0,IF(AC1281=12,0,OFFSET(effect!$N$1,MATCH(K1281,effect!M:M,0)-1,0)))</f>
        <v>0</v>
      </c>
    </row>
    <row r="1282" spans="1:42">
      <c r="A1282" s="153">
        <f ca="1" t="shared" si="209"/>
        <v>2017012</v>
      </c>
      <c r="B1282" s="91" t="s">
        <v>291</v>
      </c>
      <c r="C1282" s="186">
        <v>2</v>
      </c>
      <c r="D1282" s="186">
        <v>4</v>
      </c>
      <c r="E1282" s="165" t="s">
        <v>1058</v>
      </c>
      <c r="F1282" s="179" t="s">
        <v>1055</v>
      </c>
      <c r="G1282" s="186">
        <f ca="1">OFFSET(卡牌辅助配置表!$C$1,MATCH(AC1282,卡牌辅助配置表!A:A,0)-1,0)</f>
        <v>0</v>
      </c>
      <c r="H1282" s="186">
        <f ca="1">OFFSET(skill!$Q$1,MATCH(B1282,skill!B:B,0)-1,0)</f>
        <v>10</v>
      </c>
      <c r="I1282" s="186"/>
      <c r="J1282" s="186">
        <f ca="1">OFFSET(card_type!$F$1,MATCH(Q1282,card_type!A:A,0)-1,0)</f>
        <v>3</v>
      </c>
      <c r="K1282" s="243">
        <f ca="1">OFFSET(card_type!$G$1,MATCH(Q1282,card_type!A:A,0)-1,0)</f>
        <v>1</v>
      </c>
      <c r="L1282" s="157">
        <v>3</v>
      </c>
      <c r="M1282" s="157">
        <v>3</v>
      </c>
      <c r="N1282" s="153">
        <f t="shared" si="218"/>
        <v>12</v>
      </c>
      <c r="O1282" s="157"/>
      <c r="P1282" s="157"/>
      <c r="Q1282" s="153">
        <f ca="1">OFFSET(card_type!$A$1,MATCH(card!B1282,card_type!B:B,0)-1,0)</f>
        <v>2017</v>
      </c>
      <c r="R1282" s="153">
        <v>1</v>
      </c>
      <c r="S1282" s="157">
        <f ca="1">ROUND(IF(R1282=0,0,IF(R1282=1,X1282*$S$1,IF(R1282=2,X1282*$S$1*buff的资质计算!$E$2,IF(R1282=3,X1282*$S$1*buff的资质计算!$E$3,0)))),0)*0</f>
        <v>0</v>
      </c>
      <c r="T1282" s="153">
        <v>4</v>
      </c>
      <c r="U1282" s="153">
        <f ca="1" t="shared" si="210"/>
        <v>31</v>
      </c>
      <c r="V1282" s="153">
        <f ca="1">ROUND((OFFSET(卡牌辅助配置表!$O$1,MATCH(U1282,卡牌辅助配置表!M:M,0)-1,0)+(N1282-1)*OFFSET(卡牌辅助配置表!$P$1,MATCH(U1282,卡牌辅助配置表!M:M,0)-1,0))*M1282,2)</f>
        <v>67.26</v>
      </c>
      <c r="W1282" s="157">
        <f ca="1">ROUND(IF(R1282=0,0,IF(R1282=1,X1282*$W$1,IF(R1282=2,X1282*$W$1*buff的资质计算!$E$2,IF(R1282=3,X1282*$W$1*buff的资质计算!$E$3,0)))),2)</f>
        <v>15.15</v>
      </c>
      <c r="X1282" s="157">
        <f ca="1" t="shared" si="216"/>
        <v>50.5</v>
      </c>
      <c r="Y1282" s="157">
        <f ca="1" t="shared" si="214"/>
        <v>60.5</v>
      </c>
      <c r="Z1282" s="304">
        <f ca="1" t="shared" si="217"/>
        <v>20.1666666666667</v>
      </c>
      <c r="AA1282" s="304">
        <f ca="1">OFFSET(卡牌辅助配置表!$AD$1,MATCH(AB1282,卡牌辅助配置表!AB:AB,0)-1,0)</f>
        <v>1298</v>
      </c>
      <c r="AB1282" s="304">
        <f ca="1" t="shared" si="211"/>
        <v>3112</v>
      </c>
      <c r="AC1282" s="153">
        <v>12</v>
      </c>
      <c r="AF1282" s="153" t="str">
        <f ca="1" t="shared" si="215"/>
        <v>20170011|</v>
      </c>
      <c r="AJ1282" s="205" t="str">
        <f ca="1" t="shared" si="212"/>
        <v>400023|3500|;</v>
      </c>
      <c r="AK1282" s="205">
        <f ca="1">OFFSET([1]item_type!$A$1,MATCH(Q1282,[1]item_type!$G:$G,0)-1,0)</f>
        <v>302017</v>
      </c>
      <c r="AL1282" s="205"/>
      <c r="AM1282" s="205">
        <f ca="1">IF(B1282=B1283,OFFSET(卡牌辅助配置表!$AE$1,MATCH(AB1282,卡牌辅助配置表!AB:AB,0),0),0)</f>
        <v>3500</v>
      </c>
      <c r="AN1282" s="153">
        <f ca="1" t="shared" si="213"/>
        <v>2017013</v>
      </c>
      <c r="AP1282" s="153">
        <f ca="1">IF(AC1282=0,0,IF(AC1282=12,0,OFFSET(effect!$N$1,MATCH(K1282,effect!M:M,0)-1,0)))</f>
        <v>0</v>
      </c>
    </row>
    <row r="1283" spans="1:42">
      <c r="A1283" s="153">
        <f ca="1" t="shared" si="209"/>
        <v>2017013</v>
      </c>
      <c r="B1283" s="91" t="s">
        <v>291</v>
      </c>
      <c r="C1283" s="186">
        <v>2</v>
      </c>
      <c r="D1283" s="186">
        <v>4</v>
      </c>
      <c r="E1283" s="165" t="s">
        <v>1058</v>
      </c>
      <c r="F1283" s="179" t="s">
        <v>1055</v>
      </c>
      <c r="G1283" s="186">
        <f ca="1">OFFSET(卡牌辅助配置表!$C$1,MATCH(AC1283,卡牌辅助配置表!A:A,0)-1,0)</f>
        <v>0</v>
      </c>
      <c r="H1283" s="186">
        <f ca="1">OFFSET(skill!$Q$1,MATCH(B1283,skill!B:B,0)-1,0)</f>
        <v>10</v>
      </c>
      <c r="I1283" s="186"/>
      <c r="J1283" s="186">
        <f ca="1">OFFSET(card_type!$F$1,MATCH(Q1283,card_type!A:A,0)-1,0)</f>
        <v>3</v>
      </c>
      <c r="K1283" s="243">
        <f ca="1">OFFSET(card_type!$G$1,MATCH(Q1283,card_type!A:A,0)-1,0)</f>
        <v>1</v>
      </c>
      <c r="L1283" s="157">
        <v>3</v>
      </c>
      <c r="M1283" s="157">
        <v>3</v>
      </c>
      <c r="N1283" s="153">
        <f t="shared" si="218"/>
        <v>13</v>
      </c>
      <c r="O1283" s="157"/>
      <c r="P1283" s="157"/>
      <c r="Q1283" s="153">
        <f ca="1">OFFSET(card_type!$A$1,MATCH(card!B1283,card_type!B:B,0)-1,0)</f>
        <v>2017</v>
      </c>
      <c r="R1283" s="153">
        <v>1</v>
      </c>
      <c r="S1283" s="157">
        <f ca="1">ROUND(IF(R1283=0,0,IF(R1283=1,X1283*$S$1,IF(R1283=2,X1283*$S$1*buff的资质计算!$E$2,IF(R1283=3,X1283*$S$1*buff的资质计算!$E$3,0)))),0)*0</f>
        <v>0</v>
      </c>
      <c r="T1283" s="153">
        <v>4</v>
      </c>
      <c r="U1283" s="153">
        <f ca="1" t="shared" si="210"/>
        <v>31</v>
      </c>
      <c r="V1283" s="153">
        <f ca="1">ROUND((OFFSET(卡牌辅助配置表!$O$1,MATCH(U1283,卡牌辅助配置表!M:M,0)-1,0)+(N1283-1)*OFFSET(卡牌辅助配置表!$P$1,MATCH(U1283,卡牌辅助配置表!M:M,0)-1,0))*M1283,2)</f>
        <v>70.79</v>
      </c>
      <c r="W1283" s="157">
        <f ca="1">ROUND(IF(R1283=0,0,IF(R1283=1,X1283*$W$1,IF(R1283=2,X1283*$W$1*buff的资质计算!$E$2,IF(R1283=3,X1283*$W$1*buff的资质计算!$E$3,0)))),2)</f>
        <v>15.3</v>
      </c>
      <c r="X1283" s="157">
        <f ca="1" t="shared" si="216"/>
        <v>51</v>
      </c>
      <c r="Y1283" s="157">
        <f ca="1" t="shared" si="214"/>
        <v>61</v>
      </c>
      <c r="Z1283" s="304">
        <f ca="1" t="shared" si="217"/>
        <v>20.3333333333333</v>
      </c>
      <c r="AA1283" s="304">
        <f ca="1">OFFSET(卡牌辅助配置表!$AD$1,MATCH(AB1283,卡牌辅助配置表!AB:AB,0)-1,0)</f>
        <v>1447</v>
      </c>
      <c r="AB1283" s="304">
        <f ca="1" t="shared" si="211"/>
        <v>3113</v>
      </c>
      <c r="AC1283" s="153">
        <v>12</v>
      </c>
      <c r="AF1283" s="153" t="str">
        <f ca="1" t="shared" si="215"/>
        <v>20170011|</v>
      </c>
      <c r="AJ1283" s="205" t="str">
        <f ca="1" t="shared" si="212"/>
        <v>400023|3900|;</v>
      </c>
      <c r="AK1283" s="205">
        <f ca="1">OFFSET([1]item_type!$A$1,MATCH(Q1283,[1]item_type!$G:$G,0)-1,0)</f>
        <v>302017</v>
      </c>
      <c r="AL1283" s="205"/>
      <c r="AM1283" s="205">
        <f ca="1">IF(B1283=B1284,OFFSET(卡牌辅助配置表!$AE$1,MATCH(AB1283,卡牌辅助配置表!AB:AB,0),0),0)</f>
        <v>3900</v>
      </c>
      <c r="AN1283" s="153">
        <f ca="1" t="shared" si="213"/>
        <v>2017014</v>
      </c>
      <c r="AP1283" s="153">
        <f ca="1">IF(AC1283=0,0,IF(AC1283=12,0,OFFSET(effect!$N$1,MATCH(K1283,effect!M:M,0)-1,0)))</f>
        <v>0</v>
      </c>
    </row>
    <row r="1284" spans="1:42">
      <c r="A1284" s="153">
        <f ca="1" t="shared" si="209"/>
        <v>2017014</v>
      </c>
      <c r="B1284" s="91" t="s">
        <v>291</v>
      </c>
      <c r="C1284" s="186">
        <v>2</v>
      </c>
      <c r="D1284" s="186">
        <v>4</v>
      </c>
      <c r="E1284" s="165" t="s">
        <v>1058</v>
      </c>
      <c r="F1284" s="179" t="s">
        <v>1055</v>
      </c>
      <c r="G1284" s="186">
        <f ca="1">OFFSET(卡牌辅助配置表!$C$1,MATCH(AC1284,卡牌辅助配置表!A:A,0)-1,0)</f>
        <v>0</v>
      </c>
      <c r="H1284" s="186">
        <f ca="1">OFFSET(skill!$Q$1,MATCH(B1284,skill!B:B,0)-1,0)</f>
        <v>10</v>
      </c>
      <c r="I1284" s="186"/>
      <c r="J1284" s="186">
        <f ca="1">OFFSET(card_type!$F$1,MATCH(Q1284,card_type!A:A,0)-1,0)</f>
        <v>3</v>
      </c>
      <c r="K1284" s="243">
        <f ca="1">OFFSET(card_type!$G$1,MATCH(Q1284,card_type!A:A,0)-1,0)</f>
        <v>1</v>
      </c>
      <c r="L1284" s="157">
        <v>3</v>
      </c>
      <c r="M1284" s="157">
        <v>3</v>
      </c>
      <c r="N1284" s="153">
        <f t="shared" si="218"/>
        <v>14</v>
      </c>
      <c r="O1284" s="157"/>
      <c r="P1284" s="157"/>
      <c r="Q1284" s="153">
        <f ca="1">OFFSET(card_type!$A$1,MATCH(card!B1284,card_type!B:B,0)-1,0)</f>
        <v>2017</v>
      </c>
      <c r="R1284" s="153">
        <v>1</v>
      </c>
      <c r="S1284" s="157">
        <f ca="1">ROUND(IF(R1284=0,0,IF(R1284=1,X1284*$S$1,IF(R1284=2,X1284*$S$1*buff的资质计算!$E$2,IF(R1284=3,X1284*$S$1*buff的资质计算!$E$3,0)))),0)*0</f>
        <v>0</v>
      </c>
      <c r="T1284" s="153">
        <v>4</v>
      </c>
      <c r="U1284" s="153">
        <f ca="1" t="shared" si="210"/>
        <v>31</v>
      </c>
      <c r="V1284" s="153">
        <f ca="1">ROUND((OFFSET(卡牌辅助配置表!$O$1,MATCH(U1284,卡牌辅助配置表!M:M,0)-1,0)+(N1284-1)*OFFSET(卡牌辅助配置表!$P$1,MATCH(U1284,卡牌辅助配置表!M:M,0)-1,0))*M1284,2)</f>
        <v>74.33</v>
      </c>
      <c r="W1284" s="157">
        <f ca="1">ROUND(IF(R1284=0,0,IF(R1284=1,X1284*$W$1,IF(R1284=2,X1284*$W$1*buff的资质计算!$E$2,IF(R1284=3,X1284*$W$1*buff的资质计算!$E$3,0)))),2)</f>
        <v>15.45</v>
      </c>
      <c r="X1284" s="157">
        <f ca="1" t="shared" si="216"/>
        <v>51.5</v>
      </c>
      <c r="Y1284" s="157">
        <f ca="1" t="shared" si="214"/>
        <v>61.5</v>
      </c>
      <c r="Z1284" s="304">
        <f ca="1" t="shared" si="217"/>
        <v>20.5</v>
      </c>
      <c r="AA1284" s="304">
        <f ca="1">OFFSET(卡牌辅助配置表!$AD$1,MATCH(AB1284,卡牌辅助配置表!AB:AB,0)-1,0)</f>
        <v>1596</v>
      </c>
      <c r="AB1284" s="304">
        <f ca="1" t="shared" si="211"/>
        <v>3114</v>
      </c>
      <c r="AC1284" s="153">
        <v>12</v>
      </c>
      <c r="AF1284" s="153" t="str">
        <f ca="1" t="shared" si="215"/>
        <v>20170011|</v>
      </c>
      <c r="AJ1284" s="205" t="str">
        <f ca="1" t="shared" si="212"/>
        <v>400023|4300|;</v>
      </c>
      <c r="AK1284" s="205">
        <f ca="1">OFFSET([1]item_type!$A$1,MATCH(Q1284,[1]item_type!$G:$G,0)-1,0)</f>
        <v>302017</v>
      </c>
      <c r="AL1284" s="205"/>
      <c r="AM1284" s="205">
        <f ca="1">IF(B1284=B1285,OFFSET(卡牌辅助配置表!$AE$1,MATCH(AB1284,卡牌辅助配置表!AB:AB,0),0),0)</f>
        <v>4300</v>
      </c>
      <c r="AN1284" s="153">
        <f ca="1" t="shared" si="213"/>
        <v>2017015</v>
      </c>
      <c r="AP1284" s="153">
        <f ca="1">IF(AC1284=0,0,IF(AC1284=12,0,OFFSET(effect!$N$1,MATCH(K1284,effect!M:M,0)-1,0)))</f>
        <v>0</v>
      </c>
    </row>
    <row r="1285" spans="1:42">
      <c r="A1285" s="153">
        <f ca="1" t="shared" si="209"/>
        <v>2017015</v>
      </c>
      <c r="B1285" s="91" t="s">
        <v>291</v>
      </c>
      <c r="C1285" s="186">
        <v>2</v>
      </c>
      <c r="D1285" s="186">
        <v>4</v>
      </c>
      <c r="E1285" s="165" t="s">
        <v>1058</v>
      </c>
      <c r="F1285" s="179" t="s">
        <v>1055</v>
      </c>
      <c r="G1285" s="186">
        <f ca="1">OFFSET(卡牌辅助配置表!$C$1,MATCH(AC1285,卡牌辅助配置表!A:A,0)-1,0)</f>
        <v>0</v>
      </c>
      <c r="H1285" s="186">
        <f ca="1">OFFSET(skill!$Q$1,MATCH(B1285,skill!B:B,0)-1,0)</f>
        <v>10</v>
      </c>
      <c r="I1285" s="186"/>
      <c r="J1285" s="186">
        <f ca="1">OFFSET(card_type!$F$1,MATCH(Q1285,card_type!A:A,0)-1,0)</f>
        <v>3</v>
      </c>
      <c r="K1285" s="243">
        <f ca="1">OFFSET(card_type!$G$1,MATCH(Q1285,card_type!A:A,0)-1,0)</f>
        <v>1</v>
      </c>
      <c r="L1285" s="157">
        <v>3</v>
      </c>
      <c r="M1285" s="157">
        <v>3</v>
      </c>
      <c r="N1285" s="153">
        <f t="shared" si="218"/>
        <v>15</v>
      </c>
      <c r="O1285" s="157"/>
      <c r="P1285" s="157"/>
      <c r="Q1285" s="153">
        <f ca="1">OFFSET(card_type!$A$1,MATCH(card!B1285,card_type!B:B,0)-1,0)</f>
        <v>2017</v>
      </c>
      <c r="R1285" s="153">
        <v>1</v>
      </c>
      <c r="S1285" s="157">
        <f ca="1">ROUND(IF(R1285=0,0,IF(R1285=1,X1285*$S$1,IF(R1285=2,X1285*$S$1*buff的资质计算!$E$2,IF(R1285=3,X1285*$S$1*buff的资质计算!$E$3,0)))),0)*0</f>
        <v>0</v>
      </c>
      <c r="T1285" s="153">
        <v>4</v>
      </c>
      <c r="U1285" s="153">
        <f ca="1" t="shared" si="210"/>
        <v>31</v>
      </c>
      <c r="V1285" s="153">
        <f ca="1">ROUND((OFFSET(卡牌辅助配置表!$O$1,MATCH(U1285,卡牌辅助配置表!M:M,0)-1,0)+(N1285-1)*OFFSET(卡牌辅助配置表!$P$1,MATCH(U1285,卡牌辅助配置表!M:M,0)-1,0))*M1285,2)</f>
        <v>77.86</v>
      </c>
      <c r="W1285" s="157">
        <f ca="1">ROUND(IF(R1285=0,0,IF(R1285=1,X1285*$W$1,IF(R1285=2,X1285*$W$1*buff的资质计算!$E$2,IF(R1285=3,X1285*$W$1*buff的资质计算!$E$3,0)))),2)</f>
        <v>15.6</v>
      </c>
      <c r="X1285" s="157">
        <f ca="1" t="shared" si="216"/>
        <v>52</v>
      </c>
      <c r="Y1285" s="157">
        <f ca="1" t="shared" si="214"/>
        <v>62</v>
      </c>
      <c r="Z1285" s="304">
        <f ca="1" t="shared" si="217"/>
        <v>20.6666666666667</v>
      </c>
      <c r="AA1285" s="304">
        <f ca="1">OFFSET(卡牌辅助配置表!$AD$1,MATCH(AB1285,卡牌辅助配置表!AB:AB,0)-1,0)</f>
        <v>1745</v>
      </c>
      <c r="AB1285" s="304">
        <f ca="1" t="shared" si="211"/>
        <v>3115</v>
      </c>
      <c r="AC1285" s="153">
        <v>12</v>
      </c>
      <c r="AF1285" s="153" t="str">
        <f ca="1" t="shared" si="215"/>
        <v>20170011|</v>
      </c>
      <c r="AJ1285" s="205" t="str">
        <f ca="1" t="shared" si="212"/>
        <v>400023|4700|;</v>
      </c>
      <c r="AK1285" s="205">
        <f ca="1">OFFSET([1]item_type!$A$1,MATCH(Q1285,[1]item_type!$G:$G,0)-1,0)</f>
        <v>302017</v>
      </c>
      <c r="AL1285" s="205"/>
      <c r="AM1285" s="205">
        <f ca="1">IF(B1285=B1286,OFFSET(卡牌辅助配置表!$AE$1,MATCH(AB1285,卡牌辅助配置表!AB:AB,0),0),0)</f>
        <v>4700</v>
      </c>
      <c r="AN1285" s="153">
        <f ca="1" t="shared" si="213"/>
        <v>2017016</v>
      </c>
      <c r="AP1285" s="153">
        <f ca="1">IF(AC1285=0,0,IF(AC1285=12,0,OFFSET(effect!$N$1,MATCH(K1285,effect!M:M,0)-1,0)))</f>
        <v>0</v>
      </c>
    </row>
    <row r="1286" spans="1:42">
      <c r="A1286" s="153">
        <f ca="1" t="shared" ref="A1286:A1349" si="219">Q1286*1000+N1286</f>
        <v>2017016</v>
      </c>
      <c r="B1286" s="91" t="s">
        <v>291</v>
      </c>
      <c r="C1286" s="186">
        <v>2</v>
      </c>
      <c r="D1286" s="186">
        <v>4</v>
      </c>
      <c r="E1286" s="165" t="s">
        <v>1058</v>
      </c>
      <c r="F1286" s="179" t="s">
        <v>1055</v>
      </c>
      <c r="G1286" s="186">
        <f ca="1">OFFSET(卡牌辅助配置表!$C$1,MATCH(AC1286,卡牌辅助配置表!A:A,0)-1,0)</f>
        <v>0</v>
      </c>
      <c r="H1286" s="186">
        <f ca="1">OFFSET(skill!$Q$1,MATCH(B1286,skill!B:B,0)-1,0)</f>
        <v>10</v>
      </c>
      <c r="I1286" s="186"/>
      <c r="J1286" s="186">
        <f ca="1">OFFSET(card_type!$F$1,MATCH(Q1286,card_type!A:A,0)-1,0)</f>
        <v>3</v>
      </c>
      <c r="K1286" s="243">
        <f ca="1">OFFSET(card_type!$G$1,MATCH(Q1286,card_type!A:A,0)-1,0)</f>
        <v>1</v>
      </c>
      <c r="L1286" s="157">
        <v>3</v>
      </c>
      <c r="M1286" s="157">
        <v>3</v>
      </c>
      <c r="N1286" s="153">
        <f t="shared" si="218"/>
        <v>16</v>
      </c>
      <c r="O1286" s="157"/>
      <c r="P1286" s="157"/>
      <c r="Q1286" s="153">
        <f ca="1">OFFSET(card_type!$A$1,MATCH(card!B1286,card_type!B:B,0)-1,0)</f>
        <v>2017</v>
      </c>
      <c r="R1286" s="153">
        <v>1</v>
      </c>
      <c r="S1286" s="157">
        <f ca="1">ROUND(IF(R1286=0,0,IF(R1286=1,X1286*$S$1,IF(R1286=2,X1286*$S$1*buff的资质计算!$E$2,IF(R1286=3,X1286*$S$1*buff的资质计算!$E$3,0)))),0)*0</f>
        <v>0</v>
      </c>
      <c r="T1286" s="153">
        <v>4</v>
      </c>
      <c r="U1286" s="153">
        <f ca="1" t="shared" ref="U1286:U1349" si="220">J1286*10+K1286</f>
        <v>31</v>
      </c>
      <c r="V1286" s="153">
        <f ca="1">ROUND((OFFSET(卡牌辅助配置表!$O$1,MATCH(U1286,卡牌辅助配置表!M:M,0)-1,0)+(N1286-1)*OFFSET(卡牌辅助配置表!$P$1,MATCH(U1286,卡牌辅助配置表!M:M,0)-1,0))*M1286,2)</f>
        <v>81.39</v>
      </c>
      <c r="W1286" s="157">
        <f ca="1">ROUND(IF(R1286=0,0,IF(R1286=1,X1286*$W$1,IF(R1286=2,X1286*$W$1*buff的资质计算!$E$2,IF(R1286=3,X1286*$W$1*buff的资质计算!$E$3,0)))),2)</f>
        <v>15.75</v>
      </c>
      <c r="X1286" s="157">
        <f ca="1" t="shared" si="216"/>
        <v>52.5</v>
      </c>
      <c r="Y1286" s="157">
        <f ca="1" t="shared" si="214"/>
        <v>62.5</v>
      </c>
      <c r="Z1286" s="304">
        <f ca="1" t="shared" si="217"/>
        <v>20.8333333333333</v>
      </c>
      <c r="AA1286" s="304">
        <f ca="1">OFFSET(卡牌辅助配置表!$AD$1,MATCH(AB1286,卡牌辅助配置表!AB:AB,0)-1,0)</f>
        <v>1894</v>
      </c>
      <c r="AB1286" s="304">
        <f ca="1" t="shared" ref="AB1286:AB1349" si="221">J1286*1000+K1286*100+N1286</f>
        <v>3116</v>
      </c>
      <c r="AC1286" s="153">
        <v>12</v>
      </c>
      <c r="AF1286" s="153" t="str">
        <f ca="1" t="shared" si="215"/>
        <v>20170011|</v>
      </c>
      <c r="AJ1286" s="205" t="str">
        <f ca="1" t="shared" ref="AJ1286:AJ1349" si="222">IF(AN1286=0,0,IF(AL1286=0,$AM$1&amp;$AF$1&amp;AM1286&amp;$AF$1&amp;$AJ$1,AK1286&amp;$AF$1&amp;AL1286&amp;$AF$1&amp;$AJ$1&amp;$AM$1&amp;$AF$1&amp;AM1286&amp;$AF$1&amp;$AJ$1))</f>
        <v>400023|5100|;</v>
      </c>
      <c r="AK1286" s="205">
        <f ca="1">OFFSET([1]item_type!$A$1,MATCH(Q1286,[1]item_type!$G:$G,0)-1,0)</f>
        <v>302017</v>
      </c>
      <c r="AL1286" s="205"/>
      <c r="AM1286" s="205">
        <f ca="1">IF(B1286=B1287,OFFSET(卡牌辅助配置表!$AE$1,MATCH(AB1286,卡牌辅助配置表!AB:AB,0),0),0)</f>
        <v>5100</v>
      </c>
      <c r="AN1286" s="153">
        <f ca="1" t="shared" ref="AN1286:AN1349" si="223">IF(B1286=B1287,A1286+1,0)</f>
        <v>2017017</v>
      </c>
      <c r="AP1286" s="153">
        <f ca="1">IF(AC1286=0,0,IF(AC1286=12,0,OFFSET(effect!$N$1,MATCH(K1286,effect!M:M,0)-1,0)))</f>
        <v>0</v>
      </c>
    </row>
    <row r="1287" spans="1:42">
      <c r="A1287" s="153">
        <f ca="1" t="shared" si="219"/>
        <v>2017017</v>
      </c>
      <c r="B1287" s="91" t="s">
        <v>291</v>
      </c>
      <c r="C1287" s="186">
        <v>2</v>
      </c>
      <c r="D1287" s="186">
        <v>4</v>
      </c>
      <c r="E1287" s="165" t="s">
        <v>1058</v>
      </c>
      <c r="F1287" s="179" t="s">
        <v>1055</v>
      </c>
      <c r="G1287" s="186">
        <f ca="1">OFFSET(卡牌辅助配置表!$C$1,MATCH(AC1287,卡牌辅助配置表!A:A,0)-1,0)</f>
        <v>0</v>
      </c>
      <c r="H1287" s="186">
        <f ca="1">OFFSET(skill!$Q$1,MATCH(B1287,skill!B:B,0)-1,0)</f>
        <v>10</v>
      </c>
      <c r="I1287" s="186"/>
      <c r="J1287" s="186">
        <f ca="1">OFFSET(card_type!$F$1,MATCH(Q1287,card_type!A:A,0)-1,0)</f>
        <v>3</v>
      </c>
      <c r="K1287" s="243">
        <f ca="1">OFFSET(card_type!$G$1,MATCH(Q1287,card_type!A:A,0)-1,0)</f>
        <v>1</v>
      </c>
      <c r="L1287" s="157">
        <v>3</v>
      </c>
      <c r="M1287" s="157">
        <v>3</v>
      </c>
      <c r="N1287" s="153">
        <f t="shared" si="218"/>
        <v>17</v>
      </c>
      <c r="O1287" s="157"/>
      <c r="P1287" s="157"/>
      <c r="Q1287" s="153">
        <f ca="1">OFFSET(card_type!$A$1,MATCH(card!B1287,card_type!B:B,0)-1,0)</f>
        <v>2017</v>
      </c>
      <c r="R1287" s="153">
        <v>1</v>
      </c>
      <c r="S1287" s="157">
        <f ca="1">ROUND(IF(R1287=0,0,IF(R1287=1,X1287*$S$1,IF(R1287=2,X1287*$S$1*buff的资质计算!$E$2,IF(R1287=3,X1287*$S$1*buff的资质计算!$E$3,0)))),0)*0</f>
        <v>0</v>
      </c>
      <c r="T1287" s="153">
        <v>4</v>
      </c>
      <c r="U1287" s="153">
        <f ca="1" t="shared" si="220"/>
        <v>31</v>
      </c>
      <c r="V1287" s="153">
        <f ca="1">ROUND((OFFSET(卡牌辅助配置表!$O$1,MATCH(U1287,卡牌辅助配置表!M:M,0)-1,0)+(N1287-1)*OFFSET(卡牌辅助配置表!$P$1,MATCH(U1287,卡牌辅助配置表!M:M,0)-1,0))*M1287,2)</f>
        <v>84.92</v>
      </c>
      <c r="W1287" s="157">
        <f ca="1">ROUND(IF(R1287=0,0,IF(R1287=1,X1287*$W$1,IF(R1287=2,X1287*$W$1*buff的资质计算!$E$2,IF(R1287=3,X1287*$W$1*buff的资质计算!$E$3,0)))),2)</f>
        <v>15.9</v>
      </c>
      <c r="X1287" s="157">
        <f ca="1" t="shared" si="216"/>
        <v>53</v>
      </c>
      <c r="Y1287" s="157">
        <f ca="1" t="shared" si="214"/>
        <v>63</v>
      </c>
      <c r="Z1287" s="304">
        <f ca="1" t="shared" si="217"/>
        <v>21</v>
      </c>
      <c r="AA1287" s="304">
        <f ca="1">OFFSET(卡牌辅助配置表!$AD$1,MATCH(AB1287,卡牌辅助配置表!AB:AB,0)-1,0)</f>
        <v>2043</v>
      </c>
      <c r="AB1287" s="304">
        <f ca="1" t="shared" si="221"/>
        <v>3117</v>
      </c>
      <c r="AC1287" s="153">
        <v>12</v>
      </c>
      <c r="AF1287" s="153" t="str">
        <f ca="1" t="shared" si="215"/>
        <v>20170011|</v>
      </c>
      <c r="AJ1287" s="205" t="str">
        <f ca="1" t="shared" si="222"/>
        <v>400023|5500|;</v>
      </c>
      <c r="AK1287" s="205">
        <f ca="1">OFFSET([1]item_type!$A$1,MATCH(Q1287,[1]item_type!$G:$G,0)-1,0)</f>
        <v>302017</v>
      </c>
      <c r="AL1287" s="205"/>
      <c r="AM1287" s="205">
        <f ca="1">IF(B1287=B1288,OFFSET(卡牌辅助配置表!$AE$1,MATCH(AB1287,卡牌辅助配置表!AB:AB,0),0),0)</f>
        <v>5500</v>
      </c>
      <c r="AN1287" s="153">
        <f ca="1" t="shared" si="223"/>
        <v>2017018</v>
      </c>
      <c r="AP1287" s="153">
        <f ca="1">IF(AC1287=0,0,IF(AC1287=12,0,OFFSET(effect!$N$1,MATCH(K1287,effect!M:M,0)-1,0)))</f>
        <v>0</v>
      </c>
    </row>
    <row r="1288" spans="1:42">
      <c r="A1288" s="153">
        <f ca="1" t="shared" si="219"/>
        <v>2017018</v>
      </c>
      <c r="B1288" s="91" t="s">
        <v>291</v>
      </c>
      <c r="C1288" s="186">
        <v>2</v>
      </c>
      <c r="D1288" s="186">
        <v>4</v>
      </c>
      <c r="E1288" s="165" t="s">
        <v>1058</v>
      </c>
      <c r="F1288" s="179" t="s">
        <v>1055</v>
      </c>
      <c r="G1288" s="186">
        <f ca="1">OFFSET(卡牌辅助配置表!$C$1,MATCH(AC1288,卡牌辅助配置表!A:A,0)-1,0)</f>
        <v>0</v>
      </c>
      <c r="H1288" s="186">
        <f ca="1">OFFSET(skill!$Q$1,MATCH(B1288,skill!B:B,0)-1,0)</f>
        <v>10</v>
      </c>
      <c r="I1288" s="186"/>
      <c r="J1288" s="186">
        <f ca="1">OFFSET(card_type!$F$1,MATCH(Q1288,card_type!A:A,0)-1,0)</f>
        <v>3</v>
      </c>
      <c r="K1288" s="243">
        <f ca="1">OFFSET(card_type!$G$1,MATCH(Q1288,card_type!A:A,0)-1,0)</f>
        <v>1</v>
      </c>
      <c r="L1288" s="157">
        <v>3</v>
      </c>
      <c r="M1288" s="157">
        <v>3</v>
      </c>
      <c r="N1288" s="153">
        <f t="shared" si="218"/>
        <v>18</v>
      </c>
      <c r="O1288" s="157"/>
      <c r="P1288" s="157"/>
      <c r="Q1288" s="153">
        <f ca="1">OFFSET(card_type!$A$1,MATCH(card!B1288,card_type!B:B,0)-1,0)</f>
        <v>2017</v>
      </c>
      <c r="R1288" s="153">
        <v>1</v>
      </c>
      <c r="S1288" s="157">
        <f ca="1">ROUND(IF(R1288=0,0,IF(R1288=1,X1288*$S$1,IF(R1288=2,X1288*$S$1*buff的资质计算!$E$2,IF(R1288=3,X1288*$S$1*buff的资质计算!$E$3,0)))),0)*0</f>
        <v>0</v>
      </c>
      <c r="T1288" s="153">
        <v>4</v>
      </c>
      <c r="U1288" s="153">
        <f ca="1" t="shared" si="220"/>
        <v>31</v>
      </c>
      <c r="V1288" s="153">
        <f ca="1">ROUND((OFFSET(卡牌辅助配置表!$O$1,MATCH(U1288,卡牌辅助配置表!M:M,0)-1,0)+(N1288-1)*OFFSET(卡牌辅助配置表!$P$1,MATCH(U1288,卡牌辅助配置表!M:M,0)-1,0))*M1288,2)</f>
        <v>88.45</v>
      </c>
      <c r="W1288" s="157">
        <f ca="1">ROUND(IF(R1288=0,0,IF(R1288=1,X1288*$W$1,IF(R1288=2,X1288*$W$1*buff的资质计算!$E$2,IF(R1288=3,X1288*$W$1*buff的资质计算!$E$3,0)))),2)</f>
        <v>16.05</v>
      </c>
      <c r="X1288" s="157">
        <f ca="1" t="shared" si="216"/>
        <v>53.5</v>
      </c>
      <c r="Y1288" s="157">
        <f ca="1" t="shared" si="214"/>
        <v>63.5</v>
      </c>
      <c r="Z1288" s="304">
        <f ca="1" t="shared" si="217"/>
        <v>21.1666666666667</v>
      </c>
      <c r="AA1288" s="304">
        <f ca="1">OFFSET(卡牌辅助配置表!$AD$1,MATCH(AB1288,卡牌辅助配置表!AB:AB,0)-1,0)</f>
        <v>2192</v>
      </c>
      <c r="AB1288" s="304">
        <f ca="1" t="shared" si="221"/>
        <v>3118</v>
      </c>
      <c r="AC1288" s="153">
        <v>12</v>
      </c>
      <c r="AF1288" s="153" t="str">
        <f ca="1" t="shared" si="215"/>
        <v>20170011|</v>
      </c>
      <c r="AJ1288" s="205" t="str">
        <f ca="1" t="shared" si="222"/>
        <v>400023|5900|;</v>
      </c>
      <c r="AK1288" s="205">
        <f ca="1">OFFSET([1]item_type!$A$1,MATCH(Q1288,[1]item_type!$G:$G,0)-1,0)</f>
        <v>302017</v>
      </c>
      <c r="AL1288" s="205"/>
      <c r="AM1288" s="205">
        <f ca="1">IF(B1288=B1289,OFFSET(卡牌辅助配置表!$AE$1,MATCH(AB1288,卡牌辅助配置表!AB:AB,0),0),0)</f>
        <v>5900</v>
      </c>
      <c r="AN1288" s="153">
        <f ca="1" t="shared" si="223"/>
        <v>2017019</v>
      </c>
      <c r="AP1288" s="153">
        <f ca="1">IF(AC1288=0,0,IF(AC1288=12,0,OFFSET(effect!$N$1,MATCH(K1288,effect!M:M,0)-1,0)))</f>
        <v>0</v>
      </c>
    </row>
    <row r="1289" spans="1:42">
      <c r="A1289" s="153">
        <f ca="1" t="shared" si="219"/>
        <v>2017019</v>
      </c>
      <c r="B1289" s="91" t="s">
        <v>291</v>
      </c>
      <c r="C1289" s="186">
        <v>2</v>
      </c>
      <c r="D1289" s="186">
        <v>4</v>
      </c>
      <c r="E1289" s="165" t="s">
        <v>1058</v>
      </c>
      <c r="F1289" s="179" t="s">
        <v>1055</v>
      </c>
      <c r="G1289" s="186">
        <f ca="1">OFFSET(卡牌辅助配置表!$C$1,MATCH(AC1289,卡牌辅助配置表!A:A,0)-1,0)</f>
        <v>0</v>
      </c>
      <c r="H1289" s="186">
        <f ca="1">OFFSET(skill!$Q$1,MATCH(B1289,skill!B:B,0)-1,0)</f>
        <v>10</v>
      </c>
      <c r="I1289" s="186"/>
      <c r="J1289" s="186">
        <f ca="1">OFFSET(card_type!$F$1,MATCH(Q1289,card_type!A:A,0)-1,0)</f>
        <v>3</v>
      </c>
      <c r="K1289" s="243">
        <f ca="1">OFFSET(card_type!$G$1,MATCH(Q1289,card_type!A:A,0)-1,0)</f>
        <v>1</v>
      </c>
      <c r="L1289" s="157">
        <v>3</v>
      </c>
      <c r="M1289" s="157">
        <v>3</v>
      </c>
      <c r="N1289" s="153">
        <f t="shared" si="218"/>
        <v>19</v>
      </c>
      <c r="O1289" s="157"/>
      <c r="P1289" s="157"/>
      <c r="Q1289" s="153">
        <f ca="1">OFFSET(card_type!$A$1,MATCH(card!B1289,card_type!B:B,0)-1,0)</f>
        <v>2017</v>
      </c>
      <c r="R1289" s="153">
        <v>1</v>
      </c>
      <c r="S1289" s="157">
        <f ca="1">ROUND(IF(R1289=0,0,IF(R1289=1,X1289*$S$1,IF(R1289=2,X1289*$S$1*buff的资质计算!$E$2,IF(R1289=3,X1289*$S$1*buff的资质计算!$E$3,0)))),0)*0</f>
        <v>0</v>
      </c>
      <c r="T1289" s="153">
        <v>4</v>
      </c>
      <c r="U1289" s="153">
        <f ca="1" t="shared" si="220"/>
        <v>31</v>
      </c>
      <c r="V1289" s="153">
        <f ca="1">ROUND((OFFSET(卡牌辅助配置表!$O$1,MATCH(U1289,卡牌辅助配置表!M:M,0)-1,0)+(N1289-1)*OFFSET(卡牌辅助配置表!$P$1,MATCH(U1289,卡牌辅助配置表!M:M,0)-1,0))*M1289,2)</f>
        <v>91.98</v>
      </c>
      <c r="W1289" s="157">
        <f ca="1">ROUND(IF(R1289=0,0,IF(R1289=1,X1289*$W$1,IF(R1289=2,X1289*$W$1*buff的资质计算!$E$2,IF(R1289=3,X1289*$W$1*buff的资质计算!$E$3,0)))),2)</f>
        <v>16.2</v>
      </c>
      <c r="X1289" s="157">
        <f ca="1" t="shared" si="216"/>
        <v>54</v>
      </c>
      <c r="Y1289" s="157">
        <f ca="1" t="shared" si="214"/>
        <v>64</v>
      </c>
      <c r="Z1289" s="304">
        <f ca="1" t="shared" si="217"/>
        <v>21.3333333333333</v>
      </c>
      <c r="AA1289" s="304">
        <f ca="1">OFFSET(卡牌辅助配置表!$AD$1,MATCH(AB1289,卡牌辅助配置表!AB:AB,0)-1,0)</f>
        <v>2341</v>
      </c>
      <c r="AB1289" s="304">
        <f ca="1" t="shared" si="221"/>
        <v>3119</v>
      </c>
      <c r="AC1289" s="153">
        <v>12</v>
      </c>
      <c r="AF1289" s="153" t="str">
        <f ca="1" t="shared" si="215"/>
        <v>20170011|</v>
      </c>
      <c r="AJ1289" s="205" t="str">
        <f ca="1" t="shared" si="222"/>
        <v>302017|20|;400023|6300|;</v>
      </c>
      <c r="AK1289" s="205">
        <f ca="1">OFFSET([1]item_type!$A$1,MATCH(Q1289,[1]item_type!$G:$G,0)-1,0)</f>
        <v>302017</v>
      </c>
      <c r="AL1289" s="205">
        <v>20</v>
      </c>
      <c r="AM1289" s="205">
        <f ca="1">IF(B1289=B1290,OFFSET(卡牌辅助配置表!$AE$1,MATCH(AB1289,卡牌辅助配置表!AB:AB,0),0),0)</f>
        <v>6300</v>
      </c>
      <c r="AN1289" s="153">
        <f ca="1" t="shared" si="223"/>
        <v>2017020</v>
      </c>
      <c r="AP1289" s="153">
        <f ca="1">IF(AC1289=0,0,IF(AC1289=12,0,OFFSET(effect!$N$1,MATCH(K1289,effect!M:M,0)-1,0)))</f>
        <v>0</v>
      </c>
    </row>
    <row r="1290" spans="1:42">
      <c r="A1290" s="153">
        <f ca="1" t="shared" si="219"/>
        <v>2017020</v>
      </c>
      <c r="B1290" s="91" t="s">
        <v>291</v>
      </c>
      <c r="C1290" s="186">
        <v>2</v>
      </c>
      <c r="D1290" s="186">
        <v>4</v>
      </c>
      <c r="E1290" s="165" t="s">
        <v>1058</v>
      </c>
      <c r="F1290" s="179" t="s">
        <v>1055</v>
      </c>
      <c r="G1290" s="186">
        <f ca="1">OFFSET(卡牌辅助配置表!$C$1,MATCH(AC1290,卡牌辅助配置表!A:A,0)-1,0)</f>
        <v>0</v>
      </c>
      <c r="H1290" s="186">
        <f ca="1">OFFSET(skill!$Q$1,MATCH(B1290,skill!B:B,0)-1,0)</f>
        <v>10</v>
      </c>
      <c r="I1290" s="186"/>
      <c r="J1290" s="186">
        <f ca="1">OFFSET(card_type!$F$1,MATCH(Q1290,card_type!A:A,0)-1,0)</f>
        <v>3</v>
      </c>
      <c r="K1290" s="243">
        <f ca="1">OFFSET(card_type!$G$1,MATCH(Q1290,card_type!A:A,0)-1,0)</f>
        <v>1</v>
      </c>
      <c r="L1290" s="157">
        <v>3</v>
      </c>
      <c r="M1290" s="157">
        <v>3</v>
      </c>
      <c r="N1290" s="153">
        <f t="shared" si="218"/>
        <v>20</v>
      </c>
      <c r="O1290" s="157"/>
      <c r="P1290" s="157"/>
      <c r="Q1290" s="153">
        <f ca="1">OFFSET(card_type!$A$1,MATCH(card!B1290,card_type!B:B,0)-1,0)</f>
        <v>2017</v>
      </c>
      <c r="R1290" s="153">
        <v>1</v>
      </c>
      <c r="S1290" s="157">
        <f ca="1">ROUND(IF(R1290=0,0,IF(R1290=1,X1290*$S$1,IF(R1290=2,X1290*$S$1*buff的资质计算!$E$2,IF(R1290=3,X1290*$S$1*buff的资质计算!$E$3,0)))),0)*0</f>
        <v>0</v>
      </c>
      <c r="T1290" s="153">
        <v>4</v>
      </c>
      <c r="U1290" s="153">
        <f ca="1" t="shared" si="220"/>
        <v>31</v>
      </c>
      <c r="V1290" s="153">
        <f ca="1">ROUND((OFFSET(卡牌辅助配置表!$O$1,MATCH(U1290,卡牌辅助配置表!M:M,0)-1,0)+(N1290-1)*OFFSET(卡牌辅助配置表!$P$1,MATCH(U1290,卡牌辅助配置表!M:M,0)-1,0))*M1290,2)</f>
        <v>95.51</v>
      </c>
      <c r="W1290" s="157">
        <f ca="1">ROUND(IF(R1290=0,0,IF(R1290=1,X1290*$W$1,IF(R1290=2,X1290*$W$1*buff的资质计算!$E$2,IF(R1290=3,X1290*$W$1*buff的资质计算!$E$3,0)))),2)</f>
        <v>16.35</v>
      </c>
      <c r="X1290" s="157">
        <f ca="1" t="shared" si="216"/>
        <v>54.5</v>
      </c>
      <c r="Y1290" s="157">
        <f ca="1" t="shared" si="214"/>
        <v>64.5</v>
      </c>
      <c r="Z1290" s="304">
        <f ca="1" t="shared" si="217"/>
        <v>21.5</v>
      </c>
      <c r="AA1290" s="304">
        <f ca="1">OFFSET(卡牌辅助配置表!$AD$1,MATCH(AB1290,卡牌辅助配置表!AB:AB,0)-1,0)</f>
        <v>2490</v>
      </c>
      <c r="AB1290" s="304">
        <f ca="1" t="shared" si="221"/>
        <v>3120</v>
      </c>
      <c r="AC1290" s="153">
        <v>12</v>
      </c>
      <c r="AF1290" s="153" t="str">
        <f ca="1" t="shared" si="215"/>
        <v>20170011|</v>
      </c>
      <c r="AJ1290" s="205" t="str">
        <f ca="1" t="shared" si="222"/>
        <v>400023|7100|;</v>
      </c>
      <c r="AK1290" s="205">
        <f ca="1">OFFSET([1]item_type!$A$1,MATCH(Q1290,[1]item_type!$G:$G,0)-1,0)</f>
        <v>302017</v>
      </c>
      <c r="AL1290" s="205"/>
      <c r="AM1290" s="205">
        <f ca="1">IF(B1290=B1291,OFFSET(卡牌辅助配置表!$AE$1,MATCH(AB1290,卡牌辅助配置表!AB:AB,0),0),0)</f>
        <v>7100</v>
      </c>
      <c r="AN1290" s="153">
        <f ca="1" t="shared" si="223"/>
        <v>2017021</v>
      </c>
      <c r="AP1290" s="153">
        <f ca="1">IF(AC1290=0,0,IF(AC1290=12,0,OFFSET(effect!$N$1,MATCH(K1290,effect!M:M,0)-1,0)))</f>
        <v>0</v>
      </c>
    </row>
    <row r="1291" spans="1:42">
      <c r="A1291" s="153">
        <f ca="1" t="shared" si="219"/>
        <v>2017021</v>
      </c>
      <c r="B1291" s="91" t="s">
        <v>291</v>
      </c>
      <c r="C1291" s="186">
        <v>2</v>
      </c>
      <c r="D1291" s="186">
        <v>4</v>
      </c>
      <c r="E1291" s="165" t="s">
        <v>1058</v>
      </c>
      <c r="F1291" s="179" t="s">
        <v>1055</v>
      </c>
      <c r="G1291" s="186">
        <f ca="1">OFFSET(卡牌辅助配置表!$C$1,MATCH(AC1291,卡牌辅助配置表!A:A,0)-1,0)</f>
        <v>0</v>
      </c>
      <c r="H1291" s="186">
        <f ca="1">OFFSET(skill!$Q$1,MATCH(B1291,skill!B:B,0)-1,0)</f>
        <v>10</v>
      </c>
      <c r="I1291" s="186"/>
      <c r="J1291" s="186">
        <f ca="1">OFFSET(card_type!$F$1,MATCH(Q1291,card_type!A:A,0)-1,0)</f>
        <v>3</v>
      </c>
      <c r="K1291" s="243">
        <f ca="1">OFFSET(card_type!$G$1,MATCH(Q1291,card_type!A:A,0)-1,0)</f>
        <v>1</v>
      </c>
      <c r="L1291" s="157">
        <v>3</v>
      </c>
      <c r="M1291" s="157">
        <v>3</v>
      </c>
      <c r="N1291" s="153">
        <f t="shared" si="218"/>
        <v>21</v>
      </c>
      <c r="O1291" s="157"/>
      <c r="P1291" s="157"/>
      <c r="Q1291" s="153">
        <f ca="1">OFFSET(card_type!$A$1,MATCH(card!B1291,card_type!B:B,0)-1,0)</f>
        <v>2017</v>
      </c>
      <c r="R1291" s="153">
        <v>1</v>
      </c>
      <c r="S1291" s="157">
        <f ca="1">ROUND(IF(R1291=0,0,IF(R1291=1,X1291*$S$1,IF(R1291=2,X1291*$S$1*buff的资质计算!$E$2,IF(R1291=3,X1291*$S$1*buff的资质计算!$E$3,0)))),0)*0</f>
        <v>0</v>
      </c>
      <c r="T1291" s="153">
        <v>4</v>
      </c>
      <c r="U1291" s="153">
        <f ca="1" t="shared" si="220"/>
        <v>31</v>
      </c>
      <c r="V1291" s="153">
        <f ca="1">ROUND((OFFSET(卡牌辅助配置表!$O$1,MATCH(U1291,卡牌辅助配置表!M:M,0)-1,0)+(N1291-1)*OFFSET(卡牌辅助配置表!$P$1,MATCH(U1291,卡牌辅助配置表!M:M,0)-1,0))*M1291,2)</f>
        <v>99.04</v>
      </c>
      <c r="W1291" s="157">
        <f ca="1">ROUND(IF(R1291=0,0,IF(R1291=1,X1291*$W$1,IF(R1291=2,X1291*$W$1*buff的资质计算!$E$2,IF(R1291=3,X1291*$W$1*buff的资质计算!$E$3,0)))),2)</f>
        <v>16.5</v>
      </c>
      <c r="X1291" s="157">
        <f ca="1" t="shared" si="216"/>
        <v>55</v>
      </c>
      <c r="Y1291" s="157">
        <f ca="1" t="shared" si="214"/>
        <v>65</v>
      </c>
      <c r="Z1291" s="304">
        <f ca="1" t="shared" si="217"/>
        <v>21.6666666666667</v>
      </c>
      <c r="AA1291" s="304">
        <f ca="1">OFFSET(卡牌辅助配置表!$AD$1,MATCH(AB1291,卡牌辅助配置表!AB:AB,0)-1,0)</f>
        <v>2689</v>
      </c>
      <c r="AB1291" s="304">
        <f ca="1" t="shared" si="221"/>
        <v>3121</v>
      </c>
      <c r="AC1291" s="153">
        <v>12</v>
      </c>
      <c r="AF1291" s="153" t="str">
        <f ca="1" t="shared" si="215"/>
        <v>20170011|</v>
      </c>
      <c r="AJ1291" s="205" t="str">
        <f ca="1" t="shared" si="222"/>
        <v>400023|7900|;</v>
      </c>
      <c r="AK1291" s="205">
        <f ca="1">OFFSET([1]item_type!$A$1,MATCH(Q1291,[1]item_type!$G:$G,0)-1,0)</f>
        <v>302017</v>
      </c>
      <c r="AL1291" s="205"/>
      <c r="AM1291" s="205">
        <f ca="1">IF(B1291=B1292,OFFSET(卡牌辅助配置表!$AE$1,MATCH(AB1291,卡牌辅助配置表!AB:AB,0),0),0)</f>
        <v>7900</v>
      </c>
      <c r="AN1291" s="153">
        <f ca="1" t="shared" si="223"/>
        <v>2017022</v>
      </c>
      <c r="AP1291" s="153">
        <f ca="1">IF(AC1291=0,0,IF(AC1291=12,0,OFFSET(effect!$N$1,MATCH(K1291,effect!M:M,0)-1,0)))</f>
        <v>0</v>
      </c>
    </row>
    <row r="1292" spans="1:42">
      <c r="A1292" s="153">
        <f ca="1" t="shared" si="219"/>
        <v>2017022</v>
      </c>
      <c r="B1292" s="91" t="s">
        <v>291</v>
      </c>
      <c r="C1292" s="186">
        <v>2</v>
      </c>
      <c r="D1292" s="186">
        <v>4</v>
      </c>
      <c r="E1292" s="165" t="s">
        <v>1058</v>
      </c>
      <c r="F1292" s="179" t="s">
        <v>1055</v>
      </c>
      <c r="G1292" s="186">
        <f ca="1">OFFSET(卡牌辅助配置表!$C$1,MATCH(AC1292,卡牌辅助配置表!A:A,0)-1,0)</f>
        <v>0</v>
      </c>
      <c r="H1292" s="186">
        <f ca="1">OFFSET(skill!$Q$1,MATCH(B1292,skill!B:B,0)-1,0)</f>
        <v>10</v>
      </c>
      <c r="I1292" s="186"/>
      <c r="J1292" s="186">
        <f ca="1">OFFSET(card_type!$F$1,MATCH(Q1292,card_type!A:A,0)-1,0)</f>
        <v>3</v>
      </c>
      <c r="K1292" s="243">
        <f ca="1">OFFSET(card_type!$G$1,MATCH(Q1292,card_type!A:A,0)-1,0)</f>
        <v>1</v>
      </c>
      <c r="L1292" s="157">
        <v>3</v>
      </c>
      <c r="M1292" s="157">
        <v>3</v>
      </c>
      <c r="N1292" s="153">
        <f t="shared" si="218"/>
        <v>22</v>
      </c>
      <c r="O1292" s="157"/>
      <c r="P1292" s="157"/>
      <c r="Q1292" s="153">
        <f ca="1">OFFSET(card_type!$A$1,MATCH(card!B1292,card_type!B:B,0)-1,0)</f>
        <v>2017</v>
      </c>
      <c r="R1292" s="153">
        <v>1</v>
      </c>
      <c r="S1292" s="157">
        <f ca="1">ROUND(IF(R1292=0,0,IF(R1292=1,X1292*$S$1,IF(R1292=2,X1292*$S$1*buff的资质计算!$E$2,IF(R1292=3,X1292*$S$1*buff的资质计算!$E$3,0)))),0)*0</f>
        <v>0</v>
      </c>
      <c r="T1292" s="153">
        <v>4</v>
      </c>
      <c r="U1292" s="153">
        <f ca="1" t="shared" si="220"/>
        <v>31</v>
      </c>
      <c r="V1292" s="153">
        <f ca="1">ROUND((OFFSET(卡牌辅助配置表!$O$1,MATCH(U1292,卡牌辅助配置表!M:M,0)-1,0)+(N1292-1)*OFFSET(卡牌辅助配置表!$P$1,MATCH(U1292,卡牌辅助配置表!M:M,0)-1,0))*M1292,2)</f>
        <v>102.57</v>
      </c>
      <c r="W1292" s="157">
        <f ca="1">ROUND(IF(R1292=0,0,IF(R1292=1,X1292*$W$1,IF(R1292=2,X1292*$W$1*buff的资质计算!$E$2,IF(R1292=3,X1292*$W$1*buff的资质计算!$E$3,0)))),2)</f>
        <v>16.65</v>
      </c>
      <c r="X1292" s="157">
        <f ca="1" t="shared" si="216"/>
        <v>55.5</v>
      </c>
      <c r="Y1292" s="157">
        <f ca="1" t="shared" si="214"/>
        <v>65.5</v>
      </c>
      <c r="Z1292" s="304">
        <f ca="1" t="shared" si="217"/>
        <v>21.8333333333333</v>
      </c>
      <c r="AA1292" s="304">
        <f ca="1">OFFSET(卡牌辅助配置表!$AD$1,MATCH(AB1292,卡牌辅助配置表!AB:AB,0)-1,0)</f>
        <v>2888</v>
      </c>
      <c r="AB1292" s="304">
        <f ca="1" t="shared" si="221"/>
        <v>3122</v>
      </c>
      <c r="AC1292" s="153">
        <v>12</v>
      </c>
      <c r="AF1292" s="153" t="str">
        <f ca="1" t="shared" si="215"/>
        <v>20170011|</v>
      </c>
      <c r="AJ1292" s="205" t="str">
        <f ca="1" t="shared" si="222"/>
        <v>400023|8700|;</v>
      </c>
      <c r="AK1292" s="205">
        <f ca="1">OFFSET([1]item_type!$A$1,MATCH(Q1292,[1]item_type!$G:$G,0)-1,0)</f>
        <v>302017</v>
      </c>
      <c r="AL1292" s="205"/>
      <c r="AM1292" s="205">
        <f ca="1">IF(B1292=B1293,OFFSET(卡牌辅助配置表!$AE$1,MATCH(AB1292,卡牌辅助配置表!AB:AB,0),0),0)</f>
        <v>8700</v>
      </c>
      <c r="AN1292" s="153">
        <f ca="1" t="shared" si="223"/>
        <v>2017023</v>
      </c>
      <c r="AP1292" s="153">
        <f ca="1">IF(AC1292=0,0,IF(AC1292=12,0,OFFSET(effect!$N$1,MATCH(K1292,effect!M:M,0)-1,0)))</f>
        <v>0</v>
      </c>
    </row>
    <row r="1293" spans="1:42">
      <c r="A1293" s="153">
        <f ca="1" t="shared" si="219"/>
        <v>2017023</v>
      </c>
      <c r="B1293" s="91" t="s">
        <v>291</v>
      </c>
      <c r="C1293" s="186">
        <v>2</v>
      </c>
      <c r="D1293" s="186">
        <v>4</v>
      </c>
      <c r="E1293" s="165" t="s">
        <v>1058</v>
      </c>
      <c r="F1293" s="179" t="s">
        <v>1055</v>
      </c>
      <c r="G1293" s="186">
        <f ca="1">OFFSET(卡牌辅助配置表!$C$1,MATCH(AC1293,卡牌辅助配置表!A:A,0)-1,0)</f>
        <v>0</v>
      </c>
      <c r="H1293" s="186">
        <f ca="1">OFFSET(skill!$Q$1,MATCH(B1293,skill!B:B,0)-1,0)</f>
        <v>10</v>
      </c>
      <c r="I1293" s="186"/>
      <c r="J1293" s="186">
        <f ca="1">OFFSET(card_type!$F$1,MATCH(Q1293,card_type!A:A,0)-1,0)</f>
        <v>3</v>
      </c>
      <c r="K1293" s="243">
        <f ca="1">OFFSET(card_type!$G$1,MATCH(Q1293,card_type!A:A,0)-1,0)</f>
        <v>1</v>
      </c>
      <c r="L1293" s="157">
        <v>3</v>
      </c>
      <c r="M1293" s="157">
        <v>3</v>
      </c>
      <c r="N1293" s="153">
        <f t="shared" si="218"/>
        <v>23</v>
      </c>
      <c r="O1293" s="157"/>
      <c r="P1293" s="157"/>
      <c r="Q1293" s="153">
        <f ca="1">OFFSET(card_type!$A$1,MATCH(card!B1293,card_type!B:B,0)-1,0)</f>
        <v>2017</v>
      </c>
      <c r="R1293" s="153">
        <v>1</v>
      </c>
      <c r="S1293" s="157">
        <f ca="1">ROUND(IF(R1293=0,0,IF(R1293=1,X1293*$S$1,IF(R1293=2,X1293*$S$1*buff的资质计算!$E$2,IF(R1293=3,X1293*$S$1*buff的资质计算!$E$3,0)))),0)*0</f>
        <v>0</v>
      </c>
      <c r="T1293" s="153">
        <v>4</v>
      </c>
      <c r="U1293" s="153">
        <f ca="1" t="shared" si="220"/>
        <v>31</v>
      </c>
      <c r="V1293" s="153">
        <f ca="1">ROUND((OFFSET(卡牌辅助配置表!$O$1,MATCH(U1293,卡牌辅助配置表!M:M,0)-1,0)+(N1293-1)*OFFSET(卡牌辅助配置表!$P$1,MATCH(U1293,卡牌辅助配置表!M:M,0)-1,0))*M1293,2)</f>
        <v>106.1</v>
      </c>
      <c r="W1293" s="157">
        <f ca="1">ROUND(IF(R1293=0,0,IF(R1293=1,X1293*$W$1,IF(R1293=2,X1293*$W$1*buff的资质计算!$E$2,IF(R1293=3,X1293*$W$1*buff的资质计算!$E$3,0)))),2)</f>
        <v>16.8</v>
      </c>
      <c r="X1293" s="157">
        <f ca="1" t="shared" si="216"/>
        <v>56</v>
      </c>
      <c r="Y1293" s="157">
        <f ca="1" t="shared" si="214"/>
        <v>66</v>
      </c>
      <c r="Z1293" s="304">
        <f ca="1" t="shared" si="217"/>
        <v>22</v>
      </c>
      <c r="AA1293" s="304">
        <f ca="1">OFFSET(卡牌辅助配置表!$AD$1,MATCH(AB1293,卡牌辅助配置表!AB:AB,0)-1,0)</f>
        <v>3087</v>
      </c>
      <c r="AB1293" s="304">
        <f ca="1" t="shared" si="221"/>
        <v>3123</v>
      </c>
      <c r="AC1293" s="153">
        <v>12</v>
      </c>
      <c r="AF1293" s="153" t="str">
        <f ca="1" t="shared" si="215"/>
        <v>20170011|</v>
      </c>
      <c r="AJ1293" s="205" t="str">
        <f ca="1" t="shared" si="222"/>
        <v>400023|9500|;</v>
      </c>
      <c r="AK1293" s="205">
        <f ca="1">OFFSET([1]item_type!$A$1,MATCH(Q1293,[1]item_type!$G:$G,0)-1,0)</f>
        <v>302017</v>
      </c>
      <c r="AL1293" s="205"/>
      <c r="AM1293" s="205">
        <f ca="1">IF(B1293=B1294,OFFSET(卡牌辅助配置表!$AE$1,MATCH(AB1293,卡牌辅助配置表!AB:AB,0),0),0)</f>
        <v>9500</v>
      </c>
      <c r="AN1293" s="153">
        <f ca="1" t="shared" si="223"/>
        <v>2017024</v>
      </c>
      <c r="AP1293" s="153">
        <f ca="1">IF(AC1293=0,0,IF(AC1293=12,0,OFFSET(effect!$N$1,MATCH(K1293,effect!M:M,0)-1,0)))</f>
        <v>0</v>
      </c>
    </row>
    <row r="1294" spans="1:42">
      <c r="A1294" s="153">
        <f ca="1" t="shared" si="219"/>
        <v>2017024</v>
      </c>
      <c r="B1294" s="91" t="s">
        <v>291</v>
      </c>
      <c r="C1294" s="186">
        <v>2</v>
      </c>
      <c r="D1294" s="186">
        <v>4</v>
      </c>
      <c r="E1294" s="165" t="s">
        <v>1058</v>
      </c>
      <c r="F1294" s="179" t="s">
        <v>1055</v>
      </c>
      <c r="G1294" s="186">
        <f ca="1">OFFSET(卡牌辅助配置表!$C$1,MATCH(AC1294,卡牌辅助配置表!A:A,0)-1,0)</f>
        <v>0</v>
      </c>
      <c r="H1294" s="186">
        <f ca="1">OFFSET(skill!$Q$1,MATCH(B1294,skill!B:B,0)-1,0)</f>
        <v>10</v>
      </c>
      <c r="I1294" s="186"/>
      <c r="J1294" s="186">
        <f ca="1">OFFSET(card_type!$F$1,MATCH(Q1294,card_type!A:A,0)-1,0)</f>
        <v>3</v>
      </c>
      <c r="K1294" s="243">
        <f ca="1">OFFSET(card_type!$G$1,MATCH(Q1294,card_type!A:A,0)-1,0)</f>
        <v>1</v>
      </c>
      <c r="L1294" s="157">
        <v>3</v>
      </c>
      <c r="M1294" s="157">
        <v>3</v>
      </c>
      <c r="N1294" s="153">
        <f t="shared" si="218"/>
        <v>24</v>
      </c>
      <c r="O1294" s="157"/>
      <c r="P1294" s="157"/>
      <c r="Q1294" s="153">
        <f ca="1">OFFSET(card_type!$A$1,MATCH(card!B1294,card_type!B:B,0)-1,0)</f>
        <v>2017</v>
      </c>
      <c r="R1294" s="153">
        <v>1</v>
      </c>
      <c r="S1294" s="157">
        <f ca="1">ROUND(IF(R1294=0,0,IF(R1294=1,X1294*$S$1,IF(R1294=2,X1294*$S$1*buff的资质计算!$E$2,IF(R1294=3,X1294*$S$1*buff的资质计算!$E$3,0)))),0)*0</f>
        <v>0</v>
      </c>
      <c r="T1294" s="153">
        <v>4</v>
      </c>
      <c r="U1294" s="153">
        <f ca="1" t="shared" si="220"/>
        <v>31</v>
      </c>
      <c r="V1294" s="153">
        <f ca="1">ROUND((OFFSET(卡牌辅助配置表!$O$1,MATCH(U1294,卡牌辅助配置表!M:M,0)-1,0)+(N1294-1)*OFFSET(卡牌辅助配置表!$P$1,MATCH(U1294,卡牌辅助配置表!M:M,0)-1,0))*M1294,2)</f>
        <v>109.64</v>
      </c>
      <c r="W1294" s="157">
        <f ca="1">ROUND(IF(R1294=0,0,IF(R1294=1,X1294*$W$1,IF(R1294=2,X1294*$W$1*buff的资质计算!$E$2,IF(R1294=3,X1294*$W$1*buff的资质计算!$E$3,0)))),2)</f>
        <v>16.95</v>
      </c>
      <c r="X1294" s="157">
        <f ca="1" t="shared" si="216"/>
        <v>56.5</v>
      </c>
      <c r="Y1294" s="157">
        <f ca="1" t="shared" si="214"/>
        <v>66.5</v>
      </c>
      <c r="Z1294" s="304">
        <f ca="1" t="shared" si="217"/>
        <v>22.1666666666667</v>
      </c>
      <c r="AA1294" s="304">
        <f ca="1">OFFSET(卡牌辅助配置表!$AD$1,MATCH(AB1294,卡牌辅助配置表!AB:AB,0)-1,0)</f>
        <v>3286</v>
      </c>
      <c r="AB1294" s="304">
        <f ca="1" t="shared" si="221"/>
        <v>3124</v>
      </c>
      <c r="AC1294" s="153">
        <v>12</v>
      </c>
      <c r="AF1294" s="153" t="str">
        <f ca="1" t="shared" si="215"/>
        <v>20170011|</v>
      </c>
      <c r="AJ1294" s="205" t="str">
        <f ca="1" t="shared" si="222"/>
        <v>400023|10300|;</v>
      </c>
      <c r="AK1294" s="205">
        <f ca="1">OFFSET([1]item_type!$A$1,MATCH(Q1294,[1]item_type!$G:$G,0)-1,0)</f>
        <v>302017</v>
      </c>
      <c r="AL1294" s="205"/>
      <c r="AM1294" s="205">
        <f ca="1">IF(B1294=B1295,OFFSET(卡牌辅助配置表!$AE$1,MATCH(AB1294,卡牌辅助配置表!AB:AB,0),0),0)</f>
        <v>10300</v>
      </c>
      <c r="AN1294" s="153">
        <f ca="1" t="shared" si="223"/>
        <v>2017025</v>
      </c>
      <c r="AP1294" s="153">
        <f ca="1">IF(AC1294=0,0,IF(AC1294=12,0,OFFSET(effect!$N$1,MATCH(K1294,effect!M:M,0)-1,0)))</f>
        <v>0</v>
      </c>
    </row>
    <row r="1295" spans="1:42">
      <c r="A1295" s="153">
        <f ca="1" t="shared" si="219"/>
        <v>2017025</v>
      </c>
      <c r="B1295" s="91" t="s">
        <v>291</v>
      </c>
      <c r="C1295" s="186">
        <v>2</v>
      </c>
      <c r="D1295" s="186">
        <v>4</v>
      </c>
      <c r="E1295" s="165" t="s">
        <v>1058</v>
      </c>
      <c r="F1295" s="179" t="s">
        <v>1055</v>
      </c>
      <c r="G1295" s="186">
        <f ca="1">OFFSET(卡牌辅助配置表!$C$1,MATCH(AC1295,卡牌辅助配置表!A:A,0)-1,0)</f>
        <v>0</v>
      </c>
      <c r="H1295" s="186">
        <f ca="1">OFFSET(skill!$Q$1,MATCH(B1295,skill!B:B,0)-1,0)</f>
        <v>10</v>
      </c>
      <c r="I1295" s="186"/>
      <c r="J1295" s="186">
        <f ca="1">OFFSET(card_type!$F$1,MATCH(Q1295,card_type!A:A,0)-1,0)</f>
        <v>3</v>
      </c>
      <c r="K1295" s="243">
        <f ca="1">OFFSET(card_type!$G$1,MATCH(Q1295,card_type!A:A,0)-1,0)</f>
        <v>1</v>
      </c>
      <c r="L1295" s="157">
        <v>3</v>
      </c>
      <c r="M1295" s="157">
        <v>3</v>
      </c>
      <c r="N1295" s="153">
        <f t="shared" si="218"/>
        <v>25</v>
      </c>
      <c r="O1295" s="157"/>
      <c r="P1295" s="157"/>
      <c r="Q1295" s="153">
        <f ca="1">OFFSET(card_type!$A$1,MATCH(card!B1295,card_type!B:B,0)-1,0)</f>
        <v>2017</v>
      </c>
      <c r="R1295" s="153">
        <v>1</v>
      </c>
      <c r="S1295" s="157">
        <f ca="1">ROUND(IF(R1295=0,0,IF(R1295=1,X1295*$S$1,IF(R1295=2,X1295*$S$1*buff的资质计算!$E$2,IF(R1295=3,X1295*$S$1*buff的资质计算!$E$3,0)))),0)*0</f>
        <v>0</v>
      </c>
      <c r="T1295" s="153">
        <v>4</v>
      </c>
      <c r="U1295" s="153">
        <f ca="1" t="shared" si="220"/>
        <v>31</v>
      </c>
      <c r="V1295" s="153">
        <f ca="1">ROUND((OFFSET(卡牌辅助配置表!$O$1,MATCH(U1295,卡牌辅助配置表!M:M,0)-1,0)+(N1295-1)*OFFSET(卡牌辅助配置表!$P$1,MATCH(U1295,卡牌辅助配置表!M:M,0)-1,0))*M1295,2)</f>
        <v>113.17</v>
      </c>
      <c r="W1295" s="157">
        <f ca="1">ROUND(IF(R1295=0,0,IF(R1295=1,X1295*$W$1,IF(R1295=2,X1295*$W$1*buff的资质计算!$E$2,IF(R1295=3,X1295*$W$1*buff的资质计算!$E$3,0)))),2)</f>
        <v>17.1</v>
      </c>
      <c r="X1295" s="157">
        <f ca="1" t="shared" si="216"/>
        <v>57</v>
      </c>
      <c r="Y1295" s="157">
        <f ca="1" t="shared" si="214"/>
        <v>67</v>
      </c>
      <c r="Z1295" s="304">
        <f ca="1" t="shared" si="217"/>
        <v>22.3333333333333</v>
      </c>
      <c r="AA1295" s="304">
        <f ca="1">OFFSET(卡牌辅助配置表!$AD$1,MATCH(AB1295,卡牌辅助配置表!AB:AB,0)-1,0)</f>
        <v>3485</v>
      </c>
      <c r="AB1295" s="304">
        <f ca="1" t="shared" si="221"/>
        <v>3125</v>
      </c>
      <c r="AC1295" s="153">
        <v>12</v>
      </c>
      <c r="AF1295" s="153" t="str">
        <f ca="1" t="shared" si="215"/>
        <v>20170011|</v>
      </c>
      <c r="AJ1295" s="205" t="str">
        <f ca="1" t="shared" si="222"/>
        <v>400023|11100|;</v>
      </c>
      <c r="AK1295" s="205">
        <f ca="1">OFFSET([1]item_type!$A$1,MATCH(Q1295,[1]item_type!$G:$G,0)-1,0)</f>
        <v>302017</v>
      </c>
      <c r="AL1295" s="205"/>
      <c r="AM1295" s="205">
        <f ca="1">IF(B1295=B1296,OFFSET(卡牌辅助配置表!$AE$1,MATCH(AB1295,卡牌辅助配置表!AB:AB,0),0),0)</f>
        <v>11100</v>
      </c>
      <c r="AN1295" s="153">
        <f ca="1" t="shared" si="223"/>
        <v>2017026</v>
      </c>
      <c r="AP1295" s="153">
        <f ca="1">IF(AC1295=0,0,IF(AC1295=12,0,OFFSET(effect!$N$1,MATCH(K1295,effect!M:M,0)-1,0)))</f>
        <v>0</v>
      </c>
    </row>
    <row r="1296" spans="1:42">
      <c r="A1296" s="153">
        <f ca="1" t="shared" si="219"/>
        <v>2017026</v>
      </c>
      <c r="B1296" s="91" t="s">
        <v>291</v>
      </c>
      <c r="C1296" s="186">
        <v>2</v>
      </c>
      <c r="D1296" s="186">
        <v>4</v>
      </c>
      <c r="E1296" s="165" t="s">
        <v>1058</v>
      </c>
      <c r="F1296" s="179" t="s">
        <v>1055</v>
      </c>
      <c r="G1296" s="186">
        <f ca="1">OFFSET(卡牌辅助配置表!$C$1,MATCH(AC1296,卡牌辅助配置表!A:A,0)-1,0)</f>
        <v>0</v>
      </c>
      <c r="H1296" s="186">
        <f ca="1">OFFSET(skill!$Q$1,MATCH(B1296,skill!B:B,0)-1,0)</f>
        <v>10</v>
      </c>
      <c r="I1296" s="186"/>
      <c r="J1296" s="186">
        <f ca="1">OFFSET(card_type!$F$1,MATCH(Q1296,card_type!A:A,0)-1,0)</f>
        <v>3</v>
      </c>
      <c r="K1296" s="243">
        <f ca="1">OFFSET(card_type!$G$1,MATCH(Q1296,card_type!A:A,0)-1,0)</f>
        <v>1</v>
      </c>
      <c r="L1296" s="157">
        <v>3</v>
      </c>
      <c r="M1296" s="157">
        <v>3</v>
      </c>
      <c r="N1296" s="153">
        <f t="shared" si="218"/>
        <v>26</v>
      </c>
      <c r="O1296" s="157"/>
      <c r="P1296" s="157"/>
      <c r="Q1296" s="153">
        <f ca="1">OFFSET(card_type!$A$1,MATCH(card!B1296,card_type!B:B,0)-1,0)</f>
        <v>2017</v>
      </c>
      <c r="R1296" s="153">
        <v>1</v>
      </c>
      <c r="S1296" s="157">
        <f ca="1">ROUND(IF(R1296=0,0,IF(R1296=1,X1296*$S$1,IF(R1296=2,X1296*$S$1*buff的资质计算!$E$2,IF(R1296=3,X1296*$S$1*buff的资质计算!$E$3,0)))),0)*0</f>
        <v>0</v>
      </c>
      <c r="T1296" s="153">
        <v>4</v>
      </c>
      <c r="U1296" s="153">
        <f ca="1" t="shared" si="220"/>
        <v>31</v>
      </c>
      <c r="V1296" s="153">
        <f ca="1">ROUND((OFFSET(卡牌辅助配置表!$O$1,MATCH(U1296,卡牌辅助配置表!M:M,0)-1,0)+(N1296-1)*OFFSET(卡牌辅助配置表!$P$1,MATCH(U1296,卡牌辅助配置表!M:M,0)-1,0))*M1296,2)</f>
        <v>116.7</v>
      </c>
      <c r="W1296" s="157">
        <f ca="1">ROUND(IF(R1296=0,0,IF(R1296=1,X1296*$W$1,IF(R1296=2,X1296*$W$1*buff的资质计算!$E$2,IF(R1296=3,X1296*$W$1*buff的资质计算!$E$3,0)))),2)</f>
        <v>17.25</v>
      </c>
      <c r="X1296" s="157">
        <f ca="1" t="shared" si="216"/>
        <v>57.5</v>
      </c>
      <c r="Y1296" s="157">
        <f ca="1" t="shared" si="214"/>
        <v>67.5</v>
      </c>
      <c r="Z1296" s="304">
        <f ca="1" t="shared" si="217"/>
        <v>22.5</v>
      </c>
      <c r="AA1296" s="304">
        <f ca="1">OFFSET(卡牌辅助配置表!$AD$1,MATCH(AB1296,卡牌辅助配置表!AB:AB,0)-1,0)</f>
        <v>3684</v>
      </c>
      <c r="AB1296" s="304">
        <f ca="1" t="shared" si="221"/>
        <v>3126</v>
      </c>
      <c r="AC1296" s="153">
        <v>12</v>
      </c>
      <c r="AF1296" s="153" t="str">
        <f ca="1" t="shared" si="215"/>
        <v>20170011|</v>
      </c>
      <c r="AJ1296" s="205" t="str">
        <f ca="1" t="shared" si="222"/>
        <v>400023|11900|;</v>
      </c>
      <c r="AK1296" s="205">
        <f ca="1">OFFSET([1]item_type!$A$1,MATCH(Q1296,[1]item_type!$G:$G,0)-1,0)</f>
        <v>302017</v>
      </c>
      <c r="AL1296" s="205"/>
      <c r="AM1296" s="205">
        <f ca="1">IF(B1296=B1297,OFFSET(卡牌辅助配置表!$AE$1,MATCH(AB1296,卡牌辅助配置表!AB:AB,0),0),0)</f>
        <v>11900</v>
      </c>
      <c r="AN1296" s="153">
        <f ca="1" t="shared" si="223"/>
        <v>2017027</v>
      </c>
      <c r="AP1296" s="153">
        <f ca="1">IF(AC1296=0,0,IF(AC1296=12,0,OFFSET(effect!$N$1,MATCH(K1296,effect!M:M,0)-1,0)))</f>
        <v>0</v>
      </c>
    </row>
    <row r="1297" spans="1:42">
      <c r="A1297" s="153">
        <f ca="1" t="shared" si="219"/>
        <v>2017027</v>
      </c>
      <c r="B1297" s="91" t="s">
        <v>291</v>
      </c>
      <c r="C1297" s="186">
        <v>2</v>
      </c>
      <c r="D1297" s="186">
        <v>4</v>
      </c>
      <c r="E1297" s="165" t="s">
        <v>1058</v>
      </c>
      <c r="F1297" s="179" t="s">
        <v>1055</v>
      </c>
      <c r="G1297" s="186">
        <f ca="1">OFFSET(卡牌辅助配置表!$C$1,MATCH(AC1297,卡牌辅助配置表!A:A,0)-1,0)</f>
        <v>0</v>
      </c>
      <c r="H1297" s="186">
        <f ca="1">OFFSET(skill!$Q$1,MATCH(B1297,skill!B:B,0)-1,0)</f>
        <v>10</v>
      </c>
      <c r="I1297" s="186"/>
      <c r="J1297" s="186">
        <f ca="1">OFFSET(card_type!$F$1,MATCH(Q1297,card_type!A:A,0)-1,0)</f>
        <v>3</v>
      </c>
      <c r="K1297" s="243">
        <f ca="1">OFFSET(card_type!$G$1,MATCH(Q1297,card_type!A:A,0)-1,0)</f>
        <v>1</v>
      </c>
      <c r="L1297" s="157">
        <v>3</v>
      </c>
      <c r="M1297" s="157">
        <v>3</v>
      </c>
      <c r="N1297" s="153">
        <f t="shared" si="218"/>
        <v>27</v>
      </c>
      <c r="O1297" s="157"/>
      <c r="P1297" s="157"/>
      <c r="Q1297" s="153">
        <f ca="1">OFFSET(card_type!$A$1,MATCH(card!B1297,card_type!B:B,0)-1,0)</f>
        <v>2017</v>
      </c>
      <c r="R1297" s="153">
        <v>1</v>
      </c>
      <c r="S1297" s="157">
        <f ca="1">ROUND(IF(R1297=0,0,IF(R1297=1,X1297*$S$1,IF(R1297=2,X1297*$S$1*buff的资质计算!$E$2,IF(R1297=3,X1297*$S$1*buff的资质计算!$E$3,0)))),0)*0</f>
        <v>0</v>
      </c>
      <c r="T1297" s="153">
        <v>4</v>
      </c>
      <c r="U1297" s="153">
        <f ca="1" t="shared" si="220"/>
        <v>31</v>
      </c>
      <c r="V1297" s="153">
        <f ca="1">ROUND((OFFSET(卡牌辅助配置表!$O$1,MATCH(U1297,卡牌辅助配置表!M:M,0)-1,0)+(N1297-1)*OFFSET(卡牌辅助配置表!$P$1,MATCH(U1297,卡牌辅助配置表!M:M,0)-1,0))*M1297,2)</f>
        <v>120.23</v>
      </c>
      <c r="W1297" s="157">
        <f ca="1">ROUND(IF(R1297=0,0,IF(R1297=1,X1297*$W$1,IF(R1297=2,X1297*$W$1*buff的资质计算!$E$2,IF(R1297=3,X1297*$W$1*buff的资质计算!$E$3,0)))),2)</f>
        <v>17.4</v>
      </c>
      <c r="X1297" s="157">
        <f ca="1" t="shared" si="216"/>
        <v>58</v>
      </c>
      <c r="Y1297" s="157">
        <f ca="1" t="shared" si="214"/>
        <v>68</v>
      </c>
      <c r="Z1297" s="304">
        <f ca="1" t="shared" si="217"/>
        <v>22.6666666666667</v>
      </c>
      <c r="AA1297" s="304">
        <f ca="1">OFFSET(卡牌辅助配置表!$AD$1,MATCH(AB1297,卡牌辅助配置表!AB:AB,0)-1,0)</f>
        <v>3883</v>
      </c>
      <c r="AB1297" s="304">
        <f ca="1" t="shared" si="221"/>
        <v>3127</v>
      </c>
      <c r="AC1297" s="153">
        <v>12</v>
      </c>
      <c r="AF1297" s="153" t="str">
        <f ca="1" t="shared" si="215"/>
        <v>20170011|</v>
      </c>
      <c r="AJ1297" s="205" t="str">
        <f ca="1" t="shared" si="222"/>
        <v>400023|12700|;</v>
      </c>
      <c r="AK1297" s="205">
        <f ca="1">OFFSET([1]item_type!$A$1,MATCH(Q1297,[1]item_type!$G:$G,0)-1,0)</f>
        <v>302017</v>
      </c>
      <c r="AL1297" s="205"/>
      <c r="AM1297" s="205">
        <f ca="1">IF(B1297=B1298,OFFSET(卡牌辅助配置表!$AE$1,MATCH(AB1297,卡牌辅助配置表!AB:AB,0),0),0)</f>
        <v>12700</v>
      </c>
      <c r="AN1297" s="153">
        <f ca="1" t="shared" si="223"/>
        <v>2017028</v>
      </c>
      <c r="AP1297" s="153">
        <f ca="1">IF(AC1297=0,0,IF(AC1297=12,0,OFFSET(effect!$N$1,MATCH(K1297,effect!M:M,0)-1,0)))</f>
        <v>0</v>
      </c>
    </row>
    <row r="1298" spans="1:42">
      <c r="A1298" s="153">
        <f ca="1" t="shared" si="219"/>
        <v>2017028</v>
      </c>
      <c r="B1298" s="91" t="s">
        <v>291</v>
      </c>
      <c r="C1298" s="186">
        <v>2</v>
      </c>
      <c r="D1298" s="186">
        <v>4</v>
      </c>
      <c r="E1298" s="165" t="s">
        <v>1058</v>
      </c>
      <c r="F1298" s="179" t="s">
        <v>1055</v>
      </c>
      <c r="G1298" s="186">
        <f ca="1">OFFSET(卡牌辅助配置表!$C$1,MATCH(AC1298,卡牌辅助配置表!A:A,0)-1,0)</f>
        <v>0</v>
      </c>
      <c r="H1298" s="186">
        <f ca="1">OFFSET(skill!$Q$1,MATCH(B1298,skill!B:B,0)-1,0)</f>
        <v>10</v>
      </c>
      <c r="I1298" s="186"/>
      <c r="J1298" s="186">
        <f ca="1">OFFSET(card_type!$F$1,MATCH(Q1298,card_type!A:A,0)-1,0)</f>
        <v>3</v>
      </c>
      <c r="K1298" s="243">
        <f ca="1">OFFSET(card_type!$G$1,MATCH(Q1298,card_type!A:A,0)-1,0)</f>
        <v>1</v>
      </c>
      <c r="L1298" s="157">
        <v>3</v>
      </c>
      <c r="M1298" s="157">
        <v>3</v>
      </c>
      <c r="N1298" s="153">
        <f t="shared" si="218"/>
        <v>28</v>
      </c>
      <c r="O1298" s="157"/>
      <c r="P1298" s="157"/>
      <c r="Q1298" s="153">
        <f ca="1">OFFSET(card_type!$A$1,MATCH(card!B1298,card_type!B:B,0)-1,0)</f>
        <v>2017</v>
      </c>
      <c r="R1298" s="153">
        <v>1</v>
      </c>
      <c r="S1298" s="157">
        <f ca="1">ROUND(IF(R1298=0,0,IF(R1298=1,X1298*$S$1,IF(R1298=2,X1298*$S$1*buff的资质计算!$E$2,IF(R1298=3,X1298*$S$1*buff的资质计算!$E$3,0)))),0)*0</f>
        <v>0</v>
      </c>
      <c r="T1298" s="153">
        <v>4</v>
      </c>
      <c r="U1298" s="153">
        <f ca="1" t="shared" si="220"/>
        <v>31</v>
      </c>
      <c r="V1298" s="153">
        <f ca="1">ROUND((OFFSET(卡牌辅助配置表!$O$1,MATCH(U1298,卡牌辅助配置表!M:M,0)-1,0)+(N1298-1)*OFFSET(卡牌辅助配置表!$P$1,MATCH(U1298,卡牌辅助配置表!M:M,0)-1,0))*M1298,2)</f>
        <v>123.76</v>
      </c>
      <c r="W1298" s="157">
        <f ca="1">ROUND(IF(R1298=0,0,IF(R1298=1,X1298*$W$1,IF(R1298=2,X1298*$W$1*buff的资质计算!$E$2,IF(R1298=3,X1298*$W$1*buff的资质计算!$E$3,0)))),2)</f>
        <v>17.55</v>
      </c>
      <c r="X1298" s="157">
        <f ca="1" t="shared" si="216"/>
        <v>58.5</v>
      </c>
      <c r="Y1298" s="157">
        <f ca="1" t="shared" si="214"/>
        <v>68.5</v>
      </c>
      <c r="Z1298" s="304">
        <f ca="1" t="shared" si="217"/>
        <v>22.8333333333333</v>
      </c>
      <c r="AA1298" s="304">
        <f ca="1">OFFSET(卡牌辅助配置表!$AD$1,MATCH(AB1298,卡牌辅助配置表!AB:AB,0)-1,0)</f>
        <v>4082</v>
      </c>
      <c r="AB1298" s="304">
        <f ca="1" t="shared" si="221"/>
        <v>3128</v>
      </c>
      <c r="AC1298" s="153">
        <v>12</v>
      </c>
      <c r="AF1298" s="153" t="str">
        <f ca="1" t="shared" si="215"/>
        <v>20170011|</v>
      </c>
      <c r="AJ1298" s="205" t="str">
        <f ca="1" t="shared" si="222"/>
        <v>400023|13500|;</v>
      </c>
      <c r="AK1298" s="205">
        <f ca="1">OFFSET([1]item_type!$A$1,MATCH(Q1298,[1]item_type!$G:$G,0)-1,0)</f>
        <v>302017</v>
      </c>
      <c r="AL1298" s="205"/>
      <c r="AM1298" s="205">
        <f ca="1">IF(B1298=B1299,OFFSET(卡牌辅助配置表!$AE$1,MATCH(AB1298,卡牌辅助配置表!AB:AB,0),0),0)</f>
        <v>13500</v>
      </c>
      <c r="AN1298" s="153">
        <f ca="1" t="shared" si="223"/>
        <v>2017029</v>
      </c>
      <c r="AP1298" s="153">
        <f ca="1">IF(AC1298=0,0,IF(AC1298=12,0,OFFSET(effect!$N$1,MATCH(K1298,effect!M:M,0)-1,0)))</f>
        <v>0</v>
      </c>
    </row>
    <row r="1299" spans="1:42">
      <c r="A1299" s="153">
        <f ca="1" t="shared" si="219"/>
        <v>2017029</v>
      </c>
      <c r="B1299" s="91" t="s">
        <v>291</v>
      </c>
      <c r="C1299" s="186">
        <v>2</v>
      </c>
      <c r="D1299" s="186">
        <v>4</v>
      </c>
      <c r="E1299" s="165" t="s">
        <v>1058</v>
      </c>
      <c r="F1299" s="179" t="s">
        <v>1055</v>
      </c>
      <c r="G1299" s="186">
        <f ca="1">OFFSET(卡牌辅助配置表!$C$1,MATCH(AC1299,卡牌辅助配置表!A:A,0)-1,0)</f>
        <v>0</v>
      </c>
      <c r="H1299" s="186">
        <f ca="1">OFFSET(skill!$Q$1,MATCH(B1299,skill!B:B,0)-1,0)</f>
        <v>10</v>
      </c>
      <c r="I1299" s="186"/>
      <c r="J1299" s="186">
        <f ca="1">OFFSET(card_type!$F$1,MATCH(Q1299,card_type!A:A,0)-1,0)</f>
        <v>3</v>
      </c>
      <c r="K1299" s="243">
        <f ca="1">OFFSET(card_type!$G$1,MATCH(Q1299,card_type!A:A,0)-1,0)</f>
        <v>1</v>
      </c>
      <c r="L1299" s="157">
        <v>3</v>
      </c>
      <c r="M1299" s="157">
        <v>3</v>
      </c>
      <c r="N1299" s="153">
        <f t="shared" si="218"/>
        <v>29</v>
      </c>
      <c r="O1299" s="157"/>
      <c r="P1299" s="157"/>
      <c r="Q1299" s="153">
        <f ca="1">OFFSET(card_type!$A$1,MATCH(card!B1299,card_type!B:B,0)-1,0)</f>
        <v>2017</v>
      </c>
      <c r="R1299" s="153">
        <v>1</v>
      </c>
      <c r="S1299" s="157">
        <f ca="1">ROUND(IF(R1299=0,0,IF(R1299=1,X1299*$S$1,IF(R1299=2,X1299*$S$1*buff的资质计算!$E$2,IF(R1299=3,X1299*$S$1*buff的资质计算!$E$3,0)))),0)*0</f>
        <v>0</v>
      </c>
      <c r="T1299" s="153">
        <v>4</v>
      </c>
      <c r="U1299" s="153">
        <f ca="1" t="shared" si="220"/>
        <v>31</v>
      </c>
      <c r="V1299" s="153">
        <f ca="1">ROUND((OFFSET(卡牌辅助配置表!$O$1,MATCH(U1299,卡牌辅助配置表!M:M,0)-1,0)+(N1299-1)*OFFSET(卡牌辅助配置表!$P$1,MATCH(U1299,卡牌辅助配置表!M:M,0)-1,0))*M1299,2)</f>
        <v>127.29</v>
      </c>
      <c r="W1299" s="157">
        <f ca="1">ROUND(IF(R1299=0,0,IF(R1299=1,X1299*$W$1,IF(R1299=2,X1299*$W$1*buff的资质计算!$E$2,IF(R1299=3,X1299*$W$1*buff的资质计算!$E$3,0)))),2)</f>
        <v>17.7</v>
      </c>
      <c r="X1299" s="157">
        <f ca="1" t="shared" si="216"/>
        <v>59</v>
      </c>
      <c r="Y1299" s="157">
        <f ca="1" t="shared" si="214"/>
        <v>69</v>
      </c>
      <c r="Z1299" s="304">
        <f ca="1" t="shared" si="217"/>
        <v>23</v>
      </c>
      <c r="AA1299" s="304">
        <f ca="1">OFFSET(卡牌辅助配置表!$AD$1,MATCH(AB1299,卡牌辅助配置表!AB:AB,0)-1,0)</f>
        <v>4281</v>
      </c>
      <c r="AB1299" s="304">
        <f ca="1" t="shared" si="221"/>
        <v>3129</v>
      </c>
      <c r="AC1299" s="153">
        <v>12</v>
      </c>
      <c r="AF1299" s="153" t="str">
        <f ca="1" t="shared" si="215"/>
        <v>20170011|</v>
      </c>
      <c r="AJ1299" s="205" t="str">
        <f ca="1" t="shared" si="222"/>
        <v>302017|30|;400023|14300|;</v>
      </c>
      <c r="AK1299" s="205">
        <f ca="1">OFFSET([1]item_type!$A$1,MATCH(Q1299,[1]item_type!$G:$G,0)-1,0)</f>
        <v>302017</v>
      </c>
      <c r="AL1299" s="205">
        <v>30</v>
      </c>
      <c r="AM1299" s="205">
        <f ca="1">IF(B1299=B1300,OFFSET(卡牌辅助配置表!$AE$1,MATCH(AB1299,卡牌辅助配置表!AB:AB,0),0),0)</f>
        <v>14300</v>
      </c>
      <c r="AN1299" s="153">
        <f ca="1" t="shared" si="223"/>
        <v>2017030</v>
      </c>
      <c r="AP1299" s="153">
        <f ca="1">IF(AC1299=0,0,IF(AC1299=12,0,OFFSET(effect!$N$1,MATCH(K1299,effect!M:M,0)-1,0)))</f>
        <v>0</v>
      </c>
    </row>
    <row r="1300" spans="1:42">
      <c r="A1300" s="153">
        <f ca="1" t="shared" si="219"/>
        <v>2017030</v>
      </c>
      <c r="B1300" s="91" t="s">
        <v>291</v>
      </c>
      <c r="C1300" s="186">
        <v>2</v>
      </c>
      <c r="D1300" s="186">
        <v>4</v>
      </c>
      <c r="E1300" s="165" t="s">
        <v>1058</v>
      </c>
      <c r="F1300" s="179" t="s">
        <v>1055</v>
      </c>
      <c r="G1300" s="186">
        <f ca="1">OFFSET(卡牌辅助配置表!$C$1,MATCH(AC1300,卡牌辅助配置表!A:A,0)-1,0)</f>
        <v>0</v>
      </c>
      <c r="H1300" s="186">
        <f ca="1">OFFSET(skill!$Q$1,MATCH(B1300,skill!B:B,0)-1,0)</f>
        <v>10</v>
      </c>
      <c r="I1300" s="186"/>
      <c r="J1300" s="186">
        <f ca="1">OFFSET(card_type!$F$1,MATCH(Q1300,card_type!A:A,0)-1,0)</f>
        <v>3</v>
      </c>
      <c r="K1300" s="243">
        <f ca="1">OFFSET(card_type!$G$1,MATCH(Q1300,card_type!A:A,0)-1,0)</f>
        <v>1</v>
      </c>
      <c r="L1300" s="157">
        <v>3</v>
      </c>
      <c r="M1300" s="157">
        <v>3</v>
      </c>
      <c r="N1300" s="153">
        <f t="shared" si="218"/>
        <v>30</v>
      </c>
      <c r="O1300" s="157"/>
      <c r="P1300" s="157"/>
      <c r="Q1300" s="153">
        <f ca="1">OFFSET(card_type!$A$1,MATCH(card!B1300,card_type!B:B,0)-1,0)</f>
        <v>2017</v>
      </c>
      <c r="R1300" s="153">
        <v>1</v>
      </c>
      <c r="S1300" s="157">
        <f ca="1">ROUND(IF(R1300=0,0,IF(R1300=1,X1300*$S$1,IF(R1300=2,X1300*$S$1*buff的资质计算!$E$2,IF(R1300=3,X1300*$S$1*buff的资质计算!$E$3,0)))),0)*0</f>
        <v>0</v>
      </c>
      <c r="T1300" s="153">
        <v>4</v>
      </c>
      <c r="U1300" s="153">
        <f ca="1" t="shared" si="220"/>
        <v>31</v>
      </c>
      <c r="V1300" s="153">
        <f ca="1">ROUND((OFFSET(卡牌辅助配置表!$O$1,MATCH(U1300,卡牌辅助配置表!M:M,0)-1,0)+(N1300-1)*OFFSET(卡牌辅助配置表!$P$1,MATCH(U1300,卡牌辅助配置表!M:M,0)-1,0))*M1300,2)</f>
        <v>130.82</v>
      </c>
      <c r="W1300" s="157">
        <f ca="1">ROUND(IF(R1300=0,0,IF(R1300=1,X1300*$W$1,IF(R1300=2,X1300*$W$1*buff的资质计算!$E$2,IF(R1300=3,X1300*$W$1*buff的资质计算!$E$3,0)))),2)</f>
        <v>17.85</v>
      </c>
      <c r="X1300" s="157">
        <f ca="1" t="shared" si="216"/>
        <v>59.5</v>
      </c>
      <c r="Y1300" s="157">
        <f ca="1" t="shared" si="214"/>
        <v>69.5</v>
      </c>
      <c r="Z1300" s="304">
        <f ca="1" t="shared" si="217"/>
        <v>23.1666666666667</v>
      </c>
      <c r="AA1300" s="304">
        <f ca="1">OFFSET(卡牌辅助配置表!$AD$1,MATCH(AB1300,卡牌辅助配置表!AB:AB,0)-1,0)</f>
        <v>4480</v>
      </c>
      <c r="AB1300" s="304">
        <f ca="1" t="shared" si="221"/>
        <v>3130</v>
      </c>
      <c r="AC1300" s="153">
        <v>12</v>
      </c>
      <c r="AF1300" s="153" t="str">
        <f ca="1" t="shared" si="215"/>
        <v>20170011|</v>
      </c>
      <c r="AJ1300" s="205">
        <f ca="1" t="shared" si="222"/>
        <v>0</v>
      </c>
      <c r="AK1300" s="205">
        <f ca="1">OFFSET([1]item_type!$A$1,MATCH(Q1300,[1]item_type!$G:$G,0)-1,0)</f>
        <v>302017</v>
      </c>
      <c r="AL1300" s="205"/>
      <c r="AM1300" s="205">
        <f ca="1">IF(B1300=B1301,OFFSET(卡牌辅助配置表!$AE$1,MATCH(AB1300,卡牌辅助配置表!AB:AB,0),0),0)</f>
        <v>0</v>
      </c>
      <c r="AN1300" s="153">
        <f ca="1" t="shared" si="223"/>
        <v>0</v>
      </c>
      <c r="AP1300" s="153">
        <f ca="1">IF(AC1300=0,0,IF(AC1300=12,0,OFFSET(effect!$N$1,MATCH(K1300,effect!M:M,0)-1,0)))</f>
        <v>0</v>
      </c>
    </row>
    <row r="1301" spans="1:42">
      <c r="A1301" s="153">
        <f ca="1" t="shared" si="219"/>
        <v>2018001</v>
      </c>
      <c r="B1301" s="91" t="s">
        <v>351</v>
      </c>
      <c r="C1301" s="186">
        <v>2</v>
      </c>
      <c r="D1301" s="186">
        <v>1</v>
      </c>
      <c r="E1301" s="165" t="s">
        <v>1058</v>
      </c>
      <c r="F1301" s="165" t="str">
        <f>"上一招为剑法时，增加"&amp;skill!$O$112/100&amp;"%伤害"</f>
        <v>上一招为剑法时，增加45%伤害</v>
      </c>
      <c r="G1301" s="165">
        <v>6</v>
      </c>
      <c r="H1301" s="186">
        <f ca="1">OFFSET(skill!$Q$1,MATCH(B1301,skill!B:B,0)-1,0)</f>
        <v>0.620689655172414</v>
      </c>
      <c r="I1301" s="186"/>
      <c r="J1301" s="186">
        <f ca="1">OFFSET(card_type!$F$1,MATCH(Q1301,card_type!A:A,0)-1,0)</f>
        <v>3</v>
      </c>
      <c r="K1301" s="243">
        <f ca="1">OFFSET(card_type!$G$1,MATCH(Q1301,card_type!A:A,0)-1,0)</f>
        <v>2</v>
      </c>
      <c r="L1301" s="157">
        <v>2</v>
      </c>
      <c r="M1301" s="157">
        <v>2</v>
      </c>
      <c r="N1301" s="153">
        <f t="shared" si="218"/>
        <v>1</v>
      </c>
      <c r="O1301" s="157"/>
      <c r="P1301" s="157"/>
      <c r="Q1301" s="153">
        <f ca="1">OFFSET(card_type!$A$1,MATCH(card!B1301,card_type!B:B,0)-1,0)</f>
        <v>2018</v>
      </c>
      <c r="R1301" s="153">
        <v>1</v>
      </c>
      <c r="S1301" s="157">
        <f ca="1">ROUND(IF(R1301=0,0,IF(R1301=1,X1301*$S$1,IF(R1301=2,X1301*$S$1*buff的资质计算!$E$2,IF(R1301=3,X1301*$S$1*buff的资质计算!$E$3,0)))),0)*0</f>
        <v>0</v>
      </c>
      <c r="T1301" s="153">
        <v>4</v>
      </c>
      <c r="U1301" s="153">
        <f ca="1" t="shared" si="220"/>
        <v>32</v>
      </c>
      <c r="V1301" s="153">
        <f ca="1">ROUND((OFFSET(卡牌辅助配置表!$O$1,MATCH(U1301,卡牌辅助配置表!M:M,0)-1,0)+(N1301-1)*OFFSET(卡牌辅助配置表!$P$1,MATCH(U1301,卡牌辅助配置表!M:M,0)-1,0))*M1301,2)</f>
        <v>28.71</v>
      </c>
      <c r="W1301" s="157">
        <f ca="1">ROUND(IF(R1301=0,0,IF(R1301=1,X1301*$W$1,IF(R1301=2,X1301*$W$1*buff的资质计算!$E$2,IF(R1301=3,X1301*$W$1*buff的资质计算!$E$3,0)))),2)</f>
        <v>13.2</v>
      </c>
      <c r="X1301" s="157">
        <f ca="1" t="shared" si="216"/>
        <v>44</v>
      </c>
      <c r="Y1301" s="157">
        <f ca="1" t="shared" si="214"/>
        <v>44.6206896551724</v>
      </c>
      <c r="Z1301" s="304">
        <f ca="1" t="shared" si="217"/>
        <v>22.3103448275862</v>
      </c>
      <c r="AA1301" s="304">
        <f ca="1">OFFSET(卡牌辅助配置表!$AD$1,MATCH(AB1301,卡牌辅助配置表!AB:AB,0)-1,0)</f>
        <v>199</v>
      </c>
      <c r="AB1301" s="304">
        <f ca="1" t="shared" si="221"/>
        <v>3201</v>
      </c>
      <c r="AC1301" s="153">
        <v>3</v>
      </c>
      <c r="AE1301" s="153">
        <v>2</v>
      </c>
      <c r="AF1301" s="153" t="str">
        <f ca="1" t="shared" si="215"/>
        <v>20180011|</v>
      </c>
      <c r="AJ1301" s="205" t="str">
        <f ca="1" t="shared" si="222"/>
        <v>400023|1050|;</v>
      </c>
      <c r="AK1301" s="205">
        <f ca="1">OFFSET([1]item_type!$A$1,MATCH(Q1301,[1]item_type!$G:$G,0)-1,0)</f>
        <v>302018</v>
      </c>
      <c r="AL1301" s="205"/>
      <c r="AM1301" s="205">
        <f ca="1">IF(B1301=B1302,OFFSET(卡牌辅助配置表!$AE$1,MATCH(AB1301,卡牌辅助配置表!AB:AB,0),0),0)</f>
        <v>1050</v>
      </c>
      <c r="AN1301" s="153">
        <f ca="1" t="shared" si="223"/>
        <v>2018002</v>
      </c>
      <c r="AP1301" s="153" t="str">
        <f ca="1">IF(AC1301=0,0,IF(AC1301=12,0,OFFSET(effect!$N$1,MATCH(K1301,effect!M:M,0)-1,0)))</f>
        <v>kpsx_pt</v>
      </c>
    </row>
    <row r="1302" spans="1:42">
      <c r="A1302" s="153">
        <f ca="1" t="shared" si="219"/>
        <v>2018002</v>
      </c>
      <c r="B1302" s="91" t="s">
        <v>351</v>
      </c>
      <c r="C1302" s="186">
        <v>2</v>
      </c>
      <c r="D1302" s="186">
        <v>1</v>
      </c>
      <c r="E1302" s="165" t="s">
        <v>1058</v>
      </c>
      <c r="F1302" s="165" t="str">
        <f>"上一招为剑法时，增加"&amp;skill!$O$112/100&amp;"%伤害"</f>
        <v>上一招为剑法时，增加45%伤害</v>
      </c>
      <c r="G1302" s="165">
        <v>6</v>
      </c>
      <c r="H1302" s="186">
        <f ca="1">OFFSET(skill!$Q$1,MATCH(B1302,skill!B:B,0)-1,0)</f>
        <v>0.620689655172414</v>
      </c>
      <c r="I1302" s="186"/>
      <c r="J1302" s="186">
        <f ca="1">OFFSET(card_type!$F$1,MATCH(Q1302,card_type!A:A,0)-1,0)</f>
        <v>3</v>
      </c>
      <c r="K1302" s="243">
        <f ca="1">OFFSET(card_type!$G$1,MATCH(Q1302,card_type!A:A,0)-1,0)</f>
        <v>2</v>
      </c>
      <c r="L1302" s="157">
        <v>2</v>
      </c>
      <c r="M1302" s="157">
        <v>2</v>
      </c>
      <c r="N1302" s="153">
        <f t="shared" si="218"/>
        <v>2</v>
      </c>
      <c r="O1302" s="157"/>
      <c r="P1302" s="157"/>
      <c r="Q1302" s="153">
        <f ca="1">OFFSET(card_type!$A$1,MATCH(card!B1302,card_type!B:B,0)-1,0)</f>
        <v>2018</v>
      </c>
      <c r="R1302" s="153">
        <v>1</v>
      </c>
      <c r="S1302" s="157">
        <f ca="1">ROUND(IF(R1302=0,0,IF(R1302=1,X1302*$S$1,IF(R1302=2,X1302*$S$1*buff的资质计算!$E$2,IF(R1302=3,X1302*$S$1*buff的资质计算!$E$3,0)))),0)*0</f>
        <v>0</v>
      </c>
      <c r="T1302" s="153">
        <v>4</v>
      </c>
      <c r="U1302" s="153">
        <f ca="1" t="shared" si="220"/>
        <v>32</v>
      </c>
      <c r="V1302" s="153">
        <f ca="1">ROUND((OFFSET(卡牌辅助配置表!$O$1,MATCH(U1302,卡牌辅助配置表!M:M,0)-1,0)+(N1302-1)*OFFSET(卡牌辅助配置表!$P$1,MATCH(U1302,卡牌辅助配置表!M:M,0)-1,0))*M1302,2)</f>
        <v>32.28</v>
      </c>
      <c r="W1302" s="157">
        <f ca="1">ROUND(IF(R1302=0,0,IF(R1302=1,X1302*$W$1,IF(R1302=2,X1302*$W$1*buff的资质计算!$E$2,IF(R1302=3,X1302*$W$1*buff的资质计算!$E$3,0)))),2)</f>
        <v>13.35</v>
      </c>
      <c r="X1302" s="157">
        <f ca="1" t="shared" si="216"/>
        <v>44.5</v>
      </c>
      <c r="Y1302" s="157">
        <f ca="1" t="shared" si="214"/>
        <v>45.1206896551724</v>
      </c>
      <c r="Z1302" s="304">
        <f ca="1" t="shared" si="217"/>
        <v>22.5603448275862</v>
      </c>
      <c r="AA1302" s="304">
        <f ca="1">OFFSET(卡牌辅助配置表!$AD$1,MATCH(AB1302,卡牌辅助配置表!AB:AB,0)-1,0)</f>
        <v>398</v>
      </c>
      <c r="AB1302" s="304">
        <f ca="1" t="shared" si="221"/>
        <v>3202</v>
      </c>
      <c r="AC1302" s="153">
        <v>3</v>
      </c>
      <c r="AE1302" s="153">
        <v>2</v>
      </c>
      <c r="AF1302" s="153" t="str">
        <f ca="1" t="shared" si="215"/>
        <v>20180011|</v>
      </c>
      <c r="AJ1302" s="205" t="str">
        <f ca="1" t="shared" si="222"/>
        <v>400023|1350|;</v>
      </c>
      <c r="AK1302" s="205">
        <f ca="1">OFFSET([1]item_type!$A$1,MATCH(Q1302,[1]item_type!$G:$G,0)-1,0)</f>
        <v>302018</v>
      </c>
      <c r="AL1302" s="205"/>
      <c r="AM1302" s="205">
        <f ca="1">IF(B1302=B1303,OFFSET(卡牌辅助配置表!$AE$1,MATCH(AB1302,卡牌辅助配置表!AB:AB,0),0),0)</f>
        <v>1350</v>
      </c>
      <c r="AN1302" s="153">
        <f ca="1" t="shared" si="223"/>
        <v>2018003</v>
      </c>
      <c r="AP1302" s="153" t="str">
        <f ca="1">IF(AC1302=0,0,IF(AC1302=12,0,OFFSET(effect!$N$1,MATCH(K1302,effect!M:M,0)-1,0)))</f>
        <v>kpsx_pt</v>
      </c>
    </row>
    <row r="1303" spans="1:42">
      <c r="A1303" s="153">
        <f ca="1" t="shared" si="219"/>
        <v>2018003</v>
      </c>
      <c r="B1303" s="91" t="s">
        <v>351</v>
      </c>
      <c r="C1303" s="186">
        <v>2</v>
      </c>
      <c r="D1303" s="186">
        <v>1</v>
      </c>
      <c r="E1303" s="165" t="s">
        <v>1058</v>
      </c>
      <c r="F1303" s="165" t="str">
        <f>"上一招为剑法时，增加"&amp;skill!$O$112/100&amp;"%伤害"</f>
        <v>上一招为剑法时，增加45%伤害</v>
      </c>
      <c r="G1303" s="165">
        <v>6</v>
      </c>
      <c r="H1303" s="186">
        <f ca="1">OFFSET(skill!$Q$1,MATCH(B1303,skill!B:B,0)-1,0)</f>
        <v>0.620689655172414</v>
      </c>
      <c r="I1303" s="186"/>
      <c r="J1303" s="186">
        <f ca="1">OFFSET(card_type!$F$1,MATCH(Q1303,card_type!A:A,0)-1,0)</f>
        <v>3</v>
      </c>
      <c r="K1303" s="243">
        <f ca="1">OFFSET(card_type!$G$1,MATCH(Q1303,card_type!A:A,0)-1,0)</f>
        <v>2</v>
      </c>
      <c r="L1303" s="157">
        <v>2</v>
      </c>
      <c r="M1303" s="157">
        <v>2</v>
      </c>
      <c r="N1303" s="153">
        <f t="shared" si="218"/>
        <v>3</v>
      </c>
      <c r="O1303" s="157"/>
      <c r="P1303" s="157"/>
      <c r="Q1303" s="153">
        <f ca="1">OFFSET(card_type!$A$1,MATCH(card!B1303,card_type!B:B,0)-1,0)</f>
        <v>2018</v>
      </c>
      <c r="R1303" s="153">
        <v>1</v>
      </c>
      <c r="S1303" s="157">
        <f ca="1">ROUND(IF(R1303=0,0,IF(R1303=1,X1303*$S$1,IF(R1303=2,X1303*$S$1*buff的资质计算!$E$2,IF(R1303=3,X1303*$S$1*buff的资质计算!$E$3,0)))),0)*0</f>
        <v>0</v>
      </c>
      <c r="T1303" s="153">
        <v>4</v>
      </c>
      <c r="U1303" s="153">
        <f ca="1" t="shared" si="220"/>
        <v>32</v>
      </c>
      <c r="V1303" s="153">
        <f ca="1">ROUND((OFFSET(卡牌辅助配置表!$O$1,MATCH(U1303,卡牌辅助配置表!M:M,0)-1,0)+(N1303-1)*OFFSET(卡牌辅助配置表!$P$1,MATCH(U1303,卡牌辅助配置表!M:M,0)-1,0))*M1303,2)</f>
        <v>35.84</v>
      </c>
      <c r="W1303" s="157">
        <f ca="1">ROUND(IF(R1303=0,0,IF(R1303=1,X1303*$W$1,IF(R1303=2,X1303*$W$1*buff的资质计算!$E$2,IF(R1303=3,X1303*$W$1*buff的资质计算!$E$3,0)))),2)</f>
        <v>13.5</v>
      </c>
      <c r="X1303" s="157">
        <f ca="1" t="shared" si="216"/>
        <v>45</v>
      </c>
      <c r="Y1303" s="157">
        <f ca="1" t="shared" si="214"/>
        <v>45.6206896551724</v>
      </c>
      <c r="Z1303" s="304">
        <f ca="1" t="shared" si="217"/>
        <v>22.8103448275862</v>
      </c>
      <c r="AA1303" s="304">
        <f ca="1">OFFSET(卡牌辅助配置表!$AD$1,MATCH(AB1303,卡牌辅助配置表!AB:AB,0)-1,0)</f>
        <v>597</v>
      </c>
      <c r="AB1303" s="304">
        <f ca="1" t="shared" si="221"/>
        <v>3203</v>
      </c>
      <c r="AC1303" s="153">
        <v>3</v>
      </c>
      <c r="AE1303" s="153">
        <v>2</v>
      </c>
      <c r="AF1303" s="153" t="str">
        <f ca="1" t="shared" si="215"/>
        <v>20180011|</v>
      </c>
      <c r="AJ1303" s="205" t="str">
        <f ca="1" t="shared" si="222"/>
        <v>400023|1650|;</v>
      </c>
      <c r="AK1303" s="205">
        <f ca="1">OFFSET([1]item_type!$A$1,MATCH(Q1303,[1]item_type!$G:$G,0)-1,0)</f>
        <v>302018</v>
      </c>
      <c r="AL1303" s="205"/>
      <c r="AM1303" s="205">
        <f ca="1">IF(B1303=B1304,OFFSET(卡牌辅助配置表!$AE$1,MATCH(AB1303,卡牌辅助配置表!AB:AB,0),0),0)</f>
        <v>1650</v>
      </c>
      <c r="AN1303" s="153">
        <f ca="1" t="shared" si="223"/>
        <v>2018004</v>
      </c>
      <c r="AP1303" s="153" t="str">
        <f ca="1">IF(AC1303=0,0,IF(AC1303=12,0,OFFSET(effect!$N$1,MATCH(K1303,effect!M:M,0)-1,0)))</f>
        <v>kpsx_pt</v>
      </c>
    </row>
    <row r="1304" spans="1:42">
      <c r="A1304" s="153">
        <f ca="1" t="shared" si="219"/>
        <v>2018004</v>
      </c>
      <c r="B1304" s="91" t="s">
        <v>351</v>
      </c>
      <c r="C1304" s="186">
        <v>2</v>
      </c>
      <c r="D1304" s="186">
        <v>1</v>
      </c>
      <c r="E1304" s="165" t="s">
        <v>1058</v>
      </c>
      <c r="F1304" s="165" t="str">
        <f>"上一招为剑法时，增加"&amp;skill!$O$112/100&amp;"%伤害"</f>
        <v>上一招为剑法时，增加45%伤害</v>
      </c>
      <c r="G1304" s="165">
        <v>6</v>
      </c>
      <c r="H1304" s="186">
        <f ca="1">OFFSET(skill!$Q$1,MATCH(B1304,skill!B:B,0)-1,0)</f>
        <v>0.620689655172414</v>
      </c>
      <c r="I1304" s="186"/>
      <c r="J1304" s="186">
        <f ca="1">OFFSET(card_type!$F$1,MATCH(Q1304,card_type!A:A,0)-1,0)</f>
        <v>3</v>
      </c>
      <c r="K1304" s="243">
        <f ca="1">OFFSET(card_type!$G$1,MATCH(Q1304,card_type!A:A,0)-1,0)</f>
        <v>2</v>
      </c>
      <c r="L1304" s="157">
        <v>2</v>
      </c>
      <c r="M1304" s="157">
        <v>2</v>
      </c>
      <c r="N1304" s="153">
        <f t="shared" si="218"/>
        <v>4</v>
      </c>
      <c r="O1304" s="157"/>
      <c r="P1304" s="157"/>
      <c r="Q1304" s="153">
        <f ca="1">OFFSET(card_type!$A$1,MATCH(card!B1304,card_type!B:B,0)-1,0)</f>
        <v>2018</v>
      </c>
      <c r="R1304" s="153">
        <v>1</v>
      </c>
      <c r="S1304" s="157">
        <f ca="1">ROUND(IF(R1304=0,0,IF(R1304=1,X1304*$S$1,IF(R1304=2,X1304*$S$1*buff的资质计算!$E$2,IF(R1304=3,X1304*$S$1*buff的资质计算!$E$3,0)))),0)*0</f>
        <v>0</v>
      </c>
      <c r="T1304" s="153">
        <v>4</v>
      </c>
      <c r="U1304" s="153">
        <f ca="1" t="shared" si="220"/>
        <v>32</v>
      </c>
      <c r="V1304" s="153">
        <f ca="1">ROUND((OFFSET(卡牌辅助配置表!$O$1,MATCH(U1304,卡牌辅助配置表!M:M,0)-1,0)+(N1304-1)*OFFSET(卡牌辅助配置表!$P$1,MATCH(U1304,卡牌辅助配置表!M:M,0)-1,0))*M1304,2)</f>
        <v>39.41</v>
      </c>
      <c r="W1304" s="157">
        <f ca="1">ROUND(IF(R1304=0,0,IF(R1304=1,X1304*$W$1,IF(R1304=2,X1304*$W$1*buff的资质计算!$E$2,IF(R1304=3,X1304*$W$1*buff的资质计算!$E$3,0)))),2)</f>
        <v>13.65</v>
      </c>
      <c r="X1304" s="157">
        <f ca="1" t="shared" si="216"/>
        <v>45.5</v>
      </c>
      <c r="Y1304" s="157">
        <f ca="1" t="shared" si="214"/>
        <v>46.1206896551724</v>
      </c>
      <c r="Z1304" s="304">
        <f ca="1" t="shared" si="217"/>
        <v>23.0603448275862</v>
      </c>
      <c r="AA1304" s="304">
        <f ca="1">OFFSET(卡牌辅助配置表!$AD$1,MATCH(AB1304,卡牌辅助配置表!AB:AB,0)-1,0)</f>
        <v>796</v>
      </c>
      <c r="AB1304" s="304">
        <f ca="1" t="shared" si="221"/>
        <v>3204</v>
      </c>
      <c r="AC1304" s="153">
        <v>3</v>
      </c>
      <c r="AE1304" s="153">
        <v>2</v>
      </c>
      <c r="AF1304" s="153" t="str">
        <f ca="1" t="shared" si="215"/>
        <v>20180011|</v>
      </c>
      <c r="AJ1304" s="205" t="str">
        <f ca="1" t="shared" si="222"/>
        <v>400023|1950|;</v>
      </c>
      <c r="AK1304" s="205">
        <f ca="1">OFFSET([1]item_type!$A$1,MATCH(Q1304,[1]item_type!$G:$G,0)-1,0)</f>
        <v>302018</v>
      </c>
      <c r="AL1304" s="205"/>
      <c r="AM1304" s="205">
        <f ca="1">IF(B1304=B1305,OFFSET(卡牌辅助配置表!$AE$1,MATCH(AB1304,卡牌辅助配置表!AB:AB,0),0),0)</f>
        <v>1950</v>
      </c>
      <c r="AN1304" s="153">
        <f ca="1" t="shared" si="223"/>
        <v>2018005</v>
      </c>
      <c r="AP1304" s="153" t="str">
        <f ca="1">IF(AC1304=0,0,IF(AC1304=12,0,OFFSET(effect!$N$1,MATCH(K1304,effect!M:M,0)-1,0)))</f>
        <v>kpsx_pt</v>
      </c>
    </row>
    <row r="1305" spans="1:42">
      <c r="A1305" s="153">
        <f ca="1" t="shared" si="219"/>
        <v>2018005</v>
      </c>
      <c r="B1305" s="91" t="s">
        <v>351</v>
      </c>
      <c r="C1305" s="186">
        <v>2</v>
      </c>
      <c r="D1305" s="186">
        <v>1</v>
      </c>
      <c r="E1305" s="165" t="s">
        <v>1058</v>
      </c>
      <c r="F1305" s="165" t="str">
        <f>"上一招为剑法时，增加"&amp;skill!$O$112/100&amp;"%伤害"</f>
        <v>上一招为剑法时，增加45%伤害</v>
      </c>
      <c r="G1305" s="165">
        <v>6</v>
      </c>
      <c r="H1305" s="186">
        <f ca="1">OFFSET(skill!$Q$1,MATCH(B1305,skill!B:B,0)-1,0)</f>
        <v>0.620689655172414</v>
      </c>
      <c r="I1305" s="186"/>
      <c r="J1305" s="186">
        <f ca="1">OFFSET(card_type!$F$1,MATCH(Q1305,card_type!A:A,0)-1,0)</f>
        <v>3</v>
      </c>
      <c r="K1305" s="243">
        <f ca="1">OFFSET(card_type!$G$1,MATCH(Q1305,card_type!A:A,0)-1,0)</f>
        <v>2</v>
      </c>
      <c r="L1305" s="157">
        <v>2</v>
      </c>
      <c r="M1305" s="157">
        <v>2</v>
      </c>
      <c r="N1305" s="153">
        <f t="shared" si="218"/>
        <v>5</v>
      </c>
      <c r="O1305" s="157"/>
      <c r="P1305" s="157"/>
      <c r="Q1305" s="153">
        <f ca="1">OFFSET(card_type!$A$1,MATCH(card!B1305,card_type!B:B,0)-1,0)</f>
        <v>2018</v>
      </c>
      <c r="R1305" s="153">
        <v>1</v>
      </c>
      <c r="S1305" s="157">
        <f ca="1">ROUND(IF(R1305=0,0,IF(R1305=1,X1305*$S$1,IF(R1305=2,X1305*$S$1*buff的资质计算!$E$2,IF(R1305=3,X1305*$S$1*buff的资质计算!$E$3,0)))),0)*0</f>
        <v>0</v>
      </c>
      <c r="T1305" s="153">
        <v>4</v>
      </c>
      <c r="U1305" s="153">
        <f ca="1" t="shared" si="220"/>
        <v>32</v>
      </c>
      <c r="V1305" s="153">
        <f ca="1">ROUND((OFFSET(卡牌辅助配置表!$O$1,MATCH(U1305,卡牌辅助配置表!M:M,0)-1,0)+(N1305-1)*OFFSET(卡牌辅助配置表!$P$1,MATCH(U1305,卡牌辅助配置表!M:M,0)-1,0))*M1305,2)</f>
        <v>42.98</v>
      </c>
      <c r="W1305" s="157">
        <f ca="1">ROUND(IF(R1305=0,0,IF(R1305=1,X1305*$W$1,IF(R1305=2,X1305*$W$1*buff的资质计算!$E$2,IF(R1305=3,X1305*$W$1*buff的资质计算!$E$3,0)))),2)</f>
        <v>13.8</v>
      </c>
      <c r="X1305" s="157">
        <f ca="1" t="shared" si="216"/>
        <v>46</v>
      </c>
      <c r="Y1305" s="157">
        <f ca="1" t="shared" ref="Y1305:Y1368" si="224">X1305+H1305</f>
        <v>46.6206896551724</v>
      </c>
      <c r="Z1305" s="304">
        <f ca="1" t="shared" si="217"/>
        <v>23.3103448275862</v>
      </c>
      <c r="AA1305" s="304">
        <f ca="1">OFFSET(卡牌辅助配置表!$AD$1,MATCH(AB1305,卡牌辅助配置表!AB:AB,0)-1,0)</f>
        <v>995</v>
      </c>
      <c r="AB1305" s="304">
        <f ca="1" t="shared" si="221"/>
        <v>3205</v>
      </c>
      <c r="AC1305" s="153">
        <v>3</v>
      </c>
      <c r="AE1305" s="153">
        <v>2</v>
      </c>
      <c r="AF1305" s="153" t="str">
        <f ca="1" t="shared" ref="AF1305:AF1368" si="225">((Q1305*1000+1)*10+1)&amp;$AF$1</f>
        <v>20180011|</v>
      </c>
      <c r="AJ1305" s="205" t="str">
        <f ca="1" t="shared" si="222"/>
        <v>400023|2250|;</v>
      </c>
      <c r="AK1305" s="205">
        <f ca="1">OFFSET([1]item_type!$A$1,MATCH(Q1305,[1]item_type!$G:$G,0)-1,0)</f>
        <v>302018</v>
      </c>
      <c r="AL1305" s="205"/>
      <c r="AM1305" s="205">
        <f ca="1">IF(B1305=B1306,OFFSET(卡牌辅助配置表!$AE$1,MATCH(AB1305,卡牌辅助配置表!AB:AB,0),0),0)</f>
        <v>2250</v>
      </c>
      <c r="AN1305" s="153">
        <f ca="1" t="shared" si="223"/>
        <v>2018006</v>
      </c>
      <c r="AP1305" s="153" t="str">
        <f ca="1">IF(AC1305=0,0,IF(AC1305=12,0,OFFSET(effect!$N$1,MATCH(K1305,effect!M:M,0)-1,0)))</f>
        <v>kpsx_pt</v>
      </c>
    </row>
    <row r="1306" spans="1:42">
      <c r="A1306" s="153">
        <f ca="1" t="shared" si="219"/>
        <v>2018006</v>
      </c>
      <c r="B1306" s="91" t="s">
        <v>351</v>
      </c>
      <c r="C1306" s="186">
        <v>2</v>
      </c>
      <c r="D1306" s="186">
        <v>1</v>
      </c>
      <c r="E1306" s="165" t="s">
        <v>1058</v>
      </c>
      <c r="F1306" s="165" t="str">
        <f>"上一招为剑法时，增加"&amp;skill!$O$112/100&amp;"%伤害"</f>
        <v>上一招为剑法时，增加45%伤害</v>
      </c>
      <c r="G1306" s="165">
        <v>6</v>
      </c>
      <c r="H1306" s="186">
        <f ca="1">OFFSET(skill!$Q$1,MATCH(B1306,skill!B:B,0)-1,0)</f>
        <v>0.620689655172414</v>
      </c>
      <c r="I1306" s="186"/>
      <c r="J1306" s="186">
        <f ca="1">OFFSET(card_type!$F$1,MATCH(Q1306,card_type!A:A,0)-1,0)</f>
        <v>3</v>
      </c>
      <c r="K1306" s="243">
        <f ca="1">OFFSET(card_type!$G$1,MATCH(Q1306,card_type!A:A,0)-1,0)</f>
        <v>2</v>
      </c>
      <c r="L1306" s="157">
        <v>2</v>
      </c>
      <c r="M1306" s="157">
        <v>2</v>
      </c>
      <c r="N1306" s="153">
        <f t="shared" si="218"/>
        <v>6</v>
      </c>
      <c r="O1306" s="157"/>
      <c r="P1306" s="157"/>
      <c r="Q1306" s="153">
        <f ca="1">OFFSET(card_type!$A$1,MATCH(card!B1306,card_type!B:B,0)-1,0)</f>
        <v>2018</v>
      </c>
      <c r="R1306" s="153">
        <v>1</v>
      </c>
      <c r="S1306" s="157">
        <f ca="1">ROUND(IF(R1306=0,0,IF(R1306=1,X1306*$S$1,IF(R1306=2,X1306*$S$1*buff的资质计算!$E$2,IF(R1306=3,X1306*$S$1*buff的资质计算!$E$3,0)))),0)*0</f>
        <v>0</v>
      </c>
      <c r="T1306" s="153">
        <v>4</v>
      </c>
      <c r="U1306" s="153">
        <f ca="1" t="shared" si="220"/>
        <v>32</v>
      </c>
      <c r="V1306" s="153">
        <f ca="1">ROUND((OFFSET(卡牌辅助配置表!$O$1,MATCH(U1306,卡牌辅助配置表!M:M,0)-1,0)+(N1306-1)*OFFSET(卡牌辅助配置表!$P$1,MATCH(U1306,卡牌辅助配置表!M:M,0)-1,0))*M1306,2)</f>
        <v>46.54</v>
      </c>
      <c r="W1306" s="157">
        <f ca="1">ROUND(IF(R1306=0,0,IF(R1306=1,X1306*$W$1,IF(R1306=2,X1306*$W$1*buff的资质计算!$E$2,IF(R1306=3,X1306*$W$1*buff的资质计算!$E$3,0)))),2)</f>
        <v>13.95</v>
      </c>
      <c r="X1306" s="157">
        <f ca="1" t="shared" si="216"/>
        <v>46.5</v>
      </c>
      <c r="Y1306" s="157">
        <f ca="1" t="shared" si="224"/>
        <v>47.1206896551724</v>
      </c>
      <c r="Z1306" s="304">
        <f ca="1" t="shared" si="217"/>
        <v>23.5603448275862</v>
      </c>
      <c r="AA1306" s="304">
        <f ca="1">OFFSET(卡牌辅助配置表!$AD$1,MATCH(AB1306,卡牌辅助配置表!AB:AB,0)-1,0)</f>
        <v>1194</v>
      </c>
      <c r="AB1306" s="304">
        <f ca="1" t="shared" si="221"/>
        <v>3206</v>
      </c>
      <c r="AC1306" s="153">
        <v>3</v>
      </c>
      <c r="AE1306" s="153">
        <v>2</v>
      </c>
      <c r="AF1306" s="153" t="str">
        <f ca="1" t="shared" si="225"/>
        <v>20180011|</v>
      </c>
      <c r="AJ1306" s="205" t="str">
        <f ca="1" t="shared" si="222"/>
        <v>400023|2550|;</v>
      </c>
      <c r="AK1306" s="205">
        <f ca="1">OFFSET([1]item_type!$A$1,MATCH(Q1306,[1]item_type!$G:$G,0)-1,0)</f>
        <v>302018</v>
      </c>
      <c r="AL1306" s="205"/>
      <c r="AM1306" s="205">
        <f ca="1">IF(B1306=B1307,OFFSET(卡牌辅助配置表!$AE$1,MATCH(AB1306,卡牌辅助配置表!AB:AB,0),0),0)</f>
        <v>2550</v>
      </c>
      <c r="AN1306" s="153">
        <f ca="1" t="shared" si="223"/>
        <v>2018007</v>
      </c>
      <c r="AP1306" s="153" t="str">
        <f ca="1">IF(AC1306=0,0,IF(AC1306=12,0,OFFSET(effect!$N$1,MATCH(K1306,effect!M:M,0)-1,0)))</f>
        <v>kpsx_pt</v>
      </c>
    </row>
    <row r="1307" spans="1:42">
      <c r="A1307" s="153">
        <f ca="1" t="shared" si="219"/>
        <v>2018007</v>
      </c>
      <c r="B1307" s="91" t="s">
        <v>351</v>
      </c>
      <c r="C1307" s="186">
        <v>2</v>
      </c>
      <c r="D1307" s="186">
        <v>1</v>
      </c>
      <c r="E1307" s="165" t="s">
        <v>1058</v>
      </c>
      <c r="F1307" s="165" t="str">
        <f>"上一招为剑法时，增加"&amp;skill!$O$112/100&amp;"%伤害"</f>
        <v>上一招为剑法时，增加45%伤害</v>
      </c>
      <c r="G1307" s="165">
        <v>6</v>
      </c>
      <c r="H1307" s="186">
        <f ca="1">OFFSET(skill!$Q$1,MATCH(B1307,skill!B:B,0)-1,0)</f>
        <v>0.620689655172414</v>
      </c>
      <c r="I1307" s="186"/>
      <c r="J1307" s="186">
        <f ca="1">OFFSET(card_type!$F$1,MATCH(Q1307,card_type!A:A,0)-1,0)</f>
        <v>3</v>
      </c>
      <c r="K1307" s="243">
        <f ca="1">OFFSET(card_type!$G$1,MATCH(Q1307,card_type!A:A,0)-1,0)</f>
        <v>2</v>
      </c>
      <c r="L1307" s="157">
        <v>2</v>
      </c>
      <c r="M1307" s="157">
        <v>2</v>
      </c>
      <c r="N1307" s="153">
        <f t="shared" si="218"/>
        <v>7</v>
      </c>
      <c r="O1307" s="157"/>
      <c r="P1307" s="157"/>
      <c r="Q1307" s="153">
        <f ca="1">OFFSET(card_type!$A$1,MATCH(card!B1307,card_type!B:B,0)-1,0)</f>
        <v>2018</v>
      </c>
      <c r="R1307" s="153">
        <v>1</v>
      </c>
      <c r="S1307" s="157">
        <f ca="1">ROUND(IF(R1307=0,0,IF(R1307=1,X1307*$S$1,IF(R1307=2,X1307*$S$1*buff的资质计算!$E$2,IF(R1307=3,X1307*$S$1*buff的资质计算!$E$3,0)))),0)*0</f>
        <v>0</v>
      </c>
      <c r="T1307" s="153">
        <v>4</v>
      </c>
      <c r="U1307" s="153">
        <f ca="1" t="shared" si="220"/>
        <v>32</v>
      </c>
      <c r="V1307" s="153">
        <f ca="1">ROUND((OFFSET(卡牌辅助配置表!$O$1,MATCH(U1307,卡牌辅助配置表!M:M,0)-1,0)+(N1307-1)*OFFSET(卡牌辅助配置表!$P$1,MATCH(U1307,卡牌辅助配置表!M:M,0)-1,0))*M1307,2)</f>
        <v>50.11</v>
      </c>
      <c r="W1307" s="157">
        <f ca="1">ROUND(IF(R1307=0,0,IF(R1307=1,X1307*$W$1,IF(R1307=2,X1307*$W$1*buff的资质计算!$E$2,IF(R1307=3,X1307*$W$1*buff的资质计算!$E$3,0)))),2)</f>
        <v>14.1</v>
      </c>
      <c r="X1307" s="157">
        <f ca="1" t="shared" si="216"/>
        <v>47</v>
      </c>
      <c r="Y1307" s="157">
        <f ca="1" t="shared" si="224"/>
        <v>47.6206896551724</v>
      </c>
      <c r="Z1307" s="304">
        <f ca="1" t="shared" si="217"/>
        <v>23.8103448275862</v>
      </c>
      <c r="AA1307" s="304">
        <f ca="1">OFFSET(卡牌辅助配置表!$AD$1,MATCH(AB1307,卡牌辅助配置表!AB:AB,0)-1,0)</f>
        <v>1393</v>
      </c>
      <c r="AB1307" s="304">
        <f ca="1" t="shared" si="221"/>
        <v>3207</v>
      </c>
      <c r="AC1307" s="153">
        <v>3</v>
      </c>
      <c r="AE1307" s="153">
        <v>2</v>
      </c>
      <c r="AF1307" s="153" t="str">
        <f ca="1" t="shared" si="225"/>
        <v>20180011|</v>
      </c>
      <c r="AJ1307" s="205" t="str">
        <f ca="1" t="shared" si="222"/>
        <v>400023|2850|;</v>
      </c>
      <c r="AK1307" s="205">
        <f ca="1">OFFSET([1]item_type!$A$1,MATCH(Q1307,[1]item_type!$G:$G,0)-1,0)</f>
        <v>302018</v>
      </c>
      <c r="AL1307" s="205"/>
      <c r="AM1307" s="205">
        <f ca="1">IF(B1307=B1308,OFFSET(卡牌辅助配置表!$AE$1,MATCH(AB1307,卡牌辅助配置表!AB:AB,0),0),0)</f>
        <v>2850</v>
      </c>
      <c r="AN1307" s="153">
        <f ca="1" t="shared" si="223"/>
        <v>2018008</v>
      </c>
      <c r="AP1307" s="153" t="str">
        <f ca="1">IF(AC1307=0,0,IF(AC1307=12,0,OFFSET(effect!$N$1,MATCH(K1307,effect!M:M,0)-1,0)))</f>
        <v>kpsx_pt</v>
      </c>
    </row>
    <row r="1308" spans="1:42">
      <c r="A1308" s="153">
        <f ca="1" t="shared" si="219"/>
        <v>2018008</v>
      </c>
      <c r="B1308" s="91" t="s">
        <v>351</v>
      </c>
      <c r="C1308" s="186">
        <v>2</v>
      </c>
      <c r="D1308" s="186">
        <v>1</v>
      </c>
      <c r="E1308" s="165" t="s">
        <v>1058</v>
      </c>
      <c r="F1308" s="165" t="str">
        <f>"上一招为剑法时，增加"&amp;skill!$O$112/100&amp;"%伤害"</f>
        <v>上一招为剑法时，增加45%伤害</v>
      </c>
      <c r="G1308" s="165">
        <v>6</v>
      </c>
      <c r="H1308" s="186">
        <f ca="1">OFFSET(skill!$Q$1,MATCH(B1308,skill!B:B,0)-1,0)</f>
        <v>0.620689655172414</v>
      </c>
      <c r="I1308" s="186"/>
      <c r="J1308" s="186">
        <f ca="1">OFFSET(card_type!$F$1,MATCH(Q1308,card_type!A:A,0)-1,0)</f>
        <v>3</v>
      </c>
      <c r="K1308" s="243">
        <f ca="1">OFFSET(card_type!$G$1,MATCH(Q1308,card_type!A:A,0)-1,0)</f>
        <v>2</v>
      </c>
      <c r="L1308" s="157">
        <v>2</v>
      </c>
      <c r="M1308" s="157">
        <v>2</v>
      </c>
      <c r="N1308" s="153">
        <f t="shared" si="218"/>
        <v>8</v>
      </c>
      <c r="O1308" s="157"/>
      <c r="P1308" s="157"/>
      <c r="Q1308" s="153">
        <f ca="1">OFFSET(card_type!$A$1,MATCH(card!B1308,card_type!B:B,0)-1,0)</f>
        <v>2018</v>
      </c>
      <c r="R1308" s="153">
        <v>1</v>
      </c>
      <c r="S1308" s="157">
        <f ca="1">ROUND(IF(R1308=0,0,IF(R1308=1,X1308*$S$1,IF(R1308=2,X1308*$S$1*buff的资质计算!$E$2,IF(R1308=3,X1308*$S$1*buff的资质计算!$E$3,0)))),0)*0</f>
        <v>0</v>
      </c>
      <c r="T1308" s="153">
        <v>4</v>
      </c>
      <c r="U1308" s="153">
        <f ca="1" t="shared" si="220"/>
        <v>32</v>
      </c>
      <c r="V1308" s="153">
        <f ca="1">ROUND((OFFSET(卡牌辅助配置表!$O$1,MATCH(U1308,卡牌辅助配置表!M:M,0)-1,0)+(N1308-1)*OFFSET(卡牌辅助配置表!$P$1,MATCH(U1308,卡牌辅助配置表!M:M,0)-1,0))*M1308,2)</f>
        <v>53.68</v>
      </c>
      <c r="W1308" s="157">
        <f ca="1">ROUND(IF(R1308=0,0,IF(R1308=1,X1308*$W$1,IF(R1308=2,X1308*$W$1*buff的资质计算!$E$2,IF(R1308=3,X1308*$W$1*buff的资质计算!$E$3,0)))),2)</f>
        <v>14.25</v>
      </c>
      <c r="X1308" s="157">
        <f ca="1" t="shared" si="216"/>
        <v>47.5</v>
      </c>
      <c r="Y1308" s="157">
        <f ca="1" t="shared" si="224"/>
        <v>48.1206896551724</v>
      </c>
      <c r="Z1308" s="304">
        <f ca="1" t="shared" si="217"/>
        <v>24.0603448275862</v>
      </c>
      <c r="AA1308" s="304">
        <f ca="1">OFFSET(卡牌辅助配置表!$AD$1,MATCH(AB1308,卡牌辅助配置表!AB:AB,0)-1,0)</f>
        <v>1592</v>
      </c>
      <c r="AB1308" s="304">
        <f ca="1" t="shared" si="221"/>
        <v>3208</v>
      </c>
      <c r="AC1308" s="153">
        <v>3</v>
      </c>
      <c r="AE1308" s="153">
        <v>2</v>
      </c>
      <c r="AF1308" s="153" t="str">
        <f ca="1" t="shared" si="225"/>
        <v>20180011|</v>
      </c>
      <c r="AJ1308" s="205" t="str">
        <f ca="1" t="shared" si="222"/>
        <v>400023|3150|;</v>
      </c>
      <c r="AK1308" s="205">
        <f ca="1">OFFSET([1]item_type!$A$1,MATCH(Q1308,[1]item_type!$G:$G,0)-1,0)</f>
        <v>302018</v>
      </c>
      <c r="AL1308" s="205"/>
      <c r="AM1308" s="205">
        <f ca="1">IF(B1308=B1309,OFFSET(卡牌辅助配置表!$AE$1,MATCH(AB1308,卡牌辅助配置表!AB:AB,0),0),0)</f>
        <v>3150</v>
      </c>
      <c r="AN1308" s="153">
        <f ca="1" t="shared" si="223"/>
        <v>2018009</v>
      </c>
      <c r="AP1308" s="153" t="str">
        <f ca="1">IF(AC1308=0,0,IF(AC1308=12,0,OFFSET(effect!$N$1,MATCH(K1308,effect!M:M,0)-1,0)))</f>
        <v>kpsx_pt</v>
      </c>
    </row>
    <row r="1309" spans="1:42">
      <c r="A1309" s="153">
        <f ca="1" t="shared" si="219"/>
        <v>2018009</v>
      </c>
      <c r="B1309" s="91" t="s">
        <v>351</v>
      </c>
      <c r="C1309" s="186">
        <v>2</v>
      </c>
      <c r="D1309" s="186">
        <v>1</v>
      </c>
      <c r="E1309" s="165" t="s">
        <v>1058</v>
      </c>
      <c r="F1309" s="165" t="str">
        <f>"上一招为剑法时，增加"&amp;skill!$O$112/100&amp;"%伤害"</f>
        <v>上一招为剑法时，增加45%伤害</v>
      </c>
      <c r="G1309" s="165">
        <v>6</v>
      </c>
      <c r="H1309" s="186">
        <f ca="1">OFFSET(skill!$Q$1,MATCH(B1309,skill!B:B,0)-1,0)</f>
        <v>0.620689655172414</v>
      </c>
      <c r="I1309" s="186"/>
      <c r="J1309" s="186">
        <f ca="1">OFFSET(card_type!$F$1,MATCH(Q1309,card_type!A:A,0)-1,0)</f>
        <v>3</v>
      </c>
      <c r="K1309" s="243">
        <f ca="1">OFFSET(card_type!$G$1,MATCH(Q1309,card_type!A:A,0)-1,0)</f>
        <v>2</v>
      </c>
      <c r="L1309" s="157">
        <v>2</v>
      </c>
      <c r="M1309" s="157">
        <v>2</v>
      </c>
      <c r="N1309" s="153">
        <f t="shared" si="218"/>
        <v>9</v>
      </c>
      <c r="O1309" s="157"/>
      <c r="P1309" s="157"/>
      <c r="Q1309" s="153">
        <f ca="1">OFFSET(card_type!$A$1,MATCH(card!B1309,card_type!B:B,0)-1,0)</f>
        <v>2018</v>
      </c>
      <c r="R1309" s="153">
        <v>1</v>
      </c>
      <c r="S1309" s="157">
        <f ca="1">ROUND(IF(R1309=0,0,IF(R1309=1,X1309*$S$1,IF(R1309=2,X1309*$S$1*buff的资质计算!$E$2,IF(R1309=3,X1309*$S$1*buff的资质计算!$E$3,0)))),0)*0</f>
        <v>0</v>
      </c>
      <c r="T1309" s="153">
        <v>4</v>
      </c>
      <c r="U1309" s="153">
        <f ca="1" t="shared" si="220"/>
        <v>32</v>
      </c>
      <c r="V1309" s="153">
        <f ca="1">ROUND((OFFSET(卡牌辅助配置表!$O$1,MATCH(U1309,卡牌辅助配置表!M:M,0)-1,0)+(N1309-1)*OFFSET(卡牌辅助配置表!$P$1,MATCH(U1309,卡牌辅助配置表!M:M,0)-1,0))*M1309,2)</f>
        <v>57.24</v>
      </c>
      <c r="W1309" s="157">
        <f ca="1">ROUND(IF(R1309=0,0,IF(R1309=1,X1309*$W$1,IF(R1309=2,X1309*$W$1*buff的资质计算!$E$2,IF(R1309=3,X1309*$W$1*buff的资质计算!$E$3,0)))),2)</f>
        <v>14.4</v>
      </c>
      <c r="X1309" s="157">
        <f ca="1" t="shared" si="216"/>
        <v>48</v>
      </c>
      <c r="Y1309" s="157">
        <f ca="1" t="shared" si="224"/>
        <v>48.6206896551724</v>
      </c>
      <c r="Z1309" s="304">
        <f ca="1" t="shared" si="217"/>
        <v>24.3103448275862</v>
      </c>
      <c r="AA1309" s="304">
        <f ca="1">OFFSET(卡牌辅助配置表!$AD$1,MATCH(AB1309,卡牌辅助配置表!AB:AB,0)-1,0)</f>
        <v>1791</v>
      </c>
      <c r="AB1309" s="304">
        <f ca="1" t="shared" si="221"/>
        <v>3209</v>
      </c>
      <c r="AC1309" s="153">
        <v>3</v>
      </c>
      <c r="AE1309" s="153">
        <v>2</v>
      </c>
      <c r="AF1309" s="153" t="str">
        <f ca="1" t="shared" si="225"/>
        <v>20180011|</v>
      </c>
      <c r="AJ1309" s="205" t="str">
        <f ca="1" t="shared" si="222"/>
        <v>302018|15|;400023|3450|;</v>
      </c>
      <c r="AK1309" s="205">
        <f ca="1">OFFSET([1]item_type!$A$1,MATCH(Q1309,[1]item_type!$G:$G,0)-1,0)</f>
        <v>302018</v>
      </c>
      <c r="AL1309" s="205">
        <v>15</v>
      </c>
      <c r="AM1309" s="205">
        <f ca="1">IF(B1309=B1310,OFFSET(卡牌辅助配置表!$AE$1,MATCH(AB1309,卡牌辅助配置表!AB:AB,0),0),0)</f>
        <v>3450</v>
      </c>
      <c r="AN1309" s="153">
        <f ca="1" t="shared" si="223"/>
        <v>2018010</v>
      </c>
      <c r="AP1309" s="153" t="str">
        <f ca="1">IF(AC1309=0,0,IF(AC1309=12,0,OFFSET(effect!$N$1,MATCH(K1309,effect!M:M,0)-1,0)))</f>
        <v>kpsx_pt</v>
      </c>
    </row>
    <row r="1310" spans="1:42">
      <c r="A1310" s="153">
        <f ca="1" t="shared" si="219"/>
        <v>2018010</v>
      </c>
      <c r="B1310" s="91" t="s">
        <v>351</v>
      </c>
      <c r="C1310" s="186">
        <v>2</v>
      </c>
      <c r="D1310" s="186">
        <v>1</v>
      </c>
      <c r="E1310" s="165" t="s">
        <v>1058</v>
      </c>
      <c r="F1310" s="165" t="str">
        <f>"上一招为剑法时，增加"&amp;skill!$O$112/100&amp;"%伤害"</f>
        <v>上一招为剑法时，增加45%伤害</v>
      </c>
      <c r="G1310" s="165">
        <v>6</v>
      </c>
      <c r="H1310" s="186">
        <f ca="1">OFFSET(skill!$Q$1,MATCH(B1310,skill!B:B,0)-1,0)</f>
        <v>0.620689655172414</v>
      </c>
      <c r="I1310" s="186"/>
      <c r="J1310" s="186">
        <f ca="1">OFFSET(card_type!$F$1,MATCH(Q1310,card_type!A:A,0)-1,0)</f>
        <v>3</v>
      </c>
      <c r="K1310" s="243">
        <f ca="1">OFFSET(card_type!$G$1,MATCH(Q1310,card_type!A:A,0)-1,0)</f>
        <v>2</v>
      </c>
      <c r="L1310" s="157">
        <v>2</v>
      </c>
      <c r="M1310" s="157">
        <v>2</v>
      </c>
      <c r="N1310" s="153">
        <f t="shared" si="218"/>
        <v>10</v>
      </c>
      <c r="O1310" s="157"/>
      <c r="P1310" s="157"/>
      <c r="Q1310" s="153">
        <f ca="1">OFFSET(card_type!$A$1,MATCH(card!B1310,card_type!B:B,0)-1,0)</f>
        <v>2018</v>
      </c>
      <c r="R1310" s="153">
        <v>1</v>
      </c>
      <c r="S1310" s="157">
        <f ca="1">ROUND(IF(R1310=0,0,IF(R1310=1,X1310*$S$1,IF(R1310=2,X1310*$S$1*buff的资质计算!$E$2,IF(R1310=3,X1310*$S$1*buff的资质计算!$E$3,0)))),0)*0</f>
        <v>0</v>
      </c>
      <c r="T1310" s="153">
        <v>4</v>
      </c>
      <c r="U1310" s="153">
        <f ca="1" t="shared" si="220"/>
        <v>32</v>
      </c>
      <c r="V1310" s="153">
        <f ca="1">ROUND((OFFSET(卡牌辅助配置表!$O$1,MATCH(U1310,卡牌辅助配置表!M:M,0)-1,0)+(N1310-1)*OFFSET(卡牌辅助配置表!$P$1,MATCH(U1310,卡牌辅助配置表!M:M,0)-1,0))*M1310,2)</f>
        <v>60.81</v>
      </c>
      <c r="W1310" s="157">
        <f ca="1">ROUND(IF(R1310=0,0,IF(R1310=1,X1310*$W$1,IF(R1310=2,X1310*$W$1*buff的资质计算!$E$2,IF(R1310=3,X1310*$W$1*buff的资质计算!$E$3,0)))),2)</f>
        <v>14.55</v>
      </c>
      <c r="X1310" s="157">
        <f ca="1" t="shared" si="216"/>
        <v>48.5</v>
      </c>
      <c r="Y1310" s="157">
        <f ca="1" t="shared" si="224"/>
        <v>49.1206896551724</v>
      </c>
      <c r="Z1310" s="304">
        <f ca="1" t="shared" si="217"/>
        <v>24.5603448275862</v>
      </c>
      <c r="AA1310" s="304">
        <f ca="1">OFFSET(卡牌辅助配置表!$AD$1,MATCH(AB1310,卡牌辅助配置表!AB:AB,0)-1,0)</f>
        <v>1990</v>
      </c>
      <c r="AB1310" s="304">
        <f ca="1" t="shared" si="221"/>
        <v>3210</v>
      </c>
      <c r="AC1310" s="153">
        <v>3</v>
      </c>
      <c r="AE1310" s="153">
        <v>2</v>
      </c>
      <c r="AF1310" s="153" t="str">
        <f ca="1" t="shared" si="225"/>
        <v>20180011|</v>
      </c>
      <c r="AJ1310" s="205" t="str">
        <f ca="1" t="shared" si="222"/>
        <v>400023|4050|;</v>
      </c>
      <c r="AK1310" s="205">
        <f ca="1">OFFSET([1]item_type!$A$1,MATCH(Q1310,[1]item_type!$G:$G,0)-1,0)</f>
        <v>302018</v>
      </c>
      <c r="AL1310" s="205"/>
      <c r="AM1310" s="205">
        <f ca="1">IF(B1310=B1311,OFFSET(卡牌辅助配置表!$AE$1,MATCH(AB1310,卡牌辅助配置表!AB:AB,0),0),0)</f>
        <v>4050</v>
      </c>
      <c r="AN1310" s="153">
        <f ca="1" t="shared" si="223"/>
        <v>2018011</v>
      </c>
      <c r="AP1310" s="153" t="str">
        <f ca="1">IF(AC1310=0,0,IF(AC1310=12,0,OFFSET(effect!$N$1,MATCH(K1310,effect!M:M,0)-1,0)))</f>
        <v>kpsx_pt</v>
      </c>
    </row>
    <row r="1311" spans="1:42">
      <c r="A1311" s="153">
        <f ca="1" t="shared" si="219"/>
        <v>2018011</v>
      </c>
      <c r="B1311" s="91" t="s">
        <v>351</v>
      </c>
      <c r="C1311" s="186">
        <v>2</v>
      </c>
      <c r="D1311" s="186">
        <v>1</v>
      </c>
      <c r="E1311" s="165" t="s">
        <v>1058</v>
      </c>
      <c r="F1311" s="165" t="str">
        <f>"上一招为剑法时，增加"&amp;skill!$O$112/100&amp;"%伤害"</f>
        <v>上一招为剑法时，增加45%伤害</v>
      </c>
      <c r="G1311" s="165">
        <v>6</v>
      </c>
      <c r="H1311" s="186">
        <f ca="1">OFFSET(skill!$Q$1,MATCH(B1311,skill!B:B,0)-1,0)</f>
        <v>0.620689655172414</v>
      </c>
      <c r="I1311" s="186"/>
      <c r="J1311" s="186">
        <f ca="1">OFFSET(card_type!$F$1,MATCH(Q1311,card_type!A:A,0)-1,0)</f>
        <v>3</v>
      </c>
      <c r="K1311" s="243">
        <f ca="1">OFFSET(card_type!$G$1,MATCH(Q1311,card_type!A:A,0)-1,0)</f>
        <v>2</v>
      </c>
      <c r="L1311" s="157">
        <v>2</v>
      </c>
      <c r="M1311" s="157">
        <v>2</v>
      </c>
      <c r="N1311" s="153">
        <f t="shared" si="218"/>
        <v>11</v>
      </c>
      <c r="O1311" s="157"/>
      <c r="P1311" s="157"/>
      <c r="Q1311" s="153">
        <f ca="1">OFFSET(card_type!$A$1,MATCH(card!B1311,card_type!B:B,0)-1,0)</f>
        <v>2018</v>
      </c>
      <c r="R1311" s="153">
        <v>1</v>
      </c>
      <c r="S1311" s="157">
        <f ca="1">ROUND(IF(R1311=0,0,IF(R1311=1,X1311*$S$1,IF(R1311=2,X1311*$S$1*buff的资质计算!$E$2,IF(R1311=3,X1311*$S$1*buff的资质计算!$E$3,0)))),0)*0</f>
        <v>0</v>
      </c>
      <c r="T1311" s="153">
        <v>4</v>
      </c>
      <c r="U1311" s="153">
        <f ca="1" t="shared" si="220"/>
        <v>32</v>
      </c>
      <c r="V1311" s="153">
        <f ca="1">ROUND((OFFSET(卡牌辅助配置表!$O$1,MATCH(U1311,卡牌辅助配置表!M:M,0)-1,0)+(N1311-1)*OFFSET(卡牌辅助配置表!$P$1,MATCH(U1311,卡牌辅助配置表!M:M,0)-1,0))*M1311,2)</f>
        <v>64.38</v>
      </c>
      <c r="W1311" s="157">
        <f ca="1">ROUND(IF(R1311=0,0,IF(R1311=1,X1311*$W$1,IF(R1311=2,X1311*$W$1*buff的资质计算!$E$2,IF(R1311=3,X1311*$W$1*buff的资质计算!$E$3,0)))),2)</f>
        <v>14.7</v>
      </c>
      <c r="X1311" s="157">
        <f ca="1" t="shared" si="216"/>
        <v>49</v>
      </c>
      <c r="Y1311" s="157">
        <f ca="1" t="shared" si="224"/>
        <v>49.6206896551724</v>
      </c>
      <c r="Z1311" s="304">
        <f ca="1" t="shared" si="217"/>
        <v>24.8103448275862</v>
      </c>
      <c r="AA1311" s="304">
        <f ca="1">OFFSET(卡牌辅助配置表!$AD$1,MATCH(AB1311,卡牌辅助配置表!AB:AB,0)-1,0)</f>
        <v>2289</v>
      </c>
      <c r="AB1311" s="304">
        <f ca="1" t="shared" si="221"/>
        <v>3211</v>
      </c>
      <c r="AC1311" s="153">
        <v>3</v>
      </c>
      <c r="AE1311" s="153">
        <v>2</v>
      </c>
      <c r="AF1311" s="153" t="str">
        <f ca="1" t="shared" si="225"/>
        <v>20180011|</v>
      </c>
      <c r="AJ1311" s="205" t="str">
        <f ca="1" t="shared" si="222"/>
        <v>400023|4650|;</v>
      </c>
      <c r="AK1311" s="205">
        <f ca="1">OFFSET([1]item_type!$A$1,MATCH(Q1311,[1]item_type!$G:$G,0)-1,0)</f>
        <v>302018</v>
      </c>
      <c r="AL1311" s="205"/>
      <c r="AM1311" s="205">
        <f ca="1">IF(B1311=B1312,OFFSET(卡牌辅助配置表!$AE$1,MATCH(AB1311,卡牌辅助配置表!AB:AB,0),0),0)</f>
        <v>4650</v>
      </c>
      <c r="AN1311" s="153">
        <f ca="1" t="shared" si="223"/>
        <v>2018012</v>
      </c>
      <c r="AP1311" s="153" t="str">
        <f ca="1">IF(AC1311=0,0,IF(AC1311=12,0,OFFSET(effect!$N$1,MATCH(K1311,effect!M:M,0)-1,0)))</f>
        <v>kpsx_pt</v>
      </c>
    </row>
    <row r="1312" spans="1:42">
      <c r="A1312" s="153">
        <f ca="1" t="shared" si="219"/>
        <v>2018012</v>
      </c>
      <c r="B1312" s="91" t="s">
        <v>351</v>
      </c>
      <c r="C1312" s="186">
        <v>2</v>
      </c>
      <c r="D1312" s="186">
        <v>1</v>
      </c>
      <c r="E1312" s="165" t="s">
        <v>1058</v>
      </c>
      <c r="F1312" s="165" t="str">
        <f>"上一招为剑法时，增加"&amp;skill!$O$112/100&amp;"%伤害"</f>
        <v>上一招为剑法时，增加45%伤害</v>
      </c>
      <c r="G1312" s="165">
        <v>6</v>
      </c>
      <c r="H1312" s="186">
        <f ca="1">OFFSET(skill!$Q$1,MATCH(B1312,skill!B:B,0)-1,0)</f>
        <v>0.620689655172414</v>
      </c>
      <c r="I1312" s="186"/>
      <c r="J1312" s="186">
        <f ca="1">OFFSET(card_type!$F$1,MATCH(Q1312,card_type!A:A,0)-1,0)</f>
        <v>3</v>
      </c>
      <c r="K1312" s="243">
        <f ca="1">OFFSET(card_type!$G$1,MATCH(Q1312,card_type!A:A,0)-1,0)</f>
        <v>2</v>
      </c>
      <c r="L1312" s="157">
        <v>2</v>
      </c>
      <c r="M1312" s="157">
        <v>2</v>
      </c>
      <c r="N1312" s="153">
        <f t="shared" si="218"/>
        <v>12</v>
      </c>
      <c r="O1312" s="157"/>
      <c r="P1312" s="157"/>
      <c r="Q1312" s="153">
        <f ca="1">OFFSET(card_type!$A$1,MATCH(card!B1312,card_type!B:B,0)-1,0)</f>
        <v>2018</v>
      </c>
      <c r="R1312" s="153">
        <v>1</v>
      </c>
      <c r="S1312" s="157">
        <f ca="1">ROUND(IF(R1312=0,0,IF(R1312=1,X1312*$S$1,IF(R1312=2,X1312*$S$1*buff的资质计算!$E$2,IF(R1312=3,X1312*$S$1*buff的资质计算!$E$3,0)))),0)*0</f>
        <v>0</v>
      </c>
      <c r="T1312" s="153">
        <v>4</v>
      </c>
      <c r="U1312" s="153">
        <f ca="1" t="shared" si="220"/>
        <v>32</v>
      </c>
      <c r="V1312" s="153">
        <f ca="1">ROUND((OFFSET(卡牌辅助配置表!$O$1,MATCH(U1312,卡牌辅助配置表!M:M,0)-1,0)+(N1312-1)*OFFSET(卡牌辅助配置表!$P$1,MATCH(U1312,卡牌辅助配置表!M:M,0)-1,0))*M1312,2)</f>
        <v>67.94</v>
      </c>
      <c r="W1312" s="157">
        <f ca="1">ROUND(IF(R1312=0,0,IF(R1312=1,X1312*$W$1,IF(R1312=2,X1312*$W$1*buff的资质计算!$E$2,IF(R1312=3,X1312*$W$1*buff的资质计算!$E$3,0)))),2)</f>
        <v>14.85</v>
      </c>
      <c r="X1312" s="157">
        <f ca="1" t="shared" si="216"/>
        <v>49.5</v>
      </c>
      <c r="Y1312" s="157">
        <f ca="1" t="shared" si="224"/>
        <v>50.1206896551724</v>
      </c>
      <c r="Z1312" s="304">
        <f ca="1" t="shared" si="217"/>
        <v>25.0603448275862</v>
      </c>
      <c r="AA1312" s="304">
        <f ca="1">OFFSET(卡牌辅助配置表!$AD$1,MATCH(AB1312,卡牌辅助配置表!AB:AB,0)-1,0)</f>
        <v>2588</v>
      </c>
      <c r="AB1312" s="304">
        <f ca="1" t="shared" si="221"/>
        <v>3212</v>
      </c>
      <c r="AC1312" s="153">
        <v>3</v>
      </c>
      <c r="AE1312" s="153">
        <v>2</v>
      </c>
      <c r="AF1312" s="153" t="str">
        <f ca="1" t="shared" si="225"/>
        <v>20180011|</v>
      </c>
      <c r="AJ1312" s="205" t="str">
        <f ca="1" t="shared" si="222"/>
        <v>400023|5250|;</v>
      </c>
      <c r="AK1312" s="205">
        <f ca="1">OFFSET([1]item_type!$A$1,MATCH(Q1312,[1]item_type!$G:$G,0)-1,0)</f>
        <v>302018</v>
      </c>
      <c r="AL1312" s="205"/>
      <c r="AM1312" s="205">
        <f ca="1">IF(B1312=B1313,OFFSET(卡牌辅助配置表!$AE$1,MATCH(AB1312,卡牌辅助配置表!AB:AB,0),0),0)</f>
        <v>5250</v>
      </c>
      <c r="AN1312" s="153">
        <f ca="1" t="shared" si="223"/>
        <v>2018013</v>
      </c>
      <c r="AP1312" s="153" t="str">
        <f ca="1">IF(AC1312=0,0,IF(AC1312=12,0,OFFSET(effect!$N$1,MATCH(K1312,effect!M:M,0)-1,0)))</f>
        <v>kpsx_pt</v>
      </c>
    </row>
    <row r="1313" spans="1:42">
      <c r="A1313" s="153">
        <f ca="1" t="shared" si="219"/>
        <v>2018013</v>
      </c>
      <c r="B1313" s="91" t="s">
        <v>351</v>
      </c>
      <c r="C1313" s="186">
        <v>2</v>
      </c>
      <c r="D1313" s="186">
        <v>1</v>
      </c>
      <c r="E1313" s="165" t="s">
        <v>1058</v>
      </c>
      <c r="F1313" s="165" t="str">
        <f>"上一招为剑法时，增加"&amp;skill!$O$112/100&amp;"%伤害"</f>
        <v>上一招为剑法时，增加45%伤害</v>
      </c>
      <c r="G1313" s="165">
        <v>6</v>
      </c>
      <c r="H1313" s="186">
        <f ca="1">OFFSET(skill!$Q$1,MATCH(B1313,skill!B:B,0)-1,0)</f>
        <v>0.620689655172414</v>
      </c>
      <c r="I1313" s="186"/>
      <c r="J1313" s="186">
        <f ca="1">OFFSET(card_type!$F$1,MATCH(Q1313,card_type!A:A,0)-1,0)</f>
        <v>3</v>
      </c>
      <c r="K1313" s="243">
        <f ca="1">OFFSET(card_type!$G$1,MATCH(Q1313,card_type!A:A,0)-1,0)</f>
        <v>2</v>
      </c>
      <c r="L1313" s="157">
        <v>2</v>
      </c>
      <c r="M1313" s="157">
        <v>2</v>
      </c>
      <c r="N1313" s="153">
        <f t="shared" si="218"/>
        <v>13</v>
      </c>
      <c r="O1313" s="157"/>
      <c r="P1313" s="157"/>
      <c r="Q1313" s="153">
        <f ca="1">OFFSET(card_type!$A$1,MATCH(card!B1313,card_type!B:B,0)-1,0)</f>
        <v>2018</v>
      </c>
      <c r="R1313" s="153">
        <v>1</v>
      </c>
      <c r="S1313" s="157">
        <f ca="1">ROUND(IF(R1313=0,0,IF(R1313=1,X1313*$S$1,IF(R1313=2,X1313*$S$1*buff的资质计算!$E$2,IF(R1313=3,X1313*$S$1*buff的资质计算!$E$3,0)))),0)*0</f>
        <v>0</v>
      </c>
      <c r="T1313" s="153">
        <v>4</v>
      </c>
      <c r="U1313" s="153">
        <f ca="1" t="shared" si="220"/>
        <v>32</v>
      </c>
      <c r="V1313" s="153">
        <f ca="1">ROUND((OFFSET(卡牌辅助配置表!$O$1,MATCH(U1313,卡牌辅助配置表!M:M,0)-1,0)+(N1313-1)*OFFSET(卡牌辅助配置表!$P$1,MATCH(U1313,卡牌辅助配置表!M:M,0)-1,0))*M1313,2)</f>
        <v>71.51</v>
      </c>
      <c r="W1313" s="157">
        <f ca="1">ROUND(IF(R1313=0,0,IF(R1313=1,X1313*$W$1,IF(R1313=2,X1313*$W$1*buff的资质计算!$E$2,IF(R1313=3,X1313*$W$1*buff的资质计算!$E$3,0)))),2)</f>
        <v>15</v>
      </c>
      <c r="X1313" s="157">
        <f ca="1" t="shared" si="216"/>
        <v>50</v>
      </c>
      <c r="Y1313" s="157">
        <f ca="1" t="shared" si="224"/>
        <v>50.6206896551724</v>
      </c>
      <c r="Z1313" s="304">
        <f ca="1" t="shared" si="217"/>
        <v>25.3103448275862</v>
      </c>
      <c r="AA1313" s="304">
        <f ca="1">OFFSET(卡牌辅助配置表!$AD$1,MATCH(AB1313,卡牌辅助配置表!AB:AB,0)-1,0)</f>
        <v>2887</v>
      </c>
      <c r="AB1313" s="304">
        <f ca="1" t="shared" si="221"/>
        <v>3213</v>
      </c>
      <c r="AC1313" s="153">
        <v>3</v>
      </c>
      <c r="AE1313" s="153">
        <v>2</v>
      </c>
      <c r="AF1313" s="153" t="str">
        <f ca="1" t="shared" si="225"/>
        <v>20180011|</v>
      </c>
      <c r="AJ1313" s="205" t="str">
        <f ca="1" t="shared" si="222"/>
        <v>400023|5850|;</v>
      </c>
      <c r="AK1313" s="205">
        <f ca="1">OFFSET([1]item_type!$A$1,MATCH(Q1313,[1]item_type!$G:$G,0)-1,0)</f>
        <v>302018</v>
      </c>
      <c r="AL1313" s="205"/>
      <c r="AM1313" s="205">
        <f ca="1">IF(B1313=B1314,OFFSET(卡牌辅助配置表!$AE$1,MATCH(AB1313,卡牌辅助配置表!AB:AB,0),0),0)</f>
        <v>5850</v>
      </c>
      <c r="AN1313" s="153">
        <f ca="1" t="shared" si="223"/>
        <v>2018014</v>
      </c>
      <c r="AP1313" s="153" t="str">
        <f ca="1">IF(AC1313=0,0,IF(AC1313=12,0,OFFSET(effect!$N$1,MATCH(K1313,effect!M:M,0)-1,0)))</f>
        <v>kpsx_pt</v>
      </c>
    </row>
    <row r="1314" spans="1:42">
      <c r="A1314" s="153">
        <f ca="1" t="shared" si="219"/>
        <v>2018014</v>
      </c>
      <c r="B1314" s="91" t="s">
        <v>351</v>
      </c>
      <c r="C1314" s="186">
        <v>2</v>
      </c>
      <c r="D1314" s="186">
        <v>1</v>
      </c>
      <c r="E1314" s="165" t="s">
        <v>1058</v>
      </c>
      <c r="F1314" s="165" t="str">
        <f>"上一招为剑法时，增加"&amp;skill!$O$112/100&amp;"%伤害"</f>
        <v>上一招为剑法时，增加45%伤害</v>
      </c>
      <c r="G1314" s="165">
        <v>6</v>
      </c>
      <c r="H1314" s="186">
        <f ca="1">OFFSET(skill!$Q$1,MATCH(B1314,skill!B:B,0)-1,0)</f>
        <v>0.620689655172414</v>
      </c>
      <c r="I1314" s="186"/>
      <c r="J1314" s="186">
        <f ca="1">OFFSET(card_type!$F$1,MATCH(Q1314,card_type!A:A,0)-1,0)</f>
        <v>3</v>
      </c>
      <c r="K1314" s="243">
        <f ca="1">OFFSET(card_type!$G$1,MATCH(Q1314,card_type!A:A,0)-1,0)</f>
        <v>2</v>
      </c>
      <c r="L1314" s="157">
        <v>2</v>
      </c>
      <c r="M1314" s="157">
        <v>2</v>
      </c>
      <c r="N1314" s="153">
        <f t="shared" si="218"/>
        <v>14</v>
      </c>
      <c r="O1314" s="157"/>
      <c r="P1314" s="157"/>
      <c r="Q1314" s="153">
        <f ca="1">OFFSET(card_type!$A$1,MATCH(card!B1314,card_type!B:B,0)-1,0)</f>
        <v>2018</v>
      </c>
      <c r="R1314" s="153">
        <v>1</v>
      </c>
      <c r="S1314" s="157">
        <f ca="1">ROUND(IF(R1314=0,0,IF(R1314=1,X1314*$S$1,IF(R1314=2,X1314*$S$1*buff的资质计算!$E$2,IF(R1314=3,X1314*$S$1*buff的资质计算!$E$3,0)))),0)*0</f>
        <v>0</v>
      </c>
      <c r="T1314" s="153">
        <v>4</v>
      </c>
      <c r="U1314" s="153">
        <f ca="1" t="shared" si="220"/>
        <v>32</v>
      </c>
      <c r="V1314" s="153">
        <f ca="1">ROUND((OFFSET(卡牌辅助配置表!$O$1,MATCH(U1314,卡牌辅助配置表!M:M,0)-1,0)+(N1314-1)*OFFSET(卡牌辅助配置表!$P$1,MATCH(U1314,卡牌辅助配置表!M:M,0)-1,0))*M1314,2)</f>
        <v>75.08</v>
      </c>
      <c r="W1314" s="157">
        <f ca="1">ROUND(IF(R1314=0,0,IF(R1314=1,X1314*$W$1,IF(R1314=2,X1314*$W$1*buff的资质计算!$E$2,IF(R1314=3,X1314*$W$1*buff的资质计算!$E$3,0)))),2)</f>
        <v>15.15</v>
      </c>
      <c r="X1314" s="157">
        <f ca="1" t="shared" si="216"/>
        <v>50.5</v>
      </c>
      <c r="Y1314" s="157">
        <f ca="1" t="shared" si="224"/>
        <v>51.1206896551724</v>
      </c>
      <c r="Z1314" s="304">
        <f ca="1" t="shared" si="217"/>
        <v>25.5603448275862</v>
      </c>
      <c r="AA1314" s="304">
        <f ca="1">OFFSET(卡牌辅助配置表!$AD$1,MATCH(AB1314,卡牌辅助配置表!AB:AB,0)-1,0)</f>
        <v>3186</v>
      </c>
      <c r="AB1314" s="304">
        <f ca="1" t="shared" si="221"/>
        <v>3214</v>
      </c>
      <c r="AC1314" s="153">
        <v>3</v>
      </c>
      <c r="AE1314" s="153">
        <v>2</v>
      </c>
      <c r="AF1314" s="153" t="str">
        <f ca="1" t="shared" si="225"/>
        <v>20180011|</v>
      </c>
      <c r="AJ1314" s="205" t="str">
        <f ca="1" t="shared" si="222"/>
        <v>400023|6450|;</v>
      </c>
      <c r="AK1314" s="205">
        <f ca="1">OFFSET([1]item_type!$A$1,MATCH(Q1314,[1]item_type!$G:$G,0)-1,0)</f>
        <v>302018</v>
      </c>
      <c r="AL1314" s="205"/>
      <c r="AM1314" s="205">
        <f ca="1">IF(B1314=B1315,OFFSET(卡牌辅助配置表!$AE$1,MATCH(AB1314,卡牌辅助配置表!AB:AB,0),0),0)</f>
        <v>6450</v>
      </c>
      <c r="AN1314" s="153">
        <f ca="1" t="shared" si="223"/>
        <v>2018015</v>
      </c>
      <c r="AP1314" s="153" t="str">
        <f ca="1">IF(AC1314=0,0,IF(AC1314=12,0,OFFSET(effect!$N$1,MATCH(K1314,effect!M:M,0)-1,0)))</f>
        <v>kpsx_pt</v>
      </c>
    </row>
    <row r="1315" spans="1:42">
      <c r="A1315" s="153">
        <f ca="1" t="shared" si="219"/>
        <v>2018015</v>
      </c>
      <c r="B1315" s="91" t="s">
        <v>351</v>
      </c>
      <c r="C1315" s="186">
        <v>2</v>
      </c>
      <c r="D1315" s="186">
        <v>1</v>
      </c>
      <c r="E1315" s="165" t="s">
        <v>1058</v>
      </c>
      <c r="F1315" s="165" t="str">
        <f>"上一招为剑法时，增加"&amp;skill!$O$112/100&amp;"%伤害"</f>
        <v>上一招为剑法时，增加45%伤害</v>
      </c>
      <c r="G1315" s="165">
        <v>6</v>
      </c>
      <c r="H1315" s="186">
        <f ca="1">OFFSET(skill!$Q$1,MATCH(B1315,skill!B:B,0)-1,0)</f>
        <v>0.620689655172414</v>
      </c>
      <c r="I1315" s="186"/>
      <c r="J1315" s="186">
        <f ca="1">OFFSET(card_type!$F$1,MATCH(Q1315,card_type!A:A,0)-1,0)</f>
        <v>3</v>
      </c>
      <c r="K1315" s="243">
        <f ca="1">OFFSET(card_type!$G$1,MATCH(Q1315,card_type!A:A,0)-1,0)</f>
        <v>2</v>
      </c>
      <c r="L1315" s="157">
        <v>2</v>
      </c>
      <c r="M1315" s="157">
        <v>2</v>
      </c>
      <c r="N1315" s="153">
        <f t="shared" si="218"/>
        <v>15</v>
      </c>
      <c r="O1315" s="157"/>
      <c r="P1315" s="157"/>
      <c r="Q1315" s="153">
        <f ca="1">OFFSET(card_type!$A$1,MATCH(card!B1315,card_type!B:B,0)-1,0)</f>
        <v>2018</v>
      </c>
      <c r="R1315" s="153">
        <v>1</v>
      </c>
      <c r="S1315" s="157">
        <f ca="1">ROUND(IF(R1315=0,0,IF(R1315=1,X1315*$S$1,IF(R1315=2,X1315*$S$1*buff的资质计算!$E$2,IF(R1315=3,X1315*$S$1*buff的资质计算!$E$3,0)))),0)*0</f>
        <v>0</v>
      </c>
      <c r="T1315" s="153">
        <v>4</v>
      </c>
      <c r="U1315" s="153">
        <f ca="1" t="shared" si="220"/>
        <v>32</v>
      </c>
      <c r="V1315" s="153">
        <f ca="1">ROUND((OFFSET(卡牌辅助配置表!$O$1,MATCH(U1315,卡牌辅助配置表!M:M,0)-1,0)+(N1315-1)*OFFSET(卡牌辅助配置表!$P$1,MATCH(U1315,卡牌辅助配置表!M:M,0)-1,0))*M1315,2)</f>
        <v>78.64</v>
      </c>
      <c r="W1315" s="157">
        <f ca="1">ROUND(IF(R1315=0,0,IF(R1315=1,X1315*$W$1,IF(R1315=2,X1315*$W$1*buff的资质计算!$E$2,IF(R1315=3,X1315*$W$1*buff的资质计算!$E$3,0)))),2)</f>
        <v>15.3</v>
      </c>
      <c r="X1315" s="157">
        <f ca="1" t="shared" si="216"/>
        <v>51</v>
      </c>
      <c r="Y1315" s="157">
        <f ca="1" t="shared" si="224"/>
        <v>51.6206896551724</v>
      </c>
      <c r="Z1315" s="304">
        <f ca="1" t="shared" si="217"/>
        <v>25.8103448275862</v>
      </c>
      <c r="AA1315" s="304">
        <f ca="1">OFFSET(卡牌辅助配置表!$AD$1,MATCH(AB1315,卡牌辅助配置表!AB:AB,0)-1,0)</f>
        <v>3485</v>
      </c>
      <c r="AB1315" s="304">
        <f ca="1" t="shared" si="221"/>
        <v>3215</v>
      </c>
      <c r="AC1315" s="153">
        <v>3</v>
      </c>
      <c r="AE1315" s="153">
        <v>2</v>
      </c>
      <c r="AF1315" s="153" t="str">
        <f ca="1" t="shared" si="225"/>
        <v>20180011|</v>
      </c>
      <c r="AJ1315" s="205" t="str">
        <f ca="1" t="shared" si="222"/>
        <v>400023|7050|;</v>
      </c>
      <c r="AK1315" s="205">
        <f ca="1">OFFSET([1]item_type!$A$1,MATCH(Q1315,[1]item_type!$G:$G,0)-1,0)</f>
        <v>302018</v>
      </c>
      <c r="AL1315" s="205"/>
      <c r="AM1315" s="205">
        <f ca="1">IF(B1315=B1316,OFFSET(卡牌辅助配置表!$AE$1,MATCH(AB1315,卡牌辅助配置表!AB:AB,0),0),0)</f>
        <v>7050</v>
      </c>
      <c r="AN1315" s="153">
        <f ca="1" t="shared" si="223"/>
        <v>2018016</v>
      </c>
      <c r="AP1315" s="153" t="str">
        <f ca="1">IF(AC1315=0,0,IF(AC1315=12,0,OFFSET(effect!$N$1,MATCH(K1315,effect!M:M,0)-1,0)))</f>
        <v>kpsx_pt</v>
      </c>
    </row>
    <row r="1316" spans="1:42">
      <c r="A1316" s="153">
        <f ca="1" t="shared" si="219"/>
        <v>2018016</v>
      </c>
      <c r="B1316" s="91" t="s">
        <v>351</v>
      </c>
      <c r="C1316" s="186">
        <v>2</v>
      </c>
      <c r="D1316" s="186">
        <v>1</v>
      </c>
      <c r="E1316" s="165" t="s">
        <v>1058</v>
      </c>
      <c r="F1316" s="165" t="str">
        <f>"上一招为剑法时，增加"&amp;skill!$O$112/100&amp;"%伤害"</f>
        <v>上一招为剑法时，增加45%伤害</v>
      </c>
      <c r="G1316" s="165">
        <v>6</v>
      </c>
      <c r="H1316" s="186">
        <f ca="1">OFFSET(skill!$Q$1,MATCH(B1316,skill!B:B,0)-1,0)</f>
        <v>0.620689655172414</v>
      </c>
      <c r="I1316" s="186"/>
      <c r="J1316" s="186">
        <f ca="1">OFFSET(card_type!$F$1,MATCH(Q1316,card_type!A:A,0)-1,0)</f>
        <v>3</v>
      </c>
      <c r="K1316" s="243">
        <f ca="1">OFFSET(card_type!$G$1,MATCH(Q1316,card_type!A:A,0)-1,0)</f>
        <v>2</v>
      </c>
      <c r="L1316" s="157">
        <v>2</v>
      </c>
      <c r="M1316" s="157">
        <v>2</v>
      </c>
      <c r="N1316" s="153">
        <f t="shared" si="218"/>
        <v>16</v>
      </c>
      <c r="O1316" s="157"/>
      <c r="P1316" s="157"/>
      <c r="Q1316" s="153">
        <f ca="1">OFFSET(card_type!$A$1,MATCH(card!B1316,card_type!B:B,0)-1,0)</f>
        <v>2018</v>
      </c>
      <c r="R1316" s="153">
        <v>1</v>
      </c>
      <c r="S1316" s="157">
        <f ca="1">ROUND(IF(R1316=0,0,IF(R1316=1,X1316*$S$1,IF(R1316=2,X1316*$S$1*buff的资质计算!$E$2,IF(R1316=3,X1316*$S$1*buff的资质计算!$E$3,0)))),0)*0</f>
        <v>0</v>
      </c>
      <c r="T1316" s="153">
        <v>4</v>
      </c>
      <c r="U1316" s="153">
        <f ca="1" t="shared" si="220"/>
        <v>32</v>
      </c>
      <c r="V1316" s="153">
        <f ca="1">ROUND((OFFSET(卡牌辅助配置表!$O$1,MATCH(U1316,卡牌辅助配置表!M:M,0)-1,0)+(N1316-1)*OFFSET(卡牌辅助配置表!$P$1,MATCH(U1316,卡牌辅助配置表!M:M,0)-1,0))*M1316,2)</f>
        <v>82.21</v>
      </c>
      <c r="W1316" s="157">
        <f ca="1">ROUND(IF(R1316=0,0,IF(R1316=1,X1316*$W$1,IF(R1316=2,X1316*$W$1*buff的资质计算!$E$2,IF(R1316=3,X1316*$W$1*buff的资质计算!$E$3,0)))),2)</f>
        <v>15.45</v>
      </c>
      <c r="X1316" s="157">
        <f ca="1" t="shared" si="216"/>
        <v>51.5</v>
      </c>
      <c r="Y1316" s="157">
        <f ca="1" t="shared" si="224"/>
        <v>52.1206896551724</v>
      </c>
      <c r="Z1316" s="304">
        <f ca="1" t="shared" si="217"/>
        <v>26.0603448275862</v>
      </c>
      <c r="AA1316" s="304">
        <f ca="1">OFFSET(卡牌辅助配置表!$AD$1,MATCH(AB1316,卡牌辅助配置表!AB:AB,0)-1,0)</f>
        <v>3784</v>
      </c>
      <c r="AB1316" s="304">
        <f ca="1" t="shared" si="221"/>
        <v>3216</v>
      </c>
      <c r="AC1316" s="153">
        <v>3</v>
      </c>
      <c r="AE1316" s="153">
        <v>2</v>
      </c>
      <c r="AF1316" s="153" t="str">
        <f ca="1" t="shared" si="225"/>
        <v>20180011|</v>
      </c>
      <c r="AJ1316" s="205" t="str">
        <f ca="1" t="shared" si="222"/>
        <v>400023|7650|;</v>
      </c>
      <c r="AK1316" s="205">
        <f ca="1">OFFSET([1]item_type!$A$1,MATCH(Q1316,[1]item_type!$G:$G,0)-1,0)</f>
        <v>302018</v>
      </c>
      <c r="AL1316" s="205"/>
      <c r="AM1316" s="205">
        <f ca="1">IF(B1316=B1317,OFFSET(卡牌辅助配置表!$AE$1,MATCH(AB1316,卡牌辅助配置表!AB:AB,0),0),0)</f>
        <v>7650</v>
      </c>
      <c r="AN1316" s="153">
        <f ca="1" t="shared" si="223"/>
        <v>2018017</v>
      </c>
      <c r="AP1316" s="153" t="str">
        <f ca="1">IF(AC1316=0,0,IF(AC1316=12,0,OFFSET(effect!$N$1,MATCH(K1316,effect!M:M,0)-1,0)))</f>
        <v>kpsx_pt</v>
      </c>
    </row>
    <row r="1317" spans="1:42">
      <c r="A1317" s="153">
        <f ca="1" t="shared" si="219"/>
        <v>2018017</v>
      </c>
      <c r="B1317" s="91" t="s">
        <v>351</v>
      </c>
      <c r="C1317" s="186">
        <v>2</v>
      </c>
      <c r="D1317" s="186">
        <v>1</v>
      </c>
      <c r="E1317" s="165" t="s">
        <v>1058</v>
      </c>
      <c r="F1317" s="165" t="str">
        <f>"上一招为剑法时，增加"&amp;skill!$O$112/100&amp;"%伤害"</f>
        <v>上一招为剑法时，增加45%伤害</v>
      </c>
      <c r="G1317" s="165">
        <v>6</v>
      </c>
      <c r="H1317" s="186">
        <f ca="1">OFFSET(skill!$Q$1,MATCH(B1317,skill!B:B,0)-1,0)</f>
        <v>0.620689655172414</v>
      </c>
      <c r="I1317" s="186"/>
      <c r="J1317" s="186">
        <f ca="1">OFFSET(card_type!$F$1,MATCH(Q1317,card_type!A:A,0)-1,0)</f>
        <v>3</v>
      </c>
      <c r="K1317" s="243">
        <f ca="1">OFFSET(card_type!$G$1,MATCH(Q1317,card_type!A:A,0)-1,0)</f>
        <v>2</v>
      </c>
      <c r="L1317" s="157">
        <v>2</v>
      </c>
      <c r="M1317" s="157">
        <v>2</v>
      </c>
      <c r="N1317" s="153">
        <f t="shared" si="218"/>
        <v>17</v>
      </c>
      <c r="O1317" s="157"/>
      <c r="P1317" s="157"/>
      <c r="Q1317" s="153">
        <f ca="1">OFFSET(card_type!$A$1,MATCH(card!B1317,card_type!B:B,0)-1,0)</f>
        <v>2018</v>
      </c>
      <c r="R1317" s="153">
        <v>1</v>
      </c>
      <c r="S1317" s="157">
        <f ca="1">ROUND(IF(R1317=0,0,IF(R1317=1,X1317*$S$1,IF(R1317=2,X1317*$S$1*buff的资质计算!$E$2,IF(R1317=3,X1317*$S$1*buff的资质计算!$E$3,0)))),0)*0</f>
        <v>0</v>
      </c>
      <c r="T1317" s="153">
        <v>4</v>
      </c>
      <c r="U1317" s="153">
        <f ca="1" t="shared" si="220"/>
        <v>32</v>
      </c>
      <c r="V1317" s="153">
        <f ca="1">ROUND((OFFSET(卡牌辅助配置表!$O$1,MATCH(U1317,卡牌辅助配置表!M:M,0)-1,0)+(N1317-1)*OFFSET(卡牌辅助配置表!$P$1,MATCH(U1317,卡牌辅助配置表!M:M,0)-1,0))*M1317,2)</f>
        <v>85.78</v>
      </c>
      <c r="W1317" s="157">
        <f ca="1">ROUND(IF(R1317=0,0,IF(R1317=1,X1317*$W$1,IF(R1317=2,X1317*$W$1*buff的资质计算!$E$2,IF(R1317=3,X1317*$W$1*buff的资质计算!$E$3,0)))),2)</f>
        <v>15.6</v>
      </c>
      <c r="X1317" s="157">
        <f ca="1" t="shared" si="216"/>
        <v>52</v>
      </c>
      <c r="Y1317" s="157">
        <f ca="1" t="shared" si="224"/>
        <v>52.6206896551724</v>
      </c>
      <c r="Z1317" s="304">
        <f ca="1" t="shared" si="217"/>
        <v>26.3103448275862</v>
      </c>
      <c r="AA1317" s="304">
        <f ca="1">OFFSET(卡牌辅助配置表!$AD$1,MATCH(AB1317,卡牌辅助配置表!AB:AB,0)-1,0)</f>
        <v>4083</v>
      </c>
      <c r="AB1317" s="304">
        <f ca="1" t="shared" si="221"/>
        <v>3217</v>
      </c>
      <c r="AC1317" s="153">
        <v>3</v>
      </c>
      <c r="AE1317" s="153">
        <v>2</v>
      </c>
      <c r="AF1317" s="153" t="str">
        <f ca="1" t="shared" si="225"/>
        <v>20180011|</v>
      </c>
      <c r="AJ1317" s="205" t="str">
        <f ca="1" t="shared" si="222"/>
        <v>400023|8250|;</v>
      </c>
      <c r="AK1317" s="205">
        <f ca="1">OFFSET([1]item_type!$A$1,MATCH(Q1317,[1]item_type!$G:$G,0)-1,0)</f>
        <v>302018</v>
      </c>
      <c r="AL1317" s="205"/>
      <c r="AM1317" s="205">
        <f ca="1">IF(B1317=B1318,OFFSET(卡牌辅助配置表!$AE$1,MATCH(AB1317,卡牌辅助配置表!AB:AB,0),0),0)</f>
        <v>8250</v>
      </c>
      <c r="AN1317" s="153">
        <f ca="1" t="shared" si="223"/>
        <v>2018018</v>
      </c>
      <c r="AP1317" s="153" t="str">
        <f ca="1">IF(AC1317=0,0,IF(AC1317=12,0,OFFSET(effect!$N$1,MATCH(K1317,effect!M:M,0)-1,0)))</f>
        <v>kpsx_pt</v>
      </c>
    </row>
    <row r="1318" spans="1:42">
      <c r="A1318" s="153">
        <f ca="1" t="shared" si="219"/>
        <v>2018018</v>
      </c>
      <c r="B1318" s="91" t="s">
        <v>351</v>
      </c>
      <c r="C1318" s="186">
        <v>2</v>
      </c>
      <c r="D1318" s="186">
        <v>1</v>
      </c>
      <c r="E1318" s="165" t="s">
        <v>1058</v>
      </c>
      <c r="F1318" s="165" t="str">
        <f>"上一招为剑法时，增加"&amp;skill!$O$112/100&amp;"%伤害"</f>
        <v>上一招为剑法时，增加45%伤害</v>
      </c>
      <c r="G1318" s="165">
        <v>6</v>
      </c>
      <c r="H1318" s="186">
        <f ca="1">OFFSET(skill!$Q$1,MATCH(B1318,skill!B:B,0)-1,0)</f>
        <v>0.620689655172414</v>
      </c>
      <c r="I1318" s="186"/>
      <c r="J1318" s="186">
        <f ca="1">OFFSET(card_type!$F$1,MATCH(Q1318,card_type!A:A,0)-1,0)</f>
        <v>3</v>
      </c>
      <c r="K1318" s="243">
        <f ca="1">OFFSET(card_type!$G$1,MATCH(Q1318,card_type!A:A,0)-1,0)</f>
        <v>2</v>
      </c>
      <c r="L1318" s="157">
        <v>2</v>
      </c>
      <c r="M1318" s="157">
        <v>2</v>
      </c>
      <c r="N1318" s="153">
        <f t="shared" si="218"/>
        <v>18</v>
      </c>
      <c r="O1318" s="157"/>
      <c r="P1318" s="157"/>
      <c r="Q1318" s="153">
        <f ca="1">OFFSET(card_type!$A$1,MATCH(card!B1318,card_type!B:B,0)-1,0)</f>
        <v>2018</v>
      </c>
      <c r="R1318" s="153">
        <v>1</v>
      </c>
      <c r="S1318" s="157">
        <f ca="1">ROUND(IF(R1318=0,0,IF(R1318=1,X1318*$S$1,IF(R1318=2,X1318*$S$1*buff的资质计算!$E$2,IF(R1318=3,X1318*$S$1*buff的资质计算!$E$3,0)))),0)*0</f>
        <v>0</v>
      </c>
      <c r="T1318" s="153">
        <v>4</v>
      </c>
      <c r="U1318" s="153">
        <f ca="1" t="shared" si="220"/>
        <v>32</v>
      </c>
      <c r="V1318" s="153">
        <f ca="1">ROUND((OFFSET(卡牌辅助配置表!$O$1,MATCH(U1318,卡牌辅助配置表!M:M,0)-1,0)+(N1318-1)*OFFSET(卡牌辅助配置表!$P$1,MATCH(U1318,卡牌辅助配置表!M:M,0)-1,0))*M1318,2)</f>
        <v>89.34</v>
      </c>
      <c r="W1318" s="157">
        <f ca="1">ROUND(IF(R1318=0,0,IF(R1318=1,X1318*$W$1,IF(R1318=2,X1318*$W$1*buff的资质计算!$E$2,IF(R1318=3,X1318*$W$1*buff的资质计算!$E$3,0)))),2)</f>
        <v>15.75</v>
      </c>
      <c r="X1318" s="157">
        <f ca="1" t="shared" si="216"/>
        <v>52.5</v>
      </c>
      <c r="Y1318" s="157">
        <f ca="1" t="shared" si="224"/>
        <v>53.1206896551724</v>
      </c>
      <c r="Z1318" s="304">
        <f ca="1" t="shared" si="217"/>
        <v>26.5603448275862</v>
      </c>
      <c r="AA1318" s="304">
        <f ca="1">OFFSET(卡牌辅助配置表!$AD$1,MATCH(AB1318,卡牌辅助配置表!AB:AB,0)-1,0)</f>
        <v>4382</v>
      </c>
      <c r="AB1318" s="304">
        <f ca="1" t="shared" si="221"/>
        <v>3218</v>
      </c>
      <c r="AC1318" s="153">
        <v>3</v>
      </c>
      <c r="AE1318" s="153">
        <v>2</v>
      </c>
      <c r="AF1318" s="153" t="str">
        <f ca="1" t="shared" si="225"/>
        <v>20180011|</v>
      </c>
      <c r="AJ1318" s="205" t="str">
        <f ca="1" t="shared" si="222"/>
        <v>400023|8850|;</v>
      </c>
      <c r="AK1318" s="205">
        <f ca="1">OFFSET([1]item_type!$A$1,MATCH(Q1318,[1]item_type!$G:$G,0)-1,0)</f>
        <v>302018</v>
      </c>
      <c r="AL1318" s="205"/>
      <c r="AM1318" s="205">
        <f ca="1">IF(B1318=B1319,OFFSET(卡牌辅助配置表!$AE$1,MATCH(AB1318,卡牌辅助配置表!AB:AB,0),0),0)</f>
        <v>8850</v>
      </c>
      <c r="AN1318" s="153">
        <f ca="1" t="shared" si="223"/>
        <v>2018019</v>
      </c>
      <c r="AP1318" s="153" t="str">
        <f ca="1">IF(AC1318=0,0,IF(AC1318=12,0,OFFSET(effect!$N$1,MATCH(K1318,effect!M:M,0)-1,0)))</f>
        <v>kpsx_pt</v>
      </c>
    </row>
    <row r="1319" spans="1:42">
      <c r="A1319" s="153">
        <f ca="1" t="shared" si="219"/>
        <v>2018019</v>
      </c>
      <c r="B1319" s="91" t="s">
        <v>351</v>
      </c>
      <c r="C1319" s="186">
        <v>2</v>
      </c>
      <c r="D1319" s="186">
        <v>1</v>
      </c>
      <c r="E1319" s="165" t="s">
        <v>1058</v>
      </c>
      <c r="F1319" s="165" t="str">
        <f>"上一招为剑法时，增加"&amp;skill!$O$112/100&amp;"%伤害"</f>
        <v>上一招为剑法时，增加45%伤害</v>
      </c>
      <c r="G1319" s="165">
        <v>6</v>
      </c>
      <c r="H1319" s="186">
        <f ca="1">OFFSET(skill!$Q$1,MATCH(B1319,skill!B:B,0)-1,0)</f>
        <v>0.620689655172414</v>
      </c>
      <c r="I1319" s="186"/>
      <c r="J1319" s="186">
        <f ca="1">OFFSET(card_type!$F$1,MATCH(Q1319,card_type!A:A,0)-1,0)</f>
        <v>3</v>
      </c>
      <c r="K1319" s="243">
        <f ca="1">OFFSET(card_type!$G$1,MATCH(Q1319,card_type!A:A,0)-1,0)</f>
        <v>2</v>
      </c>
      <c r="L1319" s="157">
        <v>2</v>
      </c>
      <c r="M1319" s="157">
        <v>2</v>
      </c>
      <c r="N1319" s="153">
        <f t="shared" si="218"/>
        <v>19</v>
      </c>
      <c r="O1319" s="157"/>
      <c r="P1319" s="157"/>
      <c r="Q1319" s="153">
        <f ca="1">OFFSET(card_type!$A$1,MATCH(card!B1319,card_type!B:B,0)-1,0)</f>
        <v>2018</v>
      </c>
      <c r="R1319" s="153">
        <v>1</v>
      </c>
      <c r="S1319" s="157">
        <f ca="1">ROUND(IF(R1319=0,0,IF(R1319=1,X1319*$S$1,IF(R1319=2,X1319*$S$1*buff的资质计算!$E$2,IF(R1319=3,X1319*$S$1*buff的资质计算!$E$3,0)))),0)*0</f>
        <v>0</v>
      </c>
      <c r="T1319" s="153">
        <v>4</v>
      </c>
      <c r="U1319" s="153">
        <f ca="1" t="shared" si="220"/>
        <v>32</v>
      </c>
      <c r="V1319" s="153">
        <f ca="1">ROUND((OFFSET(卡牌辅助配置表!$O$1,MATCH(U1319,卡牌辅助配置表!M:M,0)-1,0)+(N1319-1)*OFFSET(卡牌辅助配置表!$P$1,MATCH(U1319,卡牌辅助配置表!M:M,0)-1,0))*M1319,2)</f>
        <v>92.91</v>
      </c>
      <c r="W1319" s="157">
        <f ca="1">ROUND(IF(R1319=0,0,IF(R1319=1,X1319*$W$1,IF(R1319=2,X1319*$W$1*buff的资质计算!$E$2,IF(R1319=3,X1319*$W$1*buff的资质计算!$E$3,0)))),2)</f>
        <v>15.9</v>
      </c>
      <c r="X1319" s="157">
        <f ca="1" t="shared" si="216"/>
        <v>53</v>
      </c>
      <c r="Y1319" s="157">
        <f ca="1" t="shared" si="224"/>
        <v>53.6206896551724</v>
      </c>
      <c r="Z1319" s="304">
        <f ca="1" t="shared" si="217"/>
        <v>26.8103448275862</v>
      </c>
      <c r="AA1319" s="304">
        <f ca="1">OFFSET(卡牌辅助配置表!$AD$1,MATCH(AB1319,卡牌辅助配置表!AB:AB,0)-1,0)</f>
        <v>4681</v>
      </c>
      <c r="AB1319" s="304">
        <f ca="1" t="shared" si="221"/>
        <v>3219</v>
      </c>
      <c r="AC1319" s="153">
        <v>3</v>
      </c>
      <c r="AE1319" s="153">
        <v>2</v>
      </c>
      <c r="AF1319" s="153" t="str">
        <f ca="1" t="shared" si="225"/>
        <v>20180011|</v>
      </c>
      <c r="AJ1319" s="205" t="str">
        <f ca="1" t="shared" si="222"/>
        <v>302018|20|;400023|9450|;</v>
      </c>
      <c r="AK1319" s="205">
        <f ca="1">OFFSET([1]item_type!$A$1,MATCH(Q1319,[1]item_type!$G:$G,0)-1,0)</f>
        <v>302018</v>
      </c>
      <c r="AL1319" s="205">
        <v>20</v>
      </c>
      <c r="AM1319" s="205">
        <f ca="1">IF(B1319=B1320,OFFSET(卡牌辅助配置表!$AE$1,MATCH(AB1319,卡牌辅助配置表!AB:AB,0),0),0)</f>
        <v>9450</v>
      </c>
      <c r="AN1319" s="153">
        <f ca="1" t="shared" si="223"/>
        <v>2018020</v>
      </c>
      <c r="AP1319" s="153" t="str">
        <f ca="1">IF(AC1319=0,0,IF(AC1319=12,0,OFFSET(effect!$N$1,MATCH(K1319,effect!M:M,0)-1,0)))</f>
        <v>kpsx_pt</v>
      </c>
    </row>
    <row r="1320" spans="1:42">
      <c r="A1320" s="153">
        <f ca="1" t="shared" si="219"/>
        <v>2018020</v>
      </c>
      <c r="B1320" s="91" t="s">
        <v>351</v>
      </c>
      <c r="C1320" s="186">
        <v>2</v>
      </c>
      <c r="D1320" s="186">
        <v>1</v>
      </c>
      <c r="E1320" s="165" t="s">
        <v>1058</v>
      </c>
      <c r="F1320" s="165" t="str">
        <f>"上一招为剑法时，增加"&amp;skill!$O$112/100&amp;"%伤害"</f>
        <v>上一招为剑法时，增加45%伤害</v>
      </c>
      <c r="G1320" s="165">
        <v>6</v>
      </c>
      <c r="H1320" s="186">
        <f ca="1">OFFSET(skill!$Q$1,MATCH(B1320,skill!B:B,0)-1,0)</f>
        <v>0.620689655172414</v>
      </c>
      <c r="I1320" s="186"/>
      <c r="J1320" s="186">
        <f ca="1">OFFSET(card_type!$F$1,MATCH(Q1320,card_type!A:A,0)-1,0)</f>
        <v>3</v>
      </c>
      <c r="K1320" s="243">
        <f ca="1">OFFSET(card_type!$G$1,MATCH(Q1320,card_type!A:A,0)-1,0)</f>
        <v>2</v>
      </c>
      <c r="L1320" s="157">
        <v>2</v>
      </c>
      <c r="M1320" s="157">
        <v>2</v>
      </c>
      <c r="N1320" s="153">
        <f t="shared" si="218"/>
        <v>20</v>
      </c>
      <c r="O1320" s="157"/>
      <c r="P1320" s="157"/>
      <c r="Q1320" s="153">
        <f ca="1">OFFSET(card_type!$A$1,MATCH(card!B1320,card_type!B:B,0)-1,0)</f>
        <v>2018</v>
      </c>
      <c r="R1320" s="153">
        <v>1</v>
      </c>
      <c r="S1320" s="157">
        <f ca="1">ROUND(IF(R1320=0,0,IF(R1320=1,X1320*$S$1,IF(R1320=2,X1320*$S$1*buff的资质计算!$E$2,IF(R1320=3,X1320*$S$1*buff的资质计算!$E$3,0)))),0)*0</f>
        <v>0</v>
      </c>
      <c r="T1320" s="153">
        <v>4</v>
      </c>
      <c r="U1320" s="153">
        <f ca="1" t="shared" si="220"/>
        <v>32</v>
      </c>
      <c r="V1320" s="153">
        <f ca="1">ROUND((OFFSET(卡牌辅助配置表!$O$1,MATCH(U1320,卡牌辅助配置表!M:M,0)-1,0)+(N1320-1)*OFFSET(卡牌辅助配置表!$P$1,MATCH(U1320,卡牌辅助配置表!M:M,0)-1,0))*M1320,2)</f>
        <v>96.48</v>
      </c>
      <c r="W1320" s="157">
        <f ca="1">ROUND(IF(R1320=0,0,IF(R1320=1,X1320*$W$1,IF(R1320=2,X1320*$W$1*buff的资质计算!$E$2,IF(R1320=3,X1320*$W$1*buff的资质计算!$E$3,0)))),2)</f>
        <v>16.05</v>
      </c>
      <c r="X1320" s="157">
        <f ca="1" t="shared" si="216"/>
        <v>53.5</v>
      </c>
      <c r="Y1320" s="157">
        <f ca="1" t="shared" si="224"/>
        <v>54.1206896551724</v>
      </c>
      <c r="Z1320" s="304">
        <f ca="1" t="shared" si="217"/>
        <v>27.0603448275862</v>
      </c>
      <c r="AA1320" s="304">
        <f ca="1">OFFSET(卡牌辅助配置表!$AD$1,MATCH(AB1320,卡牌辅助配置表!AB:AB,0)-1,0)</f>
        <v>4980</v>
      </c>
      <c r="AB1320" s="304">
        <f ca="1" t="shared" si="221"/>
        <v>3220</v>
      </c>
      <c r="AC1320" s="153">
        <v>3</v>
      </c>
      <c r="AE1320" s="153">
        <v>2</v>
      </c>
      <c r="AF1320" s="153" t="str">
        <f ca="1" t="shared" si="225"/>
        <v>20180011|</v>
      </c>
      <c r="AJ1320" s="205" t="str">
        <f ca="1" t="shared" si="222"/>
        <v>400023|10650|;</v>
      </c>
      <c r="AK1320" s="205">
        <f ca="1">OFFSET([1]item_type!$A$1,MATCH(Q1320,[1]item_type!$G:$G,0)-1,0)</f>
        <v>302018</v>
      </c>
      <c r="AL1320" s="205"/>
      <c r="AM1320" s="205">
        <f ca="1">IF(B1320=B1321,OFFSET(卡牌辅助配置表!$AE$1,MATCH(AB1320,卡牌辅助配置表!AB:AB,0),0),0)</f>
        <v>10650</v>
      </c>
      <c r="AN1320" s="153">
        <f ca="1" t="shared" si="223"/>
        <v>2018021</v>
      </c>
      <c r="AP1320" s="153" t="str">
        <f ca="1">IF(AC1320=0,0,IF(AC1320=12,0,OFFSET(effect!$N$1,MATCH(K1320,effect!M:M,0)-1,0)))</f>
        <v>kpsx_pt</v>
      </c>
    </row>
    <row r="1321" spans="1:42">
      <c r="A1321" s="153">
        <f ca="1" t="shared" si="219"/>
        <v>2018021</v>
      </c>
      <c r="B1321" s="91" t="s">
        <v>351</v>
      </c>
      <c r="C1321" s="186">
        <v>2</v>
      </c>
      <c r="D1321" s="186">
        <v>1</v>
      </c>
      <c r="E1321" s="165" t="s">
        <v>1058</v>
      </c>
      <c r="F1321" s="165" t="str">
        <f>"上一招为剑法时，增加"&amp;skill!$O$112/100&amp;"%伤害"</f>
        <v>上一招为剑法时，增加45%伤害</v>
      </c>
      <c r="G1321" s="165">
        <v>6</v>
      </c>
      <c r="H1321" s="186">
        <f ca="1">OFFSET(skill!$Q$1,MATCH(B1321,skill!B:B,0)-1,0)</f>
        <v>0.620689655172414</v>
      </c>
      <c r="I1321" s="186"/>
      <c r="J1321" s="186">
        <f ca="1">OFFSET(card_type!$F$1,MATCH(Q1321,card_type!A:A,0)-1,0)</f>
        <v>3</v>
      </c>
      <c r="K1321" s="243">
        <f ca="1">OFFSET(card_type!$G$1,MATCH(Q1321,card_type!A:A,0)-1,0)</f>
        <v>2</v>
      </c>
      <c r="L1321" s="157">
        <v>2</v>
      </c>
      <c r="M1321" s="157">
        <v>2</v>
      </c>
      <c r="N1321" s="153">
        <f t="shared" si="218"/>
        <v>21</v>
      </c>
      <c r="O1321" s="157"/>
      <c r="P1321" s="157"/>
      <c r="Q1321" s="153">
        <f ca="1">OFFSET(card_type!$A$1,MATCH(card!B1321,card_type!B:B,0)-1,0)</f>
        <v>2018</v>
      </c>
      <c r="R1321" s="153">
        <v>1</v>
      </c>
      <c r="S1321" s="157">
        <f ca="1">ROUND(IF(R1321=0,0,IF(R1321=1,X1321*$S$1,IF(R1321=2,X1321*$S$1*buff的资质计算!$E$2,IF(R1321=3,X1321*$S$1*buff的资质计算!$E$3,0)))),0)*0</f>
        <v>0</v>
      </c>
      <c r="T1321" s="153">
        <v>4</v>
      </c>
      <c r="U1321" s="153">
        <f ca="1" t="shared" si="220"/>
        <v>32</v>
      </c>
      <c r="V1321" s="153">
        <f ca="1">ROUND((OFFSET(卡牌辅助配置表!$O$1,MATCH(U1321,卡牌辅助配置表!M:M,0)-1,0)+(N1321-1)*OFFSET(卡牌辅助配置表!$P$1,MATCH(U1321,卡牌辅助配置表!M:M,0)-1,0))*M1321,2)</f>
        <v>100.04</v>
      </c>
      <c r="W1321" s="157">
        <f ca="1">ROUND(IF(R1321=0,0,IF(R1321=1,X1321*$W$1,IF(R1321=2,X1321*$W$1*buff的资质计算!$E$2,IF(R1321=3,X1321*$W$1*buff的资质计算!$E$3,0)))),2)</f>
        <v>16.2</v>
      </c>
      <c r="X1321" s="157">
        <f ca="1" t="shared" si="216"/>
        <v>54</v>
      </c>
      <c r="Y1321" s="157">
        <f ca="1" t="shared" si="224"/>
        <v>54.6206896551724</v>
      </c>
      <c r="Z1321" s="304">
        <f ca="1" t="shared" si="217"/>
        <v>27.3103448275862</v>
      </c>
      <c r="AA1321" s="304">
        <f ca="1">OFFSET(卡牌辅助配置表!$AD$1,MATCH(AB1321,卡牌辅助配置表!AB:AB,0)-1,0)</f>
        <v>5378</v>
      </c>
      <c r="AB1321" s="304">
        <f ca="1" t="shared" si="221"/>
        <v>3221</v>
      </c>
      <c r="AC1321" s="153">
        <v>3</v>
      </c>
      <c r="AE1321" s="153">
        <v>2</v>
      </c>
      <c r="AF1321" s="153" t="str">
        <f ca="1" t="shared" si="225"/>
        <v>20180011|</v>
      </c>
      <c r="AJ1321" s="205" t="str">
        <f ca="1" t="shared" si="222"/>
        <v>400023|11850|;</v>
      </c>
      <c r="AK1321" s="205">
        <f ca="1">OFFSET([1]item_type!$A$1,MATCH(Q1321,[1]item_type!$G:$G,0)-1,0)</f>
        <v>302018</v>
      </c>
      <c r="AL1321" s="205"/>
      <c r="AM1321" s="205">
        <f ca="1">IF(B1321=B1322,OFFSET(卡牌辅助配置表!$AE$1,MATCH(AB1321,卡牌辅助配置表!AB:AB,0),0),0)</f>
        <v>11850</v>
      </c>
      <c r="AN1321" s="153">
        <f ca="1" t="shared" si="223"/>
        <v>2018022</v>
      </c>
      <c r="AP1321" s="153" t="str">
        <f ca="1">IF(AC1321=0,0,IF(AC1321=12,0,OFFSET(effect!$N$1,MATCH(K1321,effect!M:M,0)-1,0)))</f>
        <v>kpsx_pt</v>
      </c>
    </row>
    <row r="1322" spans="1:42">
      <c r="A1322" s="153">
        <f ca="1" t="shared" si="219"/>
        <v>2018022</v>
      </c>
      <c r="B1322" s="91" t="s">
        <v>351</v>
      </c>
      <c r="C1322" s="186">
        <v>2</v>
      </c>
      <c r="D1322" s="186">
        <v>1</v>
      </c>
      <c r="E1322" s="165" t="s">
        <v>1058</v>
      </c>
      <c r="F1322" s="165" t="str">
        <f>"上一招为剑法时，增加"&amp;skill!$O$112/100&amp;"%伤害"</f>
        <v>上一招为剑法时，增加45%伤害</v>
      </c>
      <c r="G1322" s="165">
        <v>6</v>
      </c>
      <c r="H1322" s="186">
        <f ca="1">OFFSET(skill!$Q$1,MATCH(B1322,skill!B:B,0)-1,0)</f>
        <v>0.620689655172414</v>
      </c>
      <c r="I1322" s="186"/>
      <c r="J1322" s="186">
        <f ca="1">OFFSET(card_type!$F$1,MATCH(Q1322,card_type!A:A,0)-1,0)</f>
        <v>3</v>
      </c>
      <c r="K1322" s="243">
        <f ca="1">OFFSET(card_type!$G$1,MATCH(Q1322,card_type!A:A,0)-1,0)</f>
        <v>2</v>
      </c>
      <c r="L1322" s="157">
        <v>2</v>
      </c>
      <c r="M1322" s="157">
        <v>2</v>
      </c>
      <c r="N1322" s="153">
        <f t="shared" si="218"/>
        <v>22</v>
      </c>
      <c r="O1322" s="157"/>
      <c r="P1322" s="157"/>
      <c r="Q1322" s="153">
        <f ca="1">OFFSET(card_type!$A$1,MATCH(card!B1322,card_type!B:B,0)-1,0)</f>
        <v>2018</v>
      </c>
      <c r="R1322" s="153">
        <v>1</v>
      </c>
      <c r="S1322" s="157">
        <f ca="1">ROUND(IF(R1322=0,0,IF(R1322=1,X1322*$S$1,IF(R1322=2,X1322*$S$1*buff的资质计算!$E$2,IF(R1322=3,X1322*$S$1*buff的资质计算!$E$3,0)))),0)*0</f>
        <v>0</v>
      </c>
      <c r="T1322" s="153">
        <v>4</v>
      </c>
      <c r="U1322" s="153">
        <f ca="1" t="shared" si="220"/>
        <v>32</v>
      </c>
      <c r="V1322" s="153">
        <f ca="1">ROUND((OFFSET(卡牌辅助配置表!$O$1,MATCH(U1322,卡牌辅助配置表!M:M,0)-1,0)+(N1322-1)*OFFSET(卡牌辅助配置表!$P$1,MATCH(U1322,卡牌辅助配置表!M:M,0)-1,0))*M1322,2)</f>
        <v>103.61</v>
      </c>
      <c r="W1322" s="157">
        <f ca="1">ROUND(IF(R1322=0,0,IF(R1322=1,X1322*$W$1,IF(R1322=2,X1322*$W$1*buff的资质计算!$E$2,IF(R1322=3,X1322*$W$1*buff的资质计算!$E$3,0)))),2)</f>
        <v>16.35</v>
      </c>
      <c r="X1322" s="157">
        <f ca="1" t="shared" si="216"/>
        <v>54.5</v>
      </c>
      <c r="Y1322" s="157">
        <f ca="1" t="shared" si="224"/>
        <v>55.1206896551724</v>
      </c>
      <c r="Z1322" s="304">
        <f ca="1" t="shared" si="217"/>
        <v>27.5603448275862</v>
      </c>
      <c r="AA1322" s="304">
        <f ca="1">OFFSET(卡牌辅助配置表!$AD$1,MATCH(AB1322,卡牌辅助配置表!AB:AB,0)-1,0)</f>
        <v>5776</v>
      </c>
      <c r="AB1322" s="304">
        <f ca="1" t="shared" si="221"/>
        <v>3222</v>
      </c>
      <c r="AC1322" s="153">
        <v>3</v>
      </c>
      <c r="AE1322" s="153">
        <v>2</v>
      </c>
      <c r="AF1322" s="153" t="str">
        <f ca="1" t="shared" si="225"/>
        <v>20180011|</v>
      </c>
      <c r="AJ1322" s="205" t="str">
        <f ca="1" t="shared" si="222"/>
        <v>400023|13050|;</v>
      </c>
      <c r="AK1322" s="205">
        <f ca="1">OFFSET([1]item_type!$A$1,MATCH(Q1322,[1]item_type!$G:$G,0)-1,0)</f>
        <v>302018</v>
      </c>
      <c r="AL1322" s="205"/>
      <c r="AM1322" s="205">
        <f ca="1">IF(B1322=B1323,OFFSET(卡牌辅助配置表!$AE$1,MATCH(AB1322,卡牌辅助配置表!AB:AB,0),0),0)</f>
        <v>13050</v>
      </c>
      <c r="AN1322" s="153">
        <f ca="1" t="shared" si="223"/>
        <v>2018023</v>
      </c>
      <c r="AP1322" s="153" t="str">
        <f ca="1">IF(AC1322=0,0,IF(AC1322=12,0,OFFSET(effect!$N$1,MATCH(K1322,effect!M:M,0)-1,0)))</f>
        <v>kpsx_pt</v>
      </c>
    </row>
    <row r="1323" spans="1:42">
      <c r="A1323" s="153">
        <f ca="1" t="shared" si="219"/>
        <v>2018023</v>
      </c>
      <c r="B1323" s="91" t="s">
        <v>351</v>
      </c>
      <c r="C1323" s="186">
        <v>2</v>
      </c>
      <c r="D1323" s="186">
        <v>1</v>
      </c>
      <c r="E1323" s="165" t="s">
        <v>1058</v>
      </c>
      <c r="F1323" s="165" t="str">
        <f>"上一招为剑法时，增加"&amp;skill!$O$112/100&amp;"%伤害"</f>
        <v>上一招为剑法时，增加45%伤害</v>
      </c>
      <c r="G1323" s="165">
        <v>6</v>
      </c>
      <c r="H1323" s="186">
        <f ca="1">OFFSET(skill!$Q$1,MATCH(B1323,skill!B:B,0)-1,0)</f>
        <v>0.620689655172414</v>
      </c>
      <c r="I1323" s="186"/>
      <c r="J1323" s="186">
        <f ca="1">OFFSET(card_type!$F$1,MATCH(Q1323,card_type!A:A,0)-1,0)</f>
        <v>3</v>
      </c>
      <c r="K1323" s="243">
        <f ca="1">OFFSET(card_type!$G$1,MATCH(Q1323,card_type!A:A,0)-1,0)</f>
        <v>2</v>
      </c>
      <c r="L1323" s="157">
        <v>2</v>
      </c>
      <c r="M1323" s="157">
        <v>2</v>
      </c>
      <c r="N1323" s="153">
        <f t="shared" si="218"/>
        <v>23</v>
      </c>
      <c r="O1323" s="157"/>
      <c r="P1323" s="157"/>
      <c r="Q1323" s="153">
        <f ca="1">OFFSET(card_type!$A$1,MATCH(card!B1323,card_type!B:B,0)-1,0)</f>
        <v>2018</v>
      </c>
      <c r="R1323" s="153">
        <v>1</v>
      </c>
      <c r="S1323" s="157">
        <f ca="1">ROUND(IF(R1323=0,0,IF(R1323=1,X1323*$S$1,IF(R1323=2,X1323*$S$1*buff的资质计算!$E$2,IF(R1323=3,X1323*$S$1*buff的资质计算!$E$3,0)))),0)*0</f>
        <v>0</v>
      </c>
      <c r="T1323" s="153">
        <v>4</v>
      </c>
      <c r="U1323" s="153">
        <f ca="1" t="shared" si="220"/>
        <v>32</v>
      </c>
      <c r="V1323" s="153">
        <f ca="1">ROUND((OFFSET(卡牌辅助配置表!$O$1,MATCH(U1323,卡牌辅助配置表!M:M,0)-1,0)+(N1323-1)*OFFSET(卡牌辅助配置表!$P$1,MATCH(U1323,卡牌辅助配置表!M:M,0)-1,0))*M1323,2)</f>
        <v>107.18</v>
      </c>
      <c r="W1323" s="157">
        <f ca="1">ROUND(IF(R1323=0,0,IF(R1323=1,X1323*$W$1,IF(R1323=2,X1323*$W$1*buff的资质计算!$E$2,IF(R1323=3,X1323*$W$1*buff的资质计算!$E$3,0)))),2)</f>
        <v>16.5</v>
      </c>
      <c r="X1323" s="157">
        <f ca="1" t="shared" si="216"/>
        <v>55</v>
      </c>
      <c r="Y1323" s="157">
        <f ca="1" t="shared" si="224"/>
        <v>55.6206896551724</v>
      </c>
      <c r="Z1323" s="304">
        <f ca="1" t="shared" si="217"/>
        <v>27.8103448275862</v>
      </c>
      <c r="AA1323" s="304">
        <f ca="1">OFFSET(卡牌辅助配置表!$AD$1,MATCH(AB1323,卡牌辅助配置表!AB:AB,0)-1,0)</f>
        <v>6174</v>
      </c>
      <c r="AB1323" s="304">
        <f ca="1" t="shared" si="221"/>
        <v>3223</v>
      </c>
      <c r="AC1323" s="153">
        <v>3</v>
      </c>
      <c r="AE1323" s="153">
        <v>2</v>
      </c>
      <c r="AF1323" s="153" t="str">
        <f ca="1" t="shared" si="225"/>
        <v>20180011|</v>
      </c>
      <c r="AJ1323" s="205" t="str">
        <f ca="1" t="shared" si="222"/>
        <v>400023|14250|;</v>
      </c>
      <c r="AK1323" s="205">
        <f ca="1">OFFSET([1]item_type!$A$1,MATCH(Q1323,[1]item_type!$G:$G,0)-1,0)</f>
        <v>302018</v>
      </c>
      <c r="AL1323" s="205"/>
      <c r="AM1323" s="205">
        <f ca="1">IF(B1323=B1324,OFFSET(卡牌辅助配置表!$AE$1,MATCH(AB1323,卡牌辅助配置表!AB:AB,0),0),0)</f>
        <v>14250</v>
      </c>
      <c r="AN1323" s="153">
        <f ca="1" t="shared" si="223"/>
        <v>2018024</v>
      </c>
      <c r="AP1323" s="153" t="str">
        <f ca="1">IF(AC1323=0,0,IF(AC1323=12,0,OFFSET(effect!$N$1,MATCH(K1323,effect!M:M,0)-1,0)))</f>
        <v>kpsx_pt</v>
      </c>
    </row>
    <row r="1324" spans="1:42">
      <c r="A1324" s="153">
        <f ca="1" t="shared" si="219"/>
        <v>2018024</v>
      </c>
      <c r="B1324" s="91" t="s">
        <v>351</v>
      </c>
      <c r="C1324" s="186">
        <v>2</v>
      </c>
      <c r="D1324" s="186">
        <v>1</v>
      </c>
      <c r="E1324" s="165" t="s">
        <v>1058</v>
      </c>
      <c r="F1324" s="165" t="str">
        <f>"上一招为剑法时，增加"&amp;skill!$O$112/100&amp;"%伤害"</f>
        <v>上一招为剑法时，增加45%伤害</v>
      </c>
      <c r="G1324" s="165">
        <v>6</v>
      </c>
      <c r="H1324" s="186">
        <f ca="1">OFFSET(skill!$Q$1,MATCH(B1324,skill!B:B,0)-1,0)</f>
        <v>0.620689655172414</v>
      </c>
      <c r="I1324" s="186"/>
      <c r="J1324" s="186">
        <f ca="1">OFFSET(card_type!$F$1,MATCH(Q1324,card_type!A:A,0)-1,0)</f>
        <v>3</v>
      </c>
      <c r="K1324" s="243">
        <f ca="1">OFFSET(card_type!$G$1,MATCH(Q1324,card_type!A:A,0)-1,0)</f>
        <v>2</v>
      </c>
      <c r="L1324" s="157">
        <v>2</v>
      </c>
      <c r="M1324" s="157">
        <v>2</v>
      </c>
      <c r="N1324" s="153">
        <f t="shared" si="218"/>
        <v>24</v>
      </c>
      <c r="O1324" s="157"/>
      <c r="P1324" s="157"/>
      <c r="Q1324" s="153">
        <f ca="1">OFFSET(card_type!$A$1,MATCH(card!B1324,card_type!B:B,0)-1,0)</f>
        <v>2018</v>
      </c>
      <c r="R1324" s="153">
        <v>1</v>
      </c>
      <c r="S1324" s="157">
        <f ca="1">ROUND(IF(R1324=0,0,IF(R1324=1,X1324*$S$1,IF(R1324=2,X1324*$S$1*buff的资质计算!$E$2,IF(R1324=3,X1324*$S$1*buff的资质计算!$E$3,0)))),0)*0</f>
        <v>0</v>
      </c>
      <c r="T1324" s="153">
        <v>4</v>
      </c>
      <c r="U1324" s="153">
        <f ca="1" t="shared" si="220"/>
        <v>32</v>
      </c>
      <c r="V1324" s="153">
        <f ca="1">ROUND((OFFSET(卡牌辅助配置表!$O$1,MATCH(U1324,卡牌辅助配置表!M:M,0)-1,0)+(N1324-1)*OFFSET(卡牌辅助配置表!$P$1,MATCH(U1324,卡牌辅助配置表!M:M,0)-1,0))*M1324,2)</f>
        <v>110.74</v>
      </c>
      <c r="W1324" s="157">
        <f ca="1">ROUND(IF(R1324=0,0,IF(R1324=1,X1324*$W$1,IF(R1324=2,X1324*$W$1*buff的资质计算!$E$2,IF(R1324=3,X1324*$W$1*buff的资质计算!$E$3,0)))),2)</f>
        <v>16.65</v>
      </c>
      <c r="X1324" s="157">
        <f ca="1" t="shared" si="216"/>
        <v>55.5</v>
      </c>
      <c r="Y1324" s="157">
        <f ca="1" t="shared" si="224"/>
        <v>56.1206896551724</v>
      </c>
      <c r="Z1324" s="304">
        <f ca="1" t="shared" si="217"/>
        <v>28.0603448275862</v>
      </c>
      <c r="AA1324" s="304">
        <f ca="1">OFFSET(卡牌辅助配置表!$AD$1,MATCH(AB1324,卡牌辅助配置表!AB:AB,0)-1,0)</f>
        <v>6572</v>
      </c>
      <c r="AB1324" s="304">
        <f ca="1" t="shared" si="221"/>
        <v>3224</v>
      </c>
      <c r="AC1324" s="153">
        <v>3</v>
      </c>
      <c r="AE1324" s="153">
        <v>2</v>
      </c>
      <c r="AF1324" s="153" t="str">
        <f ca="1" t="shared" si="225"/>
        <v>20180011|</v>
      </c>
      <c r="AJ1324" s="205" t="str">
        <f ca="1" t="shared" si="222"/>
        <v>400023|15450|;</v>
      </c>
      <c r="AK1324" s="205">
        <f ca="1">OFFSET([1]item_type!$A$1,MATCH(Q1324,[1]item_type!$G:$G,0)-1,0)</f>
        <v>302018</v>
      </c>
      <c r="AL1324" s="205"/>
      <c r="AM1324" s="205">
        <f ca="1">IF(B1324=B1325,OFFSET(卡牌辅助配置表!$AE$1,MATCH(AB1324,卡牌辅助配置表!AB:AB,0),0),0)</f>
        <v>15450</v>
      </c>
      <c r="AN1324" s="153">
        <f ca="1" t="shared" si="223"/>
        <v>2018025</v>
      </c>
      <c r="AP1324" s="153" t="str">
        <f ca="1">IF(AC1324=0,0,IF(AC1324=12,0,OFFSET(effect!$N$1,MATCH(K1324,effect!M:M,0)-1,0)))</f>
        <v>kpsx_pt</v>
      </c>
    </row>
    <row r="1325" spans="1:42">
      <c r="A1325" s="153">
        <f ca="1" t="shared" si="219"/>
        <v>2018025</v>
      </c>
      <c r="B1325" s="91" t="s">
        <v>351</v>
      </c>
      <c r="C1325" s="186">
        <v>2</v>
      </c>
      <c r="D1325" s="186">
        <v>1</v>
      </c>
      <c r="E1325" s="165" t="s">
        <v>1058</v>
      </c>
      <c r="F1325" s="165" t="str">
        <f>"上一招为剑法时，增加"&amp;skill!$O$112/100&amp;"%伤害"</f>
        <v>上一招为剑法时，增加45%伤害</v>
      </c>
      <c r="G1325" s="165">
        <v>6</v>
      </c>
      <c r="H1325" s="186">
        <f ca="1">OFFSET(skill!$Q$1,MATCH(B1325,skill!B:B,0)-1,0)</f>
        <v>0.620689655172414</v>
      </c>
      <c r="I1325" s="186"/>
      <c r="J1325" s="186">
        <f ca="1">OFFSET(card_type!$F$1,MATCH(Q1325,card_type!A:A,0)-1,0)</f>
        <v>3</v>
      </c>
      <c r="K1325" s="243">
        <f ca="1">OFFSET(card_type!$G$1,MATCH(Q1325,card_type!A:A,0)-1,0)</f>
        <v>2</v>
      </c>
      <c r="L1325" s="157">
        <v>2</v>
      </c>
      <c r="M1325" s="157">
        <v>2</v>
      </c>
      <c r="N1325" s="153">
        <f t="shared" si="218"/>
        <v>25</v>
      </c>
      <c r="O1325" s="157"/>
      <c r="P1325" s="157"/>
      <c r="Q1325" s="153">
        <f ca="1">OFFSET(card_type!$A$1,MATCH(card!B1325,card_type!B:B,0)-1,0)</f>
        <v>2018</v>
      </c>
      <c r="R1325" s="153">
        <v>1</v>
      </c>
      <c r="S1325" s="157">
        <f ca="1">ROUND(IF(R1325=0,0,IF(R1325=1,X1325*$S$1,IF(R1325=2,X1325*$S$1*buff的资质计算!$E$2,IF(R1325=3,X1325*$S$1*buff的资质计算!$E$3,0)))),0)*0</f>
        <v>0</v>
      </c>
      <c r="T1325" s="153">
        <v>4</v>
      </c>
      <c r="U1325" s="153">
        <f ca="1" t="shared" si="220"/>
        <v>32</v>
      </c>
      <c r="V1325" s="153">
        <f ca="1">ROUND((OFFSET(卡牌辅助配置表!$O$1,MATCH(U1325,卡牌辅助配置表!M:M,0)-1,0)+(N1325-1)*OFFSET(卡牌辅助配置表!$P$1,MATCH(U1325,卡牌辅助配置表!M:M,0)-1,0))*M1325,2)</f>
        <v>114.31</v>
      </c>
      <c r="W1325" s="157">
        <f ca="1">ROUND(IF(R1325=0,0,IF(R1325=1,X1325*$W$1,IF(R1325=2,X1325*$W$1*buff的资质计算!$E$2,IF(R1325=3,X1325*$W$1*buff的资质计算!$E$3,0)))),2)</f>
        <v>16.8</v>
      </c>
      <c r="X1325" s="157">
        <f ca="1" t="shared" si="216"/>
        <v>56</v>
      </c>
      <c r="Y1325" s="157">
        <f ca="1" t="shared" si="224"/>
        <v>56.6206896551724</v>
      </c>
      <c r="Z1325" s="304">
        <f ca="1" t="shared" si="217"/>
        <v>28.3103448275862</v>
      </c>
      <c r="AA1325" s="304">
        <f ca="1">OFFSET(卡牌辅助配置表!$AD$1,MATCH(AB1325,卡牌辅助配置表!AB:AB,0)-1,0)</f>
        <v>6970</v>
      </c>
      <c r="AB1325" s="304">
        <f ca="1" t="shared" si="221"/>
        <v>3225</v>
      </c>
      <c r="AC1325" s="153">
        <v>3</v>
      </c>
      <c r="AE1325" s="153">
        <v>2</v>
      </c>
      <c r="AF1325" s="153" t="str">
        <f ca="1" t="shared" si="225"/>
        <v>20180011|</v>
      </c>
      <c r="AJ1325" s="205" t="str">
        <f ca="1" t="shared" si="222"/>
        <v>400023|16650|;</v>
      </c>
      <c r="AK1325" s="205">
        <f ca="1">OFFSET([1]item_type!$A$1,MATCH(Q1325,[1]item_type!$G:$G,0)-1,0)</f>
        <v>302018</v>
      </c>
      <c r="AL1325" s="205"/>
      <c r="AM1325" s="205">
        <f ca="1">IF(B1325=B1326,OFFSET(卡牌辅助配置表!$AE$1,MATCH(AB1325,卡牌辅助配置表!AB:AB,0),0),0)</f>
        <v>16650</v>
      </c>
      <c r="AN1325" s="153">
        <f ca="1" t="shared" si="223"/>
        <v>2018026</v>
      </c>
      <c r="AP1325" s="153" t="str">
        <f ca="1">IF(AC1325=0,0,IF(AC1325=12,0,OFFSET(effect!$N$1,MATCH(K1325,effect!M:M,0)-1,0)))</f>
        <v>kpsx_pt</v>
      </c>
    </row>
    <row r="1326" spans="1:42">
      <c r="A1326" s="153">
        <f ca="1" t="shared" si="219"/>
        <v>2018026</v>
      </c>
      <c r="B1326" s="91" t="s">
        <v>351</v>
      </c>
      <c r="C1326" s="186">
        <v>2</v>
      </c>
      <c r="D1326" s="186">
        <v>1</v>
      </c>
      <c r="E1326" s="165" t="s">
        <v>1058</v>
      </c>
      <c r="F1326" s="165" t="str">
        <f>"上一招为剑法时，增加"&amp;skill!$O$112/100&amp;"%伤害"</f>
        <v>上一招为剑法时，增加45%伤害</v>
      </c>
      <c r="G1326" s="165">
        <v>6</v>
      </c>
      <c r="H1326" s="186">
        <f ca="1">OFFSET(skill!$Q$1,MATCH(B1326,skill!B:B,0)-1,0)</f>
        <v>0.620689655172414</v>
      </c>
      <c r="I1326" s="186"/>
      <c r="J1326" s="186">
        <f ca="1">OFFSET(card_type!$F$1,MATCH(Q1326,card_type!A:A,0)-1,0)</f>
        <v>3</v>
      </c>
      <c r="K1326" s="243">
        <f ca="1">OFFSET(card_type!$G$1,MATCH(Q1326,card_type!A:A,0)-1,0)</f>
        <v>2</v>
      </c>
      <c r="L1326" s="157">
        <v>2</v>
      </c>
      <c r="M1326" s="157">
        <v>2</v>
      </c>
      <c r="N1326" s="153">
        <f t="shared" si="218"/>
        <v>26</v>
      </c>
      <c r="O1326" s="157"/>
      <c r="P1326" s="157"/>
      <c r="Q1326" s="153">
        <f ca="1">OFFSET(card_type!$A$1,MATCH(card!B1326,card_type!B:B,0)-1,0)</f>
        <v>2018</v>
      </c>
      <c r="R1326" s="153">
        <v>1</v>
      </c>
      <c r="S1326" s="157">
        <f ca="1">ROUND(IF(R1326=0,0,IF(R1326=1,X1326*$S$1,IF(R1326=2,X1326*$S$1*buff的资质计算!$E$2,IF(R1326=3,X1326*$S$1*buff的资质计算!$E$3,0)))),0)*0</f>
        <v>0</v>
      </c>
      <c r="T1326" s="153">
        <v>4</v>
      </c>
      <c r="U1326" s="153">
        <f ca="1" t="shared" si="220"/>
        <v>32</v>
      </c>
      <c r="V1326" s="153">
        <f ca="1">ROUND((OFFSET(卡牌辅助配置表!$O$1,MATCH(U1326,卡牌辅助配置表!M:M,0)-1,0)+(N1326-1)*OFFSET(卡牌辅助配置表!$P$1,MATCH(U1326,卡牌辅助配置表!M:M,0)-1,0))*M1326,2)</f>
        <v>117.88</v>
      </c>
      <c r="W1326" s="157">
        <f ca="1">ROUND(IF(R1326=0,0,IF(R1326=1,X1326*$W$1,IF(R1326=2,X1326*$W$1*buff的资质计算!$E$2,IF(R1326=3,X1326*$W$1*buff的资质计算!$E$3,0)))),2)</f>
        <v>16.95</v>
      </c>
      <c r="X1326" s="157">
        <f ca="1" t="shared" si="216"/>
        <v>56.5</v>
      </c>
      <c r="Y1326" s="157">
        <f ca="1" t="shared" si="224"/>
        <v>57.1206896551724</v>
      </c>
      <c r="Z1326" s="304">
        <f ca="1" t="shared" si="217"/>
        <v>28.5603448275862</v>
      </c>
      <c r="AA1326" s="304">
        <f ca="1">OFFSET(卡牌辅助配置表!$AD$1,MATCH(AB1326,卡牌辅助配置表!AB:AB,0)-1,0)</f>
        <v>7368</v>
      </c>
      <c r="AB1326" s="304">
        <f ca="1" t="shared" si="221"/>
        <v>3226</v>
      </c>
      <c r="AC1326" s="153">
        <v>3</v>
      </c>
      <c r="AE1326" s="153">
        <v>2</v>
      </c>
      <c r="AF1326" s="153" t="str">
        <f ca="1" t="shared" si="225"/>
        <v>20180011|</v>
      </c>
      <c r="AJ1326" s="205" t="str">
        <f ca="1" t="shared" si="222"/>
        <v>400023|17850|;</v>
      </c>
      <c r="AK1326" s="205">
        <f ca="1">OFFSET([1]item_type!$A$1,MATCH(Q1326,[1]item_type!$G:$G,0)-1,0)</f>
        <v>302018</v>
      </c>
      <c r="AL1326" s="205"/>
      <c r="AM1326" s="205">
        <f ca="1">IF(B1326=B1327,OFFSET(卡牌辅助配置表!$AE$1,MATCH(AB1326,卡牌辅助配置表!AB:AB,0),0),0)</f>
        <v>17850</v>
      </c>
      <c r="AN1326" s="153">
        <f ca="1" t="shared" si="223"/>
        <v>2018027</v>
      </c>
      <c r="AP1326" s="153" t="str">
        <f ca="1">IF(AC1326=0,0,IF(AC1326=12,0,OFFSET(effect!$N$1,MATCH(K1326,effect!M:M,0)-1,0)))</f>
        <v>kpsx_pt</v>
      </c>
    </row>
    <row r="1327" spans="1:42">
      <c r="A1327" s="153">
        <f ca="1" t="shared" si="219"/>
        <v>2018027</v>
      </c>
      <c r="B1327" s="91" t="s">
        <v>351</v>
      </c>
      <c r="C1327" s="186">
        <v>2</v>
      </c>
      <c r="D1327" s="186">
        <v>1</v>
      </c>
      <c r="E1327" s="165" t="s">
        <v>1058</v>
      </c>
      <c r="F1327" s="165" t="str">
        <f>"上一招为剑法时，增加"&amp;skill!$O$112/100&amp;"%伤害"</f>
        <v>上一招为剑法时，增加45%伤害</v>
      </c>
      <c r="G1327" s="165">
        <v>6</v>
      </c>
      <c r="H1327" s="186">
        <f ca="1">OFFSET(skill!$Q$1,MATCH(B1327,skill!B:B,0)-1,0)</f>
        <v>0.620689655172414</v>
      </c>
      <c r="I1327" s="186"/>
      <c r="J1327" s="186">
        <f ca="1">OFFSET(card_type!$F$1,MATCH(Q1327,card_type!A:A,0)-1,0)</f>
        <v>3</v>
      </c>
      <c r="K1327" s="243">
        <f ca="1">OFFSET(card_type!$G$1,MATCH(Q1327,card_type!A:A,0)-1,0)</f>
        <v>2</v>
      </c>
      <c r="L1327" s="157">
        <v>2</v>
      </c>
      <c r="M1327" s="157">
        <v>2</v>
      </c>
      <c r="N1327" s="153">
        <f t="shared" si="218"/>
        <v>27</v>
      </c>
      <c r="O1327" s="157"/>
      <c r="P1327" s="157"/>
      <c r="Q1327" s="153">
        <f ca="1">OFFSET(card_type!$A$1,MATCH(card!B1327,card_type!B:B,0)-1,0)</f>
        <v>2018</v>
      </c>
      <c r="R1327" s="153">
        <v>1</v>
      </c>
      <c r="S1327" s="157">
        <f ca="1">ROUND(IF(R1327=0,0,IF(R1327=1,X1327*$S$1,IF(R1327=2,X1327*$S$1*buff的资质计算!$E$2,IF(R1327=3,X1327*$S$1*buff的资质计算!$E$3,0)))),0)*0</f>
        <v>0</v>
      </c>
      <c r="T1327" s="153">
        <v>4</v>
      </c>
      <c r="U1327" s="153">
        <f ca="1" t="shared" si="220"/>
        <v>32</v>
      </c>
      <c r="V1327" s="153">
        <f ca="1">ROUND((OFFSET(卡牌辅助配置表!$O$1,MATCH(U1327,卡牌辅助配置表!M:M,0)-1,0)+(N1327-1)*OFFSET(卡牌辅助配置表!$P$1,MATCH(U1327,卡牌辅助配置表!M:M,0)-1,0))*M1327,2)</f>
        <v>121.44</v>
      </c>
      <c r="W1327" s="157">
        <f ca="1">ROUND(IF(R1327=0,0,IF(R1327=1,X1327*$W$1,IF(R1327=2,X1327*$W$1*buff的资质计算!$E$2,IF(R1327=3,X1327*$W$1*buff的资质计算!$E$3,0)))),2)</f>
        <v>17.1</v>
      </c>
      <c r="X1327" s="157">
        <f ca="1" t="shared" si="216"/>
        <v>57</v>
      </c>
      <c r="Y1327" s="157">
        <f ca="1" t="shared" si="224"/>
        <v>57.6206896551724</v>
      </c>
      <c r="Z1327" s="304">
        <f ca="1" t="shared" si="217"/>
        <v>28.8103448275862</v>
      </c>
      <c r="AA1327" s="304">
        <f ca="1">OFFSET(卡牌辅助配置表!$AD$1,MATCH(AB1327,卡牌辅助配置表!AB:AB,0)-1,0)</f>
        <v>7766</v>
      </c>
      <c r="AB1327" s="304">
        <f ca="1" t="shared" si="221"/>
        <v>3227</v>
      </c>
      <c r="AC1327" s="153">
        <v>3</v>
      </c>
      <c r="AE1327" s="153">
        <v>2</v>
      </c>
      <c r="AF1327" s="153" t="str">
        <f ca="1" t="shared" si="225"/>
        <v>20180011|</v>
      </c>
      <c r="AJ1327" s="205" t="str">
        <f ca="1" t="shared" si="222"/>
        <v>400023|19050|;</v>
      </c>
      <c r="AK1327" s="205">
        <f ca="1">OFFSET([1]item_type!$A$1,MATCH(Q1327,[1]item_type!$G:$G,0)-1,0)</f>
        <v>302018</v>
      </c>
      <c r="AL1327" s="205"/>
      <c r="AM1327" s="205">
        <f ca="1">IF(B1327=B1328,OFFSET(卡牌辅助配置表!$AE$1,MATCH(AB1327,卡牌辅助配置表!AB:AB,0),0),0)</f>
        <v>19050</v>
      </c>
      <c r="AN1327" s="153">
        <f ca="1" t="shared" si="223"/>
        <v>2018028</v>
      </c>
      <c r="AP1327" s="153" t="str">
        <f ca="1">IF(AC1327=0,0,IF(AC1327=12,0,OFFSET(effect!$N$1,MATCH(K1327,effect!M:M,0)-1,0)))</f>
        <v>kpsx_pt</v>
      </c>
    </row>
    <row r="1328" spans="1:42">
      <c r="A1328" s="153">
        <f ca="1" t="shared" si="219"/>
        <v>2018028</v>
      </c>
      <c r="B1328" s="91" t="s">
        <v>351</v>
      </c>
      <c r="C1328" s="186">
        <v>2</v>
      </c>
      <c r="D1328" s="186">
        <v>1</v>
      </c>
      <c r="E1328" s="165" t="s">
        <v>1058</v>
      </c>
      <c r="F1328" s="165" t="str">
        <f>"上一招为剑法时，增加"&amp;skill!$O$112/100&amp;"%伤害"</f>
        <v>上一招为剑法时，增加45%伤害</v>
      </c>
      <c r="G1328" s="165">
        <v>6</v>
      </c>
      <c r="H1328" s="186">
        <f ca="1">OFFSET(skill!$Q$1,MATCH(B1328,skill!B:B,0)-1,0)</f>
        <v>0.620689655172414</v>
      </c>
      <c r="I1328" s="186"/>
      <c r="J1328" s="186">
        <f ca="1">OFFSET(card_type!$F$1,MATCH(Q1328,card_type!A:A,0)-1,0)</f>
        <v>3</v>
      </c>
      <c r="K1328" s="243">
        <f ca="1">OFFSET(card_type!$G$1,MATCH(Q1328,card_type!A:A,0)-1,0)</f>
        <v>2</v>
      </c>
      <c r="L1328" s="157">
        <v>2</v>
      </c>
      <c r="M1328" s="157">
        <v>2</v>
      </c>
      <c r="N1328" s="153">
        <f t="shared" si="218"/>
        <v>28</v>
      </c>
      <c r="O1328" s="157"/>
      <c r="P1328" s="157"/>
      <c r="Q1328" s="153">
        <f ca="1">OFFSET(card_type!$A$1,MATCH(card!B1328,card_type!B:B,0)-1,0)</f>
        <v>2018</v>
      </c>
      <c r="R1328" s="153">
        <v>1</v>
      </c>
      <c r="S1328" s="157">
        <f ca="1">ROUND(IF(R1328=0,0,IF(R1328=1,X1328*$S$1,IF(R1328=2,X1328*$S$1*buff的资质计算!$E$2,IF(R1328=3,X1328*$S$1*buff的资质计算!$E$3,0)))),0)*0</f>
        <v>0</v>
      </c>
      <c r="T1328" s="153">
        <v>4</v>
      </c>
      <c r="U1328" s="153">
        <f ca="1" t="shared" si="220"/>
        <v>32</v>
      </c>
      <c r="V1328" s="153">
        <f ca="1">ROUND((OFFSET(卡牌辅助配置表!$O$1,MATCH(U1328,卡牌辅助配置表!M:M,0)-1,0)+(N1328-1)*OFFSET(卡牌辅助配置表!$P$1,MATCH(U1328,卡牌辅助配置表!M:M,0)-1,0))*M1328,2)</f>
        <v>125.01</v>
      </c>
      <c r="W1328" s="157">
        <f ca="1">ROUND(IF(R1328=0,0,IF(R1328=1,X1328*$W$1,IF(R1328=2,X1328*$W$1*buff的资质计算!$E$2,IF(R1328=3,X1328*$W$1*buff的资质计算!$E$3,0)))),2)</f>
        <v>17.25</v>
      </c>
      <c r="X1328" s="157">
        <f ca="1" t="shared" si="216"/>
        <v>57.5</v>
      </c>
      <c r="Y1328" s="157">
        <f ca="1" t="shared" si="224"/>
        <v>58.1206896551724</v>
      </c>
      <c r="Z1328" s="304">
        <f ca="1" t="shared" si="217"/>
        <v>29.0603448275862</v>
      </c>
      <c r="AA1328" s="304">
        <f ca="1">OFFSET(卡牌辅助配置表!$AD$1,MATCH(AB1328,卡牌辅助配置表!AB:AB,0)-1,0)</f>
        <v>8164</v>
      </c>
      <c r="AB1328" s="304">
        <f ca="1" t="shared" si="221"/>
        <v>3228</v>
      </c>
      <c r="AC1328" s="153">
        <v>3</v>
      </c>
      <c r="AE1328" s="153">
        <v>2</v>
      </c>
      <c r="AF1328" s="153" t="str">
        <f ca="1" t="shared" si="225"/>
        <v>20180011|</v>
      </c>
      <c r="AJ1328" s="205" t="str">
        <f ca="1" t="shared" si="222"/>
        <v>400023|20250|;</v>
      </c>
      <c r="AK1328" s="205">
        <f ca="1">OFFSET([1]item_type!$A$1,MATCH(Q1328,[1]item_type!$G:$G,0)-1,0)</f>
        <v>302018</v>
      </c>
      <c r="AL1328" s="205"/>
      <c r="AM1328" s="205">
        <f ca="1">IF(B1328=B1329,OFFSET(卡牌辅助配置表!$AE$1,MATCH(AB1328,卡牌辅助配置表!AB:AB,0),0),0)</f>
        <v>20250</v>
      </c>
      <c r="AN1328" s="153">
        <f ca="1" t="shared" si="223"/>
        <v>2018029</v>
      </c>
      <c r="AP1328" s="153" t="str">
        <f ca="1">IF(AC1328=0,0,IF(AC1328=12,0,OFFSET(effect!$N$1,MATCH(K1328,effect!M:M,0)-1,0)))</f>
        <v>kpsx_pt</v>
      </c>
    </row>
    <row r="1329" spans="1:42">
      <c r="A1329" s="153">
        <f ca="1" t="shared" si="219"/>
        <v>2018029</v>
      </c>
      <c r="B1329" s="91" t="s">
        <v>351</v>
      </c>
      <c r="C1329" s="186">
        <v>2</v>
      </c>
      <c r="D1329" s="186">
        <v>1</v>
      </c>
      <c r="E1329" s="165" t="s">
        <v>1058</v>
      </c>
      <c r="F1329" s="165" t="str">
        <f>"上一招为剑法时，增加"&amp;skill!$O$112/100&amp;"%伤害"</f>
        <v>上一招为剑法时，增加45%伤害</v>
      </c>
      <c r="G1329" s="165">
        <v>6</v>
      </c>
      <c r="H1329" s="186">
        <f ca="1">OFFSET(skill!$Q$1,MATCH(B1329,skill!B:B,0)-1,0)</f>
        <v>0.620689655172414</v>
      </c>
      <c r="I1329" s="186"/>
      <c r="J1329" s="186">
        <f ca="1">OFFSET(card_type!$F$1,MATCH(Q1329,card_type!A:A,0)-1,0)</f>
        <v>3</v>
      </c>
      <c r="K1329" s="243">
        <f ca="1">OFFSET(card_type!$G$1,MATCH(Q1329,card_type!A:A,0)-1,0)</f>
        <v>2</v>
      </c>
      <c r="L1329" s="157">
        <v>2</v>
      </c>
      <c r="M1329" s="157">
        <v>2</v>
      </c>
      <c r="N1329" s="153">
        <f t="shared" si="218"/>
        <v>29</v>
      </c>
      <c r="O1329" s="157"/>
      <c r="P1329" s="157"/>
      <c r="Q1329" s="153">
        <f ca="1">OFFSET(card_type!$A$1,MATCH(card!B1329,card_type!B:B,0)-1,0)</f>
        <v>2018</v>
      </c>
      <c r="R1329" s="153">
        <v>1</v>
      </c>
      <c r="S1329" s="157">
        <f ca="1">ROUND(IF(R1329=0,0,IF(R1329=1,X1329*$S$1,IF(R1329=2,X1329*$S$1*buff的资质计算!$E$2,IF(R1329=3,X1329*$S$1*buff的资质计算!$E$3,0)))),0)*0</f>
        <v>0</v>
      </c>
      <c r="T1329" s="153">
        <v>4</v>
      </c>
      <c r="U1329" s="153">
        <f ca="1" t="shared" si="220"/>
        <v>32</v>
      </c>
      <c r="V1329" s="153">
        <f ca="1">ROUND((OFFSET(卡牌辅助配置表!$O$1,MATCH(U1329,卡牌辅助配置表!M:M,0)-1,0)+(N1329-1)*OFFSET(卡牌辅助配置表!$P$1,MATCH(U1329,卡牌辅助配置表!M:M,0)-1,0))*M1329,2)</f>
        <v>128.58</v>
      </c>
      <c r="W1329" s="157">
        <f ca="1">ROUND(IF(R1329=0,0,IF(R1329=1,X1329*$W$1,IF(R1329=2,X1329*$W$1*buff的资质计算!$E$2,IF(R1329=3,X1329*$W$1*buff的资质计算!$E$3,0)))),2)</f>
        <v>17.4</v>
      </c>
      <c r="X1329" s="157">
        <f ca="1" t="shared" si="216"/>
        <v>58</v>
      </c>
      <c r="Y1329" s="157">
        <f ca="1" t="shared" si="224"/>
        <v>58.6206896551724</v>
      </c>
      <c r="Z1329" s="304">
        <f ca="1" t="shared" si="217"/>
        <v>29.3103448275862</v>
      </c>
      <c r="AA1329" s="304">
        <f ca="1">OFFSET(卡牌辅助配置表!$AD$1,MATCH(AB1329,卡牌辅助配置表!AB:AB,0)-1,0)</f>
        <v>8562</v>
      </c>
      <c r="AB1329" s="304">
        <f ca="1" t="shared" si="221"/>
        <v>3229</v>
      </c>
      <c r="AC1329" s="153">
        <v>3</v>
      </c>
      <c r="AE1329" s="153">
        <v>2</v>
      </c>
      <c r="AF1329" s="153" t="str">
        <f ca="1" t="shared" si="225"/>
        <v>20180011|</v>
      </c>
      <c r="AJ1329" s="205" t="str">
        <f ca="1" t="shared" si="222"/>
        <v>302018|30|;400023|21450|;</v>
      </c>
      <c r="AK1329" s="205">
        <f ca="1">OFFSET([1]item_type!$A$1,MATCH(Q1329,[1]item_type!$G:$G,0)-1,0)</f>
        <v>302018</v>
      </c>
      <c r="AL1329" s="205">
        <v>30</v>
      </c>
      <c r="AM1329" s="205">
        <f ca="1">IF(B1329=B1330,OFFSET(卡牌辅助配置表!$AE$1,MATCH(AB1329,卡牌辅助配置表!AB:AB,0),0),0)</f>
        <v>21450</v>
      </c>
      <c r="AN1329" s="153">
        <f ca="1" t="shared" si="223"/>
        <v>2018030</v>
      </c>
      <c r="AP1329" s="153" t="str">
        <f ca="1">IF(AC1329=0,0,IF(AC1329=12,0,OFFSET(effect!$N$1,MATCH(K1329,effect!M:M,0)-1,0)))</f>
        <v>kpsx_pt</v>
      </c>
    </row>
    <row r="1330" spans="1:42">
      <c r="A1330" s="153">
        <f ca="1" t="shared" si="219"/>
        <v>2018030</v>
      </c>
      <c r="B1330" s="91" t="s">
        <v>351</v>
      </c>
      <c r="C1330" s="186">
        <v>2</v>
      </c>
      <c r="D1330" s="186">
        <v>1</v>
      </c>
      <c r="E1330" s="165" t="s">
        <v>1058</v>
      </c>
      <c r="F1330" s="165" t="str">
        <f>"上一招为剑法时，增加"&amp;skill!$O$112/100&amp;"%伤害"</f>
        <v>上一招为剑法时，增加45%伤害</v>
      </c>
      <c r="G1330" s="165">
        <v>6</v>
      </c>
      <c r="H1330" s="186">
        <f ca="1">OFFSET(skill!$Q$1,MATCH(B1330,skill!B:B,0)-1,0)</f>
        <v>0.620689655172414</v>
      </c>
      <c r="I1330" s="186"/>
      <c r="J1330" s="186">
        <f ca="1">OFFSET(card_type!$F$1,MATCH(Q1330,card_type!A:A,0)-1,0)</f>
        <v>3</v>
      </c>
      <c r="K1330" s="243">
        <f ca="1">OFFSET(card_type!$G$1,MATCH(Q1330,card_type!A:A,0)-1,0)</f>
        <v>2</v>
      </c>
      <c r="L1330" s="157">
        <v>2</v>
      </c>
      <c r="M1330" s="157">
        <v>2</v>
      </c>
      <c r="N1330" s="153">
        <f t="shared" si="218"/>
        <v>30</v>
      </c>
      <c r="O1330" s="157"/>
      <c r="P1330" s="157"/>
      <c r="Q1330" s="153">
        <f ca="1">OFFSET(card_type!$A$1,MATCH(card!B1330,card_type!B:B,0)-1,0)</f>
        <v>2018</v>
      </c>
      <c r="R1330" s="153">
        <v>1</v>
      </c>
      <c r="S1330" s="157">
        <f ca="1">ROUND(IF(R1330=0,0,IF(R1330=1,X1330*$S$1,IF(R1330=2,X1330*$S$1*buff的资质计算!$E$2,IF(R1330=3,X1330*$S$1*buff的资质计算!$E$3,0)))),0)*0</f>
        <v>0</v>
      </c>
      <c r="T1330" s="153">
        <v>4</v>
      </c>
      <c r="U1330" s="153">
        <f ca="1" t="shared" si="220"/>
        <v>32</v>
      </c>
      <c r="V1330" s="153">
        <f ca="1">ROUND((OFFSET(卡牌辅助配置表!$O$1,MATCH(U1330,卡牌辅助配置表!M:M,0)-1,0)+(N1330-1)*OFFSET(卡牌辅助配置表!$P$1,MATCH(U1330,卡牌辅助配置表!M:M,0)-1,0))*M1330,2)</f>
        <v>132.14</v>
      </c>
      <c r="W1330" s="157">
        <f ca="1">ROUND(IF(R1330=0,0,IF(R1330=1,X1330*$W$1,IF(R1330=2,X1330*$W$1*buff的资质计算!$E$2,IF(R1330=3,X1330*$W$1*buff的资质计算!$E$3,0)))),2)</f>
        <v>17.55</v>
      </c>
      <c r="X1330" s="157">
        <f ca="1" t="shared" si="216"/>
        <v>58.5</v>
      </c>
      <c r="Y1330" s="157">
        <f ca="1" t="shared" si="224"/>
        <v>59.1206896551724</v>
      </c>
      <c r="Z1330" s="304">
        <f ca="1" t="shared" si="217"/>
        <v>29.5603448275862</v>
      </c>
      <c r="AA1330" s="304">
        <f ca="1">OFFSET(卡牌辅助配置表!$AD$1,MATCH(AB1330,卡牌辅助配置表!AB:AB,0)-1,0)</f>
        <v>8960</v>
      </c>
      <c r="AB1330" s="304">
        <f ca="1" t="shared" si="221"/>
        <v>3230</v>
      </c>
      <c r="AC1330" s="153">
        <v>3</v>
      </c>
      <c r="AE1330" s="153">
        <v>2</v>
      </c>
      <c r="AF1330" s="153" t="str">
        <f ca="1" t="shared" si="225"/>
        <v>20180011|</v>
      </c>
      <c r="AJ1330" s="205">
        <f ca="1" t="shared" si="222"/>
        <v>0</v>
      </c>
      <c r="AK1330" s="205">
        <f ca="1">OFFSET([1]item_type!$A$1,MATCH(Q1330,[1]item_type!$G:$G,0)-1,0)</f>
        <v>302018</v>
      </c>
      <c r="AL1330" s="205"/>
      <c r="AM1330" s="205">
        <f ca="1">IF(B1330=B1331,OFFSET(卡牌辅助配置表!$AE$1,MATCH(AB1330,卡牌辅助配置表!AB:AB,0),0),0)</f>
        <v>0</v>
      </c>
      <c r="AN1330" s="153">
        <f ca="1" t="shared" si="223"/>
        <v>0</v>
      </c>
      <c r="AP1330" s="153" t="str">
        <f ca="1">IF(AC1330=0,0,IF(AC1330=12,0,OFFSET(effect!$N$1,MATCH(K1330,effect!M:M,0)-1,0)))</f>
        <v>kpsx_pt</v>
      </c>
    </row>
    <row r="1331" spans="1:42">
      <c r="A1331" s="153">
        <f ca="1" t="shared" si="219"/>
        <v>2019001</v>
      </c>
      <c r="B1331" s="91" t="s">
        <v>409</v>
      </c>
      <c r="C1331" s="186">
        <v>2</v>
      </c>
      <c r="D1331" s="186">
        <v>1</v>
      </c>
      <c r="E1331" s="165" t="s">
        <v>1058</v>
      </c>
      <c r="F1331" s="165" t="str">
        <f>"上一招为剑法时，获得"&amp;skill!$O$113/100&amp;"%吸血效果"</f>
        <v>上一招为剑法时，获得55%吸血效果</v>
      </c>
      <c r="G1331" s="186">
        <f ca="1">OFFSET(卡牌辅助配置表!$C$1,MATCH(AC1331,卡牌辅助配置表!A:A,0)-1,0)</f>
        <v>3</v>
      </c>
      <c r="H1331" s="186">
        <f ca="1">OFFSET(skill!$Q$1,MATCH(B1331,skill!B:B,0)-1,0)</f>
        <v>1.06451612903226</v>
      </c>
      <c r="I1331" s="186"/>
      <c r="J1331" s="186">
        <f ca="1">OFFSET(card_type!$F$1,MATCH(Q1331,card_type!A:A,0)-1,0)</f>
        <v>3</v>
      </c>
      <c r="K1331" s="243">
        <f ca="1">OFFSET(card_type!$G$1,MATCH(Q1331,card_type!A:A,0)-1,0)</f>
        <v>3</v>
      </c>
      <c r="L1331" s="157">
        <v>3</v>
      </c>
      <c r="M1331" s="157">
        <v>3</v>
      </c>
      <c r="N1331" s="153">
        <f t="shared" si="218"/>
        <v>1</v>
      </c>
      <c r="O1331" s="157"/>
      <c r="P1331" s="157"/>
      <c r="Q1331" s="153">
        <f ca="1">OFFSET(card_type!$A$1,MATCH(card!B1331,card_type!B:B,0)-1,0)</f>
        <v>2019</v>
      </c>
      <c r="R1331" s="153">
        <v>1</v>
      </c>
      <c r="S1331" s="157">
        <f ca="1">ROUND(IF(R1331=0,0,IF(R1331=1,X1331*$S$1,IF(R1331=2,X1331*$S$1*buff的资质计算!$E$2,IF(R1331=3,X1331*$S$1*buff的资质计算!$E$3,0)))),0)*0</f>
        <v>0</v>
      </c>
      <c r="T1331" s="153">
        <v>5</v>
      </c>
      <c r="U1331" s="153">
        <f ca="1" t="shared" si="220"/>
        <v>33</v>
      </c>
      <c r="V1331" s="153">
        <f ca="1">ROUND((OFFSET(卡牌辅助配置表!$O$1,MATCH(U1331,卡牌辅助配置表!M:M,0)-1,0)+(N1331-1)*OFFSET(卡牌辅助配置表!$P$1,MATCH(U1331,卡牌辅助配置表!M:M,0)-1,0))*M1331,2)</f>
        <v>68.9</v>
      </c>
      <c r="W1331" s="157">
        <f ca="1">ROUND(IF(R1331=0,0,IF(R1331=1,X1331*$W$1,IF(R1331=2,X1331*$W$1*buff的资质计算!$E$2,IF(R1331=3,X1331*$W$1*buff的资质计算!$E$3,0)))),2)</f>
        <v>21.6</v>
      </c>
      <c r="X1331" s="157">
        <f ca="1" t="shared" si="216"/>
        <v>72</v>
      </c>
      <c r="Y1331" s="157">
        <f ca="1" t="shared" si="224"/>
        <v>73.0645161290323</v>
      </c>
      <c r="Z1331" s="304">
        <f ca="1" t="shared" si="217"/>
        <v>24.3548387096774</v>
      </c>
      <c r="AA1331" s="304">
        <f ca="1">OFFSET(卡牌辅助配置表!$AD$1,MATCH(AB1331,卡牌辅助配置表!AB:AB,0)-1,0)</f>
        <v>498</v>
      </c>
      <c r="AB1331" s="304">
        <f ca="1" t="shared" si="221"/>
        <v>3301</v>
      </c>
      <c r="AC1331" s="153">
        <v>3</v>
      </c>
      <c r="AE1331" s="153">
        <v>2</v>
      </c>
      <c r="AF1331" s="153" t="str">
        <f ca="1" t="shared" si="225"/>
        <v>20190011|</v>
      </c>
      <c r="AH1331" s="153">
        <v>2</v>
      </c>
      <c r="AJ1331" s="205" t="str">
        <f ca="1" t="shared" si="222"/>
        <v>400023|1400|;</v>
      </c>
      <c r="AK1331" s="205">
        <f ca="1">OFFSET([1]item_type!$A$1,MATCH(Q1331,[1]item_type!$G:$G,0)-1,0)</f>
        <v>302019</v>
      </c>
      <c r="AL1331" s="205"/>
      <c r="AM1331" s="205">
        <f ca="1">IF(B1331=B1332,OFFSET(卡牌辅助配置表!$AE$1,MATCH(AB1331,卡牌辅助配置表!AB:AB,0),0),0)</f>
        <v>1400</v>
      </c>
      <c r="AN1331" s="153">
        <f ca="1" t="shared" si="223"/>
        <v>2019002</v>
      </c>
      <c r="AP1331" s="153" t="str">
        <f ca="1">IF(AC1331=0,0,IF(AC1331=12,0,OFFSET(effect!$N$1,MATCH(K1331,effect!M:M,0)-1,0)))</f>
        <v>kpsx_zise</v>
      </c>
    </row>
    <row r="1332" spans="1:42">
      <c r="A1332" s="153">
        <f ca="1" t="shared" si="219"/>
        <v>2019002</v>
      </c>
      <c r="B1332" s="91" t="s">
        <v>409</v>
      </c>
      <c r="C1332" s="186">
        <v>2</v>
      </c>
      <c r="D1332" s="186">
        <v>1</v>
      </c>
      <c r="E1332" s="165" t="s">
        <v>1058</v>
      </c>
      <c r="F1332" s="165" t="str">
        <f>"上一招为剑法时，获得"&amp;skill!$O$113/100&amp;"%吸血效果"</f>
        <v>上一招为剑法时，获得55%吸血效果</v>
      </c>
      <c r="G1332" s="186">
        <f ca="1">OFFSET(卡牌辅助配置表!$C$1,MATCH(AC1332,卡牌辅助配置表!A:A,0)-1,0)</f>
        <v>3</v>
      </c>
      <c r="H1332" s="186">
        <f ca="1">OFFSET(skill!$Q$1,MATCH(B1332,skill!B:B,0)-1,0)</f>
        <v>1.06451612903226</v>
      </c>
      <c r="I1332" s="186"/>
      <c r="J1332" s="186">
        <f ca="1">OFFSET(card_type!$F$1,MATCH(Q1332,card_type!A:A,0)-1,0)</f>
        <v>3</v>
      </c>
      <c r="K1332" s="243">
        <f ca="1">OFFSET(card_type!$G$1,MATCH(Q1332,card_type!A:A,0)-1,0)</f>
        <v>3</v>
      </c>
      <c r="L1332" s="157">
        <v>3</v>
      </c>
      <c r="M1332" s="157">
        <v>3</v>
      </c>
      <c r="N1332" s="153">
        <f t="shared" si="218"/>
        <v>2</v>
      </c>
      <c r="O1332" s="157"/>
      <c r="P1332" s="157"/>
      <c r="Q1332" s="153">
        <f ca="1">OFFSET(card_type!$A$1,MATCH(card!B1332,card_type!B:B,0)-1,0)</f>
        <v>2019</v>
      </c>
      <c r="R1332" s="153">
        <v>1</v>
      </c>
      <c r="S1332" s="157">
        <f ca="1">ROUND(IF(R1332=0,0,IF(R1332=1,X1332*$S$1,IF(R1332=2,X1332*$S$1*buff的资质计算!$E$2,IF(R1332=3,X1332*$S$1*buff的资质计算!$E$3,0)))),0)*0</f>
        <v>0</v>
      </c>
      <c r="T1332" s="153">
        <v>5</v>
      </c>
      <c r="U1332" s="153">
        <f ca="1" t="shared" si="220"/>
        <v>33</v>
      </c>
      <c r="V1332" s="153">
        <f ca="1">ROUND((OFFSET(卡牌辅助配置表!$O$1,MATCH(U1332,卡牌辅助配置表!M:M,0)-1,0)+(N1332-1)*OFFSET(卡牌辅助配置表!$P$1,MATCH(U1332,卡牌辅助配置表!M:M,0)-1,0))*M1332,2)</f>
        <v>75.86</v>
      </c>
      <c r="W1332" s="157">
        <f ca="1">ROUND(IF(R1332=0,0,IF(R1332=1,X1332*$W$1,IF(R1332=2,X1332*$W$1*buff的资质计算!$E$2,IF(R1332=3,X1332*$W$1*buff的资质计算!$E$3,0)))),2)</f>
        <v>21.75</v>
      </c>
      <c r="X1332" s="157">
        <f ca="1" t="shared" ref="X1332:X1395" si="226">M1332*($M$1+(J1332-1)*$J$1+(K1332-1)*$K$1)+G1332+$J$1*(N1332-1)/$N$1</f>
        <v>72.5</v>
      </c>
      <c r="Y1332" s="157">
        <f ca="1" t="shared" si="224"/>
        <v>73.5645161290323</v>
      </c>
      <c r="Z1332" s="304">
        <f ca="1" t="shared" ref="Z1332:Z1395" si="227">Y1332/M1332</f>
        <v>24.5215053763441</v>
      </c>
      <c r="AA1332" s="304">
        <f ca="1">OFFSET(卡牌辅助配置表!$AD$1,MATCH(AB1332,卡牌辅助配置表!AB:AB,0)-1,0)</f>
        <v>996</v>
      </c>
      <c r="AB1332" s="304">
        <f ca="1" t="shared" si="221"/>
        <v>3302</v>
      </c>
      <c r="AC1332" s="153">
        <v>3</v>
      </c>
      <c r="AE1332" s="153">
        <v>2</v>
      </c>
      <c r="AF1332" s="153" t="str">
        <f ca="1" t="shared" si="225"/>
        <v>20190011|</v>
      </c>
      <c r="AH1332" s="153">
        <v>2</v>
      </c>
      <c r="AJ1332" s="205" t="str">
        <f ca="1" t="shared" si="222"/>
        <v>400023|1800|;</v>
      </c>
      <c r="AK1332" s="205">
        <f ca="1">OFFSET([1]item_type!$A$1,MATCH(Q1332,[1]item_type!$G:$G,0)-1,0)</f>
        <v>302019</v>
      </c>
      <c r="AL1332" s="205"/>
      <c r="AM1332" s="205">
        <f ca="1">IF(B1332=B1333,OFFSET(卡牌辅助配置表!$AE$1,MATCH(AB1332,卡牌辅助配置表!AB:AB,0),0),0)</f>
        <v>1800</v>
      </c>
      <c r="AN1332" s="153">
        <f ca="1" t="shared" si="223"/>
        <v>2019003</v>
      </c>
      <c r="AP1332" s="153" t="str">
        <f ca="1">IF(AC1332=0,0,IF(AC1332=12,0,OFFSET(effect!$N$1,MATCH(K1332,effect!M:M,0)-1,0)))</f>
        <v>kpsx_zise</v>
      </c>
    </row>
    <row r="1333" spans="1:42">
      <c r="A1333" s="153">
        <f ca="1" t="shared" si="219"/>
        <v>2019003</v>
      </c>
      <c r="B1333" s="91" t="s">
        <v>409</v>
      </c>
      <c r="C1333" s="186">
        <v>2</v>
      </c>
      <c r="D1333" s="186">
        <v>1</v>
      </c>
      <c r="E1333" s="165" t="s">
        <v>1058</v>
      </c>
      <c r="F1333" s="165" t="str">
        <f>"上一招为剑法时，获得"&amp;skill!$O$113/100&amp;"%吸血效果"</f>
        <v>上一招为剑法时，获得55%吸血效果</v>
      </c>
      <c r="G1333" s="186">
        <f ca="1">OFFSET(卡牌辅助配置表!$C$1,MATCH(AC1333,卡牌辅助配置表!A:A,0)-1,0)</f>
        <v>3</v>
      </c>
      <c r="H1333" s="186">
        <f ca="1">OFFSET(skill!$Q$1,MATCH(B1333,skill!B:B,0)-1,0)</f>
        <v>1.06451612903226</v>
      </c>
      <c r="I1333" s="186"/>
      <c r="J1333" s="186">
        <f ca="1">OFFSET(card_type!$F$1,MATCH(Q1333,card_type!A:A,0)-1,0)</f>
        <v>3</v>
      </c>
      <c r="K1333" s="243">
        <f ca="1">OFFSET(card_type!$G$1,MATCH(Q1333,card_type!A:A,0)-1,0)</f>
        <v>3</v>
      </c>
      <c r="L1333" s="157">
        <v>3</v>
      </c>
      <c r="M1333" s="157">
        <v>3</v>
      </c>
      <c r="N1333" s="153">
        <f t="shared" ref="N1333:N1396" si="228">IF(B1332=B1333,N1332+1,1)</f>
        <v>3</v>
      </c>
      <c r="O1333" s="157"/>
      <c r="P1333" s="157"/>
      <c r="Q1333" s="153">
        <f ca="1">OFFSET(card_type!$A$1,MATCH(card!B1333,card_type!B:B,0)-1,0)</f>
        <v>2019</v>
      </c>
      <c r="R1333" s="153">
        <v>1</v>
      </c>
      <c r="S1333" s="157">
        <f ca="1">ROUND(IF(R1333=0,0,IF(R1333=1,X1333*$S$1,IF(R1333=2,X1333*$S$1*buff的资质计算!$E$2,IF(R1333=3,X1333*$S$1*buff的资质计算!$E$3,0)))),0)*0</f>
        <v>0</v>
      </c>
      <c r="T1333" s="153">
        <v>5</v>
      </c>
      <c r="U1333" s="153">
        <f ca="1" t="shared" si="220"/>
        <v>33</v>
      </c>
      <c r="V1333" s="153">
        <f ca="1">ROUND((OFFSET(卡牌辅助配置表!$O$1,MATCH(U1333,卡牌辅助配置表!M:M,0)-1,0)+(N1333-1)*OFFSET(卡牌辅助配置表!$P$1,MATCH(U1333,卡牌辅助配置表!M:M,0)-1,0))*M1333,2)</f>
        <v>82.82</v>
      </c>
      <c r="W1333" s="157">
        <f ca="1">ROUND(IF(R1333=0,0,IF(R1333=1,X1333*$W$1,IF(R1333=2,X1333*$W$1*buff的资质计算!$E$2,IF(R1333=3,X1333*$W$1*buff的资质计算!$E$3,0)))),2)</f>
        <v>21.9</v>
      </c>
      <c r="X1333" s="157">
        <f ca="1" t="shared" si="226"/>
        <v>73</v>
      </c>
      <c r="Y1333" s="157">
        <f ca="1" t="shared" si="224"/>
        <v>74.0645161290323</v>
      </c>
      <c r="Z1333" s="304">
        <f ca="1" t="shared" si="227"/>
        <v>24.6881720430108</v>
      </c>
      <c r="AA1333" s="304">
        <f ca="1">OFFSET(卡牌辅助配置表!$AD$1,MATCH(AB1333,卡牌辅助配置表!AB:AB,0)-1,0)</f>
        <v>1494</v>
      </c>
      <c r="AB1333" s="304">
        <f ca="1" t="shared" si="221"/>
        <v>3303</v>
      </c>
      <c r="AC1333" s="153">
        <v>3</v>
      </c>
      <c r="AE1333" s="153">
        <v>2</v>
      </c>
      <c r="AF1333" s="153" t="str">
        <f ca="1" t="shared" si="225"/>
        <v>20190011|</v>
      </c>
      <c r="AH1333" s="153">
        <v>2</v>
      </c>
      <c r="AJ1333" s="205" t="str">
        <f ca="1" t="shared" si="222"/>
        <v>400023|2200|;</v>
      </c>
      <c r="AK1333" s="205">
        <f ca="1">OFFSET([1]item_type!$A$1,MATCH(Q1333,[1]item_type!$G:$G,0)-1,0)</f>
        <v>302019</v>
      </c>
      <c r="AL1333" s="205"/>
      <c r="AM1333" s="205">
        <f ca="1">IF(B1333=B1334,OFFSET(卡牌辅助配置表!$AE$1,MATCH(AB1333,卡牌辅助配置表!AB:AB,0),0),0)</f>
        <v>2200</v>
      </c>
      <c r="AN1333" s="153">
        <f ca="1" t="shared" si="223"/>
        <v>2019004</v>
      </c>
      <c r="AP1333" s="153" t="str">
        <f ca="1">IF(AC1333=0,0,IF(AC1333=12,0,OFFSET(effect!$N$1,MATCH(K1333,effect!M:M,0)-1,0)))</f>
        <v>kpsx_zise</v>
      </c>
    </row>
    <row r="1334" spans="1:42">
      <c r="A1334" s="153">
        <f ca="1" t="shared" si="219"/>
        <v>2019004</v>
      </c>
      <c r="B1334" s="91" t="s">
        <v>409</v>
      </c>
      <c r="C1334" s="186">
        <v>2</v>
      </c>
      <c r="D1334" s="186">
        <v>1</v>
      </c>
      <c r="E1334" s="165" t="s">
        <v>1058</v>
      </c>
      <c r="F1334" s="165" t="str">
        <f>"上一招为剑法时，获得"&amp;skill!$O$113/100&amp;"%吸血效果"</f>
        <v>上一招为剑法时，获得55%吸血效果</v>
      </c>
      <c r="G1334" s="186">
        <f ca="1">OFFSET(卡牌辅助配置表!$C$1,MATCH(AC1334,卡牌辅助配置表!A:A,0)-1,0)</f>
        <v>3</v>
      </c>
      <c r="H1334" s="186">
        <f ca="1">OFFSET(skill!$Q$1,MATCH(B1334,skill!B:B,0)-1,0)</f>
        <v>1.06451612903226</v>
      </c>
      <c r="I1334" s="186"/>
      <c r="J1334" s="186">
        <f ca="1">OFFSET(card_type!$F$1,MATCH(Q1334,card_type!A:A,0)-1,0)</f>
        <v>3</v>
      </c>
      <c r="K1334" s="243">
        <f ca="1">OFFSET(card_type!$G$1,MATCH(Q1334,card_type!A:A,0)-1,0)</f>
        <v>3</v>
      </c>
      <c r="L1334" s="157">
        <v>3</v>
      </c>
      <c r="M1334" s="157">
        <v>3</v>
      </c>
      <c r="N1334" s="153">
        <f t="shared" si="228"/>
        <v>4</v>
      </c>
      <c r="O1334" s="157"/>
      <c r="P1334" s="157"/>
      <c r="Q1334" s="153">
        <f ca="1">OFFSET(card_type!$A$1,MATCH(card!B1334,card_type!B:B,0)-1,0)</f>
        <v>2019</v>
      </c>
      <c r="R1334" s="153">
        <v>1</v>
      </c>
      <c r="S1334" s="157">
        <f ca="1">ROUND(IF(R1334=0,0,IF(R1334=1,X1334*$S$1,IF(R1334=2,X1334*$S$1*buff的资质计算!$E$2,IF(R1334=3,X1334*$S$1*buff的资质计算!$E$3,0)))),0)*0</f>
        <v>0</v>
      </c>
      <c r="T1334" s="153">
        <v>5</v>
      </c>
      <c r="U1334" s="153">
        <f ca="1" t="shared" si="220"/>
        <v>33</v>
      </c>
      <c r="V1334" s="153">
        <f ca="1">ROUND((OFFSET(卡牌辅助配置表!$O$1,MATCH(U1334,卡牌辅助配置表!M:M,0)-1,0)+(N1334-1)*OFFSET(卡牌辅助配置表!$P$1,MATCH(U1334,卡牌辅助配置表!M:M,0)-1,0))*M1334,2)</f>
        <v>89.78</v>
      </c>
      <c r="W1334" s="157">
        <f ca="1">ROUND(IF(R1334=0,0,IF(R1334=1,X1334*$W$1,IF(R1334=2,X1334*$W$1*buff的资质计算!$E$2,IF(R1334=3,X1334*$W$1*buff的资质计算!$E$3,0)))),2)</f>
        <v>22.05</v>
      </c>
      <c r="X1334" s="157">
        <f ca="1" t="shared" si="226"/>
        <v>73.5</v>
      </c>
      <c r="Y1334" s="157">
        <f ca="1" t="shared" si="224"/>
        <v>74.5645161290323</v>
      </c>
      <c r="Z1334" s="304">
        <f ca="1" t="shared" si="227"/>
        <v>24.8548387096774</v>
      </c>
      <c r="AA1334" s="304">
        <f ca="1">OFFSET(卡牌辅助配置表!$AD$1,MATCH(AB1334,卡牌辅助配置表!AB:AB,0)-1,0)</f>
        <v>1992</v>
      </c>
      <c r="AB1334" s="304">
        <f ca="1" t="shared" si="221"/>
        <v>3304</v>
      </c>
      <c r="AC1334" s="153">
        <v>3</v>
      </c>
      <c r="AE1334" s="153">
        <v>2</v>
      </c>
      <c r="AF1334" s="153" t="str">
        <f ca="1" t="shared" si="225"/>
        <v>20190011|</v>
      </c>
      <c r="AH1334" s="153">
        <v>2</v>
      </c>
      <c r="AJ1334" s="205" t="str">
        <f ca="1" t="shared" si="222"/>
        <v>400023|2600|;</v>
      </c>
      <c r="AK1334" s="205">
        <f ca="1">OFFSET([1]item_type!$A$1,MATCH(Q1334,[1]item_type!$G:$G,0)-1,0)</f>
        <v>302019</v>
      </c>
      <c r="AL1334" s="205"/>
      <c r="AM1334" s="205">
        <f ca="1">IF(B1334=B1335,OFFSET(卡牌辅助配置表!$AE$1,MATCH(AB1334,卡牌辅助配置表!AB:AB,0),0),0)</f>
        <v>2600</v>
      </c>
      <c r="AN1334" s="153">
        <f ca="1" t="shared" si="223"/>
        <v>2019005</v>
      </c>
      <c r="AP1334" s="153" t="str">
        <f ca="1">IF(AC1334=0,0,IF(AC1334=12,0,OFFSET(effect!$N$1,MATCH(K1334,effect!M:M,0)-1,0)))</f>
        <v>kpsx_zise</v>
      </c>
    </row>
    <row r="1335" spans="1:42">
      <c r="A1335" s="153">
        <f ca="1" t="shared" si="219"/>
        <v>2019005</v>
      </c>
      <c r="B1335" s="91" t="s">
        <v>409</v>
      </c>
      <c r="C1335" s="186">
        <v>2</v>
      </c>
      <c r="D1335" s="186">
        <v>1</v>
      </c>
      <c r="E1335" s="165" t="s">
        <v>1058</v>
      </c>
      <c r="F1335" s="165" t="str">
        <f>"上一招为剑法时，获得"&amp;skill!$O$113/100&amp;"%吸血效果"</f>
        <v>上一招为剑法时，获得55%吸血效果</v>
      </c>
      <c r="G1335" s="186">
        <f ca="1">OFFSET(卡牌辅助配置表!$C$1,MATCH(AC1335,卡牌辅助配置表!A:A,0)-1,0)</f>
        <v>3</v>
      </c>
      <c r="H1335" s="186">
        <f ca="1">OFFSET(skill!$Q$1,MATCH(B1335,skill!B:B,0)-1,0)</f>
        <v>1.06451612903226</v>
      </c>
      <c r="I1335" s="186"/>
      <c r="J1335" s="186">
        <f ca="1">OFFSET(card_type!$F$1,MATCH(Q1335,card_type!A:A,0)-1,0)</f>
        <v>3</v>
      </c>
      <c r="K1335" s="243">
        <f ca="1">OFFSET(card_type!$G$1,MATCH(Q1335,card_type!A:A,0)-1,0)</f>
        <v>3</v>
      </c>
      <c r="L1335" s="157">
        <v>3</v>
      </c>
      <c r="M1335" s="157">
        <v>3</v>
      </c>
      <c r="N1335" s="153">
        <f t="shared" si="228"/>
        <v>5</v>
      </c>
      <c r="O1335" s="157"/>
      <c r="P1335" s="157"/>
      <c r="Q1335" s="153">
        <f ca="1">OFFSET(card_type!$A$1,MATCH(card!B1335,card_type!B:B,0)-1,0)</f>
        <v>2019</v>
      </c>
      <c r="R1335" s="153">
        <v>1</v>
      </c>
      <c r="S1335" s="157">
        <f ca="1">ROUND(IF(R1335=0,0,IF(R1335=1,X1335*$S$1,IF(R1335=2,X1335*$S$1*buff的资质计算!$E$2,IF(R1335=3,X1335*$S$1*buff的资质计算!$E$3,0)))),0)*0</f>
        <v>0</v>
      </c>
      <c r="T1335" s="153">
        <v>5</v>
      </c>
      <c r="U1335" s="153">
        <f ca="1" t="shared" si="220"/>
        <v>33</v>
      </c>
      <c r="V1335" s="153">
        <f ca="1">ROUND((OFFSET(卡牌辅助配置表!$O$1,MATCH(U1335,卡牌辅助配置表!M:M,0)-1,0)+(N1335-1)*OFFSET(卡牌辅助配置表!$P$1,MATCH(U1335,卡牌辅助配置表!M:M,0)-1,0))*M1335,2)</f>
        <v>96.74</v>
      </c>
      <c r="W1335" s="157">
        <f ca="1">ROUND(IF(R1335=0,0,IF(R1335=1,X1335*$W$1,IF(R1335=2,X1335*$W$1*buff的资质计算!$E$2,IF(R1335=3,X1335*$W$1*buff的资质计算!$E$3,0)))),2)</f>
        <v>22.2</v>
      </c>
      <c r="X1335" s="157">
        <f ca="1" t="shared" si="226"/>
        <v>74</v>
      </c>
      <c r="Y1335" s="157">
        <f ca="1" t="shared" si="224"/>
        <v>75.0645161290323</v>
      </c>
      <c r="Z1335" s="304">
        <f ca="1" t="shared" si="227"/>
        <v>25.0215053763441</v>
      </c>
      <c r="AA1335" s="304">
        <f ca="1">OFFSET(卡牌辅助配置表!$AD$1,MATCH(AB1335,卡牌辅助配置表!AB:AB,0)-1,0)</f>
        <v>2490</v>
      </c>
      <c r="AB1335" s="304">
        <f ca="1" t="shared" si="221"/>
        <v>3305</v>
      </c>
      <c r="AC1335" s="153">
        <v>3</v>
      </c>
      <c r="AE1335" s="153">
        <v>2</v>
      </c>
      <c r="AF1335" s="153" t="str">
        <f ca="1" t="shared" si="225"/>
        <v>20190011|</v>
      </c>
      <c r="AH1335" s="153">
        <v>2</v>
      </c>
      <c r="AJ1335" s="205" t="str">
        <f ca="1" t="shared" si="222"/>
        <v>400023|3000|;</v>
      </c>
      <c r="AK1335" s="205">
        <f ca="1">OFFSET([1]item_type!$A$1,MATCH(Q1335,[1]item_type!$G:$G,0)-1,0)</f>
        <v>302019</v>
      </c>
      <c r="AL1335" s="205"/>
      <c r="AM1335" s="205">
        <f ca="1">IF(B1335=B1336,OFFSET(卡牌辅助配置表!$AE$1,MATCH(AB1335,卡牌辅助配置表!AB:AB,0),0),0)</f>
        <v>3000</v>
      </c>
      <c r="AN1335" s="153">
        <f ca="1" t="shared" si="223"/>
        <v>2019006</v>
      </c>
      <c r="AP1335" s="153" t="str">
        <f ca="1">IF(AC1335=0,0,IF(AC1335=12,0,OFFSET(effect!$N$1,MATCH(K1335,effect!M:M,0)-1,0)))</f>
        <v>kpsx_zise</v>
      </c>
    </row>
    <row r="1336" spans="1:42">
      <c r="A1336" s="153">
        <f ca="1" t="shared" si="219"/>
        <v>2019006</v>
      </c>
      <c r="B1336" s="91" t="s">
        <v>409</v>
      </c>
      <c r="C1336" s="186">
        <v>2</v>
      </c>
      <c r="D1336" s="186">
        <v>1</v>
      </c>
      <c r="E1336" s="165" t="s">
        <v>1058</v>
      </c>
      <c r="F1336" s="165" t="str">
        <f>"上一招为剑法时，获得"&amp;skill!$O$113/100&amp;"%吸血效果"</f>
        <v>上一招为剑法时，获得55%吸血效果</v>
      </c>
      <c r="G1336" s="186">
        <f ca="1">OFFSET(卡牌辅助配置表!$C$1,MATCH(AC1336,卡牌辅助配置表!A:A,0)-1,0)</f>
        <v>3</v>
      </c>
      <c r="H1336" s="186">
        <f ca="1">OFFSET(skill!$Q$1,MATCH(B1336,skill!B:B,0)-1,0)</f>
        <v>1.06451612903226</v>
      </c>
      <c r="I1336" s="186"/>
      <c r="J1336" s="186">
        <f ca="1">OFFSET(card_type!$F$1,MATCH(Q1336,card_type!A:A,0)-1,0)</f>
        <v>3</v>
      </c>
      <c r="K1336" s="243">
        <f ca="1">OFFSET(card_type!$G$1,MATCH(Q1336,card_type!A:A,0)-1,0)</f>
        <v>3</v>
      </c>
      <c r="L1336" s="157">
        <v>3</v>
      </c>
      <c r="M1336" s="157">
        <v>3</v>
      </c>
      <c r="N1336" s="153">
        <f t="shared" si="228"/>
        <v>6</v>
      </c>
      <c r="O1336" s="157"/>
      <c r="P1336" s="157"/>
      <c r="Q1336" s="153">
        <f ca="1">OFFSET(card_type!$A$1,MATCH(card!B1336,card_type!B:B,0)-1,0)</f>
        <v>2019</v>
      </c>
      <c r="R1336" s="153">
        <v>1</v>
      </c>
      <c r="S1336" s="157">
        <f ca="1">ROUND(IF(R1336=0,0,IF(R1336=1,X1336*$S$1,IF(R1336=2,X1336*$S$1*buff的资质计算!$E$2,IF(R1336=3,X1336*$S$1*buff的资质计算!$E$3,0)))),0)*0</f>
        <v>0</v>
      </c>
      <c r="T1336" s="153">
        <v>5</v>
      </c>
      <c r="U1336" s="153">
        <f ca="1" t="shared" si="220"/>
        <v>33</v>
      </c>
      <c r="V1336" s="153">
        <f ca="1">ROUND((OFFSET(卡牌辅助配置表!$O$1,MATCH(U1336,卡牌辅助配置表!M:M,0)-1,0)+(N1336-1)*OFFSET(卡牌辅助配置表!$P$1,MATCH(U1336,卡牌辅助配置表!M:M,0)-1,0))*M1336,2)</f>
        <v>103.7</v>
      </c>
      <c r="W1336" s="157">
        <f ca="1">ROUND(IF(R1336=0,0,IF(R1336=1,X1336*$W$1,IF(R1336=2,X1336*$W$1*buff的资质计算!$E$2,IF(R1336=3,X1336*$W$1*buff的资质计算!$E$3,0)))),2)</f>
        <v>22.35</v>
      </c>
      <c r="X1336" s="157">
        <f ca="1" t="shared" si="226"/>
        <v>74.5</v>
      </c>
      <c r="Y1336" s="157">
        <f ca="1" t="shared" si="224"/>
        <v>75.5645161290323</v>
      </c>
      <c r="Z1336" s="304">
        <f ca="1" t="shared" si="227"/>
        <v>25.1881720430108</v>
      </c>
      <c r="AA1336" s="304">
        <f ca="1">OFFSET(卡牌辅助配置表!$AD$1,MATCH(AB1336,卡牌辅助配置表!AB:AB,0)-1,0)</f>
        <v>2988</v>
      </c>
      <c r="AB1336" s="304">
        <f ca="1" t="shared" si="221"/>
        <v>3306</v>
      </c>
      <c r="AC1336" s="153">
        <v>3</v>
      </c>
      <c r="AE1336" s="153">
        <v>2</v>
      </c>
      <c r="AF1336" s="153" t="str">
        <f ca="1" t="shared" si="225"/>
        <v>20190011|</v>
      </c>
      <c r="AH1336" s="153">
        <v>2</v>
      </c>
      <c r="AJ1336" s="205" t="str">
        <f ca="1" t="shared" si="222"/>
        <v>400023|3400|;</v>
      </c>
      <c r="AK1336" s="205">
        <f ca="1">OFFSET([1]item_type!$A$1,MATCH(Q1336,[1]item_type!$G:$G,0)-1,0)</f>
        <v>302019</v>
      </c>
      <c r="AL1336" s="205"/>
      <c r="AM1336" s="205">
        <f ca="1">IF(B1336=B1337,OFFSET(卡牌辅助配置表!$AE$1,MATCH(AB1336,卡牌辅助配置表!AB:AB,0),0),0)</f>
        <v>3400</v>
      </c>
      <c r="AN1336" s="153">
        <f ca="1" t="shared" si="223"/>
        <v>2019007</v>
      </c>
      <c r="AP1336" s="153" t="str">
        <f ca="1">IF(AC1336=0,0,IF(AC1336=12,0,OFFSET(effect!$N$1,MATCH(K1336,effect!M:M,0)-1,0)))</f>
        <v>kpsx_zise</v>
      </c>
    </row>
    <row r="1337" spans="1:42">
      <c r="A1337" s="153">
        <f ca="1" t="shared" si="219"/>
        <v>2019007</v>
      </c>
      <c r="B1337" s="91" t="s">
        <v>409</v>
      </c>
      <c r="C1337" s="186">
        <v>2</v>
      </c>
      <c r="D1337" s="186">
        <v>1</v>
      </c>
      <c r="E1337" s="165" t="s">
        <v>1058</v>
      </c>
      <c r="F1337" s="165" t="str">
        <f>"上一招为剑法时，获得"&amp;skill!$O$113/100&amp;"%吸血效果"</f>
        <v>上一招为剑法时，获得55%吸血效果</v>
      </c>
      <c r="G1337" s="186">
        <f ca="1">OFFSET(卡牌辅助配置表!$C$1,MATCH(AC1337,卡牌辅助配置表!A:A,0)-1,0)</f>
        <v>3</v>
      </c>
      <c r="H1337" s="186">
        <f ca="1">OFFSET(skill!$Q$1,MATCH(B1337,skill!B:B,0)-1,0)</f>
        <v>1.06451612903226</v>
      </c>
      <c r="I1337" s="186"/>
      <c r="J1337" s="186">
        <f ca="1">OFFSET(card_type!$F$1,MATCH(Q1337,card_type!A:A,0)-1,0)</f>
        <v>3</v>
      </c>
      <c r="K1337" s="243">
        <f ca="1">OFFSET(card_type!$G$1,MATCH(Q1337,card_type!A:A,0)-1,0)</f>
        <v>3</v>
      </c>
      <c r="L1337" s="157">
        <v>3</v>
      </c>
      <c r="M1337" s="157">
        <v>3</v>
      </c>
      <c r="N1337" s="153">
        <f t="shared" si="228"/>
        <v>7</v>
      </c>
      <c r="O1337" s="157"/>
      <c r="P1337" s="157"/>
      <c r="Q1337" s="153">
        <f ca="1">OFFSET(card_type!$A$1,MATCH(card!B1337,card_type!B:B,0)-1,0)</f>
        <v>2019</v>
      </c>
      <c r="R1337" s="153">
        <v>1</v>
      </c>
      <c r="S1337" s="157">
        <f ca="1">ROUND(IF(R1337=0,0,IF(R1337=1,X1337*$S$1,IF(R1337=2,X1337*$S$1*buff的资质计算!$E$2,IF(R1337=3,X1337*$S$1*buff的资质计算!$E$3,0)))),0)*0</f>
        <v>0</v>
      </c>
      <c r="T1337" s="153">
        <v>5</v>
      </c>
      <c r="U1337" s="153">
        <f ca="1" t="shared" si="220"/>
        <v>33</v>
      </c>
      <c r="V1337" s="153">
        <f ca="1">ROUND((OFFSET(卡牌辅助配置表!$O$1,MATCH(U1337,卡牌辅助配置表!M:M,0)-1,0)+(N1337-1)*OFFSET(卡牌辅助配置表!$P$1,MATCH(U1337,卡牌辅助配置表!M:M,0)-1,0))*M1337,2)</f>
        <v>110.66</v>
      </c>
      <c r="W1337" s="157">
        <f ca="1">ROUND(IF(R1337=0,0,IF(R1337=1,X1337*$W$1,IF(R1337=2,X1337*$W$1*buff的资质计算!$E$2,IF(R1337=3,X1337*$W$1*buff的资质计算!$E$3,0)))),2)</f>
        <v>22.5</v>
      </c>
      <c r="X1337" s="157">
        <f ca="1" t="shared" si="226"/>
        <v>75</v>
      </c>
      <c r="Y1337" s="157">
        <f ca="1" t="shared" si="224"/>
        <v>76.0645161290323</v>
      </c>
      <c r="Z1337" s="304">
        <f ca="1" t="shared" si="227"/>
        <v>25.3548387096774</v>
      </c>
      <c r="AA1337" s="304">
        <f ca="1">OFFSET(卡牌辅助配置表!$AD$1,MATCH(AB1337,卡牌辅助配置表!AB:AB,0)-1,0)</f>
        <v>3486</v>
      </c>
      <c r="AB1337" s="304">
        <f ca="1" t="shared" si="221"/>
        <v>3307</v>
      </c>
      <c r="AC1337" s="153">
        <v>3</v>
      </c>
      <c r="AE1337" s="153">
        <v>2</v>
      </c>
      <c r="AF1337" s="153" t="str">
        <f ca="1" t="shared" si="225"/>
        <v>20190011|</v>
      </c>
      <c r="AH1337" s="153">
        <v>2</v>
      </c>
      <c r="AJ1337" s="205" t="str">
        <f ca="1" t="shared" si="222"/>
        <v>400023|3800|;</v>
      </c>
      <c r="AK1337" s="205">
        <f ca="1">OFFSET([1]item_type!$A$1,MATCH(Q1337,[1]item_type!$G:$G,0)-1,0)</f>
        <v>302019</v>
      </c>
      <c r="AL1337" s="205"/>
      <c r="AM1337" s="205">
        <f ca="1">IF(B1337=B1338,OFFSET(卡牌辅助配置表!$AE$1,MATCH(AB1337,卡牌辅助配置表!AB:AB,0),0),0)</f>
        <v>3800</v>
      </c>
      <c r="AN1337" s="153">
        <f ca="1" t="shared" si="223"/>
        <v>2019008</v>
      </c>
      <c r="AP1337" s="153" t="str">
        <f ca="1">IF(AC1337=0,0,IF(AC1337=12,0,OFFSET(effect!$N$1,MATCH(K1337,effect!M:M,0)-1,0)))</f>
        <v>kpsx_zise</v>
      </c>
    </row>
    <row r="1338" spans="1:42">
      <c r="A1338" s="153">
        <f ca="1" t="shared" si="219"/>
        <v>2019008</v>
      </c>
      <c r="B1338" s="91" t="s">
        <v>409</v>
      </c>
      <c r="C1338" s="186">
        <v>2</v>
      </c>
      <c r="D1338" s="186">
        <v>1</v>
      </c>
      <c r="E1338" s="165" t="s">
        <v>1058</v>
      </c>
      <c r="F1338" s="165" t="str">
        <f>"上一招为剑法时，获得"&amp;skill!$O$113/100&amp;"%吸血效果"</f>
        <v>上一招为剑法时，获得55%吸血效果</v>
      </c>
      <c r="G1338" s="186">
        <f ca="1">OFFSET(卡牌辅助配置表!$C$1,MATCH(AC1338,卡牌辅助配置表!A:A,0)-1,0)</f>
        <v>3</v>
      </c>
      <c r="H1338" s="186">
        <f ca="1">OFFSET(skill!$Q$1,MATCH(B1338,skill!B:B,0)-1,0)</f>
        <v>1.06451612903226</v>
      </c>
      <c r="I1338" s="186"/>
      <c r="J1338" s="186">
        <f ca="1">OFFSET(card_type!$F$1,MATCH(Q1338,card_type!A:A,0)-1,0)</f>
        <v>3</v>
      </c>
      <c r="K1338" s="243">
        <f ca="1">OFFSET(card_type!$G$1,MATCH(Q1338,card_type!A:A,0)-1,0)</f>
        <v>3</v>
      </c>
      <c r="L1338" s="157">
        <v>3</v>
      </c>
      <c r="M1338" s="157">
        <v>3</v>
      </c>
      <c r="N1338" s="153">
        <f t="shared" si="228"/>
        <v>8</v>
      </c>
      <c r="O1338" s="157"/>
      <c r="P1338" s="157"/>
      <c r="Q1338" s="153">
        <f ca="1">OFFSET(card_type!$A$1,MATCH(card!B1338,card_type!B:B,0)-1,0)</f>
        <v>2019</v>
      </c>
      <c r="R1338" s="153">
        <v>1</v>
      </c>
      <c r="S1338" s="157">
        <f ca="1">ROUND(IF(R1338=0,0,IF(R1338=1,X1338*$S$1,IF(R1338=2,X1338*$S$1*buff的资质计算!$E$2,IF(R1338=3,X1338*$S$1*buff的资质计算!$E$3,0)))),0)*0</f>
        <v>0</v>
      </c>
      <c r="T1338" s="153">
        <v>5</v>
      </c>
      <c r="U1338" s="153">
        <f ca="1" t="shared" si="220"/>
        <v>33</v>
      </c>
      <c r="V1338" s="153">
        <f ca="1">ROUND((OFFSET(卡牌辅助配置表!$O$1,MATCH(U1338,卡牌辅助配置表!M:M,0)-1,0)+(N1338-1)*OFFSET(卡牌辅助配置表!$P$1,MATCH(U1338,卡牌辅助配置表!M:M,0)-1,0))*M1338,2)</f>
        <v>117.62</v>
      </c>
      <c r="W1338" s="157">
        <f ca="1">ROUND(IF(R1338=0,0,IF(R1338=1,X1338*$W$1,IF(R1338=2,X1338*$W$1*buff的资质计算!$E$2,IF(R1338=3,X1338*$W$1*buff的资质计算!$E$3,0)))),2)</f>
        <v>22.65</v>
      </c>
      <c r="X1338" s="157">
        <f ca="1" t="shared" si="226"/>
        <v>75.5</v>
      </c>
      <c r="Y1338" s="157">
        <f ca="1" t="shared" si="224"/>
        <v>76.5645161290323</v>
      </c>
      <c r="Z1338" s="304">
        <f ca="1" t="shared" si="227"/>
        <v>25.5215053763441</v>
      </c>
      <c r="AA1338" s="304">
        <f ca="1">OFFSET(卡牌辅助配置表!$AD$1,MATCH(AB1338,卡牌辅助配置表!AB:AB,0)-1,0)</f>
        <v>3984</v>
      </c>
      <c r="AB1338" s="304">
        <f ca="1" t="shared" si="221"/>
        <v>3308</v>
      </c>
      <c r="AC1338" s="153">
        <v>3</v>
      </c>
      <c r="AE1338" s="153">
        <v>2</v>
      </c>
      <c r="AF1338" s="153" t="str">
        <f ca="1" t="shared" si="225"/>
        <v>20190011|</v>
      </c>
      <c r="AH1338" s="153">
        <v>2</v>
      </c>
      <c r="AJ1338" s="205" t="str">
        <f ca="1" t="shared" si="222"/>
        <v>400023|4200|;</v>
      </c>
      <c r="AK1338" s="205">
        <f ca="1">OFFSET([1]item_type!$A$1,MATCH(Q1338,[1]item_type!$G:$G,0)-1,0)</f>
        <v>302019</v>
      </c>
      <c r="AL1338" s="205"/>
      <c r="AM1338" s="205">
        <f ca="1">IF(B1338=B1339,OFFSET(卡牌辅助配置表!$AE$1,MATCH(AB1338,卡牌辅助配置表!AB:AB,0),0),0)</f>
        <v>4200</v>
      </c>
      <c r="AN1338" s="153">
        <f ca="1" t="shared" si="223"/>
        <v>2019009</v>
      </c>
      <c r="AP1338" s="153" t="str">
        <f ca="1">IF(AC1338=0,0,IF(AC1338=12,0,OFFSET(effect!$N$1,MATCH(K1338,effect!M:M,0)-1,0)))</f>
        <v>kpsx_zise</v>
      </c>
    </row>
    <row r="1339" spans="1:42">
      <c r="A1339" s="153">
        <f ca="1" t="shared" si="219"/>
        <v>2019009</v>
      </c>
      <c r="B1339" s="91" t="s">
        <v>409</v>
      </c>
      <c r="C1339" s="186">
        <v>2</v>
      </c>
      <c r="D1339" s="186">
        <v>1</v>
      </c>
      <c r="E1339" s="165" t="s">
        <v>1058</v>
      </c>
      <c r="F1339" s="165" t="str">
        <f>"上一招为剑法时，获得"&amp;skill!$O$113/100&amp;"%吸血效果"</f>
        <v>上一招为剑法时，获得55%吸血效果</v>
      </c>
      <c r="G1339" s="186">
        <f ca="1">OFFSET(卡牌辅助配置表!$C$1,MATCH(AC1339,卡牌辅助配置表!A:A,0)-1,0)</f>
        <v>3</v>
      </c>
      <c r="H1339" s="186">
        <f ca="1">OFFSET(skill!$Q$1,MATCH(B1339,skill!B:B,0)-1,0)</f>
        <v>1.06451612903226</v>
      </c>
      <c r="I1339" s="186"/>
      <c r="J1339" s="186">
        <f ca="1">OFFSET(card_type!$F$1,MATCH(Q1339,card_type!A:A,0)-1,0)</f>
        <v>3</v>
      </c>
      <c r="K1339" s="243">
        <f ca="1">OFFSET(card_type!$G$1,MATCH(Q1339,card_type!A:A,0)-1,0)</f>
        <v>3</v>
      </c>
      <c r="L1339" s="157">
        <v>3</v>
      </c>
      <c r="M1339" s="157">
        <v>3</v>
      </c>
      <c r="N1339" s="153">
        <f t="shared" si="228"/>
        <v>9</v>
      </c>
      <c r="O1339" s="157"/>
      <c r="P1339" s="157"/>
      <c r="Q1339" s="153">
        <f ca="1">OFFSET(card_type!$A$1,MATCH(card!B1339,card_type!B:B,0)-1,0)</f>
        <v>2019</v>
      </c>
      <c r="R1339" s="153">
        <v>1</v>
      </c>
      <c r="S1339" s="157">
        <f ca="1">ROUND(IF(R1339=0,0,IF(R1339=1,X1339*$S$1,IF(R1339=2,X1339*$S$1*buff的资质计算!$E$2,IF(R1339=3,X1339*$S$1*buff的资质计算!$E$3,0)))),0)*0</f>
        <v>0</v>
      </c>
      <c r="T1339" s="153">
        <v>5</v>
      </c>
      <c r="U1339" s="153">
        <f ca="1" t="shared" si="220"/>
        <v>33</v>
      </c>
      <c r="V1339" s="153">
        <f ca="1">ROUND((OFFSET(卡牌辅助配置表!$O$1,MATCH(U1339,卡牌辅助配置表!M:M,0)-1,0)+(N1339-1)*OFFSET(卡牌辅助配置表!$P$1,MATCH(U1339,卡牌辅助配置表!M:M,0)-1,0))*M1339,2)</f>
        <v>124.58</v>
      </c>
      <c r="W1339" s="157">
        <f ca="1">ROUND(IF(R1339=0,0,IF(R1339=1,X1339*$W$1,IF(R1339=2,X1339*$W$1*buff的资质计算!$E$2,IF(R1339=3,X1339*$W$1*buff的资质计算!$E$3,0)))),2)</f>
        <v>22.8</v>
      </c>
      <c r="X1339" s="157">
        <f ca="1" t="shared" si="226"/>
        <v>76</v>
      </c>
      <c r="Y1339" s="157">
        <f ca="1" t="shared" si="224"/>
        <v>77.0645161290323</v>
      </c>
      <c r="Z1339" s="304">
        <f ca="1" t="shared" si="227"/>
        <v>25.6881720430108</v>
      </c>
      <c r="AA1339" s="304">
        <f ca="1">OFFSET(卡牌辅助配置表!$AD$1,MATCH(AB1339,卡牌辅助配置表!AB:AB,0)-1,0)</f>
        <v>4482</v>
      </c>
      <c r="AB1339" s="304">
        <f ca="1" t="shared" si="221"/>
        <v>3309</v>
      </c>
      <c r="AC1339" s="153">
        <v>3</v>
      </c>
      <c r="AE1339" s="153">
        <v>2</v>
      </c>
      <c r="AF1339" s="153" t="str">
        <f ca="1" t="shared" si="225"/>
        <v>20190011|</v>
      </c>
      <c r="AH1339" s="153">
        <v>2</v>
      </c>
      <c r="AJ1339" s="205" t="str">
        <f ca="1" t="shared" si="222"/>
        <v>302019|15|;400023|4600|;</v>
      </c>
      <c r="AK1339" s="205">
        <f ca="1">OFFSET([1]item_type!$A$1,MATCH(Q1339,[1]item_type!$G:$G,0)-1,0)</f>
        <v>302019</v>
      </c>
      <c r="AL1339" s="205">
        <v>15</v>
      </c>
      <c r="AM1339" s="205">
        <f ca="1">IF(B1339=B1340,OFFSET(卡牌辅助配置表!$AE$1,MATCH(AB1339,卡牌辅助配置表!AB:AB,0),0),0)</f>
        <v>4600</v>
      </c>
      <c r="AN1339" s="153">
        <f ca="1" t="shared" si="223"/>
        <v>2019010</v>
      </c>
      <c r="AP1339" s="153" t="str">
        <f ca="1">IF(AC1339=0,0,IF(AC1339=12,0,OFFSET(effect!$N$1,MATCH(K1339,effect!M:M,0)-1,0)))</f>
        <v>kpsx_zise</v>
      </c>
    </row>
    <row r="1340" spans="1:42">
      <c r="A1340" s="153">
        <f ca="1" t="shared" si="219"/>
        <v>2019010</v>
      </c>
      <c r="B1340" s="91" t="s">
        <v>409</v>
      </c>
      <c r="C1340" s="186">
        <v>2</v>
      </c>
      <c r="D1340" s="186">
        <v>1</v>
      </c>
      <c r="E1340" s="165" t="s">
        <v>1058</v>
      </c>
      <c r="F1340" s="165" t="str">
        <f>"上一招为剑法时，获得"&amp;skill!$O$113/100&amp;"%吸血效果"</f>
        <v>上一招为剑法时，获得55%吸血效果</v>
      </c>
      <c r="G1340" s="186">
        <f ca="1">OFFSET(卡牌辅助配置表!$C$1,MATCH(AC1340,卡牌辅助配置表!A:A,0)-1,0)</f>
        <v>3</v>
      </c>
      <c r="H1340" s="186">
        <f ca="1">OFFSET(skill!$Q$1,MATCH(B1340,skill!B:B,0)-1,0)</f>
        <v>1.06451612903226</v>
      </c>
      <c r="I1340" s="186"/>
      <c r="J1340" s="186">
        <f ca="1">OFFSET(card_type!$F$1,MATCH(Q1340,card_type!A:A,0)-1,0)</f>
        <v>3</v>
      </c>
      <c r="K1340" s="243">
        <f ca="1">OFFSET(card_type!$G$1,MATCH(Q1340,card_type!A:A,0)-1,0)</f>
        <v>3</v>
      </c>
      <c r="L1340" s="157">
        <v>3</v>
      </c>
      <c r="M1340" s="157">
        <v>3</v>
      </c>
      <c r="N1340" s="153">
        <f t="shared" si="228"/>
        <v>10</v>
      </c>
      <c r="O1340" s="157"/>
      <c r="P1340" s="157"/>
      <c r="Q1340" s="153">
        <f ca="1">OFFSET(card_type!$A$1,MATCH(card!B1340,card_type!B:B,0)-1,0)</f>
        <v>2019</v>
      </c>
      <c r="R1340" s="153">
        <v>1</v>
      </c>
      <c r="S1340" s="157">
        <f ca="1">ROUND(IF(R1340=0,0,IF(R1340=1,X1340*$S$1,IF(R1340=2,X1340*$S$1*buff的资质计算!$E$2,IF(R1340=3,X1340*$S$1*buff的资质计算!$E$3,0)))),0)*0</f>
        <v>0</v>
      </c>
      <c r="T1340" s="153">
        <v>5</v>
      </c>
      <c r="U1340" s="153">
        <f ca="1" t="shared" si="220"/>
        <v>33</v>
      </c>
      <c r="V1340" s="153">
        <f ca="1">ROUND((OFFSET(卡牌辅助配置表!$O$1,MATCH(U1340,卡牌辅助配置表!M:M,0)-1,0)+(N1340-1)*OFFSET(卡牌辅助配置表!$P$1,MATCH(U1340,卡牌辅助配置表!M:M,0)-1,0))*M1340,2)</f>
        <v>131.54</v>
      </c>
      <c r="W1340" s="157">
        <f ca="1">ROUND(IF(R1340=0,0,IF(R1340=1,X1340*$W$1,IF(R1340=2,X1340*$W$1*buff的资质计算!$E$2,IF(R1340=3,X1340*$W$1*buff的资质计算!$E$3,0)))),2)</f>
        <v>22.95</v>
      </c>
      <c r="X1340" s="157">
        <f ca="1" t="shared" si="226"/>
        <v>76.5</v>
      </c>
      <c r="Y1340" s="157">
        <f ca="1" t="shared" si="224"/>
        <v>77.5645161290323</v>
      </c>
      <c r="Z1340" s="304">
        <f ca="1" t="shared" si="227"/>
        <v>25.8548387096774</v>
      </c>
      <c r="AA1340" s="304">
        <f ca="1">OFFSET(卡牌辅助配置表!$AD$1,MATCH(AB1340,卡牌辅助配置表!AB:AB,0)-1,0)</f>
        <v>4980</v>
      </c>
      <c r="AB1340" s="304">
        <f ca="1" t="shared" si="221"/>
        <v>3310</v>
      </c>
      <c r="AC1340" s="153">
        <v>3</v>
      </c>
      <c r="AE1340" s="153">
        <v>2</v>
      </c>
      <c r="AF1340" s="153" t="str">
        <f ca="1" t="shared" si="225"/>
        <v>20190011|</v>
      </c>
      <c r="AH1340" s="153">
        <v>2</v>
      </c>
      <c r="AJ1340" s="205" t="str">
        <f ca="1" t="shared" si="222"/>
        <v>400023|5400|;</v>
      </c>
      <c r="AK1340" s="205">
        <f ca="1">OFFSET([1]item_type!$A$1,MATCH(Q1340,[1]item_type!$G:$G,0)-1,0)</f>
        <v>302019</v>
      </c>
      <c r="AL1340" s="205"/>
      <c r="AM1340" s="205">
        <f ca="1">IF(B1340=B1341,OFFSET(卡牌辅助配置表!$AE$1,MATCH(AB1340,卡牌辅助配置表!AB:AB,0),0),0)</f>
        <v>5400</v>
      </c>
      <c r="AN1340" s="153">
        <f ca="1" t="shared" si="223"/>
        <v>2019011</v>
      </c>
      <c r="AP1340" s="153" t="str">
        <f ca="1">IF(AC1340=0,0,IF(AC1340=12,0,OFFSET(effect!$N$1,MATCH(K1340,effect!M:M,0)-1,0)))</f>
        <v>kpsx_zise</v>
      </c>
    </row>
    <row r="1341" spans="1:42">
      <c r="A1341" s="153">
        <f ca="1" t="shared" si="219"/>
        <v>2019011</v>
      </c>
      <c r="B1341" s="91" t="s">
        <v>409</v>
      </c>
      <c r="C1341" s="186">
        <v>2</v>
      </c>
      <c r="D1341" s="186">
        <v>1</v>
      </c>
      <c r="E1341" s="165" t="s">
        <v>1058</v>
      </c>
      <c r="F1341" s="165" t="str">
        <f>"上一招为剑法时，获得"&amp;skill!$O$113/100&amp;"%吸血效果"</f>
        <v>上一招为剑法时，获得55%吸血效果</v>
      </c>
      <c r="G1341" s="186">
        <f ca="1">OFFSET(卡牌辅助配置表!$C$1,MATCH(AC1341,卡牌辅助配置表!A:A,0)-1,0)</f>
        <v>3</v>
      </c>
      <c r="H1341" s="186">
        <f ca="1">OFFSET(skill!$Q$1,MATCH(B1341,skill!B:B,0)-1,0)</f>
        <v>1.06451612903226</v>
      </c>
      <c r="I1341" s="186"/>
      <c r="J1341" s="186">
        <f ca="1">OFFSET(card_type!$F$1,MATCH(Q1341,card_type!A:A,0)-1,0)</f>
        <v>3</v>
      </c>
      <c r="K1341" s="243">
        <f ca="1">OFFSET(card_type!$G$1,MATCH(Q1341,card_type!A:A,0)-1,0)</f>
        <v>3</v>
      </c>
      <c r="L1341" s="157">
        <v>3</v>
      </c>
      <c r="M1341" s="157">
        <v>3</v>
      </c>
      <c r="N1341" s="153">
        <f t="shared" si="228"/>
        <v>11</v>
      </c>
      <c r="O1341" s="157"/>
      <c r="P1341" s="157"/>
      <c r="Q1341" s="153">
        <f ca="1">OFFSET(card_type!$A$1,MATCH(card!B1341,card_type!B:B,0)-1,0)</f>
        <v>2019</v>
      </c>
      <c r="R1341" s="153">
        <v>1</v>
      </c>
      <c r="S1341" s="157">
        <f ca="1">ROUND(IF(R1341=0,0,IF(R1341=1,X1341*$S$1,IF(R1341=2,X1341*$S$1*buff的资质计算!$E$2,IF(R1341=3,X1341*$S$1*buff的资质计算!$E$3,0)))),0)*0</f>
        <v>0</v>
      </c>
      <c r="T1341" s="153">
        <v>5</v>
      </c>
      <c r="U1341" s="153">
        <f ca="1" t="shared" si="220"/>
        <v>33</v>
      </c>
      <c r="V1341" s="153">
        <f ca="1">ROUND((OFFSET(卡牌辅助配置表!$O$1,MATCH(U1341,卡牌辅助配置表!M:M,0)-1,0)+(N1341-1)*OFFSET(卡牌辅助配置表!$P$1,MATCH(U1341,卡牌辅助配置表!M:M,0)-1,0))*M1341,2)</f>
        <v>138.5</v>
      </c>
      <c r="W1341" s="157">
        <f ca="1">ROUND(IF(R1341=0,0,IF(R1341=1,X1341*$W$1,IF(R1341=2,X1341*$W$1*buff的资质计算!$E$2,IF(R1341=3,X1341*$W$1*buff的资质计算!$E$3,0)))),2)</f>
        <v>23.1</v>
      </c>
      <c r="X1341" s="157">
        <f ca="1" t="shared" si="226"/>
        <v>77</v>
      </c>
      <c r="Y1341" s="157">
        <f ca="1" t="shared" si="224"/>
        <v>78.0645161290323</v>
      </c>
      <c r="Z1341" s="304">
        <f ca="1" t="shared" si="227"/>
        <v>26.0215053763441</v>
      </c>
      <c r="AA1341" s="304">
        <f ca="1">OFFSET(卡牌辅助配置表!$AD$1,MATCH(AB1341,卡牌辅助配置表!AB:AB,0)-1,0)</f>
        <v>5727</v>
      </c>
      <c r="AB1341" s="304">
        <f ca="1" t="shared" si="221"/>
        <v>3311</v>
      </c>
      <c r="AC1341" s="153">
        <v>3</v>
      </c>
      <c r="AE1341" s="153">
        <v>2</v>
      </c>
      <c r="AF1341" s="153" t="str">
        <f ca="1" t="shared" si="225"/>
        <v>20190011|</v>
      </c>
      <c r="AH1341" s="153">
        <v>2</v>
      </c>
      <c r="AJ1341" s="205" t="str">
        <f ca="1" t="shared" si="222"/>
        <v>400023|6200|;</v>
      </c>
      <c r="AK1341" s="205">
        <f ca="1">OFFSET([1]item_type!$A$1,MATCH(Q1341,[1]item_type!$G:$G,0)-1,0)</f>
        <v>302019</v>
      </c>
      <c r="AL1341" s="205"/>
      <c r="AM1341" s="205">
        <f ca="1">IF(B1341=B1342,OFFSET(卡牌辅助配置表!$AE$1,MATCH(AB1341,卡牌辅助配置表!AB:AB,0),0),0)</f>
        <v>6200</v>
      </c>
      <c r="AN1341" s="153">
        <f ca="1" t="shared" si="223"/>
        <v>2019012</v>
      </c>
      <c r="AP1341" s="153" t="str">
        <f ca="1">IF(AC1341=0,0,IF(AC1341=12,0,OFFSET(effect!$N$1,MATCH(K1341,effect!M:M,0)-1,0)))</f>
        <v>kpsx_zise</v>
      </c>
    </row>
    <row r="1342" spans="1:42">
      <c r="A1342" s="153">
        <f ca="1" t="shared" si="219"/>
        <v>2019012</v>
      </c>
      <c r="B1342" s="91" t="s">
        <v>409</v>
      </c>
      <c r="C1342" s="186">
        <v>2</v>
      </c>
      <c r="D1342" s="186">
        <v>1</v>
      </c>
      <c r="E1342" s="165" t="s">
        <v>1058</v>
      </c>
      <c r="F1342" s="165" t="str">
        <f>"上一招为剑法时，获得"&amp;skill!$O$113/100&amp;"%吸血效果"</f>
        <v>上一招为剑法时，获得55%吸血效果</v>
      </c>
      <c r="G1342" s="186">
        <f ca="1">OFFSET(卡牌辅助配置表!$C$1,MATCH(AC1342,卡牌辅助配置表!A:A,0)-1,0)</f>
        <v>3</v>
      </c>
      <c r="H1342" s="186">
        <f ca="1">OFFSET(skill!$Q$1,MATCH(B1342,skill!B:B,0)-1,0)</f>
        <v>1.06451612903226</v>
      </c>
      <c r="I1342" s="186"/>
      <c r="J1342" s="186">
        <f ca="1">OFFSET(card_type!$F$1,MATCH(Q1342,card_type!A:A,0)-1,0)</f>
        <v>3</v>
      </c>
      <c r="K1342" s="243">
        <f ca="1">OFFSET(card_type!$G$1,MATCH(Q1342,card_type!A:A,0)-1,0)</f>
        <v>3</v>
      </c>
      <c r="L1342" s="157">
        <v>3</v>
      </c>
      <c r="M1342" s="157">
        <v>3</v>
      </c>
      <c r="N1342" s="153">
        <f t="shared" si="228"/>
        <v>12</v>
      </c>
      <c r="O1342" s="157"/>
      <c r="P1342" s="157"/>
      <c r="Q1342" s="153">
        <f ca="1">OFFSET(card_type!$A$1,MATCH(card!B1342,card_type!B:B,0)-1,0)</f>
        <v>2019</v>
      </c>
      <c r="R1342" s="153">
        <v>1</v>
      </c>
      <c r="S1342" s="157">
        <f ca="1">ROUND(IF(R1342=0,0,IF(R1342=1,X1342*$S$1,IF(R1342=2,X1342*$S$1*buff的资质计算!$E$2,IF(R1342=3,X1342*$S$1*buff的资质计算!$E$3,0)))),0)*0</f>
        <v>0</v>
      </c>
      <c r="T1342" s="153">
        <v>5</v>
      </c>
      <c r="U1342" s="153">
        <f ca="1" t="shared" si="220"/>
        <v>33</v>
      </c>
      <c r="V1342" s="153">
        <f ca="1">ROUND((OFFSET(卡牌辅助配置表!$O$1,MATCH(U1342,卡牌辅助配置表!M:M,0)-1,0)+(N1342-1)*OFFSET(卡牌辅助配置表!$P$1,MATCH(U1342,卡牌辅助配置表!M:M,0)-1,0))*M1342,2)</f>
        <v>145.46</v>
      </c>
      <c r="W1342" s="157">
        <f ca="1">ROUND(IF(R1342=0,0,IF(R1342=1,X1342*$W$1,IF(R1342=2,X1342*$W$1*buff的资质计算!$E$2,IF(R1342=3,X1342*$W$1*buff的资质计算!$E$3,0)))),2)</f>
        <v>23.25</v>
      </c>
      <c r="X1342" s="157">
        <f ca="1" t="shared" si="226"/>
        <v>77.5</v>
      </c>
      <c r="Y1342" s="157">
        <f ca="1" t="shared" si="224"/>
        <v>78.5645161290323</v>
      </c>
      <c r="Z1342" s="304">
        <f ca="1" t="shared" si="227"/>
        <v>26.1881720430108</v>
      </c>
      <c r="AA1342" s="304">
        <f ca="1">OFFSET(卡牌辅助配置表!$AD$1,MATCH(AB1342,卡牌辅助配置表!AB:AB,0)-1,0)</f>
        <v>6474</v>
      </c>
      <c r="AB1342" s="304">
        <f ca="1" t="shared" si="221"/>
        <v>3312</v>
      </c>
      <c r="AC1342" s="153">
        <v>3</v>
      </c>
      <c r="AE1342" s="153">
        <v>2</v>
      </c>
      <c r="AF1342" s="153" t="str">
        <f ca="1" t="shared" si="225"/>
        <v>20190011|</v>
      </c>
      <c r="AH1342" s="153">
        <v>2</v>
      </c>
      <c r="AJ1342" s="205" t="str">
        <f ca="1" t="shared" si="222"/>
        <v>400023|7000|;</v>
      </c>
      <c r="AK1342" s="205">
        <f ca="1">OFFSET([1]item_type!$A$1,MATCH(Q1342,[1]item_type!$G:$G,0)-1,0)</f>
        <v>302019</v>
      </c>
      <c r="AL1342" s="205"/>
      <c r="AM1342" s="205">
        <f ca="1">IF(B1342=B1343,OFFSET(卡牌辅助配置表!$AE$1,MATCH(AB1342,卡牌辅助配置表!AB:AB,0),0),0)</f>
        <v>7000</v>
      </c>
      <c r="AN1342" s="153">
        <f ca="1" t="shared" si="223"/>
        <v>2019013</v>
      </c>
      <c r="AP1342" s="153" t="str">
        <f ca="1">IF(AC1342=0,0,IF(AC1342=12,0,OFFSET(effect!$N$1,MATCH(K1342,effect!M:M,0)-1,0)))</f>
        <v>kpsx_zise</v>
      </c>
    </row>
    <row r="1343" spans="1:42">
      <c r="A1343" s="153">
        <f ca="1" t="shared" si="219"/>
        <v>2019013</v>
      </c>
      <c r="B1343" s="91" t="s">
        <v>409</v>
      </c>
      <c r="C1343" s="186">
        <v>2</v>
      </c>
      <c r="D1343" s="186">
        <v>1</v>
      </c>
      <c r="E1343" s="165" t="s">
        <v>1058</v>
      </c>
      <c r="F1343" s="165" t="str">
        <f>"上一招为剑法时，获得"&amp;skill!$O$113/100&amp;"%吸血效果"</f>
        <v>上一招为剑法时，获得55%吸血效果</v>
      </c>
      <c r="G1343" s="186">
        <f ca="1">OFFSET(卡牌辅助配置表!$C$1,MATCH(AC1343,卡牌辅助配置表!A:A,0)-1,0)</f>
        <v>3</v>
      </c>
      <c r="H1343" s="186">
        <f ca="1">OFFSET(skill!$Q$1,MATCH(B1343,skill!B:B,0)-1,0)</f>
        <v>1.06451612903226</v>
      </c>
      <c r="I1343" s="186"/>
      <c r="J1343" s="186">
        <f ca="1">OFFSET(card_type!$F$1,MATCH(Q1343,card_type!A:A,0)-1,0)</f>
        <v>3</v>
      </c>
      <c r="K1343" s="243">
        <f ca="1">OFFSET(card_type!$G$1,MATCH(Q1343,card_type!A:A,0)-1,0)</f>
        <v>3</v>
      </c>
      <c r="L1343" s="157">
        <v>3</v>
      </c>
      <c r="M1343" s="157">
        <v>3</v>
      </c>
      <c r="N1343" s="153">
        <f t="shared" si="228"/>
        <v>13</v>
      </c>
      <c r="O1343" s="157"/>
      <c r="P1343" s="157"/>
      <c r="Q1343" s="153">
        <f ca="1">OFFSET(card_type!$A$1,MATCH(card!B1343,card_type!B:B,0)-1,0)</f>
        <v>2019</v>
      </c>
      <c r="R1343" s="153">
        <v>1</v>
      </c>
      <c r="S1343" s="157">
        <f ca="1">ROUND(IF(R1343=0,0,IF(R1343=1,X1343*$S$1,IF(R1343=2,X1343*$S$1*buff的资质计算!$E$2,IF(R1343=3,X1343*$S$1*buff的资质计算!$E$3,0)))),0)*0</f>
        <v>0</v>
      </c>
      <c r="T1343" s="153">
        <v>5</v>
      </c>
      <c r="U1343" s="153">
        <f ca="1" t="shared" si="220"/>
        <v>33</v>
      </c>
      <c r="V1343" s="153">
        <f ca="1">ROUND((OFFSET(卡牌辅助配置表!$O$1,MATCH(U1343,卡牌辅助配置表!M:M,0)-1,0)+(N1343-1)*OFFSET(卡牌辅助配置表!$P$1,MATCH(U1343,卡牌辅助配置表!M:M,0)-1,0))*M1343,2)</f>
        <v>152.42</v>
      </c>
      <c r="W1343" s="157">
        <f ca="1">ROUND(IF(R1343=0,0,IF(R1343=1,X1343*$W$1,IF(R1343=2,X1343*$W$1*buff的资质计算!$E$2,IF(R1343=3,X1343*$W$1*buff的资质计算!$E$3,0)))),2)</f>
        <v>23.4</v>
      </c>
      <c r="X1343" s="157">
        <f ca="1" t="shared" si="226"/>
        <v>78</v>
      </c>
      <c r="Y1343" s="157">
        <f ca="1" t="shared" si="224"/>
        <v>79.0645161290323</v>
      </c>
      <c r="Z1343" s="304">
        <f ca="1" t="shared" si="227"/>
        <v>26.3548387096774</v>
      </c>
      <c r="AA1343" s="304">
        <f ca="1">OFFSET(卡牌辅助配置表!$AD$1,MATCH(AB1343,卡牌辅助配置表!AB:AB,0)-1,0)</f>
        <v>7221</v>
      </c>
      <c r="AB1343" s="304">
        <f ca="1" t="shared" si="221"/>
        <v>3313</v>
      </c>
      <c r="AC1343" s="153">
        <v>3</v>
      </c>
      <c r="AE1343" s="153">
        <v>2</v>
      </c>
      <c r="AF1343" s="153" t="str">
        <f ca="1" t="shared" si="225"/>
        <v>20190011|</v>
      </c>
      <c r="AH1343" s="153">
        <v>2</v>
      </c>
      <c r="AJ1343" s="205" t="str">
        <f ca="1" t="shared" si="222"/>
        <v>400023|7800|;</v>
      </c>
      <c r="AK1343" s="205">
        <f ca="1">OFFSET([1]item_type!$A$1,MATCH(Q1343,[1]item_type!$G:$G,0)-1,0)</f>
        <v>302019</v>
      </c>
      <c r="AL1343" s="205"/>
      <c r="AM1343" s="205">
        <f ca="1">IF(B1343=B1344,OFFSET(卡牌辅助配置表!$AE$1,MATCH(AB1343,卡牌辅助配置表!AB:AB,0),0),0)</f>
        <v>7800</v>
      </c>
      <c r="AN1343" s="153">
        <f ca="1" t="shared" si="223"/>
        <v>2019014</v>
      </c>
      <c r="AP1343" s="153" t="str">
        <f ca="1">IF(AC1343=0,0,IF(AC1343=12,0,OFFSET(effect!$N$1,MATCH(K1343,effect!M:M,0)-1,0)))</f>
        <v>kpsx_zise</v>
      </c>
    </row>
    <row r="1344" spans="1:42">
      <c r="A1344" s="153">
        <f ca="1" t="shared" si="219"/>
        <v>2019014</v>
      </c>
      <c r="B1344" s="91" t="s">
        <v>409</v>
      </c>
      <c r="C1344" s="186">
        <v>2</v>
      </c>
      <c r="D1344" s="186">
        <v>1</v>
      </c>
      <c r="E1344" s="165" t="s">
        <v>1058</v>
      </c>
      <c r="F1344" s="165" t="str">
        <f>"上一招为剑法时，获得"&amp;skill!$O$113/100&amp;"%吸血效果"</f>
        <v>上一招为剑法时，获得55%吸血效果</v>
      </c>
      <c r="G1344" s="186">
        <f ca="1">OFFSET(卡牌辅助配置表!$C$1,MATCH(AC1344,卡牌辅助配置表!A:A,0)-1,0)</f>
        <v>3</v>
      </c>
      <c r="H1344" s="186">
        <f ca="1">OFFSET(skill!$Q$1,MATCH(B1344,skill!B:B,0)-1,0)</f>
        <v>1.06451612903226</v>
      </c>
      <c r="I1344" s="186"/>
      <c r="J1344" s="186">
        <f ca="1">OFFSET(card_type!$F$1,MATCH(Q1344,card_type!A:A,0)-1,0)</f>
        <v>3</v>
      </c>
      <c r="K1344" s="243">
        <f ca="1">OFFSET(card_type!$G$1,MATCH(Q1344,card_type!A:A,0)-1,0)</f>
        <v>3</v>
      </c>
      <c r="L1344" s="157">
        <v>3</v>
      </c>
      <c r="M1344" s="157">
        <v>3</v>
      </c>
      <c r="N1344" s="153">
        <f t="shared" si="228"/>
        <v>14</v>
      </c>
      <c r="O1344" s="157"/>
      <c r="P1344" s="157"/>
      <c r="Q1344" s="153">
        <f ca="1">OFFSET(card_type!$A$1,MATCH(card!B1344,card_type!B:B,0)-1,0)</f>
        <v>2019</v>
      </c>
      <c r="R1344" s="153">
        <v>1</v>
      </c>
      <c r="S1344" s="157">
        <f ca="1">ROUND(IF(R1344=0,0,IF(R1344=1,X1344*$S$1,IF(R1344=2,X1344*$S$1*buff的资质计算!$E$2,IF(R1344=3,X1344*$S$1*buff的资质计算!$E$3,0)))),0)*0</f>
        <v>0</v>
      </c>
      <c r="T1344" s="153">
        <v>5</v>
      </c>
      <c r="U1344" s="153">
        <f ca="1" t="shared" si="220"/>
        <v>33</v>
      </c>
      <c r="V1344" s="153">
        <f ca="1">ROUND((OFFSET(卡牌辅助配置表!$O$1,MATCH(U1344,卡牌辅助配置表!M:M,0)-1,0)+(N1344-1)*OFFSET(卡牌辅助配置表!$P$1,MATCH(U1344,卡牌辅助配置表!M:M,0)-1,0))*M1344,2)</f>
        <v>159.38</v>
      </c>
      <c r="W1344" s="157">
        <f ca="1">ROUND(IF(R1344=0,0,IF(R1344=1,X1344*$W$1,IF(R1344=2,X1344*$W$1*buff的资质计算!$E$2,IF(R1344=3,X1344*$W$1*buff的资质计算!$E$3,0)))),2)</f>
        <v>23.55</v>
      </c>
      <c r="X1344" s="157">
        <f ca="1" t="shared" si="226"/>
        <v>78.5</v>
      </c>
      <c r="Y1344" s="157">
        <f ca="1" t="shared" si="224"/>
        <v>79.5645161290323</v>
      </c>
      <c r="Z1344" s="304">
        <f ca="1" t="shared" si="227"/>
        <v>26.5215053763441</v>
      </c>
      <c r="AA1344" s="304">
        <f ca="1">OFFSET(卡牌辅助配置表!$AD$1,MATCH(AB1344,卡牌辅助配置表!AB:AB,0)-1,0)</f>
        <v>7968</v>
      </c>
      <c r="AB1344" s="304">
        <f ca="1" t="shared" si="221"/>
        <v>3314</v>
      </c>
      <c r="AC1344" s="153">
        <v>3</v>
      </c>
      <c r="AE1344" s="153">
        <v>2</v>
      </c>
      <c r="AF1344" s="153" t="str">
        <f ca="1" t="shared" si="225"/>
        <v>20190011|</v>
      </c>
      <c r="AH1344" s="153">
        <v>2</v>
      </c>
      <c r="AJ1344" s="205" t="str">
        <f ca="1" t="shared" si="222"/>
        <v>400023|8600|;</v>
      </c>
      <c r="AK1344" s="205">
        <f ca="1">OFFSET([1]item_type!$A$1,MATCH(Q1344,[1]item_type!$G:$G,0)-1,0)</f>
        <v>302019</v>
      </c>
      <c r="AL1344" s="205"/>
      <c r="AM1344" s="205">
        <f ca="1">IF(B1344=B1345,OFFSET(卡牌辅助配置表!$AE$1,MATCH(AB1344,卡牌辅助配置表!AB:AB,0),0),0)</f>
        <v>8600</v>
      </c>
      <c r="AN1344" s="153">
        <f ca="1" t="shared" si="223"/>
        <v>2019015</v>
      </c>
      <c r="AP1344" s="153" t="str">
        <f ca="1">IF(AC1344=0,0,IF(AC1344=12,0,OFFSET(effect!$N$1,MATCH(K1344,effect!M:M,0)-1,0)))</f>
        <v>kpsx_zise</v>
      </c>
    </row>
    <row r="1345" spans="1:42">
      <c r="A1345" s="153">
        <f ca="1" t="shared" si="219"/>
        <v>2019015</v>
      </c>
      <c r="B1345" s="91" t="s">
        <v>409</v>
      </c>
      <c r="C1345" s="186">
        <v>2</v>
      </c>
      <c r="D1345" s="186">
        <v>1</v>
      </c>
      <c r="E1345" s="165" t="s">
        <v>1058</v>
      </c>
      <c r="F1345" s="165" t="str">
        <f>"上一招为剑法时，获得"&amp;skill!$O$113/100&amp;"%吸血效果"</f>
        <v>上一招为剑法时，获得55%吸血效果</v>
      </c>
      <c r="G1345" s="186">
        <f ca="1">OFFSET(卡牌辅助配置表!$C$1,MATCH(AC1345,卡牌辅助配置表!A:A,0)-1,0)</f>
        <v>3</v>
      </c>
      <c r="H1345" s="186">
        <f ca="1">OFFSET(skill!$Q$1,MATCH(B1345,skill!B:B,0)-1,0)</f>
        <v>1.06451612903226</v>
      </c>
      <c r="I1345" s="186"/>
      <c r="J1345" s="186">
        <f ca="1">OFFSET(card_type!$F$1,MATCH(Q1345,card_type!A:A,0)-1,0)</f>
        <v>3</v>
      </c>
      <c r="K1345" s="243">
        <f ca="1">OFFSET(card_type!$G$1,MATCH(Q1345,card_type!A:A,0)-1,0)</f>
        <v>3</v>
      </c>
      <c r="L1345" s="157">
        <v>3</v>
      </c>
      <c r="M1345" s="157">
        <v>3</v>
      </c>
      <c r="N1345" s="153">
        <f t="shared" si="228"/>
        <v>15</v>
      </c>
      <c r="O1345" s="157"/>
      <c r="P1345" s="157"/>
      <c r="Q1345" s="153">
        <f ca="1">OFFSET(card_type!$A$1,MATCH(card!B1345,card_type!B:B,0)-1,0)</f>
        <v>2019</v>
      </c>
      <c r="R1345" s="153">
        <v>1</v>
      </c>
      <c r="S1345" s="157">
        <f ca="1">ROUND(IF(R1345=0,0,IF(R1345=1,X1345*$S$1,IF(R1345=2,X1345*$S$1*buff的资质计算!$E$2,IF(R1345=3,X1345*$S$1*buff的资质计算!$E$3,0)))),0)*0</f>
        <v>0</v>
      </c>
      <c r="T1345" s="153">
        <v>5</v>
      </c>
      <c r="U1345" s="153">
        <f ca="1" t="shared" si="220"/>
        <v>33</v>
      </c>
      <c r="V1345" s="153">
        <f ca="1">ROUND((OFFSET(卡牌辅助配置表!$O$1,MATCH(U1345,卡牌辅助配置表!M:M,0)-1,0)+(N1345-1)*OFFSET(卡牌辅助配置表!$P$1,MATCH(U1345,卡牌辅助配置表!M:M,0)-1,0))*M1345,2)</f>
        <v>166.34</v>
      </c>
      <c r="W1345" s="157">
        <f ca="1">ROUND(IF(R1345=0,0,IF(R1345=1,X1345*$W$1,IF(R1345=2,X1345*$W$1*buff的资质计算!$E$2,IF(R1345=3,X1345*$W$1*buff的资质计算!$E$3,0)))),2)</f>
        <v>23.7</v>
      </c>
      <c r="X1345" s="157">
        <f ca="1" t="shared" si="226"/>
        <v>79</v>
      </c>
      <c r="Y1345" s="157">
        <f ca="1" t="shared" si="224"/>
        <v>80.0645161290323</v>
      </c>
      <c r="Z1345" s="304">
        <f ca="1" t="shared" si="227"/>
        <v>26.6881720430108</v>
      </c>
      <c r="AA1345" s="304">
        <f ca="1">OFFSET(卡牌辅助配置表!$AD$1,MATCH(AB1345,卡牌辅助配置表!AB:AB,0)-1,0)</f>
        <v>8715</v>
      </c>
      <c r="AB1345" s="304">
        <f ca="1" t="shared" si="221"/>
        <v>3315</v>
      </c>
      <c r="AC1345" s="153">
        <v>3</v>
      </c>
      <c r="AE1345" s="153">
        <v>2</v>
      </c>
      <c r="AF1345" s="153" t="str">
        <f ca="1" t="shared" si="225"/>
        <v>20190011|</v>
      </c>
      <c r="AH1345" s="153">
        <v>2</v>
      </c>
      <c r="AJ1345" s="205" t="str">
        <f ca="1" t="shared" si="222"/>
        <v>400023|9400|;</v>
      </c>
      <c r="AK1345" s="205">
        <f ca="1">OFFSET([1]item_type!$A$1,MATCH(Q1345,[1]item_type!$G:$G,0)-1,0)</f>
        <v>302019</v>
      </c>
      <c r="AL1345" s="205"/>
      <c r="AM1345" s="205">
        <f ca="1">IF(B1345=B1346,OFFSET(卡牌辅助配置表!$AE$1,MATCH(AB1345,卡牌辅助配置表!AB:AB,0),0),0)</f>
        <v>9400</v>
      </c>
      <c r="AN1345" s="153">
        <f ca="1" t="shared" si="223"/>
        <v>2019016</v>
      </c>
      <c r="AP1345" s="153" t="str">
        <f ca="1">IF(AC1345=0,0,IF(AC1345=12,0,OFFSET(effect!$N$1,MATCH(K1345,effect!M:M,0)-1,0)))</f>
        <v>kpsx_zise</v>
      </c>
    </row>
    <row r="1346" spans="1:42">
      <c r="A1346" s="153">
        <f ca="1" t="shared" si="219"/>
        <v>2019016</v>
      </c>
      <c r="B1346" s="91" t="s">
        <v>409</v>
      </c>
      <c r="C1346" s="186">
        <v>2</v>
      </c>
      <c r="D1346" s="186">
        <v>1</v>
      </c>
      <c r="E1346" s="165" t="s">
        <v>1058</v>
      </c>
      <c r="F1346" s="165" t="str">
        <f>"上一招为剑法时，获得"&amp;skill!$O$113/100&amp;"%吸血效果"</f>
        <v>上一招为剑法时，获得55%吸血效果</v>
      </c>
      <c r="G1346" s="186">
        <f ca="1">OFFSET(卡牌辅助配置表!$C$1,MATCH(AC1346,卡牌辅助配置表!A:A,0)-1,0)</f>
        <v>3</v>
      </c>
      <c r="H1346" s="186">
        <f ca="1">OFFSET(skill!$Q$1,MATCH(B1346,skill!B:B,0)-1,0)</f>
        <v>1.06451612903226</v>
      </c>
      <c r="I1346" s="186"/>
      <c r="J1346" s="186">
        <f ca="1">OFFSET(card_type!$F$1,MATCH(Q1346,card_type!A:A,0)-1,0)</f>
        <v>3</v>
      </c>
      <c r="K1346" s="243">
        <f ca="1">OFFSET(card_type!$G$1,MATCH(Q1346,card_type!A:A,0)-1,0)</f>
        <v>3</v>
      </c>
      <c r="L1346" s="157">
        <v>3</v>
      </c>
      <c r="M1346" s="157">
        <v>3</v>
      </c>
      <c r="N1346" s="153">
        <f t="shared" si="228"/>
        <v>16</v>
      </c>
      <c r="O1346" s="157"/>
      <c r="P1346" s="157"/>
      <c r="Q1346" s="153">
        <f ca="1">OFFSET(card_type!$A$1,MATCH(card!B1346,card_type!B:B,0)-1,0)</f>
        <v>2019</v>
      </c>
      <c r="R1346" s="153">
        <v>1</v>
      </c>
      <c r="S1346" s="157">
        <f ca="1">ROUND(IF(R1346=0,0,IF(R1346=1,X1346*$S$1,IF(R1346=2,X1346*$S$1*buff的资质计算!$E$2,IF(R1346=3,X1346*$S$1*buff的资质计算!$E$3,0)))),0)*0</f>
        <v>0</v>
      </c>
      <c r="T1346" s="153">
        <v>5</v>
      </c>
      <c r="U1346" s="153">
        <f ca="1" t="shared" si="220"/>
        <v>33</v>
      </c>
      <c r="V1346" s="153">
        <f ca="1">ROUND((OFFSET(卡牌辅助配置表!$O$1,MATCH(U1346,卡牌辅助配置表!M:M,0)-1,0)+(N1346-1)*OFFSET(卡牌辅助配置表!$P$1,MATCH(U1346,卡牌辅助配置表!M:M,0)-1,0))*M1346,2)</f>
        <v>173.3</v>
      </c>
      <c r="W1346" s="157">
        <f ca="1">ROUND(IF(R1346=0,0,IF(R1346=1,X1346*$W$1,IF(R1346=2,X1346*$W$1*buff的资质计算!$E$2,IF(R1346=3,X1346*$W$1*buff的资质计算!$E$3,0)))),2)</f>
        <v>23.85</v>
      </c>
      <c r="X1346" s="157">
        <f ca="1" t="shared" si="226"/>
        <v>79.5</v>
      </c>
      <c r="Y1346" s="157">
        <f ca="1" t="shared" si="224"/>
        <v>80.5645161290323</v>
      </c>
      <c r="Z1346" s="304">
        <f ca="1" t="shared" si="227"/>
        <v>26.8548387096774</v>
      </c>
      <c r="AA1346" s="304">
        <f ca="1">OFFSET(卡牌辅助配置表!$AD$1,MATCH(AB1346,卡牌辅助配置表!AB:AB,0)-1,0)</f>
        <v>9462</v>
      </c>
      <c r="AB1346" s="304">
        <f ca="1" t="shared" si="221"/>
        <v>3316</v>
      </c>
      <c r="AC1346" s="153">
        <v>3</v>
      </c>
      <c r="AE1346" s="153">
        <v>2</v>
      </c>
      <c r="AF1346" s="153" t="str">
        <f ca="1" t="shared" si="225"/>
        <v>20190011|</v>
      </c>
      <c r="AH1346" s="153">
        <v>2</v>
      </c>
      <c r="AJ1346" s="205" t="str">
        <f ca="1" t="shared" si="222"/>
        <v>400023|10200|;</v>
      </c>
      <c r="AK1346" s="205">
        <f ca="1">OFFSET([1]item_type!$A$1,MATCH(Q1346,[1]item_type!$G:$G,0)-1,0)</f>
        <v>302019</v>
      </c>
      <c r="AL1346" s="205"/>
      <c r="AM1346" s="205">
        <f ca="1">IF(B1346=B1347,OFFSET(卡牌辅助配置表!$AE$1,MATCH(AB1346,卡牌辅助配置表!AB:AB,0),0),0)</f>
        <v>10200</v>
      </c>
      <c r="AN1346" s="153">
        <f ca="1" t="shared" si="223"/>
        <v>2019017</v>
      </c>
      <c r="AP1346" s="153" t="str">
        <f ca="1">IF(AC1346=0,0,IF(AC1346=12,0,OFFSET(effect!$N$1,MATCH(K1346,effect!M:M,0)-1,0)))</f>
        <v>kpsx_zise</v>
      </c>
    </row>
    <row r="1347" spans="1:42">
      <c r="A1347" s="153">
        <f ca="1" t="shared" si="219"/>
        <v>2019017</v>
      </c>
      <c r="B1347" s="91" t="s">
        <v>409</v>
      </c>
      <c r="C1347" s="186">
        <v>2</v>
      </c>
      <c r="D1347" s="186">
        <v>1</v>
      </c>
      <c r="E1347" s="165" t="s">
        <v>1058</v>
      </c>
      <c r="F1347" s="165" t="str">
        <f>"上一招为剑法时，获得"&amp;skill!$O$113/100&amp;"%吸血效果"</f>
        <v>上一招为剑法时，获得55%吸血效果</v>
      </c>
      <c r="G1347" s="186">
        <f ca="1">OFFSET(卡牌辅助配置表!$C$1,MATCH(AC1347,卡牌辅助配置表!A:A,0)-1,0)</f>
        <v>3</v>
      </c>
      <c r="H1347" s="186">
        <f ca="1">OFFSET(skill!$Q$1,MATCH(B1347,skill!B:B,0)-1,0)</f>
        <v>1.06451612903226</v>
      </c>
      <c r="I1347" s="186"/>
      <c r="J1347" s="186">
        <f ca="1">OFFSET(card_type!$F$1,MATCH(Q1347,card_type!A:A,0)-1,0)</f>
        <v>3</v>
      </c>
      <c r="K1347" s="243">
        <f ca="1">OFFSET(card_type!$G$1,MATCH(Q1347,card_type!A:A,0)-1,0)</f>
        <v>3</v>
      </c>
      <c r="L1347" s="157">
        <v>3</v>
      </c>
      <c r="M1347" s="157">
        <v>3</v>
      </c>
      <c r="N1347" s="153">
        <f t="shared" si="228"/>
        <v>17</v>
      </c>
      <c r="O1347" s="157"/>
      <c r="P1347" s="157"/>
      <c r="Q1347" s="153">
        <f ca="1">OFFSET(card_type!$A$1,MATCH(card!B1347,card_type!B:B,0)-1,0)</f>
        <v>2019</v>
      </c>
      <c r="R1347" s="153">
        <v>1</v>
      </c>
      <c r="S1347" s="157">
        <f ca="1">ROUND(IF(R1347=0,0,IF(R1347=1,X1347*$S$1,IF(R1347=2,X1347*$S$1*buff的资质计算!$E$2,IF(R1347=3,X1347*$S$1*buff的资质计算!$E$3,0)))),0)*0</f>
        <v>0</v>
      </c>
      <c r="T1347" s="153">
        <v>5</v>
      </c>
      <c r="U1347" s="153">
        <f ca="1" t="shared" si="220"/>
        <v>33</v>
      </c>
      <c r="V1347" s="153">
        <f ca="1">ROUND((OFFSET(卡牌辅助配置表!$O$1,MATCH(U1347,卡牌辅助配置表!M:M,0)-1,0)+(N1347-1)*OFFSET(卡牌辅助配置表!$P$1,MATCH(U1347,卡牌辅助配置表!M:M,0)-1,0))*M1347,2)</f>
        <v>180.26</v>
      </c>
      <c r="W1347" s="157">
        <f ca="1">ROUND(IF(R1347=0,0,IF(R1347=1,X1347*$W$1,IF(R1347=2,X1347*$W$1*buff的资质计算!$E$2,IF(R1347=3,X1347*$W$1*buff的资质计算!$E$3,0)))),2)</f>
        <v>24</v>
      </c>
      <c r="X1347" s="157">
        <f ca="1" t="shared" si="226"/>
        <v>80</v>
      </c>
      <c r="Y1347" s="157">
        <f ca="1" t="shared" si="224"/>
        <v>81.0645161290323</v>
      </c>
      <c r="Z1347" s="304">
        <f ca="1" t="shared" si="227"/>
        <v>27.0215053763441</v>
      </c>
      <c r="AA1347" s="304">
        <f ca="1">OFFSET(卡牌辅助配置表!$AD$1,MATCH(AB1347,卡牌辅助配置表!AB:AB,0)-1,0)</f>
        <v>10209</v>
      </c>
      <c r="AB1347" s="304">
        <f ca="1" t="shared" si="221"/>
        <v>3317</v>
      </c>
      <c r="AC1347" s="153">
        <v>3</v>
      </c>
      <c r="AE1347" s="153">
        <v>2</v>
      </c>
      <c r="AF1347" s="153" t="str">
        <f ca="1" t="shared" si="225"/>
        <v>20190011|</v>
      </c>
      <c r="AH1347" s="153">
        <v>2</v>
      </c>
      <c r="AJ1347" s="205" t="str">
        <f ca="1" t="shared" si="222"/>
        <v>400023|11000|;</v>
      </c>
      <c r="AK1347" s="205">
        <f ca="1">OFFSET([1]item_type!$A$1,MATCH(Q1347,[1]item_type!$G:$G,0)-1,0)</f>
        <v>302019</v>
      </c>
      <c r="AL1347" s="205"/>
      <c r="AM1347" s="205">
        <f ca="1">IF(B1347=B1348,OFFSET(卡牌辅助配置表!$AE$1,MATCH(AB1347,卡牌辅助配置表!AB:AB,0),0),0)</f>
        <v>11000</v>
      </c>
      <c r="AN1347" s="153">
        <f ca="1" t="shared" si="223"/>
        <v>2019018</v>
      </c>
      <c r="AP1347" s="153" t="str">
        <f ca="1">IF(AC1347=0,0,IF(AC1347=12,0,OFFSET(effect!$N$1,MATCH(K1347,effect!M:M,0)-1,0)))</f>
        <v>kpsx_zise</v>
      </c>
    </row>
    <row r="1348" spans="1:42">
      <c r="A1348" s="153">
        <f ca="1" t="shared" si="219"/>
        <v>2019018</v>
      </c>
      <c r="B1348" s="91" t="s">
        <v>409</v>
      </c>
      <c r="C1348" s="186">
        <v>2</v>
      </c>
      <c r="D1348" s="186">
        <v>1</v>
      </c>
      <c r="E1348" s="165" t="s">
        <v>1058</v>
      </c>
      <c r="F1348" s="165" t="str">
        <f>"上一招为剑法时，获得"&amp;skill!$O$113/100&amp;"%吸血效果"</f>
        <v>上一招为剑法时，获得55%吸血效果</v>
      </c>
      <c r="G1348" s="186">
        <f ca="1">OFFSET(卡牌辅助配置表!$C$1,MATCH(AC1348,卡牌辅助配置表!A:A,0)-1,0)</f>
        <v>3</v>
      </c>
      <c r="H1348" s="186">
        <f ca="1">OFFSET(skill!$Q$1,MATCH(B1348,skill!B:B,0)-1,0)</f>
        <v>1.06451612903226</v>
      </c>
      <c r="I1348" s="186"/>
      <c r="J1348" s="186">
        <f ca="1">OFFSET(card_type!$F$1,MATCH(Q1348,card_type!A:A,0)-1,0)</f>
        <v>3</v>
      </c>
      <c r="K1348" s="243">
        <f ca="1">OFFSET(card_type!$G$1,MATCH(Q1348,card_type!A:A,0)-1,0)</f>
        <v>3</v>
      </c>
      <c r="L1348" s="157">
        <v>3</v>
      </c>
      <c r="M1348" s="157">
        <v>3</v>
      </c>
      <c r="N1348" s="153">
        <f t="shared" si="228"/>
        <v>18</v>
      </c>
      <c r="O1348" s="157"/>
      <c r="P1348" s="157"/>
      <c r="Q1348" s="153">
        <f ca="1">OFFSET(card_type!$A$1,MATCH(card!B1348,card_type!B:B,0)-1,0)</f>
        <v>2019</v>
      </c>
      <c r="R1348" s="153">
        <v>1</v>
      </c>
      <c r="S1348" s="157">
        <f ca="1">ROUND(IF(R1348=0,0,IF(R1348=1,X1348*$S$1,IF(R1348=2,X1348*$S$1*buff的资质计算!$E$2,IF(R1348=3,X1348*$S$1*buff的资质计算!$E$3,0)))),0)*0</f>
        <v>0</v>
      </c>
      <c r="T1348" s="153">
        <v>5</v>
      </c>
      <c r="U1348" s="153">
        <f ca="1" t="shared" si="220"/>
        <v>33</v>
      </c>
      <c r="V1348" s="153">
        <f ca="1">ROUND((OFFSET(卡牌辅助配置表!$O$1,MATCH(U1348,卡牌辅助配置表!M:M,0)-1,0)+(N1348-1)*OFFSET(卡牌辅助配置表!$P$1,MATCH(U1348,卡牌辅助配置表!M:M,0)-1,0))*M1348,2)</f>
        <v>187.22</v>
      </c>
      <c r="W1348" s="157">
        <f ca="1">ROUND(IF(R1348=0,0,IF(R1348=1,X1348*$W$1,IF(R1348=2,X1348*$W$1*buff的资质计算!$E$2,IF(R1348=3,X1348*$W$1*buff的资质计算!$E$3,0)))),2)</f>
        <v>24.15</v>
      </c>
      <c r="X1348" s="157">
        <f ca="1" t="shared" si="226"/>
        <v>80.5</v>
      </c>
      <c r="Y1348" s="157">
        <f ca="1" t="shared" si="224"/>
        <v>81.5645161290323</v>
      </c>
      <c r="Z1348" s="304">
        <f ca="1" t="shared" si="227"/>
        <v>27.1881720430108</v>
      </c>
      <c r="AA1348" s="304">
        <f ca="1">OFFSET(卡牌辅助配置表!$AD$1,MATCH(AB1348,卡牌辅助配置表!AB:AB,0)-1,0)</f>
        <v>10956</v>
      </c>
      <c r="AB1348" s="304">
        <f ca="1" t="shared" si="221"/>
        <v>3318</v>
      </c>
      <c r="AC1348" s="153">
        <v>3</v>
      </c>
      <c r="AE1348" s="153">
        <v>2</v>
      </c>
      <c r="AF1348" s="153" t="str">
        <f ca="1" t="shared" si="225"/>
        <v>20190011|</v>
      </c>
      <c r="AH1348" s="153">
        <v>2</v>
      </c>
      <c r="AJ1348" s="205" t="str">
        <f ca="1" t="shared" si="222"/>
        <v>400023|11800|;</v>
      </c>
      <c r="AK1348" s="205">
        <f ca="1">OFFSET([1]item_type!$A$1,MATCH(Q1348,[1]item_type!$G:$G,0)-1,0)</f>
        <v>302019</v>
      </c>
      <c r="AL1348" s="205"/>
      <c r="AM1348" s="205">
        <f ca="1">IF(B1348=B1349,OFFSET(卡牌辅助配置表!$AE$1,MATCH(AB1348,卡牌辅助配置表!AB:AB,0),0),0)</f>
        <v>11800</v>
      </c>
      <c r="AN1348" s="153">
        <f ca="1" t="shared" si="223"/>
        <v>2019019</v>
      </c>
      <c r="AP1348" s="153" t="str">
        <f ca="1">IF(AC1348=0,0,IF(AC1348=12,0,OFFSET(effect!$N$1,MATCH(K1348,effect!M:M,0)-1,0)))</f>
        <v>kpsx_zise</v>
      </c>
    </row>
    <row r="1349" spans="1:42">
      <c r="A1349" s="153">
        <f ca="1" t="shared" si="219"/>
        <v>2019019</v>
      </c>
      <c r="B1349" s="91" t="s">
        <v>409</v>
      </c>
      <c r="C1349" s="186">
        <v>2</v>
      </c>
      <c r="D1349" s="186">
        <v>1</v>
      </c>
      <c r="E1349" s="165" t="s">
        <v>1058</v>
      </c>
      <c r="F1349" s="165" t="str">
        <f>"上一招为剑法时，获得"&amp;skill!$O$113/100&amp;"%吸血效果"</f>
        <v>上一招为剑法时，获得55%吸血效果</v>
      </c>
      <c r="G1349" s="186">
        <f ca="1">OFFSET(卡牌辅助配置表!$C$1,MATCH(AC1349,卡牌辅助配置表!A:A,0)-1,0)</f>
        <v>3</v>
      </c>
      <c r="H1349" s="186">
        <f ca="1">OFFSET(skill!$Q$1,MATCH(B1349,skill!B:B,0)-1,0)</f>
        <v>1.06451612903226</v>
      </c>
      <c r="I1349" s="186"/>
      <c r="J1349" s="186">
        <f ca="1">OFFSET(card_type!$F$1,MATCH(Q1349,card_type!A:A,0)-1,0)</f>
        <v>3</v>
      </c>
      <c r="K1349" s="243">
        <f ca="1">OFFSET(card_type!$G$1,MATCH(Q1349,card_type!A:A,0)-1,0)</f>
        <v>3</v>
      </c>
      <c r="L1349" s="157">
        <v>3</v>
      </c>
      <c r="M1349" s="157">
        <v>3</v>
      </c>
      <c r="N1349" s="153">
        <f t="shared" si="228"/>
        <v>19</v>
      </c>
      <c r="O1349" s="157"/>
      <c r="P1349" s="157"/>
      <c r="Q1349" s="153">
        <f ca="1">OFFSET(card_type!$A$1,MATCH(card!B1349,card_type!B:B,0)-1,0)</f>
        <v>2019</v>
      </c>
      <c r="R1349" s="153">
        <v>1</v>
      </c>
      <c r="S1349" s="157">
        <f ca="1">ROUND(IF(R1349=0,0,IF(R1349=1,X1349*$S$1,IF(R1349=2,X1349*$S$1*buff的资质计算!$E$2,IF(R1349=3,X1349*$S$1*buff的资质计算!$E$3,0)))),0)*0</f>
        <v>0</v>
      </c>
      <c r="T1349" s="153">
        <v>5</v>
      </c>
      <c r="U1349" s="153">
        <f ca="1" t="shared" si="220"/>
        <v>33</v>
      </c>
      <c r="V1349" s="153">
        <f ca="1">ROUND((OFFSET(卡牌辅助配置表!$O$1,MATCH(U1349,卡牌辅助配置表!M:M,0)-1,0)+(N1349-1)*OFFSET(卡牌辅助配置表!$P$1,MATCH(U1349,卡牌辅助配置表!M:M,0)-1,0))*M1349,2)</f>
        <v>194.18</v>
      </c>
      <c r="W1349" s="157">
        <f ca="1">ROUND(IF(R1349=0,0,IF(R1349=1,X1349*$W$1,IF(R1349=2,X1349*$W$1*buff的资质计算!$E$2,IF(R1349=3,X1349*$W$1*buff的资质计算!$E$3,0)))),2)</f>
        <v>24.3</v>
      </c>
      <c r="X1349" s="157">
        <f ca="1" t="shared" si="226"/>
        <v>81</v>
      </c>
      <c r="Y1349" s="157">
        <f ca="1" t="shared" si="224"/>
        <v>82.0645161290323</v>
      </c>
      <c r="Z1349" s="304">
        <f ca="1" t="shared" si="227"/>
        <v>27.3548387096774</v>
      </c>
      <c r="AA1349" s="304">
        <f ca="1">OFFSET(卡牌辅助配置表!$AD$1,MATCH(AB1349,卡牌辅助配置表!AB:AB,0)-1,0)</f>
        <v>11703</v>
      </c>
      <c r="AB1349" s="304">
        <f ca="1" t="shared" si="221"/>
        <v>3319</v>
      </c>
      <c r="AC1349" s="153">
        <v>3</v>
      </c>
      <c r="AE1349" s="153">
        <v>2</v>
      </c>
      <c r="AF1349" s="153" t="str">
        <f ca="1" t="shared" si="225"/>
        <v>20190011|</v>
      </c>
      <c r="AH1349" s="153">
        <v>2</v>
      </c>
      <c r="AJ1349" s="205" t="str">
        <f ca="1" t="shared" si="222"/>
        <v>302019|20|;400023|12600|;</v>
      </c>
      <c r="AK1349" s="205">
        <f ca="1">OFFSET([1]item_type!$A$1,MATCH(Q1349,[1]item_type!$G:$G,0)-1,0)</f>
        <v>302019</v>
      </c>
      <c r="AL1349" s="205">
        <v>20</v>
      </c>
      <c r="AM1349" s="205">
        <f ca="1">IF(B1349=B1350,OFFSET(卡牌辅助配置表!$AE$1,MATCH(AB1349,卡牌辅助配置表!AB:AB,0),0),0)</f>
        <v>12600</v>
      </c>
      <c r="AN1349" s="153">
        <f ca="1" t="shared" si="223"/>
        <v>2019020</v>
      </c>
      <c r="AP1349" s="153" t="str">
        <f ca="1">IF(AC1349=0,0,IF(AC1349=12,0,OFFSET(effect!$N$1,MATCH(K1349,effect!M:M,0)-1,0)))</f>
        <v>kpsx_zise</v>
      </c>
    </row>
    <row r="1350" spans="1:42">
      <c r="A1350" s="153">
        <f ca="1" t="shared" ref="A1350:A1413" si="229">Q1350*1000+N1350</f>
        <v>2019020</v>
      </c>
      <c r="B1350" s="91" t="s">
        <v>409</v>
      </c>
      <c r="C1350" s="186">
        <v>2</v>
      </c>
      <c r="D1350" s="186">
        <v>1</v>
      </c>
      <c r="E1350" s="165" t="s">
        <v>1058</v>
      </c>
      <c r="F1350" s="165" t="str">
        <f>"上一招为剑法时，获得"&amp;skill!$O$113/100&amp;"%吸血效果"</f>
        <v>上一招为剑法时，获得55%吸血效果</v>
      </c>
      <c r="G1350" s="186">
        <f ca="1">OFFSET(卡牌辅助配置表!$C$1,MATCH(AC1350,卡牌辅助配置表!A:A,0)-1,0)</f>
        <v>3</v>
      </c>
      <c r="H1350" s="186">
        <f ca="1">OFFSET(skill!$Q$1,MATCH(B1350,skill!B:B,0)-1,0)</f>
        <v>1.06451612903226</v>
      </c>
      <c r="I1350" s="186"/>
      <c r="J1350" s="186">
        <f ca="1">OFFSET(card_type!$F$1,MATCH(Q1350,card_type!A:A,0)-1,0)</f>
        <v>3</v>
      </c>
      <c r="K1350" s="243">
        <f ca="1">OFFSET(card_type!$G$1,MATCH(Q1350,card_type!A:A,0)-1,0)</f>
        <v>3</v>
      </c>
      <c r="L1350" s="157">
        <v>3</v>
      </c>
      <c r="M1350" s="157">
        <v>3</v>
      </c>
      <c r="N1350" s="153">
        <f t="shared" si="228"/>
        <v>20</v>
      </c>
      <c r="O1350" s="157"/>
      <c r="P1350" s="157"/>
      <c r="Q1350" s="153">
        <f ca="1">OFFSET(card_type!$A$1,MATCH(card!B1350,card_type!B:B,0)-1,0)</f>
        <v>2019</v>
      </c>
      <c r="R1350" s="153">
        <v>1</v>
      </c>
      <c r="S1350" s="157">
        <f ca="1">ROUND(IF(R1350=0,0,IF(R1350=1,X1350*$S$1,IF(R1350=2,X1350*$S$1*buff的资质计算!$E$2,IF(R1350=3,X1350*$S$1*buff的资质计算!$E$3,0)))),0)*0</f>
        <v>0</v>
      </c>
      <c r="T1350" s="153">
        <v>5</v>
      </c>
      <c r="U1350" s="153">
        <f ca="1" t="shared" ref="U1350:U1413" si="230">J1350*10+K1350</f>
        <v>33</v>
      </c>
      <c r="V1350" s="153">
        <f ca="1">ROUND((OFFSET(卡牌辅助配置表!$O$1,MATCH(U1350,卡牌辅助配置表!M:M,0)-1,0)+(N1350-1)*OFFSET(卡牌辅助配置表!$P$1,MATCH(U1350,卡牌辅助配置表!M:M,0)-1,0))*M1350,2)</f>
        <v>201.14</v>
      </c>
      <c r="W1350" s="157">
        <f ca="1">ROUND(IF(R1350=0,0,IF(R1350=1,X1350*$W$1,IF(R1350=2,X1350*$W$1*buff的资质计算!$E$2,IF(R1350=3,X1350*$W$1*buff的资质计算!$E$3,0)))),2)</f>
        <v>24.45</v>
      </c>
      <c r="X1350" s="157">
        <f ca="1" t="shared" si="226"/>
        <v>81.5</v>
      </c>
      <c r="Y1350" s="157">
        <f ca="1" t="shared" si="224"/>
        <v>82.5645161290323</v>
      </c>
      <c r="Z1350" s="304">
        <f ca="1" t="shared" si="227"/>
        <v>27.5215053763441</v>
      </c>
      <c r="AA1350" s="304">
        <f ca="1">OFFSET(卡牌辅助配置表!$AD$1,MATCH(AB1350,卡牌辅助配置表!AB:AB,0)-1,0)</f>
        <v>12450</v>
      </c>
      <c r="AB1350" s="304">
        <f ca="1" t="shared" ref="AB1350:AB1413" si="231">J1350*1000+K1350*100+N1350</f>
        <v>3320</v>
      </c>
      <c r="AC1350" s="153">
        <v>3</v>
      </c>
      <c r="AE1350" s="153">
        <v>2</v>
      </c>
      <c r="AF1350" s="153" t="str">
        <f ca="1" t="shared" si="225"/>
        <v>20190011|</v>
      </c>
      <c r="AH1350" s="153">
        <v>2</v>
      </c>
      <c r="AJ1350" s="205" t="str">
        <f ca="1" t="shared" ref="AJ1350:AJ1413" si="232">IF(AN1350=0,0,IF(AL1350=0,$AM$1&amp;$AF$1&amp;AM1350&amp;$AF$1&amp;$AJ$1,AK1350&amp;$AF$1&amp;AL1350&amp;$AF$1&amp;$AJ$1&amp;$AM$1&amp;$AF$1&amp;AM1350&amp;$AF$1&amp;$AJ$1))</f>
        <v>400023|14200|;</v>
      </c>
      <c r="AK1350" s="205">
        <f ca="1">OFFSET([1]item_type!$A$1,MATCH(Q1350,[1]item_type!$G:$G,0)-1,0)</f>
        <v>302019</v>
      </c>
      <c r="AL1350" s="205"/>
      <c r="AM1350" s="205">
        <f ca="1">IF(B1350=B1351,OFFSET(卡牌辅助配置表!$AE$1,MATCH(AB1350,卡牌辅助配置表!AB:AB,0),0),0)</f>
        <v>14200</v>
      </c>
      <c r="AN1350" s="153">
        <f ca="1" t="shared" ref="AN1350:AN1389" si="233">IF(B1350=B1351,A1350+1,0)</f>
        <v>2019021</v>
      </c>
      <c r="AP1350" s="153" t="str">
        <f ca="1">IF(AC1350=0,0,IF(AC1350=12,0,OFFSET(effect!$N$1,MATCH(K1350,effect!M:M,0)-1,0)))</f>
        <v>kpsx_zise</v>
      </c>
    </row>
    <row r="1351" spans="1:42">
      <c r="A1351" s="153">
        <f ca="1" t="shared" si="229"/>
        <v>2019021</v>
      </c>
      <c r="B1351" s="91" t="s">
        <v>409</v>
      </c>
      <c r="C1351" s="186">
        <v>2</v>
      </c>
      <c r="D1351" s="186">
        <v>1</v>
      </c>
      <c r="E1351" s="165" t="s">
        <v>1058</v>
      </c>
      <c r="F1351" s="165" t="str">
        <f>"上一招为剑法时，获得"&amp;skill!$O$113/100&amp;"%吸血效果"</f>
        <v>上一招为剑法时，获得55%吸血效果</v>
      </c>
      <c r="G1351" s="186">
        <f ca="1">OFFSET(卡牌辅助配置表!$C$1,MATCH(AC1351,卡牌辅助配置表!A:A,0)-1,0)</f>
        <v>3</v>
      </c>
      <c r="H1351" s="186">
        <f ca="1">OFFSET(skill!$Q$1,MATCH(B1351,skill!B:B,0)-1,0)</f>
        <v>1.06451612903226</v>
      </c>
      <c r="I1351" s="186"/>
      <c r="J1351" s="186">
        <f ca="1">OFFSET(card_type!$F$1,MATCH(Q1351,card_type!A:A,0)-1,0)</f>
        <v>3</v>
      </c>
      <c r="K1351" s="243">
        <f ca="1">OFFSET(card_type!$G$1,MATCH(Q1351,card_type!A:A,0)-1,0)</f>
        <v>3</v>
      </c>
      <c r="L1351" s="157">
        <v>3</v>
      </c>
      <c r="M1351" s="157">
        <v>3</v>
      </c>
      <c r="N1351" s="153">
        <f t="shared" si="228"/>
        <v>21</v>
      </c>
      <c r="O1351" s="157"/>
      <c r="P1351" s="157"/>
      <c r="Q1351" s="153">
        <f ca="1">OFFSET(card_type!$A$1,MATCH(card!B1351,card_type!B:B,0)-1,0)</f>
        <v>2019</v>
      </c>
      <c r="R1351" s="153">
        <v>1</v>
      </c>
      <c r="S1351" s="157">
        <f ca="1">ROUND(IF(R1351=0,0,IF(R1351=1,X1351*$S$1,IF(R1351=2,X1351*$S$1*buff的资质计算!$E$2,IF(R1351=3,X1351*$S$1*buff的资质计算!$E$3,0)))),0)*0</f>
        <v>0</v>
      </c>
      <c r="T1351" s="153">
        <v>5</v>
      </c>
      <c r="U1351" s="153">
        <f ca="1" t="shared" si="230"/>
        <v>33</v>
      </c>
      <c r="V1351" s="153">
        <f ca="1">ROUND((OFFSET(卡牌辅助配置表!$O$1,MATCH(U1351,卡牌辅助配置表!M:M,0)-1,0)+(N1351-1)*OFFSET(卡牌辅助配置表!$P$1,MATCH(U1351,卡牌辅助配置表!M:M,0)-1,0))*M1351,2)</f>
        <v>208.1</v>
      </c>
      <c r="W1351" s="157">
        <f ca="1">ROUND(IF(R1351=0,0,IF(R1351=1,X1351*$W$1,IF(R1351=2,X1351*$W$1*buff的资质计算!$E$2,IF(R1351=3,X1351*$W$1*buff的资质计算!$E$3,0)))),2)</f>
        <v>24.6</v>
      </c>
      <c r="X1351" s="157">
        <f ca="1" t="shared" si="226"/>
        <v>82</v>
      </c>
      <c r="Y1351" s="157">
        <f ca="1" t="shared" si="224"/>
        <v>83.0645161290323</v>
      </c>
      <c r="Z1351" s="304">
        <f ca="1" t="shared" si="227"/>
        <v>27.6881720430108</v>
      </c>
      <c r="AA1351" s="304">
        <f ca="1">OFFSET(卡牌辅助配置表!$AD$1,MATCH(AB1351,卡牌辅助配置表!AB:AB,0)-1,0)</f>
        <v>13446</v>
      </c>
      <c r="AB1351" s="304">
        <f ca="1" t="shared" si="231"/>
        <v>3321</v>
      </c>
      <c r="AC1351" s="153">
        <v>3</v>
      </c>
      <c r="AE1351" s="153">
        <v>2</v>
      </c>
      <c r="AF1351" s="153" t="str">
        <f ca="1" t="shared" si="225"/>
        <v>20190011|</v>
      </c>
      <c r="AH1351" s="153">
        <v>2</v>
      </c>
      <c r="AJ1351" s="205" t="str">
        <f ca="1" t="shared" si="232"/>
        <v>400023|15800|;</v>
      </c>
      <c r="AK1351" s="205">
        <f ca="1">OFFSET([1]item_type!$A$1,MATCH(Q1351,[1]item_type!$G:$G,0)-1,0)</f>
        <v>302019</v>
      </c>
      <c r="AL1351" s="205"/>
      <c r="AM1351" s="205">
        <f ca="1">IF(B1351=B1352,OFFSET(卡牌辅助配置表!$AE$1,MATCH(AB1351,卡牌辅助配置表!AB:AB,0),0),0)</f>
        <v>15800</v>
      </c>
      <c r="AN1351" s="153">
        <f ca="1" t="shared" si="233"/>
        <v>2019022</v>
      </c>
      <c r="AP1351" s="153" t="str">
        <f ca="1">IF(AC1351=0,0,IF(AC1351=12,0,OFFSET(effect!$N$1,MATCH(K1351,effect!M:M,0)-1,0)))</f>
        <v>kpsx_zise</v>
      </c>
    </row>
    <row r="1352" spans="1:42">
      <c r="A1352" s="153">
        <f ca="1" t="shared" si="229"/>
        <v>2019022</v>
      </c>
      <c r="B1352" s="91" t="s">
        <v>409</v>
      </c>
      <c r="C1352" s="186">
        <v>2</v>
      </c>
      <c r="D1352" s="186">
        <v>1</v>
      </c>
      <c r="E1352" s="165" t="s">
        <v>1058</v>
      </c>
      <c r="F1352" s="165" t="str">
        <f>"上一招为剑法时，获得"&amp;skill!$O$113/100&amp;"%吸血效果"</f>
        <v>上一招为剑法时，获得55%吸血效果</v>
      </c>
      <c r="G1352" s="186">
        <f ca="1">OFFSET(卡牌辅助配置表!$C$1,MATCH(AC1352,卡牌辅助配置表!A:A,0)-1,0)</f>
        <v>3</v>
      </c>
      <c r="H1352" s="186">
        <f ca="1">OFFSET(skill!$Q$1,MATCH(B1352,skill!B:B,0)-1,0)</f>
        <v>1.06451612903226</v>
      </c>
      <c r="I1352" s="186"/>
      <c r="J1352" s="186">
        <f ca="1">OFFSET(card_type!$F$1,MATCH(Q1352,card_type!A:A,0)-1,0)</f>
        <v>3</v>
      </c>
      <c r="K1352" s="243">
        <f ca="1">OFFSET(card_type!$G$1,MATCH(Q1352,card_type!A:A,0)-1,0)</f>
        <v>3</v>
      </c>
      <c r="L1352" s="157">
        <v>3</v>
      </c>
      <c r="M1352" s="157">
        <v>3</v>
      </c>
      <c r="N1352" s="153">
        <f t="shared" si="228"/>
        <v>22</v>
      </c>
      <c r="O1352" s="157"/>
      <c r="P1352" s="157"/>
      <c r="Q1352" s="153">
        <f ca="1">OFFSET(card_type!$A$1,MATCH(card!B1352,card_type!B:B,0)-1,0)</f>
        <v>2019</v>
      </c>
      <c r="R1352" s="153">
        <v>1</v>
      </c>
      <c r="S1352" s="157">
        <f ca="1">ROUND(IF(R1352=0,0,IF(R1352=1,X1352*$S$1,IF(R1352=2,X1352*$S$1*buff的资质计算!$E$2,IF(R1352=3,X1352*$S$1*buff的资质计算!$E$3,0)))),0)*0</f>
        <v>0</v>
      </c>
      <c r="T1352" s="153">
        <v>5</v>
      </c>
      <c r="U1352" s="153">
        <f ca="1" t="shared" si="230"/>
        <v>33</v>
      </c>
      <c r="V1352" s="153">
        <f ca="1">ROUND((OFFSET(卡牌辅助配置表!$O$1,MATCH(U1352,卡牌辅助配置表!M:M,0)-1,0)+(N1352-1)*OFFSET(卡牌辅助配置表!$P$1,MATCH(U1352,卡牌辅助配置表!M:M,0)-1,0))*M1352,2)</f>
        <v>215.06</v>
      </c>
      <c r="W1352" s="157">
        <f ca="1">ROUND(IF(R1352=0,0,IF(R1352=1,X1352*$W$1,IF(R1352=2,X1352*$W$1*buff的资质计算!$E$2,IF(R1352=3,X1352*$W$1*buff的资质计算!$E$3,0)))),2)</f>
        <v>24.75</v>
      </c>
      <c r="X1352" s="157">
        <f ca="1" t="shared" si="226"/>
        <v>82.5</v>
      </c>
      <c r="Y1352" s="157">
        <f ca="1" t="shared" si="224"/>
        <v>83.5645161290323</v>
      </c>
      <c r="Z1352" s="304">
        <f ca="1" t="shared" si="227"/>
        <v>27.8548387096774</v>
      </c>
      <c r="AA1352" s="304">
        <f ca="1">OFFSET(卡牌辅助配置表!$AD$1,MATCH(AB1352,卡牌辅助配置表!AB:AB,0)-1,0)</f>
        <v>14442</v>
      </c>
      <c r="AB1352" s="304">
        <f ca="1" t="shared" si="231"/>
        <v>3322</v>
      </c>
      <c r="AC1352" s="153">
        <v>3</v>
      </c>
      <c r="AE1352" s="153">
        <v>2</v>
      </c>
      <c r="AF1352" s="153" t="str">
        <f ca="1" t="shared" si="225"/>
        <v>20190011|</v>
      </c>
      <c r="AH1352" s="153">
        <v>2</v>
      </c>
      <c r="AJ1352" s="205" t="str">
        <f ca="1" t="shared" si="232"/>
        <v>400023|17400|;</v>
      </c>
      <c r="AK1352" s="205">
        <f ca="1">OFFSET([1]item_type!$A$1,MATCH(Q1352,[1]item_type!$G:$G,0)-1,0)</f>
        <v>302019</v>
      </c>
      <c r="AL1352" s="205"/>
      <c r="AM1352" s="205">
        <f ca="1">IF(B1352=B1353,OFFSET(卡牌辅助配置表!$AE$1,MATCH(AB1352,卡牌辅助配置表!AB:AB,0),0),0)</f>
        <v>17400</v>
      </c>
      <c r="AN1352" s="153">
        <f ca="1" t="shared" si="233"/>
        <v>2019023</v>
      </c>
      <c r="AP1352" s="153" t="str">
        <f ca="1">IF(AC1352=0,0,IF(AC1352=12,0,OFFSET(effect!$N$1,MATCH(K1352,effect!M:M,0)-1,0)))</f>
        <v>kpsx_zise</v>
      </c>
    </row>
    <row r="1353" spans="1:42">
      <c r="A1353" s="153">
        <f ca="1" t="shared" si="229"/>
        <v>2019023</v>
      </c>
      <c r="B1353" s="91" t="s">
        <v>409</v>
      </c>
      <c r="C1353" s="186">
        <v>2</v>
      </c>
      <c r="D1353" s="186">
        <v>1</v>
      </c>
      <c r="E1353" s="165" t="s">
        <v>1058</v>
      </c>
      <c r="F1353" s="165" t="str">
        <f>"上一招为剑法时，获得"&amp;skill!$O$113/100&amp;"%吸血效果"</f>
        <v>上一招为剑法时，获得55%吸血效果</v>
      </c>
      <c r="G1353" s="186">
        <f ca="1">OFFSET(卡牌辅助配置表!$C$1,MATCH(AC1353,卡牌辅助配置表!A:A,0)-1,0)</f>
        <v>3</v>
      </c>
      <c r="H1353" s="186">
        <f ca="1">OFFSET(skill!$Q$1,MATCH(B1353,skill!B:B,0)-1,0)</f>
        <v>1.06451612903226</v>
      </c>
      <c r="I1353" s="186"/>
      <c r="J1353" s="186">
        <f ca="1">OFFSET(card_type!$F$1,MATCH(Q1353,card_type!A:A,0)-1,0)</f>
        <v>3</v>
      </c>
      <c r="K1353" s="243">
        <f ca="1">OFFSET(card_type!$G$1,MATCH(Q1353,card_type!A:A,0)-1,0)</f>
        <v>3</v>
      </c>
      <c r="L1353" s="157">
        <v>3</v>
      </c>
      <c r="M1353" s="157">
        <v>3</v>
      </c>
      <c r="N1353" s="153">
        <f t="shared" si="228"/>
        <v>23</v>
      </c>
      <c r="O1353" s="157"/>
      <c r="P1353" s="157"/>
      <c r="Q1353" s="153">
        <f ca="1">OFFSET(card_type!$A$1,MATCH(card!B1353,card_type!B:B,0)-1,0)</f>
        <v>2019</v>
      </c>
      <c r="R1353" s="153">
        <v>1</v>
      </c>
      <c r="S1353" s="157">
        <f ca="1">ROUND(IF(R1353=0,0,IF(R1353=1,X1353*$S$1,IF(R1353=2,X1353*$S$1*buff的资质计算!$E$2,IF(R1353=3,X1353*$S$1*buff的资质计算!$E$3,0)))),0)*0</f>
        <v>0</v>
      </c>
      <c r="T1353" s="153">
        <v>5</v>
      </c>
      <c r="U1353" s="153">
        <f ca="1" t="shared" si="230"/>
        <v>33</v>
      </c>
      <c r="V1353" s="153">
        <f ca="1">ROUND((OFFSET(卡牌辅助配置表!$O$1,MATCH(U1353,卡牌辅助配置表!M:M,0)-1,0)+(N1353-1)*OFFSET(卡牌辅助配置表!$P$1,MATCH(U1353,卡牌辅助配置表!M:M,0)-1,0))*M1353,2)</f>
        <v>222.02</v>
      </c>
      <c r="W1353" s="157">
        <f ca="1">ROUND(IF(R1353=0,0,IF(R1353=1,X1353*$W$1,IF(R1353=2,X1353*$W$1*buff的资质计算!$E$2,IF(R1353=3,X1353*$W$1*buff的资质计算!$E$3,0)))),2)</f>
        <v>24.9</v>
      </c>
      <c r="X1353" s="157">
        <f ca="1" t="shared" si="226"/>
        <v>83</v>
      </c>
      <c r="Y1353" s="157">
        <f ca="1" t="shared" si="224"/>
        <v>84.0645161290323</v>
      </c>
      <c r="Z1353" s="304">
        <f ca="1" t="shared" si="227"/>
        <v>28.0215053763441</v>
      </c>
      <c r="AA1353" s="304">
        <f ca="1">OFFSET(卡牌辅助配置表!$AD$1,MATCH(AB1353,卡牌辅助配置表!AB:AB,0)-1,0)</f>
        <v>15438</v>
      </c>
      <c r="AB1353" s="304">
        <f ca="1" t="shared" si="231"/>
        <v>3323</v>
      </c>
      <c r="AC1353" s="153">
        <v>3</v>
      </c>
      <c r="AE1353" s="153">
        <v>2</v>
      </c>
      <c r="AF1353" s="153" t="str">
        <f ca="1" t="shared" si="225"/>
        <v>20190011|</v>
      </c>
      <c r="AH1353" s="153">
        <v>2</v>
      </c>
      <c r="AJ1353" s="205" t="str">
        <f ca="1" t="shared" si="232"/>
        <v>400023|19000|;</v>
      </c>
      <c r="AK1353" s="205">
        <f ca="1">OFFSET([1]item_type!$A$1,MATCH(Q1353,[1]item_type!$G:$G,0)-1,0)</f>
        <v>302019</v>
      </c>
      <c r="AL1353" s="205"/>
      <c r="AM1353" s="205">
        <f ca="1">IF(B1353=B1354,OFFSET(卡牌辅助配置表!$AE$1,MATCH(AB1353,卡牌辅助配置表!AB:AB,0),0),0)</f>
        <v>19000</v>
      </c>
      <c r="AN1353" s="153">
        <f ca="1" t="shared" si="233"/>
        <v>2019024</v>
      </c>
      <c r="AP1353" s="153" t="str">
        <f ca="1">IF(AC1353=0,0,IF(AC1353=12,0,OFFSET(effect!$N$1,MATCH(K1353,effect!M:M,0)-1,0)))</f>
        <v>kpsx_zise</v>
      </c>
    </row>
    <row r="1354" spans="1:42">
      <c r="A1354" s="153">
        <f ca="1" t="shared" si="229"/>
        <v>2019024</v>
      </c>
      <c r="B1354" s="91" t="s">
        <v>409</v>
      </c>
      <c r="C1354" s="186">
        <v>2</v>
      </c>
      <c r="D1354" s="186">
        <v>1</v>
      </c>
      <c r="E1354" s="165" t="s">
        <v>1058</v>
      </c>
      <c r="F1354" s="165" t="str">
        <f>"上一招为剑法时，获得"&amp;skill!$O$113/100&amp;"%吸血效果"</f>
        <v>上一招为剑法时，获得55%吸血效果</v>
      </c>
      <c r="G1354" s="186">
        <f ca="1">OFFSET(卡牌辅助配置表!$C$1,MATCH(AC1354,卡牌辅助配置表!A:A,0)-1,0)</f>
        <v>3</v>
      </c>
      <c r="H1354" s="186">
        <f ca="1">OFFSET(skill!$Q$1,MATCH(B1354,skill!B:B,0)-1,0)</f>
        <v>1.06451612903226</v>
      </c>
      <c r="I1354" s="186"/>
      <c r="J1354" s="186">
        <f ca="1">OFFSET(card_type!$F$1,MATCH(Q1354,card_type!A:A,0)-1,0)</f>
        <v>3</v>
      </c>
      <c r="K1354" s="243">
        <f ca="1">OFFSET(card_type!$G$1,MATCH(Q1354,card_type!A:A,0)-1,0)</f>
        <v>3</v>
      </c>
      <c r="L1354" s="157">
        <v>3</v>
      </c>
      <c r="M1354" s="157">
        <v>3</v>
      </c>
      <c r="N1354" s="153">
        <f t="shared" si="228"/>
        <v>24</v>
      </c>
      <c r="O1354" s="157"/>
      <c r="P1354" s="157"/>
      <c r="Q1354" s="153">
        <f ca="1">OFFSET(card_type!$A$1,MATCH(card!B1354,card_type!B:B,0)-1,0)</f>
        <v>2019</v>
      </c>
      <c r="R1354" s="153">
        <v>1</v>
      </c>
      <c r="S1354" s="157">
        <f ca="1">ROUND(IF(R1354=0,0,IF(R1354=1,X1354*$S$1,IF(R1354=2,X1354*$S$1*buff的资质计算!$E$2,IF(R1354=3,X1354*$S$1*buff的资质计算!$E$3,0)))),0)*0</f>
        <v>0</v>
      </c>
      <c r="T1354" s="153">
        <v>5</v>
      </c>
      <c r="U1354" s="153">
        <f ca="1" t="shared" si="230"/>
        <v>33</v>
      </c>
      <c r="V1354" s="153">
        <f ca="1">ROUND((OFFSET(卡牌辅助配置表!$O$1,MATCH(U1354,卡牌辅助配置表!M:M,0)-1,0)+(N1354-1)*OFFSET(卡牌辅助配置表!$P$1,MATCH(U1354,卡牌辅助配置表!M:M,0)-1,0))*M1354,2)</f>
        <v>228.98</v>
      </c>
      <c r="W1354" s="157">
        <f ca="1">ROUND(IF(R1354=0,0,IF(R1354=1,X1354*$W$1,IF(R1354=2,X1354*$W$1*buff的资质计算!$E$2,IF(R1354=3,X1354*$W$1*buff的资质计算!$E$3,0)))),2)</f>
        <v>25.05</v>
      </c>
      <c r="X1354" s="157">
        <f ca="1" t="shared" si="226"/>
        <v>83.5</v>
      </c>
      <c r="Y1354" s="157">
        <f ca="1" t="shared" si="224"/>
        <v>84.5645161290323</v>
      </c>
      <c r="Z1354" s="304">
        <f ca="1" t="shared" si="227"/>
        <v>28.1881720430108</v>
      </c>
      <c r="AA1354" s="304">
        <f ca="1">OFFSET(卡牌辅助配置表!$AD$1,MATCH(AB1354,卡牌辅助配置表!AB:AB,0)-1,0)</f>
        <v>16434</v>
      </c>
      <c r="AB1354" s="304">
        <f ca="1" t="shared" si="231"/>
        <v>3324</v>
      </c>
      <c r="AC1354" s="153">
        <v>3</v>
      </c>
      <c r="AE1354" s="153">
        <v>2</v>
      </c>
      <c r="AF1354" s="153" t="str">
        <f ca="1" t="shared" si="225"/>
        <v>20190011|</v>
      </c>
      <c r="AH1354" s="153">
        <v>2</v>
      </c>
      <c r="AJ1354" s="205" t="str">
        <f ca="1" t="shared" si="232"/>
        <v>400023|20600|;</v>
      </c>
      <c r="AK1354" s="205">
        <f ca="1">OFFSET([1]item_type!$A$1,MATCH(Q1354,[1]item_type!$G:$G,0)-1,0)</f>
        <v>302019</v>
      </c>
      <c r="AL1354" s="205"/>
      <c r="AM1354" s="205">
        <f ca="1">IF(B1354=B1355,OFFSET(卡牌辅助配置表!$AE$1,MATCH(AB1354,卡牌辅助配置表!AB:AB,0),0),0)</f>
        <v>20600</v>
      </c>
      <c r="AN1354" s="153">
        <f ca="1" t="shared" si="233"/>
        <v>2019025</v>
      </c>
      <c r="AP1354" s="153" t="str">
        <f ca="1">IF(AC1354=0,0,IF(AC1354=12,0,OFFSET(effect!$N$1,MATCH(K1354,effect!M:M,0)-1,0)))</f>
        <v>kpsx_zise</v>
      </c>
    </row>
    <row r="1355" spans="1:42">
      <c r="A1355" s="153">
        <f ca="1" t="shared" si="229"/>
        <v>2019025</v>
      </c>
      <c r="B1355" s="91" t="s">
        <v>409</v>
      </c>
      <c r="C1355" s="186">
        <v>2</v>
      </c>
      <c r="D1355" s="186">
        <v>1</v>
      </c>
      <c r="E1355" s="165" t="s">
        <v>1058</v>
      </c>
      <c r="F1355" s="165" t="str">
        <f>"上一招为剑法时，获得"&amp;skill!$O$113/100&amp;"%吸血效果"</f>
        <v>上一招为剑法时，获得55%吸血效果</v>
      </c>
      <c r="G1355" s="186">
        <f ca="1">OFFSET(卡牌辅助配置表!$C$1,MATCH(AC1355,卡牌辅助配置表!A:A,0)-1,0)</f>
        <v>3</v>
      </c>
      <c r="H1355" s="186">
        <f ca="1">OFFSET(skill!$Q$1,MATCH(B1355,skill!B:B,0)-1,0)</f>
        <v>1.06451612903226</v>
      </c>
      <c r="I1355" s="186"/>
      <c r="J1355" s="186">
        <f ca="1">OFFSET(card_type!$F$1,MATCH(Q1355,card_type!A:A,0)-1,0)</f>
        <v>3</v>
      </c>
      <c r="K1355" s="243">
        <f ca="1">OFFSET(card_type!$G$1,MATCH(Q1355,card_type!A:A,0)-1,0)</f>
        <v>3</v>
      </c>
      <c r="L1355" s="157">
        <v>3</v>
      </c>
      <c r="M1355" s="157">
        <v>3</v>
      </c>
      <c r="N1355" s="153">
        <f t="shared" si="228"/>
        <v>25</v>
      </c>
      <c r="O1355" s="157"/>
      <c r="P1355" s="157"/>
      <c r="Q1355" s="153">
        <f ca="1">OFFSET(card_type!$A$1,MATCH(card!B1355,card_type!B:B,0)-1,0)</f>
        <v>2019</v>
      </c>
      <c r="R1355" s="153">
        <v>1</v>
      </c>
      <c r="S1355" s="157">
        <f ca="1">ROUND(IF(R1355=0,0,IF(R1355=1,X1355*$S$1,IF(R1355=2,X1355*$S$1*buff的资质计算!$E$2,IF(R1355=3,X1355*$S$1*buff的资质计算!$E$3,0)))),0)*0</f>
        <v>0</v>
      </c>
      <c r="T1355" s="153">
        <v>5</v>
      </c>
      <c r="U1355" s="153">
        <f ca="1" t="shared" si="230"/>
        <v>33</v>
      </c>
      <c r="V1355" s="153">
        <f ca="1">ROUND((OFFSET(卡牌辅助配置表!$O$1,MATCH(U1355,卡牌辅助配置表!M:M,0)-1,0)+(N1355-1)*OFFSET(卡牌辅助配置表!$P$1,MATCH(U1355,卡牌辅助配置表!M:M,0)-1,0))*M1355,2)</f>
        <v>235.94</v>
      </c>
      <c r="W1355" s="157">
        <f ca="1">ROUND(IF(R1355=0,0,IF(R1355=1,X1355*$W$1,IF(R1355=2,X1355*$W$1*buff的资质计算!$E$2,IF(R1355=3,X1355*$W$1*buff的资质计算!$E$3,0)))),2)</f>
        <v>25.2</v>
      </c>
      <c r="X1355" s="157">
        <f ca="1" t="shared" si="226"/>
        <v>84</v>
      </c>
      <c r="Y1355" s="157">
        <f ca="1" t="shared" si="224"/>
        <v>85.0645161290323</v>
      </c>
      <c r="Z1355" s="304">
        <f ca="1" t="shared" si="227"/>
        <v>28.3548387096774</v>
      </c>
      <c r="AA1355" s="304">
        <f ca="1">OFFSET(卡牌辅助配置表!$AD$1,MATCH(AB1355,卡牌辅助配置表!AB:AB,0)-1,0)</f>
        <v>17430</v>
      </c>
      <c r="AB1355" s="304">
        <f ca="1" t="shared" si="231"/>
        <v>3325</v>
      </c>
      <c r="AC1355" s="153">
        <v>3</v>
      </c>
      <c r="AE1355" s="153">
        <v>2</v>
      </c>
      <c r="AF1355" s="153" t="str">
        <f ca="1" t="shared" si="225"/>
        <v>20190011|</v>
      </c>
      <c r="AH1355" s="153">
        <v>2</v>
      </c>
      <c r="AJ1355" s="205" t="str">
        <f ca="1" t="shared" si="232"/>
        <v>400023|22200|;</v>
      </c>
      <c r="AK1355" s="205">
        <f ca="1">OFFSET([1]item_type!$A$1,MATCH(Q1355,[1]item_type!$G:$G,0)-1,0)</f>
        <v>302019</v>
      </c>
      <c r="AL1355" s="205"/>
      <c r="AM1355" s="205">
        <f ca="1">IF(B1355=B1356,OFFSET(卡牌辅助配置表!$AE$1,MATCH(AB1355,卡牌辅助配置表!AB:AB,0),0),0)</f>
        <v>22200</v>
      </c>
      <c r="AN1355" s="153">
        <f ca="1" t="shared" si="233"/>
        <v>2019026</v>
      </c>
      <c r="AP1355" s="153" t="str">
        <f ca="1">IF(AC1355=0,0,IF(AC1355=12,0,OFFSET(effect!$N$1,MATCH(K1355,effect!M:M,0)-1,0)))</f>
        <v>kpsx_zise</v>
      </c>
    </row>
    <row r="1356" spans="1:42">
      <c r="A1356" s="153">
        <f ca="1" t="shared" si="229"/>
        <v>2019026</v>
      </c>
      <c r="B1356" s="91" t="s">
        <v>409</v>
      </c>
      <c r="C1356" s="186">
        <v>2</v>
      </c>
      <c r="D1356" s="186">
        <v>1</v>
      </c>
      <c r="E1356" s="165" t="s">
        <v>1058</v>
      </c>
      <c r="F1356" s="165" t="str">
        <f>"上一招为剑法时，获得"&amp;skill!$O$113/100&amp;"%吸血效果"</f>
        <v>上一招为剑法时，获得55%吸血效果</v>
      </c>
      <c r="G1356" s="186">
        <f ca="1">OFFSET(卡牌辅助配置表!$C$1,MATCH(AC1356,卡牌辅助配置表!A:A,0)-1,0)</f>
        <v>3</v>
      </c>
      <c r="H1356" s="186">
        <f ca="1">OFFSET(skill!$Q$1,MATCH(B1356,skill!B:B,0)-1,0)</f>
        <v>1.06451612903226</v>
      </c>
      <c r="I1356" s="186"/>
      <c r="J1356" s="186">
        <f ca="1">OFFSET(card_type!$F$1,MATCH(Q1356,card_type!A:A,0)-1,0)</f>
        <v>3</v>
      </c>
      <c r="K1356" s="243">
        <f ca="1">OFFSET(card_type!$G$1,MATCH(Q1356,card_type!A:A,0)-1,0)</f>
        <v>3</v>
      </c>
      <c r="L1356" s="157">
        <v>3</v>
      </c>
      <c r="M1356" s="157">
        <v>3</v>
      </c>
      <c r="N1356" s="153">
        <f t="shared" si="228"/>
        <v>26</v>
      </c>
      <c r="O1356" s="157"/>
      <c r="P1356" s="157"/>
      <c r="Q1356" s="153">
        <f ca="1">OFFSET(card_type!$A$1,MATCH(card!B1356,card_type!B:B,0)-1,0)</f>
        <v>2019</v>
      </c>
      <c r="R1356" s="153">
        <v>1</v>
      </c>
      <c r="S1356" s="157">
        <f ca="1">ROUND(IF(R1356=0,0,IF(R1356=1,X1356*$S$1,IF(R1356=2,X1356*$S$1*buff的资质计算!$E$2,IF(R1356=3,X1356*$S$1*buff的资质计算!$E$3,0)))),0)*0</f>
        <v>0</v>
      </c>
      <c r="T1356" s="153">
        <v>5</v>
      </c>
      <c r="U1356" s="153">
        <f ca="1" t="shared" si="230"/>
        <v>33</v>
      </c>
      <c r="V1356" s="153">
        <f ca="1">ROUND((OFFSET(卡牌辅助配置表!$O$1,MATCH(U1356,卡牌辅助配置表!M:M,0)-1,0)+(N1356-1)*OFFSET(卡牌辅助配置表!$P$1,MATCH(U1356,卡牌辅助配置表!M:M,0)-1,0))*M1356,2)</f>
        <v>242.9</v>
      </c>
      <c r="W1356" s="157">
        <f ca="1">ROUND(IF(R1356=0,0,IF(R1356=1,X1356*$W$1,IF(R1356=2,X1356*$W$1*buff的资质计算!$E$2,IF(R1356=3,X1356*$W$1*buff的资质计算!$E$3,0)))),2)</f>
        <v>25.35</v>
      </c>
      <c r="X1356" s="157">
        <f ca="1" t="shared" si="226"/>
        <v>84.5</v>
      </c>
      <c r="Y1356" s="157">
        <f ca="1" t="shared" si="224"/>
        <v>85.5645161290323</v>
      </c>
      <c r="Z1356" s="304">
        <f ca="1" t="shared" si="227"/>
        <v>28.5215053763441</v>
      </c>
      <c r="AA1356" s="304">
        <f ca="1">OFFSET(卡牌辅助配置表!$AD$1,MATCH(AB1356,卡牌辅助配置表!AB:AB,0)-1,0)</f>
        <v>18426</v>
      </c>
      <c r="AB1356" s="304">
        <f ca="1" t="shared" si="231"/>
        <v>3326</v>
      </c>
      <c r="AC1356" s="153">
        <v>3</v>
      </c>
      <c r="AE1356" s="153">
        <v>2</v>
      </c>
      <c r="AF1356" s="153" t="str">
        <f ca="1" t="shared" si="225"/>
        <v>20190011|</v>
      </c>
      <c r="AH1356" s="153">
        <v>2</v>
      </c>
      <c r="AJ1356" s="205" t="str">
        <f ca="1" t="shared" si="232"/>
        <v>400023|23800|;</v>
      </c>
      <c r="AK1356" s="205">
        <f ca="1">OFFSET([1]item_type!$A$1,MATCH(Q1356,[1]item_type!$G:$G,0)-1,0)</f>
        <v>302019</v>
      </c>
      <c r="AL1356" s="205"/>
      <c r="AM1356" s="205">
        <f ca="1">IF(B1356=B1357,OFFSET(卡牌辅助配置表!$AE$1,MATCH(AB1356,卡牌辅助配置表!AB:AB,0),0),0)</f>
        <v>23800</v>
      </c>
      <c r="AN1356" s="153">
        <f ca="1" t="shared" si="233"/>
        <v>2019027</v>
      </c>
      <c r="AP1356" s="153" t="str">
        <f ca="1">IF(AC1356=0,0,IF(AC1356=12,0,OFFSET(effect!$N$1,MATCH(K1356,effect!M:M,0)-1,0)))</f>
        <v>kpsx_zise</v>
      </c>
    </row>
    <row r="1357" spans="1:42">
      <c r="A1357" s="153">
        <f ca="1" t="shared" si="229"/>
        <v>2019027</v>
      </c>
      <c r="B1357" s="91" t="s">
        <v>409</v>
      </c>
      <c r="C1357" s="186">
        <v>2</v>
      </c>
      <c r="D1357" s="186">
        <v>1</v>
      </c>
      <c r="E1357" s="165" t="s">
        <v>1058</v>
      </c>
      <c r="F1357" s="165" t="str">
        <f>"上一招为剑法时，获得"&amp;skill!$O$113/100&amp;"%吸血效果"</f>
        <v>上一招为剑法时，获得55%吸血效果</v>
      </c>
      <c r="G1357" s="186">
        <f ca="1">OFFSET(卡牌辅助配置表!$C$1,MATCH(AC1357,卡牌辅助配置表!A:A,0)-1,0)</f>
        <v>3</v>
      </c>
      <c r="H1357" s="186">
        <f ca="1">OFFSET(skill!$Q$1,MATCH(B1357,skill!B:B,0)-1,0)</f>
        <v>1.06451612903226</v>
      </c>
      <c r="I1357" s="186"/>
      <c r="J1357" s="186">
        <f ca="1">OFFSET(card_type!$F$1,MATCH(Q1357,card_type!A:A,0)-1,0)</f>
        <v>3</v>
      </c>
      <c r="K1357" s="243">
        <f ca="1">OFFSET(card_type!$G$1,MATCH(Q1357,card_type!A:A,0)-1,0)</f>
        <v>3</v>
      </c>
      <c r="L1357" s="157">
        <v>3</v>
      </c>
      <c r="M1357" s="157">
        <v>3</v>
      </c>
      <c r="N1357" s="153">
        <f t="shared" si="228"/>
        <v>27</v>
      </c>
      <c r="O1357" s="157"/>
      <c r="P1357" s="157"/>
      <c r="Q1357" s="153">
        <f ca="1">OFFSET(card_type!$A$1,MATCH(card!B1357,card_type!B:B,0)-1,0)</f>
        <v>2019</v>
      </c>
      <c r="R1357" s="153">
        <v>1</v>
      </c>
      <c r="S1357" s="157">
        <f ca="1">ROUND(IF(R1357=0,0,IF(R1357=1,X1357*$S$1,IF(R1357=2,X1357*$S$1*buff的资质计算!$E$2,IF(R1357=3,X1357*$S$1*buff的资质计算!$E$3,0)))),0)*0</f>
        <v>0</v>
      </c>
      <c r="T1357" s="153">
        <v>5</v>
      </c>
      <c r="U1357" s="153">
        <f ca="1" t="shared" si="230"/>
        <v>33</v>
      </c>
      <c r="V1357" s="153">
        <f ca="1">ROUND((OFFSET(卡牌辅助配置表!$O$1,MATCH(U1357,卡牌辅助配置表!M:M,0)-1,0)+(N1357-1)*OFFSET(卡牌辅助配置表!$P$1,MATCH(U1357,卡牌辅助配置表!M:M,0)-1,0))*M1357,2)</f>
        <v>249.86</v>
      </c>
      <c r="W1357" s="157">
        <f ca="1">ROUND(IF(R1357=0,0,IF(R1357=1,X1357*$W$1,IF(R1357=2,X1357*$W$1*buff的资质计算!$E$2,IF(R1357=3,X1357*$W$1*buff的资质计算!$E$3,0)))),2)</f>
        <v>25.5</v>
      </c>
      <c r="X1357" s="157">
        <f ca="1" t="shared" si="226"/>
        <v>85</v>
      </c>
      <c r="Y1357" s="157">
        <f ca="1" t="shared" si="224"/>
        <v>86.0645161290323</v>
      </c>
      <c r="Z1357" s="304">
        <f ca="1" t="shared" si="227"/>
        <v>28.6881720430108</v>
      </c>
      <c r="AA1357" s="304">
        <f ca="1">OFFSET(卡牌辅助配置表!$AD$1,MATCH(AB1357,卡牌辅助配置表!AB:AB,0)-1,0)</f>
        <v>19422</v>
      </c>
      <c r="AB1357" s="304">
        <f ca="1" t="shared" si="231"/>
        <v>3327</v>
      </c>
      <c r="AC1357" s="153">
        <v>3</v>
      </c>
      <c r="AE1357" s="153">
        <v>2</v>
      </c>
      <c r="AF1357" s="153" t="str">
        <f ca="1" t="shared" si="225"/>
        <v>20190011|</v>
      </c>
      <c r="AH1357" s="153">
        <v>2</v>
      </c>
      <c r="AJ1357" s="205" t="str">
        <f ca="1" t="shared" si="232"/>
        <v>400023|25400|;</v>
      </c>
      <c r="AK1357" s="205">
        <f ca="1">OFFSET([1]item_type!$A$1,MATCH(Q1357,[1]item_type!$G:$G,0)-1,0)</f>
        <v>302019</v>
      </c>
      <c r="AL1357" s="205"/>
      <c r="AM1357" s="205">
        <f ca="1">IF(B1357=B1358,OFFSET(卡牌辅助配置表!$AE$1,MATCH(AB1357,卡牌辅助配置表!AB:AB,0),0),0)</f>
        <v>25400</v>
      </c>
      <c r="AN1357" s="153">
        <f ca="1" t="shared" si="233"/>
        <v>2019028</v>
      </c>
      <c r="AP1357" s="153" t="str">
        <f ca="1">IF(AC1357=0,0,IF(AC1357=12,0,OFFSET(effect!$N$1,MATCH(K1357,effect!M:M,0)-1,0)))</f>
        <v>kpsx_zise</v>
      </c>
    </row>
    <row r="1358" spans="1:42">
      <c r="A1358" s="153">
        <f ca="1" t="shared" si="229"/>
        <v>2019028</v>
      </c>
      <c r="B1358" s="91" t="s">
        <v>409</v>
      </c>
      <c r="C1358" s="186">
        <v>2</v>
      </c>
      <c r="D1358" s="186">
        <v>1</v>
      </c>
      <c r="E1358" s="165" t="s">
        <v>1058</v>
      </c>
      <c r="F1358" s="165" t="str">
        <f>"上一招为剑法时，获得"&amp;skill!$O$113/100&amp;"%吸血效果"</f>
        <v>上一招为剑法时，获得55%吸血效果</v>
      </c>
      <c r="G1358" s="186">
        <f ca="1">OFFSET(卡牌辅助配置表!$C$1,MATCH(AC1358,卡牌辅助配置表!A:A,0)-1,0)</f>
        <v>3</v>
      </c>
      <c r="H1358" s="186">
        <f ca="1">OFFSET(skill!$Q$1,MATCH(B1358,skill!B:B,0)-1,0)</f>
        <v>1.06451612903226</v>
      </c>
      <c r="I1358" s="186"/>
      <c r="J1358" s="186">
        <f ca="1">OFFSET(card_type!$F$1,MATCH(Q1358,card_type!A:A,0)-1,0)</f>
        <v>3</v>
      </c>
      <c r="K1358" s="243">
        <f ca="1">OFFSET(card_type!$G$1,MATCH(Q1358,card_type!A:A,0)-1,0)</f>
        <v>3</v>
      </c>
      <c r="L1358" s="157">
        <v>3</v>
      </c>
      <c r="M1358" s="157">
        <v>3</v>
      </c>
      <c r="N1358" s="153">
        <f t="shared" si="228"/>
        <v>28</v>
      </c>
      <c r="O1358" s="157"/>
      <c r="P1358" s="157"/>
      <c r="Q1358" s="153">
        <f ca="1">OFFSET(card_type!$A$1,MATCH(card!B1358,card_type!B:B,0)-1,0)</f>
        <v>2019</v>
      </c>
      <c r="R1358" s="153">
        <v>1</v>
      </c>
      <c r="S1358" s="157">
        <f ca="1">ROUND(IF(R1358=0,0,IF(R1358=1,X1358*$S$1,IF(R1358=2,X1358*$S$1*buff的资质计算!$E$2,IF(R1358=3,X1358*$S$1*buff的资质计算!$E$3,0)))),0)*0</f>
        <v>0</v>
      </c>
      <c r="T1358" s="153">
        <v>5</v>
      </c>
      <c r="U1358" s="153">
        <f ca="1" t="shared" si="230"/>
        <v>33</v>
      </c>
      <c r="V1358" s="153">
        <f ca="1">ROUND((OFFSET(卡牌辅助配置表!$O$1,MATCH(U1358,卡牌辅助配置表!M:M,0)-1,0)+(N1358-1)*OFFSET(卡牌辅助配置表!$P$1,MATCH(U1358,卡牌辅助配置表!M:M,0)-1,0))*M1358,2)</f>
        <v>256.82</v>
      </c>
      <c r="W1358" s="157">
        <f ca="1">ROUND(IF(R1358=0,0,IF(R1358=1,X1358*$W$1,IF(R1358=2,X1358*$W$1*buff的资质计算!$E$2,IF(R1358=3,X1358*$W$1*buff的资质计算!$E$3,0)))),2)</f>
        <v>25.65</v>
      </c>
      <c r="X1358" s="157">
        <f ca="1" t="shared" si="226"/>
        <v>85.5</v>
      </c>
      <c r="Y1358" s="157">
        <f ca="1" t="shared" si="224"/>
        <v>86.5645161290323</v>
      </c>
      <c r="Z1358" s="304">
        <f ca="1" t="shared" si="227"/>
        <v>28.8548387096774</v>
      </c>
      <c r="AA1358" s="304">
        <f ca="1">OFFSET(卡牌辅助配置表!$AD$1,MATCH(AB1358,卡牌辅助配置表!AB:AB,0)-1,0)</f>
        <v>20418</v>
      </c>
      <c r="AB1358" s="304">
        <f ca="1" t="shared" si="231"/>
        <v>3328</v>
      </c>
      <c r="AC1358" s="153">
        <v>3</v>
      </c>
      <c r="AE1358" s="153">
        <v>2</v>
      </c>
      <c r="AF1358" s="153" t="str">
        <f ca="1" t="shared" si="225"/>
        <v>20190011|</v>
      </c>
      <c r="AH1358" s="153">
        <v>2</v>
      </c>
      <c r="AJ1358" s="205" t="str">
        <f ca="1" t="shared" si="232"/>
        <v>400023|27000|;</v>
      </c>
      <c r="AK1358" s="205">
        <f ca="1">OFFSET([1]item_type!$A$1,MATCH(Q1358,[1]item_type!$G:$G,0)-1,0)</f>
        <v>302019</v>
      </c>
      <c r="AL1358" s="205"/>
      <c r="AM1358" s="205">
        <f ca="1">IF(B1358=B1359,OFFSET(卡牌辅助配置表!$AE$1,MATCH(AB1358,卡牌辅助配置表!AB:AB,0),0),0)</f>
        <v>27000</v>
      </c>
      <c r="AN1358" s="153">
        <f ca="1" t="shared" si="233"/>
        <v>2019029</v>
      </c>
      <c r="AP1358" s="153" t="str">
        <f ca="1">IF(AC1358=0,0,IF(AC1358=12,0,OFFSET(effect!$N$1,MATCH(K1358,effect!M:M,0)-1,0)))</f>
        <v>kpsx_zise</v>
      </c>
    </row>
    <row r="1359" spans="1:42">
      <c r="A1359" s="153">
        <f ca="1" t="shared" si="229"/>
        <v>2019029</v>
      </c>
      <c r="B1359" s="91" t="s">
        <v>409</v>
      </c>
      <c r="C1359" s="186">
        <v>2</v>
      </c>
      <c r="D1359" s="186">
        <v>1</v>
      </c>
      <c r="E1359" s="165" t="s">
        <v>1058</v>
      </c>
      <c r="F1359" s="165" t="str">
        <f>"上一招为剑法时，获得"&amp;skill!$O$113/100&amp;"%吸血效果"</f>
        <v>上一招为剑法时，获得55%吸血效果</v>
      </c>
      <c r="G1359" s="186">
        <f ca="1">OFFSET(卡牌辅助配置表!$C$1,MATCH(AC1359,卡牌辅助配置表!A:A,0)-1,0)</f>
        <v>3</v>
      </c>
      <c r="H1359" s="186">
        <f ca="1">OFFSET(skill!$Q$1,MATCH(B1359,skill!B:B,0)-1,0)</f>
        <v>1.06451612903226</v>
      </c>
      <c r="I1359" s="186"/>
      <c r="J1359" s="186">
        <f ca="1">OFFSET(card_type!$F$1,MATCH(Q1359,card_type!A:A,0)-1,0)</f>
        <v>3</v>
      </c>
      <c r="K1359" s="243">
        <f ca="1">OFFSET(card_type!$G$1,MATCH(Q1359,card_type!A:A,0)-1,0)</f>
        <v>3</v>
      </c>
      <c r="L1359" s="157">
        <v>3</v>
      </c>
      <c r="M1359" s="157">
        <v>3</v>
      </c>
      <c r="N1359" s="153">
        <f t="shared" si="228"/>
        <v>29</v>
      </c>
      <c r="O1359" s="157"/>
      <c r="P1359" s="157"/>
      <c r="Q1359" s="153">
        <f ca="1">OFFSET(card_type!$A$1,MATCH(card!B1359,card_type!B:B,0)-1,0)</f>
        <v>2019</v>
      </c>
      <c r="R1359" s="153">
        <v>1</v>
      </c>
      <c r="S1359" s="157">
        <f ca="1">ROUND(IF(R1359=0,0,IF(R1359=1,X1359*$S$1,IF(R1359=2,X1359*$S$1*buff的资质计算!$E$2,IF(R1359=3,X1359*$S$1*buff的资质计算!$E$3,0)))),0)*0</f>
        <v>0</v>
      </c>
      <c r="T1359" s="153">
        <v>5</v>
      </c>
      <c r="U1359" s="153">
        <f ca="1" t="shared" si="230"/>
        <v>33</v>
      </c>
      <c r="V1359" s="153">
        <f ca="1">ROUND((OFFSET(卡牌辅助配置表!$O$1,MATCH(U1359,卡牌辅助配置表!M:M,0)-1,0)+(N1359-1)*OFFSET(卡牌辅助配置表!$P$1,MATCH(U1359,卡牌辅助配置表!M:M,0)-1,0))*M1359,2)</f>
        <v>263.78</v>
      </c>
      <c r="W1359" s="157">
        <f ca="1">ROUND(IF(R1359=0,0,IF(R1359=1,X1359*$W$1,IF(R1359=2,X1359*$W$1*buff的资质计算!$E$2,IF(R1359=3,X1359*$W$1*buff的资质计算!$E$3,0)))),2)</f>
        <v>25.8</v>
      </c>
      <c r="X1359" s="157">
        <f ca="1" t="shared" si="226"/>
        <v>86</v>
      </c>
      <c r="Y1359" s="157">
        <f ca="1" t="shared" si="224"/>
        <v>87.0645161290323</v>
      </c>
      <c r="Z1359" s="304">
        <f ca="1" t="shared" si="227"/>
        <v>29.0215053763441</v>
      </c>
      <c r="AA1359" s="304">
        <f ca="1">OFFSET(卡牌辅助配置表!$AD$1,MATCH(AB1359,卡牌辅助配置表!AB:AB,0)-1,0)</f>
        <v>21414</v>
      </c>
      <c r="AB1359" s="304">
        <f ca="1" t="shared" si="231"/>
        <v>3329</v>
      </c>
      <c r="AC1359" s="153">
        <v>3</v>
      </c>
      <c r="AE1359" s="153">
        <v>2</v>
      </c>
      <c r="AF1359" s="153" t="str">
        <f ca="1" t="shared" si="225"/>
        <v>20190011|</v>
      </c>
      <c r="AH1359" s="153">
        <v>2</v>
      </c>
      <c r="AJ1359" s="205" t="str">
        <f ca="1" t="shared" si="232"/>
        <v>302019|30|;400023|28600|;</v>
      </c>
      <c r="AK1359" s="205">
        <f ca="1">OFFSET([1]item_type!$A$1,MATCH(Q1359,[1]item_type!$G:$G,0)-1,0)</f>
        <v>302019</v>
      </c>
      <c r="AL1359" s="205">
        <v>30</v>
      </c>
      <c r="AM1359" s="205">
        <f ca="1">IF(B1359=B1360,OFFSET(卡牌辅助配置表!$AE$1,MATCH(AB1359,卡牌辅助配置表!AB:AB,0),0),0)</f>
        <v>28600</v>
      </c>
      <c r="AN1359" s="153">
        <f ca="1" t="shared" si="233"/>
        <v>2019030</v>
      </c>
      <c r="AP1359" s="153" t="str">
        <f ca="1">IF(AC1359=0,0,IF(AC1359=12,0,OFFSET(effect!$N$1,MATCH(K1359,effect!M:M,0)-1,0)))</f>
        <v>kpsx_zise</v>
      </c>
    </row>
    <row r="1360" spans="1:42">
      <c r="A1360" s="153">
        <f ca="1" t="shared" si="229"/>
        <v>2019030</v>
      </c>
      <c r="B1360" s="91" t="s">
        <v>409</v>
      </c>
      <c r="C1360" s="186">
        <v>2</v>
      </c>
      <c r="D1360" s="186">
        <v>1</v>
      </c>
      <c r="E1360" s="165" t="s">
        <v>1058</v>
      </c>
      <c r="F1360" s="165" t="str">
        <f>"上一招为剑法时，获得"&amp;skill!$O$113/100&amp;"%吸血效果"</f>
        <v>上一招为剑法时，获得55%吸血效果</v>
      </c>
      <c r="G1360" s="186">
        <f ca="1">OFFSET(卡牌辅助配置表!$C$1,MATCH(AC1360,卡牌辅助配置表!A:A,0)-1,0)</f>
        <v>3</v>
      </c>
      <c r="H1360" s="186">
        <f ca="1">OFFSET(skill!$Q$1,MATCH(B1360,skill!B:B,0)-1,0)</f>
        <v>1.06451612903226</v>
      </c>
      <c r="I1360" s="186"/>
      <c r="J1360" s="186">
        <f ca="1">OFFSET(card_type!$F$1,MATCH(Q1360,card_type!A:A,0)-1,0)</f>
        <v>3</v>
      </c>
      <c r="K1360" s="243">
        <f ca="1">OFFSET(card_type!$G$1,MATCH(Q1360,card_type!A:A,0)-1,0)</f>
        <v>3</v>
      </c>
      <c r="L1360" s="157">
        <v>3</v>
      </c>
      <c r="M1360" s="157">
        <v>3</v>
      </c>
      <c r="N1360" s="153">
        <f t="shared" si="228"/>
        <v>30</v>
      </c>
      <c r="O1360" s="157"/>
      <c r="P1360" s="157"/>
      <c r="Q1360" s="153">
        <f ca="1">OFFSET(card_type!$A$1,MATCH(card!B1360,card_type!B:B,0)-1,0)</f>
        <v>2019</v>
      </c>
      <c r="R1360" s="153">
        <v>1</v>
      </c>
      <c r="S1360" s="157">
        <f ca="1">ROUND(IF(R1360=0,0,IF(R1360=1,X1360*$S$1,IF(R1360=2,X1360*$S$1*buff的资质计算!$E$2,IF(R1360=3,X1360*$S$1*buff的资质计算!$E$3,0)))),0)*0</f>
        <v>0</v>
      </c>
      <c r="T1360" s="153">
        <v>5</v>
      </c>
      <c r="U1360" s="153">
        <f ca="1" t="shared" si="230"/>
        <v>33</v>
      </c>
      <c r="V1360" s="153">
        <f ca="1">ROUND((OFFSET(卡牌辅助配置表!$O$1,MATCH(U1360,卡牌辅助配置表!M:M,0)-1,0)+(N1360-1)*OFFSET(卡牌辅助配置表!$P$1,MATCH(U1360,卡牌辅助配置表!M:M,0)-1,0))*M1360,2)</f>
        <v>270.74</v>
      </c>
      <c r="W1360" s="157">
        <f ca="1">ROUND(IF(R1360=0,0,IF(R1360=1,X1360*$W$1,IF(R1360=2,X1360*$W$1*buff的资质计算!$E$2,IF(R1360=3,X1360*$W$1*buff的资质计算!$E$3,0)))),2)</f>
        <v>25.95</v>
      </c>
      <c r="X1360" s="157">
        <f ca="1" t="shared" si="226"/>
        <v>86.5</v>
      </c>
      <c r="Y1360" s="157">
        <f ca="1" t="shared" si="224"/>
        <v>87.5645161290323</v>
      </c>
      <c r="Z1360" s="304">
        <f ca="1" t="shared" si="227"/>
        <v>29.1881720430108</v>
      </c>
      <c r="AA1360" s="304">
        <f ca="1">OFFSET(卡牌辅助配置表!$AD$1,MATCH(AB1360,卡牌辅助配置表!AB:AB,0)-1,0)</f>
        <v>22410</v>
      </c>
      <c r="AB1360" s="304">
        <f ca="1" t="shared" si="231"/>
        <v>3330</v>
      </c>
      <c r="AC1360" s="153">
        <v>3</v>
      </c>
      <c r="AE1360" s="153">
        <v>2</v>
      </c>
      <c r="AF1360" s="153" t="str">
        <f ca="1" t="shared" si="225"/>
        <v>20190011|</v>
      </c>
      <c r="AH1360" s="153">
        <v>2</v>
      </c>
      <c r="AJ1360" s="205">
        <f ca="1" t="shared" si="232"/>
        <v>0</v>
      </c>
      <c r="AK1360" s="205">
        <f ca="1">OFFSET([1]item_type!$A$1,MATCH(Q1360,[1]item_type!$G:$G,0)-1,0)</f>
        <v>302019</v>
      </c>
      <c r="AL1360" s="205"/>
      <c r="AM1360" s="205">
        <f ca="1">IF(B1360=B1361,OFFSET(卡牌辅助配置表!$AE$1,MATCH(AB1360,卡牌辅助配置表!AB:AB,0),0),0)</f>
        <v>0</v>
      </c>
      <c r="AN1360" s="153">
        <f ca="1" t="shared" si="233"/>
        <v>0</v>
      </c>
      <c r="AP1360" s="153" t="str">
        <f ca="1">IF(AC1360=0,0,IF(AC1360=12,0,OFFSET(effect!$N$1,MATCH(K1360,effect!M:M,0)-1,0)))</f>
        <v>kpsx_zise</v>
      </c>
    </row>
    <row r="1361" spans="1:42">
      <c r="A1361" s="153">
        <f ca="1" t="shared" si="229"/>
        <v>2020001</v>
      </c>
      <c r="B1361" s="91" t="s">
        <v>796</v>
      </c>
      <c r="C1361" s="186">
        <v>2</v>
      </c>
      <c r="D1361" s="186">
        <v>1</v>
      </c>
      <c r="E1361" s="165" t="s">
        <v>1058</v>
      </c>
      <c r="F1361" s="165" t="str">
        <f>"仅出此招时，增加"&amp;skill!$O$114/100&amp;"%伤害"</f>
        <v>仅出此招时，增加150%伤害</v>
      </c>
      <c r="G1361" s="186">
        <f ca="1">OFFSET(卡牌辅助配置表!$C$1,MATCH(AC1361,卡牌辅助配置表!A:A,0)-1,0)</f>
        <v>6</v>
      </c>
      <c r="H1361" s="186">
        <f ca="1">OFFSET(skill!$Q$1,MATCH(B1361,skill!B:B,0)-1,0)</f>
        <v>3</v>
      </c>
      <c r="I1361" s="186"/>
      <c r="J1361" s="186">
        <f ca="1">OFFSET(card_type!$F$1,MATCH(Q1361,card_type!A:A,0)-1,0)</f>
        <v>3</v>
      </c>
      <c r="K1361" s="243">
        <f ca="1">OFFSET(card_type!$G$1,MATCH(Q1361,card_type!A:A,0)-1,0)</f>
        <v>4</v>
      </c>
      <c r="L1361" s="157">
        <v>5</v>
      </c>
      <c r="M1361" s="157">
        <v>5</v>
      </c>
      <c r="N1361" s="153">
        <f t="shared" si="228"/>
        <v>1</v>
      </c>
      <c r="O1361" s="157"/>
      <c r="P1361" s="157"/>
      <c r="Q1361" s="153">
        <f ca="1">OFFSET(card_type!$A$1,MATCH(card!B1361,card_type!B:B,0)-1,0)</f>
        <v>2020</v>
      </c>
      <c r="R1361" s="153">
        <v>1</v>
      </c>
      <c r="S1361" s="157">
        <f ca="1">ROUND(IF(R1361=0,0,IF(R1361=1,X1361*$S$1,IF(R1361=2,X1361*$S$1*buff的资质计算!$E$2,IF(R1361=3,X1361*$S$1*buff的资质计算!$E$3,0)))),0)*0</f>
        <v>0</v>
      </c>
      <c r="T1361" s="153">
        <v>5</v>
      </c>
      <c r="U1361" s="153">
        <f ca="1" t="shared" si="230"/>
        <v>34</v>
      </c>
      <c r="V1361" s="153">
        <f ca="1">ROUND((OFFSET(卡牌辅助配置表!$O$1,MATCH(U1361,卡牌辅助配置表!M:M,0)-1,0)+(N1361-1)*OFFSET(卡牌辅助配置表!$P$1,MATCH(U1361,卡牌辅助配置表!M:M,0)-1,0))*M1361,2)</f>
        <v>172.26</v>
      </c>
      <c r="W1361" s="157">
        <f ca="1">ROUND(IF(R1361=0,0,IF(R1361=1,X1361*$W$1,IF(R1361=2,X1361*$W$1*buff的资质计算!$E$2,IF(R1361=3,X1361*$W$1*buff的资质计算!$E$3,0)))),2)</f>
        <v>42.3</v>
      </c>
      <c r="X1361" s="157">
        <f ca="1" t="shared" si="226"/>
        <v>141</v>
      </c>
      <c r="Y1361" s="157">
        <f ca="1" t="shared" si="224"/>
        <v>144</v>
      </c>
      <c r="Z1361" s="304">
        <f ca="1" t="shared" si="227"/>
        <v>28.8</v>
      </c>
      <c r="AA1361" s="304">
        <f ca="1">OFFSET(卡牌辅助配置表!$AD$1,MATCH(AB1361,卡牌辅助配置表!AB:AB,0)-1,0)</f>
        <v>830</v>
      </c>
      <c r="AB1361" s="304">
        <f ca="1" t="shared" si="231"/>
        <v>3401</v>
      </c>
      <c r="AC1361" s="153">
        <v>9</v>
      </c>
      <c r="AF1361" s="153" t="str">
        <f ca="1" t="shared" si="225"/>
        <v>20200011|</v>
      </c>
      <c r="AJ1361" s="205" t="str">
        <f ca="1" t="shared" si="232"/>
        <v>400023|2100|;</v>
      </c>
      <c r="AK1361" s="205">
        <f ca="1">OFFSET([1]item_type!$A$1,MATCH(Q1361,[1]item_type!$G:$G,0)-1,0)</f>
        <v>302020</v>
      </c>
      <c r="AL1361" s="205"/>
      <c r="AM1361" s="205">
        <f ca="1">IF(B1361=B1362,OFFSET(卡牌辅助配置表!$AE$1,MATCH(AB1361,卡牌辅助配置表!AB:AB,0),0),0)</f>
        <v>2100</v>
      </c>
      <c r="AN1361" s="153">
        <f ca="1" t="shared" si="233"/>
        <v>2020002</v>
      </c>
      <c r="AP1361" s="153" t="str">
        <f ca="1">IF(AC1361=0,0,IF(AC1361=12,0,OFFSET(effect!$N$1,MATCH(K1361,effect!M:M,0)-1,0)))</f>
        <v>kpsx_huangse</v>
      </c>
    </row>
    <row r="1362" spans="1:42">
      <c r="A1362" s="153">
        <f ca="1" t="shared" si="229"/>
        <v>2020002</v>
      </c>
      <c r="B1362" s="91" t="s">
        <v>796</v>
      </c>
      <c r="C1362" s="186">
        <v>2</v>
      </c>
      <c r="D1362" s="186">
        <v>1</v>
      </c>
      <c r="E1362" s="165" t="s">
        <v>1058</v>
      </c>
      <c r="F1362" s="165" t="str">
        <f>"仅出此招时，增加"&amp;skill!$O$114/100&amp;"%伤害"</f>
        <v>仅出此招时，增加150%伤害</v>
      </c>
      <c r="G1362" s="186">
        <f ca="1">OFFSET(卡牌辅助配置表!$C$1,MATCH(AC1362,卡牌辅助配置表!A:A,0)-1,0)</f>
        <v>6</v>
      </c>
      <c r="H1362" s="186">
        <f ca="1">OFFSET(skill!$Q$1,MATCH(B1362,skill!B:B,0)-1,0)</f>
        <v>3</v>
      </c>
      <c r="I1362" s="186"/>
      <c r="J1362" s="186">
        <f ca="1">OFFSET(card_type!$F$1,MATCH(Q1362,card_type!A:A,0)-1,0)</f>
        <v>3</v>
      </c>
      <c r="K1362" s="243">
        <f ca="1">OFFSET(card_type!$G$1,MATCH(Q1362,card_type!A:A,0)-1,0)</f>
        <v>4</v>
      </c>
      <c r="L1362" s="157">
        <v>5</v>
      </c>
      <c r="M1362" s="157">
        <v>5</v>
      </c>
      <c r="N1362" s="153">
        <f t="shared" si="228"/>
        <v>2</v>
      </c>
      <c r="O1362" s="157"/>
      <c r="P1362" s="157"/>
      <c r="Q1362" s="153">
        <f ca="1">OFFSET(card_type!$A$1,MATCH(card!B1362,card_type!B:B,0)-1,0)</f>
        <v>2020</v>
      </c>
      <c r="R1362" s="153">
        <v>1</v>
      </c>
      <c r="S1362" s="157">
        <f ca="1">ROUND(IF(R1362=0,0,IF(R1362=1,X1362*$S$1,IF(R1362=2,X1362*$S$1*buff的资质计算!$E$2,IF(R1362=3,X1362*$S$1*buff的资质计算!$E$3,0)))),0)*0</f>
        <v>0</v>
      </c>
      <c r="T1362" s="153">
        <v>5</v>
      </c>
      <c r="U1362" s="153">
        <f ca="1" t="shared" si="230"/>
        <v>34</v>
      </c>
      <c r="V1362" s="153">
        <f ca="1">ROUND((OFFSET(卡牌辅助配置表!$O$1,MATCH(U1362,卡牌辅助配置表!M:M,0)-1,0)+(N1362-1)*OFFSET(卡牌辅助配置表!$P$1,MATCH(U1362,卡牌辅助配置表!M:M,0)-1,0))*M1362,2)</f>
        <v>189.66</v>
      </c>
      <c r="W1362" s="157">
        <f ca="1">ROUND(IF(R1362=0,0,IF(R1362=1,X1362*$W$1,IF(R1362=2,X1362*$W$1*buff的资质计算!$E$2,IF(R1362=3,X1362*$W$1*buff的资质计算!$E$3,0)))),2)</f>
        <v>42.45</v>
      </c>
      <c r="X1362" s="157">
        <f ca="1" t="shared" si="226"/>
        <v>141.5</v>
      </c>
      <c r="Y1362" s="157">
        <f ca="1" t="shared" si="224"/>
        <v>144.5</v>
      </c>
      <c r="Z1362" s="304">
        <f ca="1" t="shared" si="227"/>
        <v>28.9</v>
      </c>
      <c r="AA1362" s="304">
        <f ca="1">OFFSET(卡牌辅助配置表!$AD$1,MATCH(AB1362,卡牌辅助配置表!AB:AB,0)-1,0)</f>
        <v>1660</v>
      </c>
      <c r="AB1362" s="304">
        <f ca="1" t="shared" si="231"/>
        <v>3402</v>
      </c>
      <c r="AC1362" s="153">
        <v>9</v>
      </c>
      <c r="AF1362" s="153" t="str">
        <f ca="1" t="shared" si="225"/>
        <v>20200011|</v>
      </c>
      <c r="AJ1362" s="205" t="str">
        <f ca="1" t="shared" si="232"/>
        <v>400023|2700|;</v>
      </c>
      <c r="AK1362" s="205">
        <f ca="1">OFFSET([1]item_type!$A$1,MATCH(Q1362,[1]item_type!$G:$G,0)-1,0)</f>
        <v>302020</v>
      </c>
      <c r="AL1362" s="205"/>
      <c r="AM1362" s="205">
        <f ca="1">IF(B1362=B1363,OFFSET(卡牌辅助配置表!$AE$1,MATCH(AB1362,卡牌辅助配置表!AB:AB,0),0),0)</f>
        <v>2700</v>
      </c>
      <c r="AN1362" s="153">
        <f ca="1" t="shared" si="233"/>
        <v>2020003</v>
      </c>
      <c r="AP1362" s="153" t="str">
        <f ca="1">IF(AC1362=0,0,IF(AC1362=12,0,OFFSET(effect!$N$1,MATCH(K1362,effect!M:M,0)-1,0)))</f>
        <v>kpsx_huangse</v>
      </c>
    </row>
    <row r="1363" spans="1:42">
      <c r="A1363" s="153">
        <f ca="1" t="shared" si="229"/>
        <v>2020003</v>
      </c>
      <c r="B1363" s="91" t="s">
        <v>796</v>
      </c>
      <c r="C1363" s="186">
        <v>2</v>
      </c>
      <c r="D1363" s="186">
        <v>1</v>
      </c>
      <c r="E1363" s="165" t="s">
        <v>1058</v>
      </c>
      <c r="F1363" s="165" t="str">
        <f>"仅出此招时，增加"&amp;skill!$O$114/100&amp;"%伤害"</f>
        <v>仅出此招时，增加150%伤害</v>
      </c>
      <c r="G1363" s="186">
        <f ca="1">OFFSET(卡牌辅助配置表!$C$1,MATCH(AC1363,卡牌辅助配置表!A:A,0)-1,0)</f>
        <v>6</v>
      </c>
      <c r="H1363" s="186">
        <f ca="1">OFFSET(skill!$Q$1,MATCH(B1363,skill!B:B,0)-1,0)</f>
        <v>3</v>
      </c>
      <c r="I1363" s="186"/>
      <c r="J1363" s="186">
        <f ca="1">OFFSET(card_type!$F$1,MATCH(Q1363,card_type!A:A,0)-1,0)</f>
        <v>3</v>
      </c>
      <c r="K1363" s="243">
        <f ca="1">OFFSET(card_type!$G$1,MATCH(Q1363,card_type!A:A,0)-1,0)</f>
        <v>4</v>
      </c>
      <c r="L1363" s="157">
        <v>5</v>
      </c>
      <c r="M1363" s="157">
        <v>5</v>
      </c>
      <c r="N1363" s="153">
        <f t="shared" si="228"/>
        <v>3</v>
      </c>
      <c r="O1363" s="157"/>
      <c r="P1363" s="157"/>
      <c r="Q1363" s="153">
        <f ca="1">OFFSET(card_type!$A$1,MATCH(card!B1363,card_type!B:B,0)-1,0)</f>
        <v>2020</v>
      </c>
      <c r="R1363" s="153">
        <v>1</v>
      </c>
      <c r="S1363" s="157">
        <f ca="1">ROUND(IF(R1363=0,0,IF(R1363=1,X1363*$S$1,IF(R1363=2,X1363*$S$1*buff的资质计算!$E$2,IF(R1363=3,X1363*$S$1*buff的资质计算!$E$3,0)))),0)*0</f>
        <v>0</v>
      </c>
      <c r="T1363" s="153">
        <v>5</v>
      </c>
      <c r="U1363" s="153">
        <f ca="1" t="shared" si="230"/>
        <v>34</v>
      </c>
      <c r="V1363" s="153">
        <f ca="1">ROUND((OFFSET(卡牌辅助配置表!$O$1,MATCH(U1363,卡牌辅助配置表!M:M,0)-1,0)+(N1363-1)*OFFSET(卡牌辅助配置表!$P$1,MATCH(U1363,卡牌辅助配置表!M:M,0)-1,0))*M1363,2)</f>
        <v>207.06</v>
      </c>
      <c r="W1363" s="157">
        <f ca="1">ROUND(IF(R1363=0,0,IF(R1363=1,X1363*$W$1,IF(R1363=2,X1363*$W$1*buff的资质计算!$E$2,IF(R1363=3,X1363*$W$1*buff的资质计算!$E$3,0)))),2)</f>
        <v>42.6</v>
      </c>
      <c r="X1363" s="157">
        <f ca="1" t="shared" si="226"/>
        <v>142</v>
      </c>
      <c r="Y1363" s="157">
        <f ca="1" t="shared" si="224"/>
        <v>145</v>
      </c>
      <c r="Z1363" s="304">
        <f ca="1" t="shared" si="227"/>
        <v>29</v>
      </c>
      <c r="AA1363" s="304">
        <f ca="1">OFFSET(卡牌辅助配置表!$AD$1,MATCH(AB1363,卡牌辅助配置表!AB:AB,0)-1,0)</f>
        <v>2490</v>
      </c>
      <c r="AB1363" s="304">
        <f ca="1" t="shared" si="231"/>
        <v>3403</v>
      </c>
      <c r="AC1363" s="153">
        <v>9</v>
      </c>
      <c r="AF1363" s="153" t="str">
        <f ca="1" t="shared" si="225"/>
        <v>20200011|</v>
      </c>
      <c r="AJ1363" s="205" t="str">
        <f ca="1" t="shared" si="232"/>
        <v>400023|3300|;</v>
      </c>
      <c r="AK1363" s="205">
        <f ca="1">OFFSET([1]item_type!$A$1,MATCH(Q1363,[1]item_type!$G:$G,0)-1,0)</f>
        <v>302020</v>
      </c>
      <c r="AL1363" s="205"/>
      <c r="AM1363" s="205">
        <f ca="1">IF(B1363=B1364,OFFSET(卡牌辅助配置表!$AE$1,MATCH(AB1363,卡牌辅助配置表!AB:AB,0),0),0)</f>
        <v>3300</v>
      </c>
      <c r="AN1363" s="153">
        <f ca="1" t="shared" si="233"/>
        <v>2020004</v>
      </c>
      <c r="AP1363" s="153" t="str">
        <f ca="1">IF(AC1363=0,0,IF(AC1363=12,0,OFFSET(effect!$N$1,MATCH(K1363,effect!M:M,0)-1,0)))</f>
        <v>kpsx_huangse</v>
      </c>
    </row>
    <row r="1364" spans="1:42">
      <c r="A1364" s="153">
        <f ca="1" t="shared" si="229"/>
        <v>2020004</v>
      </c>
      <c r="B1364" s="91" t="s">
        <v>796</v>
      </c>
      <c r="C1364" s="186">
        <v>2</v>
      </c>
      <c r="D1364" s="186">
        <v>1</v>
      </c>
      <c r="E1364" s="165" t="s">
        <v>1058</v>
      </c>
      <c r="F1364" s="165" t="str">
        <f>"仅出此招时，增加"&amp;skill!$O$114/100&amp;"%伤害"</f>
        <v>仅出此招时，增加150%伤害</v>
      </c>
      <c r="G1364" s="186">
        <f ca="1">OFFSET(卡牌辅助配置表!$C$1,MATCH(AC1364,卡牌辅助配置表!A:A,0)-1,0)</f>
        <v>6</v>
      </c>
      <c r="H1364" s="186">
        <f ca="1">OFFSET(skill!$Q$1,MATCH(B1364,skill!B:B,0)-1,0)</f>
        <v>3</v>
      </c>
      <c r="I1364" s="186"/>
      <c r="J1364" s="186">
        <f ca="1">OFFSET(card_type!$F$1,MATCH(Q1364,card_type!A:A,0)-1,0)</f>
        <v>3</v>
      </c>
      <c r="K1364" s="243">
        <f ca="1">OFFSET(card_type!$G$1,MATCH(Q1364,card_type!A:A,0)-1,0)</f>
        <v>4</v>
      </c>
      <c r="L1364" s="157">
        <v>5</v>
      </c>
      <c r="M1364" s="157">
        <v>5</v>
      </c>
      <c r="N1364" s="153">
        <f t="shared" si="228"/>
        <v>4</v>
      </c>
      <c r="O1364" s="157"/>
      <c r="P1364" s="157"/>
      <c r="Q1364" s="153">
        <f ca="1">OFFSET(card_type!$A$1,MATCH(card!B1364,card_type!B:B,0)-1,0)</f>
        <v>2020</v>
      </c>
      <c r="R1364" s="153">
        <v>1</v>
      </c>
      <c r="S1364" s="157">
        <f ca="1">ROUND(IF(R1364=0,0,IF(R1364=1,X1364*$S$1,IF(R1364=2,X1364*$S$1*buff的资质计算!$E$2,IF(R1364=3,X1364*$S$1*buff的资质计算!$E$3,0)))),0)*0</f>
        <v>0</v>
      </c>
      <c r="T1364" s="153">
        <v>5</v>
      </c>
      <c r="U1364" s="153">
        <f ca="1" t="shared" si="230"/>
        <v>34</v>
      </c>
      <c r="V1364" s="153">
        <f ca="1">ROUND((OFFSET(卡牌辅助配置表!$O$1,MATCH(U1364,卡牌辅助配置表!M:M,0)-1,0)+(N1364-1)*OFFSET(卡牌辅助配置表!$P$1,MATCH(U1364,卡牌辅助配置表!M:M,0)-1,0))*M1364,2)</f>
        <v>224.46</v>
      </c>
      <c r="W1364" s="157">
        <f ca="1">ROUND(IF(R1364=0,0,IF(R1364=1,X1364*$W$1,IF(R1364=2,X1364*$W$1*buff的资质计算!$E$2,IF(R1364=3,X1364*$W$1*buff的资质计算!$E$3,0)))),2)</f>
        <v>42.75</v>
      </c>
      <c r="X1364" s="157">
        <f ca="1" t="shared" si="226"/>
        <v>142.5</v>
      </c>
      <c r="Y1364" s="157">
        <f ca="1" t="shared" si="224"/>
        <v>145.5</v>
      </c>
      <c r="Z1364" s="304">
        <f ca="1" t="shared" si="227"/>
        <v>29.1</v>
      </c>
      <c r="AA1364" s="304">
        <f ca="1">OFFSET(卡牌辅助配置表!$AD$1,MATCH(AB1364,卡牌辅助配置表!AB:AB,0)-1,0)</f>
        <v>3320</v>
      </c>
      <c r="AB1364" s="304">
        <f ca="1" t="shared" si="231"/>
        <v>3404</v>
      </c>
      <c r="AC1364" s="153">
        <v>9</v>
      </c>
      <c r="AF1364" s="153" t="str">
        <f ca="1" t="shared" si="225"/>
        <v>20200011|</v>
      </c>
      <c r="AJ1364" s="205" t="str">
        <f ca="1" t="shared" si="232"/>
        <v>400023|3900|;</v>
      </c>
      <c r="AK1364" s="205">
        <f ca="1">OFFSET([1]item_type!$A$1,MATCH(Q1364,[1]item_type!$G:$G,0)-1,0)</f>
        <v>302020</v>
      </c>
      <c r="AL1364" s="205"/>
      <c r="AM1364" s="205">
        <f ca="1">IF(B1364=B1365,OFFSET(卡牌辅助配置表!$AE$1,MATCH(AB1364,卡牌辅助配置表!AB:AB,0),0),0)</f>
        <v>3900</v>
      </c>
      <c r="AN1364" s="153">
        <f ca="1" t="shared" si="233"/>
        <v>2020005</v>
      </c>
      <c r="AP1364" s="153" t="str">
        <f ca="1">IF(AC1364=0,0,IF(AC1364=12,0,OFFSET(effect!$N$1,MATCH(K1364,effect!M:M,0)-1,0)))</f>
        <v>kpsx_huangse</v>
      </c>
    </row>
    <row r="1365" spans="1:42">
      <c r="A1365" s="153">
        <f ca="1" t="shared" si="229"/>
        <v>2020005</v>
      </c>
      <c r="B1365" s="91" t="s">
        <v>796</v>
      </c>
      <c r="C1365" s="186">
        <v>2</v>
      </c>
      <c r="D1365" s="186">
        <v>1</v>
      </c>
      <c r="E1365" s="165" t="s">
        <v>1058</v>
      </c>
      <c r="F1365" s="165" t="str">
        <f>"仅出此招时，增加"&amp;skill!$O$114/100&amp;"%伤害"</f>
        <v>仅出此招时，增加150%伤害</v>
      </c>
      <c r="G1365" s="186">
        <f ca="1">OFFSET(卡牌辅助配置表!$C$1,MATCH(AC1365,卡牌辅助配置表!A:A,0)-1,0)</f>
        <v>6</v>
      </c>
      <c r="H1365" s="186">
        <f ca="1">OFFSET(skill!$Q$1,MATCH(B1365,skill!B:B,0)-1,0)</f>
        <v>3</v>
      </c>
      <c r="I1365" s="186"/>
      <c r="J1365" s="186">
        <f ca="1">OFFSET(card_type!$F$1,MATCH(Q1365,card_type!A:A,0)-1,0)</f>
        <v>3</v>
      </c>
      <c r="K1365" s="243">
        <f ca="1">OFFSET(card_type!$G$1,MATCH(Q1365,card_type!A:A,0)-1,0)</f>
        <v>4</v>
      </c>
      <c r="L1365" s="157">
        <v>5</v>
      </c>
      <c r="M1365" s="157">
        <v>5</v>
      </c>
      <c r="N1365" s="153">
        <f t="shared" si="228"/>
        <v>5</v>
      </c>
      <c r="O1365" s="157"/>
      <c r="P1365" s="157"/>
      <c r="Q1365" s="153">
        <f ca="1">OFFSET(card_type!$A$1,MATCH(card!B1365,card_type!B:B,0)-1,0)</f>
        <v>2020</v>
      </c>
      <c r="R1365" s="153">
        <v>1</v>
      </c>
      <c r="S1365" s="157">
        <f ca="1">ROUND(IF(R1365=0,0,IF(R1365=1,X1365*$S$1,IF(R1365=2,X1365*$S$1*buff的资质计算!$E$2,IF(R1365=3,X1365*$S$1*buff的资质计算!$E$3,0)))),0)*0</f>
        <v>0</v>
      </c>
      <c r="T1365" s="153">
        <v>5</v>
      </c>
      <c r="U1365" s="153">
        <f ca="1" t="shared" si="230"/>
        <v>34</v>
      </c>
      <c r="V1365" s="153">
        <f ca="1">ROUND((OFFSET(卡牌辅助配置表!$O$1,MATCH(U1365,卡牌辅助配置表!M:M,0)-1,0)+(N1365-1)*OFFSET(卡牌辅助配置表!$P$1,MATCH(U1365,卡牌辅助配置表!M:M,0)-1,0))*M1365,2)</f>
        <v>241.86</v>
      </c>
      <c r="W1365" s="157">
        <f ca="1">ROUND(IF(R1365=0,0,IF(R1365=1,X1365*$W$1,IF(R1365=2,X1365*$W$1*buff的资质计算!$E$2,IF(R1365=3,X1365*$W$1*buff的资质计算!$E$3,0)))),2)</f>
        <v>42.9</v>
      </c>
      <c r="X1365" s="157">
        <f ca="1" t="shared" si="226"/>
        <v>143</v>
      </c>
      <c r="Y1365" s="157">
        <f ca="1" t="shared" si="224"/>
        <v>146</v>
      </c>
      <c r="Z1365" s="304">
        <f ca="1" t="shared" si="227"/>
        <v>29.2</v>
      </c>
      <c r="AA1365" s="304">
        <f ca="1">OFFSET(卡牌辅助配置表!$AD$1,MATCH(AB1365,卡牌辅助配置表!AB:AB,0)-1,0)</f>
        <v>4150</v>
      </c>
      <c r="AB1365" s="304">
        <f ca="1" t="shared" si="231"/>
        <v>3405</v>
      </c>
      <c r="AC1365" s="153">
        <v>9</v>
      </c>
      <c r="AF1365" s="153" t="str">
        <f ca="1" t="shared" si="225"/>
        <v>20200011|</v>
      </c>
      <c r="AJ1365" s="205" t="str">
        <f ca="1" t="shared" si="232"/>
        <v>400023|4500|;</v>
      </c>
      <c r="AK1365" s="205">
        <f ca="1">OFFSET([1]item_type!$A$1,MATCH(Q1365,[1]item_type!$G:$G,0)-1,0)</f>
        <v>302020</v>
      </c>
      <c r="AL1365" s="205"/>
      <c r="AM1365" s="205">
        <f ca="1">IF(B1365=B1366,OFFSET(卡牌辅助配置表!$AE$1,MATCH(AB1365,卡牌辅助配置表!AB:AB,0),0),0)</f>
        <v>4500</v>
      </c>
      <c r="AN1365" s="153">
        <f ca="1" t="shared" si="233"/>
        <v>2020006</v>
      </c>
      <c r="AP1365" s="153" t="str">
        <f ca="1">IF(AC1365=0,0,IF(AC1365=12,0,OFFSET(effect!$N$1,MATCH(K1365,effect!M:M,0)-1,0)))</f>
        <v>kpsx_huangse</v>
      </c>
    </row>
    <row r="1366" spans="1:42">
      <c r="A1366" s="153">
        <f ca="1" t="shared" si="229"/>
        <v>2020006</v>
      </c>
      <c r="B1366" s="91" t="s">
        <v>796</v>
      </c>
      <c r="C1366" s="186">
        <v>2</v>
      </c>
      <c r="D1366" s="186">
        <v>1</v>
      </c>
      <c r="E1366" s="165" t="s">
        <v>1058</v>
      </c>
      <c r="F1366" s="165" t="str">
        <f>"仅出此招时，增加"&amp;skill!$O$114/100&amp;"%伤害"</f>
        <v>仅出此招时，增加150%伤害</v>
      </c>
      <c r="G1366" s="186">
        <f ca="1">OFFSET(卡牌辅助配置表!$C$1,MATCH(AC1366,卡牌辅助配置表!A:A,0)-1,0)</f>
        <v>6</v>
      </c>
      <c r="H1366" s="186">
        <f ca="1">OFFSET(skill!$Q$1,MATCH(B1366,skill!B:B,0)-1,0)</f>
        <v>3</v>
      </c>
      <c r="I1366" s="186"/>
      <c r="J1366" s="186">
        <f ca="1">OFFSET(card_type!$F$1,MATCH(Q1366,card_type!A:A,0)-1,0)</f>
        <v>3</v>
      </c>
      <c r="K1366" s="243">
        <f ca="1">OFFSET(card_type!$G$1,MATCH(Q1366,card_type!A:A,0)-1,0)</f>
        <v>4</v>
      </c>
      <c r="L1366" s="157">
        <v>5</v>
      </c>
      <c r="M1366" s="157">
        <v>5</v>
      </c>
      <c r="N1366" s="153">
        <f t="shared" si="228"/>
        <v>6</v>
      </c>
      <c r="O1366" s="157"/>
      <c r="P1366" s="157"/>
      <c r="Q1366" s="153">
        <f ca="1">OFFSET(card_type!$A$1,MATCH(card!B1366,card_type!B:B,0)-1,0)</f>
        <v>2020</v>
      </c>
      <c r="R1366" s="153">
        <v>1</v>
      </c>
      <c r="S1366" s="157">
        <f ca="1">ROUND(IF(R1366=0,0,IF(R1366=1,X1366*$S$1,IF(R1366=2,X1366*$S$1*buff的资质计算!$E$2,IF(R1366=3,X1366*$S$1*buff的资质计算!$E$3,0)))),0)*0</f>
        <v>0</v>
      </c>
      <c r="T1366" s="153">
        <v>5</v>
      </c>
      <c r="U1366" s="153">
        <f ca="1" t="shared" si="230"/>
        <v>34</v>
      </c>
      <c r="V1366" s="153">
        <f ca="1">ROUND((OFFSET(卡牌辅助配置表!$O$1,MATCH(U1366,卡牌辅助配置表!M:M,0)-1,0)+(N1366-1)*OFFSET(卡牌辅助配置表!$P$1,MATCH(U1366,卡牌辅助配置表!M:M,0)-1,0))*M1366,2)</f>
        <v>259.26</v>
      </c>
      <c r="W1366" s="157">
        <f ca="1">ROUND(IF(R1366=0,0,IF(R1366=1,X1366*$W$1,IF(R1366=2,X1366*$W$1*buff的资质计算!$E$2,IF(R1366=3,X1366*$W$1*buff的资质计算!$E$3,0)))),2)</f>
        <v>43.05</v>
      </c>
      <c r="X1366" s="157">
        <f ca="1" t="shared" si="226"/>
        <v>143.5</v>
      </c>
      <c r="Y1366" s="157">
        <f ca="1" t="shared" si="224"/>
        <v>146.5</v>
      </c>
      <c r="Z1366" s="304">
        <f ca="1" t="shared" si="227"/>
        <v>29.3</v>
      </c>
      <c r="AA1366" s="304">
        <f ca="1">OFFSET(卡牌辅助配置表!$AD$1,MATCH(AB1366,卡牌辅助配置表!AB:AB,0)-1,0)</f>
        <v>4980</v>
      </c>
      <c r="AB1366" s="304">
        <f ca="1" t="shared" si="231"/>
        <v>3406</v>
      </c>
      <c r="AC1366" s="153">
        <v>9</v>
      </c>
      <c r="AF1366" s="153" t="str">
        <f ca="1" t="shared" si="225"/>
        <v>20200011|</v>
      </c>
      <c r="AJ1366" s="205" t="str">
        <f ca="1" t="shared" si="232"/>
        <v>400023|5100|;</v>
      </c>
      <c r="AK1366" s="205">
        <f ca="1">OFFSET([1]item_type!$A$1,MATCH(Q1366,[1]item_type!$G:$G,0)-1,0)</f>
        <v>302020</v>
      </c>
      <c r="AL1366" s="205"/>
      <c r="AM1366" s="205">
        <f ca="1">IF(B1366=B1367,OFFSET(卡牌辅助配置表!$AE$1,MATCH(AB1366,卡牌辅助配置表!AB:AB,0),0),0)</f>
        <v>5100</v>
      </c>
      <c r="AN1366" s="153">
        <f ca="1" t="shared" si="233"/>
        <v>2020007</v>
      </c>
      <c r="AP1366" s="153" t="str">
        <f ca="1">IF(AC1366=0,0,IF(AC1366=12,0,OFFSET(effect!$N$1,MATCH(K1366,effect!M:M,0)-1,0)))</f>
        <v>kpsx_huangse</v>
      </c>
    </row>
    <row r="1367" spans="1:42">
      <c r="A1367" s="153">
        <f ca="1" t="shared" si="229"/>
        <v>2020007</v>
      </c>
      <c r="B1367" s="91" t="s">
        <v>796</v>
      </c>
      <c r="C1367" s="186">
        <v>2</v>
      </c>
      <c r="D1367" s="186">
        <v>1</v>
      </c>
      <c r="E1367" s="165" t="s">
        <v>1058</v>
      </c>
      <c r="F1367" s="165" t="str">
        <f>"仅出此招时，增加"&amp;skill!$O$114/100&amp;"%伤害"</f>
        <v>仅出此招时，增加150%伤害</v>
      </c>
      <c r="G1367" s="186">
        <f ca="1">OFFSET(卡牌辅助配置表!$C$1,MATCH(AC1367,卡牌辅助配置表!A:A,0)-1,0)</f>
        <v>6</v>
      </c>
      <c r="H1367" s="186">
        <f ca="1">OFFSET(skill!$Q$1,MATCH(B1367,skill!B:B,0)-1,0)</f>
        <v>3</v>
      </c>
      <c r="I1367" s="186"/>
      <c r="J1367" s="186">
        <f ca="1">OFFSET(card_type!$F$1,MATCH(Q1367,card_type!A:A,0)-1,0)</f>
        <v>3</v>
      </c>
      <c r="K1367" s="243">
        <f ca="1">OFFSET(card_type!$G$1,MATCH(Q1367,card_type!A:A,0)-1,0)</f>
        <v>4</v>
      </c>
      <c r="L1367" s="157">
        <v>5</v>
      </c>
      <c r="M1367" s="157">
        <v>5</v>
      </c>
      <c r="N1367" s="153">
        <f t="shared" si="228"/>
        <v>7</v>
      </c>
      <c r="O1367" s="157"/>
      <c r="P1367" s="157"/>
      <c r="Q1367" s="153">
        <f ca="1">OFFSET(card_type!$A$1,MATCH(card!B1367,card_type!B:B,0)-1,0)</f>
        <v>2020</v>
      </c>
      <c r="R1367" s="153">
        <v>1</v>
      </c>
      <c r="S1367" s="157">
        <f ca="1">ROUND(IF(R1367=0,0,IF(R1367=1,X1367*$S$1,IF(R1367=2,X1367*$S$1*buff的资质计算!$E$2,IF(R1367=3,X1367*$S$1*buff的资质计算!$E$3,0)))),0)*0</f>
        <v>0</v>
      </c>
      <c r="T1367" s="153">
        <v>5</v>
      </c>
      <c r="U1367" s="153">
        <f ca="1" t="shared" si="230"/>
        <v>34</v>
      </c>
      <c r="V1367" s="153">
        <f ca="1">ROUND((OFFSET(卡牌辅助配置表!$O$1,MATCH(U1367,卡牌辅助配置表!M:M,0)-1,0)+(N1367-1)*OFFSET(卡牌辅助配置表!$P$1,MATCH(U1367,卡牌辅助配置表!M:M,0)-1,0))*M1367,2)</f>
        <v>276.66</v>
      </c>
      <c r="W1367" s="157">
        <f ca="1">ROUND(IF(R1367=0,0,IF(R1367=1,X1367*$W$1,IF(R1367=2,X1367*$W$1*buff的资质计算!$E$2,IF(R1367=3,X1367*$W$1*buff的资质计算!$E$3,0)))),2)</f>
        <v>43.2</v>
      </c>
      <c r="X1367" s="157">
        <f ca="1" t="shared" si="226"/>
        <v>144</v>
      </c>
      <c r="Y1367" s="157">
        <f ca="1" t="shared" si="224"/>
        <v>147</v>
      </c>
      <c r="Z1367" s="304">
        <f ca="1" t="shared" si="227"/>
        <v>29.4</v>
      </c>
      <c r="AA1367" s="304">
        <f ca="1">OFFSET(卡牌辅助配置表!$AD$1,MATCH(AB1367,卡牌辅助配置表!AB:AB,0)-1,0)</f>
        <v>5810</v>
      </c>
      <c r="AB1367" s="304">
        <f ca="1" t="shared" si="231"/>
        <v>3407</v>
      </c>
      <c r="AC1367" s="153">
        <v>9</v>
      </c>
      <c r="AF1367" s="153" t="str">
        <f ca="1" t="shared" si="225"/>
        <v>20200011|</v>
      </c>
      <c r="AJ1367" s="205" t="str">
        <f ca="1" t="shared" si="232"/>
        <v>400023|5700|;</v>
      </c>
      <c r="AK1367" s="205">
        <f ca="1">OFFSET([1]item_type!$A$1,MATCH(Q1367,[1]item_type!$G:$G,0)-1,0)</f>
        <v>302020</v>
      </c>
      <c r="AL1367" s="205"/>
      <c r="AM1367" s="205">
        <f ca="1">IF(B1367=B1368,OFFSET(卡牌辅助配置表!$AE$1,MATCH(AB1367,卡牌辅助配置表!AB:AB,0),0),0)</f>
        <v>5700</v>
      </c>
      <c r="AN1367" s="153">
        <f ca="1" t="shared" si="233"/>
        <v>2020008</v>
      </c>
      <c r="AP1367" s="153" t="str">
        <f ca="1">IF(AC1367=0,0,IF(AC1367=12,0,OFFSET(effect!$N$1,MATCH(K1367,effect!M:M,0)-1,0)))</f>
        <v>kpsx_huangse</v>
      </c>
    </row>
    <row r="1368" spans="1:42">
      <c r="A1368" s="153">
        <f ca="1" t="shared" si="229"/>
        <v>2020008</v>
      </c>
      <c r="B1368" s="91" t="s">
        <v>796</v>
      </c>
      <c r="C1368" s="186">
        <v>2</v>
      </c>
      <c r="D1368" s="186">
        <v>1</v>
      </c>
      <c r="E1368" s="165" t="s">
        <v>1058</v>
      </c>
      <c r="F1368" s="165" t="str">
        <f>"仅出此招时，增加"&amp;skill!$O$114/100&amp;"%伤害"</f>
        <v>仅出此招时，增加150%伤害</v>
      </c>
      <c r="G1368" s="186">
        <f ca="1">OFFSET(卡牌辅助配置表!$C$1,MATCH(AC1368,卡牌辅助配置表!A:A,0)-1,0)</f>
        <v>6</v>
      </c>
      <c r="H1368" s="186">
        <f ca="1">OFFSET(skill!$Q$1,MATCH(B1368,skill!B:B,0)-1,0)</f>
        <v>3</v>
      </c>
      <c r="I1368" s="186"/>
      <c r="J1368" s="186">
        <f ca="1">OFFSET(card_type!$F$1,MATCH(Q1368,card_type!A:A,0)-1,0)</f>
        <v>3</v>
      </c>
      <c r="K1368" s="243">
        <f ca="1">OFFSET(card_type!$G$1,MATCH(Q1368,card_type!A:A,0)-1,0)</f>
        <v>4</v>
      </c>
      <c r="L1368" s="157">
        <v>5</v>
      </c>
      <c r="M1368" s="157">
        <v>5</v>
      </c>
      <c r="N1368" s="153">
        <f t="shared" si="228"/>
        <v>8</v>
      </c>
      <c r="O1368" s="157"/>
      <c r="P1368" s="157"/>
      <c r="Q1368" s="153">
        <f ca="1">OFFSET(card_type!$A$1,MATCH(card!B1368,card_type!B:B,0)-1,0)</f>
        <v>2020</v>
      </c>
      <c r="R1368" s="153">
        <v>1</v>
      </c>
      <c r="S1368" s="157">
        <f ca="1">ROUND(IF(R1368=0,0,IF(R1368=1,X1368*$S$1,IF(R1368=2,X1368*$S$1*buff的资质计算!$E$2,IF(R1368=3,X1368*$S$1*buff的资质计算!$E$3,0)))),0)*0</f>
        <v>0</v>
      </c>
      <c r="T1368" s="153">
        <v>5</v>
      </c>
      <c r="U1368" s="153">
        <f ca="1" t="shared" si="230"/>
        <v>34</v>
      </c>
      <c r="V1368" s="153">
        <f ca="1">ROUND((OFFSET(卡牌辅助配置表!$O$1,MATCH(U1368,卡牌辅助配置表!M:M,0)-1,0)+(N1368-1)*OFFSET(卡牌辅助配置表!$P$1,MATCH(U1368,卡牌辅助配置表!M:M,0)-1,0))*M1368,2)</f>
        <v>294.06</v>
      </c>
      <c r="W1368" s="157">
        <f ca="1">ROUND(IF(R1368=0,0,IF(R1368=1,X1368*$W$1,IF(R1368=2,X1368*$W$1*buff的资质计算!$E$2,IF(R1368=3,X1368*$W$1*buff的资质计算!$E$3,0)))),2)</f>
        <v>43.35</v>
      </c>
      <c r="X1368" s="157">
        <f ca="1" t="shared" si="226"/>
        <v>144.5</v>
      </c>
      <c r="Y1368" s="157">
        <f ca="1" t="shared" si="224"/>
        <v>147.5</v>
      </c>
      <c r="Z1368" s="304">
        <f ca="1" t="shared" si="227"/>
        <v>29.5</v>
      </c>
      <c r="AA1368" s="304">
        <f ca="1">OFFSET(卡牌辅助配置表!$AD$1,MATCH(AB1368,卡牌辅助配置表!AB:AB,0)-1,0)</f>
        <v>6640</v>
      </c>
      <c r="AB1368" s="304">
        <f ca="1" t="shared" si="231"/>
        <v>3408</v>
      </c>
      <c r="AC1368" s="153">
        <v>9</v>
      </c>
      <c r="AF1368" s="153" t="str">
        <f ca="1" t="shared" si="225"/>
        <v>20200011|</v>
      </c>
      <c r="AJ1368" s="205" t="str">
        <f ca="1" t="shared" si="232"/>
        <v>400023|6300|;</v>
      </c>
      <c r="AK1368" s="205">
        <f ca="1">OFFSET([1]item_type!$A$1,MATCH(Q1368,[1]item_type!$G:$G,0)-1,0)</f>
        <v>302020</v>
      </c>
      <c r="AL1368" s="205"/>
      <c r="AM1368" s="205">
        <f ca="1">IF(B1368=B1369,OFFSET(卡牌辅助配置表!$AE$1,MATCH(AB1368,卡牌辅助配置表!AB:AB,0),0),0)</f>
        <v>6300</v>
      </c>
      <c r="AN1368" s="153">
        <f ca="1" t="shared" si="233"/>
        <v>2020009</v>
      </c>
      <c r="AP1368" s="153" t="str">
        <f ca="1">IF(AC1368=0,0,IF(AC1368=12,0,OFFSET(effect!$N$1,MATCH(K1368,effect!M:M,0)-1,0)))</f>
        <v>kpsx_huangse</v>
      </c>
    </row>
    <row r="1369" spans="1:42">
      <c r="A1369" s="153">
        <f ca="1" t="shared" si="229"/>
        <v>2020009</v>
      </c>
      <c r="B1369" s="91" t="s">
        <v>796</v>
      </c>
      <c r="C1369" s="186">
        <v>2</v>
      </c>
      <c r="D1369" s="186">
        <v>1</v>
      </c>
      <c r="E1369" s="165" t="s">
        <v>1058</v>
      </c>
      <c r="F1369" s="165" t="str">
        <f>"仅出此招时，增加"&amp;skill!$O$114/100&amp;"%伤害"</f>
        <v>仅出此招时，增加150%伤害</v>
      </c>
      <c r="G1369" s="186">
        <f ca="1">OFFSET(卡牌辅助配置表!$C$1,MATCH(AC1369,卡牌辅助配置表!A:A,0)-1,0)</f>
        <v>6</v>
      </c>
      <c r="H1369" s="186">
        <f ca="1">OFFSET(skill!$Q$1,MATCH(B1369,skill!B:B,0)-1,0)</f>
        <v>3</v>
      </c>
      <c r="I1369" s="186"/>
      <c r="J1369" s="186">
        <f ca="1">OFFSET(card_type!$F$1,MATCH(Q1369,card_type!A:A,0)-1,0)</f>
        <v>3</v>
      </c>
      <c r="K1369" s="243">
        <f ca="1">OFFSET(card_type!$G$1,MATCH(Q1369,card_type!A:A,0)-1,0)</f>
        <v>4</v>
      </c>
      <c r="L1369" s="157">
        <v>5</v>
      </c>
      <c r="M1369" s="157">
        <v>5</v>
      </c>
      <c r="N1369" s="153">
        <f t="shared" si="228"/>
        <v>9</v>
      </c>
      <c r="O1369" s="157"/>
      <c r="P1369" s="157"/>
      <c r="Q1369" s="153">
        <f ca="1">OFFSET(card_type!$A$1,MATCH(card!B1369,card_type!B:B,0)-1,0)</f>
        <v>2020</v>
      </c>
      <c r="R1369" s="153">
        <v>1</v>
      </c>
      <c r="S1369" s="157">
        <f ca="1">ROUND(IF(R1369=0,0,IF(R1369=1,X1369*$S$1,IF(R1369=2,X1369*$S$1*buff的资质计算!$E$2,IF(R1369=3,X1369*$S$1*buff的资质计算!$E$3,0)))),0)*0</f>
        <v>0</v>
      </c>
      <c r="T1369" s="153">
        <v>5</v>
      </c>
      <c r="U1369" s="153">
        <f ca="1" t="shared" si="230"/>
        <v>34</v>
      </c>
      <c r="V1369" s="153">
        <f ca="1">ROUND((OFFSET(卡牌辅助配置表!$O$1,MATCH(U1369,卡牌辅助配置表!M:M,0)-1,0)+(N1369-1)*OFFSET(卡牌辅助配置表!$P$1,MATCH(U1369,卡牌辅助配置表!M:M,0)-1,0))*M1369,2)</f>
        <v>311.46</v>
      </c>
      <c r="W1369" s="157">
        <f ca="1">ROUND(IF(R1369=0,0,IF(R1369=1,X1369*$W$1,IF(R1369=2,X1369*$W$1*buff的资质计算!$E$2,IF(R1369=3,X1369*$W$1*buff的资质计算!$E$3,0)))),2)</f>
        <v>43.5</v>
      </c>
      <c r="X1369" s="157">
        <f ca="1" t="shared" si="226"/>
        <v>145</v>
      </c>
      <c r="Y1369" s="157">
        <f ca="1" t="shared" ref="Y1369:Y1432" si="234">X1369+H1369</f>
        <v>148</v>
      </c>
      <c r="Z1369" s="304">
        <f ca="1" t="shared" si="227"/>
        <v>29.6</v>
      </c>
      <c r="AA1369" s="304">
        <f ca="1">OFFSET(卡牌辅助配置表!$AD$1,MATCH(AB1369,卡牌辅助配置表!AB:AB,0)-1,0)</f>
        <v>7470</v>
      </c>
      <c r="AB1369" s="304">
        <f ca="1" t="shared" si="231"/>
        <v>3409</v>
      </c>
      <c r="AC1369" s="153">
        <v>9</v>
      </c>
      <c r="AF1369" s="153" t="str">
        <f ca="1" t="shared" ref="AF1369:AF1432" si="235">((Q1369*1000+1)*10+1)&amp;$AF$1</f>
        <v>20200011|</v>
      </c>
      <c r="AJ1369" s="205" t="str">
        <f ca="1" t="shared" si="232"/>
        <v>302020|15|;400023|6900|;</v>
      </c>
      <c r="AK1369" s="205">
        <f ca="1">OFFSET([1]item_type!$A$1,MATCH(Q1369,[1]item_type!$G:$G,0)-1,0)</f>
        <v>302020</v>
      </c>
      <c r="AL1369" s="205">
        <v>15</v>
      </c>
      <c r="AM1369" s="205">
        <f ca="1">IF(B1369=B1370,OFFSET(卡牌辅助配置表!$AE$1,MATCH(AB1369,卡牌辅助配置表!AB:AB,0),0),0)</f>
        <v>6900</v>
      </c>
      <c r="AN1369" s="153">
        <f ca="1" t="shared" si="233"/>
        <v>2020010</v>
      </c>
      <c r="AP1369" s="153" t="str">
        <f ca="1">IF(AC1369=0,0,IF(AC1369=12,0,OFFSET(effect!$N$1,MATCH(K1369,effect!M:M,0)-1,0)))</f>
        <v>kpsx_huangse</v>
      </c>
    </row>
    <row r="1370" spans="1:42">
      <c r="A1370" s="153">
        <f ca="1" t="shared" si="229"/>
        <v>2020010</v>
      </c>
      <c r="B1370" s="91" t="s">
        <v>796</v>
      </c>
      <c r="C1370" s="186">
        <v>2</v>
      </c>
      <c r="D1370" s="186">
        <v>1</v>
      </c>
      <c r="E1370" s="165" t="s">
        <v>1058</v>
      </c>
      <c r="F1370" s="165" t="str">
        <f>"仅出此招时，增加"&amp;skill!$O$114/100&amp;"%伤害"</f>
        <v>仅出此招时，增加150%伤害</v>
      </c>
      <c r="G1370" s="186">
        <f ca="1">OFFSET(卡牌辅助配置表!$C$1,MATCH(AC1370,卡牌辅助配置表!A:A,0)-1,0)</f>
        <v>6</v>
      </c>
      <c r="H1370" s="186">
        <f ca="1">OFFSET(skill!$Q$1,MATCH(B1370,skill!B:B,0)-1,0)</f>
        <v>3</v>
      </c>
      <c r="I1370" s="186"/>
      <c r="J1370" s="186">
        <f ca="1">OFFSET(card_type!$F$1,MATCH(Q1370,card_type!A:A,0)-1,0)</f>
        <v>3</v>
      </c>
      <c r="K1370" s="243">
        <f ca="1">OFFSET(card_type!$G$1,MATCH(Q1370,card_type!A:A,0)-1,0)</f>
        <v>4</v>
      </c>
      <c r="L1370" s="157">
        <v>5</v>
      </c>
      <c r="M1370" s="157">
        <v>5</v>
      </c>
      <c r="N1370" s="153">
        <f t="shared" si="228"/>
        <v>10</v>
      </c>
      <c r="O1370" s="157"/>
      <c r="P1370" s="157"/>
      <c r="Q1370" s="153">
        <f ca="1">OFFSET(card_type!$A$1,MATCH(card!B1370,card_type!B:B,0)-1,0)</f>
        <v>2020</v>
      </c>
      <c r="R1370" s="153">
        <v>1</v>
      </c>
      <c r="S1370" s="157">
        <f ca="1">ROUND(IF(R1370=0,0,IF(R1370=1,X1370*$S$1,IF(R1370=2,X1370*$S$1*buff的资质计算!$E$2,IF(R1370=3,X1370*$S$1*buff的资质计算!$E$3,0)))),0)*0</f>
        <v>0</v>
      </c>
      <c r="T1370" s="153">
        <v>5</v>
      </c>
      <c r="U1370" s="153">
        <f ca="1" t="shared" si="230"/>
        <v>34</v>
      </c>
      <c r="V1370" s="153">
        <f ca="1">ROUND((OFFSET(卡牌辅助配置表!$O$1,MATCH(U1370,卡牌辅助配置表!M:M,0)-1,0)+(N1370-1)*OFFSET(卡牌辅助配置表!$P$1,MATCH(U1370,卡牌辅助配置表!M:M,0)-1,0))*M1370,2)</f>
        <v>328.86</v>
      </c>
      <c r="W1370" s="157">
        <f ca="1">ROUND(IF(R1370=0,0,IF(R1370=1,X1370*$W$1,IF(R1370=2,X1370*$W$1*buff的资质计算!$E$2,IF(R1370=3,X1370*$W$1*buff的资质计算!$E$3,0)))),2)</f>
        <v>43.65</v>
      </c>
      <c r="X1370" s="157">
        <f ca="1" t="shared" si="226"/>
        <v>145.5</v>
      </c>
      <c r="Y1370" s="157">
        <f ca="1" t="shared" si="234"/>
        <v>148.5</v>
      </c>
      <c r="Z1370" s="304">
        <f ca="1" t="shared" si="227"/>
        <v>29.7</v>
      </c>
      <c r="AA1370" s="304">
        <f ca="1">OFFSET(卡牌辅助配置表!$AD$1,MATCH(AB1370,卡牌辅助配置表!AB:AB,0)-1,0)</f>
        <v>8300</v>
      </c>
      <c r="AB1370" s="304">
        <f ca="1" t="shared" si="231"/>
        <v>3410</v>
      </c>
      <c r="AC1370" s="153">
        <v>9</v>
      </c>
      <c r="AF1370" s="153" t="str">
        <f ca="1" t="shared" si="235"/>
        <v>20200011|</v>
      </c>
      <c r="AJ1370" s="205" t="str">
        <f ca="1" t="shared" si="232"/>
        <v>400023|8100|;</v>
      </c>
      <c r="AK1370" s="205">
        <f ca="1">OFFSET([1]item_type!$A$1,MATCH(Q1370,[1]item_type!$G:$G,0)-1,0)</f>
        <v>302020</v>
      </c>
      <c r="AL1370" s="205"/>
      <c r="AM1370" s="205">
        <f ca="1">IF(B1370=B1371,OFFSET(卡牌辅助配置表!$AE$1,MATCH(AB1370,卡牌辅助配置表!AB:AB,0),0),0)</f>
        <v>8100</v>
      </c>
      <c r="AN1370" s="153">
        <f ca="1" t="shared" si="233"/>
        <v>2020011</v>
      </c>
      <c r="AP1370" s="153" t="str">
        <f ca="1">IF(AC1370=0,0,IF(AC1370=12,0,OFFSET(effect!$N$1,MATCH(K1370,effect!M:M,0)-1,0)))</f>
        <v>kpsx_huangse</v>
      </c>
    </row>
    <row r="1371" spans="1:42">
      <c r="A1371" s="153">
        <f ca="1" t="shared" si="229"/>
        <v>2020011</v>
      </c>
      <c r="B1371" s="91" t="s">
        <v>796</v>
      </c>
      <c r="C1371" s="186">
        <v>2</v>
      </c>
      <c r="D1371" s="186">
        <v>1</v>
      </c>
      <c r="E1371" s="165" t="s">
        <v>1058</v>
      </c>
      <c r="F1371" s="165" t="str">
        <f>"仅出此招时，增加"&amp;skill!$O$114/100&amp;"%伤害"</f>
        <v>仅出此招时，增加150%伤害</v>
      </c>
      <c r="G1371" s="186">
        <f ca="1">OFFSET(卡牌辅助配置表!$C$1,MATCH(AC1371,卡牌辅助配置表!A:A,0)-1,0)</f>
        <v>6</v>
      </c>
      <c r="H1371" s="186">
        <f ca="1">OFFSET(skill!$Q$1,MATCH(B1371,skill!B:B,0)-1,0)</f>
        <v>3</v>
      </c>
      <c r="I1371" s="186"/>
      <c r="J1371" s="186">
        <f ca="1">OFFSET(card_type!$F$1,MATCH(Q1371,card_type!A:A,0)-1,0)</f>
        <v>3</v>
      </c>
      <c r="K1371" s="243">
        <f ca="1">OFFSET(card_type!$G$1,MATCH(Q1371,card_type!A:A,0)-1,0)</f>
        <v>4</v>
      </c>
      <c r="L1371" s="157">
        <v>5</v>
      </c>
      <c r="M1371" s="157">
        <v>5</v>
      </c>
      <c r="N1371" s="153">
        <f t="shared" si="228"/>
        <v>11</v>
      </c>
      <c r="O1371" s="157"/>
      <c r="P1371" s="157"/>
      <c r="Q1371" s="153">
        <f ca="1">OFFSET(card_type!$A$1,MATCH(card!B1371,card_type!B:B,0)-1,0)</f>
        <v>2020</v>
      </c>
      <c r="R1371" s="153">
        <v>1</v>
      </c>
      <c r="S1371" s="157">
        <f ca="1">ROUND(IF(R1371=0,0,IF(R1371=1,X1371*$S$1,IF(R1371=2,X1371*$S$1*buff的资质计算!$E$2,IF(R1371=3,X1371*$S$1*buff的资质计算!$E$3,0)))),0)*0</f>
        <v>0</v>
      </c>
      <c r="T1371" s="153">
        <v>5</v>
      </c>
      <c r="U1371" s="153">
        <f ca="1" t="shared" si="230"/>
        <v>34</v>
      </c>
      <c r="V1371" s="153">
        <f ca="1">ROUND((OFFSET(卡牌辅助配置表!$O$1,MATCH(U1371,卡牌辅助配置表!M:M,0)-1,0)+(N1371-1)*OFFSET(卡牌辅助配置表!$P$1,MATCH(U1371,卡牌辅助配置表!M:M,0)-1,0))*M1371,2)</f>
        <v>346.26</v>
      </c>
      <c r="W1371" s="157">
        <f ca="1">ROUND(IF(R1371=0,0,IF(R1371=1,X1371*$W$1,IF(R1371=2,X1371*$W$1*buff的资质计算!$E$2,IF(R1371=3,X1371*$W$1*buff的资质计算!$E$3,0)))),2)</f>
        <v>43.8</v>
      </c>
      <c r="X1371" s="157">
        <f ca="1" t="shared" si="226"/>
        <v>146</v>
      </c>
      <c r="Y1371" s="157">
        <f ca="1" t="shared" si="234"/>
        <v>149</v>
      </c>
      <c r="Z1371" s="304">
        <f ca="1" t="shared" si="227"/>
        <v>29.8</v>
      </c>
      <c r="AA1371" s="304">
        <f ca="1">OFFSET(卡牌辅助配置表!$AD$1,MATCH(AB1371,卡牌辅助配置表!AB:AB,0)-1,0)</f>
        <v>9545</v>
      </c>
      <c r="AB1371" s="304">
        <f ca="1" t="shared" si="231"/>
        <v>3411</v>
      </c>
      <c r="AC1371" s="153">
        <v>9</v>
      </c>
      <c r="AF1371" s="153" t="str">
        <f ca="1" t="shared" si="235"/>
        <v>20200011|</v>
      </c>
      <c r="AJ1371" s="205" t="str">
        <f ca="1" t="shared" si="232"/>
        <v>400023|9300|;</v>
      </c>
      <c r="AK1371" s="205">
        <f ca="1">OFFSET([1]item_type!$A$1,MATCH(Q1371,[1]item_type!$G:$G,0)-1,0)</f>
        <v>302020</v>
      </c>
      <c r="AL1371" s="205"/>
      <c r="AM1371" s="205">
        <f ca="1">IF(B1371=B1372,OFFSET(卡牌辅助配置表!$AE$1,MATCH(AB1371,卡牌辅助配置表!AB:AB,0),0),0)</f>
        <v>9300</v>
      </c>
      <c r="AN1371" s="153">
        <f ca="1" t="shared" si="233"/>
        <v>2020012</v>
      </c>
      <c r="AP1371" s="153" t="str">
        <f ca="1">IF(AC1371=0,0,IF(AC1371=12,0,OFFSET(effect!$N$1,MATCH(K1371,effect!M:M,0)-1,0)))</f>
        <v>kpsx_huangse</v>
      </c>
    </row>
    <row r="1372" spans="1:42">
      <c r="A1372" s="153">
        <f ca="1" t="shared" si="229"/>
        <v>2020012</v>
      </c>
      <c r="B1372" s="91" t="s">
        <v>796</v>
      </c>
      <c r="C1372" s="186">
        <v>2</v>
      </c>
      <c r="D1372" s="186">
        <v>1</v>
      </c>
      <c r="E1372" s="165" t="s">
        <v>1058</v>
      </c>
      <c r="F1372" s="165" t="str">
        <f>"仅出此招时，增加"&amp;skill!$O$114/100&amp;"%伤害"</f>
        <v>仅出此招时，增加150%伤害</v>
      </c>
      <c r="G1372" s="186">
        <f ca="1">OFFSET(卡牌辅助配置表!$C$1,MATCH(AC1372,卡牌辅助配置表!A:A,0)-1,0)</f>
        <v>6</v>
      </c>
      <c r="H1372" s="186">
        <f ca="1">OFFSET(skill!$Q$1,MATCH(B1372,skill!B:B,0)-1,0)</f>
        <v>3</v>
      </c>
      <c r="I1372" s="186"/>
      <c r="J1372" s="186">
        <f ca="1">OFFSET(card_type!$F$1,MATCH(Q1372,card_type!A:A,0)-1,0)</f>
        <v>3</v>
      </c>
      <c r="K1372" s="243">
        <f ca="1">OFFSET(card_type!$G$1,MATCH(Q1372,card_type!A:A,0)-1,0)</f>
        <v>4</v>
      </c>
      <c r="L1372" s="157">
        <v>5</v>
      </c>
      <c r="M1372" s="157">
        <v>5</v>
      </c>
      <c r="N1372" s="153">
        <f t="shared" si="228"/>
        <v>12</v>
      </c>
      <c r="O1372" s="157"/>
      <c r="P1372" s="157"/>
      <c r="Q1372" s="153">
        <f ca="1">OFFSET(card_type!$A$1,MATCH(card!B1372,card_type!B:B,0)-1,0)</f>
        <v>2020</v>
      </c>
      <c r="R1372" s="153">
        <v>1</v>
      </c>
      <c r="S1372" s="157">
        <f ca="1">ROUND(IF(R1372=0,0,IF(R1372=1,X1372*$S$1,IF(R1372=2,X1372*$S$1*buff的资质计算!$E$2,IF(R1372=3,X1372*$S$1*buff的资质计算!$E$3,0)))),0)*0</f>
        <v>0</v>
      </c>
      <c r="T1372" s="153">
        <v>5</v>
      </c>
      <c r="U1372" s="153">
        <f ca="1" t="shared" si="230"/>
        <v>34</v>
      </c>
      <c r="V1372" s="153">
        <f ca="1">ROUND((OFFSET(卡牌辅助配置表!$O$1,MATCH(U1372,卡牌辅助配置表!M:M,0)-1,0)+(N1372-1)*OFFSET(卡牌辅助配置表!$P$1,MATCH(U1372,卡牌辅助配置表!M:M,0)-1,0))*M1372,2)</f>
        <v>363.66</v>
      </c>
      <c r="W1372" s="157">
        <f ca="1">ROUND(IF(R1372=0,0,IF(R1372=1,X1372*$W$1,IF(R1372=2,X1372*$W$1*buff的资质计算!$E$2,IF(R1372=3,X1372*$W$1*buff的资质计算!$E$3,0)))),2)</f>
        <v>43.95</v>
      </c>
      <c r="X1372" s="157">
        <f ca="1" t="shared" si="226"/>
        <v>146.5</v>
      </c>
      <c r="Y1372" s="157">
        <f ca="1" t="shared" si="234"/>
        <v>149.5</v>
      </c>
      <c r="Z1372" s="304">
        <f ca="1" t="shared" si="227"/>
        <v>29.9</v>
      </c>
      <c r="AA1372" s="304">
        <f ca="1">OFFSET(卡牌辅助配置表!$AD$1,MATCH(AB1372,卡牌辅助配置表!AB:AB,0)-1,0)</f>
        <v>10790</v>
      </c>
      <c r="AB1372" s="304">
        <f ca="1" t="shared" si="231"/>
        <v>3412</v>
      </c>
      <c r="AC1372" s="153">
        <v>9</v>
      </c>
      <c r="AF1372" s="153" t="str">
        <f ca="1" t="shared" si="235"/>
        <v>20200011|</v>
      </c>
      <c r="AJ1372" s="205" t="str">
        <f ca="1" t="shared" si="232"/>
        <v>400023|10500|;</v>
      </c>
      <c r="AK1372" s="205">
        <f ca="1">OFFSET([1]item_type!$A$1,MATCH(Q1372,[1]item_type!$G:$G,0)-1,0)</f>
        <v>302020</v>
      </c>
      <c r="AL1372" s="205"/>
      <c r="AM1372" s="205">
        <f ca="1">IF(B1372=B1373,OFFSET(卡牌辅助配置表!$AE$1,MATCH(AB1372,卡牌辅助配置表!AB:AB,0),0),0)</f>
        <v>10500</v>
      </c>
      <c r="AN1372" s="153">
        <f ca="1" t="shared" si="233"/>
        <v>2020013</v>
      </c>
      <c r="AP1372" s="153" t="str">
        <f ca="1">IF(AC1372=0,0,IF(AC1372=12,0,OFFSET(effect!$N$1,MATCH(K1372,effect!M:M,0)-1,0)))</f>
        <v>kpsx_huangse</v>
      </c>
    </row>
    <row r="1373" spans="1:42">
      <c r="A1373" s="153">
        <f ca="1" t="shared" si="229"/>
        <v>2020013</v>
      </c>
      <c r="B1373" s="91" t="s">
        <v>796</v>
      </c>
      <c r="C1373" s="186">
        <v>2</v>
      </c>
      <c r="D1373" s="186">
        <v>1</v>
      </c>
      <c r="E1373" s="165" t="s">
        <v>1058</v>
      </c>
      <c r="F1373" s="165" t="str">
        <f>"仅出此招时，增加"&amp;skill!$O$114/100&amp;"%伤害"</f>
        <v>仅出此招时，增加150%伤害</v>
      </c>
      <c r="G1373" s="186">
        <f ca="1">OFFSET(卡牌辅助配置表!$C$1,MATCH(AC1373,卡牌辅助配置表!A:A,0)-1,0)</f>
        <v>6</v>
      </c>
      <c r="H1373" s="186">
        <f ca="1">OFFSET(skill!$Q$1,MATCH(B1373,skill!B:B,0)-1,0)</f>
        <v>3</v>
      </c>
      <c r="I1373" s="186"/>
      <c r="J1373" s="186">
        <f ca="1">OFFSET(card_type!$F$1,MATCH(Q1373,card_type!A:A,0)-1,0)</f>
        <v>3</v>
      </c>
      <c r="K1373" s="243">
        <f ca="1">OFFSET(card_type!$G$1,MATCH(Q1373,card_type!A:A,0)-1,0)</f>
        <v>4</v>
      </c>
      <c r="L1373" s="157">
        <v>5</v>
      </c>
      <c r="M1373" s="157">
        <v>5</v>
      </c>
      <c r="N1373" s="153">
        <f t="shared" si="228"/>
        <v>13</v>
      </c>
      <c r="O1373" s="157"/>
      <c r="P1373" s="157"/>
      <c r="Q1373" s="153">
        <f ca="1">OFFSET(card_type!$A$1,MATCH(card!B1373,card_type!B:B,0)-1,0)</f>
        <v>2020</v>
      </c>
      <c r="R1373" s="153">
        <v>1</v>
      </c>
      <c r="S1373" s="157">
        <f ca="1">ROUND(IF(R1373=0,0,IF(R1373=1,X1373*$S$1,IF(R1373=2,X1373*$S$1*buff的资质计算!$E$2,IF(R1373=3,X1373*$S$1*buff的资质计算!$E$3,0)))),0)*0</f>
        <v>0</v>
      </c>
      <c r="T1373" s="153">
        <v>5</v>
      </c>
      <c r="U1373" s="153">
        <f ca="1" t="shared" si="230"/>
        <v>34</v>
      </c>
      <c r="V1373" s="153">
        <f ca="1">ROUND((OFFSET(卡牌辅助配置表!$O$1,MATCH(U1373,卡牌辅助配置表!M:M,0)-1,0)+(N1373-1)*OFFSET(卡牌辅助配置表!$P$1,MATCH(U1373,卡牌辅助配置表!M:M,0)-1,0))*M1373,2)</f>
        <v>381.06</v>
      </c>
      <c r="W1373" s="157">
        <f ca="1">ROUND(IF(R1373=0,0,IF(R1373=1,X1373*$W$1,IF(R1373=2,X1373*$W$1*buff的资质计算!$E$2,IF(R1373=3,X1373*$W$1*buff的资质计算!$E$3,0)))),2)</f>
        <v>44.1</v>
      </c>
      <c r="X1373" s="157">
        <f ca="1" t="shared" si="226"/>
        <v>147</v>
      </c>
      <c r="Y1373" s="157">
        <f ca="1" t="shared" si="234"/>
        <v>150</v>
      </c>
      <c r="Z1373" s="304">
        <f ca="1" t="shared" si="227"/>
        <v>30</v>
      </c>
      <c r="AA1373" s="304">
        <f ca="1">OFFSET(卡牌辅助配置表!$AD$1,MATCH(AB1373,卡牌辅助配置表!AB:AB,0)-1,0)</f>
        <v>12035</v>
      </c>
      <c r="AB1373" s="304">
        <f ca="1" t="shared" si="231"/>
        <v>3413</v>
      </c>
      <c r="AC1373" s="153">
        <v>9</v>
      </c>
      <c r="AF1373" s="153" t="str">
        <f ca="1" t="shared" si="235"/>
        <v>20200011|</v>
      </c>
      <c r="AJ1373" s="205" t="str">
        <f ca="1" t="shared" si="232"/>
        <v>400023|11700|;</v>
      </c>
      <c r="AK1373" s="205">
        <f ca="1">OFFSET([1]item_type!$A$1,MATCH(Q1373,[1]item_type!$G:$G,0)-1,0)</f>
        <v>302020</v>
      </c>
      <c r="AL1373" s="205"/>
      <c r="AM1373" s="205">
        <f ca="1">IF(B1373=B1374,OFFSET(卡牌辅助配置表!$AE$1,MATCH(AB1373,卡牌辅助配置表!AB:AB,0),0),0)</f>
        <v>11700</v>
      </c>
      <c r="AN1373" s="153">
        <f ca="1" t="shared" si="233"/>
        <v>2020014</v>
      </c>
      <c r="AP1373" s="153" t="str">
        <f ca="1">IF(AC1373=0,0,IF(AC1373=12,0,OFFSET(effect!$N$1,MATCH(K1373,effect!M:M,0)-1,0)))</f>
        <v>kpsx_huangse</v>
      </c>
    </row>
    <row r="1374" spans="1:42">
      <c r="A1374" s="153">
        <f ca="1" t="shared" si="229"/>
        <v>2020014</v>
      </c>
      <c r="B1374" s="91" t="s">
        <v>796</v>
      </c>
      <c r="C1374" s="186">
        <v>2</v>
      </c>
      <c r="D1374" s="186">
        <v>1</v>
      </c>
      <c r="E1374" s="165" t="s">
        <v>1058</v>
      </c>
      <c r="F1374" s="165" t="str">
        <f>"仅出此招时，增加"&amp;skill!$O$114/100&amp;"%伤害"</f>
        <v>仅出此招时，增加150%伤害</v>
      </c>
      <c r="G1374" s="186">
        <f ca="1">OFFSET(卡牌辅助配置表!$C$1,MATCH(AC1374,卡牌辅助配置表!A:A,0)-1,0)</f>
        <v>6</v>
      </c>
      <c r="H1374" s="186">
        <f ca="1">OFFSET(skill!$Q$1,MATCH(B1374,skill!B:B,0)-1,0)</f>
        <v>3</v>
      </c>
      <c r="I1374" s="186"/>
      <c r="J1374" s="186">
        <f ca="1">OFFSET(card_type!$F$1,MATCH(Q1374,card_type!A:A,0)-1,0)</f>
        <v>3</v>
      </c>
      <c r="K1374" s="243">
        <f ca="1">OFFSET(card_type!$G$1,MATCH(Q1374,card_type!A:A,0)-1,0)</f>
        <v>4</v>
      </c>
      <c r="L1374" s="157">
        <v>5</v>
      </c>
      <c r="M1374" s="157">
        <v>5</v>
      </c>
      <c r="N1374" s="153">
        <f t="shared" si="228"/>
        <v>14</v>
      </c>
      <c r="O1374" s="157"/>
      <c r="P1374" s="157"/>
      <c r="Q1374" s="153">
        <f ca="1">OFFSET(card_type!$A$1,MATCH(card!B1374,card_type!B:B,0)-1,0)</f>
        <v>2020</v>
      </c>
      <c r="R1374" s="153">
        <v>1</v>
      </c>
      <c r="S1374" s="157">
        <f ca="1">ROUND(IF(R1374=0,0,IF(R1374=1,X1374*$S$1,IF(R1374=2,X1374*$S$1*buff的资质计算!$E$2,IF(R1374=3,X1374*$S$1*buff的资质计算!$E$3,0)))),0)*0</f>
        <v>0</v>
      </c>
      <c r="T1374" s="153">
        <v>5</v>
      </c>
      <c r="U1374" s="153">
        <f ca="1" t="shared" si="230"/>
        <v>34</v>
      </c>
      <c r="V1374" s="153">
        <f ca="1">ROUND((OFFSET(卡牌辅助配置表!$O$1,MATCH(U1374,卡牌辅助配置表!M:M,0)-1,0)+(N1374-1)*OFFSET(卡牌辅助配置表!$P$1,MATCH(U1374,卡牌辅助配置表!M:M,0)-1,0))*M1374,2)</f>
        <v>398.46</v>
      </c>
      <c r="W1374" s="157">
        <f ca="1">ROUND(IF(R1374=0,0,IF(R1374=1,X1374*$W$1,IF(R1374=2,X1374*$W$1*buff的资质计算!$E$2,IF(R1374=3,X1374*$W$1*buff的资质计算!$E$3,0)))),2)</f>
        <v>44.25</v>
      </c>
      <c r="X1374" s="157">
        <f ca="1" t="shared" si="226"/>
        <v>147.5</v>
      </c>
      <c r="Y1374" s="157">
        <f ca="1" t="shared" si="234"/>
        <v>150.5</v>
      </c>
      <c r="Z1374" s="304">
        <f ca="1" t="shared" si="227"/>
        <v>30.1</v>
      </c>
      <c r="AA1374" s="304">
        <f ca="1">OFFSET(卡牌辅助配置表!$AD$1,MATCH(AB1374,卡牌辅助配置表!AB:AB,0)-1,0)</f>
        <v>13280</v>
      </c>
      <c r="AB1374" s="304">
        <f ca="1" t="shared" si="231"/>
        <v>3414</v>
      </c>
      <c r="AC1374" s="153">
        <v>9</v>
      </c>
      <c r="AF1374" s="153" t="str">
        <f ca="1" t="shared" si="235"/>
        <v>20200011|</v>
      </c>
      <c r="AJ1374" s="205" t="str">
        <f ca="1" t="shared" si="232"/>
        <v>400023|12900|;</v>
      </c>
      <c r="AK1374" s="205">
        <f ca="1">OFFSET([1]item_type!$A$1,MATCH(Q1374,[1]item_type!$G:$G,0)-1,0)</f>
        <v>302020</v>
      </c>
      <c r="AL1374" s="205"/>
      <c r="AM1374" s="205">
        <f ca="1">IF(B1374=B1375,OFFSET(卡牌辅助配置表!$AE$1,MATCH(AB1374,卡牌辅助配置表!AB:AB,0),0),0)</f>
        <v>12900</v>
      </c>
      <c r="AN1374" s="153">
        <f ca="1" t="shared" si="233"/>
        <v>2020015</v>
      </c>
      <c r="AP1374" s="153" t="str">
        <f ca="1">IF(AC1374=0,0,IF(AC1374=12,0,OFFSET(effect!$N$1,MATCH(K1374,effect!M:M,0)-1,0)))</f>
        <v>kpsx_huangse</v>
      </c>
    </row>
    <row r="1375" spans="1:42">
      <c r="A1375" s="153">
        <f ca="1" t="shared" si="229"/>
        <v>2020015</v>
      </c>
      <c r="B1375" s="91" t="s">
        <v>796</v>
      </c>
      <c r="C1375" s="186">
        <v>2</v>
      </c>
      <c r="D1375" s="186">
        <v>1</v>
      </c>
      <c r="E1375" s="165" t="s">
        <v>1058</v>
      </c>
      <c r="F1375" s="165" t="str">
        <f>"仅出此招时，增加"&amp;skill!$O$114/100&amp;"%伤害"</f>
        <v>仅出此招时，增加150%伤害</v>
      </c>
      <c r="G1375" s="186">
        <f ca="1">OFFSET(卡牌辅助配置表!$C$1,MATCH(AC1375,卡牌辅助配置表!A:A,0)-1,0)</f>
        <v>6</v>
      </c>
      <c r="H1375" s="186">
        <f ca="1">OFFSET(skill!$Q$1,MATCH(B1375,skill!B:B,0)-1,0)</f>
        <v>3</v>
      </c>
      <c r="I1375" s="186"/>
      <c r="J1375" s="186">
        <f ca="1">OFFSET(card_type!$F$1,MATCH(Q1375,card_type!A:A,0)-1,0)</f>
        <v>3</v>
      </c>
      <c r="K1375" s="243">
        <f ca="1">OFFSET(card_type!$G$1,MATCH(Q1375,card_type!A:A,0)-1,0)</f>
        <v>4</v>
      </c>
      <c r="L1375" s="157">
        <v>5</v>
      </c>
      <c r="M1375" s="157">
        <v>5</v>
      </c>
      <c r="N1375" s="153">
        <f t="shared" si="228"/>
        <v>15</v>
      </c>
      <c r="O1375" s="157"/>
      <c r="P1375" s="157"/>
      <c r="Q1375" s="153">
        <f ca="1">OFFSET(card_type!$A$1,MATCH(card!B1375,card_type!B:B,0)-1,0)</f>
        <v>2020</v>
      </c>
      <c r="R1375" s="153">
        <v>1</v>
      </c>
      <c r="S1375" s="157">
        <f ca="1">ROUND(IF(R1375=0,0,IF(R1375=1,X1375*$S$1,IF(R1375=2,X1375*$S$1*buff的资质计算!$E$2,IF(R1375=3,X1375*$S$1*buff的资质计算!$E$3,0)))),0)*0</f>
        <v>0</v>
      </c>
      <c r="T1375" s="153">
        <v>5</v>
      </c>
      <c r="U1375" s="153">
        <f ca="1" t="shared" si="230"/>
        <v>34</v>
      </c>
      <c r="V1375" s="153">
        <f ca="1">ROUND((OFFSET(卡牌辅助配置表!$O$1,MATCH(U1375,卡牌辅助配置表!M:M,0)-1,0)+(N1375-1)*OFFSET(卡牌辅助配置表!$P$1,MATCH(U1375,卡牌辅助配置表!M:M,0)-1,0))*M1375,2)</f>
        <v>415.86</v>
      </c>
      <c r="W1375" s="157">
        <f ca="1">ROUND(IF(R1375=0,0,IF(R1375=1,X1375*$W$1,IF(R1375=2,X1375*$W$1*buff的资质计算!$E$2,IF(R1375=3,X1375*$W$1*buff的资质计算!$E$3,0)))),2)</f>
        <v>44.4</v>
      </c>
      <c r="X1375" s="157">
        <f ca="1" t="shared" si="226"/>
        <v>148</v>
      </c>
      <c r="Y1375" s="157">
        <f ca="1" t="shared" si="234"/>
        <v>151</v>
      </c>
      <c r="Z1375" s="304">
        <f ca="1" t="shared" si="227"/>
        <v>30.2</v>
      </c>
      <c r="AA1375" s="304">
        <f ca="1">OFFSET(卡牌辅助配置表!$AD$1,MATCH(AB1375,卡牌辅助配置表!AB:AB,0)-1,0)</f>
        <v>14525</v>
      </c>
      <c r="AB1375" s="304">
        <f ca="1" t="shared" si="231"/>
        <v>3415</v>
      </c>
      <c r="AC1375" s="153">
        <v>9</v>
      </c>
      <c r="AF1375" s="153" t="str">
        <f ca="1" t="shared" si="235"/>
        <v>20200011|</v>
      </c>
      <c r="AJ1375" s="205" t="str">
        <f ca="1" t="shared" si="232"/>
        <v>400023|14100|;</v>
      </c>
      <c r="AK1375" s="205">
        <f ca="1">OFFSET([1]item_type!$A$1,MATCH(Q1375,[1]item_type!$G:$G,0)-1,0)</f>
        <v>302020</v>
      </c>
      <c r="AL1375" s="205"/>
      <c r="AM1375" s="205">
        <f ca="1">IF(B1375=B1376,OFFSET(卡牌辅助配置表!$AE$1,MATCH(AB1375,卡牌辅助配置表!AB:AB,0),0),0)</f>
        <v>14100</v>
      </c>
      <c r="AN1375" s="153">
        <f ca="1" t="shared" si="233"/>
        <v>2020016</v>
      </c>
      <c r="AP1375" s="153" t="str">
        <f ca="1">IF(AC1375=0,0,IF(AC1375=12,0,OFFSET(effect!$N$1,MATCH(K1375,effect!M:M,0)-1,0)))</f>
        <v>kpsx_huangse</v>
      </c>
    </row>
    <row r="1376" spans="1:42">
      <c r="A1376" s="153">
        <f ca="1" t="shared" si="229"/>
        <v>2020016</v>
      </c>
      <c r="B1376" s="91" t="s">
        <v>796</v>
      </c>
      <c r="C1376" s="186">
        <v>2</v>
      </c>
      <c r="D1376" s="186">
        <v>1</v>
      </c>
      <c r="E1376" s="165" t="s">
        <v>1058</v>
      </c>
      <c r="F1376" s="165" t="str">
        <f>"仅出此招时，增加"&amp;skill!$O$114/100&amp;"%伤害"</f>
        <v>仅出此招时，增加150%伤害</v>
      </c>
      <c r="G1376" s="186">
        <f ca="1">OFFSET(卡牌辅助配置表!$C$1,MATCH(AC1376,卡牌辅助配置表!A:A,0)-1,0)</f>
        <v>6</v>
      </c>
      <c r="H1376" s="186">
        <f ca="1">OFFSET(skill!$Q$1,MATCH(B1376,skill!B:B,0)-1,0)</f>
        <v>3</v>
      </c>
      <c r="I1376" s="186"/>
      <c r="J1376" s="186">
        <f ca="1">OFFSET(card_type!$F$1,MATCH(Q1376,card_type!A:A,0)-1,0)</f>
        <v>3</v>
      </c>
      <c r="K1376" s="243">
        <f ca="1">OFFSET(card_type!$G$1,MATCH(Q1376,card_type!A:A,0)-1,0)</f>
        <v>4</v>
      </c>
      <c r="L1376" s="157">
        <v>5</v>
      </c>
      <c r="M1376" s="157">
        <v>5</v>
      </c>
      <c r="N1376" s="153">
        <f t="shared" si="228"/>
        <v>16</v>
      </c>
      <c r="O1376" s="157"/>
      <c r="P1376" s="157"/>
      <c r="Q1376" s="153">
        <f ca="1">OFFSET(card_type!$A$1,MATCH(card!B1376,card_type!B:B,0)-1,0)</f>
        <v>2020</v>
      </c>
      <c r="R1376" s="153">
        <v>1</v>
      </c>
      <c r="S1376" s="157">
        <f ca="1">ROUND(IF(R1376=0,0,IF(R1376=1,X1376*$S$1,IF(R1376=2,X1376*$S$1*buff的资质计算!$E$2,IF(R1376=3,X1376*$S$1*buff的资质计算!$E$3,0)))),0)*0</f>
        <v>0</v>
      </c>
      <c r="T1376" s="153">
        <v>5</v>
      </c>
      <c r="U1376" s="153">
        <f ca="1" t="shared" si="230"/>
        <v>34</v>
      </c>
      <c r="V1376" s="153">
        <f ca="1">ROUND((OFFSET(卡牌辅助配置表!$O$1,MATCH(U1376,卡牌辅助配置表!M:M,0)-1,0)+(N1376-1)*OFFSET(卡牌辅助配置表!$P$1,MATCH(U1376,卡牌辅助配置表!M:M,0)-1,0))*M1376,2)</f>
        <v>433.26</v>
      </c>
      <c r="W1376" s="157">
        <f ca="1">ROUND(IF(R1376=0,0,IF(R1376=1,X1376*$W$1,IF(R1376=2,X1376*$W$1*buff的资质计算!$E$2,IF(R1376=3,X1376*$W$1*buff的资质计算!$E$3,0)))),2)</f>
        <v>44.55</v>
      </c>
      <c r="X1376" s="157">
        <f ca="1" t="shared" si="226"/>
        <v>148.5</v>
      </c>
      <c r="Y1376" s="157">
        <f ca="1" t="shared" si="234"/>
        <v>151.5</v>
      </c>
      <c r="Z1376" s="304">
        <f ca="1" t="shared" si="227"/>
        <v>30.3</v>
      </c>
      <c r="AA1376" s="304">
        <f ca="1">OFFSET(卡牌辅助配置表!$AD$1,MATCH(AB1376,卡牌辅助配置表!AB:AB,0)-1,0)</f>
        <v>15770</v>
      </c>
      <c r="AB1376" s="304">
        <f ca="1" t="shared" si="231"/>
        <v>3416</v>
      </c>
      <c r="AC1376" s="153">
        <v>9</v>
      </c>
      <c r="AF1376" s="153" t="str">
        <f ca="1" t="shared" si="235"/>
        <v>20200011|</v>
      </c>
      <c r="AJ1376" s="205" t="str">
        <f ca="1" t="shared" si="232"/>
        <v>400023|15300|;</v>
      </c>
      <c r="AK1376" s="205">
        <f ca="1">OFFSET([1]item_type!$A$1,MATCH(Q1376,[1]item_type!$G:$G,0)-1,0)</f>
        <v>302020</v>
      </c>
      <c r="AL1376" s="205"/>
      <c r="AM1376" s="205">
        <f ca="1">IF(B1376=B1377,OFFSET(卡牌辅助配置表!$AE$1,MATCH(AB1376,卡牌辅助配置表!AB:AB,0),0),0)</f>
        <v>15300</v>
      </c>
      <c r="AN1376" s="153">
        <f ca="1" t="shared" si="233"/>
        <v>2020017</v>
      </c>
      <c r="AP1376" s="153" t="str">
        <f ca="1">IF(AC1376=0,0,IF(AC1376=12,0,OFFSET(effect!$N$1,MATCH(K1376,effect!M:M,0)-1,0)))</f>
        <v>kpsx_huangse</v>
      </c>
    </row>
    <row r="1377" spans="1:42">
      <c r="A1377" s="153">
        <f ca="1" t="shared" si="229"/>
        <v>2020017</v>
      </c>
      <c r="B1377" s="91" t="s">
        <v>796</v>
      </c>
      <c r="C1377" s="186">
        <v>2</v>
      </c>
      <c r="D1377" s="186">
        <v>1</v>
      </c>
      <c r="E1377" s="165" t="s">
        <v>1058</v>
      </c>
      <c r="F1377" s="165" t="str">
        <f>"仅出此招时，增加"&amp;skill!$O$114/100&amp;"%伤害"</f>
        <v>仅出此招时，增加150%伤害</v>
      </c>
      <c r="G1377" s="186">
        <f ca="1">OFFSET(卡牌辅助配置表!$C$1,MATCH(AC1377,卡牌辅助配置表!A:A,0)-1,0)</f>
        <v>6</v>
      </c>
      <c r="H1377" s="186">
        <f ca="1">OFFSET(skill!$Q$1,MATCH(B1377,skill!B:B,0)-1,0)</f>
        <v>3</v>
      </c>
      <c r="I1377" s="186"/>
      <c r="J1377" s="186">
        <f ca="1">OFFSET(card_type!$F$1,MATCH(Q1377,card_type!A:A,0)-1,0)</f>
        <v>3</v>
      </c>
      <c r="K1377" s="243">
        <f ca="1">OFFSET(card_type!$G$1,MATCH(Q1377,card_type!A:A,0)-1,0)</f>
        <v>4</v>
      </c>
      <c r="L1377" s="157">
        <v>5</v>
      </c>
      <c r="M1377" s="157">
        <v>5</v>
      </c>
      <c r="N1377" s="153">
        <f t="shared" si="228"/>
        <v>17</v>
      </c>
      <c r="O1377" s="157"/>
      <c r="P1377" s="157"/>
      <c r="Q1377" s="153">
        <f ca="1">OFFSET(card_type!$A$1,MATCH(card!B1377,card_type!B:B,0)-1,0)</f>
        <v>2020</v>
      </c>
      <c r="R1377" s="153">
        <v>1</v>
      </c>
      <c r="S1377" s="157">
        <f ca="1">ROUND(IF(R1377=0,0,IF(R1377=1,X1377*$S$1,IF(R1377=2,X1377*$S$1*buff的资质计算!$E$2,IF(R1377=3,X1377*$S$1*buff的资质计算!$E$3,0)))),0)*0</f>
        <v>0</v>
      </c>
      <c r="T1377" s="153">
        <v>5</v>
      </c>
      <c r="U1377" s="153">
        <f ca="1" t="shared" si="230"/>
        <v>34</v>
      </c>
      <c r="V1377" s="153">
        <f ca="1">ROUND((OFFSET(卡牌辅助配置表!$O$1,MATCH(U1377,卡牌辅助配置表!M:M,0)-1,0)+(N1377-1)*OFFSET(卡牌辅助配置表!$P$1,MATCH(U1377,卡牌辅助配置表!M:M,0)-1,0))*M1377,2)</f>
        <v>450.66</v>
      </c>
      <c r="W1377" s="157">
        <f ca="1">ROUND(IF(R1377=0,0,IF(R1377=1,X1377*$W$1,IF(R1377=2,X1377*$W$1*buff的资质计算!$E$2,IF(R1377=3,X1377*$W$1*buff的资质计算!$E$3,0)))),2)</f>
        <v>44.7</v>
      </c>
      <c r="X1377" s="157">
        <f ca="1" t="shared" si="226"/>
        <v>149</v>
      </c>
      <c r="Y1377" s="157">
        <f ca="1" t="shared" si="234"/>
        <v>152</v>
      </c>
      <c r="Z1377" s="304">
        <f ca="1" t="shared" si="227"/>
        <v>30.4</v>
      </c>
      <c r="AA1377" s="304">
        <f ca="1">OFFSET(卡牌辅助配置表!$AD$1,MATCH(AB1377,卡牌辅助配置表!AB:AB,0)-1,0)</f>
        <v>17015</v>
      </c>
      <c r="AB1377" s="304">
        <f ca="1" t="shared" si="231"/>
        <v>3417</v>
      </c>
      <c r="AC1377" s="153">
        <v>9</v>
      </c>
      <c r="AF1377" s="153" t="str">
        <f ca="1" t="shared" si="235"/>
        <v>20200011|</v>
      </c>
      <c r="AJ1377" s="205" t="str">
        <f ca="1" t="shared" si="232"/>
        <v>400023|16500|;</v>
      </c>
      <c r="AK1377" s="205">
        <f ca="1">OFFSET([1]item_type!$A$1,MATCH(Q1377,[1]item_type!$G:$G,0)-1,0)</f>
        <v>302020</v>
      </c>
      <c r="AL1377" s="205"/>
      <c r="AM1377" s="205">
        <f ca="1">IF(B1377=B1378,OFFSET(卡牌辅助配置表!$AE$1,MATCH(AB1377,卡牌辅助配置表!AB:AB,0),0),0)</f>
        <v>16500</v>
      </c>
      <c r="AN1377" s="153">
        <f ca="1" t="shared" si="233"/>
        <v>2020018</v>
      </c>
      <c r="AP1377" s="153" t="str">
        <f ca="1">IF(AC1377=0,0,IF(AC1377=12,0,OFFSET(effect!$N$1,MATCH(K1377,effect!M:M,0)-1,0)))</f>
        <v>kpsx_huangse</v>
      </c>
    </row>
    <row r="1378" spans="1:42">
      <c r="A1378" s="153">
        <f ca="1" t="shared" si="229"/>
        <v>2020018</v>
      </c>
      <c r="B1378" s="91" t="s">
        <v>796</v>
      </c>
      <c r="C1378" s="186">
        <v>2</v>
      </c>
      <c r="D1378" s="186">
        <v>1</v>
      </c>
      <c r="E1378" s="165" t="s">
        <v>1058</v>
      </c>
      <c r="F1378" s="165" t="str">
        <f>"仅出此招时，增加"&amp;skill!$O$114/100&amp;"%伤害"</f>
        <v>仅出此招时，增加150%伤害</v>
      </c>
      <c r="G1378" s="186">
        <f ca="1">OFFSET(卡牌辅助配置表!$C$1,MATCH(AC1378,卡牌辅助配置表!A:A,0)-1,0)</f>
        <v>6</v>
      </c>
      <c r="H1378" s="186">
        <f ca="1">OFFSET(skill!$Q$1,MATCH(B1378,skill!B:B,0)-1,0)</f>
        <v>3</v>
      </c>
      <c r="I1378" s="186"/>
      <c r="J1378" s="186">
        <f ca="1">OFFSET(card_type!$F$1,MATCH(Q1378,card_type!A:A,0)-1,0)</f>
        <v>3</v>
      </c>
      <c r="K1378" s="243">
        <f ca="1">OFFSET(card_type!$G$1,MATCH(Q1378,card_type!A:A,0)-1,0)</f>
        <v>4</v>
      </c>
      <c r="L1378" s="157">
        <v>5</v>
      </c>
      <c r="M1378" s="157">
        <v>5</v>
      </c>
      <c r="N1378" s="153">
        <f t="shared" si="228"/>
        <v>18</v>
      </c>
      <c r="O1378" s="157"/>
      <c r="P1378" s="157"/>
      <c r="Q1378" s="153">
        <f ca="1">OFFSET(card_type!$A$1,MATCH(card!B1378,card_type!B:B,0)-1,0)</f>
        <v>2020</v>
      </c>
      <c r="R1378" s="153">
        <v>1</v>
      </c>
      <c r="S1378" s="157">
        <f ca="1">ROUND(IF(R1378=0,0,IF(R1378=1,X1378*$S$1,IF(R1378=2,X1378*$S$1*buff的资质计算!$E$2,IF(R1378=3,X1378*$S$1*buff的资质计算!$E$3,0)))),0)*0</f>
        <v>0</v>
      </c>
      <c r="T1378" s="153">
        <v>5</v>
      </c>
      <c r="U1378" s="153">
        <f ca="1" t="shared" si="230"/>
        <v>34</v>
      </c>
      <c r="V1378" s="153">
        <f ca="1">ROUND((OFFSET(卡牌辅助配置表!$O$1,MATCH(U1378,卡牌辅助配置表!M:M,0)-1,0)+(N1378-1)*OFFSET(卡牌辅助配置表!$P$1,MATCH(U1378,卡牌辅助配置表!M:M,0)-1,0))*M1378,2)</f>
        <v>468.06</v>
      </c>
      <c r="W1378" s="157">
        <f ca="1">ROUND(IF(R1378=0,0,IF(R1378=1,X1378*$W$1,IF(R1378=2,X1378*$W$1*buff的资质计算!$E$2,IF(R1378=3,X1378*$W$1*buff的资质计算!$E$3,0)))),2)</f>
        <v>44.85</v>
      </c>
      <c r="X1378" s="157">
        <f ca="1" t="shared" si="226"/>
        <v>149.5</v>
      </c>
      <c r="Y1378" s="157">
        <f ca="1" t="shared" si="234"/>
        <v>152.5</v>
      </c>
      <c r="Z1378" s="304">
        <f ca="1" t="shared" si="227"/>
        <v>30.5</v>
      </c>
      <c r="AA1378" s="304">
        <f ca="1">OFFSET(卡牌辅助配置表!$AD$1,MATCH(AB1378,卡牌辅助配置表!AB:AB,0)-1,0)</f>
        <v>18260</v>
      </c>
      <c r="AB1378" s="304">
        <f ca="1" t="shared" si="231"/>
        <v>3418</v>
      </c>
      <c r="AC1378" s="153">
        <v>9</v>
      </c>
      <c r="AF1378" s="153" t="str">
        <f ca="1" t="shared" si="235"/>
        <v>20200011|</v>
      </c>
      <c r="AJ1378" s="205" t="str">
        <f ca="1" t="shared" si="232"/>
        <v>400023|17700|;</v>
      </c>
      <c r="AK1378" s="205">
        <f ca="1">OFFSET([1]item_type!$A$1,MATCH(Q1378,[1]item_type!$G:$G,0)-1,0)</f>
        <v>302020</v>
      </c>
      <c r="AL1378" s="205"/>
      <c r="AM1378" s="205">
        <f ca="1">IF(B1378=B1379,OFFSET(卡牌辅助配置表!$AE$1,MATCH(AB1378,卡牌辅助配置表!AB:AB,0),0),0)</f>
        <v>17700</v>
      </c>
      <c r="AN1378" s="153">
        <f ca="1" t="shared" si="233"/>
        <v>2020019</v>
      </c>
      <c r="AP1378" s="153" t="str">
        <f ca="1">IF(AC1378=0,0,IF(AC1378=12,0,OFFSET(effect!$N$1,MATCH(K1378,effect!M:M,0)-1,0)))</f>
        <v>kpsx_huangse</v>
      </c>
    </row>
    <row r="1379" spans="1:42">
      <c r="A1379" s="153">
        <f ca="1" t="shared" si="229"/>
        <v>2020019</v>
      </c>
      <c r="B1379" s="91" t="s">
        <v>796</v>
      </c>
      <c r="C1379" s="186">
        <v>2</v>
      </c>
      <c r="D1379" s="186">
        <v>1</v>
      </c>
      <c r="E1379" s="165" t="s">
        <v>1058</v>
      </c>
      <c r="F1379" s="165" t="str">
        <f>"仅出此招时，增加"&amp;skill!$O$114/100&amp;"%伤害"</f>
        <v>仅出此招时，增加150%伤害</v>
      </c>
      <c r="G1379" s="186">
        <f ca="1">OFFSET(卡牌辅助配置表!$C$1,MATCH(AC1379,卡牌辅助配置表!A:A,0)-1,0)</f>
        <v>6</v>
      </c>
      <c r="H1379" s="186">
        <f ca="1">OFFSET(skill!$Q$1,MATCH(B1379,skill!B:B,0)-1,0)</f>
        <v>3</v>
      </c>
      <c r="I1379" s="186"/>
      <c r="J1379" s="186">
        <f ca="1">OFFSET(card_type!$F$1,MATCH(Q1379,card_type!A:A,0)-1,0)</f>
        <v>3</v>
      </c>
      <c r="K1379" s="243">
        <f ca="1">OFFSET(card_type!$G$1,MATCH(Q1379,card_type!A:A,0)-1,0)</f>
        <v>4</v>
      </c>
      <c r="L1379" s="157">
        <v>5</v>
      </c>
      <c r="M1379" s="157">
        <v>5</v>
      </c>
      <c r="N1379" s="153">
        <f t="shared" si="228"/>
        <v>19</v>
      </c>
      <c r="O1379" s="157"/>
      <c r="P1379" s="157"/>
      <c r="Q1379" s="153">
        <f ca="1">OFFSET(card_type!$A$1,MATCH(card!B1379,card_type!B:B,0)-1,0)</f>
        <v>2020</v>
      </c>
      <c r="R1379" s="153">
        <v>1</v>
      </c>
      <c r="S1379" s="157">
        <f ca="1">ROUND(IF(R1379=0,0,IF(R1379=1,X1379*$S$1,IF(R1379=2,X1379*$S$1*buff的资质计算!$E$2,IF(R1379=3,X1379*$S$1*buff的资质计算!$E$3,0)))),0)*0</f>
        <v>0</v>
      </c>
      <c r="T1379" s="153">
        <v>5</v>
      </c>
      <c r="U1379" s="153">
        <f ca="1" t="shared" si="230"/>
        <v>34</v>
      </c>
      <c r="V1379" s="153">
        <f ca="1">ROUND((OFFSET(卡牌辅助配置表!$O$1,MATCH(U1379,卡牌辅助配置表!M:M,0)-1,0)+(N1379-1)*OFFSET(卡牌辅助配置表!$P$1,MATCH(U1379,卡牌辅助配置表!M:M,0)-1,0))*M1379,2)</f>
        <v>485.46</v>
      </c>
      <c r="W1379" s="157">
        <f ca="1">ROUND(IF(R1379=0,0,IF(R1379=1,X1379*$W$1,IF(R1379=2,X1379*$W$1*buff的资质计算!$E$2,IF(R1379=3,X1379*$W$1*buff的资质计算!$E$3,0)))),2)</f>
        <v>45</v>
      </c>
      <c r="X1379" s="157">
        <f ca="1" t="shared" si="226"/>
        <v>150</v>
      </c>
      <c r="Y1379" s="157">
        <f ca="1" t="shared" si="234"/>
        <v>153</v>
      </c>
      <c r="Z1379" s="304">
        <f ca="1" t="shared" si="227"/>
        <v>30.6</v>
      </c>
      <c r="AA1379" s="304">
        <f ca="1">OFFSET(卡牌辅助配置表!$AD$1,MATCH(AB1379,卡牌辅助配置表!AB:AB,0)-1,0)</f>
        <v>19505</v>
      </c>
      <c r="AB1379" s="304">
        <f ca="1" t="shared" si="231"/>
        <v>3419</v>
      </c>
      <c r="AC1379" s="153">
        <v>9</v>
      </c>
      <c r="AF1379" s="153" t="str">
        <f ca="1" t="shared" si="235"/>
        <v>20200011|</v>
      </c>
      <c r="AJ1379" s="205" t="str">
        <f ca="1" t="shared" si="232"/>
        <v>302020|20|;400023|18900|;</v>
      </c>
      <c r="AK1379" s="205">
        <f ca="1">OFFSET([1]item_type!$A$1,MATCH(Q1379,[1]item_type!$G:$G,0)-1,0)</f>
        <v>302020</v>
      </c>
      <c r="AL1379" s="205">
        <v>20</v>
      </c>
      <c r="AM1379" s="205">
        <f ca="1">IF(B1379=B1380,OFFSET(卡牌辅助配置表!$AE$1,MATCH(AB1379,卡牌辅助配置表!AB:AB,0),0),0)</f>
        <v>18900</v>
      </c>
      <c r="AN1379" s="153">
        <f ca="1" t="shared" si="233"/>
        <v>2020020</v>
      </c>
      <c r="AP1379" s="153" t="str">
        <f ca="1">IF(AC1379=0,0,IF(AC1379=12,0,OFFSET(effect!$N$1,MATCH(K1379,effect!M:M,0)-1,0)))</f>
        <v>kpsx_huangse</v>
      </c>
    </row>
    <row r="1380" spans="1:42">
      <c r="A1380" s="153">
        <f ca="1" t="shared" si="229"/>
        <v>2020020</v>
      </c>
      <c r="B1380" s="91" t="s">
        <v>796</v>
      </c>
      <c r="C1380" s="186">
        <v>2</v>
      </c>
      <c r="D1380" s="186">
        <v>1</v>
      </c>
      <c r="E1380" s="165" t="s">
        <v>1058</v>
      </c>
      <c r="F1380" s="165" t="str">
        <f>"仅出此招时，增加"&amp;skill!$O$114/100&amp;"%伤害"</f>
        <v>仅出此招时，增加150%伤害</v>
      </c>
      <c r="G1380" s="186">
        <f ca="1">OFFSET(卡牌辅助配置表!$C$1,MATCH(AC1380,卡牌辅助配置表!A:A,0)-1,0)</f>
        <v>6</v>
      </c>
      <c r="H1380" s="186">
        <f ca="1">OFFSET(skill!$Q$1,MATCH(B1380,skill!B:B,0)-1,0)</f>
        <v>3</v>
      </c>
      <c r="I1380" s="186"/>
      <c r="J1380" s="186">
        <f ca="1">OFFSET(card_type!$F$1,MATCH(Q1380,card_type!A:A,0)-1,0)</f>
        <v>3</v>
      </c>
      <c r="K1380" s="243">
        <f ca="1">OFFSET(card_type!$G$1,MATCH(Q1380,card_type!A:A,0)-1,0)</f>
        <v>4</v>
      </c>
      <c r="L1380" s="157">
        <v>5</v>
      </c>
      <c r="M1380" s="157">
        <v>5</v>
      </c>
      <c r="N1380" s="153">
        <f t="shared" si="228"/>
        <v>20</v>
      </c>
      <c r="O1380" s="157"/>
      <c r="P1380" s="157"/>
      <c r="Q1380" s="153">
        <f ca="1">OFFSET(card_type!$A$1,MATCH(card!B1380,card_type!B:B,0)-1,0)</f>
        <v>2020</v>
      </c>
      <c r="R1380" s="153">
        <v>1</v>
      </c>
      <c r="S1380" s="157">
        <f ca="1">ROUND(IF(R1380=0,0,IF(R1380=1,X1380*$S$1,IF(R1380=2,X1380*$S$1*buff的资质计算!$E$2,IF(R1380=3,X1380*$S$1*buff的资质计算!$E$3,0)))),0)*0</f>
        <v>0</v>
      </c>
      <c r="T1380" s="153">
        <v>5</v>
      </c>
      <c r="U1380" s="153">
        <f ca="1" t="shared" si="230"/>
        <v>34</v>
      </c>
      <c r="V1380" s="153">
        <f ca="1">ROUND((OFFSET(卡牌辅助配置表!$O$1,MATCH(U1380,卡牌辅助配置表!M:M,0)-1,0)+(N1380-1)*OFFSET(卡牌辅助配置表!$P$1,MATCH(U1380,卡牌辅助配置表!M:M,0)-1,0))*M1380,2)</f>
        <v>502.86</v>
      </c>
      <c r="W1380" s="157">
        <f ca="1">ROUND(IF(R1380=0,0,IF(R1380=1,X1380*$W$1,IF(R1380=2,X1380*$W$1*buff的资质计算!$E$2,IF(R1380=3,X1380*$W$1*buff的资质计算!$E$3,0)))),2)</f>
        <v>45.15</v>
      </c>
      <c r="X1380" s="157">
        <f ca="1" t="shared" si="226"/>
        <v>150.5</v>
      </c>
      <c r="Y1380" s="157">
        <f ca="1" t="shared" si="234"/>
        <v>153.5</v>
      </c>
      <c r="Z1380" s="304">
        <f ca="1" t="shared" si="227"/>
        <v>30.7</v>
      </c>
      <c r="AA1380" s="304">
        <f ca="1">OFFSET(卡牌辅助配置表!$AD$1,MATCH(AB1380,卡牌辅助配置表!AB:AB,0)-1,0)</f>
        <v>20750</v>
      </c>
      <c r="AB1380" s="304">
        <f ca="1" t="shared" si="231"/>
        <v>3420</v>
      </c>
      <c r="AC1380" s="153">
        <v>9</v>
      </c>
      <c r="AF1380" s="153" t="str">
        <f ca="1" t="shared" si="235"/>
        <v>20200011|</v>
      </c>
      <c r="AJ1380" s="205" t="str">
        <f ca="1" t="shared" si="232"/>
        <v>400023|21300|;</v>
      </c>
      <c r="AK1380" s="205">
        <f ca="1">OFFSET([1]item_type!$A$1,MATCH(Q1380,[1]item_type!$G:$G,0)-1,0)</f>
        <v>302020</v>
      </c>
      <c r="AL1380" s="205"/>
      <c r="AM1380" s="205">
        <f ca="1">IF(B1380=B1381,OFFSET(卡牌辅助配置表!$AE$1,MATCH(AB1380,卡牌辅助配置表!AB:AB,0),0),0)</f>
        <v>21300</v>
      </c>
      <c r="AN1380" s="153">
        <f ca="1" t="shared" si="233"/>
        <v>2020021</v>
      </c>
      <c r="AP1380" s="153" t="str">
        <f ca="1">IF(AC1380=0,0,IF(AC1380=12,0,OFFSET(effect!$N$1,MATCH(K1380,effect!M:M,0)-1,0)))</f>
        <v>kpsx_huangse</v>
      </c>
    </row>
    <row r="1381" spans="1:42">
      <c r="A1381" s="153">
        <f ca="1" t="shared" si="229"/>
        <v>2020021</v>
      </c>
      <c r="B1381" s="91" t="s">
        <v>796</v>
      </c>
      <c r="C1381" s="186">
        <v>2</v>
      </c>
      <c r="D1381" s="186">
        <v>1</v>
      </c>
      <c r="E1381" s="165" t="s">
        <v>1058</v>
      </c>
      <c r="F1381" s="165" t="str">
        <f>"仅出此招时，增加"&amp;skill!$O$114/100&amp;"%伤害"</f>
        <v>仅出此招时，增加150%伤害</v>
      </c>
      <c r="G1381" s="186">
        <f ca="1">OFFSET(卡牌辅助配置表!$C$1,MATCH(AC1381,卡牌辅助配置表!A:A,0)-1,0)</f>
        <v>6</v>
      </c>
      <c r="H1381" s="186">
        <f ca="1">OFFSET(skill!$Q$1,MATCH(B1381,skill!B:B,0)-1,0)</f>
        <v>3</v>
      </c>
      <c r="I1381" s="186"/>
      <c r="J1381" s="186">
        <f ca="1">OFFSET(card_type!$F$1,MATCH(Q1381,card_type!A:A,0)-1,0)</f>
        <v>3</v>
      </c>
      <c r="K1381" s="243">
        <f ca="1">OFFSET(card_type!$G$1,MATCH(Q1381,card_type!A:A,0)-1,0)</f>
        <v>4</v>
      </c>
      <c r="L1381" s="157">
        <v>5</v>
      </c>
      <c r="M1381" s="157">
        <v>5</v>
      </c>
      <c r="N1381" s="153">
        <f t="shared" si="228"/>
        <v>21</v>
      </c>
      <c r="O1381" s="157"/>
      <c r="P1381" s="157"/>
      <c r="Q1381" s="153">
        <f ca="1">OFFSET(card_type!$A$1,MATCH(card!B1381,card_type!B:B,0)-1,0)</f>
        <v>2020</v>
      </c>
      <c r="R1381" s="153">
        <v>1</v>
      </c>
      <c r="S1381" s="157">
        <f ca="1">ROUND(IF(R1381=0,0,IF(R1381=1,X1381*$S$1,IF(R1381=2,X1381*$S$1*buff的资质计算!$E$2,IF(R1381=3,X1381*$S$1*buff的资质计算!$E$3,0)))),0)*0</f>
        <v>0</v>
      </c>
      <c r="T1381" s="153">
        <v>5</v>
      </c>
      <c r="U1381" s="153">
        <f ca="1" t="shared" si="230"/>
        <v>34</v>
      </c>
      <c r="V1381" s="153">
        <f ca="1">ROUND((OFFSET(卡牌辅助配置表!$O$1,MATCH(U1381,卡牌辅助配置表!M:M,0)-1,0)+(N1381-1)*OFFSET(卡牌辅助配置表!$P$1,MATCH(U1381,卡牌辅助配置表!M:M,0)-1,0))*M1381,2)</f>
        <v>520.26</v>
      </c>
      <c r="W1381" s="157">
        <f ca="1">ROUND(IF(R1381=0,0,IF(R1381=1,X1381*$W$1,IF(R1381=2,X1381*$W$1*buff的资质计算!$E$2,IF(R1381=3,X1381*$W$1*buff的资质计算!$E$3,0)))),2)</f>
        <v>45.3</v>
      </c>
      <c r="X1381" s="157">
        <f ca="1" t="shared" si="226"/>
        <v>151</v>
      </c>
      <c r="Y1381" s="157">
        <f ca="1" t="shared" si="234"/>
        <v>154</v>
      </c>
      <c r="Z1381" s="304">
        <f ca="1" t="shared" si="227"/>
        <v>30.8</v>
      </c>
      <c r="AA1381" s="304">
        <f ca="1">OFFSET(卡牌辅助配置表!$AD$1,MATCH(AB1381,卡牌辅助配置表!AB:AB,0)-1,0)</f>
        <v>22410</v>
      </c>
      <c r="AB1381" s="304">
        <f ca="1" t="shared" si="231"/>
        <v>3421</v>
      </c>
      <c r="AC1381" s="153">
        <v>9</v>
      </c>
      <c r="AF1381" s="153" t="str">
        <f ca="1" t="shared" si="235"/>
        <v>20200011|</v>
      </c>
      <c r="AJ1381" s="205" t="str">
        <f ca="1" t="shared" si="232"/>
        <v>400023|23700|;</v>
      </c>
      <c r="AK1381" s="205">
        <f ca="1">OFFSET([1]item_type!$A$1,MATCH(Q1381,[1]item_type!$G:$G,0)-1,0)</f>
        <v>302020</v>
      </c>
      <c r="AL1381" s="205"/>
      <c r="AM1381" s="205">
        <f ca="1">IF(B1381=B1382,OFFSET(卡牌辅助配置表!$AE$1,MATCH(AB1381,卡牌辅助配置表!AB:AB,0),0),0)</f>
        <v>23700</v>
      </c>
      <c r="AN1381" s="153">
        <f ca="1" t="shared" si="233"/>
        <v>2020022</v>
      </c>
      <c r="AP1381" s="153" t="str">
        <f ca="1">IF(AC1381=0,0,IF(AC1381=12,0,OFFSET(effect!$N$1,MATCH(K1381,effect!M:M,0)-1,0)))</f>
        <v>kpsx_huangse</v>
      </c>
    </row>
    <row r="1382" spans="1:42">
      <c r="A1382" s="153">
        <f ca="1" t="shared" si="229"/>
        <v>2020022</v>
      </c>
      <c r="B1382" s="91" t="s">
        <v>796</v>
      </c>
      <c r="C1382" s="186">
        <v>2</v>
      </c>
      <c r="D1382" s="186">
        <v>1</v>
      </c>
      <c r="E1382" s="165" t="s">
        <v>1058</v>
      </c>
      <c r="F1382" s="165" t="str">
        <f>"仅出此招时，增加"&amp;skill!$O$114/100&amp;"%伤害"</f>
        <v>仅出此招时，增加150%伤害</v>
      </c>
      <c r="G1382" s="186">
        <f ca="1">OFFSET(卡牌辅助配置表!$C$1,MATCH(AC1382,卡牌辅助配置表!A:A,0)-1,0)</f>
        <v>6</v>
      </c>
      <c r="H1382" s="186">
        <f ca="1">OFFSET(skill!$Q$1,MATCH(B1382,skill!B:B,0)-1,0)</f>
        <v>3</v>
      </c>
      <c r="I1382" s="186"/>
      <c r="J1382" s="186">
        <f ca="1">OFFSET(card_type!$F$1,MATCH(Q1382,card_type!A:A,0)-1,0)</f>
        <v>3</v>
      </c>
      <c r="K1382" s="243">
        <f ca="1">OFFSET(card_type!$G$1,MATCH(Q1382,card_type!A:A,0)-1,0)</f>
        <v>4</v>
      </c>
      <c r="L1382" s="157">
        <v>5</v>
      </c>
      <c r="M1382" s="157">
        <v>5</v>
      </c>
      <c r="N1382" s="153">
        <f t="shared" si="228"/>
        <v>22</v>
      </c>
      <c r="O1382" s="157"/>
      <c r="P1382" s="157"/>
      <c r="Q1382" s="153">
        <f ca="1">OFFSET(card_type!$A$1,MATCH(card!B1382,card_type!B:B,0)-1,0)</f>
        <v>2020</v>
      </c>
      <c r="R1382" s="153">
        <v>1</v>
      </c>
      <c r="S1382" s="157">
        <f ca="1">ROUND(IF(R1382=0,0,IF(R1382=1,X1382*$S$1,IF(R1382=2,X1382*$S$1*buff的资质计算!$E$2,IF(R1382=3,X1382*$S$1*buff的资质计算!$E$3,0)))),0)*0</f>
        <v>0</v>
      </c>
      <c r="T1382" s="153">
        <v>5</v>
      </c>
      <c r="U1382" s="153">
        <f ca="1" t="shared" si="230"/>
        <v>34</v>
      </c>
      <c r="V1382" s="153">
        <f ca="1">ROUND((OFFSET(卡牌辅助配置表!$O$1,MATCH(U1382,卡牌辅助配置表!M:M,0)-1,0)+(N1382-1)*OFFSET(卡牌辅助配置表!$P$1,MATCH(U1382,卡牌辅助配置表!M:M,0)-1,0))*M1382,2)</f>
        <v>537.66</v>
      </c>
      <c r="W1382" s="157">
        <f ca="1">ROUND(IF(R1382=0,0,IF(R1382=1,X1382*$W$1,IF(R1382=2,X1382*$W$1*buff的资质计算!$E$2,IF(R1382=3,X1382*$W$1*buff的资质计算!$E$3,0)))),2)</f>
        <v>45.45</v>
      </c>
      <c r="X1382" s="157">
        <f ca="1" t="shared" si="226"/>
        <v>151.5</v>
      </c>
      <c r="Y1382" s="157">
        <f ca="1" t="shared" si="234"/>
        <v>154.5</v>
      </c>
      <c r="Z1382" s="304">
        <f ca="1" t="shared" si="227"/>
        <v>30.9</v>
      </c>
      <c r="AA1382" s="304">
        <f ca="1">OFFSET(卡牌辅助配置表!$AD$1,MATCH(AB1382,卡牌辅助配置表!AB:AB,0)-1,0)</f>
        <v>24070</v>
      </c>
      <c r="AB1382" s="304">
        <f ca="1" t="shared" si="231"/>
        <v>3422</v>
      </c>
      <c r="AC1382" s="153">
        <v>9</v>
      </c>
      <c r="AF1382" s="153" t="str">
        <f ca="1" t="shared" si="235"/>
        <v>20200011|</v>
      </c>
      <c r="AJ1382" s="205" t="str">
        <f ca="1" t="shared" si="232"/>
        <v>400023|26100|;</v>
      </c>
      <c r="AK1382" s="205">
        <f ca="1">OFFSET([1]item_type!$A$1,MATCH(Q1382,[1]item_type!$G:$G,0)-1,0)</f>
        <v>302020</v>
      </c>
      <c r="AL1382" s="205"/>
      <c r="AM1382" s="205">
        <f ca="1">IF(B1382=B1383,OFFSET(卡牌辅助配置表!$AE$1,MATCH(AB1382,卡牌辅助配置表!AB:AB,0),0),0)</f>
        <v>26100</v>
      </c>
      <c r="AN1382" s="153">
        <f ca="1" t="shared" si="233"/>
        <v>2020023</v>
      </c>
      <c r="AP1382" s="153" t="str">
        <f ca="1">IF(AC1382=0,0,IF(AC1382=12,0,OFFSET(effect!$N$1,MATCH(K1382,effect!M:M,0)-1,0)))</f>
        <v>kpsx_huangse</v>
      </c>
    </row>
    <row r="1383" spans="1:42">
      <c r="A1383" s="153">
        <f ca="1" t="shared" si="229"/>
        <v>2020023</v>
      </c>
      <c r="B1383" s="91" t="s">
        <v>796</v>
      </c>
      <c r="C1383" s="186">
        <v>2</v>
      </c>
      <c r="D1383" s="186">
        <v>1</v>
      </c>
      <c r="E1383" s="165" t="s">
        <v>1058</v>
      </c>
      <c r="F1383" s="165" t="str">
        <f>"仅出此招时，增加"&amp;skill!$O$114/100&amp;"%伤害"</f>
        <v>仅出此招时，增加150%伤害</v>
      </c>
      <c r="G1383" s="186">
        <f ca="1">OFFSET(卡牌辅助配置表!$C$1,MATCH(AC1383,卡牌辅助配置表!A:A,0)-1,0)</f>
        <v>6</v>
      </c>
      <c r="H1383" s="186">
        <f ca="1">OFFSET(skill!$Q$1,MATCH(B1383,skill!B:B,0)-1,0)</f>
        <v>3</v>
      </c>
      <c r="I1383" s="186"/>
      <c r="J1383" s="186">
        <f ca="1">OFFSET(card_type!$F$1,MATCH(Q1383,card_type!A:A,0)-1,0)</f>
        <v>3</v>
      </c>
      <c r="K1383" s="243">
        <f ca="1">OFFSET(card_type!$G$1,MATCH(Q1383,card_type!A:A,0)-1,0)</f>
        <v>4</v>
      </c>
      <c r="L1383" s="157">
        <v>5</v>
      </c>
      <c r="M1383" s="157">
        <v>5</v>
      </c>
      <c r="N1383" s="153">
        <f t="shared" si="228"/>
        <v>23</v>
      </c>
      <c r="O1383" s="157"/>
      <c r="P1383" s="157"/>
      <c r="Q1383" s="153">
        <f ca="1">OFFSET(card_type!$A$1,MATCH(card!B1383,card_type!B:B,0)-1,0)</f>
        <v>2020</v>
      </c>
      <c r="R1383" s="153">
        <v>1</v>
      </c>
      <c r="S1383" s="157">
        <f ca="1">ROUND(IF(R1383=0,0,IF(R1383=1,X1383*$S$1,IF(R1383=2,X1383*$S$1*buff的资质计算!$E$2,IF(R1383=3,X1383*$S$1*buff的资质计算!$E$3,0)))),0)*0</f>
        <v>0</v>
      </c>
      <c r="T1383" s="153">
        <v>5</v>
      </c>
      <c r="U1383" s="153">
        <f ca="1" t="shared" si="230"/>
        <v>34</v>
      </c>
      <c r="V1383" s="153">
        <f ca="1">ROUND((OFFSET(卡牌辅助配置表!$O$1,MATCH(U1383,卡牌辅助配置表!M:M,0)-1,0)+(N1383-1)*OFFSET(卡牌辅助配置表!$P$1,MATCH(U1383,卡牌辅助配置表!M:M,0)-1,0))*M1383,2)</f>
        <v>555.06</v>
      </c>
      <c r="W1383" s="157">
        <f ca="1">ROUND(IF(R1383=0,0,IF(R1383=1,X1383*$W$1,IF(R1383=2,X1383*$W$1*buff的资质计算!$E$2,IF(R1383=3,X1383*$W$1*buff的资质计算!$E$3,0)))),2)</f>
        <v>45.6</v>
      </c>
      <c r="X1383" s="157">
        <f ca="1" t="shared" si="226"/>
        <v>152</v>
      </c>
      <c r="Y1383" s="157">
        <f ca="1" t="shared" si="234"/>
        <v>155</v>
      </c>
      <c r="Z1383" s="304">
        <f ca="1" t="shared" si="227"/>
        <v>31</v>
      </c>
      <c r="AA1383" s="304">
        <f ca="1">OFFSET(卡牌辅助配置表!$AD$1,MATCH(AB1383,卡牌辅助配置表!AB:AB,0)-1,0)</f>
        <v>25730</v>
      </c>
      <c r="AB1383" s="304">
        <f ca="1" t="shared" si="231"/>
        <v>3423</v>
      </c>
      <c r="AC1383" s="153">
        <v>9</v>
      </c>
      <c r="AF1383" s="153" t="str">
        <f ca="1" t="shared" si="235"/>
        <v>20200011|</v>
      </c>
      <c r="AJ1383" s="205" t="str">
        <f ca="1" t="shared" si="232"/>
        <v>400023|28500|;</v>
      </c>
      <c r="AK1383" s="205">
        <f ca="1">OFFSET([1]item_type!$A$1,MATCH(Q1383,[1]item_type!$G:$G,0)-1,0)</f>
        <v>302020</v>
      </c>
      <c r="AL1383" s="205"/>
      <c r="AM1383" s="205">
        <f ca="1">IF(B1383=B1384,OFFSET(卡牌辅助配置表!$AE$1,MATCH(AB1383,卡牌辅助配置表!AB:AB,0),0),0)</f>
        <v>28500</v>
      </c>
      <c r="AN1383" s="153">
        <f ca="1" t="shared" si="233"/>
        <v>2020024</v>
      </c>
      <c r="AP1383" s="153" t="str">
        <f ca="1">IF(AC1383=0,0,IF(AC1383=12,0,OFFSET(effect!$N$1,MATCH(K1383,effect!M:M,0)-1,0)))</f>
        <v>kpsx_huangse</v>
      </c>
    </row>
    <row r="1384" spans="1:42">
      <c r="A1384" s="153">
        <f ca="1" t="shared" si="229"/>
        <v>2020024</v>
      </c>
      <c r="B1384" s="91" t="s">
        <v>796</v>
      </c>
      <c r="C1384" s="186">
        <v>2</v>
      </c>
      <c r="D1384" s="186">
        <v>1</v>
      </c>
      <c r="E1384" s="165" t="s">
        <v>1058</v>
      </c>
      <c r="F1384" s="165" t="str">
        <f>"仅出此招时，增加"&amp;skill!$O$114/100&amp;"%伤害"</f>
        <v>仅出此招时，增加150%伤害</v>
      </c>
      <c r="G1384" s="186">
        <f ca="1">OFFSET(卡牌辅助配置表!$C$1,MATCH(AC1384,卡牌辅助配置表!A:A,0)-1,0)</f>
        <v>6</v>
      </c>
      <c r="H1384" s="186">
        <f ca="1">OFFSET(skill!$Q$1,MATCH(B1384,skill!B:B,0)-1,0)</f>
        <v>3</v>
      </c>
      <c r="I1384" s="186"/>
      <c r="J1384" s="186">
        <f ca="1">OFFSET(card_type!$F$1,MATCH(Q1384,card_type!A:A,0)-1,0)</f>
        <v>3</v>
      </c>
      <c r="K1384" s="243">
        <f ca="1">OFFSET(card_type!$G$1,MATCH(Q1384,card_type!A:A,0)-1,0)</f>
        <v>4</v>
      </c>
      <c r="L1384" s="157">
        <v>5</v>
      </c>
      <c r="M1384" s="157">
        <v>5</v>
      </c>
      <c r="N1384" s="153">
        <f t="shared" si="228"/>
        <v>24</v>
      </c>
      <c r="O1384" s="157"/>
      <c r="P1384" s="157"/>
      <c r="Q1384" s="153">
        <f ca="1">OFFSET(card_type!$A$1,MATCH(card!B1384,card_type!B:B,0)-1,0)</f>
        <v>2020</v>
      </c>
      <c r="R1384" s="153">
        <v>1</v>
      </c>
      <c r="S1384" s="157">
        <f ca="1">ROUND(IF(R1384=0,0,IF(R1384=1,X1384*$S$1,IF(R1384=2,X1384*$S$1*buff的资质计算!$E$2,IF(R1384=3,X1384*$S$1*buff的资质计算!$E$3,0)))),0)*0</f>
        <v>0</v>
      </c>
      <c r="T1384" s="153">
        <v>5</v>
      </c>
      <c r="U1384" s="153">
        <f ca="1" t="shared" si="230"/>
        <v>34</v>
      </c>
      <c r="V1384" s="153">
        <f ca="1">ROUND((OFFSET(卡牌辅助配置表!$O$1,MATCH(U1384,卡牌辅助配置表!M:M,0)-1,0)+(N1384-1)*OFFSET(卡牌辅助配置表!$P$1,MATCH(U1384,卡牌辅助配置表!M:M,0)-1,0))*M1384,2)</f>
        <v>572.46</v>
      </c>
      <c r="W1384" s="157">
        <f ca="1">ROUND(IF(R1384=0,0,IF(R1384=1,X1384*$W$1,IF(R1384=2,X1384*$W$1*buff的资质计算!$E$2,IF(R1384=3,X1384*$W$1*buff的资质计算!$E$3,0)))),2)</f>
        <v>45.75</v>
      </c>
      <c r="X1384" s="157">
        <f ca="1" t="shared" si="226"/>
        <v>152.5</v>
      </c>
      <c r="Y1384" s="157">
        <f ca="1" t="shared" si="234"/>
        <v>155.5</v>
      </c>
      <c r="Z1384" s="304">
        <f ca="1" t="shared" si="227"/>
        <v>31.1</v>
      </c>
      <c r="AA1384" s="304">
        <f ca="1">OFFSET(卡牌辅助配置表!$AD$1,MATCH(AB1384,卡牌辅助配置表!AB:AB,0)-1,0)</f>
        <v>27390</v>
      </c>
      <c r="AB1384" s="304">
        <f ca="1" t="shared" si="231"/>
        <v>3424</v>
      </c>
      <c r="AC1384" s="153">
        <v>9</v>
      </c>
      <c r="AF1384" s="153" t="str">
        <f ca="1" t="shared" si="235"/>
        <v>20200011|</v>
      </c>
      <c r="AJ1384" s="205" t="str">
        <f ca="1" t="shared" si="232"/>
        <v>400023|30900|;</v>
      </c>
      <c r="AK1384" s="205">
        <f ca="1">OFFSET([1]item_type!$A$1,MATCH(Q1384,[1]item_type!$G:$G,0)-1,0)</f>
        <v>302020</v>
      </c>
      <c r="AL1384" s="205"/>
      <c r="AM1384" s="205">
        <f ca="1">IF(B1384=B1385,OFFSET(卡牌辅助配置表!$AE$1,MATCH(AB1384,卡牌辅助配置表!AB:AB,0),0),0)</f>
        <v>30900</v>
      </c>
      <c r="AN1384" s="153">
        <f ca="1" t="shared" si="233"/>
        <v>2020025</v>
      </c>
      <c r="AP1384" s="153" t="str">
        <f ca="1">IF(AC1384=0,0,IF(AC1384=12,0,OFFSET(effect!$N$1,MATCH(K1384,effect!M:M,0)-1,0)))</f>
        <v>kpsx_huangse</v>
      </c>
    </row>
    <row r="1385" spans="1:42">
      <c r="A1385" s="153">
        <f ca="1" t="shared" si="229"/>
        <v>2020025</v>
      </c>
      <c r="B1385" s="91" t="s">
        <v>796</v>
      </c>
      <c r="C1385" s="186">
        <v>2</v>
      </c>
      <c r="D1385" s="186">
        <v>1</v>
      </c>
      <c r="E1385" s="165" t="s">
        <v>1058</v>
      </c>
      <c r="F1385" s="165" t="str">
        <f>"仅出此招时，增加"&amp;skill!$O$114/100&amp;"%伤害"</f>
        <v>仅出此招时，增加150%伤害</v>
      </c>
      <c r="G1385" s="186">
        <f ca="1">OFFSET(卡牌辅助配置表!$C$1,MATCH(AC1385,卡牌辅助配置表!A:A,0)-1,0)</f>
        <v>6</v>
      </c>
      <c r="H1385" s="186">
        <f ca="1">OFFSET(skill!$Q$1,MATCH(B1385,skill!B:B,0)-1,0)</f>
        <v>3</v>
      </c>
      <c r="I1385" s="186"/>
      <c r="J1385" s="186">
        <f ca="1">OFFSET(card_type!$F$1,MATCH(Q1385,card_type!A:A,0)-1,0)</f>
        <v>3</v>
      </c>
      <c r="K1385" s="243">
        <f ca="1">OFFSET(card_type!$G$1,MATCH(Q1385,card_type!A:A,0)-1,0)</f>
        <v>4</v>
      </c>
      <c r="L1385" s="157">
        <v>5</v>
      </c>
      <c r="M1385" s="157">
        <v>5</v>
      </c>
      <c r="N1385" s="153">
        <f t="shared" si="228"/>
        <v>25</v>
      </c>
      <c r="O1385" s="157"/>
      <c r="P1385" s="157"/>
      <c r="Q1385" s="153">
        <f ca="1">OFFSET(card_type!$A$1,MATCH(card!B1385,card_type!B:B,0)-1,0)</f>
        <v>2020</v>
      </c>
      <c r="R1385" s="153">
        <v>1</v>
      </c>
      <c r="S1385" s="157">
        <f ca="1">ROUND(IF(R1385=0,0,IF(R1385=1,X1385*$S$1,IF(R1385=2,X1385*$S$1*buff的资质计算!$E$2,IF(R1385=3,X1385*$S$1*buff的资质计算!$E$3,0)))),0)*0</f>
        <v>0</v>
      </c>
      <c r="T1385" s="153">
        <v>5</v>
      </c>
      <c r="U1385" s="153">
        <f ca="1" t="shared" si="230"/>
        <v>34</v>
      </c>
      <c r="V1385" s="153">
        <f ca="1">ROUND((OFFSET(卡牌辅助配置表!$O$1,MATCH(U1385,卡牌辅助配置表!M:M,0)-1,0)+(N1385-1)*OFFSET(卡牌辅助配置表!$P$1,MATCH(U1385,卡牌辅助配置表!M:M,0)-1,0))*M1385,2)</f>
        <v>589.86</v>
      </c>
      <c r="W1385" s="157">
        <f ca="1">ROUND(IF(R1385=0,0,IF(R1385=1,X1385*$W$1,IF(R1385=2,X1385*$W$1*buff的资质计算!$E$2,IF(R1385=3,X1385*$W$1*buff的资质计算!$E$3,0)))),2)</f>
        <v>45.9</v>
      </c>
      <c r="X1385" s="157">
        <f ca="1" t="shared" si="226"/>
        <v>153</v>
      </c>
      <c r="Y1385" s="157">
        <f ca="1" t="shared" si="234"/>
        <v>156</v>
      </c>
      <c r="Z1385" s="304">
        <f ca="1" t="shared" si="227"/>
        <v>31.2</v>
      </c>
      <c r="AA1385" s="304">
        <f ca="1">OFFSET(卡牌辅助配置表!$AD$1,MATCH(AB1385,卡牌辅助配置表!AB:AB,0)-1,0)</f>
        <v>29050</v>
      </c>
      <c r="AB1385" s="304">
        <f ca="1" t="shared" si="231"/>
        <v>3425</v>
      </c>
      <c r="AC1385" s="153">
        <v>9</v>
      </c>
      <c r="AF1385" s="153" t="str">
        <f ca="1" t="shared" si="235"/>
        <v>20200011|</v>
      </c>
      <c r="AJ1385" s="205" t="str">
        <f ca="1" t="shared" si="232"/>
        <v>400023|33300|;</v>
      </c>
      <c r="AK1385" s="205">
        <f ca="1">OFFSET([1]item_type!$A$1,MATCH(Q1385,[1]item_type!$G:$G,0)-1,0)</f>
        <v>302020</v>
      </c>
      <c r="AL1385" s="205"/>
      <c r="AM1385" s="205">
        <f ca="1">IF(B1385=B1386,OFFSET(卡牌辅助配置表!$AE$1,MATCH(AB1385,卡牌辅助配置表!AB:AB,0),0),0)</f>
        <v>33300</v>
      </c>
      <c r="AN1385" s="153">
        <f ca="1" t="shared" si="233"/>
        <v>2020026</v>
      </c>
      <c r="AP1385" s="153" t="str">
        <f ca="1">IF(AC1385=0,0,IF(AC1385=12,0,OFFSET(effect!$N$1,MATCH(K1385,effect!M:M,0)-1,0)))</f>
        <v>kpsx_huangse</v>
      </c>
    </row>
    <row r="1386" spans="1:42">
      <c r="A1386" s="153">
        <f ca="1" t="shared" si="229"/>
        <v>2020026</v>
      </c>
      <c r="B1386" s="91" t="s">
        <v>796</v>
      </c>
      <c r="C1386" s="186">
        <v>2</v>
      </c>
      <c r="D1386" s="186">
        <v>1</v>
      </c>
      <c r="E1386" s="165" t="s">
        <v>1058</v>
      </c>
      <c r="F1386" s="165" t="str">
        <f>"仅出此招时，增加"&amp;skill!$O$114/100&amp;"%伤害"</f>
        <v>仅出此招时，增加150%伤害</v>
      </c>
      <c r="G1386" s="186">
        <f ca="1">OFFSET(卡牌辅助配置表!$C$1,MATCH(AC1386,卡牌辅助配置表!A:A,0)-1,0)</f>
        <v>6</v>
      </c>
      <c r="H1386" s="186">
        <f ca="1">OFFSET(skill!$Q$1,MATCH(B1386,skill!B:B,0)-1,0)</f>
        <v>3</v>
      </c>
      <c r="I1386" s="186"/>
      <c r="J1386" s="186">
        <f ca="1">OFFSET(card_type!$F$1,MATCH(Q1386,card_type!A:A,0)-1,0)</f>
        <v>3</v>
      </c>
      <c r="K1386" s="243">
        <f ca="1">OFFSET(card_type!$G$1,MATCH(Q1386,card_type!A:A,0)-1,0)</f>
        <v>4</v>
      </c>
      <c r="L1386" s="157">
        <v>5</v>
      </c>
      <c r="M1386" s="157">
        <v>5</v>
      </c>
      <c r="N1386" s="153">
        <f t="shared" si="228"/>
        <v>26</v>
      </c>
      <c r="O1386" s="157"/>
      <c r="P1386" s="157"/>
      <c r="Q1386" s="153">
        <f ca="1">OFFSET(card_type!$A$1,MATCH(card!B1386,card_type!B:B,0)-1,0)</f>
        <v>2020</v>
      </c>
      <c r="R1386" s="153">
        <v>1</v>
      </c>
      <c r="S1386" s="157">
        <f ca="1">ROUND(IF(R1386=0,0,IF(R1386=1,X1386*$S$1,IF(R1386=2,X1386*$S$1*buff的资质计算!$E$2,IF(R1386=3,X1386*$S$1*buff的资质计算!$E$3,0)))),0)*0</f>
        <v>0</v>
      </c>
      <c r="T1386" s="153">
        <v>5</v>
      </c>
      <c r="U1386" s="153">
        <f ca="1" t="shared" si="230"/>
        <v>34</v>
      </c>
      <c r="V1386" s="153">
        <f ca="1">ROUND((OFFSET(卡牌辅助配置表!$O$1,MATCH(U1386,卡牌辅助配置表!M:M,0)-1,0)+(N1386-1)*OFFSET(卡牌辅助配置表!$P$1,MATCH(U1386,卡牌辅助配置表!M:M,0)-1,0))*M1386,2)</f>
        <v>607.26</v>
      </c>
      <c r="W1386" s="157">
        <f ca="1">ROUND(IF(R1386=0,0,IF(R1386=1,X1386*$W$1,IF(R1386=2,X1386*$W$1*buff的资质计算!$E$2,IF(R1386=3,X1386*$W$1*buff的资质计算!$E$3,0)))),2)</f>
        <v>46.05</v>
      </c>
      <c r="X1386" s="157">
        <f ca="1" t="shared" si="226"/>
        <v>153.5</v>
      </c>
      <c r="Y1386" s="157">
        <f ca="1" t="shared" si="234"/>
        <v>156.5</v>
      </c>
      <c r="Z1386" s="304">
        <f ca="1" t="shared" si="227"/>
        <v>31.3</v>
      </c>
      <c r="AA1386" s="304">
        <f ca="1">OFFSET(卡牌辅助配置表!$AD$1,MATCH(AB1386,卡牌辅助配置表!AB:AB,0)-1,0)</f>
        <v>30710</v>
      </c>
      <c r="AB1386" s="304">
        <f ca="1" t="shared" si="231"/>
        <v>3426</v>
      </c>
      <c r="AC1386" s="153">
        <v>9</v>
      </c>
      <c r="AF1386" s="153" t="str">
        <f ca="1" t="shared" si="235"/>
        <v>20200011|</v>
      </c>
      <c r="AJ1386" s="205" t="str">
        <f ca="1" t="shared" si="232"/>
        <v>400023|35700|;</v>
      </c>
      <c r="AK1386" s="205">
        <f ca="1">OFFSET([1]item_type!$A$1,MATCH(Q1386,[1]item_type!$G:$G,0)-1,0)</f>
        <v>302020</v>
      </c>
      <c r="AL1386" s="205"/>
      <c r="AM1386" s="205">
        <f ca="1">IF(B1386=B1387,OFFSET(卡牌辅助配置表!$AE$1,MATCH(AB1386,卡牌辅助配置表!AB:AB,0),0),0)</f>
        <v>35700</v>
      </c>
      <c r="AN1386" s="153">
        <f ca="1" t="shared" si="233"/>
        <v>2020027</v>
      </c>
      <c r="AP1386" s="153" t="str">
        <f ca="1">IF(AC1386=0,0,IF(AC1386=12,0,OFFSET(effect!$N$1,MATCH(K1386,effect!M:M,0)-1,0)))</f>
        <v>kpsx_huangse</v>
      </c>
    </row>
    <row r="1387" spans="1:42">
      <c r="A1387" s="153">
        <f ca="1" t="shared" si="229"/>
        <v>2020027</v>
      </c>
      <c r="B1387" s="91" t="s">
        <v>796</v>
      </c>
      <c r="C1387" s="186">
        <v>2</v>
      </c>
      <c r="D1387" s="186">
        <v>1</v>
      </c>
      <c r="E1387" s="165" t="s">
        <v>1058</v>
      </c>
      <c r="F1387" s="165" t="str">
        <f>"仅出此招时，增加"&amp;skill!$O$114/100&amp;"%伤害"</f>
        <v>仅出此招时，增加150%伤害</v>
      </c>
      <c r="G1387" s="186">
        <f ca="1">OFFSET(卡牌辅助配置表!$C$1,MATCH(AC1387,卡牌辅助配置表!A:A,0)-1,0)</f>
        <v>6</v>
      </c>
      <c r="H1387" s="186">
        <f ca="1">OFFSET(skill!$Q$1,MATCH(B1387,skill!B:B,0)-1,0)</f>
        <v>3</v>
      </c>
      <c r="I1387" s="186"/>
      <c r="J1387" s="186">
        <f ca="1">OFFSET(card_type!$F$1,MATCH(Q1387,card_type!A:A,0)-1,0)</f>
        <v>3</v>
      </c>
      <c r="K1387" s="243">
        <f ca="1">OFFSET(card_type!$G$1,MATCH(Q1387,card_type!A:A,0)-1,0)</f>
        <v>4</v>
      </c>
      <c r="L1387" s="157">
        <v>5</v>
      </c>
      <c r="M1387" s="157">
        <v>5</v>
      </c>
      <c r="N1387" s="153">
        <f t="shared" si="228"/>
        <v>27</v>
      </c>
      <c r="O1387" s="157"/>
      <c r="P1387" s="157"/>
      <c r="Q1387" s="153">
        <f ca="1">OFFSET(card_type!$A$1,MATCH(card!B1387,card_type!B:B,0)-1,0)</f>
        <v>2020</v>
      </c>
      <c r="R1387" s="153">
        <v>1</v>
      </c>
      <c r="S1387" s="157">
        <f ca="1">ROUND(IF(R1387=0,0,IF(R1387=1,X1387*$S$1,IF(R1387=2,X1387*$S$1*buff的资质计算!$E$2,IF(R1387=3,X1387*$S$1*buff的资质计算!$E$3,0)))),0)*0</f>
        <v>0</v>
      </c>
      <c r="T1387" s="153">
        <v>5</v>
      </c>
      <c r="U1387" s="153">
        <f ca="1" t="shared" si="230"/>
        <v>34</v>
      </c>
      <c r="V1387" s="153">
        <f ca="1">ROUND((OFFSET(卡牌辅助配置表!$O$1,MATCH(U1387,卡牌辅助配置表!M:M,0)-1,0)+(N1387-1)*OFFSET(卡牌辅助配置表!$P$1,MATCH(U1387,卡牌辅助配置表!M:M,0)-1,0))*M1387,2)</f>
        <v>624.66</v>
      </c>
      <c r="W1387" s="157">
        <f ca="1">ROUND(IF(R1387=0,0,IF(R1387=1,X1387*$W$1,IF(R1387=2,X1387*$W$1*buff的资质计算!$E$2,IF(R1387=3,X1387*$W$1*buff的资质计算!$E$3,0)))),2)</f>
        <v>46.2</v>
      </c>
      <c r="X1387" s="157">
        <f ca="1" t="shared" si="226"/>
        <v>154</v>
      </c>
      <c r="Y1387" s="157">
        <f ca="1" t="shared" si="234"/>
        <v>157</v>
      </c>
      <c r="Z1387" s="304">
        <f ca="1" t="shared" si="227"/>
        <v>31.4</v>
      </c>
      <c r="AA1387" s="304">
        <f ca="1">OFFSET(卡牌辅助配置表!$AD$1,MATCH(AB1387,卡牌辅助配置表!AB:AB,0)-1,0)</f>
        <v>32370</v>
      </c>
      <c r="AB1387" s="304">
        <f ca="1" t="shared" si="231"/>
        <v>3427</v>
      </c>
      <c r="AC1387" s="153">
        <v>9</v>
      </c>
      <c r="AF1387" s="153" t="str">
        <f ca="1" t="shared" si="235"/>
        <v>20200011|</v>
      </c>
      <c r="AJ1387" s="205" t="str">
        <f ca="1" t="shared" si="232"/>
        <v>400023|38100|;</v>
      </c>
      <c r="AK1387" s="205">
        <f ca="1">OFFSET([1]item_type!$A$1,MATCH(Q1387,[1]item_type!$G:$G,0)-1,0)</f>
        <v>302020</v>
      </c>
      <c r="AL1387" s="205"/>
      <c r="AM1387" s="205">
        <f ca="1">IF(B1387=B1388,OFFSET(卡牌辅助配置表!$AE$1,MATCH(AB1387,卡牌辅助配置表!AB:AB,0),0),0)</f>
        <v>38100</v>
      </c>
      <c r="AN1387" s="153">
        <f ca="1" t="shared" si="233"/>
        <v>2020028</v>
      </c>
      <c r="AP1387" s="153" t="str">
        <f ca="1">IF(AC1387=0,0,IF(AC1387=12,0,OFFSET(effect!$N$1,MATCH(K1387,effect!M:M,0)-1,0)))</f>
        <v>kpsx_huangse</v>
      </c>
    </row>
    <row r="1388" spans="1:42">
      <c r="A1388" s="153">
        <f ca="1" t="shared" si="229"/>
        <v>2020028</v>
      </c>
      <c r="B1388" s="91" t="s">
        <v>796</v>
      </c>
      <c r="C1388" s="186">
        <v>2</v>
      </c>
      <c r="D1388" s="186">
        <v>1</v>
      </c>
      <c r="E1388" s="165" t="s">
        <v>1058</v>
      </c>
      <c r="F1388" s="165" t="str">
        <f>"仅出此招时，增加"&amp;skill!$O$114/100&amp;"%伤害"</f>
        <v>仅出此招时，增加150%伤害</v>
      </c>
      <c r="G1388" s="186">
        <f ca="1">OFFSET(卡牌辅助配置表!$C$1,MATCH(AC1388,卡牌辅助配置表!A:A,0)-1,0)</f>
        <v>6</v>
      </c>
      <c r="H1388" s="186">
        <f ca="1">OFFSET(skill!$Q$1,MATCH(B1388,skill!B:B,0)-1,0)</f>
        <v>3</v>
      </c>
      <c r="I1388" s="186"/>
      <c r="J1388" s="186">
        <f ca="1">OFFSET(card_type!$F$1,MATCH(Q1388,card_type!A:A,0)-1,0)</f>
        <v>3</v>
      </c>
      <c r="K1388" s="243">
        <f ca="1">OFFSET(card_type!$G$1,MATCH(Q1388,card_type!A:A,0)-1,0)</f>
        <v>4</v>
      </c>
      <c r="L1388" s="157">
        <v>5</v>
      </c>
      <c r="M1388" s="157">
        <v>5</v>
      </c>
      <c r="N1388" s="153">
        <f t="shared" si="228"/>
        <v>28</v>
      </c>
      <c r="O1388" s="157"/>
      <c r="P1388" s="157"/>
      <c r="Q1388" s="153">
        <f ca="1">OFFSET(card_type!$A$1,MATCH(card!B1388,card_type!B:B,0)-1,0)</f>
        <v>2020</v>
      </c>
      <c r="R1388" s="153">
        <v>1</v>
      </c>
      <c r="S1388" s="157">
        <f ca="1">ROUND(IF(R1388=0,0,IF(R1388=1,X1388*$S$1,IF(R1388=2,X1388*$S$1*buff的资质计算!$E$2,IF(R1388=3,X1388*$S$1*buff的资质计算!$E$3,0)))),0)*0</f>
        <v>0</v>
      </c>
      <c r="T1388" s="153">
        <v>5</v>
      </c>
      <c r="U1388" s="153">
        <f ca="1" t="shared" si="230"/>
        <v>34</v>
      </c>
      <c r="V1388" s="153">
        <f ca="1">ROUND((OFFSET(卡牌辅助配置表!$O$1,MATCH(U1388,卡牌辅助配置表!M:M,0)-1,0)+(N1388-1)*OFFSET(卡牌辅助配置表!$P$1,MATCH(U1388,卡牌辅助配置表!M:M,0)-1,0))*M1388,2)</f>
        <v>642.06</v>
      </c>
      <c r="W1388" s="157">
        <f ca="1">ROUND(IF(R1388=0,0,IF(R1388=1,X1388*$W$1,IF(R1388=2,X1388*$W$1*buff的资质计算!$E$2,IF(R1388=3,X1388*$W$1*buff的资质计算!$E$3,0)))),2)</f>
        <v>46.35</v>
      </c>
      <c r="X1388" s="157">
        <f ca="1" t="shared" si="226"/>
        <v>154.5</v>
      </c>
      <c r="Y1388" s="157">
        <f ca="1" t="shared" si="234"/>
        <v>157.5</v>
      </c>
      <c r="Z1388" s="304">
        <f ca="1" t="shared" si="227"/>
        <v>31.5</v>
      </c>
      <c r="AA1388" s="304">
        <f ca="1">OFFSET(卡牌辅助配置表!$AD$1,MATCH(AB1388,卡牌辅助配置表!AB:AB,0)-1,0)</f>
        <v>34030</v>
      </c>
      <c r="AB1388" s="304">
        <f ca="1" t="shared" si="231"/>
        <v>3428</v>
      </c>
      <c r="AC1388" s="153">
        <v>9</v>
      </c>
      <c r="AF1388" s="153" t="str">
        <f ca="1" t="shared" si="235"/>
        <v>20200011|</v>
      </c>
      <c r="AJ1388" s="205" t="str">
        <f ca="1" t="shared" si="232"/>
        <v>400023|40500|;</v>
      </c>
      <c r="AK1388" s="205">
        <f ca="1">OFFSET([1]item_type!$A$1,MATCH(Q1388,[1]item_type!$G:$G,0)-1,0)</f>
        <v>302020</v>
      </c>
      <c r="AL1388" s="205"/>
      <c r="AM1388" s="205">
        <f ca="1">IF(B1388=B1389,OFFSET(卡牌辅助配置表!$AE$1,MATCH(AB1388,卡牌辅助配置表!AB:AB,0),0),0)</f>
        <v>40500</v>
      </c>
      <c r="AN1388" s="153">
        <f ca="1" t="shared" si="233"/>
        <v>2020029</v>
      </c>
      <c r="AP1388" s="153" t="str">
        <f ca="1">IF(AC1388=0,0,IF(AC1388=12,0,OFFSET(effect!$N$1,MATCH(K1388,effect!M:M,0)-1,0)))</f>
        <v>kpsx_huangse</v>
      </c>
    </row>
    <row r="1389" spans="1:42">
      <c r="A1389" s="153">
        <f ca="1" t="shared" si="229"/>
        <v>2020029</v>
      </c>
      <c r="B1389" s="91" t="s">
        <v>796</v>
      </c>
      <c r="C1389" s="186">
        <v>2</v>
      </c>
      <c r="D1389" s="186">
        <v>1</v>
      </c>
      <c r="E1389" s="165" t="s">
        <v>1058</v>
      </c>
      <c r="F1389" s="165" t="str">
        <f>"仅出此招时，增加"&amp;skill!$O$114/100&amp;"%伤害"</f>
        <v>仅出此招时，增加150%伤害</v>
      </c>
      <c r="G1389" s="186">
        <f ca="1">OFFSET(卡牌辅助配置表!$C$1,MATCH(AC1389,卡牌辅助配置表!A:A,0)-1,0)</f>
        <v>6</v>
      </c>
      <c r="H1389" s="186">
        <f ca="1">OFFSET(skill!$Q$1,MATCH(B1389,skill!B:B,0)-1,0)</f>
        <v>3</v>
      </c>
      <c r="I1389" s="186"/>
      <c r="J1389" s="186">
        <f ca="1">OFFSET(card_type!$F$1,MATCH(Q1389,card_type!A:A,0)-1,0)</f>
        <v>3</v>
      </c>
      <c r="K1389" s="243">
        <f ca="1">OFFSET(card_type!$G$1,MATCH(Q1389,card_type!A:A,0)-1,0)</f>
        <v>4</v>
      </c>
      <c r="L1389" s="157">
        <v>5</v>
      </c>
      <c r="M1389" s="157">
        <v>5</v>
      </c>
      <c r="N1389" s="153">
        <f t="shared" si="228"/>
        <v>29</v>
      </c>
      <c r="O1389" s="157"/>
      <c r="P1389" s="157"/>
      <c r="Q1389" s="153">
        <f ca="1">OFFSET(card_type!$A$1,MATCH(card!B1389,card_type!B:B,0)-1,0)</f>
        <v>2020</v>
      </c>
      <c r="R1389" s="153">
        <v>1</v>
      </c>
      <c r="S1389" s="157">
        <f ca="1">ROUND(IF(R1389=0,0,IF(R1389=1,X1389*$S$1,IF(R1389=2,X1389*$S$1*buff的资质计算!$E$2,IF(R1389=3,X1389*$S$1*buff的资质计算!$E$3,0)))),0)*0</f>
        <v>0</v>
      </c>
      <c r="T1389" s="153">
        <v>5</v>
      </c>
      <c r="U1389" s="153">
        <f ca="1" t="shared" si="230"/>
        <v>34</v>
      </c>
      <c r="V1389" s="153">
        <f ca="1">ROUND((OFFSET(卡牌辅助配置表!$O$1,MATCH(U1389,卡牌辅助配置表!M:M,0)-1,0)+(N1389-1)*OFFSET(卡牌辅助配置表!$P$1,MATCH(U1389,卡牌辅助配置表!M:M,0)-1,0))*M1389,2)</f>
        <v>659.46</v>
      </c>
      <c r="W1389" s="157">
        <f ca="1">ROUND(IF(R1389=0,0,IF(R1389=1,X1389*$W$1,IF(R1389=2,X1389*$W$1*buff的资质计算!$E$2,IF(R1389=3,X1389*$W$1*buff的资质计算!$E$3,0)))),2)</f>
        <v>46.5</v>
      </c>
      <c r="X1389" s="157">
        <f ca="1" t="shared" si="226"/>
        <v>155</v>
      </c>
      <c r="Y1389" s="157">
        <f ca="1" t="shared" si="234"/>
        <v>158</v>
      </c>
      <c r="Z1389" s="304">
        <f ca="1" t="shared" si="227"/>
        <v>31.6</v>
      </c>
      <c r="AA1389" s="304">
        <f ca="1">OFFSET(卡牌辅助配置表!$AD$1,MATCH(AB1389,卡牌辅助配置表!AB:AB,0)-1,0)</f>
        <v>35690</v>
      </c>
      <c r="AB1389" s="304">
        <f ca="1" t="shared" si="231"/>
        <v>3429</v>
      </c>
      <c r="AC1389" s="153">
        <v>9</v>
      </c>
      <c r="AF1389" s="153" t="str">
        <f ca="1" t="shared" si="235"/>
        <v>20200011|</v>
      </c>
      <c r="AJ1389" s="205" t="str">
        <f ca="1" t="shared" si="232"/>
        <v>302020|30|;400023|42900|;</v>
      </c>
      <c r="AK1389" s="205">
        <f ca="1">OFFSET([1]item_type!$A$1,MATCH(Q1389,[1]item_type!$G:$G,0)-1,0)</f>
        <v>302020</v>
      </c>
      <c r="AL1389" s="205">
        <v>30</v>
      </c>
      <c r="AM1389" s="205">
        <f ca="1">IF(B1389=B1390,OFFSET(卡牌辅助配置表!$AE$1,MATCH(AB1389,卡牌辅助配置表!AB:AB,0),0),0)</f>
        <v>42900</v>
      </c>
      <c r="AN1389" s="153">
        <f ca="1" t="shared" si="233"/>
        <v>2020030</v>
      </c>
      <c r="AP1389" s="153" t="str">
        <f ca="1">IF(AC1389=0,0,IF(AC1389=12,0,OFFSET(effect!$N$1,MATCH(K1389,effect!M:M,0)-1,0)))</f>
        <v>kpsx_huangse</v>
      </c>
    </row>
    <row r="1390" spans="1:42">
      <c r="A1390" s="153">
        <f ca="1" t="shared" si="229"/>
        <v>2020030</v>
      </c>
      <c r="B1390" s="91" t="s">
        <v>796</v>
      </c>
      <c r="C1390" s="186">
        <v>2</v>
      </c>
      <c r="D1390" s="186">
        <v>1</v>
      </c>
      <c r="E1390" s="165" t="s">
        <v>1058</v>
      </c>
      <c r="F1390" s="165" t="str">
        <f>"仅出此招时，增加"&amp;skill!$O$114/100&amp;"%伤害"</f>
        <v>仅出此招时，增加150%伤害</v>
      </c>
      <c r="G1390" s="186">
        <f ca="1">OFFSET(卡牌辅助配置表!$C$1,MATCH(AC1390,卡牌辅助配置表!A:A,0)-1,0)</f>
        <v>6</v>
      </c>
      <c r="H1390" s="186">
        <f ca="1">OFFSET(skill!$Q$1,MATCH(B1390,skill!B:B,0)-1,0)</f>
        <v>3</v>
      </c>
      <c r="I1390" s="186"/>
      <c r="J1390" s="186">
        <f ca="1">OFFSET(card_type!$F$1,MATCH(Q1390,card_type!A:A,0)-1,0)</f>
        <v>3</v>
      </c>
      <c r="K1390" s="243">
        <f ca="1">OFFSET(card_type!$G$1,MATCH(Q1390,card_type!A:A,0)-1,0)</f>
        <v>4</v>
      </c>
      <c r="L1390" s="157">
        <v>5</v>
      </c>
      <c r="M1390" s="157">
        <v>5</v>
      </c>
      <c r="N1390" s="153">
        <f t="shared" si="228"/>
        <v>30</v>
      </c>
      <c r="O1390" s="157"/>
      <c r="P1390" s="157"/>
      <c r="Q1390" s="153">
        <f ca="1">OFFSET(card_type!$A$1,MATCH(card!B1390,card_type!B:B,0)-1,0)</f>
        <v>2020</v>
      </c>
      <c r="R1390" s="153">
        <v>1</v>
      </c>
      <c r="S1390" s="157">
        <f ca="1">ROUND(IF(R1390=0,0,IF(R1390=1,X1390*$S$1,IF(R1390=2,X1390*$S$1*buff的资质计算!$E$2,IF(R1390=3,X1390*$S$1*buff的资质计算!$E$3,0)))),0)*0</f>
        <v>0</v>
      </c>
      <c r="T1390" s="153">
        <v>5</v>
      </c>
      <c r="U1390" s="153">
        <f ca="1" t="shared" si="230"/>
        <v>34</v>
      </c>
      <c r="V1390" s="153">
        <f ca="1">ROUND((OFFSET(卡牌辅助配置表!$O$1,MATCH(U1390,卡牌辅助配置表!M:M,0)-1,0)+(N1390-1)*OFFSET(卡牌辅助配置表!$P$1,MATCH(U1390,卡牌辅助配置表!M:M,0)-1,0))*M1390,2)</f>
        <v>676.86</v>
      </c>
      <c r="W1390" s="157">
        <f ca="1">ROUND(IF(R1390=0,0,IF(R1390=1,X1390*$W$1,IF(R1390=2,X1390*$W$1*buff的资质计算!$E$2,IF(R1390=3,X1390*$W$1*buff的资质计算!$E$3,0)))),2)</f>
        <v>46.65</v>
      </c>
      <c r="X1390" s="157">
        <f ca="1" t="shared" si="226"/>
        <v>155.5</v>
      </c>
      <c r="Y1390" s="157">
        <f ca="1" t="shared" si="234"/>
        <v>158.5</v>
      </c>
      <c r="Z1390" s="304">
        <f ca="1" t="shared" si="227"/>
        <v>31.7</v>
      </c>
      <c r="AA1390" s="304">
        <f ca="1">OFFSET(卡牌辅助配置表!$AD$1,MATCH(AB1390,卡牌辅助配置表!AB:AB,0)-1,0)</f>
        <v>37350</v>
      </c>
      <c r="AB1390" s="304">
        <f ca="1" t="shared" si="231"/>
        <v>3430</v>
      </c>
      <c r="AC1390" s="153">
        <v>9</v>
      </c>
      <c r="AF1390" s="153" t="str">
        <f ca="1" t="shared" si="235"/>
        <v>20200011|</v>
      </c>
      <c r="AJ1390" s="205">
        <f ca="1" t="shared" si="232"/>
        <v>0</v>
      </c>
      <c r="AK1390" s="205">
        <f ca="1">OFFSET([1]item_type!$A$1,MATCH(Q1390,[1]item_type!$G:$G,0)-1,0)</f>
        <v>302020</v>
      </c>
      <c r="AL1390" s="205"/>
      <c r="AM1390" s="205">
        <f ca="1">IF(B1390=B1391,OFFSET(卡牌辅助配置表!$AE$1,MATCH(AB1390,卡牌辅助配置表!AB:AB,0),0),0)</f>
        <v>0</v>
      </c>
      <c r="AN1390" s="153">
        <f ca="1">IF(B1390=B1481,A1390+1,0)</f>
        <v>0</v>
      </c>
      <c r="AP1390" s="153" t="str">
        <f ca="1">IF(AC1390=0,0,IF(AC1390=12,0,OFFSET(effect!$N$1,MATCH(K1390,effect!M:M,0)-1,0)))</f>
        <v>kpsx_huangse</v>
      </c>
    </row>
    <row r="1391" spans="1:42">
      <c r="A1391" s="153">
        <f ca="1" t="shared" si="229"/>
        <v>2401001</v>
      </c>
      <c r="B1391" s="152" t="s">
        <v>801</v>
      </c>
      <c r="C1391" s="186">
        <v>2</v>
      </c>
      <c r="D1391" s="186">
        <v>1</v>
      </c>
      <c r="E1391" s="165" t="s">
        <v>1058</v>
      </c>
      <c r="F1391" s="165" t="str">
        <f>"上一招为剑法时，造成伤害增加"&amp;skill!$O$117/100&amp;"%真实伤害"</f>
        <v>上一招为剑法时，造成伤害增加50%真实伤害</v>
      </c>
      <c r="G1391" s="186">
        <f ca="1">OFFSET(卡牌辅助配置表!$C$1,MATCH(AC1391,卡牌辅助配置表!A:A,0)-1,0)</f>
        <v>3</v>
      </c>
      <c r="H1391" s="186">
        <f ca="1">OFFSET(skill!$Q$1,MATCH(B1391,skill!B:B,0)-1,0)</f>
        <v>0.666666666666667</v>
      </c>
      <c r="I1391" s="186"/>
      <c r="J1391" s="186">
        <f ca="1">OFFSET(card_type!$F$1,MATCH(Q1391,card_type!A:A,0)-1,0)</f>
        <v>4</v>
      </c>
      <c r="K1391" s="243">
        <f ca="1">OFFSET(card_type!$G$1,MATCH(Q1391,card_type!A:A,0)-1,0)</f>
        <v>2</v>
      </c>
      <c r="L1391" s="157">
        <v>2</v>
      </c>
      <c r="M1391" s="157">
        <v>2</v>
      </c>
      <c r="N1391" s="153">
        <f t="shared" si="228"/>
        <v>1</v>
      </c>
      <c r="O1391" s="157"/>
      <c r="P1391" s="157"/>
      <c r="Q1391" s="153">
        <f ca="1">OFFSET(card_type!$A$1,MATCH(card!B1391,card_type!B:B,0)-1,0)</f>
        <v>2401</v>
      </c>
      <c r="R1391" s="153">
        <v>1</v>
      </c>
      <c r="S1391" s="157">
        <f ca="1">ROUND(IF(R1391=0,0,IF(R1391=1,X1391*$S$1,IF(R1391=2,X1391*$S$1*buff的资质计算!$E$2,IF(R1391=3,X1391*$S$1*buff的资质计算!$E$3,0)))),0)*0</f>
        <v>0</v>
      </c>
      <c r="T1391" s="153">
        <v>4</v>
      </c>
      <c r="U1391" s="153">
        <f ca="1" t="shared" si="230"/>
        <v>42</v>
      </c>
      <c r="V1391" s="153">
        <f ca="1">ROUND((OFFSET(卡牌辅助配置表!$O$1,MATCH(U1391,卡牌辅助配置表!M:M,0)-1,0)+(N1391-1)*OFFSET(卡牌辅助配置表!$P$1,MATCH(U1391,卡牌辅助配置表!M:M,0)-1,0))*M1391,2)</f>
        <v>44.25</v>
      </c>
      <c r="W1391" s="157">
        <f ca="1">ROUND(IF(R1391=0,0,IF(R1391=1,X1391*$W$1,IF(R1391=2,X1391*$W$1*buff的资质计算!$E$2,IF(R1391=3,X1391*$W$1*buff的资质计算!$E$3,0)))),2)</f>
        <v>15.3</v>
      </c>
      <c r="X1391" s="157">
        <f ca="1" t="shared" si="226"/>
        <v>51</v>
      </c>
      <c r="Y1391" s="157">
        <f ca="1" t="shared" si="234"/>
        <v>51.6666666666667</v>
      </c>
      <c r="Z1391" s="304">
        <f ca="1" t="shared" si="227"/>
        <v>25.8333333333333</v>
      </c>
      <c r="AA1391" s="304">
        <f ca="1">OFFSET(卡牌辅助配置表!$AD$1,MATCH(AB1391,卡牌辅助配置表!AB:AB,0)-1,0)</f>
        <v>460</v>
      </c>
      <c r="AB1391" s="304">
        <f ca="1" t="shared" si="231"/>
        <v>4201</v>
      </c>
      <c r="AC1391" s="153">
        <v>3</v>
      </c>
      <c r="AE1391" s="153">
        <v>2</v>
      </c>
      <c r="AF1391" s="153" t="str">
        <f ca="1" t="shared" si="235"/>
        <v>24010011|</v>
      </c>
      <c r="AJ1391" s="205">
        <f ca="1" t="shared" si="232"/>
        <v>0</v>
      </c>
      <c r="AK1391" s="205">
        <f ca="1">OFFSET([1]item_type!$A$1,MATCH(Q1391,[1]item_type!$G:$G,0)-1,0)</f>
        <v>302401</v>
      </c>
      <c r="AL1391" s="205"/>
      <c r="AM1391" s="205">
        <f ca="1">IF(B1391=B1392,OFFSET(卡牌辅助配置表!$AE$1,MATCH(AB1391,卡牌辅助配置表!AB:AB,0),0),0)</f>
        <v>1050</v>
      </c>
      <c r="AN1391" s="153">
        <f ca="1">IF(B1391=B1421,A1391+1,0)</f>
        <v>0</v>
      </c>
      <c r="AP1391" s="153" t="str">
        <f ca="1">IF(AC1391=0,0,IF(AC1391=12,0,OFFSET(effect!$N$1,MATCH(K1391,effect!M:M,0)-1,0)))</f>
        <v>kpsx_pt</v>
      </c>
    </row>
    <row r="1392" spans="1:42">
      <c r="A1392" s="153">
        <f ca="1" t="shared" si="229"/>
        <v>2401002</v>
      </c>
      <c r="B1392" s="91" t="s">
        <v>801</v>
      </c>
      <c r="C1392" s="186">
        <v>2</v>
      </c>
      <c r="D1392" s="186">
        <v>1</v>
      </c>
      <c r="E1392" s="165" t="s">
        <v>1058</v>
      </c>
      <c r="F1392" s="165" t="str">
        <f>"上一招为剑法时，造成伤害增加"&amp;skill!$O$117/100&amp;"%真实伤害"</f>
        <v>上一招为剑法时，造成伤害增加50%真实伤害</v>
      </c>
      <c r="G1392" s="186">
        <f ca="1">OFFSET(卡牌辅助配置表!$C$1,MATCH(AC1392,卡牌辅助配置表!A:A,0)-1,0)</f>
        <v>3</v>
      </c>
      <c r="H1392" s="186">
        <f ca="1">OFFSET(skill!$Q$1,MATCH(B1392,skill!B:B,0)-1,0)</f>
        <v>0.666666666666667</v>
      </c>
      <c r="I1392" s="186"/>
      <c r="J1392" s="186">
        <f ca="1">OFFSET(card_type!$F$1,MATCH(Q1392,card_type!A:A,0)-1,0)</f>
        <v>4</v>
      </c>
      <c r="K1392" s="243">
        <f ca="1">OFFSET(card_type!$G$1,MATCH(Q1392,card_type!A:A,0)-1,0)</f>
        <v>2</v>
      </c>
      <c r="L1392" s="157">
        <v>2</v>
      </c>
      <c r="M1392" s="157">
        <v>2</v>
      </c>
      <c r="N1392" s="153">
        <f t="shared" si="228"/>
        <v>2</v>
      </c>
      <c r="O1392" s="157"/>
      <c r="P1392" s="157"/>
      <c r="Q1392" s="153">
        <f ca="1">OFFSET(card_type!$A$1,MATCH(card!B1392,card_type!B:B,0)-1,0)</f>
        <v>2401</v>
      </c>
      <c r="R1392" s="153">
        <v>1</v>
      </c>
      <c r="S1392" s="157">
        <f ca="1">ROUND(IF(R1392=0,0,IF(R1392=1,X1392*$S$1,IF(R1392=2,X1392*$S$1*buff的资质计算!$E$2,IF(R1392=3,X1392*$S$1*buff的资质计算!$E$3,0)))),0)*0</f>
        <v>0</v>
      </c>
      <c r="T1392" s="153">
        <v>4</v>
      </c>
      <c r="U1392" s="153">
        <f ca="1" t="shared" si="230"/>
        <v>42</v>
      </c>
      <c r="V1392" s="153">
        <f ca="1">ROUND((OFFSET(卡牌辅助配置表!$O$1,MATCH(U1392,卡牌辅助配置表!M:M,0)-1,0)+(N1392-1)*OFFSET(卡牌辅助配置表!$P$1,MATCH(U1392,卡牌辅助配置表!M:M,0)-1,0))*M1392,2)</f>
        <v>51.55</v>
      </c>
      <c r="W1392" s="157">
        <f ca="1">ROUND(IF(R1392=0,0,IF(R1392=1,X1392*$W$1,IF(R1392=2,X1392*$W$1*buff的资质计算!$E$2,IF(R1392=3,X1392*$W$1*buff的资质计算!$E$3,0)))),2)</f>
        <v>15.45</v>
      </c>
      <c r="X1392" s="157">
        <f ca="1" t="shared" si="226"/>
        <v>51.5</v>
      </c>
      <c r="Y1392" s="157">
        <f ca="1" t="shared" si="234"/>
        <v>52.1666666666667</v>
      </c>
      <c r="Z1392" s="304">
        <f ca="1" t="shared" si="227"/>
        <v>26.0833333333333</v>
      </c>
      <c r="AA1392" s="304">
        <f ca="1">OFFSET(卡牌辅助配置表!$AD$1,MATCH(AB1392,卡牌辅助配置表!AB:AB,0)-1,0)</f>
        <v>920</v>
      </c>
      <c r="AB1392" s="304">
        <f ca="1" t="shared" si="231"/>
        <v>4202</v>
      </c>
      <c r="AC1392" s="153">
        <v>3</v>
      </c>
      <c r="AE1392" s="153">
        <v>2</v>
      </c>
      <c r="AF1392" s="153" t="str">
        <f ca="1" t="shared" si="235"/>
        <v>24010011|</v>
      </c>
      <c r="AJ1392" s="205">
        <f ca="1" t="shared" si="232"/>
        <v>0</v>
      </c>
      <c r="AK1392" s="205">
        <f ca="1">OFFSET([1]item_type!$A$1,MATCH(Q1392,[1]item_type!$G:$G,0)-1,0)</f>
        <v>302401</v>
      </c>
      <c r="AL1392" s="205"/>
      <c r="AM1392" s="205">
        <f ca="1">IF(B1392=B1393,OFFSET(卡牌辅助配置表!$AE$1,MATCH(AB1392,卡牌辅助配置表!AB:AB,0),0),0)</f>
        <v>1350</v>
      </c>
      <c r="AN1392" s="153">
        <f ca="1">IF(B1392=B1451,A1392+1,0)</f>
        <v>0</v>
      </c>
      <c r="AP1392" s="153" t="str">
        <f ca="1">IF(AC1392=0,0,IF(AC1392=12,0,OFFSET(effect!$N$1,MATCH(K1392,effect!M:M,0)-1,0)))</f>
        <v>kpsx_pt</v>
      </c>
    </row>
    <row r="1393" spans="1:42">
      <c r="A1393" s="153">
        <f ca="1" t="shared" si="229"/>
        <v>2401003</v>
      </c>
      <c r="B1393" s="91" t="s">
        <v>801</v>
      </c>
      <c r="C1393" s="186">
        <v>2</v>
      </c>
      <c r="D1393" s="186">
        <v>1</v>
      </c>
      <c r="E1393" s="165" t="s">
        <v>1058</v>
      </c>
      <c r="F1393" s="165" t="str">
        <f>"上一招为剑法时，造成伤害增加"&amp;skill!$O$117/100&amp;"%真实伤害"</f>
        <v>上一招为剑法时，造成伤害增加50%真实伤害</v>
      </c>
      <c r="G1393" s="186">
        <f ca="1">OFFSET(卡牌辅助配置表!$C$1,MATCH(AC1393,卡牌辅助配置表!A:A,0)-1,0)</f>
        <v>3</v>
      </c>
      <c r="H1393" s="186">
        <f ca="1">OFFSET(skill!$Q$1,MATCH(B1393,skill!B:B,0)-1,0)</f>
        <v>0.666666666666667</v>
      </c>
      <c r="I1393" s="186"/>
      <c r="J1393" s="186">
        <f ca="1">OFFSET(card_type!$F$1,MATCH(Q1393,card_type!A:A,0)-1,0)</f>
        <v>4</v>
      </c>
      <c r="K1393" s="243">
        <f ca="1">OFFSET(card_type!$G$1,MATCH(Q1393,card_type!A:A,0)-1,0)</f>
        <v>2</v>
      </c>
      <c r="L1393" s="157">
        <v>2</v>
      </c>
      <c r="M1393" s="157">
        <v>2</v>
      </c>
      <c r="N1393" s="153">
        <f t="shared" si="228"/>
        <v>3</v>
      </c>
      <c r="O1393" s="157"/>
      <c r="P1393" s="157"/>
      <c r="Q1393" s="153">
        <f ca="1">OFFSET(card_type!$A$1,MATCH(card!B1393,card_type!B:B,0)-1,0)</f>
        <v>2401</v>
      </c>
      <c r="R1393" s="153">
        <v>1</v>
      </c>
      <c r="S1393" s="157">
        <f ca="1">ROUND(IF(R1393=0,0,IF(R1393=1,X1393*$S$1,IF(R1393=2,X1393*$S$1*buff的资质计算!$E$2,IF(R1393=3,X1393*$S$1*buff的资质计算!$E$3,0)))),0)*0</f>
        <v>0</v>
      </c>
      <c r="T1393" s="153">
        <v>4</v>
      </c>
      <c r="U1393" s="153">
        <f ca="1" t="shared" si="230"/>
        <v>42</v>
      </c>
      <c r="V1393" s="153">
        <f ca="1">ROUND((OFFSET(卡牌辅助配置表!$O$1,MATCH(U1393,卡牌辅助配置表!M:M,0)-1,0)+(N1393-1)*OFFSET(卡牌辅助配置表!$P$1,MATCH(U1393,卡牌辅助配置表!M:M,0)-1,0))*M1393,2)</f>
        <v>58.85</v>
      </c>
      <c r="W1393" s="157">
        <f ca="1">ROUND(IF(R1393=0,0,IF(R1393=1,X1393*$W$1,IF(R1393=2,X1393*$W$1*buff的资质计算!$E$2,IF(R1393=3,X1393*$W$1*buff的资质计算!$E$3,0)))),2)</f>
        <v>15.6</v>
      </c>
      <c r="X1393" s="157">
        <f ca="1" t="shared" si="226"/>
        <v>52</v>
      </c>
      <c r="Y1393" s="157">
        <f ca="1" t="shared" si="234"/>
        <v>52.6666666666667</v>
      </c>
      <c r="Z1393" s="304">
        <f ca="1" t="shared" si="227"/>
        <v>26.3333333333333</v>
      </c>
      <c r="AA1393" s="304">
        <f ca="1">OFFSET(卡牌辅助配置表!$AD$1,MATCH(AB1393,卡牌辅助配置表!AB:AB,0)-1,0)</f>
        <v>1380</v>
      </c>
      <c r="AB1393" s="304">
        <f ca="1" t="shared" si="231"/>
        <v>4203</v>
      </c>
      <c r="AC1393" s="153">
        <v>3</v>
      </c>
      <c r="AE1393" s="153">
        <v>2</v>
      </c>
      <c r="AF1393" s="153" t="str">
        <f ca="1" t="shared" si="235"/>
        <v>24010011|</v>
      </c>
      <c r="AJ1393" s="205">
        <f ca="1" t="shared" si="232"/>
        <v>0</v>
      </c>
      <c r="AK1393" s="205">
        <f ca="1">OFFSET([1]item_type!$A$1,MATCH(Q1393,[1]item_type!$G:$G,0)-1,0)</f>
        <v>302401</v>
      </c>
      <c r="AL1393" s="205"/>
      <c r="AM1393" s="205">
        <f ca="1">IF(B1393=B1394,OFFSET(卡牌辅助配置表!$AE$1,MATCH(AB1393,卡牌辅助配置表!AB:AB,0),0),0)</f>
        <v>1650</v>
      </c>
      <c r="AN1393" s="153">
        <f ca="1">IF(B1393=B1481,A1393+1,0)</f>
        <v>0</v>
      </c>
      <c r="AP1393" s="153" t="str">
        <f ca="1">IF(AC1393=0,0,IF(AC1393=12,0,OFFSET(effect!$N$1,MATCH(K1393,effect!M:M,0)-1,0)))</f>
        <v>kpsx_pt</v>
      </c>
    </row>
    <row r="1394" spans="1:42">
      <c r="A1394" s="153">
        <f ca="1" t="shared" si="229"/>
        <v>2401004</v>
      </c>
      <c r="B1394" s="91" t="s">
        <v>801</v>
      </c>
      <c r="C1394" s="186">
        <v>2</v>
      </c>
      <c r="D1394" s="186">
        <v>1</v>
      </c>
      <c r="E1394" s="165" t="s">
        <v>1058</v>
      </c>
      <c r="F1394" s="165" t="str">
        <f>"上一招为剑法时，造成伤害增加"&amp;skill!$O$117/100&amp;"%真实伤害"</f>
        <v>上一招为剑法时，造成伤害增加50%真实伤害</v>
      </c>
      <c r="G1394" s="186">
        <f ca="1">OFFSET(卡牌辅助配置表!$C$1,MATCH(AC1394,卡牌辅助配置表!A:A,0)-1,0)</f>
        <v>3</v>
      </c>
      <c r="H1394" s="186">
        <f ca="1">OFFSET(skill!$Q$1,MATCH(B1394,skill!B:B,0)-1,0)</f>
        <v>0.666666666666667</v>
      </c>
      <c r="I1394" s="186"/>
      <c r="J1394" s="186">
        <f ca="1">OFFSET(card_type!$F$1,MATCH(Q1394,card_type!A:A,0)-1,0)</f>
        <v>4</v>
      </c>
      <c r="K1394" s="243">
        <f ca="1">OFFSET(card_type!$G$1,MATCH(Q1394,card_type!A:A,0)-1,0)</f>
        <v>2</v>
      </c>
      <c r="L1394" s="157">
        <v>2</v>
      </c>
      <c r="M1394" s="157">
        <v>2</v>
      </c>
      <c r="N1394" s="153">
        <f t="shared" si="228"/>
        <v>4</v>
      </c>
      <c r="O1394" s="157"/>
      <c r="P1394" s="157"/>
      <c r="Q1394" s="153">
        <f ca="1">OFFSET(card_type!$A$1,MATCH(card!B1394,card_type!B:B,0)-1,0)</f>
        <v>2401</v>
      </c>
      <c r="R1394" s="153">
        <v>1</v>
      </c>
      <c r="S1394" s="157">
        <f ca="1">ROUND(IF(R1394=0,0,IF(R1394=1,X1394*$S$1,IF(R1394=2,X1394*$S$1*buff的资质计算!$E$2,IF(R1394=3,X1394*$S$1*buff的资质计算!$E$3,0)))),0)*0</f>
        <v>0</v>
      </c>
      <c r="T1394" s="153">
        <v>4</v>
      </c>
      <c r="U1394" s="153">
        <f ca="1" t="shared" si="230"/>
        <v>42</v>
      </c>
      <c r="V1394" s="153">
        <f ca="1">ROUND((OFFSET(卡牌辅助配置表!$O$1,MATCH(U1394,卡牌辅助配置表!M:M,0)-1,0)+(N1394-1)*OFFSET(卡牌辅助配置表!$P$1,MATCH(U1394,卡牌辅助配置表!M:M,0)-1,0))*M1394,2)</f>
        <v>66.15</v>
      </c>
      <c r="W1394" s="157">
        <f ca="1">ROUND(IF(R1394=0,0,IF(R1394=1,X1394*$W$1,IF(R1394=2,X1394*$W$1*buff的资质计算!$E$2,IF(R1394=3,X1394*$W$1*buff的资质计算!$E$3,0)))),2)</f>
        <v>15.75</v>
      </c>
      <c r="X1394" s="157">
        <f ca="1" t="shared" si="226"/>
        <v>52.5</v>
      </c>
      <c r="Y1394" s="157">
        <f ca="1" t="shared" si="234"/>
        <v>53.1666666666667</v>
      </c>
      <c r="Z1394" s="304">
        <f ca="1" t="shared" si="227"/>
        <v>26.5833333333333</v>
      </c>
      <c r="AA1394" s="304">
        <f ca="1">OFFSET(卡牌辅助配置表!$AD$1,MATCH(AB1394,卡牌辅助配置表!AB:AB,0)-1,0)</f>
        <v>1840</v>
      </c>
      <c r="AB1394" s="304">
        <f ca="1" t="shared" si="231"/>
        <v>4204</v>
      </c>
      <c r="AC1394" s="153">
        <v>3</v>
      </c>
      <c r="AE1394" s="153">
        <v>2</v>
      </c>
      <c r="AF1394" s="153" t="str">
        <f ca="1" t="shared" si="235"/>
        <v>24010011|</v>
      </c>
      <c r="AJ1394" s="205">
        <f ca="1" t="shared" si="232"/>
        <v>0</v>
      </c>
      <c r="AK1394" s="205">
        <f ca="1">OFFSET([1]item_type!$A$1,MATCH(Q1394,[1]item_type!$G:$G,0)-1,0)</f>
        <v>302401</v>
      </c>
      <c r="AL1394" s="205"/>
      <c r="AM1394" s="205">
        <f ca="1">IF(B1394=B1395,OFFSET(卡牌辅助配置表!$AE$1,MATCH(AB1394,卡牌辅助配置表!AB:AB,0),0),0)</f>
        <v>1950</v>
      </c>
      <c r="AN1394" s="153">
        <f ca="1">IF(B1394=B1511,A1394+1,0)</f>
        <v>0</v>
      </c>
      <c r="AP1394" s="153" t="str">
        <f ca="1">IF(AC1394=0,0,IF(AC1394=12,0,OFFSET(effect!$N$1,MATCH(K1394,effect!M:M,0)-1,0)))</f>
        <v>kpsx_pt</v>
      </c>
    </row>
    <row r="1395" spans="1:42">
      <c r="A1395" s="153">
        <f ca="1" t="shared" si="229"/>
        <v>2401005</v>
      </c>
      <c r="B1395" s="91" t="s">
        <v>801</v>
      </c>
      <c r="C1395" s="186">
        <v>2</v>
      </c>
      <c r="D1395" s="186">
        <v>1</v>
      </c>
      <c r="E1395" s="165" t="s">
        <v>1058</v>
      </c>
      <c r="F1395" s="165" t="str">
        <f>"上一招为剑法时，造成伤害增加"&amp;skill!$O$117/100&amp;"%真实伤害"</f>
        <v>上一招为剑法时，造成伤害增加50%真实伤害</v>
      </c>
      <c r="G1395" s="186">
        <f ca="1">OFFSET(卡牌辅助配置表!$C$1,MATCH(AC1395,卡牌辅助配置表!A:A,0)-1,0)</f>
        <v>3</v>
      </c>
      <c r="H1395" s="186">
        <f ca="1">OFFSET(skill!$Q$1,MATCH(B1395,skill!B:B,0)-1,0)</f>
        <v>0.666666666666667</v>
      </c>
      <c r="I1395" s="186"/>
      <c r="J1395" s="186">
        <f ca="1">OFFSET(card_type!$F$1,MATCH(Q1395,card_type!A:A,0)-1,0)</f>
        <v>4</v>
      </c>
      <c r="K1395" s="243">
        <f ca="1">OFFSET(card_type!$G$1,MATCH(Q1395,card_type!A:A,0)-1,0)</f>
        <v>2</v>
      </c>
      <c r="L1395" s="157">
        <v>2</v>
      </c>
      <c r="M1395" s="157">
        <v>2</v>
      </c>
      <c r="N1395" s="153">
        <f t="shared" si="228"/>
        <v>5</v>
      </c>
      <c r="O1395" s="157"/>
      <c r="P1395" s="157"/>
      <c r="Q1395" s="153">
        <f ca="1">OFFSET(card_type!$A$1,MATCH(card!B1395,card_type!B:B,0)-1,0)</f>
        <v>2401</v>
      </c>
      <c r="R1395" s="153">
        <v>1</v>
      </c>
      <c r="S1395" s="157">
        <f ca="1">ROUND(IF(R1395=0,0,IF(R1395=1,X1395*$S$1,IF(R1395=2,X1395*$S$1*buff的资质计算!$E$2,IF(R1395=3,X1395*$S$1*buff的资质计算!$E$3,0)))),0)*0</f>
        <v>0</v>
      </c>
      <c r="T1395" s="153">
        <v>4</v>
      </c>
      <c r="U1395" s="153">
        <f ca="1" t="shared" si="230"/>
        <v>42</v>
      </c>
      <c r="V1395" s="153">
        <f ca="1">ROUND((OFFSET(卡牌辅助配置表!$O$1,MATCH(U1395,卡牌辅助配置表!M:M,0)-1,0)+(N1395-1)*OFFSET(卡牌辅助配置表!$P$1,MATCH(U1395,卡牌辅助配置表!M:M,0)-1,0))*M1395,2)</f>
        <v>73.45</v>
      </c>
      <c r="W1395" s="157">
        <f ca="1">ROUND(IF(R1395=0,0,IF(R1395=1,X1395*$W$1,IF(R1395=2,X1395*$W$1*buff的资质计算!$E$2,IF(R1395=3,X1395*$W$1*buff的资质计算!$E$3,0)))),2)</f>
        <v>15.9</v>
      </c>
      <c r="X1395" s="157">
        <f ca="1" t="shared" si="226"/>
        <v>53</v>
      </c>
      <c r="Y1395" s="157">
        <f ca="1" t="shared" si="234"/>
        <v>53.6666666666667</v>
      </c>
      <c r="Z1395" s="304">
        <f ca="1" t="shared" si="227"/>
        <v>26.8333333333333</v>
      </c>
      <c r="AA1395" s="304">
        <f ca="1">OFFSET(卡牌辅助配置表!$AD$1,MATCH(AB1395,卡牌辅助配置表!AB:AB,0)-1,0)</f>
        <v>2300</v>
      </c>
      <c r="AB1395" s="304">
        <f ca="1" t="shared" si="231"/>
        <v>4205</v>
      </c>
      <c r="AC1395" s="153">
        <v>3</v>
      </c>
      <c r="AE1395" s="153">
        <v>2</v>
      </c>
      <c r="AF1395" s="153" t="str">
        <f ca="1" t="shared" si="235"/>
        <v>24010011|</v>
      </c>
      <c r="AJ1395" s="205">
        <f ca="1" t="shared" si="232"/>
        <v>0</v>
      </c>
      <c r="AK1395" s="205">
        <f ca="1">OFFSET([1]item_type!$A$1,MATCH(Q1395,[1]item_type!$G:$G,0)-1,0)</f>
        <v>302401</v>
      </c>
      <c r="AL1395" s="205"/>
      <c r="AM1395" s="205">
        <f ca="1">IF(B1395=B1396,OFFSET(卡牌辅助配置表!$AE$1,MATCH(AB1395,卡牌辅助配置表!AB:AB,0),0),0)</f>
        <v>2250</v>
      </c>
      <c r="AN1395" s="153">
        <f ca="1" t="shared" ref="AN1395:AN1420" si="236">IF(B1395=B1541,A1395+1,0)</f>
        <v>0</v>
      </c>
      <c r="AP1395" s="153" t="str">
        <f ca="1">IF(AC1395=0,0,IF(AC1395=12,0,OFFSET(effect!$N$1,MATCH(K1395,effect!M:M,0)-1,0)))</f>
        <v>kpsx_pt</v>
      </c>
    </row>
    <row r="1396" spans="1:42">
      <c r="A1396" s="153">
        <f ca="1" t="shared" si="229"/>
        <v>2401006</v>
      </c>
      <c r="B1396" s="91" t="s">
        <v>801</v>
      </c>
      <c r="C1396" s="186">
        <v>2</v>
      </c>
      <c r="D1396" s="186">
        <v>1</v>
      </c>
      <c r="E1396" s="165" t="s">
        <v>1058</v>
      </c>
      <c r="F1396" s="165" t="str">
        <f>"上一招为剑法时，造成伤害增加"&amp;skill!$O$117/100&amp;"%真实伤害"</f>
        <v>上一招为剑法时，造成伤害增加50%真实伤害</v>
      </c>
      <c r="G1396" s="186">
        <f ca="1">OFFSET(卡牌辅助配置表!$C$1,MATCH(AC1396,卡牌辅助配置表!A:A,0)-1,0)</f>
        <v>3</v>
      </c>
      <c r="H1396" s="186">
        <f ca="1">OFFSET(skill!$Q$1,MATCH(B1396,skill!B:B,0)-1,0)</f>
        <v>0.666666666666667</v>
      </c>
      <c r="I1396" s="186"/>
      <c r="J1396" s="186">
        <f ca="1">OFFSET(card_type!$F$1,MATCH(Q1396,card_type!A:A,0)-1,0)</f>
        <v>4</v>
      </c>
      <c r="K1396" s="243">
        <f ca="1">OFFSET(card_type!$G$1,MATCH(Q1396,card_type!A:A,0)-1,0)</f>
        <v>2</v>
      </c>
      <c r="L1396" s="157">
        <v>2</v>
      </c>
      <c r="M1396" s="157">
        <v>2</v>
      </c>
      <c r="N1396" s="153">
        <f t="shared" si="228"/>
        <v>6</v>
      </c>
      <c r="O1396" s="157"/>
      <c r="P1396" s="157"/>
      <c r="Q1396" s="153">
        <f ca="1">OFFSET(card_type!$A$1,MATCH(card!B1396,card_type!B:B,0)-1,0)</f>
        <v>2401</v>
      </c>
      <c r="R1396" s="153">
        <v>1</v>
      </c>
      <c r="S1396" s="157">
        <f ca="1">ROUND(IF(R1396=0,0,IF(R1396=1,X1396*$S$1,IF(R1396=2,X1396*$S$1*buff的资质计算!$E$2,IF(R1396=3,X1396*$S$1*buff的资质计算!$E$3,0)))),0)*0</f>
        <v>0</v>
      </c>
      <c r="T1396" s="153">
        <v>4</v>
      </c>
      <c r="U1396" s="153">
        <f ca="1" t="shared" si="230"/>
        <v>42</v>
      </c>
      <c r="V1396" s="153">
        <f ca="1">ROUND((OFFSET(卡牌辅助配置表!$O$1,MATCH(U1396,卡牌辅助配置表!M:M,0)-1,0)+(N1396-1)*OFFSET(卡牌辅助配置表!$P$1,MATCH(U1396,卡牌辅助配置表!M:M,0)-1,0))*M1396,2)</f>
        <v>80.75</v>
      </c>
      <c r="W1396" s="157">
        <f ca="1">ROUND(IF(R1396=0,0,IF(R1396=1,X1396*$W$1,IF(R1396=2,X1396*$W$1*buff的资质计算!$E$2,IF(R1396=3,X1396*$W$1*buff的资质计算!$E$3,0)))),2)</f>
        <v>16.05</v>
      </c>
      <c r="X1396" s="157">
        <f ca="1" t="shared" ref="X1396:X1459" si="237">M1396*($M$1+(J1396-1)*$J$1+(K1396-1)*$K$1)+G1396+$J$1*(N1396-1)/$N$1</f>
        <v>53.5</v>
      </c>
      <c r="Y1396" s="157">
        <f ca="1" t="shared" si="234"/>
        <v>54.1666666666667</v>
      </c>
      <c r="Z1396" s="304">
        <f ca="1" t="shared" ref="Z1396:Z1459" si="238">Y1396/M1396</f>
        <v>27.0833333333333</v>
      </c>
      <c r="AA1396" s="304">
        <f ca="1">OFFSET(卡牌辅助配置表!$AD$1,MATCH(AB1396,卡牌辅助配置表!AB:AB,0)-1,0)</f>
        <v>2760</v>
      </c>
      <c r="AB1396" s="304">
        <f ca="1" t="shared" si="231"/>
        <v>4206</v>
      </c>
      <c r="AC1396" s="153">
        <v>3</v>
      </c>
      <c r="AE1396" s="153">
        <v>2</v>
      </c>
      <c r="AF1396" s="153" t="str">
        <f ca="1" t="shared" si="235"/>
        <v>24010011|</v>
      </c>
      <c r="AJ1396" s="205">
        <f ca="1" t="shared" si="232"/>
        <v>0</v>
      </c>
      <c r="AK1396" s="205">
        <f ca="1">OFFSET([1]item_type!$A$1,MATCH(Q1396,[1]item_type!$G:$G,0)-1,0)</f>
        <v>302401</v>
      </c>
      <c r="AL1396" s="205"/>
      <c r="AM1396" s="205">
        <f ca="1">IF(B1396=B1397,OFFSET(卡牌辅助配置表!$AE$1,MATCH(AB1396,卡牌辅助配置表!AB:AB,0),0),0)</f>
        <v>2550</v>
      </c>
      <c r="AN1396" s="153">
        <f ca="1" t="shared" si="236"/>
        <v>0</v>
      </c>
      <c r="AP1396" s="153" t="str">
        <f ca="1">IF(AC1396=0,0,IF(AC1396=12,0,OFFSET(effect!$N$1,MATCH(K1396,effect!M:M,0)-1,0)))</f>
        <v>kpsx_pt</v>
      </c>
    </row>
    <row r="1397" spans="1:42">
      <c r="A1397" s="153">
        <f ca="1" t="shared" si="229"/>
        <v>2401007</v>
      </c>
      <c r="B1397" s="91" t="s">
        <v>801</v>
      </c>
      <c r="C1397" s="186">
        <v>2</v>
      </c>
      <c r="D1397" s="186">
        <v>1</v>
      </c>
      <c r="E1397" s="165" t="s">
        <v>1058</v>
      </c>
      <c r="F1397" s="165" t="str">
        <f>"上一招为剑法时，造成伤害增加"&amp;skill!$O$117/100&amp;"%真实伤害"</f>
        <v>上一招为剑法时，造成伤害增加50%真实伤害</v>
      </c>
      <c r="G1397" s="186">
        <f ca="1">OFFSET(卡牌辅助配置表!$C$1,MATCH(AC1397,卡牌辅助配置表!A:A,0)-1,0)</f>
        <v>3</v>
      </c>
      <c r="H1397" s="186">
        <f ca="1">OFFSET(skill!$Q$1,MATCH(B1397,skill!B:B,0)-1,0)</f>
        <v>0.666666666666667</v>
      </c>
      <c r="I1397" s="186"/>
      <c r="J1397" s="186">
        <f ca="1">OFFSET(card_type!$F$1,MATCH(Q1397,card_type!A:A,0)-1,0)</f>
        <v>4</v>
      </c>
      <c r="K1397" s="243">
        <f ca="1">OFFSET(card_type!$G$1,MATCH(Q1397,card_type!A:A,0)-1,0)</f>
        <v>2</v>
      </c>
      <c r="L1397" s="157">
        <v>2</v>
      </c>
      <c r="M1397" s="157">
        <v>2</v>
      </c>
      <c r="N1397" s="153">
        <f t="shared" ref="N1397:N1460" si="239">IF(B1396=B1397,N1396+1,1)</f>
        <v>7</v>
      </c>
      <c r="O1397" s="157"/>
      <c r="P1397" s="157"/>
      <c r="Q1397" s="153">
        <f ca="1">OFFSET(card_type!$A$1,MATCH(card!B1397,card_type!B:B,0)-1,0)</f>
        <v>2401</v>
      </c>
      <c r="R1397" s="153">
        <v>1</v>
      </c>
      <c r="S1397" s="157">
        <f ca="1">ROUND(IF(R1397=0,0,IF(R1397=1,X1397*$S$1,IF(R1397=2,X1397*$S$1*buff的资质计算!$E$2,IF(R1397=3,X1397*$S$1*buff的资质计算!$E$3,0)))),0)*0</f>
        <v>0</v>
      </c>
      <c r="T1397" s="153">
        <v>4</v>
      </c>
      <c r="U1397" s="153">
        <f ca="1" t="shared" si="230"/>
        <v>42</v>
      </c>
      <c r="V1397" s="153">
        <f ca="1">ROUND((OFFSET(卡牌辅助配置表!$O$1,MATCH(U1397,卡牌辅助配置表!M:M,0)-1,0)+(N1397-1)*OFFSET(卡牌辅助配置表!$P$1,MATCH(U1397,卡牌辅助配置表!M:M,0)-1,0))*M1397,2)</f>
        <v>88.05</v>
      </c>
      <c r="W1397" s="157">
        <f ca="1">ROUND(IF(R1397=0,0,IF(R1397=1,X1397*$W$1,IF(R1397=2,X1397*$W$1*buff的资质计算!$E$2,IF(R1397=3,X1397*$W$1*buff的资质计算!$E$3,0)))),2)</f>
        <v>16.2</v>
      </c>
      <c r="X1397" s="157">
        <f ca="1" t="shared" si="237"/>
        <v>54</v>
      </c>
      <c r="Y1397" s="157">
        <f ca="1" t="shared" si="234"/>
        <v>54.6666666666667</v>
      </c>
      <c r="Z1397" s="304">
        <f ca="1" t="shared" si="238"/>
        <v>27.3333333333333</v>
      </c>
      <c r="AA1397" s="304">
        <f ca="1">OFFSET(卡牌辅助配置表!$AD$1,MATCH(AB1397,卡牌辅助配置表!AB:AB,0)-1,0)</f>
        <v>3220</v>
      </c>
      <c r="AB1397" s="304">
        <f ca="1" t="shared" si="231"/>
        <v>4207</v>
      </c>
      <c r="AC1397" s="153">
        <v>3</v>
      </c>
      <c r="AE1397" s="153">
        <v>2</v>
      </c>
      <c r="AF1397" s="153" t="str">
        <f ca="1" t="shared" si="235"/>
        <v>24010011|</v>
      </c>
      <c r="AJ1397" s="205">
        <f ca="1" t="shared" si="232"/>
        <v>0</v>
      </c>
      <c r="AK1397" s="205">
        <f ca="1">OFFSET([1]item_type!$A$1,MATCH(Q1397,[1]item_type!$G:$G,0)-1,0)</f>
        <v>302401</v>
      </c>
      <c r="AL1397" s="205"/>
      <c r="AM1397" s="205">
        <f ca="1">IF(B1397=B1398,OFFSET(卡牌辅助配置表!$AE$1,MATCH(AB1397,卡牌辅助配置表!AB:AB,0),0),0)</f>
        <v>2850</v>
      </c>
      <c r="AN1397" s="153">
        <f ca="1" t="shared" si="236"/>
        <v>0</v>
      </c>
      <c r="AP1397" s="153" t="str">
        <f ca="1">IF(AC1397=0,0,IF(AC1397=12,0,OFFSET(effect!$N$1,MATCH(K1397,effect!M:M,0)-1,0)))</f>
        <v>kpsx_pt</v>
      </c>
    </row>
    <row r="1398" spans="1:42">
      <c r="A1398" s="153">
        <f ca="1" t="shared" si="229"/>
        <v>2401008</v>
      </c>
      <c r="B1398" s="91" t="s">
        <v>801</v>
      </c>
      <c r="C1398" s="186">
        <v>2</v>
      </c>
      <c r="D1398" s="186">
        <v>1</v>
      </c>
      <c r="E1398" s="165" t="s">
        <v>1058</v>
      </c>
      <c r="F1398" s="165" t="str">
        <f>"上一招为剑法时，造成伤害增加"&amp;skill!$O$117/100&amp;"%真实伤害"</f>
        <v>上一招为剑法时，造成伤害增加50%真实伤害</v>
      </c>
      <c r="G1398" s="186">
        <f ca="1">OFFSET(卡牌辅助配置表!$C$1,MATCH(AC1398,卡牌辅助配置表!A:A,0)-1,0)</f>
        <v>3</v>
      </c>
      <c r="H1398" s="186">
        <f ca="1">OFFSET(skill!$Q$1,MATCH(B1398,skill!B:B,0)-1,0)</f>
        <v>0.666666666666667</v>
      </c>
      <c r="I1398" s="186"/>
      <c r="J1398" s="186">
        <f ca="1">OFFSET(card_type!$F$1,MATCH(Q1398,card_type!A:A,0)-1,0)</f>
        <v>4</v>
      </c>
      <c r="K1398" s="243">
        <f ca="1">OFFSET(card_type!$G$1,MATCH(Q1398,card_type!A:A,0)-1,0)</f>
        <v>2</v>
      </c>
      <c r="L1398" s="157">
        <v>2</v>
      </c>
      <c r="M1398" s="157">
        <v>2</v>
      </c>
      <c r="N1398" s="153">
        <f t="shared" si="239"/>
        <v>8</v>
      </c>
      <c r="O1398" s="157"/>
      <c r="P1398" s="157"/>
      <c r="Q1398" s="153">
        <f ca="1">OFFSET(card_type!$A$1,MATCH(card!B1398,card_type!B:B,0)-1,0)</f>
        <v>2401</v>
      </c>
      <c r="R1398" s="153">
        <v>1</v>
      </c>
      <c r="S1398" s="157">
        <f ca="1">ROUND(IF(R1398=0,0,IF(R1398=1,X1398*$S$1,IF(R1398=2,X1398*$S$1*buff的资质计算!$E$2,IF(R1398=3,X1398*$S$1*buff的资质计算!$E$3,0)))),0)*0</f>
        <v>0</v>
      </c>
      <c r="T1398" s="153">
        <v>4</v>
      </c>
      <c r="U1398" s="153">
        <f ca="1" t="shared" si="230"/>
        <v>42</v>
      </c>
      <c r="V1398" s="153">
        <f ca="1">ROUND((OFFSET(卡牌辅助配置表!$O$1,MATCH(U1398,卡牌辅助配置表!M:M,0)-1,0)+(N1398-1)*OFFSET(卡牌辅助配置表!$P$1,MATCH(U1398,卡牌辅助配置表!M:M,0)-1,0))*M1398,2)</f>
        <v>95.35</v>
      </c>
      <c r="W1398" s="157">
        <f ca="1">ROUND(IF(R1398=0,0,IF(R1398=1,X1398*$W$1,IF(R1398=2,X1398*$W$1*buff的资质计算!$E$2,IF(R1398=3,X1398*$W$1*buff的资质计算!$E$3,0)))),2)</f>
        <v>16.35</v>
      </c>
      <c r="X1398" s="157">
        <f ca="1" t="shared" si="237"/>
        <v>54.5</v>
      </c>
      <c r="Y1398" s="157">
        <f ca="1" t="shared" si="234"/>
        <v>55.1666666666667</v>
      </c>
      <c r="Z1398" s="304">
        <f ca="1" t="shared" si="238"/>
        <v>27.5833333333333</v>
      </c>
      <c r="AA1398" s="304">
        <f ca="1">OFFSET(卡牌辅助配置表!$AD$1,MATCH(AB1398,卡牌辅助配置表!AB:AB,0)-1,0)</f>
        <v>3680</v>
      </c>
      <c r="AB1398" s="304">
        <f ca="1" t="shared" si="231"/>
        <v>4208</v>
      </c>
      <c r="AC1398" s="153">
        <v>3</v>
      </c>
      <c r="AE1398" s="153">
        <v>2</v>
      </c>
      <c r="AF1398" s="153" t="str">
        <f ca="1" t="shared" si="235"/>
        <v>24010011|</v>
      </c>
      <c r="AJ1398" s="205">
        <f ca="1" t="shared" si="232"/>
        <v>0</v>
      </c>
      <c r="AK1398" s="205">
        <f ca="1">OFFSET([1]item_type!$A$1,MATCH(Q1398,[1]item_type!$G:$G,0)-1,0)</f>
        <v>302401</v>
      </c>
      <c r="AL1398" s="205"/>
      <c r="AM1398" s="205">
        <f ca="1">IF(B1398=B1399,OFFSET(卡牌辅助配置表!$AE$1,MATCH(AB1398,卡牌辅助配置表!AB:AB,0),0),0)</f>
        <v>3150</v>
      </c>
      <c r="AN1398" s="153">
        <f ca="1" t="shared" si="236"/>
        <v>0</v>
      </c>
      <c r="AP1398" s="153" t="str">
        <f ca="1">IF(AC1398=0,0,IF(AC1398=12,0,OFFSET(effect!$N$1,MATCH(K1398,effect!M:M,0)-1,0)))</f>
        <v>kpsx_pt</v>
      </c>
    </row>
    <row r="1399" spans="1:42">
      <c r="A1399" s="153">
        <f ca="1" t="shared" si="229"/>
        <v>2401009</v>
      </c>
      <c r="B1399" s="91" t="s">
        <v>801</v>
      </c>
      <c r="C1399" s="186">
        <v>2</v>
      </c>
      <c r="D1399" s="186">
        <v>1</v>
      </c>
      <c r="E1399" s="165" t="s">
        <v>1058</v>
      </c>
      <c r="F1399" s="165" t="str">
        <f>"上一招为剑法时，造成伤害增加"&amp;skill!$O$117/100&amp;"%真实伤害"</f>
        <v>上一招为剑法时，造成伤害增加50%真实伤害</v>
      </c>
      <c r="G1399" s="186">
        <f ca="1">OFFSET(卡牌辅助配置表!$C$1,MATCH(AC1399,卡牌辅助配置表!A:A,0)-1,0)</f>
        <v>3</v>
      </c>
      <c r="H1399" s="186">
        <f ca="1">OFFSET(skill!$Q$1,MATCH(B1399,skill!B:B,0)-1,0)</f>
        <v>0.666666666666667</v>
      </c>
      <c r="I1399" s="186"/>
      <c r="J1399" s="186">
        <f ca="1">OFFSET(card_type!$F$1,MATCH(Q1399,card_type!A:A,0)-1,0)</f>
        <v>4</v>
      </c>
      <c r="K1399" s="243">
        <f ca="1">OFFSET(card_type!$G$1,MATCH(Q1399,card_type!A:A,0)-1,0)</f>
        <v>2</v>
      </c>
      <c r="L1399" s="157">
        <v>2</v>
      </c>
      <c r="M1399" s="157">
        <v>2</v>
      </c>
      <c r="N1399" s="153">
        <f t="shared" si="239"/>
        <v>9</v>
      </c>
      <c r="O1399" s="157"/>
      <c r="P1399" s="157"/>
      <c r="Q1399" s="153">
        <f ca="1">OFFSET(card_type!$A$1,MATCH(card!B1399,card_type!B:B,0)-1,0)</f>
        <v>2401</v>
      </c>
      <c r="R1399" s="153">
        <v>1</v>
      </c>
      <c r="S1399" s="157">
        <f ca="1">ROUND(IF(R1399=0,0,IF(R1399=1,X1399*$S$1,IF(R1399=2,X1399*$S$1*buff的资质计算!$E$2,IF(R1399=3,X1399*$S$1*buff的资质计算!$E$3,0)))),0)*0</f>
        <v>0</v>
      </c>
      <c r="T1399" s="153">
        <v>4</v>
      </c>
      <c r="U1399" s="153">
        <f ca="1" t="shared" si="230"/>
        <v>42</v>
      </c>
      <c r="V1399" s="153">
        <f ca="1">ROUND((OFFSET(卡牌辅助配置表!$O$1,MATCH(U1399,卡牌辅助配置表!M:M,0)-1,0)+(N1399-1)*OFFSET(卡牌辅助配置表!$P$1,MATCH(U1399,卡牌辅助配置表!M:M,0)-1,0))*M1399,2)</f>
        <v>102.65</v>
      </c>
      <c r="W1399" s="157">
        <f ca="1">ROUND(IF(R1399=0,0,IF(R1399=1,X1399*$W$1,IF(R1399=2,X1399*$W$1*buff的资质计算!$E$2,IF(R1399=3,X1399*$W$1*buff的资质计算!$E$3,0)))),2)</f>
        <v>16.5</v>
      </c>
      <c r="X1399" s="157">
        <f ca="1" t="shared" si="237"/>
        <v>55</v>
      </c>
      <c r="Y1399" s="157">
        <f ca="1" t="shared" si="234"/>
        <v>55.6666666666667</v>
      </c>
      <c r="Z1399" s="304">
        <f ca="1" t="shared" si="238"/>
        <v>27.8333333333333</v>
      </c>
      <c r="AA1399" s="304">
        <f ca="1">OFFSET(卡牌辅助配置表!$AD$1,MATCH(AB1399,卡牌辅助配置表!AB:AB,0)-1,0)</f>
        <v>4140</v>
      </c>
      <c r="AB1399" s="304">
        <f ca="1" t="shared" si="231"/>
        <v>4209</v>
      </c>
      <c r="AC1399" s="153">
        <v>3</v>
      </c>
      <c r="AE1399" s="153">
        <v>2</v>
      </c>
      <c r="AF1399" s="153" t="str">
        <f ca="1" t="shared" si="235"/>
        <v>24010011|</v>
      </c>
      <c r="AJ1399" s="205">
        <f ca="1" t="shared" si="232"/>
        <v>0</v>
      </c>
      <c r="AK1399" s="205">
        <f ca="1">OFFSET([1]item_type!$A$1,MATCH(Q1399,[1]item_type!$G:$G,0)-1,0)</f>
        <v>302401</v>
      </c>
      <c r="AL1399" s="205">
        <v>15</v>
      </c>
      <c r="AM1399" s="205">
        <f ca="1">IF(B1399=B1400,OFFSET(卡牌辅助配置表!$AE$1,MATCH(AB1399,卡牌辅助配置表!AB:AB,0),0),0)</f>
        <v>3450</v>
      </c>
      <c r="AN1399" s="153">
        <f ca="1" t="shared" si="236"/>
        <v>0</v>
      </c>
      <c r="AP1399" s="153" t="str">
        <f ca="1">IF(AC1399=0,0,IF(AC1399=12,0,OFFSET(effect!$N$1,MATCH(K1399,effect!M:M,0)-1,0)))</f>
        <v>kpsx_pt</v>
      </c>
    </row>
    <row r="1400" spans="1:42">
      <c r="A1400" s="153">
        <f ca="1" t="shared" si="229"/>
        <v>2401010</v>
      </c>
      <c r="B1400" s="91" t="s">
        <v>801</v>
      </c>
      <c r="C1400" s="186">
        <v>2</v>
      </c>
      <c r="D1400" s="186">
        <v>1</v>
      </c>
      <c r="E1400" s="165" t="s">
        <v>1058</v>
      </c>
      <c r="F1400" s="165" t="str">
        <f>"上一招为剑法时，造成伤害增加"&amp;skill!$O$117/100&amp;"%真实伤害"</f>
        <v>上一招为剑法时，造成伤害增加50%真实伤害</v>
      </c>
      <c r="G1400" s="186">
        <f ca="1">OFFSET(卡牌辅助配置表!$C$1,MATCH(AC1400,卡牌辅助配置表!A:A,0)-1,0)</f>
        <v>3</v>
      </c>
      <c r="H1400" s="186">
        <f ca="1">OFFSET(skill!$Q$1,MATCH(B1400,skill!B:B,0)-1,0)</f>
        <v>0.666666666666667</v>
      </c>
      <c r="I1400" s="186"/>
      <c r="J1400" s="186">
        <f ca="1">OFFSET(card_type!$F$1,MATCH(Q1400,card_type!A:A,0)-1,0)</f>
        <v>4</v>
      </c>
      <c r="K1400" s="243">
        <f ca="1">OFFSET(card_type!$G$1,MATCH(Q1400,card_type!A:A,0)-1,0)</f>
        <v>2</v>
      </c>
      <c r="L1400" s="157">
        <v>2</v>
      </c>
      <c r="M1400" s="157">
        <v>2</v>
      </c>
      <c r="N1400" s="153">
        <f t="shared" si="239"/>
        <v>10</v>
      </c>
      <c r="O1400" s="157"/>
      <c r="P1400" s="157"/>
      <c r="Q1400" s="153">
        <f ca="1">OFFSET(card_type!$A$1,MATCH(card!B1400,card_type!B:B,0)-1,0)</f>
        <v>2401</v>
      </c>
      <c r="R1400" s="153">
        <v>1</v>
      </c>
      <c r="S1400" s="157">
        <f ca="1">ROUND(IF(R1400=0,0,IF(R1400=1,X1400*$S$1,IF(R1400=2,X1400*$S$1*buff的资质计算!$E$2,IF(R1400=3,X1400*$S$1*buff的资质计算!$E$3,0)))),0)*0</f>
        <v>0</v>
      </c>
      <c r="T1400" s="153">
        <v>4</v>
      </c>
      <c r="U1400" s="153">
        <f ca="1" t="shared" si="230"/>
        <v>42</v>
      </c>
      <c r="V1400" s="153">
        <f ca="1">ROUND((OFFSET(卡牌辅助配置表!$O$1,MATCH(U1400,卡牌辅助配置表!M:M,0)-1,0)+(N1400-1)*OFFSET(卡牌辅助配置表!$P$1,MATCH(U1400,卡牌辅助配置表!M:M,0)-1,0))*M1400,2)</f>
        <v>109.95</v>
      </c>
      <c r="W1400" s="157">
        <f ca="1">ROUND(IF(R1400=0,0,IF(R1400=1,X1400*$W$1,IF(R1400=2,X1400*$W$1*buff的资质计算!$E$2,IF(R1400=3,X1400*$W$1*buff的资质计算!$E$3,0)))),2)</f>
        <v>16.65</v>
      </c>
      <c r="X1400" s="157">
        <f ca="1" t="shared" si="237"/>
        <v>55.5</v>
      </c>
      <c r="Y1400" s="157">
        <f ca="1" t="shared" si="234"/>
        <v>56.1666666666667</v>
      </c>
      <c r="Z1400" s="304">
        <f ca="1" t="shared" si="238"/>
        <v>28.0833333333333</v>
      </c>
      <c r="AA1400" s="304">
        <f ca="1">OFFSET(卡牌辅助配置表!$AD$1,MATCH(AB1400,卡牌辅助配置表!AB:AB,0)-1,0)</f>
        <v>4600</v>
      </c>
      <c r="AB1400" s="304">
        <f ca="1" t="shared" si="231"/>
        <v>4210</v>
      </c>
      <c r="AC1400" s="153">
        <v>3</v>
      </c>
      <c r="AE1400" s="153">
        <v>2</v>
      </c>
      <c r="AF1400" s="153" t="str">
        <f ca="1" t="shared" si="235"/>
        <v>24010011|</v>
      </c>
      <c r="AJ1400" s="205">
        <f ca="1" t="shared" si="232"/>
        <v>0</v>
      </c>
      <c r="AK1400" s="205">
        <f ca="1">OFFSET([1]item_type!$A$1,MATCH(Q1400,[1]item_type!$G:$G,0)-1,0)</f>
        <v>302401</v>
      </c>
      <c r="AL1400" s="205"/>
      <c r="AM1400" s="205">
        <f ca="1">IF(B1400=B1401,OFFSET(卡牌辅助配置表!$AE$1,MATCH(AB1400,卡牌辅助配置表!AB:AB,0),0),0)</f>
        <v>4050</v>
      </c>
      <c r="AN1400" s="153">
        <f ca="1" t="shared" si="236"/>
        <v>0</v>
      </c>
      <c r="AP1400" s="153" t="str">
        <f ca="1">IF(AC1400=0,0,IF(AC1400=12,0,OFFSET(effect!$N$1,MATCH(K1400,effect!M:M,0)-1,0)))</f>
        <v>kpsx_pt</v>
      </c>
    </row>
    <row r="1401" spans="1:42">
      <c r="A1401" s="153">
        <f ca="1" t="shared" si="229"/>
        <v>2401011</v>
      </c>
      <c r="B1401" s="91" t="s">
        <v>801</v>
      </c>
      <c r="C1401" s="186">
        <v>2</v>
      </c>
      <c r="D1401" s="186">
        <v>1</v>
      </c>
      <c r="E1401" s="165" t="s">
        <v>1058</v>
      </c>
      <c r="F1401" s="165" t="str">
        <f>"上一招为剑法时，造成伤害增加"&amp;skill!$O$117/100&amp;"%真实伤害"</f>
        <v>上一招为剑法时，造成伤害增加50%真实伤害</v>
      </c>
      <c r="G1401" s="186">
        <f ca="1">OFFSET(卡牌辅助配置表!$C$1,MATCH(AC1401,卡牌辅助配置表!A:A,0)-1,0)</f>
        <v>3</v>
      </c>
      <c r="H1401" s="186">
        <f ca="1">OFFSET(skill!$Q$1,MATCH(B1401,skill!B:B,0)-1,0)</f>
        <v>0.666666666666667</v>
      </c>
      <c r="I1401" s="186"/>
      <c r="J1401" s="186">
        <f ca="1">OFFSET(card_type!$F$1,MATCH(Q1401,card_type!A:A,0)-1,0)</f>
        <v>4</v>
      </c>
      <c r="K1401" s="243">
        <f ca="1">OFFSET(card_type!$G$1,MATCH(Q1401,card_type!A:A,0)-1,0)</f>
        <v>2</v>
      </c>
      <c r="L1401" s="157">
        <v>2</v>
      </c>
      <c r="M1401" s="157">
        <v>2</v>
      </c>
      <c r="N1401" s="153">
        <f t="shared" si="239"/>
        <v>11</v>
      </c>
      <c r="O1401" s="157"/>
      <c r="P1401" s="157"/>
      <c r="Q1401" s="153">
        <f ca="1">OFFSET(card_type!$A$1,MATCH(card!B1401,card_type!B:B,0)-1,0)</f>
        <v>2401</v>
      </c>
      <c r="R1401" s="153">
        <v>1</v>
      </c>
      <c r="S1401" s="157">
        <f ca="1">ROUND(IF(R1401=0,0,IF(R1401=1,X1401*$S$1,IF(R1401=2,X1401*$S$1*buff的资质计算!$E$2,IF(R1401=3,X1401*$S$1*buff的资质计算!$E$3,0)))),0)*0</f>
        <v>0</v>
      </c>
      <c r="T1401" s="153">
        <v>4</v>
      </c>
      <c r="U1401" s="153">
        <f ca="1" t="shared" si="230"/>
        <v>42</v>
      </c>
      <c r="V1401" s="153">
        <f ca="1">ROUND((OFFSET(卡牌辅助配置表!$O$1,MATCH(U1401,卡牌辅助配置表!M:M,0)-1,0)+(N1401-1)*OFFSET(卡牌辅助配置表!$P$1,MATCH(U1401,卡牌辅助配置表!M:M,0)-1,0))*M1401,2)</f>
        <v>117.25</v>
      </c>
      <c r="W1401" s="157">
        <f ca="1">ROUND(IF(R1401=0,0,IF(R1401=1,X1401*$W$1,IF(R1401=2,X1401*$W$1*buff的资质计算!$E$2,IF(R1401=3,X1401*$W$1*buff的资质计算!$E$3,0)))),2)</f>
        <v>16.8</v>
      </c>
      <c r="X1401" s="157">
        <f ca="1" t="shared" si="237"/>
        <v>56</v>
      </c>
      <c r="Y1401" s="157">
        <f ca="1" t="shared" si="234"/>
        <v>56.6666666666667</v>
      </c>
      <c r="Z1401" s="304">
        <f ca="1" t="shared" si="238"/>
        <v>28.3333333333333</v>
      </c>
      <c r="AA1401" s="304">
        <f ca="1">OFFSET(卡牌辅助配置表!$AD$1,MATCH(AB1401,卡牌辅助配置表!AB:AB,0)-1,0)</f>
        <v>5290</v>
      </c>
      <c r="AB1401" s="304">
        <f ca="1" t="shared" si="231"/>
        <v>4211</v>
      </c>
      <c r="AC1401" s="153">
        <v>3</v>
      </c>
      <c r="AE1401" s="153">
        <v>2</v>
      </c>
      <c r="AF1401" s="153" t="str">
        <f ca="1" t="shared" si="235"/>
        <v>24010011|</v>
      </c>
      <c r="AJ1401" s="205">
        <f ca="1" t="shared" si="232"/>
        <v>0</v>
      </c>
      <c r="AK1401" s="205">
        <f ca="1">OFFSET([1]item_type!$A$1,MATCH(Q1401,[1]item_type!$G:$G,0)-1,0)</f>
        <v>302401</v>
      </c>
      <c r="AL1401" s="205"/>
      <c r="AM1401" s="205">
        <f ca="1">IF(B1401=B1402,OFFSET(卡牌辅助配置表!$AE$1,MATCH(AB1401,卡牌辅助配置表!AB:AB,0),0),0)</f>
        <v>4650</v>
      </c>
      <c r="AN1401" s="153">
        <f ca="1" t="shared" si="236"/>
        <v>0</v>
      </c>
      <c r="AP1401" s="153" t="str">
        <f ca="1">IF(AC1401=0,0,IF(AC1401=12,0,OFFSET(effect!$N$1,MATCH(K1401,effect!M:M,0)-1,0)))</f>
        <v>kpsx_pt</v>
      </c>
    </row>
    <row r="1402" spans="1:42">
      <c r="A1402" s="153">
        <f ca="1" t="shared" si="229"/>
        <v>2401012</v>
      </c>
      <c r="B1402" s="91" t="s">
        <v>801</v>
      </c>
      <c r="C1402" s="186">
        <v>2</v>
      </c>
      <c r="D1402" s="186">
        <v>1</v>
      </c>
      <c r="E1402" s="165" t="s">
        <v>1058</v>
      </c>
      <c r="F1402" s="165" t="str">
        <f>"上一招为剑法时，造成伤害增加"&amp;skill!$O$117/100&amp;"%真实伤害"</f>
        <v>上一招为剑法时，造成伤害增加50%真实伤害</v>
      </c>
      <c r="G1402" s="186">
        <f ca="1">OFFSET(卡牌辅助配置表!$C$1,MATCH(AC1402,卡牌辅助配置表!A:A,0)-1,0)</f>
        <v>3</v>
      </c>
      <c r="H1402" s="186">
        <f ca="1">OFFSET(skill!$Q$1,MATCH(B1402,skill!B:B,0)-1,0)</f>
        <v>0.666666666666667</v>
      </c>
      <c r="I1402" s="186"/>
      <c r="J1402" s="186">
        <f ca="1">OFFSET(card_type!$F$1,MATCH(Q1402,card_type!A:A,0)-1,0)</f>
        <v>4</v>
      </c>
      <c r="K1402" s="243">
        <f ca="1">OFFSET(card_type!$G$1,MATCH(Q1402,card_type!A:A,0)-1,0)</f>
        <v>2</v>
      </c>
      <c r="L1402" s="157">
        <v>2</v>
      </c>
      <c r="M1402" s="157">
        <v>2</v>
      </c>
      <c r="N1402" s="153">
        <f t="shared" si="239"/>
        <v>12</v>
      </c>
      <c r="O1402" s="157"/>
      <c r="P1402" s="157"/>
      <c r="Q1402" s="153">
        <f ca="1">OFFSET(card_type!$A$1,MATCH(card!B1402,card_type!B:B,0)-1,0)</f>
        <v>2401</v>
      </c>
      <c r="R1402" s="153">
        <v>1</v>
      </c>
      <c r="S1402" s="157">
        <f ca="1">ROUND(IF(R1402=0,0,IF(R1402=1,X1402*$S$1,IF(R1402=2,X1402*$S$1*buff的资质计算!$E$2,IF(R1402=3,X1402*$S$1*buff的资质计算!$E$3,0)))),0)*0</f>
        <v>0</v>
      </c>
      <c r="T1402" s="153">
        <v>4</v>
      </c>
      <c r="U1402" s="153">
        <f ca="1" t="shared" si="230"/>
        <v>42</v>
      </c>
      <c r="V1402" s="153">
        <f ca="1">ROUND((OFFSET(卡牌辅助配置表!$O$1,MATCH(U1402,卡牌辅助配置表!M:M,0)-1,0)+(N1402-1)*OFFSET(卡牌辅助配置表!$P$1,MATCH(U1402,卡牌辅助配置表!M:M,0)-1,0))*M1402,2)</f>
        <v>124.55</v>
      </c>
      <c r="W1402" s="157">
        <f ca="1">ROUND(IF(R1402=0,0,IF(R1402=1,X1402*$W$1,IF(R1402=2,X1402*$W$1*buff的资质计算!$E$2,IF(R1402=3,X1402*$W$1*buff的资质计算!$E$3,0)))),2)</f>
        <v>16.95</v>
      </c>
      <c r="X1402" s="157">
        <f ca="1" t="shared" si="237"/>
        <v>56.5</v>
      </c>
      <c r="Y1402" s="157">
        <f ca="1" t="shared" si="234"/>
        <v>57.1666666666667</v>
      </c>
      <c r="Z1402" s="304">
        <f ca="1" t="shared" si="238"/>
        <v>28.5833333333333</v>
      </c>
      <c r="AA1402" s="304">
        <f ca="1">OFFSET(卡牌辅助配置表!$AD$1,MATCH(AB1402,卡牌辅助配置表!AB:AB,0)-1,0)</f>
        <v>5980</v>
      </c>
      <c r="AB1402" s="304">
        <f ca="1" t="shared" si="231"/>
        <v>4212</v>
      </c>
      <c r="AC1402" s="153">
        <v>3</v>
      </c>
      <c r="AE1402" s="153">
        <v>2</v>
      </c>
      <c r="AF1402" s="153" t="str">
        <f ca="1" t="shared" si="235"/>
        <v>24010011|</v>
      </c>
      <c r="AJ1402" s="205">
        <f ca="1" t="shared" si="232"/>
        <v>0</v>
      </c>
      <c r="AK1402" s="205">
        <f ca="1">OFFSET([1]item_type!$A$1,MATCH(Q1402,[1]item_type!$G:$G,0)-1,0)</f>
        <v>302401</v>
      </c>
      <c r="AL1402" s="205"/>
      <c r="AM1402" s="205">
        <f ca="1">IF(B1402=B1403,OFFSET(卡牌辅助配置表!$AE$1,MATCH(AB1402,卡牌辅助配置表!AB:AB,0),0),0)</f>
        <v>5250</v>
      </c>
      <c r="AN1402" s="153">
        <f ca="1" t="shared" si="236"/>
        <v>0</v>
      </c>
      <c r="AP1402" s="153" t="str">
        <f ca="1">IF(AC1402=0,0,IF(AC1402=12,0,OFFSET(effect!$N$1,MATCH(K1402,effect!M:M,0)-1,0)))</f>
        <v>kpsx_pt</v>
      </c>
    </row>
    <row r="1403" spans="1:42">
      <c r="A1403" s="153">
        <f ca="1" t="shared" si="229"/>
        <v>2401013</v>
      </c>
      <c r="B1403" s="91" t="s">
        <v>801</v>
      </c>
      <c r="C1403" s="186">
        <v>2</v>
      </c>
      <c r="D1403" s="186">
        <v>1</v>
      </c>
      <c r="E1403" s="165" t="s">
        <v>1058</v>
      </c>
      <c r="F1403" s="165" t="str">
        <f>"上一招为剑法时，造成伤害增加"&amp;skill!$O$117/100&amp;"%真实伤害"</f>
        <v>上一招为剑法时，造成伤害增加50%真实伤害</v>
      </c>
      <c r="G1403" s="186">
        <f ca="1">OFFSET(卡牌辅助配置表!$C$1,MATCH(AC1403,卡牌辅助配置表!A:A,0)-1,0)</f>
        <v>3</v>
      </c>
      <c r="H1403" s="186">
        <f ca="1">OFFSET(skill!$Q$1,MATCH(B1403,skill!B:B,0)-1,0)</f>
        <v>0.666666666666667</v>
      </c>
      <c r="I1403" s="186"/>
      <c r="J1403" s="186">
        <f ca="1">OFFSET(card_type!$F$1,MATCH(Q1403,card_type!A:A,0)-1,0)</f>
        <v>4</v>
      </c>
      <c r="K1403" s="243">
        <f ca="1">OFFSET(card_type!$G$1,MATCH(Q1403,card_type!A:A,0)-1,0)</f>
        <v>2</v>
      </c>
      <c r="L1403" s="157">
        <v>2</v>
      </c>
      <c r="M1403" s="157">
        <v>2</v>
      </c>
      <c r="N1403" s="153">
        <f t="shared" si="239"/>
        <v>13</v>
      </c>
      <c r="O1403" s="157"/>
      <c r="P1403" s="157"/>
      <c r="Q1403" s="153">
        <f ca="1">OFFSET(card_type!$A$1,MATCH(card!B1403,card_type!B:B,0)-1,0)</f>
        <v>2401</v>
      </c>
      <c r="R1403" s="153">
        <v>1</v>
      </c>
      <c r="S1403" s="157">
        <f ca="1">ROUND(IF(R1403=0,0,IF(R1403=1,X1403*$S$1,IF(R1403=2,X1403*$S$1*buff的资质计算!$E$2,IF(R1403=3,X1403*$S$1*buff的资质计算!$E$3,0)))),0)*0</f>
        <v>0</v>
      </c>
      <c r="T1403" s="153">
        <v>4</v>
      </c>
      <c r="U1403" s="153">
        <f ca="1" t="shared" si="230"/>
        <v>42</v>
      </c>
      <c r="V1403" s="153">
        <f ca="1">ROUND((OFFSET(卡牌辅助配置表!$O$1,MATCH(U1403,卡牌辅助配置表!M:M,0)-1,0)+(N1403-1)*OFFSET(卡牌辅助配置表!$P$1,MATCH(U1403,卡牌辅助配置表!M:M,0)-1,0))*M1403,2)</f>
        <v>131.85</v>
      </c>
      <c r="W1403" s="157">
        <f ca="1">ROUND(IF(R1403=0,0,IF(R1403=1,X1403*$W$1,IF(R1403=2,X1403*$W$1*buff的资质计算!$E$2,IF(R1403=3,X1403*$W$1*buff的资质计算!$E$3,0)))),2)</f>
        <v>17.1</v>
      </c>
      <c r="X1403" s="157">
        <f ca="1" t="shared" si="237"/>
        <v>57</v>
      </c>
      <c r="Y1403" s="157">
        <f ca="1" t="shared" si="234"/>
        <v>57.6666666666667</v>
      </c>
      <c r="Z1403" s="304">
        <f ca="1" t="shared" si="238"/>
        <v>28.8333333333333</v>
      </c>
      <c r="AA1403" s="304">
        <f ca="1">OFFSET(卡牌辅助配置表!$AD$1,MATCH(AB1403,卡牌辅助配置表!AB:AB,0)-1,0)</f>
        <v>6670</v>
      </c>
      <c r="AB1403" s="304">
        <f ca="1" t="shared" si="231"/>
        <v>4213</v>
      </c>
      <c r="AC1403" s="153">
        <v>3</v>
      </c>
      <c r="AE1403" s="153">
        <v>2</v>
      </c>
      <c r="AF1403" s="153" t="str">
        <f ca="1" t="shared" si="235"/>
        <v>24010011|</v>
      </c>
      <c r="AJ1403" s="205">
        <f ca="1" t="shared" si="232"/>
        <v>0</v>
      </c>
      <c r="AK1403" s="205">
        <f ca="1">OFFSET([1]item_type!$A$1,MATCH(Q1403,[1]item_type!$G:$G,0)-1,0)</f>
        <v>302401</v>
      </c>
      <c r="AL1403" s="205"/>
      <c r="AM1403" s="205">
        <f ca="1">IF(B1403=B1404,OFFSET(卡牌辅助配置表!$AE$1,MATCH(AB1403,卡牌辅助配置表!AB:AB,0),0),0)</f>
        <v>5850</v>
      </c>
      <c r="AN1403" s="153">
        <f ca="1" t="shared" si="236"/>
        <v>0</v>
      </c>
      <c r="AP1403" s="153" t="str">
        <f ca="1">IF(AC1403=0,0,IF(AC1403=12,0,OFFSET(effect!$N$1,MATCH(K1403,effect!M:M,0)-1,0)))</f>
        <v>kpsx_pt</v>
      </c>
    </row>
    <row r="1404" spans="1:42">
      <c r="A1404" s="153">
        <f ca="1" t="shared" si="229"/>
        <v>2401014</v>
      </c>
      <c r="B1404" s="91" t="s">
        <v>801</v>
      </c>
      <c r="C1404" s="186">
        <v>2</v>
      </c>
      <c r="D1404" s="186">
        <v>1</v>
      </c>
      <c r="E1404" s="165" t="s">
        <v>1058</v>
      </c>
      <c r="F1404" s="165" t="str">
        <f>"上一招为剑法时，造成伤害增加"&amp;skill!$O$117/100&amp;"%真实伤害"</f>
        <v>上一招为剑法时，造成伤害增加50%真实伤害</v>
      </c>
      <c r="G1404" s="186">
        <f ca="1">OFFSET(卡牌辅助配置表!$C$1,MATCH(AC1404,卡牌辅助配置表!A:A,0)-1,0)</f>
        <v>3</v>
      </c>
      <c r="H1404" s="186">
        <f ca="1">OFFSET(skill!$Q$1,MATCH(B1404,skill!B:B,0)-1,0)</f>
        <v>0.666666666666667</v>
      </c>
      <c r="I1404" s="186"/>
      <c r="J1404" s="186">
        <f ca="1">OFFSET(card_type!$F$1,MATCH(Q1404,card_type!A:A,0)-1,0)</f>
        <v>4</v>
      </c>
      <c r="K1404" s="243">
        <f ca="1">OFFSET(card_type!$G$1,MATCH(Q1404,card_type!A:A,0)-1,0)</f>
        <v>2</v>
      </c>
      <c r="L1404" s="157">
        <v>2</v>
      </c>
      <c r="M1404" s="157">
        <v>2</v>
      </c>
      <c r="N1404" s="153">
        <f t="shared" si="239"/>
        <v>14</v>
      </c>
      <c r="O1404" s="157"/>
      <c r="P1404" s="157"/>
      <c r="Q1404" s="153">
        <f ca="1">OFFSET(card_type!$A$1,MATCH(card!B1404,card_type!B:B,0)-1,0)</f>
        <v>2401</v>
      </c>
      <c r="R1404" s="153">
        <v>1</v>
      </c>
      <c r="S1404" s="157">
        <f ca="1">ROUND(IF(R1404=0,0,IF(R1404=1,X1404*$S$1,IF(R1404=2,X1404*$S$1*buff的资质计算!$E$2,IF(R1404=3,X1404*$S$1*buff的资质计算!$E$3,0)))),0)*0</f>
        <v>0</v>
      </c>
      <c r="T1404" s="153">
        <v>4</v>
      </c>
      <c r="U1404" s="153">
        <f ca="1" t="shared" si="230"/>
        <v>42</v>
      </c>
      <c r="V1404" s="153">
        <f ca="1">ROUND((OFFSET(卡牌辅助配置表!$O$1,MATCH(U1404,卡牌辅助配置表!M:M,0)-1,0)+(N1404-1)*OFFSET(卡牌辅助配置表!$P$1,MATCH(U1404,卡牌辅助配置表!M:M,0)-1,0))*M1404,2)</f>
        <v>139.15</v>
      </c>
      <c r="W1404" s="157">
        <f ca="1">ROUND(IF(R1404=0,0,IF(R1404=1,X1404*$W$1,IF(R1404=2,X1404*$W$1*buff的资质计算!$E$2,IF(R1404=3,X1404*$W$1*buff的资质计算!$E$3,0)))),2)</f>
        <v>17.25</v>
      </c>
      <c r="X1404" s="157">
        <f ca="1" t="shared" si="237"/>
        <v>57.5</v>
      </c>
      <c r="Y1404" s="157">
        <f ca="1" t="shared" si="234"/>
        <v>58.1666666666667</v>
      </c>
      <c r="Z1404" s="304">
        <f ca="1" t="shared" si="238"/>
        <v>29.0833333333333</v>
      </c>
      <c r="AA1404" s="304">
        <f ca="1">OFFSET(卡牌辅助配置表!$AD$1,MATCH(AB1404,卡牌辅助配置表!AB:AB,0)-1,0)</f>
        <v>7360</v>
      </c>
      <c r="AB1404" s="304">
        <f ca="1" t="shared" si="231"/>
        <v>4214</v>
      </c>
      <c r="AC1404" s="153">
        <v>3</v>
      </c>
      <c r="AE1404" s="153">
        <v>2</v>
      </c>
      <c r="AF1404" s="153" t="str">
        <f ca="1" t="shared" si="235"/>
        <v>24010011|</v>
      </c>
      <c r="AJ1404" s="205">
        <f ca="1" t="shared" si="232"/>
        <v>0</v>
      </c>
      <c r="AK1404" s="205">
        <f ca="1">OFFSET([1]item_type!$A$1,MATCH(Q1404,[1]item_type!$G:$G,0)-1,0)</f>
        <v>302401</v>
      </c>
      <c r="AL1404" s="205"/>
      <c r="AM1404" s="205">
        <f ca="1">IF(B1404=B1405,OFFSET(卡牌辅助配置表!$AE$1,MATCH(AB1404,卡牌辅助配置表!AB:AB,0),0),0)</f>
        <v>6450</v>
      </c>
      <c r="AN1404" s="153">
        <f ca="1" t="shared" si="236"/>
        <v>0</v>
      </c>
      <c r="AP1404" s="153" t="str">
        <f ca="1">IF(AC1404=0,0,IF(AC1404=12,0,OFFSET(effect!$N$1,MATCH(K1404,effect!M:M,0)-1,0)))</f>
        <v>kpsx_pt</v>
      </c>
    </row>
    <row r="1405" spans="1:42">
      <c r="A1405" s="153">
        <f ca="1" t="shared" si="229"/>
        <v>2401015</v>
      </c>
      <c r="B1405" s="91" t="s">
        <v>801</v>
      </c>
      <c r="C1405" s="186">
        <v>2</v>
      </c>
      <c r="D1405" s="186">
        <v>1</v>
      </c>
      <c r="E1405" s="165" t="s">
        <v>1058</v>
      </c>
      <c r="F1405" s="165" t="str">
        <f>"上一招为剑法时，造成伤害增加"&amp;skill!$O$117/100&amp;"%真实伤害"</f>
        <v>上一招为剑法时，造成伤害增加50%真实伤害</v>
      </c>
      <c r="G1405" s="186">
        <f ca="1">OFFSET(卡牌辅助配置表!$C$1,MATCH(AC1405,卡牌辅助配置表!A:A,0)-1,0)</f>
        <v>3</v>
      </c>
      <c r="H1405" s="186">
        <f ca="1">OFFSET(skill!$Q$1,MATCH(B1405,skill!B:B,0)-1,0)</f>
        <v>0.666666666666667</v>
      </c>
      <c r="I1405" s="186"/>
      <c r="J1405" s="186">
        <f ca="1">OFFSET(card_type!$F$1,MATCH(Q1405,card_type!A:A,0)-1,0)</f>
        <v>4</v>
      </c>
      <c r="K1405" s="243">
        <f ca="1">OFFSET(card_type!$G$1,MATCH(Q1405,card_type!A:A,0)-1,0)</f>
        <v>2</v>
      </c>
      <c r="L1405" s="157">
        <v>2</v>
      </c>
      <c r="M1405" s="157">
        <v>2</v>
      </c>
      <c r="N1405" s="153">
        <f t="shared" si="239"/>
        <v>15</v>
      </c>
      <c r="O1405" s="157"/>
      <c r="P1405" s="157"/>
      <c r="Q1405" s="153">
        <f ca="1">OFFSET(card_type!$A$1,MATCH(card!B1405,card_type!B:B,0)-1,0)</f>
        <v>2401</v>
      </c>
      <c r="R1405" s="153">
        <v>1</v>
      </c>
      <c r="S1405" s="157">
        <f ca="1">ROUND(IF(R1405=0,0,IF(R1405=1,X1405*$S$1,IF(R1405=2,X1405*$S$1*buff的资质计算!$E$2,IF(R1405=3,X1405*$S$1*buff的资质计算!$E$3,0)))),0)*0</f>
        <v>0</v>
      </c>
      <c r="T1405" s="153">
        <v>4</v>
      </c>
      <c r="U1405" s="153">
        <f ca="1" t="shared" si="230"/>
        <v>42</v>
      </c>
      <c r="V1405" s="153">
        <f ca="1">ROUND((OFFSET(卡牌辅助配置表!$O$1,MATCH(U1405,卡牌辅助配置表!M:M,0)-1,0)+(N1405-1)*OFFSET(卡牌辅助配置表!$P$1,MATCH(U1405,卡牌辅助配置表!M:M,0)-1,0))*M1405,2)</f>
        <v>146.45</v>
      </c>
      <c r="W1405" s="157">
        <f ca="1">ROUND(IF(R1405=0,0,IF(R1405=1,X1405*$W$1,IF(R1405=2,X1405*$W$1*buff的资质计算!$E$2,IF(R1405=3,X1405*$W$1*buff的资质计算!$E$3,0)))),2)</f>
        <v>17.4</v>
      </c>
      <c r="X1405" s="157">
        <f ca="1" t="shared" si="237"/>
        <v>58</v>
      </c>
      <c r="Y1405" s="157">
        <f ca="1" t="shared" si="234"/>
        <v>58.6666666666667</v>
      </c>
      <c r="Z1405" s="304">
        <f ca="1" t="shared" si="238"/>
        <v>29.3333333333333</v>
      </c>
      <c r="AA1405" s="304">
        <f ca="1">OFFSET(卡牌辅助配置表!$AD$1,MATCH(AB1405,卡牌辅助配置表!AB:AB,0)-1,0)</f>
        <v>8050</v>
      </c>
      <c r="AB1405" s="304">
        <f ca="1" t="shared" si="231"/>
        <v>4215</v>
      </c>
      <c r="AC1405" s="153">
        <v>3</v>
      </c>
      <c r="AE1405" s="153">
        <v>2</v>
      </c>
      <c r="AF1405" s="153" t="str">
        <f ca="1" t="shared" si="235"/>
        <v>24010011|</v>
      </c>
      <c r="AJ1405" s="205">
        <f ca="1" t="shared" si="232"/>
        <v>0</v>
      </c>
      <c r="AK1405" s="205">
        <f ca="1">OFFSET([1]item_type!$A$1,MATCH(Q1405,[1]item_type!$G:$G,0)-1,0)</f>
        <v>302401</v>
      </c>
      <c r="AL1405" s="205"/>
      <c r="AM1405" s="205">
        <f ca="1">IF(B1405=B1406,OFFSET(卡牌辅助配置表!$AE$1,MATCH(AB1405,卡牌辅助配置表!AB:AB,0),0),0)</f>
        <v>7050</v>
      </c>
      <c r="AN1405" s="153">
        <f ca="1" t="shared" si="236"/>
        <v>0</v>
      </c>
      <c r="AP1405" s="153" t="str">
        <f ca="1">IF(AC1405=0,0,IF(AC1405=12,0,OFFSET(effect!$N$1,MATCH(K1405,effect!M:M,0)-1,0)))</f>
        <v>kpsx_pt</v>
      </c>
    </row>
    <row r="1406" spans="1:42">
      <c r="A1406" s="153">
        <f ca="1" t="shared" si="229"/>
        <v>2401016</v>
      </c>
      <c r="B1406" s="91" t="s">
        <v>801</v>
      </c>
      <c r="C1406" s="186">
        <v>2</v>
      </c>
      <c r="D1406" s="186">
        <v>1</v>
      </c>
      <c r="E1406" s="165" t="s">
        <v>1058</v>
      </c>
      <c r="F1406" s="165" t="str">
        <f>"上一招为剑法时，造成伤害增加"&amp;skill!$O$117/100&amp;"%真实伤害"</f>
        <v>上一招为剑法时，造成伤害增加50%真实伤害</v>
      </c>
      <c r="G1406" s="186">
        <f ca="1">OFFSET(卡牌辅助配置表!$C$1,MATCH(AC1406,卡牌辅助配置表!A:A,0)-1,0)</f>
        <v>3</v>
      </c>
      <c r="H1406" s="186">
        <f ca="1">OFFSET(skill!$Q$1,MATCH(B1406,skill!B:B,0)-1,0)</f>
        <v>0.666666666666667</v>
      </c>
      <c r="I1406" s="186"/>
      <c r="J1406" s="186">
        <f ca="1">OFFSET(card_type!$F$1,MATCH(Q1406,card_type!A:A,0)-1,0)</f>
        <v>4</v>
      </c>
      <c r="K1406" s="243">
        <f ca="1">OFFSET(card_type!$G$1,MATCH(Q1406,card_type!A:A,0)-1,0)</f>
        <v>2</v>
      </c>
      <c r="L1406" s="157">
        <v>2</v>
      </c>
      <c r="M1406" s="157">
        <v>2</v>
      </c>
      <c r="N1406" s="153">
        <f t="shared" si="239"/>
        <v>16</v>
      </c>
      <c r="O1406" s="157"/>
      <c r="P1406" s="157"/>
      <c r="Q1406" s="153">
        <f ca="1">OFFSET(card_type!$A$1,MATCH(card!B1406,card_type!B:B,0)-1,0)</f>
        <v>2401</v>
      </c>
      <c r="R1406" s="153">
        <v>1</v>
      </c>
      <c r="S1406" s="157">
        <f ca="1">ROUND(IF(R1406=0,0,IF(R1406=1,X1406*$S$1,IF(R1406=2,X1406*$S$1*buff的资质计算!$E$2,IF(R1406=3,X1406*$S$1*buff的资质计算!$E$3,0)))),0)*0</f>
        <v>0</v>
      </c>
      <c r="T1406" s="153">
        <v>4</v>
      </c>
      <c r="U1406" s="153">
        <f ca="1" t="shared" si="230"/>
        <v>42</v>
      </c>
      <c r="V1406" s="153">
        <f ca="1">ROUND((OFFSET(卡牌辅助配置表!$O$1,MATCH(U1406,卡牌辅助配置表!M:M,0)-1,0)+(N1406-1)*OFFSET(卡牌辅助配置表!$P$1,MATCH(U1406,卡牌辅助配置表!M:M,0)-1,0))*M1406,2)</f>
        <v>153.75</v>
      </c>
      <c r="W1406" s="157">
        <f ca="1">ROUND(IF(R1406=0,0,IF(R1406=1,X1406*$W$1,IF(R1406=2,X1406*$W$1*buff的资质计算!$E$2,IF(R1406=3,X1406*$W$1*buff的资质计算!$E$3,0)))),2)</f>
        <v>17.55</v>
      </c>
      <c r="X1406" s="157">
        <f ca="1" t="shared" si="237"/>
        <v>58.5</v>
      </c>
      <c r="Y1406" s="157">
        <f ca="1" t="shared" si="234"/>
        <v>59.1666666666667</v>
      </c>
      <c r="Z1406" s="304">
        <f ca="1" t="shared" si="238"/>
        <v>29.5833333333333</v>
      </c>
      <c r="AA1406" s="304">
        <f ca="1">OFFSET(卡牌辅助配置表!$AD$1,MATCH(AB1406,卡牌辅助配置表!AB:AB,0)-1,0)</f>
        <v>8740</v>
      </c>
      <c r="AB1406" s="304">
        <f ca="1" t="shared" si="231"/>
        <v>4216</v>
      </c>
      <c r="AC1406" s="153">
        <v>3</v>
      </c>
      <c r="AE1406" s="153">
        <v>2</v>
      </c>
      <c r="AF1406" s="153" t="str">
        <f ca="1" t="shared" si="235"/>
        <v>24010011|</v>
      </c>
      <c r="AJ1406" s="205">
        <f ca="1" t="shared" si="232"/>
        <v>0</v>
      </c>
      <c r="AK1406" s="205">
        <f ca="1">OFFSET([1]item_type!$A$1,MATCH(Q1406,[1]item_type!$G:$G,0)-1,0)</f>
        <v>302401</v>
      </c>
      <c r="AL1406" s="205"/>
      <c r="AM1406" s="205">
        <f ca="1">IF(B1406=B1407,OFFSET(卡牌辅助配置表!$AE$1,MATCH(AB1406,卡牌辅助配置表!AB:AB,0),0),0)</f>
        <v>7650</v>
      </c>
      <c r="AN1406" s="153">
        <f ca="1" t="shared" si="236"/>
        <v>0</v>
      </c>
      <c r="AP1406" s="153" t="str">
        <f ca="1">IF(AC1406=0,0,IF(AC1406=12,0,OFFSET(effect!$N$1,MATCH(K1406,effect!M:M,0)-1,0)))</f>
        <v>kpsx_pt</v>
      </c>
    </row>
    <row r="1407" spans="1:42">
      <c r="A1407" s="153">
        <f ca="1" t="shared" si="229"/>
        <v>2401017</v>
      </c>
      <c r="B1407" s="91" t="s">
        <v>801</v>
      </c>
      <c r="C1407" s="186">
        <v>2</v>
      </c>
      <c r="D1407" s="186">
        <v>1</v>
      </c>
      <c r="E1407" s="165" t="s">
        <v>1058</v>
      </c>
      <c r="F1407" s="165" t="str">
        <f>"上一招为剑法时，造成伤害增加"&amp;skill!$O$117/100&amp;"%真实伤害"</f>
        <v>上一招为剑法时，造成伤害增加50%真实伤害</v>
      </c>
      <c r="G1407" s="186">
        <f ca="1">OFFSET(卡牌辅助配置表!$C$1,MATCH(AC1407,卡牌辅助配置表!A:A,0)-1,0)</f>
        <v>3</v>
      </c>
      <c r="H1407" s="186">
        <f ca="1">OFFSET(skill!$Q$1,MATCH(B1407,skill!B:B,0)-1,0)</f>
        <v>0.666666666666667</v>
      </c>
      <c r="I1407" s="186"/>
      <c r="J1407" s="186">
        <f ca="1">OFFSET(card_type!$F$1,MATCH(Q1407,card_type!A:A,0)-1,0)</f>
        <v>4</v>
      </c>
      <c r="K1407" s="243">
        <f ca="1">OFFSET(card_type!$G$1,MATCH(Q1407,card_type!A:A,0)-1,0)</f>
        <v>2</v>
      </c>
      <c r="L1407" s="157">
        <v>2</v>
      </c>
      <c r="M1407" s="157">
        <v>2</v>
      </c>
      <c r="N1407" s="153">
        <f t="shared" si="239"/>
        <v>17</v>
      </c>
      <c r="O1407" s="157"/>
      <c r="P1407" s="157"/>
      <c r="Q1407" s="153">
        <f ca="1">OFFSET(card_type!$A$1,MATCH(card!B1407,card_type!B:B,0)-1,0)</f>
        <v>2401</v>
      </c>
      <c r="R1407" s="153">
        <v>1</v>
      </c>
      <c r="S1407" s="157">
        <f ca="1">ROUND(IF(R1407=0,0,IF(R1407=1,X1407*$S$1,IF(R1407=2,X1407*$S$1*buff的资质计算!$E$2,IF(R1407=3,X1407*$S$1*buff的资质计算!$E$3,0)))),0)*0</f>
        <v>0</v>
      </c>
      <c r="T1407" s="153">
        <v>4</v>
      </c>
      <c r="U1407" s="153">
        <f ca="1" t="shared" si="230"/>
        <v>42</v>
      </c>
      <c r="V1407" s="153">
        <f ca="1">ROUND((OFFSET(卡牌辅助配置表!$O$1,MATCH(U1407,卡牌辅助配置表!M:M,0)-1,0)+(N1407-1)*OFFSET(卡牌辅助配置表!$P$1,MATCH(U1407,卡牌辅助配置表!M:M,0)-1,0))*M1407,2)</f>
        <v>161.05</v>
      </c>
      <c r="W1407" s="157">
        <f ca="1">ROUND(IF(R1407=0,0,IF(R1407=1,X1407*$W$1,IF(R1407=2,X1407*$W$1*buff的资质计算!$E$2,IF(R1407=3,X1407*$W$1*buff的资质计算!$E$3,0)))),2)</f>
        <v>17.7</v>
      </c>
      <c r="X1407" s="157">
        <f ca="1" t="shared" si="237"/>
        <v>59</v>
      </c>
      <c r="Y1407" s="157">
        <f ca="1" t="shared" si="234"/>
        <v>59.6666666666667</v>
      </c>
      <c r="Z1407" s="304">
        <f ca="1" t="shared" si="238"/>
        <v>29.8333333333333</v>
      </c>
      <c r="AA1407" s="304">
        <f ca="1">OFFSET(卡牌辅助配置表!$AD$1,MATCH(AB1407,卡牌辅助配置表!AB:AB,0)-1,0)</f>
        <v>9430</v>
      </c>
      <c r="AB1407" s="304">
        <f ca="1" t="shared" si="231"/>
        <v>4217</v>
      </c>
      <c r="AC1407" s="153">
        <v>3</v>
      </c>
      <c r="AE1407" s="153">
        <v>2</v>
      </c>
      <c r="AF1407" s="153" t="str">
        <f ca="1" t="shared" si="235"/>
        <v>24010011|</v>
      </c>
      <c r="AJ1407" s="205">
        <f ca="1" t="shared" si="232"/>
        <v>0</v>
      </c>
      <c r="AK1407" s="205">
        <f ca="1">OFFSET([1]item_type!$A$1,MATCH(Q1407,[1]item_type!$G:$G,0)-1,0)</f>
        <v>302401</v>
      </c>
      <c r="AL1407" s="205"/>
      <c r="AM1407" s="205">
        <f ca="1">IF(B1407=B1408,OFFSET(卡牌辅助配置表!$AE$1,MATCH(AB1407,卡牌辅助配置表!AB:AB,0),0),0)</f>
        <v>8250</v>
      </c>
      <c r="AN1407" s="153">
        <f ca="1" t="shared" si="236"/>
        <v>0</v>
      </c>
      <c r="AP1407" s="153" t="str">
        <f ca="1">IF(AC1407=0,0,IF(AC1407=12,0,OFFSET(effect!$N$1,MATCH(K1407,effect!M:M,0)-1,0)))</f>
        <v>kpsx_pt</v>
      </c>
    </row>
    <row r="1408" spans="1:42">
      <c r="A1408" s="153">
        <f ca="1" t="shared" si="229"/>
        <v>2401018</v>
      </c>
      <c r="B1408" s="91" t="s">
        <v>801</v>
      </c>
      <c r="C1408" s="186">
        <v>2</v>
      </c>
      <c r="D1408" s="186">
        <v>1</v>
      </c>
      <c r="E1408" s="165" t="s">
        <v>1058</v>
      </c>
      <c r="F1408" s="165" t="str">
        <f>"上一招为剑法时，造成伤害增加"&amp;skill!$O$117/100&amp;"%真实伤害"</f>
        <v>上一招为剑法时，造成伤害增加50%真实伤害</v>
      </c>
      <c r="G1408" s="186">
        <f ca="1">OFFSET(卡牌辅助配置表!$C$1,MATCH(AC1408,卡牌辅助配置表!A:A,0)-1,0)</f>
        <v>3</v>
      </c>
      <c r="H1408" s="186">
        <f ca="1">OFFSET(skill!$Q$1,MATCH(B1408,skill!B:B,0)-1,0)</f>
        <v>0.666666666666667</v>
      </c>
      <c r="I1408" s="186"/>
      <c r="J1408" s="186">
        <f ca="1">OFFSET(card_type!$F$1,MATCH(Q1408,card_type!A:A,0)-1,0)</f>
        <v>4</v>
      </c>
      <c r="K1408" s="243">
        <f ca="1">OFFSET(card_type!$G$1,MATCH(Q1408,card_type!A:A,0)-1,0)</f>
        <v>2</v>
      </c>
      <c r="L1408" s="157">
        <v>2</v>
      </c>
      <c r="M1408" s="157">
        <v>2</v>
      </c>
      <c r="N1408" s="153">
        <f t="shared" si="239"/>
        <v>18</v>
      </c>
      <c r="O1408" s="157"/>
      <c r="P1408" s="157"/>
      <c r="Q1408" s="153">
        <f ca="1">OFFSET(card_type!$A$1,MATCH(card!B1408,card_type!B:B,0)-1,0)</f>
        <v>2401</v>
      </c>
      <c r="R1408" s="153">
        <v>1</v>
      </c>
      <c r="S1408" s="157">
        <f ca="1">ROUND(IF(R1408=0,0,IF(R1408=1,X1408*$S$1,IF(R1408=2,X1408*$S$1*buff的资质计算!$E$2,IF(R1408=3,X1408*$S$1*buff的资质计算!$E$3,0)))),0)*0</f>
        <v>0</v>
      </c>
      <c r="T1408" s="153">
        <v>4</v>
      </c>
      <c r="U1408" s="153">
        <f ca="1" t="shared" si="230"/>
        <v>42</v>
      </c>
      <c r="V1408" s="153">
        <f ca="1">ROUND((OFFSET(卡牌辅助配置表!$O$1,MATCH(U1408,卡牌辅助配置表!M:M,0)-1,0)+(N1408-1)*OFFSET(卡牌辅助配置表!$P$1,MATCH(U1408,卡牌辅助配置表!M:M,0)-1,0))*M1408,2)</f>
        <v>168.35</v>
      </c>
      <c r="W1408" s="157">
        <f ca="1">ROUND(IF(R1408=0,0,IF(R1408=1,X1408*$W$1,IF(R1408=2,X1408*$W$1*buff的资质计算!$E$2,IF(R1408=3,X1408*$W$1*buff的资质计算!$E$3,0)))),2)</f>
        <v>17.85</v>
      </c>
      <c r="X1408" s="157">
        <f ca="1" t="shared" si="237"/>
        <v>59.5</v>
      </c>
      <c r="Y1408" s="157">
        <f ca="1" t="shared" si="234"/>
        <v>60.1666666666667</v>
      </c>
      <c r="Z1408" s="304">
        <f ca="1" t="shared" si="238"/>
        <v>30.0833333333333</v>
      </c>
      <c r="AA1408" s="304">
        <f ca="1">OFFSET(卡牌辅助配置表!$AD$1,MATCH(AB1408,卡牌辅助配置表!AB:AB,0)-1,0)</f>
        <v>10120</v>
      </c>
      <c r="AB1408" s="304">
        <f ca="1" t="shared" si="231"/>
        <v>4218</v>
      </c>
      <c r="AC1408" s="153">
        <v>3</v>
      </c>
      <c r="AE1408" s="153">
        <v>2</v>
      </c>
      <c r="AF1408" s="153" t="str">
        <f ca="1" t="shared" si="235"/>
        <v>24010011|</v>
      </c>
      <c r="AJ1408" s="205">
        <f ca="1" t="shared" si="232"/>
        <v>0</v>
      </c>
      <c r="AK1408" s="205">
        <f ca="1">OFFSET([1]item_type!$A$1,MATCH(Q1408,[1]item_type!$G:$G,0)-1,0)</f>
        <v>302401</v>
      </c>
      <c r="AL1408" s="205"/>
      <c r="AM1408" s="205">
        <f ca="1">IF(B1408=B1409,OFFSET(卡牌辅助配置表!$AE$1,MATCH(AB1408,卡牌辅助配置表!AB:AB,0),0),0)</f>
        <v>8850</v>
      </c>
      <c r="AN1408" s="153">
        <f ca="1" t="shared" si="236"/>
        <v>0</v>
      </c>
      <c r="AP1408" s="153" t="str">
        <f ca="1">IF(AC1408=0,0,IF(AC1408=12,0,OFFSET(effect!$N$1,MATCH(K1408,effect!M:M,0)-1,0)))</f>
        <v>kpsx_pt</v>
      </c>
    </row>
    <row r="1409" spans="1:42">
      <c r="A1409" s="153">
        <f ca="1" t="shared" si="229"/>
        <v>2401019</v>
      </c>
      <c r="B1409" s="91" t="s">
        <v>801</v>
      </c>
      <c r="C1409" s="186">
        <v>2</v>
      </c>
      <c r="D1409" s="186">
        <v>1</v>
      </c>
      <c r="E1409" s="165" t="s">
        <v>1058</v>
      </c>
      <c r="F1409" s="165" t="str">
        <f>"上一招为剑法时，造成伤害增加"&amp;skill!$O$117/100&amp;"%真实伤害"</f>
        <v>上一招为剑法时，造成伤害增加50%真实伤害</v>
      </c>
      <c r="G1409" s="186">
        <f ca="1">OFFSET(卡牌辅助配置表!$C$1,MATCH(AC1409,卡牌辅助配置表!A:A,0)-1,0)</f>
        <v>3</v>
      </c>
      <c r="H1409" s="186">
        <f ca="1">OFFSET(skill!$Q$1,MATCH(B1409,skill!B:B,0)-1,0)</f>
        <v>0.666666666666667</v>
      </c>
      <c r="I1409" s="186"/>
      <c r="J1409" s="186">
        <f ca="1">OFFSET(card_type!$F$1,MATCH(Q1409,card_type!A:A,0)-1,0)</f>
        <v>4</v>
      </c>
      <c r="K1409" s="243">
        <f ca="1">OFFSET(card_type!$G$1,MATCH(Q1409,card_type!A:A,0)-1,0)</f>
        <v>2</v>
      </c>
      <c r="L1409" s="157">
        <v>2</v>
      </c>
      <c r="M1409" s="157">
        <v>2</v>
      </c>
      <c r="N1409" s="153">
        <f t="shared" si="239"/>
        <v>19</v>
      </c>
      <c r="O1409" s="157"/>
      <c r="P1409" s="157"/>
      <c r="Q1409" s="153">
        <f ca="1">OFFSET(card_type!$A$1,MATCH(card!B1409,card_type!B:B,0)-1,0)</f>
        <v>2401</v>
      </c>
      <c r="R1409" s="153">
        <v>1</v>
      </c>
      <c r="S1409" s="157">
        <f ca="1">ROUND(IF(R1409=0,0,IF(R1409=1,X1409*$S$1,IF(R1409=2,X1409*$S$1*buff的资质计算!$E$2,IF(R1409=3,X1409*$S$1*buff的资质计算!$E$3,0)))),0)*0</f>
        <v>0</v>
      </c>
      <c r="T1409" s="153">
        <v>4</v>
      </c>
      <c r="U1409" s="153">
        <f ca="1" t="shared" si="230"/>
        <v>42</v>
      </c>
      <c r="V1409" s="153">
        <f ca="1">ROUND((OFFSET(卡牌辅助配置表!$O$1,MATCH(U1409,卡牌辅助配置表!M:M,0)-1,0)+(N1409-1)*OFFSET(卡牌辅助配置表!$P$1,MATCH(U1409,卡牌辅助配置表!M:M,0)-1,0))*M1409,2)</f>
        <v>175.65</v>
      </c>
      <c r="W1409" s="157">
        <f ca="1">ROUND(IF(R1409=0,0,IF(R1409=1,X1409*$W$1,IF(R1409=2,X1409*$W$1*buff的资质计算!$E$2,IF(R1409=3,X1409*$W$1*buff的资质计算!$E$3,0)))),2)</f>
        <v>18</v>
      </c>
      <c r="X1409" s="157">
        <f ca="1" t="shared" si="237"/>
        <v>60</v>
      </c>
      <c r="Y1409" s="157">
        <f ca="1" t="shared" si="234"/>
        <v>60.6666666666667</v>
      </c>
      <c r="Z1409" s="304">
        <f ca="1" t="shared" si="238"/>
        <v>30.3333333333333</v>
      </c>
      <c r="AA1409" s="304">
        <f ca="1">OFFSET(卡牌辅助配置表!$AD$1,MATCH(AB1409,卡牌辅助配置表!AB:AB,0)-1,0)</f>
        <v>10810</v>
      </c>
      <c r="AB1409" s="304">
        <f ca="1" t="shared" si="231"/>
        <v>4219</v>
      </c>
      <c r="AC1409" s="153">
        <v>3</v>
      </c>
      <c r="AE1409" s="153">
        <v>2</v>
      </c>
      <c r="AF1409" s="153" t="str">
        <f ca="1" t="shared" si="235"/>
        <v>24010011|</v>
      </c>
      <c r="AJ1409" s="205">
        <f ca="1" t="shared" si="232"/>
        <v>0</v>
      </c>
      <c r="AK1409" s="205">
        <f ca="1">OFFSET([1]item_type!$A$1,MATCH(Q1409,[1]item_type!$G:$G,0)-1,0)</f>
        <v>302401</v>
      </c>
      <c r="AL1409" s="205">
        <v>20</v>
      </c>
      <c r="AM1409" s="205">
        <f ca="1">IF(B1409=B1410,OFFSET(卡牌辅助配置表!$AE$1,MATCH(AB1409,卡牌辅助配置表!AB:AB,0),0),0)</f>
        <v>9450</v>
      </c>
      <c r="AN1409" s="153">
        <f ca="1" t="shared" si="236"/>
        <v>0</v>
      </c>
      <c r="AP1409" s="153" t="str">
        <f ca="1">IF(AC1409=0,0,IF(AC1409=12,0,OFFSET(effect!$N$1,MATCH(K1409,effect!M:M,0)-1,0)))</f>
        <v>kpsx_pt</v>
      </c>
    </row>
    <row r="1410" spans="1:42">
      <c r="A1410" s="153">
        <f ca="1" t="shared" si="229"/>
        <v>2401020</v>
      </c>
      <c r="B1410" s="91" t="s">
        <v>801</v>
      </c>
      <c r="C1410" s="186">
        <v>2</v>
      </c>
      <c r="D1410" s="186">
        <v>1</v>
      </c>
      <c r="E1410" s="165" t="s">
        <v>1058</v>
      </c>
      <c r="F1410" s="165" t="str">
        <f>"上一招为剑法时，造成伤害增加"&amp;skill!$O$117/100&amp;"%真实伤害"</f>
        <v>上一招为剑法时，造成伤害增加50%真实伤害</v>
      </c>
      <c r="G1410" s="186">
        <f ca="1">OFFSET(卡牌辅助配置表!$C$1,MATCH(AC1410,卡牌辅助配置表!A:A,0)-1,0)</f>
        <v>3</v>
      </c>
      <c r="H1410" s="186">
        <f ca="1">OFFSET(skill!$Q$1,MATCH(B1410,skill!B:B,0)-1,0)</f>
        <v>0.666666666666667</v>
      </c>
      <c r="I1410" s="186"/>
      <c r="J1410" s="186">
        <f ca="1">OFFSET(card_type!$F$1,MATCH(Q1410,card_type!A:A,0)-1,0)</f>
        <v>4</v>
      </c>
      <c r="K1410" s="243">
        <f ca="1">OFFSET(card_type!$G$1,MATCH(Q1410,card_type!A:A,0)-1,0)</f>
        <v>2</v>
      </c>
      <c r="L1410" s="157">
        <v>2</v>
      </c>
      <c r="M1410" s="157">
        <v>2</v>
      </c>
      <c r="N1410" s="153">
        <f t="shared" si="239"/>
        <v>20</v>
      </c>
      <c r="O1410" s="157"/>
      <c r="P1410" s="157"/>
      <c r="Q1410" s="153">
        <f ca="1">OFFSET(card_type!$A$1,MATCH(card!B1410,card_type!B:B,0)-1,0)</f>
        <v>2401</v>
      </c>
      <c r="R1410" s="153">
        <v>1</v>
      </c>
      <c r="S1410" s="157">
        <f ca="1">ROUND(IF(R1410=0,0,IF(R1410=1,X1410*$S$1,IF(R1410=2,X1410*$S$1*buff的资质计算!$E$2,IF(R1410=3,X1410*$S$1*buff的资质计算!$E$3,0)))),0)*0</f>
        <v>0</v>
      </c>
      <c r="T1410" s="153">
        <v>4</v>
      </c>
      <c r="U1410" s="153">
        <f ca="1" t="shared" si="230"/>
        <v>42</v>
      </c>
      <c r="V1410" s="153">
        <f ca="1">ROUND((OFFSET(卡牌辅助配置表!$O$1,MATCH(U1410,卡牌辅助配置表!M:M,0)-1,0)+(N1410-1)*OFFSET(卡牌辅助配置表!$P$1,MATCH(U1410,卡牌辅助配置表!M:M,0)-1,0))*M1410,2)</f>
        <v>182.95</v>
      </c>
      <c r="W1410" s="157">
        <f ca="1">ROUND(IF(R1410=0,0,IF(R1410=1,X1410*$W$1,IF(R1410=2,X1410*$W$1*buff的资质计算!$E$2,IF(R1410=3,X1410*$W$1*buff的资质计算!$E$3,0)))),2)</f>
        <v>18.15</v>
      </c>
      <c r="X1410" s="157">
        <f ca="1" t="shared" si="237"/>
        <v>60.5</v>
      </c>
      <c r="Y1410" s="157">
        <f ca="1" t="shared" si="234"/>
        <v>61.1666666666667</v>
      </c>
      <c r="Z1410" s="304">
        <f ca="1" t="shared" si="238"/>
        <v>30.5833333333333</v>
      </c>
      <c r="AA1410" s="304">
        <f ca="1">OFFSET(卡牌辅助配置表!$AD$1,MATCH(AB1410,卡牌辅助配置表!AB:AB,0)-1,0)</f>
        <v>11500</v>
      </c>
      <c r="AB1410" s="304">
        <f ca="1" t="shared" si="231"/>
        <v>4220</v>
      </c>
      <c r="AC1410" s="153">
        <v>3</v>
      </c>
      <c r="AE1410" s="153">
        <v>2</v>
      </c>
      <c r="AF1410" s="153" t="str">
        <f ca="1" t="shared" si="235"/>
        <v>24010011|</v>
      </c>
      <c r="AJ1410" s="205">
        <f ca="1" t="shared" si="232"/>
        <v>0</v>
      </c>
      <c r="AK1410" s="205">
        <f ca="1">OFFSET([1]item_type!$A$1,MATCH(Q1410,[1]item_type!$G:$G,0)-1,0)</f>
        <v>302401</v>
      </c>
      <c r="AL1410" s="205"/>
      <c r="AM1410" s="205">
        <f ca="1">IF(B1410=B1411,OFFSET(卡牌辅助配置表!$AE$1,MATCH(AB1410,卡牌辅助配置表!AB:AB,0),0),0)</f>
        <v>10650</v>
      </c>
      <c r="AN1410" s="153">
        <f ca="1" t="shared" si="236"/>
        <v>0</v>
      </c>
      <c r="AP1410" s="153" t="str">
        <f ca="1">IF(AC1410=0,0,IF(AC1410=12,0,OFFSET(effect!$N$1,MATCH(K1410,effect!M:M,0)-1,0)))</f>
        <v>kpsx_pt</v>
      </c>
    </row>
    <row r="1411" spans="1:42">
      <c r="A1411" s="153">
        <f ca="1" t="shared" si="229"/>
        <v>2401021</v>
      </c>
      <c r="B1411" s="91" t="s">
        <v>801</v>
      </c>
      <c r="C1411" s="186">
        <v>2</v>
      </c>
      <c r="D1411" s="186">
        <v>1</v>
      </c>
      <c r="E1411" s="165" t="s">
        <v>1058</v>
      </c>
      <c r="F1411" s="165" t="str">
        <f>"上一招为剑法时，造成伤害增加"&amp;skill!$O$117/100&amp;"%真实伤害"</f>
        <v>上一招为剑法时，造成伤害增加50%真实伤害</v>
      </c>
      <c r="G1411" s="186">
        <f ca="1">OFFSET(卡牌辅助配置表!$C$1,MATCH(AC1411,卡牌辅助配置表!A:A,0)-1,0)</f>
        <v>3</v>
      </c>
      <c r="H1411" s="186">
        <f ca="1">OFFSET(skill!$Q$1,MATCH(B1411,skill!B:B,0)-1,0)</f>
        <v>0.666666666666667</v>
      </c>
      <c r="I1411" s="186"/>
      <c r="J1411" s="186">
        <f ca="1">OFFSET(card_type!$F$1,MATCH(Q1411,card_type!A:A,0)-1,0)</f>
        <v>4</v>
      </c>
      <c r="K1411" s="243">
        <f ca="1">OFFSET(card_type!$G$1,MATCH(Q1411,card_type!A:A,0)-1,0)</f>
        <v>2</v>
      </c>
      <c r="L1411" s="157">
        <v>2</v>
      </c>
      <c r="M1411" s="157">
        <v>2</v>
      </c>
      <c r="N1411" s="153">
        <f t="shared" si="239"/>
        <v>21</v>
      </c>
      <c r="O1411" s="157"/>
      <c r="P1411" s="157"/>
      <c r="Q1411" s="153">
        <f ca="1">OFFSET(card_type!$A$1,MATCH(card!B1411,card_type!B:B,0)-1,0)</f>
        <v>2401</v>
      </c>
      <c r="R1411" s="153">
        <v>1</v>
      </c>
      <c r="S1411" s="157">
        <f ca="1">ROUND(IF(R1411=0,0,IF(R1411=1,X1411*$S$1,IF(R1411=2,X1411*$S$1*buff的资质计算!$E$2,IF(R1411=3,X1411*$S$1*buff的资质计算!$E$3,0)))),0)*0</f>
        <v>0</v>
      </c>
      <c r="T1411" s="153">
        <v>4</v>
      </c>
      <c r="U1411" s="153">
        <f ca="1" t="shared" si="230"/>
        <v>42</v>
      </c>
      <c r="V1411" s="153">
        <f ca="1">ROUND((OFFSET(卡牌辅助配置表!$O$1,MATCH(U1411,卡牌辅助配置表!M:M,0)-1,0)+(N1411-1)*OFFSET(卡牌辅助配置表!$P$1,MATCH(U1411,卡牌辅助配置表!M:M,0)-1,0))*M1411,2)</f>
        <v>190.25</v>
      </c>
      <c r="W1411" s="157">
        <f ca="1">ROUND(IF(R1411=0,0,IF(R1411=1,X1411*$W$1,IF(R1411=2,X1411*$W$1*buff的资质计算!$E$2,IF(R1411=3,X1411*$W$1*buff的资质计算!$E$3,0)))),2)</f>
        <v>18.3</v>
      </c>
      <c r="X1411" s="157">
        <f ca="1" t="shared" si="237"/>
        <v>61</v>
      </c>
      <c r="Y1411" s="157">
        <f ca="1" t="shared" si="234"/>
        <v>61.6666666666667</v>
      </c>
      <c r="Z1411" s="304">
        <f ca="1" t="shared" si="238"/>
        <v>30.8333333333333</v>
      </c>
      <c r="AA1411" s="304">
        <f ca="1">OFFSET(卡牌辅助配置表!$AD$1,MATCH(AB1411,卡牌辅助配置表!AB:AB,0)-1,0)</f>
        <v>12420</v>
      </c>
      <c r="AB1411" s="304">
        <f ca="1" t="shared" si="231"/>
        <v>4221</v>
      </c>
      <c r="AC1411" s="153">
        <v>3</v>
      </c>
      <c r="AE1411" s="153">
        <v>2</v>
      </c>
      <c r="AF1411" s="153" t="str">
        <f ca="1" t="shared" si="235"/>
        <v>24010011|</v>
      </c>
      <c r="AJ1411" s="205">
        <f ca="1" t="shared" si="232"/>
        <v>0</v>
      </c>
      <c r="AK1411" s="205">
        <f ca="1">OFFSET([1]item_type!$A$1,MATCH(Q1411,[1]item_type!$G:$G,0)-1,0)</f>
        <v>302401</v>
      </c>
      <c r="AL1411" s="205"/>
      <c r="AM1411" s="205">
        <f ca="1">IF(B1411=B1412,OFFSET(卡牌辅助配置表!$AE$1,MATCH(AB1411,卡牌辅助配置表!AB:AB,0),0),0)</f>
        <v>11850</v>
      </c>
      <c r="AN1411" s="153">
        <f ca="1" t="shared" si="236"/>
        <v>0</v>
      </c>
      <c r="AP1411" s="153" t="str">
        <f ca="1">IF(AC1411=0,0,IF(AC1411=12,0,OFFSET(effect!$N$1,MATCH(K1411,effect!M:M,0)-1,0)))</f>
        <v>kpsx_pt</v>
      </c>
    </row>
    <row r="1412" spans="1:42">
      <c r="A1412" s="153">
        <f ca="1" t="shared" si="229"/>
        <v>2401022</v>
      </c>
      <c r="B1412" s="91" t="s">
        <v>801</v>
      </c>
      <c r="C1412" s="186">
        <v>2</v>
      </c>
      <c r="D1412" s="186">
        <v>1</v>
      </c>
      <c r="E1412" s="165" t="s">
        <v>1058</v>
      </c>
      <c r="F1412" s="165" t="str">
        <f>"上一招为剑法时，造成伤害增加"&amp;skill!$O$117/100&amp;"%真实伤害"</f>
        <v>上一招为剑法时，造成伤害增加50%真实伤害</v>
      </c>
      <c r="G1412" s="186">
        <f ca="1">OFFSET(卡牌辅助配置表!$C$1,MATCH(AC1412,卡牌辅助配置表!A:A,0)-1,0)</f>
        <v>3</v>
      </c>
      <c r="H1412" s="186">
        <f ca="1">OFFSET(skill!$Q$1,MATCH(B1412,skill!B:B,0)-1,0)</f>
        <v>0.666666666666667</v>
      </c>
      <c r="I1412" s="186"/>
      <c r="J1412" s="186">
        <f ca="1">OFFSET(card_type!$F$1,MATCH(Q1412,card_type!A:A,0)-1,0)</f>
        <v>4</v>
      </c>
      <c r="K1412" s="243">
        <f ca="1">OFFSET(card_type!$G$1,MATCH(Q1412,card_type!A:A,0)-1,0)</f>
        <v>2</v>
      </c>
      <c r="L1412" s="157">
        <v>2</v>
      </c>
      <c r="M1412" s="157">
        <v>2</v>
      </c>
      <c r="N1412" s="153">
        <f t="shared" si="239"/>
        <v>22</v>
      </c>
      <c r="O1412" s="157"/>
      <c r="P1412" s="157"/>
      <c r="Q1412" s="153">
        <f ca="1">OFFSET(card_type!$A$1,MATCH(card!B1412,card_type!B:B,0)-1,0)</f>
        <v>2401</v>
      </c>
      <c r="R1412" s="153">
        <v>1</v>
      </c>
      <c r="S1412" s="157">
        <f ca="1">ROUND(IF(R1412=0,0,IF(R1412=1,X1412*$S$1,IF(R1412=2,X1412*$S$1*buff的资质计算!$E$2,IF(R1412=3,X1412*$S$1*buff的资质计算!$E$3,0)))),0)*0</f>
        <v>0</v>
      </c>
      <c r="T1412" s="153">
        <v>4</v>
      </c>
      <c r="U1412" s="153">
        <f ca="1" t="shared" si="230"/>
        <v>42</v>
      </c>
      <c r="V1412" s="153">
        <f ca="1">ROUND((OFFSET(卡牌辅助配置表!$O$1,MATCH(U1412,卡牌辅助配置表!M:M,0)-1,0)+(N1412-1)*OFFSET(卡牌辅助配置表!$P$1,MATCH(U1412,卡牌辅助配置表!M:M,0)-1,0))*M1412,2)</f>
        <v>197.55</v>
      </c>
      <c r="W1412" s="157">
        <f ca="1">ROUND(IF(R1412=0,0,IF(R1412=1,X1412*$W$1,IF(R1412=2,X1412*$W$1*buff的资质计算!$E$2,IF(R1412=3,X1412*$W$1*buff的资质计算!$E$3,0)))),2)</f>
        <v>18.45</v>
      </c>
      <c r="X1412" s="157">
        <f ca="1" t="shared" si="237"/>
        <v>61.5</v>
      </c>
      <c r="Y1412" s="157">
        <f ca="1" t="shared" si="234"/>
        <v>62.1666666666667</v>
      </c>
      <c r="Z1412" s="304">
        <f ca="1" t="shared" si="238"/>
        <v>31.0833333333333</v>
      </c>
      <c r="AA1412" s="304">
        <f ca="1">OFFSET(卡牌辅助配置表!$AD$1,MATCH(AB1412,卡牌辅助配置表!AB:AB,0)-1,0)</f>
        <v>13340</v>
      </c>
      <c r="AB1412" s="304">
        <f ca="1" t="shared" si="231"/>
        <v>4222</v>
      </c>
      <c r="AC1412" s="153">
        <v>3</v>
      </c>
      <c r="AE1412" s="153">
        <v>2</v>
      </c>
      <c r="AF1412" s="153" t="str">
        <f ca="1" t="shared" si="235"/>
        <v>24010011|</v>
      </c>
      <c r="AJ1412" s="205">
        <f ca="1" t="shared" si="232"/>
        <v>0</v>
      </c>
      <c r="AK1412" s="205">
        <f ca="1">OFFSET([1]item_type!$A$1,MATCH(Q1412,[1]item_type!$G:$G,0)-1,0)</f>
        <v>302401</v>
      </c>
      <c r="AL1412" s="205"/>
      <c r="AM1412" s="205">
        <f ca="1">IF(B1412=B1413,OFFSET(卡牌辅助配置表!$AE$1,MATCH(AB1412,卡牌辅助配置表!AB:AB,0),0),0)</f>
        <v>13050</v>
      </c>
      <c r="AN1412" s="153">
        <f ca="1" t="shared" si="236"/>
        <v>0</v>
      </c>
      <c r="AP1412" s="153" t="str">
        <f ca="1">IF(AC1412=0,0,IF(AC1412=12,0,OFFSET(effect!$N$1,MATCH(K1412,effect!M:M,0)-1,0)))</f>
        <v>kpsx_pt</v>
      </c>
    </row>
    <row r="1413" spans="1:42">
      <c r="A1413" s="153">
        <f ca="1" t="shared" si="229"/>
        <v>2401023</v>
      </c>
      <c r="B1413" s="91" t="s">
        <v>801</v>
      </c>
      <c r="C1413" s="186">
        <v>2</v>
      </c>
      <c r="D1413" s="186">
        <v>1</v>
      </c>
      <c r="E1413" s="165" t="s">
        <v>1058</v>
      </c>
      <c r="F1413" s="165" t="str">
        <f>"上一招为剑法时，造成伤害增加"&amp;skill!$O$117/100&amp;"%真实伤害"</f>
        <v>上一招为剑法时，造成伤害增加50%真实伤害</v>
      </c>
      <c r="G1413" s="186">
        <f ca="1">OFFSET(卡牌辅助配置表!$C$1,MATCH(AC1413,卡牌辅助配置表!A:A,0)-1,0)</f>
        <v>3</v>
      </c>
      <c r="H1413" s="186">
        <f ca="1">OFFSET(skill!$Q$1,MATCH(B1413,skill!B:B,0)-1,0)</f>
        <v>0.666666666666667</v>
      </c>
      <c r="I1413" s="186"/>
      <c r="J1413" s="186">
        <f ca="1">OFFSET(card_type!$F$1,MATCH(Q1413,card_type!A:A,0)-1,0)</f>
        <v>4</v>
      </c>
      <c r="K1413" s="243">
        <f ca="1">OFFSET(card_type!$G$1,MATCH(Q1413,card_type!A:A,0)-1,0)</f>
        <v>2</v>
      </c>
      <c r="L1413" s="157">
        <v>2</v>
      </c>
      <c r="M1413" s="157">
        <v>2</v>
      </c>
      <c r="N1413" s="153">
        <f t="shared" si="239"/>
        <v>23</v>
      </c>
      <c r="O1413" s="157"/>
      <c r="P1413" s="157"/>
      <c r="Q1413" s="153">
        <f ca="1">OFFSET(card_type!$A$1,MATCH(card!B1413,card_type!B:B,0)-1,0)</f>
        <v>2401</v>
      </c>
      <c r="R1413" s="153">
        <v>1</v>
      </c>
      <c r="S1413" s="157">
        <f ca="1">ROUND(IF(R1413=0,0,IF(R1413=1,X1413*$S$1,IF(R1413=2,X1413*$S$1*buff的资质计算!$E$2,IF(R1413=3,X1413*$S$1*buff的资质计算!$E$3,0)))),0)*0</f>
        <v>0</v>
      </c>
      <c r="T1413" s="153">
        <v>4</v>
      </c>
      <c r="U1413" s="153">
        <f ca="1" t="shared" si="230"/>
        <v>42</v>
      </c>
      <c r="V1413" s="153">
        <f ca="1">ROUND((OFFSET(卡牌辅助配置表!$O$1,MATCH(U1413,卡牌辅助配置表!M:M,0)-1,0)+(N1413-1)*OFFSET(卡牌辅助配置表!$P$1,MATCH(U1413,卡牌辅助配置表!M:M,0)-1,0))*M1413,2)</f>
        <v>204.85</v>
      </c>
      <c r="W1413" s="157">
        <f ca="1">ROUND(IF(R1413=0,0,IF(R1413=1,X1413*$W$1,IF(R1413=2,X1413*$W$1*buff的资质计算!$E$2,IF(R1413=3,X1413*$W$1*buff的资质计算!$E$3,0)))),2)</f>
        <v>18.6</v>
      </c>
      <c r="X1413" s="157">
        <f ca="1" t="shared" si="237"/>
        <v>62</v>
      </c>
      <c r="Y1413" s="157">
        <f ca="1" t="shared" si="234"/>
        <v>62.6666666666667</v>
      </c>
      <c r="Z1413" s="304">
        <f ca="1" t="shared" si="238"/>
        <v>31.3333333333333</v>
      </c>
      <c r="AA1413" s="304">
        <f ca="1">OFFSET(卡牌辅助配置表!$AD$1,MATCH(AB1413,卡牌辅助配置表!AB:AB,0)-1,0)</f>
        <v>14260</v>
      </c>
      <c r="AB1413" s="304">
        <f ca="1" t="shared" si="231"/>
        <v>4223</v>
      </c>
      <c r="AC1413" s="153">
        <v>3</v>
      </c>
      <c r="AE1413" s="153">
        <v>2</v>
      </c>
      <c r="AF1413" s="153" t="str">
        <f ca="1" t="shared" si="235"/>
        <v>24010011|</v>
      </c>
      <c r="AJ1413" s="205">
        <f ca="1" t="shared" si="232"/>
        <v>0</v>
      </c>
      <c r="AK1413" s="205">
        <f ca="1">OFFSET([1]item_type!$A$1,MATCH(Q1413,[1]item_type!$G:$G,0)-1,0)</f>
        <v>302401</v>
      </c>
      <c r="AL1413" s="205"/>
      <c r="AM1413" s="205">
        <f ca="1">IF(B1413=B1414,OFFSET(卡牌辅助配置表!$AE$1,MATCH(AB1413,卡牌辅助配置表!AB:AB,0),0),0)</f>
        <v>14250</v>
      </c>
      <c r="AN1413" s="153">
        <f ca="1" t="shared" si="236"/>
        <v>0</v>
      </c>
      <c r="AP1413" s="153" t="str">
        <f ca="1">IF(AC1413=0,0,IF(AC1413=12,0,OFFSET(effect!$N$1,MATCH(K1413,effect!M:M,0)-1,0)))</f>
        <v>kpsx_pt</v>
      </c>
    </row>
    <row r="1414" spans="1:42">
      <c r="A1414" s="153">
        <f ca="1" t="shared" ref="A1414:A1477" si="240">Q1414*1000+N1414</f>
        <v>2401024</v>
      </c>
      <c r="B1414" s="91" t="s">
        <v>801</v>
      </c>
      <c r="C1414" s="186">
        <v>2</v>
      </c>
      <c r="D1414" s="186">
        <v>1</v>
      </c>
      <c r="E1414" s="165" t="s">
        <v>1058</v>
      </c>
      <c r="F1414" s="165" t="str">
        <f>"上一招为剑法时，造成伤害增加"&amp;skill!$O$117/100&amp;"%真实伤害"</f>
        <v>上一招为剑法时，造成伤害增加50%真实伤害</v>
      </c>
      <c r="G1414" s="186">
        <f ca="1">OFFSET(卡牌辅助配置表!$C$1,MATCH(AC1414,卡牌辅助配置表!A:A,0)-1,0)</f>
        <v>3</v>
      </c>
      <c r="H1414" s="186">
        <f ca="1">OFFSET(skill!$Q$1,MATCH(B1414,skill!B:B,0)-1,0)</f>
        <v>0.666666666666667</v>
      </c>
      <c r="I1414" s="186"/>
      <c r="J1414" s="186">
        <f ca="1">OFFSET(card_type!$F$1,MATCH(Q1414,card_type!A:A,0)-1,0)</f>
        <v>4</v>
      </c>
      <c r="K1414" s="243">
        <f ca="1">OFFSET(card_type!$G$1,MATCH(Q1414,card_type!A:A,0)-1,0)</f>
        <v>2</v>
      </c>
      <c r="L1414" s="157">
        <v>2</v>
      </c>
      <c r="M1414" s="157">
        <v>2</v>
      </c>
      <c r="N1414" s="153">
        <f t="shared" si="239"/>
        <v>24</v>
      </c>
      <c r="O1414" s="157"/>
      <c r="P1414" s="157"/>
      <c r="Q1414" s="153">
        <f ca="1">OFFSET(card_type!$A$1,MATCH(card!B1414,card_type!B:B,0)-1,0)</f>
        <v>2401</v>
      </c>
      <c r="R1414" s="153">
        <v>1</v>
      </c>
      <c r="S1414" s="157">
        <f ca="1">ROUND(IF(R1414=0,0,IF(R1414=1,X1414*$S$1,IF(R1414=2,X1414*$S$1*buff的资质计算!$E$2,IF(R1414=3,X1414*$S$1*buff的资质计算!$E$3,0)))),0)*0</f>
        <v>0</v>
      </c>
      <c r="T1414" s="153">
        <v>4</v>
      </c>
      <c r="U1414" s="153">
        <f ca="1" t="shared" ref="U1414:U1477" si="241">J1414*10+K1414</f>
        <v>42</v>
      </c>
      <c r="V1414" s="153">
        <f ca="1">ROUND((OFFSET(卡牌辅助配置表!$O$1,MATCH(U1414,卡牌辅助配置表!M:M,0)-1,0)+(N1414-1)*OFFSET(卡牌辅助配置表!$P$1,MATCH(U1414,卡牌辅助配置表!M:M,0)-1,0))*M1414,2)</f>
        <v>212.15</v>
      </c>
      <c r="W1414" s="157">
        <f ca="1">ROUND(IF(R1414=0,0,IF(R1414=1,X1414*$W$1,IF(R1414=2,X1414*$W$1*buff的资质计算!$E$2,IF(R1414=3,X1414*$W$1*buff的资质计算!$E$3,0)))),2)</f>
        <v>18.75</v>
      </c>
      <c r="X1414" s="157">
        <f ca="1" t="shared" si="237"/>
        <v>62.5</v>
      </c>
      <c r="Y1414" s="157">
        <f ca="1" t="shared" si="234"/>
        <v>63.1666666666667</v>
      </c>
      <c r="Z1414" s="304">
        <f ca="1" t="shared" si="238"/>
        <v>31.5833333333333</v>
      </c>
      <c r="AA1414" s="304">
        <f ca="1">OFFSET(卡牌辅助配置表!$AD$1,MATCH(AB1414,卡牌辅助配置表!AB:AB,0)-1,0)</f>
        <v>15180</v>
      </c>
      <c r="AB1414" s="304">
        <f ca="1" t="shared" ref="AB1414:AB1477" si="242">J1414*1000+K1414*100+N1414</f>
        <v>4224</v>
      </c>
      <c r="AC1414" s="153">
        <v>3</v>
      </c>
      <c r="AE1414" s="153">
        <v>2</v>
      </c>
      <c r="AF1414" s="153" t="str">
        <f ca="1" t="shared" si="235"/>
        <v>24010011|</v>
      </c>
      <c r="AJ1414" s="205">
        <f ca="1" t="shared" ref="AJ1414:AJ1477" si="243">IF(AN1414=0,0,IF(AL1414=0,$AM$1&amp;$AF$1&amp;AM1414&amp;$AF$1&amp;$AJ$1,AK1414&amp;$AF$1&amp;AL1414&amp;$AF$1&amp;$AJ$1&amp;$AM$1&amp;$AF$1&amp;AM1414&amp;$AF$1&amp;$AJ$1))</f>
        <v>0</v>
      </c>
      <c r="AK1414" s="205">
        <f ca="1">OFFSET([1]item_type!$A$1,MATCH(Q1414,[1]item_type!$G:$G,0)-1,0)</f>
        <v>302401</v>
      </c>
      <c r="AL1414" s="205"/>
      <c r="AM1414" s="205">
        <f ca="1">IF(B1414=B1415,OFFSET(卡牌辅助配置表!$AE$1,MATCH(AB1414,卡牌辅助配置表!AB:AB,0),0),0)</f>
        <v>15450</v>
      </c>
      <c r="AN1414" s="153">
        <f ca="1" t="shared" si="236"/>
        <v>0</v>
      </c>
      <c r="AP1414" s="153" t="str">
        <f ca="1">IF(AC1414=0,0,IF(AC1414=12,0,OFFSET(effect!$N$1,MATCH(K1414,effect!M:M,0)-1,0)))</f>
        <v>kpsx_pt</v>
      </c>
    </row>
    <row r="1415" spans="1:42">
      <c r="A1415" s="153">
        <f ca="1" t="shared" si="240"/>
        <v>2401025</v>
      </c>
      <c r="B1415" s="91" t="s">
        <v>801</v>
      </c>
      <c r="C1415" s="186">
        <v>2</v>
      </c>
      <c r="D1415" s="186">
        <v>1</v>
      </c>
      <c r="E1415" s="165" t="s">
        <v>1058</v>
      </c>
      <c r="F1415" s="165" t="str">
        <f>"上一招为剑法时，造成伤害增加"&amp;skill!$O$117/100&amp;"%真实伤害"</f>
        <v>上一招为剑法时，造成伤害增加50%真实伤害</v>
      </c>
      <c r="G1415" s="186">
        <f ca="1">OFFSET(卡牌辅助配置表!$C$1,MATCH(AC1415,卡牌辅助配置表!A:A,0)-1,0)</f>
        <v>3</v>
      </c>
      <c r="H1415" s="186">
        <f ca="1">OFFSET(skill!$Q$1,MATCH(B1415,skill!B:B,0)-1,0)</f>
        <v>0.666666666666667</v>
      </c>
      <c r="I1415" s="186"/>
      <c r="J1415" s="186">
        <f ca="1">OFFSET(card_type!$F$1,MATCH(Q1415,card_type!A:A,0)-1,0)</f>
        <v>4</v>
      </c>
      <c r="K1415" s="243">
        <f ca="1">OFFSET(card_type!$G$1,MATCH(Q1415,card_type!A:A,0)-1,0)</f>
        <v>2</v>
      </c>
      <c r="L1415" s="157">
        <v>2</v>
      </c>
      <c r="M1415" s="157">
        <v>2</v>
      </c>
      <c r="N1415" s="153">
        <f t="shared" si="239"/>
        <v>25</v>
      </c>
      <c r="O1415" s="157"/>
      <c r="P1415" s="157"/>
      <c r="Q1415" s="153">
        <f ca="1">OFFSET(card_type!$A$1,MATCH(card!B1415,card_type!B:B,0)-1,0)</f>
        <v>2401</v>
      </c>
      <c r="R1415" s="153">
        <v>1</v>
      </c>
      <c r="S1415" s="157">
        <f ca="1">ROUND(IF(R1415=0,0,IF(R1415=1,X1415*$S$1,IF(R1415=2,X1415*$S$1*buff的资质计算!$E$2,IF(R1415=3,X1415*$S$1*buff的资质计算!$E$3,0)))),0)*0</f>
        <v>0</v>
      </c>
      <c r="T1415" s="153">
        <v>4</v>
      </c>
      <c r="U1415" s="153">
        <f ca="1" t="shared" si="241"/>
        <v>42</v>
      </c>
      <c r="V1415" s="153">
        <f ca="1">ROUND((OFFSET(卡牌辅助配置表!$O$1,MATCH(U1415,卡牌辅助配置表!M:M,0)-1,0)+(N1415-1)*OFFSET(卡牌辅助配置表!$P$1,MATCH(U1415,卡牌辅助配置表!M:M,0)-1,0))*M1415,2)</f>
        <v>219.45</v>
      </c>
      <c r="W1415" s="157">
        <f ca="1">ROUND(IF(R1415=0,0,IF(R1415=1,X1415*$W$1,IF(R1415=2,X1415*$W$1*buff的资质计算!$E$2,IF(R1415=3,X1415*$W$1*buff的资质计算!$E$3,0)))),2)</f>
        <v>18.9</v>
      </c>
      <c r="X1415" s="157">
        <f ca="1" t="shared" si="237"/>
        <v>63</v>
      </c>
      <c r="Y1415" s="157">
        <f ca="1" t="shared" si="234"/>
        <v>63.6666666666667</v>
      </c>
      <c r="Z1415" s="304">
        <f ca="1" t="shared" si="238"/>
        <v>31.8333333333333</v>
      </c>
      <c r="AA1415" s="304">
        <f ca="1">OFFSET(卡牌辅助配置表!$AD$1,MATCH(AB1415,卡牌辅助配置表!AB:AB,0)-1,0)</f>
        <v>16100</v>
      </c>
      <c r="AB1415" s="304">
        <f ca="1" t="shared" si="242"/>
        <v>4225</v>
      </c>
      <c r="AC1415" s="153">
        <v>3</v>
      </c>
      <c r="AE1415" s="153">
        <v>2</v>
      </c>
      <c r="AF1415" s="153" t="str">
        <f ca="1" t="shared" si="235"/>
        <v>24010011|</v>
      </c>
      <c r="AJ1415" s="205">
        <f ca="1" t="shared" si="243"/>
        <v>0</v>
      </c>
      <c r="AK1415" s="205">
        <f ca="1">OFFSET([1]item_type!$A$1,MATCH(Q1415,[1]item_type!$G:$G,0)-1,0)</f>
        <v>302401</v>
      </c>
      <c r="AL1415" s="205"/>
      <c r="AM1415" s="205">
        <f ca="1">IF(B1415=B1416,OFFSET(卡牌辅助配置表!$AE$1,MATCH(AB1415,卡牌辅助配置表!AB:AB,0),0),0)</f>
        <v>16650</v>
      </c>
      <c r="AN1415" s="153">
        <f ca="1" t="shared" si="236"/>
        <v>0</v>
      </c>
      <c r="AP1415" s="153" t="str">
        <f ca="1">IF(AC1415=0,0,IF(AC1415=12,0,OFFSET(effect!$N$1,MATCH(K1415,effect!M:M,0)-1,0)))</f>
        <v>kpsx_pt</v>
      </c>
    </row>
    <row r="1416" spans="1:42">
      <c r="A1416" s="153">
        <f ca="1" t="shared" si="240"/>
        <v>2401026</v>
      </c>
      <c r="B1416" s="91" t="s">
        <v>801</v>
      </c>
      <c r="C1416" s="186">
        <v>2</v>
      </c>
      <c r="D1416" s="186">
        <v>1</v>
      </c>
      <c r="E1416" s="165" t="s">
        <v>1058</v>
      </c>
      <c r="F1416" s="165" t="str">
        <f>"上一招为剑法时，造成伤害增加"&amp;skill!$O$117/100&amp;"%真实伤害"</f>
        <v>上一招为剑法时，造成伤害增加50%真实伤害</v>
      </c>
      <c r="G1416" s="186">
        <f ca="1">OFFSET(卡牌辅助配置表!$C$1,MATCH(AC1416,卡牌辅助配置表!A:A,0)-1,0)</f>
        <v>3</v>
      </c>
      <c r="H1416" s="186">
        <f ca="1">OFFSET(skill!$Q$1,MATCH(B1416,skill!B:B,0)-1,0)</f>
        <v>0.666666666666667</v>
      </c>
      <c r="I1416" s="186"/>
      <c r="J1416" s="186">
        <f ca="1">OFFSET(card_type!$F$1,MATCH(Q1416,card_type!A:A,0)-1,0)</f>
        <v>4</v>
      </c>
      <c r="K1416" s="243">
        <f ca="1">OFFSET(card_type!$G$1,MATCH(Q1416,card_type!A:A,0)-1,0)</f>
        <v>2</v>
      </c>
      <c r="L1416" s="157">
        <v>2</v>
      </c>
      <c r="M1416" s="157">
        <v>2</v>
      </c>
      <c r="N1416" s="153">
        <f t="shared" si="239"/>
        <v>26</v>
      </c>
      <c r="O1416" s="157"/>
      <c r="P1416" s="157"/>
      <c r="Q1416" s="153">
        <f ca="1">OFFSET(card_type!$A$1,MATCH(card!B1416,card_type!B:B,0)-1,0)</f>
        <v>2401</v>
      </c>
      <c r="R1416" s="153">
        <v>1</v>
      </c>
      <c r="S1416" s="157">
        <f ca="1">ROUND(IF(R1416=0,0,IF(R1416=1,X1416*$S$1,IF(R1416=2,X1416*$S$1*buff的资质计算!$E$2,IF(R1416=3,X1416*$S$1*buff的资质计算!$E$3,0)))),0)*0</f>
        <v>0</v>
      </c>
      <c r="T1416" s="153">
        <v>4</v>
      </c>
      <c r="U1416" s="153">
        <f ca="1" t="shared" si="241"/>
        <v>42</v>
      </c>
      <c r="V1416" s="153">
        <f ca="1">ROUND((OFFSET(卡牌辅助配置表!$O$1,MATCH(U1416,卡牌辅助配置表!M:M,0)-1,0)+(N1416-1)*OFFSET(卡牌辅助配置表!$P$1,MATCH(U1416,卡牌辅助配置表!M:M,0)-1,0))*M1416,2)</f>
        <v>226.75</v>
      </c>
      <c r="W1416" s="157">
        <f ca="1">ROUND(IF(R1416=0,0,IF(R1416=1,X1416*$W$1,IF(R1416=2,X1416*$W$1*buff的资质计算!$E$2,IF(R1416=3,X1416*$W$1*buff的资质计算!$E$3,0)))),2)</f>
        <v>19.05</v>
      </c>
      <c r="X1416" s="157">
        <f ca="1" t="shared" si="237"/>
        <v>63.5</v>
      </c>
      <c r="Y1416" s="157">
        <f ca="1" t="shared" si="234"/>
        <v>64.1666666666667</v>
      </c>
      <c r="Z1416" s="304">
        <f ca="1" t="shared" si="238"/>
        <v>32.0833333333333</v>
      </c>
      <c r="AA1416" s="304">
        <f ca="1">OFFSET(卡牌辅助配置表!$AD$1,MATCH(AB1416,卡牌辅助配置表!AB:AB,0)-1,0)</f>
        <v>17020</v>
      </c>
      <c r="AB1416" s="304">
        <f ca="1" t="shared" si="242"/>
        <v>4226</v>
      </c>
      <c r="AC1416" s="153">
        <v>3</v>
      </c>
      <c r="AE1416" s="153">
        <v>2</v>
      </c>
      <c r="AF1416" s="153" t="str">
        <f ca="1" t="shared" si="235"/>
        <v>24010011|</v>
      </c>
      <c r="AJ1416" s="205">
        <f ca="1" t="shared" si="243"/>
        <v>0</v>
      </c>
      <c r="AK1416" s="205">
        <f ca="1">OFFSET([1]item_type!$A$1,MATCH(Q1416,[1]item_type!$G:$G,0)-1,0)</f>
        <v>302401</v>
      </c>
      <c r="AL1416" s="205"/>
      <c r="AM1416" s="205">
        <f ca="1">IF(B1416=B1417,OFFSET(卡牌辅助配置表!$AE$1,MATCH(AB1416,卡牌辅助配置表!AB:AB,0),0),0)</f>
        <v>17850</v>
      </c>
      <c r="AN1416" s="153">
        <f ca="1" t="shared" si="236"/>
        <v>0</v>
      </c>
      <c r="AP1416" s="153" t="str">
        <f ca="1">IF(AC1416=0,0,IF(AC1416=12,0,OFFSET(effect!$N$1,MATCH(K1416,effect!M:M,0)-1,0)))</f>
        <v>kpsx_pt</v>
      </c>
    </row>
    <row r="1417" spans="1:42">
      <c r="A1417" s="153">
        <f ca="1" t="shared" si="240"/>
        <v>2401027</v>
      </c>
      <c r="B1417" s="91" t="s">
        <v>801</v>
      </c>
      <c r="C1417" s="186">
        <v>2</v>
      </c>
      <c r="D1417" s="186">
        <v>1</v>
      </c>
      <c r="E1417" s="165" t="s">
        <v>1058</v>
      </c>
      <c r="F1417" s="165" t="str">
        <f>"上一招为剑法时，造成伤害增加"&amp;skill!$O$117/100&amp;"%真实伤害"</f>
        <v>上一招为剑法时，造成伤害增加50%真实伤害</v>
      </c>
      <c r="G1417" s="186">
        <f ca="1">OFFSET(卡牌辅助配置表!$C$1,MATCH(AC1417,卡牌辅助配置表!A:A,0)-1,0)</f>
        <v>3</v>
      </c>
      <c r="H1417" s="186">
        <f ca="1">OFFSET(skill!$Q$1,MATCH(B1417,skill!B:B,0)-1,0)</f>
        <v>0.666666666666667</v>
      </c>
      <c r="I1417" s="186"/>
      <c r="J1417" s="186">
        <f ca="1">OFFSET(card_type!$F$1,MATCH(Q1417,card_type!A:A,0)-1,0)</f>
        <v>4</v>
      </c>
      <c r="K1417" s="243">
        <f ca="1">OFFSET(card_type!$G$1,MATCH(Q1417,card_type!A:A,0)-1,0)</f>
        <v>2</v>
      </c>
      <c r="L1417" s="157">
        <v>2</v>
      </c>
      <c r="M1417" s="157">
        <v>2</v>
      </c>
      <c r="N1417" s="153">
        <f t="shared" si="239"/>
        <v>27</v>
      </c>
      <c r="O1417" s="157"/>
      <c r="P1417" s="157"/>
      <c r="Q1417" s="153">
        <f ca="1">OFFSET(card_type!$A$1,MATCH(card!B1417,card_type!B:B,0)-1,0)</f>
        <v>2401</v>
      </c>
      <c r="R1417" s="153">
        <v>1</v>
      </c>
      <c r="S1417" s="157">
        <f ca="1">ROUND(IF(R1417=0,0,IF(R1417=1,X1417*$S$1,IF(R1417=2,X1417*$S$1*buff的资质计算!$E$2,IF(R1417=3,X1417*$S$1*buff的资质计算!$E$3,0)))),0)*0</f>
        <v>0</v>
      </c>
      <c r="T1417" s="153">
        <v>4</v>
      </c>
      <c r="U1417" s="153">
        <f ca="1" t="shared" si="241"/>
        <v>42</v>
      </c>
      <c r="V1417" s="153">
        <f ca="1">ROUND((OFFSET(卡牌辅助配置表!$O$1,MATCH(U1417,卡牌辅助配置表!M:M,0)-1,0)+(N1417-1)*OFFSET(卡牌辅助配置表!$P$1,MATCH(U1417,卡牌辅助配置表!M:M,0)-1,0))*M1417,2)</f>
        <v>234.05</v>
      </c>
      <c r="W1417" s="157">
        <f ca="1">ROUND(IF(R1417=0,0,IF(R1417=1,X1417*$W$1,IF(R1417=2,X1417*$W$1*buff的资质计算!$E$2,IF(R1417=3,X1417*$W$1*buff的资质计算!$E$3,0)))),2)</f>
        <v>19.2</v>
      </c>
      <c r="X1417" s="157">
        <f ca="1" t="shared" si="237"/>
        <v>64</v>
      </c>
      <c r="Y1417" s="157">
        <f ca="1" t="shared" si="234"/>
        <v>64.6666666666667</v>
      </c>
      <c r="Z1417" s="304">
        <f ca="1" t="shared" si="238"/>
        <v>32.3333333333333</v>
      </c>
      <c r="AA1417" s="304">
        <f ca="1">OFFSET(卡牌辅助配置表!$AD$1,MATCH(AB1417,卡牌辅助配置表!AB:AB,0)-1,0)</f>
        <v>17940</v>
      </c>
      <c r="AB1417" s="304">
        <f ca="1" t="shared" si="242"/>
        <v>4227</v>
      </c>
      <c r="AC1417" s="153">
        <v>3</v>
      </c>
      <c r="AE1417" s="153">
        <v>2</v>
      </c>
      <c r="AF1417" s="153" t="str">
        <f ca="1" t="shared" si="235"/>
        <v>24010011|</v>
      </c>
      <c r="AJ1417" s="205">
        <f ca="1" t="shared" si="243"/>
        <v>0</v>
      </c>
      <c r="AK1417" s="205">
        <f ca="1">OFFSET([1]item_type!$A$1,MATCH(Q1417,[1]item_type!$G:$G,0)-1,0)</f>
        <v>302401</v>
      </c>
      <c r="AL1417" s="205"/>
      <c r="AM1417" s="205">
        <f ca="1">IF(B1417=B1418,OFFSET(卡牌辅助配置表!$AE$1,MATCH(AB1417,卡牌辅助配置表!AB:AB,0),0),0)</f>
        <v>19050</v>
      </c>
      <c r="AN1417" s="153">
        <f ca="1" t="shared" si="236"/>
        <v>0</v>
      </c>
      <c r="AP1417" s="153" t="str">
        <f ca="1">IF(AC1417=0,0,IF(AC1417=12,0,OFFSET(effect!$N$1,MATCH(K1417,effect!M:M,0)-1,0)))</f>
        <v>kpsx_pt</v>
      </c>
    </row>
    <row r="1418" spans="1:42">
      <c r="A1418" s="153">
        <f ca="1" t="shared" si="240"/>
        <v>2401028</v>
      </c>
      <c r="B1418" s="91" t="s">
        <v>801</v>
      </c>
      <c r="C1418" s="186">
        <v>2</v>
      </c>
      <c r="D1418" s="186">
        <v>1</v>
      </c>
      <c r="E1418" s="165" t="s">
        <v>1058</v>
      </c>
      <c r="F1418" s="165" t="str">
        <f>"上一招为剑法时，造成伤害增加"&amp;skill!$O$117/100&amp;"%真实伤害"</f>
        <v>上一招为剑法时，造成伤害增加50%真实伤害</v>
      </c>
      <c r="G1418" s="186">
        <f ca="1">OFFSET(卡牌辅助配置表!$C$1,MATCH(AC1418,卡牌辅助配置表!A:A,0)-1,0)</f>
        <v>3</v>
      </c>
      <c r="H1418" s="186">
        <f ca="1">OFFSET(skill!$Q$1,MATCH(B1418,skill!B:B,0)-1,0)</f>
        <v>0.666666666666667</v>
      </c>
      <c r="I1418" s="186"/>
      <c r="J1418" s="186">
        <f ca="1">OFFSET(card_type!$F$1,MATCH(Q1418,card_type!A:A,0)-1,0)</f>
        <v>4</v>
      </c>
      <c r="K1418" s="243">
        <f ca="1">OFFSET(card_type!$G$1,MATCH(Q1418,card_type!A:A,0)-1,0)</f>
        <v>2</v>
      </c>
      <c r="L1418" s="157">
        <v>2</v>
      </c>
      <c r="M1418" s="157">
        <v>2</v>
      </c>
      <c r="N1418" s="153">
        <f t="shared" si="239"/>
        <v>28</v>
      </c>
      <c r="O1418" s="157"/>
      <c r="P1418" s="157"/>
      <c r="Q1418" s="153">
        <f ca="1">OFFSET(card_type!$A$1,MATCH(card!B1418,card_type!B:B,0)-1,0)</f>
        <v>2401</v>
      </c>
      <c r="R1418" s="153">
        <v>1</v>
      </c>
      <c r="S1418" s="157">
        <f ca="1">ROUND(IF(R1418=0,0,IF(R1418=1,X1418*$S$1,IF(R1418=2,X1418*$S$1*buff的资质计算!$E$2,IF(R1418=3,X1418*$S$1*buff的资质计算!$E$3,0)))),0)*0</f>
        <v>0</v>
      </c>
      <c r="T1418" s="153">
        <v>4</v>
      </c>
      <c r="U1418" s="153">
        <f ca="1" t="shared" si="241"/>
        <v>42</v>
      </c>
      <c r="V1418" s="153">
        <f ca="1">ROUND((OFFSET(卡牌辅助配置表!$O$1,MATCH(U1418,卡牌辅助配置表!M:M,0)-1,0)+(N1418-1)*OFFSET(卡牌辅助配置表!$P$1,MATCH(U1418,卡牌辅助配置表!M:M,0)-1,0))*M1418,2)</f>
        <v>241.35</v>
      </c>
      <c r="W1418" s="157">
        <f ca="1">ROUND(IF(R1418=0,0,IF(R1418=1,X1418*$W$1,IF(R1418=2,X1418*$W$1*buff的资质计算!$E$2,IF(R1418=3,X1418*$W$1*buff的资质计算!$E$3,0)))),2)</f>
        <v>19.35</v>
      </c>
      <c r="X1418" s="157">
        <f ca="1" t="shared" si="237"/>
        <v>64.5</v>
      </c>
      <c r="Y1418" s="157">
        <f ca="1" t="shared" si="234"/>
        <v>65.1666666666667</v>
      </c>
      <c r="Z1418" s="304">
        <f ca="1" t="shared" si="238"/>
        <v>32.5833333333333</v>
      </c>
      <c r="AA1418" s="304">
        <f ca="1">OFFSET(卡牌辅助配置表!$AD$1,MATCH(AB1418,卡牌辅助配置表!AB:AB,0)-1,0)</f>
        <v>18860</v>
      </c>
      <c r="AB1418" s="304">
        <f ca="1" t="shared" si="242"/>
        <v>4228</v>
      </c>
      <c r="AC1418" s="153">
        <v>3</v>
      </c>
      <c r="AE1418" s="153">
        <v>2</v>
      </c>
      <c r="AF1418" s="153" t="str">
        <f ca="1" t="shared" si="235"/>
        <v>24010011|</v>
      </c>
      <c r="AJ1418" s="205">
        <f ca="1" t="shared" si="243"/>
        <v>0</v>
      </c>
      <c r="AK1418" s="205">
        <f ca="1">OFFSET([1]item_type!$A$1,MATCH(Q1418,[1]item_type!$G:$G,0)-1,0)</f>
        <v>302401</v>
      </c>
      <c r="AL1418" s="205"/>
      <c r="AM1418" s="205">
        <f ca="1">IF(B1418=B1419,OFFSET(卡牌辅助配置表!$AE$1,MATCH(AB1418,卡牌辅助配置表!AB:AB,0),0),0)</f>
        <v>20250</v>
      </c>
      <c r="AN1418" s="153">
        <f ca="1" t="shared" si="236"/>
        <v>0</v>
      </c>
      <c r="AP1418" s="153" t="str">
        <f ca="1">IF(AC1418=0,0,IF(AC1418=12,0,OFFSET(effect!$N$1,MATCH(K1418,effect!M:M,0)-1,0)))</f>
        <v>kpsx_pt</v>
      </c>
    </row>
    <row r="1419" spans="1:42">
      <c r="A1419" s="153">
        <f ca="1" t="shared" si="240"/>
        <v>2401029</v>
      </c>
      <c r="B1419" s="91" t="s">
        <v>801</v>
      </c>
      <c r="C1419" s="186">
        <v>2</v>
      </c>
      <c r="D1419" s="186">
        <v>1</v>
      </c>
      <c r="E1419" s="165" t="s">
        <v>1058</v>
      </c>
      <c r="F1419" s="165" t="str">
        <f>"上一招为剑法时，造成伤害增加"&amp;skill!$O$117/100&amp;"%真实伤害"</f>
        <v>上一招为剑法时，造成伤害增加50%真实伤害</v>
      </c>
      <c r="G1419" s="186">
        <f ca="1">OFFSET(卡牌辅助配置表!$C$1,MATCH(AC1419,卡牌辅助配置表!A:A,0)-1,0)</f>
        <v>3</v>
      </c>
      <c r="H1419" s="186">
        <f ca="1">OFFSET(skill!$Q$1,MATCH(B1419,skill!B:B,0)-1,0)</f>
        <v>0.666666666666667</v>
      </c>
      <c r="I1419" s="186"/>
      <c r="J1419" s="186">
        <f ca="1">OFFSET(card_type!$F$1,MATCH(Q1419,card_type!A:A,0)-1,0)</f>
        <v>4</v>
      </c>
      <c r="K1419" s="243">
        <f ca="1">OFFSET(card_type!$G$1,MATCH(Q1419,card_type!A:A,0)-1,0)</f>
        <v>2</v>
      </c>
      <c r="L1419" s="157">
        <v>2</v>
      </c>
      <c r="M1419" s="157">
        <v>2</v>
      </c>
      <c r="N1419" s="153">
        <f t="shared" si="239"/>
        <v>29</v>
      </c>
      <c r="O1419" s="157"/>
      <c r="P1419" s="157"/>
      <c r="Q1419" s="153">
        <f ca="1">OFFSET(card_type!$A$1,MATCH(card!B1419,card_type!B:B,0)-1,0)</f>
        <v>2401</v>
      </c>
      <c r="R1419" s="153">
        <v>1</v>
      </c>
      <c r="S1419" s="157">
        <f ca="1">ROUND(IF(R1419=0,0,IF(R1419=1,X1419*$S$1,IF(R1419=2,X1419*$S$1*buff的资质计算!$E$2,IF(R1419=3,X1419*$S$1*buff的资质计算!$E$3,0)))),0)*0</f>
        <v>0</v>
      </c>
      <c r="T1419" s="153">
        <v>4</v>
      </c>
      <c r="U1419" s="153">
        <f ca="1" t="shared" si="241"/>
        <v>42</v>
      </c>
      <c r="V1419" s="153">
        <f ca="1">ROUND((OFFSET(卡牌辅助配置表!$O$1,MATCH(U1419,卡牌辅助配置表!M:M,0)-1,0)+(N1419-1)*OFFSET(卡牌辅助配置表!$P$1,MATCH(U1419,卡牌辅助配置表!M:M,0)-1,0))*M1419,2)</f>
        <v>248.65</v>
      </c>
      <c r="W1419" s="157">
        <f ca="1">ROUND(IF(R1419=0,0,IF(R1419=1,X1419*$W$1,IF(R1419=2,X1419*$W$1*buff的资质计算!$E$2,IF(R1419=3,X1419*$W$1*buff的资质计算!$E$3,0)))),2)</f>
        <v>19.5</v>
      </c>
      <c r="X1419" s="157">
        <f ca="1" t="shared" si="237"/>
        <v>65</v>
      </c>
      <c r="Y1419" s="157">
        <f ca="1" t="shared" si="234"/>
        <v>65.6666666666667</v>
      </c>
      <c r="Z1419" s="304">
        <f ca="1" t="shared" si="238"/>
        <v>32.8333333333333</v>
      </c>
      <c r="AA1419" s="304">
        <f ca="1">OFFSET(卡牌辅助配置表!$AD$1,MATCH(AB1419,卡牌辅助配置表!AB:AB,0)-1,0)</f>
        <v>19780</v>
      </c>
      <c r="AB1419" s="304">
        <f ca="1" t="shared" si="242"/>
        <v>4229</v>
      </c>
      <c r="AC1419" s="153">
        <v>3</v>
      </c>
      <c r="AE1419" s="153">
        <v>2</v>
      </c>
      <c r="AF1419" s="153" t="str">
        <f ca="1" t="shared" si="235"/>
        <v>24010011|</v>
      </c>
      <c r="AJ1419" s="205">
        <f ca="1" t="shared" si="243"/>
        <v>0</v>
      </c>
      <c r="AK1419" s="205">
        <f ca="1">OFFSET([1]item_type!$A$1,MATCH(Q1419,[1]item_type!$G:$G,0)-1,0)</f>
        <v>302401</v>
      </c>
      <c r="AL1419" s="205">
        <v>30</v>
      </c>
      <c r="AM1419" s="205">
        <f ca="1">IF(B1419=B1420,OFFSET(卡牌辅助配置表!$AE$1,MATCH(AB1419,卡牌辅助配置表!AB:AB,0),0),0)</f>
        <v>21450</v>
      </c>
      <c r="AN1419" s="153">
        <f ca="1" t="shared" si="236"/>
        <v>0</v>
      </c>
      <c r="AP1419" s="153" t="str">
        <f ca="1">IF(AC1419=0,0,IF(AC1419=12,0,OFFSET(effect!$N$1,MATCH(K1419,effect!M:M,0)-1,0)))</f>
        <v>kpsx_pt</v>
      </c>
    </row>
    <row r="1420" spans="1:42">
      <c r="A1420" s="153">
        <f ca="1" t="shared" si="240"/>
        <v>2401030</v>
      </c>
      <c r="B1420" s="91" t="s">
        <v>801</v>
      </c>
      <c r="C1420" s="186">
        <v>2</v>
      </c>
      <c r="D1420" s="186">
        <v>1</v>
      </c>
      <c r="E1420" s="165" t="s">
        <v>1058</v>
      </c>
      <c r="F1420" s="165" t="str">
        <f>"上一招为剑法时，造成伤害增加"&amp;skill!$O$117/100&amp;"%真实伤害"</f>
        <v>上一招为剑法时，造成伤害增加50%真实伤害</v>
      </c>
      <c r="G1420" s="186">
        <f ca="1">OFFSET(卡牌辅助配置表!$C$1,MATCH(AC1420,卡牌辅助配置表!A:A,0)-1,0)</f>
        <v>3</v>
      </c>
      <c r="H1420" s="186">
        <f ca="1">OFFSET(skill!$Q$1,MATCH(B1420,skill!B:B,0)-1,0)</f>
        <v>0.666666666666667</v>
      </c>
      <c r="I1420" s="186"/>
      <c r="J1420" s="186">
        <f ca="1">OFFSET(card_type!$F$1,MATCH(Q1420,card_type!A:A,0)-1,0)</f>
        <v>4</v>
      </c>
      <c r="K1420" s="243">
        <f ca="1">OFFSET(card_type!$G$1,MATCH(Q1420,card_type!A:A,0)-1,0)</f>
        <v>2</v>
      </c>
      <c r="L1420" s="157">
        <v>2</v>
      </c>
      <c r="M1420" s="157">
        <v>2</v>
      </c>
      <c r="N1420" s="153">
        <f t="shared" si="239"/>
        <v>30</v>
      </c>
      <c r="O1420" s="157"/>
      <c r="P1420" s="157"/>
      <c r="Q1420" s="153">
        <f ca="1">OFFSET(card_type!$A$1,MATCH(card!B1420,card_type!B:B,0)-1,0)</f>
        <v>2401</v>
      </c>
      <c r="R1420" s="153">
        <v>1</v>
      </c>
      <c r="S1420" s="157">
        <f ca="1">ROUND(IF(R1420=0,0,IF(R1420=1,X1420*$S$1,IF(R1420=2,X1420*$S$1*buff的资质计算!$E$2,IF(R1420=3,X1420*$S$1*buff的资质计算!$E$3,0)))),0)*0</f>
        <v>0</v>
      </c>
      <c r="T1420" s="153">
        <v>4</v>
      </c>
      <c r="U1420" s="153">
        <f ca="1" t="shared" si="241"/>
        <v>42</v>
      </c>
      <c r="V1420" s="153">
        <f ca="1">ROUND((OFFSET(卡牌辅助配置表!$O$1,MATCH(U1420,卡牌辅助配置表!M:M,0)-1,0)+(N1420-1)*OFFSET(卡牌辅助配置表!$P$1,MATCH(U1420,卡牌辅助配置表!M:M,0)-1,0))*M1420,2)</f>
        <v>255.95</v>
      </c>
      <c r="W1420" s="157">
        <f ca="1">ROUND(IF(R1420=0,0,IF(R1420=1,X1420*$W$1,IF(R1420=2,X1420*$W$1*buff的资质计算!$E$2,IF(R1420=3,X1420*$W$1*buff的资质计算!$E$3,0)))),2)</f>
        <v>19.65</v>
      </c>
      <c r="X1420" s="157">
        <f ca="1" t="shared" si="237"/>
        <v>65.5</v>
      </c>
      <c r="Y1420" s="157">
        <f ca="1" t="shared" si="234"/>
        <v>66.1666666666667</v>
      </c>
      <c r="Z1420" s="304">
        <f ca="1" t="shared" si="238"/>
        <v>33.0833333333333</v>
      </c>
      <c r="AA1420" s="304">
        <f ca="1">OFFSET(卡牌辅助配置表!$AD$1,MATCH(AB1420,卡牌辅助配置表!AB:AB,0)-1,0)</f>
        <v>20700</v>
      </c>
      <c r="AB1420" s="304">
        <f ca="1" t="shared" si="242"/>
        <v>4230</v>
      </c>
      <c r="AC1420" s="153">
        <v>3</v>
      </c>
      <c r="AE1420" s="153">
        <v>2</v>
      </c>
      <c r="AF1420" s="153" t="str">
        <f ca="1" t="shared" si="235"/>
        <v>24010011|</v>
      </c>
      <c r="AJ1420" s="205">
        <f ca="1" t="shared" si="243"/>
        <v>0</v>
      </c>
      <c r="AK1420" s="205">
        <f ca="1">OFFSET([1]item_type!$A$1,MATCH(Q1420,[1]item_type!$G:$G,0)-1,0)</f>
        <v>302401</v>
      </c>
      <c r="AL1420" s="205"/>
      <c r="AM1420" s="205">
        <f ca="1">IF(B1420=B1421,OFFSET(卡牌辅助配置表!$AE$1,MATCH(AB1420,卡牌辅助配置表!AB:AB,0),0),0)</f>
        <v>0</v>
      </c>
      <c r="AN1420" s="153">
        <f ca="1" t="shared" si="236"/>
        <v>0</v>
      </c>
      <c r="AP1420" s="153" t="str">
        <f ca="1">IF(AC1420=0,0,IF(AC1420=12,0,OFFSET(effect!$N$1,MATCH(K1420,effect!M:M,0)-1,0)))</f>
        <v>kpsx_pt</v>
      </c>
    </row>
    <row r="1421" spans="1:42">
      <c r="A1421" s="153">
        <f ca="1" t="shared" si="240"/>
        <v>2402001</v>
      </c>
      <c r="B1421" s="152" t="s">
        <v>385</v>
      </c>
      <c r="C1421" s="186">
        <v>2</v>
      </c>
      <c r="D1421" s="186">
        <v>1</v>
      </c>
      <c r="E1421" s="165" t="s">
        <v>1058</v>
      </c>
      <c r="F1421" s="165" t="str">
        <f>"上一招为剑法时，增加"&amp;skill!$O$118/100&amp;"%伤害"</f>
        <v>上一招为剑法时，增加50%伤害</v>
      </c>
      <c r="G1421" s="186">
        <f ca="1">OFFSET(卡牌辅助配置表!$C$1,MATCH(AC1421,卡牌辅助配置表!A:A,0)-1,0)</f>
        <v>3</v>
      </c>
      <c r="H1421" s="186">
        <f ca="1">OFFSET(skill!$Q$1,MATCH(B1421,skill!B:B,0)-1,0)</f>
        <v>0.666666666666667</v>
      </c>
      <c r="I1421" s="186"/>
      <c r="J1421" s="186">
        <f ca="1">OFFSET(card_type!$F$1,MATCH(Q1421,card_type!A:A,0)-1,0)</f>
        <v>4</v>
      </c>
      <c r="K1421" s="243">
        <f ca="1">OFFSET(card_type!$G$1,MATCH(Q1421,card_type!A:A,0)-1,0)</f>
        <v>2</v>
      </c>
      <c r="L1421" s="157">
        <v>2</v>
      </c>
      <c r="M1421" s="157">
        <v>2</v>
      </c>
      <c r="N1421" s="153">
        <f t="shared" si="239"/>
        <v>1</v>
      </c>
      <c r="O1421" s="157"/>
      <c r="P1421" s="157"/>
      <c r="Q1421" s="153">
        <f ca="1">OFFSET(card_type!$A$1,MATCH(card!B1421,card_type!B:B,0)-1,0)</f>
        <v>2402</v>
      </c>
      <c r="R1421" s="153">
        <v>1</v>
      </c>
      <c r="S1421" s="157">
        <f ca="1">ROUND(IF(R1421=0,0,IF(R1421=1,X1421*$S$1,IF(R1421=2,X1421*$S$1*buff的资质计算!$E$2,IF(R1421=3,X1421*$S$1*buff的资质计算!$E$3,0)))),0)*0</f>
        <v>0</v>
      </c>
      <c r="T1421" s="153">
        <v>5</v>
      </c>
      <c r="U1421" s="153">
        <f ca="1" t="shared" si="241"/>
        <v>42</v>
      </c>
      <c r="V1421" s="153">
        <f ca="1">ROUND((OFFSET(卡牌辅助配置表!$O$1,MATCH(U1421,卡牌辅助配置表!M:M,0)-1,0)+(N1421-1)*OFFSET(卡牌辅助配置表!$P$1,MATCH(U1421,卡牌辅助配置表!M:M,0)-1,0))*M1421,2)</f>
        <v>44.25</v>
      </c>
      <c r="W1421" s="157">
        <f ca="1">ROUND(IF(R1421=0,0,IF(R1421=1,X1421*$W$1,IF(R1421=2,X1421*$W$1*buff的资质计算!$E$2,IF(R1421=3,X1421*$W$1*buff的资质计算!$E$3,0)))),2)</f>
        <v>15.3</v>
      </c>
      <c r="X1421" s="157">
        <f ca="1" t="shared" si="237"/>
        <v>51</v>
      </c>
      <c r="Y1421" s="157">
        <f ca="1" t="shared" si="234"/>
        <v>51.6666666666667</v>
      </c>
      <c r="Z1421" s="304">
        <f ca="1" t="shared" si="238"/>
        <v>25.8333333333333</v>
      </c>
      <c r="AA1421" s="304">
        <f ca="1">OFFSET(卡牌辅助配置表!$AD$1,MATCH(AB1421,卡牌辅助配置表!AB:AB,0)-1,0)</f>
        <v>460</v>
      </c>
      <c r="AB1421" s="304">
        <f ca="1" t="shared" si="242"/>
        <v>4201</v>
      </c>
      <c r="AC1421" s="153">
        <v>3</v>
      </c>
      <c r="AE1421" s="153">
        <v>2</v>
      </c>
      <c r="AF1421" s="153" t="str">
        <f ca="1" t="shared" si="235"/>
        <v>24020011|</v>
      </c>
      <c r="AJ1421" s="205">
        <f ca="1" t="shared" si="243"/>
        <v>0</v>
      </c>
      <c r="AK1421" s="205">
        <f ca="1">OFFSET([1]item_type!$A$1,MATCH(Q1421,[1]item_type!$G:$G,0)-1,0)</f>
        <v>302402</v>
      </c>
      <c r="AL1421" s="205"/>
      <c r="AM1421" s="205">
        <f ca="1">IF(B1421=B1422,OFFSET(卡牌辅助配置表!$AE$1,MATCH(AB1421,卡牌辅助配置表!AB:AB,0),0),0)</f>
        <v>1050</v>
      </c>
      <c r="AN1421" s="153">
        <f ca="1" t="shared" ref="AN1421:AN1480" si="244">IF(B1421=B1541,A1421+1,0)</f>
        <v>0</v>
      </c>
      <c r="AP1421" s="153" t="str">
        <f ca="1">IF(AC1421=0,0,IF(AC1421=12,0,OFFSET(effect!$N$1,MATCH(K1421,effect!M:M,0)-1,0)))</f>
        <v>kpsx_pt</v>
      </c>
    </row>
    <row r="1422" spans="1:42">
      <c r="A1422" s="153">
        <f ca="1" t="shared" si="240"/>
        <v>2402002</v>
      </c>
      <c r="B1422" s="91" t="s">
        <v>385</v>
      </c>
      <c r="C1422" s="186">
        <v>2</v>
      </c>
      <c r="D1422" s="186">
        <v>1</v>
      </c>
      <c r="E1422" s="165" t="s">
        <v>1058</v>
      </c>
      <c r="F1422" s="165" t="str">
        <f>"上一招为剑法时，增加"&amp;skill!$O$118/100&amp;"%伤害"</f>
        <v>上一招为剑法时，增加50%伤害</v>
      </c>
      <c r="G1422" s="186">
        <f ca="1">OFFSET(卡牌辅助配置表!$C$1,MATCH(AC1422,卡牌辅助配置表!A:A,0)-1,0)</f>
        <v>3</v>
      </c>
      <c r="H1422" s="186">
        <f ca="1">OFFSET(skill!$Q$1,MATCH(B1422,skill!B:B,0)-1,0)</f>
        <v>0.666666666666667</v>
      </c>
      <c r="I1422" s="186"/>
      <c r="J1422" s="186">
        <f ca="1">OFFSET(card_type!$F$1,MATCH(Q1422,card_type!A:A,0)-1,0)</f>
        <v>4</v>
      </c>
      <c r="K1422" s="243">
        <f ca="1">OFFSET(card_type!$G$1,MATCH(Q1422,card_type!A:A,0)-1,0)</f>
        <v>2</v>
      </c>
      <c r="L1422" s="157">
        <v>2</v>
      </c>
      <c r="M1422" s="157">
        <v>2</v>
      </c>
      <c r="N1422" s="153">
        <f t="shared" si="239"/>
        <v>2</v>
      </c>
      <c r="O1422" s="157"/>
      <c r="P1422" s="157"/>
      <c r="Q1422" s="153">
        <f ca="1">OFFSET(card_type!$A$1,MATCH(card!B1422,card_type!B:B,0)-1,0)</f>
        <v>2402</v>
      </c>
      <c r="R1422" s="153">
        <v>1</v>
      </c>
      <c r="S1422" s="157">
        <f ca="1">ROUND(IF(R1422=0,0,IF(R1422=1,X1422*$S$1,IF(R1422=2,X1422*$S$1*buff的资质计算!$E$2,IF(R1422=3,X1422*$S$1*buff的资质计算!$E$3,0)))),0)*0</f>
        <v>0</v>
      </c>
      <c r="T1422" s="153">
        <v>5</v>
      </c>
      <c r="U1422" s="153">
        <f ca="1" t="shared" si="241"/>
        <v>42</v>
      </c>
      <c r="V1422" s="153">
        <f ca="1">ROUND((OFFSET(卡牌辅助配置表!$O$1,MATCH(U1422,卡牌辅助配置表!M:M,0)-1,0)+(N1422-1)*OFFSET(卡牌辅助配置表!$P$1,MATCH(U1422,卡牌辅助配置表!M:M,0)-1,0))*M1422,2)</f>
        <v>51.55</v>
      </c>
      <c r="W1422" s="157">
        <f ca="1">ROUND(IF(R1422=0,0,IF(R1422=1,X1422*$W$1,IF(R1422=2,X1422*$W$1*buff的资质计算!$E$2,IF(R1422=3,X1422*$W$1*buff的资质计算!$E$3,0)))),2)</f>
        <v>15.45</v>
      </c>
      <c r="X1422" s="157">
        <f ca="1" t="shared" si="237"/>
        <v>51.5</v>
      </c>
      <c r="Y1422" s="157">
        <f ca="1" t="shared" si="234"/>
        <v>52.1666666666667</v>
      </c>
      <c r="Z1422" s="304">
        <f ca="1" t="shared" si="238"/>
        <v>26.0833333333333</v>
      </c>
      <c r="AA1422" s="304">
        <f ca="1">OFFSET(卡牌辅助配置表!$AD$1,MATCH(AB1422,卡牌辅助配置表!AB:AB,0)-1,0)</f>
        <v>920</v>
      </c>
      <c r="AB1422" s="304">
        <f ca="1" t="shared" si="242"/>
        <v>4202</v>
      </c>
      <c r="AC1422" s="153">
        <v>3</v>
      </c>
      <c r="AE1422" s="153">
        <v>2</v>
      </c>
      <c r="AF1422" s="153" t="str">
        <f ca="1" t="shared" si="235"/>
        <v>24020011|</v>
      </c>
      <c r="AJ1422" s="205">
        <f ca="1" t="shared" si="243"/>
        <v>0</v>
      </c>
      <c r="AK1422" s="205">
        <f ca="1">OFFSET([1]item_type!$A$1,MATCH(Q1422,[1]item_type!$G:$G,0)-1,0)</f>
        <v>302402</v>
      </c>
      <c r="AL1422" s="205"/>
      <c r="AM1422" s="205">
        <f ca="1">IF(B1422=B1423,OFFSET(卡牌辅助配置表!$AE$1,MATCH(AB1422,卡牌辅助配置表!AB:AB,0),0),0)</f>
        <v>1350</v>
      </c>
      <c r="AN1422" s="153">
        <f ca="1" t="shared" si="244"/>
        <v>0</v>
      </c>
      <c r="AP1422" s="153" t="str">
        <f ca="1">IF(AC1422=0,0,IF(AC1422=12,0,OFFSET(effect!$N$1,MATCH(K1422,effect!M:M,0)-1,0)))</f>
        <v>kpsx_pt</v>
      </c>
    </row>
    <row r="1423" spans="1:42">
      <c r="A1423" s="153">
        <f ca="1" t="shared" si="240"/>
        <v>2402003</v>
      </c>
      <c r="B1423" s="91" t="s">
        <v>385</v>
      </c>
      <c r="C1423" s="186">
        <v>2</v>
      </c>
      <c r="D1423" s="186">
        <v>1</v>
      </c>
      <c r="E1423" s="165" t="s">
        <v>1058</v>
      </c>
      <c r="F1423" s="165" t="str">
        <f>"上一招为剑法时，增加"&amp;skill!$O$118/100&amp;"%伤害"</f>
        <v>上一招为剑法时，增加50%伤害</v>
      </c>
      <c r="G1423" s="186">
        <f ca="1">OFFSET(卡牌辅助配置表!$C$1,MATCH(AC1423,卡牌辅助配置表!A:A,0)-1,0)</f>
        <v>3</v>
      </c>
      <c r="H1423" s="186">
        <f ca="1">OFFSET(skill!$Q$1,MATCH(B1423,skill!B:B,0)-1,0)</f>
        <v>0.666666666666667</v>
      </c>
      <c r="I1423" s="186"/>
      <c r="J1423" s="186">
        <f ca="1">OFFSET(card_type!$F$1,MATCH(Q1423,card_type!A:A,0)-1,0)</f>
        <v>4</v>
      </c>
      <c r="K1423" s="243">
        <f ca="1">OFFSET(card_type!$G$1,MATCH(Q1423,card_type!A:A,0)-1,0)</f>
        <v>2</v>
      </c>
      <c r="L1423" s="157">
        <v>2</v>
      </c>
      <c r="M1423" s="157">
        <v>2</v>
      </c>
      <c r="N1423" s="153">
        <f t="shared" si="239"/>
        <v>3</v>
      </c>
      <c r="O1423" s="157"/>
      <c r="P1423" s="157"/>
      <c r="Q1423" s="153">
        <f ca="1">OFFSET(card_type!$A$1,MATCH(card!B1423,card_type!B:B,0)-1,0)</f>
        <v>2402</v>
      </c>
      <c r="R1423" s="153">
        <v>1</v>
      </c>
      <c r="S1423" s="157">
        <f ca="1">ROUND(IF(R1423=0,0,IF(R1423=1,X1423*$S$1,IF(R1423=2,X1423*$S$1*buff的资质计算!$E$2,IF(R1423=3,X1423*$S$1*buff的资质计算!$E$3,0)))),0)*0</f>
        <v>0</v>
      </c>
      <c r="T1423" s="153">
        <v>5</v>
      </c>
      <c r="U1423" s="153">
        <f ca="1" t="shared" si="241"/>
        <v>42</v>
      </c>
      <c r="V1423" s="153">
        <f ca="1">ROUND((OFFSET(卡牌辅助配置表!$O$1,MATCH(U1423,卡牌辅助配置表!M:M,0)-1,0)+(N1423-1)*OFFSET(卡牌辅助配置表!$P$1,MATCH(U1423,卡牌辅助配置表!M:M,0)-1,0))*M1423,2)</f>
        <v>58.85</v>
      </c>
      <c r="W1423" s="157">
        <f ca="1">ROUND(IF(R1423=0,0,IF(R1423=1,X1423*$W$1,IF(R1423=2,X1423*$W$1*buff的资质计算!$E$2,IF(R1423=3,X1423*$W$1*buff的资质计算!$E$3,0)))),2)</f>
        <v>15.6</v>
      </c>
      <c r="X1423" s="157">
        <f ca="1" t="shared" si="237"/>
        <v>52</v>
      </c>
      <c r="Y1423" s="157">
        <f ca="1" t="shared" si="234"/>
        <v>52.6666666666667</v>
      </c>
      <c r="Z1423" s="304">
        <f ca="1" t="shared" si="238"/>
        <v>26.3333333333333</v>
      </c>
      <c r="AA1423" s="304">
        <f ca="1">OFFSET(卡牌辅助配置表!$AD$1,MATCH(AB1423,卡牌辅助配置表!AB:AB,0)-1,0)</f>
        <v>1380</v>
      </c>
      <c r="AB1423" s="304">
        <f ca="1" t="shared" si="242"/>
        <v>4203</v>
      </c>
      <c r="AC1423" s="153">
        <v>3</v>
      </c>
      <c r="AE1423" s="153">
        <v>2</v>
      </c>
      <c r="AF1423" s="153" t="str">
        <f ca="1" t="shared" si="235"/>
        <v>24020011|</v>
      </c>
      <c r="AJ1423" s="205">
        <f ca="1" t="shared" si="243"/>
        <v>0</v>
      </c>
      <c r="AK1423" s="205">
        <f ca="1">OFFSET([1]item_type!$A$1,MATCH(Q1423,[1]item_type!$G:$G,0)-1,0)</f>
        <v>302402</v>
      </c>
      <c r="AL1423" s="205"/>
      <c r="AM1423" s="205">
        <f ca="1">IF(B1423=B1424,OFFSET(卡牌辅助配置表!$AE$1,MATCH(AB1423,卡牌辅助配置表!AB:AB,0),0),0)</f>
        <v>1650</v>
      </c>
      <c r="AN1423" s="153">
        <f ca="1" t="shared" si="244"/>
        <v>0</v>
      </c>
      <c r="AP1423" s="153" t="str">
        <f ca="1">IF(AC1423=0,0,IF(AC1423=12,0,OFFSET(effect!$N$1,MATCH(K1423,effect!M:M,0)-1,0)))</f>
        <v>kpsx_pt</v>
      </c>
    </row>
    <row r="1424" spans="1:42">
      <c r="A1424" s="153">
        <f ca="1" t="shared" si="240"/>
        <v>2402004</v>
      </c>
      <c r="B1424" s="91" t="s">
        <v>385</v>
      </c>
      <c r="C1424" s="186">
        <v>2</v>
      </c>
      <c r="D1424" s="186">
        <v>1</v>
      </c>
      <c r="E1424" s="165" t="s">
        <v>1058</v>
      </c>
      <c r="F1424" s="165" t="str">
        <f>"上一招为剑法时，增加"&amp;skill!$O$118/100&amp;"%伤害"</f>
        <v>上一招为剑法时，增加50%伤害</v>
      </c>
      <c r="G1424" s="186">
        <f ca="1">OFFSET(卡牌辅助配置表!$C$1,MATCH(AC1424,卡牌辅助配置表!A:A,0)-1,0)</f>
        <v>3</v>
      </c>
      <c r="H1424" s="186">
        <f ca="1">OFFSET(skill!$Q$1,MATCH(B1424,skill!B:B,0)-1,0)</f>
        <v>0.666666666666667</v>
      </c>
      <c r="I1424" s="186"/>
      <c r="J1424" s="186">
        <f ca="1">OFFSET(card_type!$F$1,MATCH(Q1424,card_type!A:A,0)-1,0)</f>
        <v>4</v>
      </c>
      <c r="K1424" s="243">
        <f ca="1">OFFSET(card_type!$G$1,MATCH(Q1424,card_type!A:A,0)-1,0)</f>
        <v>2</v>
      </c>
      <c r="L1424" s="157">
        <v>2</v>
      </c>
      <c r="M1424" s="157">
        <v>2</v>
      </c>
      <c r="N1424" s="153">
        <f t="shared" si="239"/>
        <v>4</v>
      </c>
      <c r="O1424" s="157"/>
      <c r="P1424" s="157"/>
      <c r="Q1424" s="153">
        <f ca="1">OFFSET(card_type!$A$1,MATCH(card!B1424,card_type!B:B,0)-1,0)</f>
        <v>2402</v>
      </c>
      <c r="R1424" s="153">
        <v>1</v>
      </c>
      <c r="S1424" s="157">
        <f ca="1">ROUND(IF(R1424=0,0,IF(R1424=1,X1424*$S$1,IF(R1424=2,X1424*$S$1*buff的资质计算!$E$2,IF(R1424=3,X1424*$S$1*buff的资质计算!$E$3,0)))),0)*0</f>
        <v>0</v>
      </c>
      <c r="T1424" s="153">
        <v>5</v>
      </c>
      <c r="U1424" s="153">
        <f ca="1" t="shared" si="241"/>
        <v>42</v>
      </c>
      <c r="V1424" s="153">
        <f ca="1">ROUND((OFFSET(卡牌辅助配置表!$O$1,MATCH(U1424,卡牌辅助配置表!M:M,0)-1,0)+(N1424-1)*OFFSET(卡牌辅助配置表!$P$1,MATCH(U1424,卡牌辅助配置表!M:M,0)-1,0))*M1424,2)</f>
        <v>66.15</v>
      </c>
      <c r="W1424" s="157">
        <f ca="1">ROUND(IF(R1424=0,0,IF(R1424=1,X1424*$W$1,IF(R1424=2,X1424*$W$1*buff的资质计算!$E$2,IF(R1424=3,X1424*$W$1*buff的资质计算!$E$3,0)))),2)</f>
        <v>15.75</v>
      </c>
      <c r="X1424" s="157">
        <f ca="1" t="shared" si="237"/>
        <v>52.5</v>
      </c>
      <c r="Y1424" s="157">
        <f ca="1" t="shared" si="234"/>
        <v>53.1666666666667</v>
      </c>
      <c r="Z1424" s="304">
        <f ca="1" t="shared" si="238"/>
        <v>26.5833333333333</v>
      </c>
      <c r="AA1424" s="304">
        <f ca="1">OFFSET(卡牌辅助配置表!$AD$1,MATCH(AB1424,卡牌辅助配置表!AB:AB,0)-1,0)</f>
        <v>1840</v>
      </c>
      <c r="AB1424" s="304">
        <f ca="1" t="shared" si="242"/>
        <v>4204</v>
      </c>
      <c r="AC1424" s="153">
        <v>3</v>
      </c>
      <c r="AE1424" s="153">
        <v>2</v>
      </c>
      <c r="AF1424" s="153" t="str">
        <f ca="1" t="shared" si="235"/>
        <v>24020011|</v>
      </c>
      <c r="AJ1424" s="205">
        <f ca="1" t="shared" si="243"/>
        <v>0</v>
      </c>
      <c r="AK1424" s="205">
        <f ca="1">OFFSET([1]item_type!$A$1,MATCH(Q1424,[1]item_type!$G:$G,0)-1,0)</f>
        <v>302402</v>
      </c>
      <c r="AL1424" s="205"/>
      <c r="AM1424" s="205">
        <f ca="1">IF(B1424=B1425,OFFSET(卡牌辅助配置表!$AE$1,MATCH(AB1424,卡牌辅助配置表!AB:AB,0),0),0)</f>
        <v>1950</v>
      </c>
      <c r="AN1424" s="153">
        <f ca="1" t="shared" si="244"/>
        <v>0</v>
      </c>
      <c r="AP1424" s="153" t="str">
        <f ca="1">IF(AC1424=0,0,IF(AC1424=12,0,OFFSET(effect!$N$1,MATCH(K1424,effect!M:M,0)-1,0)))</f>
        <v>kpsx_pt</v>
      </c>
    </row>
    <row r="1425" spans="1:42">
      <c r="A1425" s="153">
        <f ca="1" t="shared" si="240"/>
        <v>2402005</v>
      </c>
      <c r="B1425" s="91" t="s">
        <v>385</v>
      </c>
      <c r="C1425" s="186">
        <v>2</v>
      </c>
      <c r="D1425" s="186">
        <v>1</v>
      </c>
      <c r="E1425" s="165" t="s">
        <v>1058</v>
      </c>
      <c r="F1425" s="165" t="str">
        <f>"上一招为剑法时，增加"&amp;skill!$O$118/100&amp;"%伤害"</f>
        <v>上一招为剑法时，增加50%伤害</v>
      </c>
      <c r="G1425" s="186">
        <f ca="1">OFFSET(卡牌辅助配置表!$C$1,MATCH(AC1425,卡牌辅助配置表!A:A,0)-1,0)</f>
        <v>3</v>
      </c>
      <c r="H1425" s="186">
        <f ca="1">OFFSET(skill!$Q$1,MATCH(B1425,skill!B:B,0)-1,0)</f>
        <v>0.666666666666667</v>
      </c>
      <c r="I1425" s="186"/>
      <c r="J1425" s="186">
        <f ca="1">OFFSET(card_type!$F$1,MATCH(Q1425,card_type!A:A,0)-1,0)</f>
        <v>4</v>
      </c>
      <c r="K1425" s="243">
        <f ca="1">OFFSET(card_type!$G$1,MATCH(Q1425,card_type!A:A,0)-1,0)</f>
        <v>2</v>
      </c>
      <c r="L1425" s="157">
        <v>2</v>
      </c>
      <c r="M1425" s="157">
        <v>2</v>
      </c>
      <c r="N1425" s="153">
        <f t="shared" si="239"/>
        <v>5</v>
      </c>
      <c r="O1425" s="157"/>
      <c r="P1425" s="157"/>
      <c r="Q1425" s="153">
        <f ca="1">OFFSET(card_type!$A$1,MATCH(card!B1425,card_type!B:B,0)-1,0)</f>
        <v>2402</v>
      </c>
      <c r="R1425" s="153">
        <v>1</v>
      </c>
      <c r="S1425" s="157">
        <f ca="1">ROUND(IF(R1425=0,0,IF(R1425=1,X1425*$S$1,IF(R1425=2,X1425*$S$1*buff的资质计算!$E$2,IF(R1425=3,X1425*$S$1*buff的资质计算!$E$3,0)))),0)*0</f>
        <v>0</v>
      </c>
      <c r="T1425" s="153">
        <v>5</v>
      </c>
      <c r="U1425" s="153">
        <f ca="1" t="shared" si="241"/>
        <v>42</v>
      </c>
      <c r="V1425" s="153">
        <f ca="1">ROUND((OFFSET(卡牌辅助配置表!$O$1,MATCH(U1425,卡牌辅助配置表!M:M,0)-1,0)+(N1425-1)*OFFSET(卡牌辅助配置表!$P$1,MATCH(U1425,卡牌辅助配置表!M:M,0)-1,0))*M1425,2)</f>
        <v>73.45</v>
      </c>
      <c r="W1425" s="157">
        <f ca="1">ROUND(IF(R1425=0,0,IF(R1425=1,X1425*$W$1,IF(R1425=2,X1425*$W$1*buff的资质计算!$E$2,IF(R1425=3,X1425*$W$1*buff的资质计算!$E$3,0)))),2)</f>
        <v>15.9</v>
      </c>
      <c r="X1425" s="157">
        <f ca="1" t="shared" si="237"/>
        <v>53</v>
      </c>
      <c r="Y1425" s="157">
        <f ca="1" t="shared" si="234"/>
        <v>53.6666666666667</v>
      </c>
      <c r="Z1425" s="304">
        <f ca="1" t="shared" si="238"/>
        <v>26.8333333333333</v>
      </c>
      <c r="AA1425" s="304">
        <f ca="1">OFFSET(卡牌辅助配置表!$AD$1,MATCH(AB1425,卡牌辅助配置表!AB:AB,0)-1,0)</f>
        <v>2300</v>
      </c>
      <c r="AB1425" s="304">
        <f ca="1" t="shared" si="242"/>
        <v>4205</v>
      </c>
      <c r="AC1425" s="153">
        <v>3</v>
      </c>
      <c r="AE1425" s="153">
        <v>2</v>
      </c>
      <c r="AF1425" s="153" t="str">
        <f ca="1" t="shared" si="235"/>
        <v>24020011|</v>
      </c>
      <c r="AJ1425" s="205">
        <f ca="1" t="shared" si="243"/>
        <v>0</v>
      </c>
      <c r="AK1425" s="205">
        <f ca="1">OFFSET([1]item_type!$A$1,MATCH(Q1425,[1]item_type!$G:$G,0)-1,0)</f>
        <v>302402</v>
      </c>
      <c r="AL1425" s="205"/>
      <c r="AM1425" s="205">
        <f ca="1">IF(B1425=B1426,OFFSET(卡牌辅助配置表!$AE$1,MATCH(AB1425,卡牌辅助配置表!AB:AB,0),0),0)</f>
        <v>2250</v>
      </c>
      <c r="AN1425" s="153">
        <f ca="1" t="shared" si="244"/>
        <v>0</v>
      </c>
      <c r="AP1425" s="153" t="str">
        <f ca="1">IF(AC1425=0,0,IF(AC1425=12,0,OFFSET(effect!$N$1,MATCH(K1425,effect!M:M,0)-1,0)))</f>
        <v>kpsx_pt</v>
      </c>
    </row>
    <row r="1426" spans="1:42">
      <c r="A1426" s="153">
        <f ca="1" t="shared" si="240"/>
        <v>2402006</v>
      </c>
      <c r="B1426" s="91" t="s">
        <v>385</v>
      </c>
      <c r="C1426" s="186">
        <v>2</v>
      </c>
      <c r="D1426" s="186">
        <v>1</v>
      </c>
      <c r="E1426" s="165" t="s">
        <v>1058</v>
      </c>
      <c r="F1426" s="165" t="str">
        <f>"上一招为剑法时，增加"&amp;skill!$O$118/100&amp;"%伤害"</f>
        <v>上一招为剑法时，增加50%伤害</v>
      </c>
      <c r="G1426" s="186">
        <f ca="1">OFFSET(卡牌辅助配置表!$C$1,MATCH(AC1426,卡牌辅助配置表!A:A,0)-1,0)</f>
        <v>3</v>
      </c>
      <c r="H1426" s="186">
        <f ca="1">OFFSET(skill!$Q$1,MATCH(B1426,skill!B:B,0)-1,0)</f>
        <v>0.666666666666667</v>
      </c>
      <c r="I1426" s="186"/>
      <c r="J1426" s="186">
        <f ca="1">OFFSET(card_type!$F$1,MATCH(Q1426,card_type!A:A,0)-1,0)</f>
        <v>4</v>
      </c>
      <c r="K1426" s="243">
        <f ca="1">OFFSET(card_type!$G$1,MATCH(Q1426,card_type!A:A,0)-1,0)</f>
        <v>2</v>
      </c>
      <c r="L1426" s="157">
        <v>2</v>
      </c>
      <c r="M1426" s="157">
        <v>2</v>
      </c>
      <c r="N1426" s="153">
        <f t="shared" si="239"/>
        <v>6</v>
      </c>
      <c r="O1426" s="157"/>
      <c r="P1426" s="157"/>
      <c r="Q1426" s="153">
        <f ca="1">OFFSET(card_type!$A$1,MATCH(card!B1426,card_type!B:B,0)-1,0)</f>
        <v>2402</v>
      </c>
      <c r="R1426" s="153">
        <v>1</v>
      </c>
      <c r="S1426" s="157">
        <f ca="1">ROUND(IF(R1426=0,0,IF(R1426=1,X1426*$S$1,IF(R1426=2,X1426*$S$1*buff的资质计算!$E$2,IF(R1426=3,X1426*$S$1*buff的资质计算!$E$3,0)))),0)*0</f>
        <v>0</v>
      </c>
      <c r="T1426" s="153">
        <v>5</v>
      </c>
      <c r="U1426" s="153">
        <f ca="1" t="shared" si="241"/>
        <v>42</v>
      </c>
      <c r="V1426" s="153">
        <f ca="1">ROUND((OFFSET(卡牌辅助配置表!$O$1,MATCH(U1426,卡牌辅助配置表!M:M,0)-1,0)+(N1426-1)*OFFSET(卡牌辅助配置表!$P$1,MATCH(U1426,卡牌辅助配置表!M:M,0)-1,0))*M1426,2)</f>
        <v>80.75</v>
      </c>
      <c r="W1426" s="157">
        <f ca="1">ROUND(IF(R1426=0,0,IF(R1426=1,X1426*$W$1,IF(R1426=2,X1426*$W$1*buff的资质计算!$E$2,IF(R1426=3,X1426*$W$1*buff的资质计算!$E$3,0)))),2)</f>
        <v>16.05</v>
      </c>
      <c r="X1426" s="157">
        <f ca="1" t="shared" si="237"/>
        <v>53.5</v>
      </c>
      <c r="Y1426" s="157">
        <f ca="1" t="shared" si="234"/>
        <v>54.1666666666667</v>
      </c>
      <c r="Z1426" s="304">
        <f ca="1" t="shared" si="238"/>
        <v>27.0833333333333</v>
      </c>
      <c r="AA1426" s="304">
        <f ca="1">OFFSET(卡牌辅助配置表!$AD$1,MATCH(AB1426,卡牌辅助配置表!AB:AB,0)-1,0)</f>
        <v>2760</v>
      </c>
      <c r="AB1426" s="304">
        <f ca="1" t="shared" si="242"/>
        <v>4206</v>
      </c>
      <c r="AC1426" s="153">
        <v>3</v>
      </c>
      <c r="AE1426" s="153">
        <v>2</v>
      </c>
      <c r="AF1426" s="153" t="str">
        <f ca="1" t="shared" si="235"/>
        <v>24020011|</v>
      </c>
      <c r="AJ1426" s="205">
        <f ca="1" t="shared" si="243"/>
        <v>0</v>
      </c>
      <c r="AK1426" s="205">
        <f ca="1">OFFSET([1]item_type!$A$1,MATCH(Q1426,[1]item_type!$G:$G,0)-1,0)</f>
        <v>302402</v>
      </c>
      <c r="AL1426" s="205"/>
      <c r="AM1426" s="205">
        <f ca="1">IF(B1426=B1427,OFFSET(卡牌辅助配置表!$AE$1,MATCH(AB1426,卡牌辅助配置表!AB:AB,0),0),0)</f>
        <v>2550</v>
      </c>
      <c r="AN1426" s="153">
        <f ca="1" t="shared" si="244"/>
        <v>0</v>
      </c>
      <c r="AP1426" s="153" t="str">
        <f ca="1">IF(AC1426=0,0,IF(AC1426=12,0,OFFSET(effect!$N$1,MATCH(K1426,effect!M:M,0)-1,0)))</f>
        <v>kpsx_pt</v>
      </c>
    </row>
    <row r="1427" spans="1:42">
      <c r="A1427" s="153">
        <f ca="1" t="shared" si="240"/>
        <v>2402007</v>
      </c>
      <c r="B1427" s="91" t="s">
        <v>385</v>
      </c>
      <c r="C1427" s="186">
        <v>2</v>
      </c>
      <c r="D1427" s="186">
        <v>1</v>
      </c>
      <c r="E1427" s="165" t="s">
        <v>1058</v>
      </c>
      <c r="F1427" s="165" t="str">
        <f>"上一招为剑法时，增加"&amp;skill!$O$118/100&amp;"%伤害"</f>
        <v>上一招为剑法时，增加50%伤害</v>
      </c>
      <c r="G1427" s="186">
        <f ca="1">OFFSET(卡牌辅助配置表!$C$1,MATCH(AC1427,卡牌辅助配置表!A:A,0)-1,0)</f>
        <v>3</v>
      </c>
      <c r="H1427" s="186">
        <f ca="1">OFFSET(skill!$Q$1,MATCH(B1427,skill!B:B,0)-1,0)</f>
        <v>0.666666666666667</v>
      </c>
      <c r="I1427" s="186"/>
      <c r="J1427" s="186">
        <f ca="1">OFFSET(card_type!$F$1,MATCH(Q1427,card_type!A:A,0)-1,0)</f>
        <v>4</v>
      </c>
      <c r="K1427" s="243">
        <f ca="1">OFFSET(card_type!$G$1,MATCH(Q1427,card_type!A:A,0)-1,0)</f>
        <v>2</v>
      </c>
      <c r="L1427" s="157">
        <v>2</v>
      </c>
      <c r="M1427" s="157">
        <v>2</v>
      </c>
      <c r="N1427" s="153">
        <f t="shared" si="239"/>
        <v>7</v>
      </c>
      <c r="O1427" s="157"/>
      <c r="P1427" s="157"/>
      <c r="Q1427" s="153">
        <f ca="1">OFFSET(card_type!$A$1,MATCH(card!B1427,card_type!B:B,0)-1,0)</f>
        <v>2402</v>
      </c>
      <c r="R1427" s="153">
        <v>1</v>
      </c>
      <c r="S1427" s="157">
        <f ca="1">ROUND(IF(R1427=0,0,IF(R1427=1,X1427*$S$1,IF(R1427=2,X1427*$S$1*buff的资质计算!$E$2,IF(R1427=3,X1427*$S$1*buff的资质计算!$E$3,0)))),0)*0</f>
        <v>0</v>
      </c>
      <c r="T1427" s="153">
        <v>5</v>
      </c>
      <c r="U1427" s="153">
        <f ca="1" t="shared" si="241"/>
        <v>42</v>
      </c>
      <c r="V1427" s="153">
        <f ca="1">ROUND((OFFSET(卡牌辅助配置表!$O$1,MATCH(U1427,卡牌辅助配置表!M:M,0)-1,0)+(N1427-1)*OFFSET(卡牌辅助配置表!$P$1,MATCH(U1427,卡牌辅助配置表!M:M,0)-1,0))*M1427,2)</f>
        <v>88.05</v>
      </c>
      <c r="W1427" s="157">
        <f ca="1">ROUND(IF(R1427=0,0,IF(R1427=1,X1427*$W$1,IF(R1427=2,X1427*$W$1*buff的资质计算!$E$2,IF(R1427=3,X1427*$W$1*buff的资质计算!$E$3,0)))),2)</f>
        <v>16.2</v>
      </c>
      <c r="X1427" s="157">
        <f ca="1" t="shared" si="237"/>
        <v>54</v>
      </c>
      <c r="Y1427" s="157">
        <f ca="1" t="shared" si="234"/>
        <v>54.6666666666667</v>
      </c>
      <c r="Z1427" s="304">
        <f ca="1" t="shared" si="238"/>
        <v>27.3333333333333</v>
      </c>
      <c r="AA1427" s="304">
        <f ca="1">OFFSET(卡牌辅助配置表!$AD$1,MATCH(AB1427,卡牌辅助配置表!AB:AB,0)-1,0)</f>
        <v>3220</v>
      </c>
      <c r="AB1427" s="304">
        <f ca="1" t="shared" si="242"/>
        <v>4207</v>
      </c>
      <c r="AC1427" s="153">
        <v>3</v>
      </c>
      <c r="AE1427" s="153">
        <v>2</v>
      </c>
      <c r="AF1427" s="153" t="str">
        <f ca="1" t="shared" si="235"/>
        <v>24020011|</v>
      </c>
      <c r="AJ1427" s="205">
        <f ca="1" t="shared" si="243"/>
        <v>0</v>
      </c>
      <c r="AK1427" s="205">
        <f ca="1">OFFSET([1]item_type!$A$1,MATCH(Q1427,[1]item_type!$G:$G,0)-1,0)</f>
        <v>302402</v>
      </c>
      <c r="AL1427" s="205"/>
      <c r="AM1427" s="205">
        <f ca="1">IF(B1427=B1428,OFFSET(卡牌辅助配置表!$AE$1,MATCH(AB1427,卡牌辅助配置表!AB:AB,0),0),0)</f>
        <v>2850</v>
      </c>
      <c r="AN1427" s="153">
        <f ca="1" t="shared" si="244"/>
        <v>0</v>
      </c>
      <c r="AP1427" s="153" t="str">
        <f ca="1">IF(AC1427=0,0,IF(AC1427=12,0,OFFSET(effect!$N$1,MATCH(K1427,effect!M:M,0)-1,0)))</f>
        <v>kpsx_pt</v>
      </c>
    </row>
    <row r="1428" spans="1:42">
      <c r="A1428" s="153">
        <f ca="1" t="shared" si="240"/>
        <v>2402008</v>
      </c>
      <c r="B1428" s="91" t="s">
        <v>385</v>
      </c>
      <c r="C1428" s="186">
        <v>2</v>
      </c>
      <c r="D1428" s="186">
        <v>1</v>
      </c>
      <c r="E1428" s="165" t="s">
        <v>1058</v>
      </c>
      <c r="F1428" s="165" t="str">
        <f>"上一招为剑法时，增加"&amp;skill!$O$118/100&amp;"%伤害"</f>
        <v>上一招为剑法时，增加50%伤害</v>
      </c>
      <c r="G1428" s="186">
        <f ca="1">OFFSET(卡牌辅助配置表!$C$1,MATCH(AC1428,卡牌辅助配置表!A:A,0)-1,0)</f>
        <v>3</v>
      </c>
      <c r="H1428" s="186">
        <f ca="1">OFFSET(skill!$Q$1,MATCH(B1428,skill!B:B,0)-1,0)</f>
        <v>0.666666666666667</v>
      </c>
      <c r="I1428" s="186"/>
      <c r="J1428" s="186">
        <f ca="1">OFFSET(card_type!$F$1,MATCH(Q1428,card_type!A:A,0)-1,0)</f>
        <v>4</v>
      </c>
      <c r="K1428" s="243">
        <f ca="1">OFFSET(card_type!$G$1,MATCH(Q1428,card_type!A:A,0)-1,0)</f>
        <v>2</v>
      </c>
      <c r="L1428" s="157">
        <v>2</v>
      </c>
      <c r="M1428" s="157">
        <v>2</v>
      </c>
      <c r="N1428" s="153">
        <f t="shared" si="239"/>
        <v>8</v>
      </c>
      <c r="O1428" s="157"/>
      <c r="P1428" s="157"/>
      <c r="Q1428" s="153">
        <f ca="1">OFFSET(card_type!$A$1,MATCH(card!B1428,card_type!B:B,0)-1,0)</f>
        <v>2402</v>
      </c>
      <c r="R1428" s="153">
        <v>1</v>
      </c>
      <c r="S1428" s="157">
        <f ca="1">ROUND(IF(R1428=0,0,IF(R1428=1,X1428*$S$1,IF(R1428=2,X1428*$S$1*buff的资质计算!$E$2,IF(R1428=3,X1428*$S$1*buff的资质计算!$E$3,0)))),0)*0</f>
        <v>0</v>
      </c>
      <c r="T1428" s="153">
        <v>5</v>
      </c>
      <c r="U1428" s="153">
        <f ca="1" t="shared" si="241"/>
        <v>42</v>
      </c>
      <c r="V1428" s="153">
        <f ca="1">ROUND((OFFSET(卡牌辅助配置表!$O$1,MATCH(U1428,卡牌辅助配置表!M:M,0)-1,0)+(N1428-1)*OFFSET(卡牌辅助配置表!$P$1,MATCH(U1428,卡牌辅助配置表!M:M,0)-1,0))*M1428,2)</f>
        <v>95.35</v>
      </c>
      <c r="W1428" s="157">
        <f ca="1">ROUND(IF(R1428=0,0,IF(R1428=1,X1428*$W$1,IF(R1428=2,X1428*$W$1*buff的资质计算!$E$2,IF(R1428=3,X1428*$W$1*buff的资质计算!$E$3,0)))),2)</f>
        <v>16.35</v>
      </c>
      <c r="X1428" s="157">
        <f ca="1" t="shared" si="237"/>
        <v>54.5</v>
      </c>
      <c r="Y1428" s="157">
        <f ca="1" t="shared" si="234"/>
        <v>55.1666666666667</v>
      </c>
      <c r="Z1428" s="304">
        <f ca="1" t="shared" si="238"/>
        <v>27.5833333333333</v>
      </c>
      <c r="AA1428" s="304">
        <f ca="1">OFFSET(卡牌辅助配置表!$AD$1,MATCH(AB1428,卡牌辅助配置表!AB:AB,0)-1,0)</f>
        <v>3680</v>
      </c>
      <c r="AB1428" s="304">
        <f ca="1" t="shared" si="242"/>
        <v>4208</v>
      </c>
      <c r="AC1428" s="153">
        <v>3</v>
      </c>
      <c r="AE1428" s="153">
        <v>2</v>
      </c>
      <c r="AF1428" s="153" t="str">
        <f ca="1" t="shared" si="235"/>
        <v>24020011|</v>
      </c>
      <c r="AJ1428" s="205">
        <f ca="1" t="shared" si="243"/>
        <v>0</v>
      </c>
      <c r="AK1428" s="205">
        <f ca="1">OFFSET([1]item_type!$A$1,MATCH(Q1428,[1]item_type!$G:$G,0)-1,0)</f>
        <v>302402</v>
      </c>
      <c r="AL1428" s="205"/>
      <c r="AM1428" s="205">
        <f ca="1">IF(B1428=B1429,OFFSET(卡牌辅助配置表!$AE$1,MATCH(AB1428,卡牌辅助配置表!AB:AB,0),0),0)</f>
        <v>3150</v>
      </c>
      <c r="AN1428" s="153">
        <f ca="1" t="shared" si="244"/>
        <v>0</v>
      </c>
      <c r="AP1428" s="153" t="str">
        <f ca="1">IF(AC1428=0,0,IF(AC1428=12,0,OFFSET(effect!$N$1,MATCH(K1428,effect!M:M,0)-1,0)))</f>
        <v>kpsx_pt</v>
      </c>
    </row>
    <row r="1429" spans="1:42">
      <c r="A1429" s="153">
        <f ca="1" t="shared" si="240"/>
        <v>2402009</v>
      </c>
      <c r="B1429" s="91" t="s">
        <v>385</v>
      </c>
      <c r="C1429" s="186">
        <v>2</v>
      </c>
      <c r="D1429" s="186">
        <v>1</v>
      </c>
      <c r="E1429" s="165" t="s">
        <v>1058</v>
      </c>
      <c r="F1429" s="165" t="str">
        <f>"上一招为剑法时，增加"&amp;skill!$O$118/100&amp;"%伤害"</f>
        <v>上一招为剑法时，增加50%伤害</v>
      </c>
      <c r="G1429" s="186">
        <f ca="1">OFFSET(卡牌辅助配置表!$C$1,MATCH(AC1429,卡牌辅助配置表!A:A,0)-1,0)</f>
        <v>3</v>
      </c>
      <c r="H1429" s="186">
        <f ca="1">OFFSET(skill!$Q$1,MATCH(B1429,skill!B:B,0)-1,0)</f>
        <v>0.666666666666667</v>
      </c>
      <c r="I1429" s="186"/>
      <c r="J1429" s="186">
        <f ca="1">OFFSET(card_type!$F$1,MATCH(Q1429,card_type!A:A,0)-1,0)</f>
        <v>4</v>
      </c>
      <c r="K1429" s="243">
        <f ca="1">OFFSET(card_type!$G$1,MATCH(Q1429,card_type!A:A,0)-1,0)</f>
        <v>2</v>
      </c>
      <c r="L1429" s="157">
        <v>2</v>
      </c>
      <c r="M1429" s="157">
        <v>2</v>
      </c>
      <c r="N1429" s="153">
        <f t="shared" si="239"/>
        <v>9</v>
      </c>
      <c r="O1429" s="157"/>
      <c r="P1429" s="157"/>
      <c r="Q1429" s="153">
        <f ca="1">OFFSET(card_type!$A$1,MATCH(card!B1429,card_type!B:B,0)-1,0)</f>
        <v>2402</v>
      </c>
      <c r="R1429" s="153">
        <v>1</v>
      </c>
      <c r="S1429" s="157">
        <f ca="1">ROUND(IF(R1429=0,0,IF(R1429=1,X1429*$S$1,IF(R1429=2,X1429*$S$1*buff的资质计算!$E$2,IF(R1429=3,X1429*$S$1*buff的资质计算!$E$3,0)))),0)*0</f>
        <v>0</v>
      </c>
      <c r="T1429" s="153">
        <v>5</v>
      </c>
      <c r="U1429" s="153">
        <f ca="1" t="shared" si="241"/>
        <v>42</v>
      </c>
      <c r="V1429" s="153">
        <f ca="1">ROUND((OFFSET(卡牌辅助配置表!$O$1,MATCH(U1429,卡牌辅助配置表!M:M,0)-1,0)+(N1429-1)*OFFSET(卡牌辅助配置表!$P$1,MATCH(U1429,卡牌辅助配置表!M:M,0)-1,0))*M1429,2)</f>
        <v>102.65</v>
      </c>
      <c r="W1429" s="157">
        <f ca="1">ROUND(IF(R1429=0,0,IF(R1429=1,X1429*$W$1,IF(R1429=2,X1429*$W$1*buff的资质计算!$E$2,IF(R1429=3,X1429*$W$1*buff的资质计算!$E$3,0)))),2)</f>
        <v>16.5</v>
      </c>
      <c r="X1429" s="157">
        <f ca="1" t="shared" si="237"/>
        <v>55</v>
      </c>
      <c r="Y1429" s="157">
        <f ca="1" t="shared" si="234"/>
        <v>55.6666666666667</v>
      </c>
      <c r="Z1429" s="304">
        <f ca="1" t="shared" si="238"/>
        <v>27.8333333333333</v>
      </c>
      <c r="AA1429" s="304">
        <f ca="1">OFFSET(卡牌辅助配置表!$AD$1,MATCH(AB1429,卡牌辅助配置表!AB:AB,0)-1,0)</f>
        <v>4140</v>
      </c>
      <c r="AB1429" s="304">
        <f ca="1" t="shared" si="242"/>
        <v>4209</v>
      </c>
      <c r="AC1429" s="153">
        <v>3</v>
      </c>
      <c r="AE1429" s="153">
        <v>2</v>
      </c>
      <c r="AF1429" s="153" t="str">
        <f ca="1" t="shared" si="235"/>
        <v>24020011|</v>
      </c>
      <c r="AJ1429" s="205">
        <f ca="1" t="shared" si="243"/>
        <v>0</v>
      </c>
      <c r="AK1429" s="205">
        <f ca="1">OFFSET([1]item_type!$A$1,MATCH(Q1429,[1]item_type!$G:$G,0)-1,0)</f>
        <v>302402</v>
      </c>
      <c r="AL1429" s="205">
        <v>15</v>
      </c>
      <c r="AM1429" s="205">
        <f ca="1">IF(B1429=B1430,OFFSET(卡牌辅助配置表!$AE$1,MATCH(AB1429,卡牌辅助配置表!AB:AB,0),0),0)</f>
        <v>3450</v>
      </c>
      <c r="AN1429" s="153">
        <f ca="1" t="shared" si="244"/>
        <v>0</v>
      </c>
      <c r="AP1429" s="153" t="str">
        <f ca="1">IF(AC1429=0,0,IF(AC1429=12,0,OFFSET(effect!$N$1,MATCH(K1429,effect!M:M,0)-1,0)))</f>
        <v>kpsx_pt</v>
      </c>
    </row>
    <row r="1430" spans="1:42">
      <c r="A1430" s="153">
        <f ca="1" t="shared" si="240"/>
        <v>2402010</v>
      </c>
      <c r="B1430" s="91" t="s">
        <v>385</v>
      </c>
      <c r="C1430" s="186">
        <v>2</v>
      </c>
      <c r="D1430" s="186">
        <v>1</v>
      </c>
      <c r="E1430" s="165" t="s">
        <v>1058</v>
      </c>
      <c r="F1430" s="165" t="str">
        <f>"上一招为剑法时，增加"&amp;skill!$O$118/100&amp;"%伤害"</f>
        <v>上一招为剑法时，增加50%伤害</v>
      </c>
      <c r="G1430" s="186">
        <f ca="1">OFFSET(卡牌辅助配置表!$C$1,MATCH(AC1430,卡牌辅助配置表!A:A,0)-1,0)</f>
        <v>3</v>
      </c>
      <c r="H1430" s="186">
        <f ca="1">OFFSET(skill!$Q$1,MATCH(B1430,skill!B:B,0)-1,0)</f>
        <v>0.666666666666667</v>
      </c>
      <c r="I1430" s="186"/>
      <c r="J1430" s="186">
        <f ca="1">OFFSET(card_type!$F$1,MATCH(Q1430,card_type!A:A,0)-1,0)</f>
        <v>4</v>
      </c>
      <c r="K1430" s="243">
        <f ca="1">OFFSET(card_type!$G$1,MATCH(Q1430,card_type!A:A,0)-1,0)</f>
        <v>2</v>
      </c>
      <c r="L1430" s="157">
        <v>2</v>
      </c>
      <c r="M1430" s="157">
        <v>2</v>
      </c>
      <c r="N1430" s="153">
        <f t="shared" si="239"/>
        <v>10</v>
      </c>
      <c r="O1430" s="157"/>
      <c r="P1430" s="157"/>
      <c r="Q1430" s="153">
        <f ca="1">OFFSET(card_type!$A$1,MATCH(card!B1430,card_type!B:B,0)-1,0)</f>
        <v>2402</v>
      </c>
      <c r="R1430" s="153">
        <v>1</v>
      </c>
      <c r="S1430" s="157">
        <f ca="1">ROUND(IF(R1430=0,0,IF(R1430=1,X1430*$S$1,IF(R1430=2,X1430*$S$1*buff的资质计算!$E$2,IF(R1430=3,X1430*$S$1*buff的资质计算!$E$3,0)))),0)*0</f>
        <v>0</v>
      </c>
      <c r="T1430" s="153">
        <v>5</v>
      </c>
      <c r="U1430" s="153">
        <f ca="1" t="shared" si="241"/>
        <v>42</v>
      </c>
      <c r="V1430" s="153">
        <f ca="1">ROUND((OFFSET(卡牌辅助配置表!$O$1,MATCH(U1430,卡牌辅助配置表!M:M,0)-1,0)+(N1430-1)*OFFSET(卡牌辅助配置表!$P$1,MATCH(U1430,卡牌辅助配置表!M:M,0)-1,0))*M1430,2)</f>
        <v>109.95</v>
      </c>
      <c r="W1430" s="157">
        <f ca="1">ROUND(IF(R1430=0,0,IF(R1430=1,X1430*$W$1,IF(R1430=2,X1430*$W$1*buff的资质计算!$E$2,IF(R1430=3,X1430*$W$1*buff的资质计算!$E$3,0)))),2)</f>
        <v>16.65</v>
      </c>
      <c r="X1430" s="157">
        <f ca="1" t="shared" si="237"/>
        <v>55.5</v>
      </c>
      <c r="Y1430" s="157">
        <f ca="1" t="shared" si="234"/>
        <v>56.1666666666667</v>
      </c>
      <c r="Z1430" s="304">
        <f ca="1" t="shared" si="238"/>
        <v>28.0833333333333</v>
      </c>
      <c r="AA1430" s="304">
        <f ca="1">OFFSET(卡牌辅助配置表!$AD$1,MATCH(AB1430,卡牌辅助配置表!AB:AB,0)-1,0)</f>
        <v>4600</v>
      </c>
      <c r="AB1430" s="304">
        <f ca="1" t="shared" si="242"/>
        <v>4210</v>
      </c>
      <c r="AC1430" s="153">
        <v>3</v>
      </c>
      <c r="AE1430" s="153">
        <v>2</v>
      </c>
      <c r="AF1430" s="153" t="str">
        <f ca="1" t="shared" si="235"/>
        <v>24020011|</v>
      </c>
      <c r="AJ1430" s="205">
        <f ca="1" t="shared" si="243"/>
        <v>0</v>
      </c>
      <c r="AK1430" s="205">
        <f ca="1">OFFSET([1]item_type!$A$1,MATCH(Q1430,[1]item_type!$G:$G,0)-1,0)</f>
        <v>302402</v>
      </c>
      <c r="AL1430" s="205"/>
      <c r="AM1430" s="205">
        <f ca="1">IF(B1430=B1431,OFFSET(卡牌辅助配置表!$AE$1,MATCH(AB1430,卡牌辅助配置表!AB:AB,0),0),0)</f>
        <v>4050</v>
      </c>
      <c r="AN1430" s="153">
        <f ca="1" t="shared" si="244"/>
        <v>0</v>
      </c>
      <c r="AP1430" s="153" t="str">
        <f ca="1">IF(AC1430=0,0,IF(AC1430=12,0,OFFSET(effect!$N$1,MATCH(K1430,effect!M:M,0)-1,0)))</f>
        <v>kpsx_pt</v>
      </c>
    </row>
    <row r="1431" spans="1:42">
      <c r="A1431" s="153">
        <f ca="1" t="shared" si="240"/>
        <v>2402011</v>
      </c>
      <c r="B1431" s="91" t="s">
        <v>385</v>
      </c>
      <c r="C1431" s="186">
        <v>2</v>
      </c>
      <c r="D1431" s="186">
        <v>1</v>
      </c>
      <c r="E1431" s="165" t="s">
        <v>1058</v>
      </c>
      <c r="F1431" s="165" t="str">
        <f>"上一招为剑法时，增加"&amp;skill!$O$118/100&amp;"%伤害"</f>
        <v>上一招为剑法时，增加50%伤害</v>
      </c>
      <c r="G1431" s="186">
        <f ca="1">OFFSET(卡牌辅助配置表!$C$1,MATCH(AC1431,卡牌辅助配置表!A:A,0)-1,0)</f>
        <v>3</v>
      </c>
      <c r="H1431" s="186">
        <f ca="1">OFFSET(skill!$Q$1,MATCH(B1431,skill!B:B,0)-1,0)</f>
        <v>0.666666666666667</v>
      </c>
      <c r="I1431" s="186"/>
      <c r="J1431" s="186">
        <f ca="1">OFFSET(card_type!$F$1,MATCH(Q1431,card_type!A:A,0)-1,0)</f>
        <v>4</v>
      </c>
      <c r="K1431" s="243">
        <f ca="1">OFFSET(card_type!$G$1,MATCH(Q1431,card_type!A:A,0)-1,0)</f>
        <v>2</v>
      </c>
      <c r="L1431" s="157">
        <v>2</v>
      </c>
      <c r="M1431" s="157">
        <v>2</v>
      </c>
      <c r="N1431" s="153">
        <f t="shared" si="239"/>
        <v>11</v>
      </c>
      <c r="O1431" s="157"/>
      <c r="P1431" s="157"/>
      <c r="Q1431" s="153">
        <f ca="1">OFFSET(card_type!$A$1,MATCH(card!B1431,card_type!B:B,0)-1,0)</f>
        <v>2402</v>
      </c>
      <c r="R1431" s="153">
        <v>1</v>
      </c>
      <c r="S1431" s="157">
        <f ca="1">ROUND(IF(R1431=0,0,IF(R1431=1,X1431*$S$1,IF(R1431=2,X1431*$S$1*buff的资质计算!$E$2,IF(R1431=3,X1431*$S$1*buff的资质计算!$E$3,0)))),0)*0</f>
        <v>0</v>
      </c>
      <c r="T1431" s="153">
        <v>5</v>
      </c>
      <c r="U1431" s="153">
        <f ca="1" t="shared" si="241"/>
        <v>42</v>
      </c>
      <c r="V1431" s="153">
        <f ca="1">ROUND((OFFSET(卡牌辅助配置表!$O$1,MATCH(U1431,卡牌辅助配置表!M:M,0)-1,0)+(N1431-1)*OFFSET(卡牌辅助配置表!$P$1,MATCH(U1431,卡牌辅助配置表!M:M,0)-1,0))*M1431,2)</f>
        <v>117.25</v>
      </c>
      <c r="W1431" s="157">
        <f ca="1">ROUND(IF(R1431=0,0,IF(R1431=1,X1431*$W$1,IF(R1431=2,X1431*$W$1*buff的资质计算!$E$2,IF(R1431=3,X1431*$W$1*buff的资质计算!$E$3,0)))),2)</f>
        <v>16.8</v>
      </c>
      <c r="X1431" s="157">
        <f ca="1" t="shared" si="237"/>
        <v>56</v>
      </c>
      <c r="Y1431" s="157">
        <f ca="1" t="shared" si="234"/>
        <v>56.6666666666667</v>
      </c>
      <c r="Z1431" s="304">
        <f ca="1" t="shared" si="238"/>
        <v>28.3333333333333</v>
      </c>
      <c r="AA1431" s="304">
        <f ca="1">OFFSET(卡牌辅助配置表!$AD$1,MATCH(AB1431,卡牌辅助配置表!AB:AB,0)-1,0)</f>
        <v>5290</v>
      </c>
      <c r="AB1431" s="304">
        <f ca="1" t="shared" si="242"/>
        <v>4211</v>
      </c>
      <c r="AC1431" s="153">
        <v>3</v>
      </c>
      <c r="AE1431" s="153">
        <v>2</v>
      </c>
      <c r="AF1431" s="153" t="str">
        <f ca="1" t="shared" si="235"/>
        <v>24020011|</v>
      </c>
      <c r="AJ1431" s="205">
        <f ca="1" t="shared" si="243"/>
        <v>0</v>
      </c>
      <c r="AK1431" s="205">
        <f ca="1">OFFSET([1]item_type!$A$1,MATCH(Q1431,[1]item_type!$G:$G,0)-1,0)</f>
        <v>302402</v>
      </c>
      <c r="AL1431" s="205"/>
      <c r="AM1431" s="205">
        <f ca="1">IF(B1431=B1432,OFFSET(卡牌辅助配置表!$AE$1,MATCH(AB1431,卡牌辅助配置表!AB:AB,0),0),0)</f>
        <v>4650</v>
      </c>
      <c r="AN1431" s="153">
        <f ca="1" t="shared" si="244"/>
        <v>0</v>
      </c>
      <c r="AP1431" s="153" t="str">
        <f ca="1">IF(AC1431=0,0,IF(AC1431=12,0,OFFSET(effect!$N$1,MATCH(K1431,effect!M:M,0)-1,0)))</f>
        <v>kpsx_pt</v>
      </c>
    </row>
    <row r="1432" spans="1:42">
      <c r="A1432" s="153">
        <f ca="1" t="shared" si="240"/>
        <v>2402012</v>
      </c>
      <c r="B1432" s="91" t="s">
        <v>385</v>
      </c>
      <c r="C1432" s="186">
        <v>2</v>
      </c>
      <c r="D1432" s="186">
        <v>1</v>
      </c>
      <c r="E1432" s="165" t="s">
        <v>1058</v>
      </c>
      <c r="F1432" s="165" t="str">
        <f>"上一招为剑法时，增加"&amp;skill!$O$118/100&amp;"%伤害"</f>
        <v>上一招为剑法时，增加50%伤害</v>
      </c>
      <c r="G1432" s="186">
        <f ca="1">OFFSET(卡牌辅助配置表!$C$1,MATCH(AC1432,卡牌辅助配置表!A:A,0)-1,0)</f>
        <v>3</v>
      </c>
      <c r="H1432" s="186">
        <f ca="1">OFFSET(skill!$Q$1,MATCH(B1432,skill!B:B,0)-1,0)</f>
        <v>0.666666666666667</v>
      </c>
      <c r="I1432" s="186"/>
      <c r="J1432" s="186">
        <f ca="1">OFFSET(card_type!$F$1,MATCH(Q1432,card_type!A:A,0)-1,0)</f>
        <v>4</v>
      </c>
      <c r="K1432" s="243">
        <f ca="1">OFFSET(card_type!$G$1,MATCH(Q1432,card_type!A:A,0)-1,0)</f>
        <v>2</v>
      </c>
      <c r="L1432" s="157">
        <v>2</v>
      </c>
      <c r="M1432" s="157">
        <v>2</v>
      </c>
      <c r="N1432" s="153">
        <f t="shared" si="239"/>
        <v>12</v>
      </c>
      <c r="O1432" s="157"/>
      <c r="P1432" s="157"/>
      <c r="Q1432" s="153">
        <f ca="1">OFFSET(card_type!$A$1,MATCH(card!B1432,card_type!B:B,0)-1,0)</f>
        <v>2402</v>
      </c>
      <c r="R1432" s="153">
        <v>1</v>
      </c>
      <c r="S1432" s="157">
        <f ca="1">ROUND(IF(R1432=0,0,IF(R1432=1,X1432*$S$1,IF(R1432=2,X1432*$S$1*buff的资质计算!$E$2,IF(R1432=3,X1432*$S$1*buff的资质计算!$E$3,0)))),0)*0</f>
        <v>0</v>
      </c>
      <c r="T1432" s="153">
        <v>5</v>
      </c>
      <c r="U1432" s="153">
        <f ca="1" t="shared" si="241"/>
        <v>42</v>
      </c>
      <c r="V1432" s="153">
        <f ca="1">ROUND((OFFSET(卡牌辅助配置表!$O$1,MATCH(U1432,卡牌辅助配置表!M:M,0)-1,0)+(N1432-1)*OFFSET(卡牌辅助配置表!$P$1,MATCH(U1432,卡牌辅助配置表!M:M,0)-1,0))*M1432,2)</f>
        <v>124.55</v>
      </c>
      <c r="W1432" s="157">
        <f ca="1">ROUND(IF(R1432=0,0,IF(R1432=1,X1432*$W$1,IF(R1432=2,X1432*$W$1*buff的资质计算!$E$2,IF(R1432=3,X1432*$W$1*buff的资质计算!$E$3,0)))),2)</f>
        <v>16.95</v>
      </c>
      <c r="X1432" s="157">
        <f ca="1" t="shared" si="237"/>
        <v>56.5</v>
      </c>
      <c r="Y1432" s="157">
        <f ca="1" t="shared" si="234"/>
        <v>57.1666666666667</v>
      </c>
      <c r="Z1432" s="304">
        <f ca="1" t="shared" si="238"/>
        <v>28.5833333333333</v>
      </c>
      <c r="AA1432" s="304">
        <f ca="1">OFFSET(卡牌辅助配置表!$AD$1,MATCH(AB1432,卡牌辅助配置表!AB:AB,0)-1,0)</f>
        <v>5980</v>
      </c>
      <c r="AB1432" s="304">
        <f ca="1" t="shared" si="242"/>
        <v>4212</v>
      </c>
      <c r="AC1432" s="153">
        <v>3</v>
      </c>
      <c r="AE1432" s="153">
        <v>2</v>
      </c>
      <c r="AF1432" s="153" t="str">
        <f ca="1" t="shared" si="235"/>
        <v>24020011|</v>
      </c>
      <c r="AJ1432" s="205">
        <f ca="1" t="shared" si="243"/>
        <v>0</v>
      </c>
      <c r="AK1432" s="205">
        <f ca="1">OFFSET([1]item_type!$A$1,MATCH(Q1432,[1]item_type!$G:$G,0)-1,0)</f>
        <v>302402</v>
      </c>
      <c r="AL1432" s="205"/>
      <c r="AM1432" s="205">
        <f ca="1">IF(B1432=B1433,OFFSET(卡牌辅助配置表!$AE$1,MATCH(AB1432,卡牌辅助配置表!AB:AB,0),0),0)</f>
        <v>5250</v>
      </c>
      <c r="AN1432" s="153">
        <f ca="1" t="shared" si="244"/>
        <v>0</v>
      </c>
      <c r="AP1432" s="153" t="str">
        <f ca="1">IF(AC1432=0,0,IF(AC1432=12,0,OFFSET(effect!$N$1,MATCH(K1432,effect!M:M,0)-1,0)))</f>
        <v>kpsx_pt</v>
      </c>
    </row>
    <row r="1433" spans="1:42">
      <c r="A1433" s="153">
        <f ca="1" t="shared" si="240"/>
        <v>2402013</v>
      </c>
      <c r="B1433" s="91" t="s">
        <v>385</v>
      </c>
      <c r="C1433" s="186">
        <v>2</v>
      </c>
      <c r="D1433" s="186">
        <v>1</v>
      </c>
      <c r="E1433" s="165" t="s">
        <v>1058</v>
      </c>
      <c r="F1433" s="165" t="str">
        <f>"上一招为剑法时，增加"&amp;skill!$O$118/100&amp;"%伤害"</f>
        <v>上一招为剑法时，增加50%伤害</v>
      </c>
      <c r="G1433" s="186">
        <f ca="1">OFFSET(卡牌辅助配置表!$C$1,MATCH(AC1433,卡牌辅助配置表!A:A,0)-1,0)</f>
        <v>3</v>
      </c>
      <c r="H1433" s="186">
        <f ca="1">OFFSET(skill!$Q$1,MATCH(B1433,skill!B:B,0)-1,0)</f>
        <v>0.666666666666667</v>
      </c>
      <c r="I1433" s="186"/>
      <c r="J1433" s="186">
        <f ca="1">OFFSET(card_type!$F$1,MATCH(Q1433,card_type!A:A,0)-1,0)</f>
        <v>4</v>
      </c>
      <c r="K1433" s="243">
        <f ca="1">OFFSET(card_type!$G$1,MATCH(Q1433,card_type!A:A,0)-1,0)</f>
        <v>2</v>
      </c>
      <c r="L1433" s="157">
        <v>2</v>
      </c>
      <c r="M1433" s="157">
        <v>2</v>
      </c>
      <c r="N1433" s="153">
        <f t="shared" si="239"/>
        <v>13</v>
      </c>
      <c r="O1433" s="157"/>
      <c r="P1433" s="157"/>
      <c r="Q1433" s="153">
        <f ca="1">OFFSET(card_type!$A$1,MATCH(card!B1433,card_type!B:B,0)-1,0)</f>
        <v>2402</v>
      </c>
      <c r="R1433" s="153">
        <v>1</v>
      </c>
      <c r="S1433" s="157">
        <f ca="1">ROUND(IF(R1433=0,0,IF(R1433=1,X1433*$S$1,IF(R1433=2,X1433*$S$1*buff的资质计算!$E$2,IF(R1433=3,X1433*$S$1*buff的资质计算!$E$3,0)))),0)*0</f>
        <v>0</v>
      </c>
      <c r="T1433" s="153">
        <v>5</v>
      </c>
      <c r="U1433" s="153">
        <f ca="1" t="shared" si="241"/>
        <v>42</v>
      </c>
      <c r="V1433" s="153">
        <f ca="1">ROUND((OFFSET(卡牌辅助配置表!$O$1,MATCH(U1433,卡牌辅助配置表!M:M,0)-1,0)+(N1433-1)*OFFSET(卡牌辅助配置表!$P$1,MATCH(U1433,卡牌辅助配置表!M:M,0)-1,0))*M1433,2)</f>
        <v>131.85</v>
      </c>
      <c r="W1433" s="157">
        <f ca="1">ROUND(IF(R1433=0,0,IF(R1433=1,X1433*$W$1,IF(R1433=2,X1433*$W$1*buff的资质计算!$E$2,IF(R1433=3,X1433*$W$1*buff的资质计算!$E$3,0)))),2)</f>
        <v>17.1</v>
      </c>
      <c r="X1433" s="157">
        <f ca="1" t="shared" si="237"/>
        <v>57</v>
      </c>
      <c r="Y1433" s="157">
        <f ca="1" t="shared" ref="Y1433:Y1496" si="245">X1433+H1433</f>
        <v>57.6666666666667</v>
      </c>
      <c r="Z1433" s="304">
        <f ca="1" t="shared" si="238"/>
        <v>28.8333333333333</v>
      </c>
      <c r="AA1433" s="304">
        <f ca="1">OFFSET(卡牌辅助配置表!$AD$1,MATCH(AB1433,卡牌辅助配置表!AB:AB,0)-1,0)</f>
        <v>6670</v>
      </c>
      <c r="AB1433" s="304">
        <f ca="1" t="shared" si="242"/>
        <v>4213</v>
      </c>
      <c r="AC1433" s="153">
        <v>3</v>
      </c>
      <c r="AE1433" s="153">
        <v>2</v>
      </c>
      <c r="AF1433" s="153" t="str">
        <f ca="1" t="shared" ref="AF1433:AF1496" si="246">((Q1433*1000+1)*10+1)&amp;$AF$1</f>
        <v>24020011|</v>
      </c>
      <c r="AJ1433" s="205">
        <f ca="1" t="shared" si="243"/>
        <v>0</v>
      </c>
      <c r="AK1433" s="205">
        <f ca="1">OFFSET([1]item_type!$A$1,MATCH(Q1433,[1]item_type!$G:$G,0)-1,0)</f>
        <v>302402</v>
      </c>
      <c r="AL1433" s="205"/>
      <c r="AM1433" s="205">
        <f ca="1">IF(B1433=B1434,OFFSET(卡牌辅助配置表!$AE$1,MATCH(AB1433,卡牌辅助配置表!AB:AB,0),0),0)</f>
        <v>5850</v>
      </c>
      <c r="AN1433" s="153">
        <f ca="1" t="shared" si="244"/>
        <v>0</v>
      </c>
      <c r="AP1433" s="153" t="str">
        <f ca="1">IF(AC1433=0,0,IF(AC1433=12,0,OFFSET(effect!$N$1,MATCH(K1433,effect!M:M,0)-1,0)))</f>
        <v>kpsx_pt</v>
      </c>
    </row>
    <row r="1434" spans="1:42">
      <c r="A1434" s="153">
        <f ca="1" t="shared" si="240"/>
        <v>2402014</v>
      </c>
      <c r="B1434" s="91" t="s">
        <v>385</v>
      </c>
      <c r="C1434" s="186">
        <v>2</v>
      </c>
      <c r="D1434" s="186">
        <v>1</v>
      </c>
      <c r="E1434" s="165" t="s">
        <v>1058</v>
      </c>
      <c r="F1434" s="165" t="str">
        <f>"上一招为剑法时，增加"&amp;skill!$O$118/100&amp;"%伤害"</f>
        <v>上一招为剑法时，增加50%伤害</v>
      </c>
      <c r="G1434" s="186">
        <f ca="1">OFFSET(卡牌辅助配置表!$C$1,MATCH(AC1434,卡牌辅助配置表!A:A,0)-1,0)</f>
        <v>3</v>
      </c>
      <c r="H1434" s="186">
        <f ca="1">OFFSET(skill!$Q$1,MATCH(B1434,skill!B:B,0)-1,0)</f>
        <v>0.666666666666667</v>
      </c>
      <c r="I1434" s="186"/>
      <c r="J1434" s="186">
        <f ca="1">OFFSET(card_type!$F$1,MATCH(Q1434,card_type!A:A,0)-1,0)</f>
        <v>4</v>
      </c>
      <c r="K1434" s="243">
        <f ca="1">OFFSET(card_type!$G$1,MATCH(Q1434,card_type!A:A,0)-1,0)</f>
        <v>2</v>
      </c>
      <c r="L1434" s="157">
        <v>2</v>
      </c>
      <c r="M1434" s="157">
        <v>2</v>
      </c>
      <c r="N1434" s="153">
        <f t="shared" si="239"/>
        <v>14</v>
      </c>
      <c r="O1434" s="157"/>
      <c r="P1434" s="157"/>
      <c r="Q1434" s="153">
        <f ca="1">OFFSET(card_type!$A$1,MATCH(card!B1434,card_type!B:B,0)-1,0)</f>
        <v>2402</v>
      </c>
      <c r="R1434" s="153">
        <v>1</v>
      </c>
      <c r="S1434" s="157">
        <f ca="1">ROUND(IF(R1434=0,0,IF(R1434=1,X1434*$S$1,IF(R1434=2,X1434*$S$1*buff的资质计算!$E$2,IF(R1434=3,X1434*$S$1*buff的资质计算!$E$3,0)))),0)*0</f>
        <v>0</v>
      </c>
      <c r="T1434" s="153">
        <v>5</v>
      </c>
      <c r="U1434" s="153">
        <f ca="1" t="shared" si="241"/>
        <v>42</v>
      </c>
      <c r="V1434" s="153">
        <f ca="1">ROUND((OFFSET(卡牌辅助配置表!$O$1,MATCH(U1434,卡牌辅助配置表!M:M,0)-1,0)+(N1434-1)*OFFSET(卡牌辅助配置表!$P$1,MATCH(U1434,卡牌辅助配置表!M:M,0)-1,0))*M1434,2)</f>
        <v>139.15</v>
      </c>
      <c r="W1434" s="157">
        <f ca="1">ROUND(IF(R1434=0,0,IF(R1434=1,X1434*$W$1,IF(R1434=2,X1434*$W$1*buff的资质计算!$E$2,IF(R1434=3,X1434*$W$1*buff的资质计算!$E$3,0)))),2)</f>
        <v>17.25</v>
      </c>
      <c r="X1434" s="157">
        <f ca="1" t="shared" si="237"/>
        <v>57.5</v>
      </c>
      <c r="Y1434" s="157">
        <f ca="1" t="shared" si="245"/>
        <v>58.1666666666667</v>
      </c>
      <c r="Z1434" s="304">
        <f ca="1" t="shared" si="238"/>
        <v>29.0833333333333</v>
      </c>
      <c r="AA1434" s="304">
        <f ca="1">OFFSET(卡牌辅助配置表!$AD$1,MATCH(AB1434,卡牌辅助配置表!AB:AB,0)-1,0)</f>
        <v>7360</v>
      </c>
      <c r="AB1434" s="304">
        <f ca="1" t="shared" si="242"/>
        <v>4214</v>
      </c>
      <c r="AC1434" s="153">
        <v>3</v>
      </c>
      <c r="AE1434" s="153">
        <v>2</v>
      </c>
      <c r="AF1434" s="153" t="str">
        <f ca="1" t="shared" si="246"/>
        <v>24020011|</v>
      </c>
      <c r="AJ1434" s="205">
        <f ca="1" t="shared" si="243"/>
        <v>0</v>
      </c>
      <c r="AK1434" s="205">
        <f ca="1">OFFSET([1]item_type!$A$1,MATCH(Q1434,[1]item_type!$G:$G,0)-1,0)</f>
        <v>302402</v>
      </c>
      <c r="AL1434" s="205"/>
      <c r="AM1434" s="205">
        <f ca="1">IF(B1434=B1435,OFFSET(卡牌辅助配置表!$AE$1,MATCH(AB1434,卡牌辅助配置表!AB:AB,0),0),0)</f>
        <v>6450</v>
      </c>
      <c r="AN1434" s="153">
        <f ca="1" t="shared" si="244"/>
        <v>0</v>
      </c>
      <c r="AP1434" s="153" t="str">
        <f ca="1">IF(AC1434=0,0,IF(AC1434=12,0,OFFSET(effect!$N$1,MATCH(K1434,effect!M:M,0)-1,0)))</f>
        <v>kpsx_pt</v>
      </c>
    </row>
    <row r="1435" spans="1:42">
      <c r="A1435" s="153">
        <f ca="1" t="shared" si="240"/>
        <v>2402015</v>
      </c>
      <c r="B1435" s="91" t="s">
        <v>385</v>
      </c>
      <c r="C1435" s="186">
        <v>2</v>
      </c>
      <c r="D1435" s="186">
        <v>1</v>
      </c>
      <c r="E1435" s="165" t="s">
        <v>1058</v>
      </c>
      <c r="F1435" s="165" t="str">
        <f>"上一招为剑法时，增加"&amp;skill!$O$118/100&amp;"%伤害"</f>
        <v>上一招为剑法时，增加50%伤害</v>
      </c>
      <c r="G1435" s="186">
        <f ca="1">OFFSET(卡牌辅助配置表!$C$1,MATCH(AC1435,卡牌辅助配置表!A:A,0)-1,0)</f>
        <v>3</v>
      </c>
      <c r="H1435" s="186">
        <f ca="1">OFFSET(skill!$Q$1,MATCH(B1435,skill!B:B,0)-1,0)</f>
        <v>0.666666666666667</v>
      </c>
      <c r="I1435" s="186"/>
      <c r="J1435" s="186">
        <f ca="1">OFFSET(card_type!$F$1,MATCH(Q1435,card_type!A:A,0)-1,0)</f>
        <v>4</v>
      </c>
      <c r="K1435" s="243">
        <f ca="1">OFFSET(card_type!$G$1,MATCH(Q1435,card_type!A:A,0)-1,0)</f>
        <v>2</v>
      </c>
      <c r="L1435" s="157">
        <v>2</v>
      </c>
      <c r="M1435" s="157">
        <v>2</v>
      </c>
      <c r="N1435" s="153">
        <f t="shared" si="239"/>
        <v>15</v>
      </c>
      <c r="O1435" s="157"/>
      <c r="P1435" s="157"/>
      <c r="Q1435" s="153">
        <f ca="1">OFFSET(card_type!$A$1,MATCH(card!B1435,card_type!B:B,0)-1,0)</f>
        <v>2402</v>
      </c>
      <c r="R1435" s="153">
        <v>1</v>
      </c>
      <c r="S1435" s="157">
        <f ca="1">ROUND(IF(R1435=0,0,IF(R1435=1,X1435*$S$1,IF(R1435=2,X1435*$S$1*buff的资质计算!$E$2,IF(R1435=3,X1435*$S$1*buff的资质计算!$E$3,0)))),0)*0</f>
        <v>0</v>
      </c>
      <c r="T1435" s="153">
        <v>5</v>
      </c>
      <c r="U1435" s="153">
        <f ca="1" t="shared" si="241"/>
        <v>42</v>
      </c>
      <c r="V1435" s="153">
        <f ca="1">ROUND((OFFSET(卡牌辅助配置表!$O$1,MATCH(U1435,卡牌辅助配置表!M:M,0)-1,0)+(N1435-1)*OFFSET(卡牌辅助配置表!$P$1,MATCH(U1435,卡牌辅助配置表!M:M,0)-1,0))*M1435,2)</f>
        <v>146.45</v>
      </c>
      <c r="W1435" s="157">
        <f ca="1">ROUND(IF(R1435=0,0,IF(R1435=1,X1435*$W$1,IF(R1435=2,X1435*$W$1*buff的资质计算!$E$2,IF(R1435=3,X1435*$W$1*buff的资质计算!$E$3,0)))),2)</f>
        <v>17.4</v>
      </c>
      <c r="X1435" s="157">
        <f ca="1" t="shared" si="237"/>
        <v>58</v>
      </c>
      <c r="Y1435" s="157">
        <f ca="1" t="shared" si="245"/>
        <v>58.6666666666667</v>
      </c>
      <c r="Z1435" s="304">
        <f ca="1" t="shared" si="238"/>
        <v>29.3333333333333</v>
      </c>
      <c r="AA1435" s="304">
        <f ca="1">OFFSET(卡牌辅助配置表!$AD$1,MATCH(AB1435,卡牌辅助配置表!AB:AB,0)-1,0)</f>
        <v>8050</v>
      </c>
      <c r="AB1435" s="304">
        <f ca="1" t="shared" si="242"/>
        <v>4215</v>
      </c>
      <c r="AC1435" s="153">
        <v>3</v>
      </c>
      <c r="AE1435" s="153">
        <v>2</v>
      </c>
      <c r="AF1435" s="153" t="str">
        <f ca="1" t="shared" si="246"/>
        <v>24020011|</v>
      </c>
      <c r="AJ1435" s="205">
        <f ca="1" t="shared" si="243"/>
        <v>0</v>
      </c>
      <c r="AK1435" s="205">
        <f ca="1">OFFSET([1]item_type!$A$1,MATCH(Q1435,[1]item_type!$G:$G,0)-1,0)</f>
        <v>302402</v>
      </c>
      <c r="AL1435" s="205"/>
      <c r="AM1435" s="205">
        <f ca="1">IF(B1435=B1436,OFFSET(卡牌辅助配置表!$AE$1,MATCH(AB1435,卡牌辅助配置表!AB:AB,0),0),0)</f>
        <v>7050</v>
      </c>
      <c r="AN1435" s="153">
        <f ca="1" t="shared" si="244"/>
        <v>0</v>
      </c>
      <c r="AP1435" s="153" t="str">
        <f ca="1">IF(AC1435=0,0,IF(AC1435=12,0,OFFSET(effect!$N$1,MATCH(K1435,effect!M:M,0)-1,0)))</f>
        <v>kpsx_pt</v>
      </c>
    </row>
    <row r="1436" spans="1:42">
      <c r="A1436" s="153">
        <f ca="1" t="shared" si="240"/>
        <v>2402016</v>
      </c>
      <c r="B1436" s="91" t="s">
        <v>385</v>
      </c>
      <c r="C1436" s="186">
        <v>2</v>
      </c>
      <c r="D1436" s="186">
        <v>1</v>
      </c>
      <c r="E1436" s="165" t="s">
        <v>1058</v>
      </c>
      <c r="F1436" s="165" t="str">
        <f>"上一招为剑法时，增加"&amp;skill!$O$118/100&amp;"%伤害"</f>
        <v>上一招为剑法时，增加50%伤害</v>
      </c>
      <c r="G1436" s="186">
        <f ca="1">OFFSET(卡牌辅助配置表!$C$1,MATCH(AC1436,卡牌辅助配置表!A:A,0)-1,0)</f>
        <v>3</v>
      </c>
      <c r="H1436" s="186">
        <f ca="1">OFFSET(skill!$Q$1,MATCH(B1436,skill!B:B,0)-1,0)</f>
        <v>0.666666666666667</v>
      </c>
      <c r="I1436" s="186"/>
      <c r="J1436" s="186">
        <f ca="1">OFFSET(card_type!$F$1,MATCH(Q1436,card_type!A:A,0)-1,0)</f>
        <v>4</v>
      </c>
      <c r="K1436" s="243">
        <f ca="1">OFFSET(card_type!$G$1,MATCH(Q1436,card_type!A:A,0)-1,0)</f>
        <v>2</v>
      </c>
      <c r="L1436" s="157">
        <v>2</v>
      </c>
      <c r="M1436" s="157">
        <v>2</v>
      </c>
      <c r="N1436" s="153">
        <f t="shared" si="239"/>
        <v>16</v>
      </c>
      <c r="O1436" s="157"/>
      <c r="P1436" s="157"/>
      <c r="Q1436" s="153">
        <f ca="1">OFFSET(card_type!$A$1,MATCH(card!B1436,card_type!B:B,0)-1,0)</f>
        <v>2402</v>
      </c>
      <c r="R1436" s="153">
        <v>1</v>
      </c>
      <c r="S1436" s="157">
        <f ca="1">ROUND(IF(R1436=0,0,IF(R1436=1,X1436*$S$1,IF(R1436=2,X1436*$S$1*buff的资质计算!$E$2,IF(R1436=3,X1436*$S$1*buff的资质计算!$E$3,0)))),0)*0</f>
        <v>0</v>
      </c>
      <c r="T1436" s="153">
        <v>5</v>
      </c>
      <c r="U1436" s="153">
        <f ca="1" t="shared" si="241"/>
        <v>42</v>
      </c>
      <c r="V1436" s="153">
        <f ca="1">ROUND((OFFSET(卡牌辅助配置表!$O$1,MATCH(U1436,卡牌辅助配置表!M:M,0)-1,0)+(N1436-1)*OFFSET(卡牌辅助配置表!$P$1,MATCH(U1436,卡牌辅助配置表!M:M,0)-1,0))*M1436,2)</f>
        <v>153.75</v>
      </c>
      <c r="W1436" s="157">
        <f ca="1">ROUND(IF(R1436=0,0,IF(R1436=1,X1436*$W$1,IF(R1436=2,X1436*$W$1*buff的资质计算!$E$2,IF(R1436=3,X1436*$W$1*buff的资质计算!$E$3,0)))),2)</f>
        <v>17.55</v>
      </c>
      <c r="X1436" s="157">
        <f ca="1" t="shared" si="237"/>
        <v>58.5</v>
      </c>
      <c r="Y1436" s="157">
        <f ca="1" t="shared" si="245"/>
        <v>59.1666666666667</v>
      </c>
      <c r="Z1436" s="304">
        <f ca="1" t="shared" si="238"/>
        <v>29.5833333333333</v>
      </c>
      <c r="AA1436" s="304">
        <f ca="1">OFFSET(卡牌辅助配置表!$AD$1,MATCH(AB1436,卡牌辅助配置表!AB:AB,0)-1,0)</f>
        <v>8740</v>
      </c>
      <c r="AB1436" s="304">
        <f ca="1" t="shared" si="242"/>
        <v>4216</v>
      </c>
      <c r="AC1436" s="153">
        <v>3</v>
      </c>
      <c r="AE1436" s="153">
        <v>2</v>
      </c>
      <c r="AF1436" s="153" t="str">
        <f ca="1" t="shared" si="246"/>
        <v>24020011|</v>
      </c>
      <c r="AJ1436" s="205">
        <f ca="1" t="shared" si="243"/>
        <v>0</v>
      </c>
      <c r="AK1436" s="205">
        <f ca="1">OFFSET([1]item_type!$A$1,MATCH(Q1436,[1]item_type!$G:$G,0)-1,0)</f>
        <v>302402</v>
      </c>
      <c r="AL1436" s="205"/>
      <c r="AM1436" s="205">
        <f ca="1">IF(B1436=B1437,OFFSET(卡牌辅助配置表!$AE$1,MATCH(AB1436,卡牌辅助配置表!AB:AB,0),0),0)</f>
        <v>7650</v>
      </c>
      <c r="AN1436" s="153">
        <f ca="1" t="shared" si="244"/>
        <v>0</v>
      </c>
      <c r="AP1436" s="153" t="str">
        <f ca="1">IF(AC1436=0,0,IF(AC1436=12,0,OFFSET(effect!$N$1,MATCH(K1436,effect!M:M,0)-1,0)))</f>
        <v>kpsx_pt</v>
      </c>
    </row>
    <row r="1437" spans="1:42">
      <c r="A1437" s="153">
        <f ca="1" t="shared" si="240"/>
        <v>2402017</v>
      </c>
      <c r="B1437" s="91" t="s">
        <v>385</v>
      </c>
      <c r="C1437" s="186">
        <v>2</v>
      </c>
      <c r="D1437" s="186">
        <v>1</v>
      </c>
      <c r="E1437" s="165" t="s">
        <v>1058</v>
      </c>
      <c r="F1437" s="165" t="str">
        <f>"上一招为剑法时，增加"&amp;skill!$O$118/100&amp;"%伤害"</f>
        <v>上一招为剑法时，增加50%伤害</v>
      </c>
      <c r="G1437" s="186">
        <f ca="1">OFFSET(卡牌辅助配置表!$C$1,MATCH(AC1437,卡牌辅助配置表!A:A,0)-1,0)</f>
        <v>3</v>
      </c>
      <c r="H1437" s="186">
        <f ca="1">OFFSET(skill!$Q$1,MATCH(B1437,skill!B:B,0)-1,0)</f>
        <v>0.666666666666667</v>
      </c>
      <c r="I1437" s="186"/>
      <c r="J1437" s="186">
        <f ca="1">OFFSET(card_type!$F$1,MATCH(Q1437,card_type!A:A,0)-1,0)</f>
        <v>4</v>
      </c>
      <c r="K1437" s="243">
        <f ca="1">OFFSET(card_type!$G$1,MATCH(Q1437,card_type!A:A,0)-1,0)</f>
        <v>2</v>
      </c>
      <c r="L1437" s="157">
        <v>2</v>
      </c>
      <c r="M1437" s="157">
        <v>2</v>
      </c>
      <c r="N1437" s="153">
        <f t="shared" si="239"/>
        <v>17</v>
      </c>
      <c r="O1437" s="157"/>
      <c r="P1437" s="157"/>
      <c r="Q1437" s="153">
        <f ca="1">OFFSET(card_type!$A$1,MATCH(card!B1437,card_type!B:B,0)-1,0)</f>
        <v>2402</v>
      </c>
      <c r="R1437" s="153">
        <v>1</v>
      </c>
      <c r="S1437" s="157">
        <f ca="1">ROUND(IF(R1437=0,0,IF(R1437=1,X1437*$S$1,IF(R1437=2,X1437*$S$1*buff的资质计算!$E$2,IF(R1437=3,X1437*$S$1*buff的资质计算!$E$3,0)))),0)*0</f>
        <v>0</v>
      </c>
      <c r="T1437" s="153">
        <v>5</v>
      </c>
      <c r="U1437" s="153">
        <f ca="1" t="shared" si="241"/>
        <v>42</v>
      </c>
      <c r="V1437" s="153">
        <f ca="1">ROUND((OFFSET(卡牌辅助配置表!$O$1,MATCH(U1437,卡牌辅助配置表!M:M,0)-1,0)+(N1437-1)*OFFSET(卡牌辅助配置表!$P$1,MATCH(U1437,卡牌辅助配置表!M:M,0)-1,0))*M1437,2)</f>
        <v>161.05</v>
      </c>
      <c r="W1437" s="157">
        <f ca="1">ROUND(IF(R1437=0,0,IF(R1437=1,X1437*$W$1,IF(R1437=2,X1437*$W$1*buff的资质计算!$E$2,IF(R1437=3,X1437*$W$1*buff的资质计算!$E$3,0)))),2)</f>
        <v>17.7</v>
      </c>
      <c r="X1437" s="157">
        <f ca="1" t="shared" si="237"/>
        <v>59</v>
      </c>
      <c r="Y1437" s="157">
        <f ca="1" t="shared" si="245"/>
        <v>59.6666666666667</v>
      </c>
      <c r="Z1437" s="304">
        <f ca="1" t="shared" si="238"/>
        <v>29.8333333333333</v>
      </c>
      <c r="AA1437" s="304">
        <f ca="1">OFFSET(卡牌辅助配置表!$AD$1,MATCH(AB1437,卡牌辅助配置表!AB:AB,0)-1,0)</f>
        <v>9430</v>
      </c>
      <c r="AB1437" s="304">
        <f ca="1" t="shared" si="242"/>
        <v>4217</v>
      </c>
      <c r="AC1437" s="153">
        <v>3</v>
      </c>
      <c r="AE1437" s="153">
        <v>2</v>
      </c>
      <c r="AF1437" s="153" t="str">
        <f ca="1" t="shared" si="246"/>
        <v>24020011|</v>
      </c>
      <c r="AJ1437" s="205">
        <f ca="1" t="shared" si="243"/>
        <v>0</v>
      </c>
      <c r="AK1437" s="205">
        <f ca="1">OFFSET([1]item_type!$A$1,MATCH(Q1437,[1]item_type!$G:$G,0)-1,0)</f>
        <v>302402</v>
      </c>
      <c r="AL1437" s="205"/>
      <c r="AM1437" s="205">
        <f ca="1">IF(B1437=B1438,OFFSET(卡牌辅助配置表!$AE$1,MATCH(AB1437,卡牌辅助配置表!AB:AB,0),0),0)</f>
        <v>8250</v>
      </c>
      <c r="AN1437" s="153">
        <f ca="1" t="shared" si="244"/>
        <v>0</v>
      </c>
      <c r="AP1437" s="153" t="str">
        <f ca="1">IF(AC1437=0,0,IF(AC1437=12,0,OFFSET(effect!$N$1,MATCH(K1437,effect!M:M,0)-1,0)))</f>
        <v>kpsx_pt</v>
      </c>
    </row>
    <row r="1438" spans="1:42">
      <c r="A1438" s="153">
        <f ca="1" t="shared" si="240"/>
        <v>2402018</v>
      </c>
      <c r="B1438" s="91" t="s">
        <v>385</v>
      </c>
      <c r="C1438" s="186">
        <v>2</v>
      </c>
      <c r="D1438" s="186">
        <v>1</v>
      </c>
      <c r="E1438" s="165" t="s">
        <v>1058</v>
      </c>
      <c r="F1438" s="165" t="str">
        <f>"上一招为剑法时，增加"&amp;skill!$O$118/100&amp;"%伤害"</f>
        <v>上一招为剑法时，增加50%伤害</v>
      </c>
      <c r="G1438" s="186">
        <f ca="1">OFFSET(卡牌辅助配置表!$C$1,MATCH(AC1438,卡牌辅助配置表!A:A,0)-1,0)</f>
        <v>3</v>
      </c>
      <c r="H1438" s="186">
        <f ca="1">OFFSET(skill!$Q$1,MATCH(B1438,skill!B:B,0)-1,0)</f>
        <v>0.666666666666667</v>
      </c>
      <c r="I1438" s="186"/>
      <c r="J1438" s="186">
        <f ca="1">OFFSET(card_type!$F$1,MATCH(Q1438,card_type!A:A,0)-1,0)</f>
        <v>4</v>
      </c>
      <c r="K1438" s="243">
        <f ca="1">OFFSET(card_type!$G$1,MATCH(Q1438,card_type!A:A,0)-1,0)</f>
        <v>2</v>
      </c>
      <c r="L1438" s="157">
        <v>2</v>
      </c>
      <c r="M1438" s="157">
        <v>2</v>
      </c>
      <c r="N1438" s="153">
        <f t="shared" si="239"/>
        <v>18</v>
      </c>
      <c r="O1438" s="157"/>
      <c r="P1438" s="157"/>
      <c r="Q1438" s="153">
        <f ca="1">OFFSET(card_type!$A$1,MATCH(card!B1438,card_type!B:B,0)-1,0)</f>
        <v>2402</v>
      </c>
      <c r="R1438" s="153">
        <v>1</v>
      </c>
      <c r="S1438" s="157">
        <f ca="1">ROUND(IF(R1438=0,0,IF(R1438=1,X1438*$S$1,IF(R1438=2,X1438*$S$1*buff的资质计算!$E$2,IF(R1438=3,X1438*$S$1*buff的资质计算!$E$3,0)))),0)*0</f>
        <v>0</v>
      </c>
      <c r="T1438" s="153">
        <v>5</v>
      </c>
      <c r="U1438" s="153">
        <f ca="1" t="shared" si="241"/>
        <v>42</v>
      </c>
      <c r="V1438" s="153">
        <f ca="1">ROUND((OFFSET(卡牌辅助配置表!$O$1,MATCH(U1438,卡牌辅助配置表!M:M,0)-1,0)+(N1438-1)*OFFSET(卡牌辅助配置表!$P$1,MATCH(U1438,卡牌辅助配置表!M:M,0)-1,0))*M1438,2)</f>
        <v>168.35</v>
      </c>
      <c r="W1438" s="157">
        <f ca="1">ROUND(IF(R1438=0,0,IF(R1438=1,X1438*$W$1,IF(R1438=2,X1438*$W$1*buff的资质计算!$E$2,IF(R1438=3,X1438*$W$1*buff的资质计算!$E$3,0)))),2)</f>
        <v>17.85</v>
      </c>
      <c r="X1438" s="157">
        <f ca="1" t="shared" si="237"/>
        <v>59.5</v>
      </c>
      <c r="Y1438" s="157">
        <f ca="1" t="shared" si="245"/>
        <v>60.1666666666667</v>
      </c>
      <c r="Z1438" s="304">
        <f ca="1" t="shared" si="238"/>
        <v>30.0833333333333</v>
      </c>
      <c r="AA1438" s="304">
        <f ca="1">OFFSET(卡牌辅助配置表!$AD$1,MATCH(AB1438,卡牌辅助配置表!AB:AB,0)-1,0)</f>
        <v>10120</v>
      </c>
      <c r="AB1438" s="304">
        <f ca="1" t="shared" si="242"/>
        <v>4218</v>
      </c>
      <c r="AC1438" s="153">
        <v>3</v>
      </c>
      <c r="AE1438" s="153">
        <v>2</v>
      </c>
      <c r="AF1438" s="153" t="str">
        <f ca="1" t="shared" si="246"/>
        <v>24020011|</v>
      </c>
      <c r="AJ1438" s="205">
        <f ca="1" t="shared" si="243"/>
        <v>0</v>
      </c>
      <c r="AK1438" s="205">
        <f ca="1">OFFSET([1]item_type!$A$1,MATCH(Q1438,[1]item_type!$G:$G,0)-1,0)</f>
        <v>302402</v>
      </c>
      <c r="AL1438" s="205"/>
      <c r="AM1438" s="205">
        <f ca="1">IF(B1438=B1439,OFFSET(卡牌辅助配置表!$AE$1,MATCH(AB1438,卡牌辅助配置表!AB:AB,0),0),0)</f>
        <v>8850</v>
      </c>
      <c r="AN1438" s="153">
        <f ca="1" t="shared" si="244"/>
        <v>0</v>
      </c>
      <c r="AP1438" s="153" t="str">
        <f ca="1">IF(AC1438=0,0,IF(AC1438=12,0,OFFSET(effect!$N$1,MATCH(K1438,effect!M:M,0)-1,0)))</f>
        <v>kpsx_pt</v>
      </c>
    </row>
    <row r="1439" spans="1:42">
      <c r="A1439" s="153">
        <f ca="1" t="shared" si="240"/>
        <v>2402019</v>
      </c>
      <c r="B1439" s="91" t="s">
        <v>385</v>
      </c>
      <c r="C1439" s="186">
        <v>2</v>
      </c>
      <c r="D1439" s="186">
        <v>1</v>
      </c>
      <c r="E1439" s="165" t="s">
        <v>1058</v>
      </c>
      <c r="F1439" s="165" t="str">
        <f>"上一招为剑法时，增加"&amp;skill!$O$118/100&amp;"%伤害"</f>
        <v>上一招为剑法时，增加50%伤害</v>
      </c>
      <c r="G1439" s="186">
        <f ca="1">OFFSET(卡牌辅助配置表!$C$1,MATCH(AC1439,卡牌辅助配置表!A:A,0)-1,0)</f>
        <v>3</v>
      </c>
      <c r="H1439" s="186">
        <f ca="1">OFFSET(skill!$Q$1,MATCH(B1439,skill!B:B,0)-1,0)</f>
        <v>0.666666666666667</v>
      </c>
      <c r="I1439" s="186"/>
      <c r="J1439" s="186">
        <f ca="1">OFFSET(card_type!$F$1,MATCH(Q1439,card_type!A:A,0)-1,0)</f>
        <v>4</v>
      </c>
      <c r="K1439" s="243">
        <f ca="1">OFFSET(card_type!$G$1,MATCH(Q1439,card_type!A:A,0)-1,0)</f>
        <v>2</v>
      </c>
      <c r="L1439" s="157">
        <v>2</v>
      </c>
      <c r="M1439" s="157">
        <v>2</v>
      </c>
      <c r="N1439" s="153">
        <f t="shared" si="239"/>
        <v>19</v>
      </c>
      <c r="O1439" s="157"/>
      <c r="P1439" s="157"/>
      <c r="Q1439" s="153">
        <f ca="1">OFFSET(card_type!$A$1,MATCH(card!B1439,card_type!B:B,0)-1,0)</f>
        <v>2402</v>
      </c>
      <c r="R1439" s="153">
        <v>1</v>
      </c>
      <c r="S1439" s="157">
        <f ca="1">ROUND(IF(R1439=0,0,IF(R1439=1,X1439*$S$1,IF(R1439=2,X1439*$S$1*buff的资质计算!$E$2,IF(R1439=3,X1439*$S$1*buff的资质计算!$E$3,0)))),0)*0</f>
        <v>0</v>
      </c>
      <c r="T1439" s="153">
        <v>5</v>
      </c>
      <c r="U1439" s="153">
        <f ca="1" t="shared" si="241"/>
        <v>42</v>
      </c>
      <c r="V1439" s="153">
        <f ca="1">ROUND((OFFSET(卡牌辅助配置表!$O$1,MATCH(U1439,卡牌辅助配置表!M:M,0)-1,0)+(N1439-1)*OFFSET(卡牌辅助配置表!$P$1,MATCH(U1439,卡牌辅助配置表!M:M,0)-1,0))*M1439,2)</f>
        <v>175.65</v>
      </c>
      <c r="W1439" s="157">
        <f ca="1">ROUND(IF(R1439=0,0,IF(R1439=1,X1439*$W$1,IF(R1439=2,X1439*$W$1*buff的资质计算!$E$2,IF(R1439=3,X1439*$W$1*buff的资质计算!$E$3,0)))),2)</f>
        <v>18</v>
      </c>
      <c r="X1439" s="157">
        <f ca="1" t="shared" si="237"/>
        <v>60</v>
      </c>
      <c r="Y1439" s="157">
        <f ca="1" t="shared" si="245"/>
        <v>60.6666666666667</v>
      </c>
      <c r="Z1439" s="304">
        <f ca="1" t="shared" si="238"/>
        <v>30.3333333333333</v>
      </c>
      <c r="AA1439" s="304">
        <f ca="1">OFFSET(卡牌辅助配置表!$AD$1,MATCH(AB1439,卡牌辅助配置表!AB:AB,0)-1,0)</f>
        <v>10810</v>
      </c>
      <c r="AB1439" s="304">
        <f ca="1" t="shared" si="242"/>
        <v>4219</v>
      </c>
      <c r="AC1439" s="153">
        <v>3</v>
      </c>
      <c r="AE1439" s="153">
        <v>2</v>
      </c>
      <c r="AF1439" s="153" t="str">
        <f ca="1" t="shared" si="246"/>
        <v>24020011|</v>
      </c>
      <c r="AJ1439" s="205">
        <f ca="1" t="shared" si="243"/>
        <v>0</v>
      </c>
      <c r="AK1439" s="205">
        <f ca="1">OFFSET([1]item_type!$A$1,MATCH(Q1439,[1]item_type!$G:$G,0)-1,0)</f>
        <v>302402</v>
      </c>
      <c r="AL1439" s="205">
        <v>20</v>
      </c>
      <c r="AM1439" s="205">
        <f ca="1">IF(B1439=B1440,OFFSET(卡牌辅助配置表!$AE$1,MATCH(AB1439,卡牌辅助配置表!AB:AB,0),0),0)</f>
        <v>9450</v>
      </c>
      <c r="AN1439" s="153">
        <f ca="1" t="shared" si="244"/>
        <v>0</v>
      </c>
      <c r="AP1439" s="153" t="str">
        <f ca="1">IF(AC1439=0,0,IF(AC1439=12,0,OFFSET(effect!$N$1,MATCH(K1439,effect!M:M,0)-1,0)))</f>
        <v>kpsx_pt</v>
      </c>
    </row>
    <row r="1440" spans="1:42">
      <c r="A1440" s="153">
        <f ca="1" t="shared" si="240"/>
        <v>2402020</v>
      </c>
      <c r="B1440" s="91" t="s">
        <v>385</v>
      </c>
      <c r="C1440" s="186">
        <v>2</v>
      </c>
      <c r="D1440" s="186">
        <v>1</v>
      </c>
      <c r="E1440" s="165" t="s">
        <v>1058</v>
      </c>
      <c r="F1440" s="165" t="str">
        <f>"上一招为剑法时，增加"&amp;skill!$O$118/100&amp;"%伤害"</f>
        <v>上一招为剑法时，增加50%伤害</v>
      </c>
      <c r="G1440" s="186">
        <f ca="1">OFFSET(卡牌辅助配置表!$C$1,MATCH(AC1440,卡牌辅助配置表!A:A,0)-1,0)</f>
        <v>3</v>
      </c>
      <c r="H1440" s="186">
        <f ca="1">OFFSET(skill!$Q$1,MATCH(B1440,skill!B:B,0)-1,0)</f>
        <v>0.666666666666667</v>
      </c>
      <c r="I1440" s="186"/>
      <c r="J1440" s="186">
        <f ca="1">OFFSET(card_type!$F$1,MATCH(Q1440,card_type!A:A,0)-1,0)</f>
        <v>4</v>
      </c>
      <c r="K1440" s="243">
        <f ca="1">OFFSET(card_type!$G$1,MATCH(Q1440,card_type!A:A,0)-1,0)</f>
        <v>2</v>
      </c>
      <c r="L1440" s="157">
        <v>2</v>
      </c>
      <c r="M1440" s="157">
        <v>2</v>
      </c>
      <c r="N1440" s="153">
        <f t="shared" si="239"/>
        <v>20</v>
      </c>
      <c r="O1440" s="157"/>
      <c r="P1440" s="157"/>
      <c r="Q1440" s="153">
        <f ca="1">OFFSET(card_type!$A$1,MATCH(card!B1440,card_type!B:B,0)-1,0)</f>
        <v>2402</v>
      </c>
      <c r="R1440" s="153">
        <v>1</v>
      </c>
      <c r="S1440" s="157">
        <f ca="1">ROUND(IF(R1440=0,0,IF(R1440=1,X1440*$S$1,IF(R1440=2,X1440*$S$1*buff的资质计算!$E$2,IF(R1440=3,X1440*$S$1*buff的资质计算!$E$3,0)))),0)*0</f>
        <v>0</v>
      </c>
      <c r="T1440" s="153">
        <v>5</v>
      </c>
      <c r="U1440" s="153">
        <f ca="1" t="shared" si="241"/>
        <v>42</v>
      </c>
      <c r="V1440" s="153">
        <f ca="1">ROUND((OFFSET(卡牌辅助配置表!$O$1,MATCH(U1440,卡牌辅助配置表!M:M,0)-1,0)+(N1440-1)*OFFSET(卡牌辅助配置表!$P$1,MATCH(U1440,卡牌辅助配置表!M:M,0)-1,0))*M1440,2)</f>
        <v>182.95</v>
      </c>
      <c r="W1440" s="157">
        <f ca="1">ROUND(IF(R1440=0,0,IF(R1440=1,X1440*$W$1,IF(R1440=2,X1440*$W$1*buff的资质计算!$E$2,IF(R1440=3,X1440*$W$1*buff的资质计算!$E$3,0)))),2)</f>
        <v>18.15</v>
      </c>
      <c r="X1440" s="157">
        <f ca="1" t="shared" si="237"/>
        <v>60.5</v>
      </c>
      <c r="Y1440" s="157">
        <f ca="1" t="shared" si="245"/>
        <v>61.1666666666667</v>
      </c>
      <c r="Z1440" s="304">
        <f ca="1" t="shared" si="238"/>
        <v>30.5833333333333</v>
      </c>
      <c r="AA1440" s="304">
        <f ca="1">OFFSET(卡牌辅助配置表!$AD$1,MATCH(AB1440,卡牌辅助配置表!AB:AB,0)-1,0)</f>
        <v>11500</v>
      </c>
      <c r="AB1440" s="304">
        <f ca="1" t="shared" si="242"/>
        <v>4220</v>
      </c>
      <c r="AC1440" s="153">
        <v>3</v>
      </c>
      <c r="AE1440" s="153">
        <v>2</v>
      </c>
      <c r="AF1440" s="153" t="str">
        <f ca="1" t="shared" si="246"/>
        <v>24020011|</v>
      </c>
      <c r="AJ1440" s="205">
        <f ca="1" t="shared" si="243"/>
        <v>0</v>
      </c>
      <c r="AK1440" s="205">
        <f ca="1">OFFSET([1]item_type!$A$1,MATCH(Q1440,[1]item_type!$G:$G,0)-1,0)</f>
        <v>302402</v>
      </c>
      <c r="AL1440" s="205"/>
      <c r="AM1440" s="205">
        <f ca="1">IF(B1440=B1441,OFFSET(卡牌辅助配置表!$AE$1,MATCH(AB1440,卡牌辅助配置表!AB:AB,0),0),0)</f>
        <v>10650</v>
      </c>
      <c r="AN1440" s="153">
        <f ca="1" t="shared" si="244"/>
        <v>0</v>
      </c>
      <c r="AP1440" s="153" t="str">
        <f ca="1">IF(AC1440=0,0,IF(AC1440=12,0,OFFSET(effect!$N$1,MATCH(K1440,effect!M:M,0)-1,0)))</f>
        <v>kpsx_pt</v>
      </c>
    </row>
    <row r="1441" spans="1:42">
      <c r="A1441" s="153">
        <f ca="1" t="shared" si="240"/>
        <v>2402021</v>
      </c>
      <c r="B1441" s="91" t="s">
        <v>385</v>
      </c>
      <c r="C1441" s="186">
        <v>2</v>
      </c>
      <c r="D1441" s="186">
        <v>1</v>
      </c>
      <c r="E1441" s="165" t="s">
        <v>1058</v>
      </c>
      <c r="F1441" s="165" t="str">
        <f>"上一招为剑法时，增加"&amp;skill!$O$118/100&amp;"%伤害"</f>
        <v>上一招为剑法时，增加50%伤害</v>
      </c>
      <c r="G1441" s="186">
        <f ca="1">OFFSET(卡牌辅助配置表!$C$1,MATCH(AC1441,卡牌辅助配置表!A:A,0)-1,0)</f>
        <v>3</v>
      </c>
      <c r="H1441" s="186">
        <f ca="1">OFFSET(skill!$Q$1,MATCH(B1441,skill!B:B,0)-1,0)</f>
        <v>0.666666666666667</v>
      </c>
      <c r="I1441" s="186"/>
      <c r="J1441" s="186">
        <f ca="1">OFFSET(card_type!$F$1,MATCH(Q1441,card_type!A:A,0)-1,0)</f>
        <v>4</v>
      </c>
      <c r="K1441" s="243">
        <f ca="1">OFFSET(card_type!$G$1,MATCH(Q1441,card_type!A:A,0)-1,0)</f>
        <v>2</v>
      </c>
      <c r="L1441" s="157">
        <v>2</v>
      </c>
      <c r="M1441" s="157">
        <v>2</v>
      </c>
      <c r="N1441" s="153">
        <f t="shared" si="239"/>
        <v>21</v>
      </c>
      <c r="O1441" s="157"/>
      <c r="P1441" s="157"/>
      <c r="Q1441" s="153">
        <f ca="1">OFFSET(card_type!$A$1,MATCH(card!B1441,card_type!B:B,0)-1,0)</f>
        <v>2402</v>
      </c>
      <c r="R1441" s="153">
        <v>1</v>
      </c>
      <c r="S1441" s="157">
        <f ca="1">ROUND(IF(R1441=0,0,IF(R1441=1,X1441*$S$1,IF(R1441=2,X1441*$S$1*buff的资质计算!$E$2,IF(R1441=3,X1441*$S$1*buff的资质计算!$E$3,0)))),0)*0</f>
        <v>0</v>
      </c>
      <c r="T1441" s="153">
        <v>5</v>
      </c>
      <c r="U1441" s="153">
        <f ca="1" t="shared" si="241"/>
        <v>42</v>
      </c>
      <c r="V1441" s="153">
        <f ca="1">ROUND((OFFSET(卡牌辅助配置表!$O$1,MATCH(U1441,卡牌辅助配置表!M:M,0)-1,0)+(N1441-1)*OFFSET(卡牌辅助配置表!$P$1,MATCH(U1441,卡牌辅助配置表!M:M,0)-1,0))*M1441,2)</f>
        <v>190.25</v>
      </c>
      <c r="W1441" s="157">
        <f ca="1">ROUND(IF(R1441=0,0,IF(R1441=1,X1441*$W$1,IF(R1441=2,X1441*$W$1*buff的资质计算!$E$2,IF(R1441=3,X1441*$W$1*buff的资质计算!$E$3,0)))),2)</f>
        <v>18.3</v>
      </c>
      <c r="X1441" s="157">
        <f ca="1" t="shared" si="237"/>
        <v>61</v>
      </c>
      <c r="Y1441" s="157">
        <f ca="1" t="shared" si="245"/>
        <v>61.6666666666667</v>
      </c>
      <c r="Z1441" s="304">
        <f ca="1" t="shared" si="238"/>
        <v>30.8333333333333</v>
      </c>
      <c r="AA1441" s="304">
        <f ca="1">OFFSET(卡牌辅助配置表!$AD$1,MATCH(AB1441,卡牌辅助配置表!AB:AB,0)-1,0)</f>
        <v>12420</v>
      </c>
      <c r="AB1441" s="304">
        <f ca="1" t="shared" si="242"/>
        <v>4221</v>
      </c>
      <c r="AC1441" s="153">
        <v>3</v>
      </c>
      <c r="AE1441" s="153">
        <v>2</v>
      </c>
      <c r="AF1441" s="153" t="str">
        <f ca="1" t="shared" si="246"/>
        <v>24020011|</v>
      </c>
      <c r="AJ1441" s="205">
        <f ca="1" t="shared" si="243"/>
        <v>0</v>
      </c>
      <c r="AK1441" s="205">
        <f ca="1">OFFSET([1]item_type!$A$1,MATCH(Q1441,[1]item_type!$G:$G,0)-1,0)</f>
        <v>302402</v>
      </c>
      <c r="AL1441" s="205"/>
      <c r="AM1441" s="205">
        <f ca="1">IF(B1441=B1442,OFFSET(卡牌辅助配置表!$AE$1,MATCH(AB1441,卡牌辅助配置表!AB:AB,0),0),0)</f>
        <v>11850</v>
      </c>
      <c r="AN1441" s="153">
        <f ca="1" t="shared" si="244"/>
        <v>0</v>
      </c>
      <c r="AP1441" s="153" t="str">
        <f ca="1">IF(AC1441=0,0,IF(AC1441=12,0,OFFSET(effect!$N$1,MATCH(K1441,effect!M:M,0)-1,0)))</f>
        <v>kpsx_pt</v>
      </c>
    </row>
    <row r="1442" spans="1:42">
      <c r="A1442" s="153">
        <f ca="1" t="shared" si="240"/>
        <v>2402022</v>
      </c>
      <c r="B1442" s="91" t="s">
        <v>385</v>
      </c>
      <c r="C1442" s="186">
        <v>2</v>
      </c>
      <c r="D1442" s="186">
        <v>1</v>
      </c>
      <c r="E1442" s="165" t="s">
        <v>1058</v>
      </c>
      <c r="F1442" s="165" t="str">
        <f>"上一招为剑法时，增加"&amp;skill!$O$118/100&amp;"%伤害"</f>
        <v>上一招为剑法时，增加50%伤害</v>
      </c>
      <c r="G1442" s="186">
        <f ca="1">OFFSET(卡牌辅助配置表!$C$1,MATCH(AC1442,卡牌辅助配置表!A:A,0)-1,0)</f>
        <v>3</v>
      </c>
      <c r="H1442" s="186">
        <f ca="1">OFFSET(skill!$Q$1,MATCH(B1442,skill!B:B,0)-1,0)</f>
        <v>0.666666666666667</v>
      </c>
      <c r="I1442" s="186"/>
      <c r="J1442" s="186">
        <f ca="1">OFFSET(card_type!$F$1,MATCH(Q1442,card_type!A:A,0)-1,0)</f>
        <v>4</v>
      </c>
      <c r="K1442" s="243">
        <f ca="1">OFFSET(card_type!$G$1,MATCH(Q1442,card_type!A:A,0)-1,0)</f>
        <v>2</v>
      </c>
      <c r="L1442" s="157">
        <v>2</v>
      </c>
      <c r="M1442" s="157">
        <v>2</v>
      </c>
      <c r="N1442" s="153">
        <f t="shared" si="239"/>
        <v>22</v>
      </c>
      <c r="O1442" s="157"/>
      <c r="P1442" s="157"/>
      <c r="Q1442" s="153">
        <f ca="1">OFFSET(card_type!$A$1,MATCH(card!B1442,card_type!B:B,0)-1,0)</f>
        <v>2402</v>
      </c>
      <c r="R1442" s="153">
        <v>1</v>
      </c>
      <c r="S1442" s="157">
        <f ca="1">ROUND(IF(R1442=0,0,IF(R1442=1,X1442*$S$1,IF(R1442=2,X1442*$S$1*buff的资质计算!$E$2,IF(R1442=3,X1442*$S$1*buff的资质计算!$E$3,0)))),0)*0</f>
        <v>0</v>
      </c>
      <c r="T1442" s="153">
        <v>5</v>
      </c>
      <c r="U1442" s="153">
        <f ca="1" t="shared" si="241"/>
        <v>42</v>
      </c>
      <c r="V1442" s="153">
        <f ca="1">ROUND((OFFSET(卡牌辅助配置表!$O$1,MATCH(U1442,卡牌辅助配置表!M:M,0)-1,0)+(N1442-1)*OFFSET(卡牌辅助配置表!$P$1,MATCH(U1442,卡牌辅助配置表!M:M,0)-1,0))*M1442,2)</f>
        <v>197.55</v>
      </c>
      <c r="W1442" s="157">
        <f ca="1">ROUND(IF(R1442=0,0,IF(R1442=1,X1442*$W$1,IF(R1442=2,X1442*$W$1*buff的资质计算!$E$2,IF(R1442=3,X1442*$W$1*buff的资质计算!$E$3,0)))),2)</f>
        <v>18.45</v>
      </c>
      <c r="X1442" s="157">
        <f ca="1" t="shared" si="237"/>
        <v>61.5</v>
      </c>
      <c r="Y1442" s="157">
        <f ca="1" t="shared" si="245"/>
        <v>62.1666666666667</v>
      </c>
      <c r="Z1442" s="304">
        <f ca="1" t="shared" si="238"/>
        <v>31.0833333333333</v>
      </c>
      <c r="AA1442" s="304">
        <f ca="1">OFFSET(卡牌辅助配置表!$AD$1,MATCH(AB1442,卡牌辅助配置表!AB:AB,0)-1,0)</f>
        <v>13340</v>
      </c>
      <c r="AB1442" s="304">
        <f ca="1" t="shared" si="242"/>
        <v>4222</v>
      </c>
      <c r="AC1442" s="153">
        <v>3</v>
      </c>
      <c r="AE1442" s="153">
        <v>2</v>
      </c>
      <c r="AF1442" s="153" t="str">
        <f ca="1" t="shared" si="246"/>
        <v>24020011|</v>
      </c>
      <c r="AJ1442" s="205">
        <f ca="1" t="shared" si="243"/>
        <v>0</v>
      </c>
      <c r="AK1442" s="205">
        <f ca="1">OFFSET([1]item_type!$A$1,MATCH(Q1442,[1]item_type!$G:$G,0)-1,0)</f>
        <v>302402</v>
      </c>
      <c r="AL1442" s="205"/>
      <c r="AM1442" s="205">
        <f ca="1">IF(B1442=B1443,OFFSET(卡牌辅助配置表!$AE$1,MATCH(AB1442,卡牌辅助配置表!AB:AB,0),0),0)</f>
        <v>13050</v>
      </c>
      <c r="AN1442" s="153">
        <f ca="1" t="shared" si="244"/>
        <v>0</v>
      </c>
      <c r="AP1442" s="153" t="str">
        <f ca="1">IF(AC1442=0,0,IF(AC1442=12,0,OFFSET(effect!$N$1,MATCH(K1442,effect!M:M,0)-1,0)))</f>
        <v>kpsx_pt</v>
      </c>
    </row>
    <row r="1443" spans="1:42">
      <c r="A1443" s="153">
        <f ca="1" t="shared" si="240"/>
        <v>2402023</v>
      </c>
      <c r="B1443" s="91" t="s">
        <v>385</v>
      </c>
      <c r="C1443" s="186">
        <v>2</v>
      </c>
      <c r="D1443" s="186">
        <v>1</v>
      </c>
      <c r="E1443" s="165" t="s">
        <v>1058</v>
      </c>
      <c r="F1443" s="165" t="str">
        <f>"上一招为剑法时，增加"&amp;skill!$O$118/100&amp;"%伤害"</f>
        <v>上一招为剑法时，增加50%伤害</v>
      </c>
      <c r="G1443" s="186">
        <f ca="1">OFFSET(卡牌辅助配置表!$C$1,MATCH(AC1443,卡牌辅助配置表!A:A,0)-1,0)</f>
        <v>3</v>
      </c>
      <c r="H1443" s="186">
        <f ca="1">OFFSET(skill!$Q$1,MATCH(B1443,skill!B:B,0)-1,0)</f>
        <v>0.666666666666667</v>
      </c>
      <c r="I1443" s="186"/>
      <c r="J1443" s="186">
        <f ca="1">OFFSET(card_type!$F$1,MATCH(Q1443,card_type!A:A,0)-1,0)</f>
        <v>4</v>
      </c>
      <c r="K1443" s="243">
        <f ca="1">OFFSET(card_type!$G$1,MATCH(Q1443,card_type!A:A,0)-1,0)</f>
        <v>2</v>
      </c>
      <c r="L1443" s="157">
        <v>2</v>
      </c>
      <c r="M1443" s="157">
        <v>2</v>
      </c>
      <c r="N1443" s="153">
        <f t="shared" si="239"/>
        <v>23</v>
      </c>
      <c r="O1443" s="157"/>
      <c r="P1443" s="157"/>
      <c r="Q1443" s="153">
        <f ca="1">OFFSET(card_type!$A$1,MATCH(card!B1443,card_type!B:B,0)-1,0)</f>
        <v>2402</v>
      </c>
      <c r="R1443" s="153">
        <v>1</v>
      </c>
      <c r="S1443" s="157">
        <f ca="1">ROUND(IF(R1443=0,0,IF(R1443=1,X1443*$S$1,IF(R1443=2,X1443*$S$1*buff的资质计算!$E$2,IF(R1443=3,X1443*$S$1*buff的资质计算!$E$3,0)))),0)*0</f>
        <v>0</v>
      </c>
      <c r="T1443" s="153">
        <v>5</v>
      </c>
      <c r="U1443" s="153">
        <f ca="1" t="shared" si="241"/>
        <v>42</v>
      </c>
      <c r="V1443" s="153">
        <f ca="1">ROUND((OFFSET(卡牌辅助配置表!$O$1,MATCH(U1443,卡牌辅助配置表!M:M,0)-1,0)+(N1443-1)*OFFSET(卡牌辅助配置表!$P$1,MATCH(U1443,卡牌辅助配置表!M:M,0)-1,0))*M1443,2)</f>
        <v>204.85</v>
      </c>
      <c r="W1443" s="157">
        <f ca="1">ROUND(IF(R1443=0,0,IF(R1443=1,X1443*$W$1,IF(R1443=2,X1443*$W$1*buff的资质计算!$E$2,IF(R1443=3,X1443*$W$1*buff的资质计算!$E$3,0)))),2)</f>
        <v>18.6</v>
      </c>
      <c r="X1443" s="157">
        <f ca="1" t="shared" si="237"/>
        <v>62</v>
      </c>
      <c r="Y1443" s="157">
        <f ca="1" t="shared" si="245"/>
        <v>62.6666666666667</v>
      </c>
      <c r="Z1443" s="304">
        <f ca="1" t="shared" si="238"/>
        <v>31.3333333333333</v>
      </c>
      <c r="AA1443" s="304">
        <f ca="1">OFFSET(卡牌辅助配置表!$AD$1,MATCH(AB1443,卡牌辅助配置表!AB:AB,0)-1,0)</f>
        <v>14260</v>
      </c>
      <c r="AB1443" s="304">
        <f ca="1" t="shared" si="242"/>
        <v>4223</v>
      </c>
      <c r="AC1443" s="153">
        <v>3</v>
      </c>
      <c r="AE1443" s="153">
        <v>2</v>
      </c>
      <c r="AF1443" s="153" t="str">
        <f ca="1" t="shared" si="246"/>
        <v>24020011|</v>
      </c>
      <c r="AJ1443" s="205">
        <f ca="1" t="shared" si="243"/>
        <v>0</v>
      </c>
      <c r="AK1443" s="205">
        <f ca="1">OFFSET([1]item_type!$A$1,MATCH(Q1443,[1]item_type!$G:$G,0)-1,0)</f>
        <v>302402</v>
      </c>
      <c r="AL1443" s="205"/>
      <c r="AM1443" s="205">
        <f ca="1">IF(B1443=B1444,OFFSET(卡牌辅助配置表!$AE$1,MATCH(AB1443,卡牌辅助配置表!AB:AB,0),0),0)</f>
        <v>14250</v>
      </c>
      <c r="AN1443" s="153">
        <f ca="1" t="shared" si="244"/>
        <v>0</v>
      </c>
      <c r="AP1443" s="153" t="str">
        <f ca="1">IF(AC1443=0,0,IF(AC1443=12,0,OFFSET(effect!$N$1,MATCH(K1443,effect!M:M,0)-1,0)))</f>
        <v>kpsx_pt</v>
      </c>
    </row>
    <row r="1444" spans="1:42">
      <c r="A1444" s="153">
        <f ca="1" t="shared" si="240"/>
        <v>2402024</v>
      </c>
      <c r="B1444" s="91" t="s">
        <v>385</v>
      </c>
      <c r="C1444" s="186">
        <v>2</v>
      </c>
      <c r="D1444" s="186">
        <v>1</v>
      </c>
      <c r="E1444" s="165" t="s">
        <v>1058</v>
      </c>
      <c r="F1444" s="165" t="str">
        <f>"上一招为剑法时，增加"&amp;skill!$O$118/100&amp;"%伤害"</f>
        <v>上一招为剑法时，增加50%伤害</v>
      </c>
      <c r="G1444" s="186">
        <f ca="1">OFFSET(卡牌辅助配置表!$C$1,MATCH(AC1444,卡牌辅助配置表!A:A,0)-1,0)</f>
        <v>3</v>
      </c>
      <c r="H1444" s="186">
        <f ca="1">OFFSET(skill!$Q$1,MATCH(B1444,skill!B:B,0)-1,0)</f>
        <v>0.666666666666667</v>
      </c>
      <c r="I1444" s="186"/>
      <c r="J1444" s="186">
        <f ca="1">OFFSET(card_type!$F$1,MATCH(Q1444,card_type!A:A,0)-1,0)</f>
        <v>4</v>
      </c>
      <c r="K1444" s="243">
        <f ca="1">OFFSET(card_type!$G$1,MATCH(Q1444,card_type!A:A,0)-1,0)</f>
        <v>2</v>
      </c>
      <c r="L1444" s="157">
        <v>2</v>
      </c>
      <c r="M1444" s="157">
        <v>2</v>
      </c>
      <c r="N1444" s="153">
        <f t="shared" si="239"/>
        <v>24</v>
      </c>
      <c r="O1444" s="157"/>
      <c r="P1444" s="157"/>
      <c r="Q1444" s="153">
        <f ca="1">OFFSET(card_type!$A$1,MATCH(card!B1444,card_type!B:B,0)-1,0)</f>
        <v>2402</v>
      </c>
      <c r="R1444" s="153">
        <v>1</v>
      </c>
      <c r="S1444" s="157">
        <f ca="1">ROUND(IF(R1444=0,0,IF(R1444=1,X1444*$S$1,IF(R1444=2,X1444*$S$1*buff的资质计算!$E$2,IF(R1444=3,X1444*$S$1*buff的资质计算!$E$3,0)))),0)*0</f>
        <v>0</v>
      </c>
      <c r="T1444" s="153">
        <v>5</v>
      </c>
      <c r="U1444" s="153">
        <f ca="1" t="shared" si="241"/>
        <v>42</v>
      </c>
      <c r="V1444" s="153">
        <f ca="1">ROUND((OFFSET(卡牌辅助配置表!$O$1,MATCH(U1444,卡牌辅助配置表!M:M,0)-1,0)+(N1444-1)*OFFSET(卡牌辅助配置表!$P$1,MATCH(U1444,卡牌辅助配置表!M:M,0)-1,0))*M1444,2)</f>
        <v>212.15</v>
      </c>
      <c r="W1444" s="157">
        <f ca="1">ROUND(IF(R1444=0,0,IF(R1444=1,X1444*$W$1,IF(R1444=2,X1444*$W$1*buff的资质计算!$E$2,IF(R1444=3,X1444*$W$1*buff的资质计算!$E$3,0)))),2)</f>
        <v>18.75</v>
      </c>
      <c r="X1444" s="157">
        <f ca="1" t="shared" si="237"/>
        <v>62.5</v>
      </c>
      <c r="Y1444" s="157">
        <f ca="1" t="shared" si="245"/>
        <v>63.1666666666667</v>
      </c>
      <c r="Z1444" s="304">
        <f ca="1" t="shared" si="238"/>
        <v>31.5833333333333</v>
      </c>
      <c r="AA1444" s="304">
        <f ca="1">OFFSET(卡牌辅助配置表!$AD$1,MATCH(AB1444,卡牌辅助配置表!AB:AB,0)-1,0)</f>
        <v>15180</v>
      </c>
      <c r="AB1444" s="304">
        <f ca="1" t="shared" si="242"/>
        <v>4224</v>
      </c>
      <c r="AC1444" s="153">
        <v>3</v>
      </c>
      <c r="AE1444" s="153">
        <v>2</v>
      </c>
      <c r="AF1444" s="153" t="str">
        <f ca="1" t="shared" si="246"/>
        <v>24020011|</v>
      </c>
      <c r="AJ1444" s="205">
        <f ca="1" t="shared" si="243"/>
        <v>0</v>
      </c>
      <c r="AK1444" s="205">
        <f ca="1">OFFSET([1]item_type!$A$1,MATCH(Q1444,[1]item_type!$G:$G,0)-1,0)</f>
        <v>302402</v>
      </c>
      <c r="AL1444" s="205"/>
      <c r="AM1444" s="205">
        <f ca="1">IF(B1444=B1445,OFFSET(卡牌辅助配置表!$AE$1,MATCH(AB1444,卡牌辅助配置表!AB:AB,0),0),0)</f>
        <v>15450</v>
      </c>
      <c r="AN1444" s="153">
        <f ca="1" t="shared" si="244"/>
        <v>0</v>
      </c>
      <c r="AP1444" s="153" t="str">
        <f ca="1">IF(AC1444=0,0,IF(AC1444=12,0,OFFSET(effect!$N$1,MATCH(K1444,effect!M:M,0)-1,0)))</f>
        <v>kpsx_pt</v>
      </c>
    </row>
    <row r="1445" spans="1:42">
      <c r="A1445" s="153">
        <f ca="1" t="shared" si="240"/>
        <v>2402025</v>
      </c>
      <c r="B1445" s="91" t="s">
        <v>385</v>
      </c>
      <c r="C1445" s="186">
        <v>2</v>
      </c>
      <c r="D1445" s="186">
        <v>1</v>
      </c>
      <c r="E1445" s="165" t="s">
        <v>1058</v>
      </c>
      <c r="F1445" s="165" t="str">
        <f>"上一招为剑法时，增加"&amp;skill!$O$118/100&amp;"%伤害"</f>
        <v>上一招为剑法时，增加50%伤害</v>
      </c>
      <c r="G1445" s="186">
        <f ca="1">OFFSET(卡牌辅助配置表!$C$1,MATCH(AC1445,卡牌辅助配置表!A:A,0)-1,0)</f>
        <v>3</v>
      </c>
      <c r="H1445" s="186">
        <f ca="1">OFFSET(skill!$Q$1,MATCH(B1445,skill!B:B,0)-1,0)</f>
        <v>0.666666666666667</v>
      </c>
      <c r="I1445" s="186"/>
      <c r="J1445" s="186">
        <f ca="1">OFFSET(card_type!$F$1,MATCH(Q1445,card_type!A:A,0)-1,0)</f>
        <v>4</v>
      </c>
      <c r="K1445" s="243">
        <f ca="1">OFFSET(card_type!$G$1,MATCH(Q1445,card_type!A:A,0)-1,0)</f>
        <v>2</v>
      </c>
      <c r="L1445" s="157">
        <v>2</v>
      </c>
      <c r="M1445" s="157">
        <v>2</v>
      </c>
      <c r="N1445" s="153">
        <f t="shared" si="239"/>
        <v>25</v>
      </c>
      <c r="O1445" s="157"/>
      <c r="P1445" s="157"/>
      <c r="Q1445" s="153">
        <f ca="1">OFFSET(card_type!$A$1,MATCH(card!B1445,card_type!B:B,0)-1,0)</f>
        <v>2402</v>
      </c>
      <c r="R1445" s="153">
        <v>1</v>
      </c>
      <c r="S1445" s="157">
        <f ca="1">ROUND(IF(R1445=0,0,IF(R1445=1,X1445*$S$1,IF(R1445=2,X1445*$S$1*buff的资质计算!$E$2,IF(R1445=3,X1445*$S$1*buff的资质计算!$E$3,0)))),0)*0</f>
        <v>0</v>
      </c>
      <c r="T1445" s="153">
        <v>5</v>
      </c>
      <c r="U1445" s="153">
        <f ca="1" t="shared" si="241"/>
        <v>42</v>
      </c>
      <c r="V1445" s="153">
        <f ca="1">ROUND((OFFSET(卡牌辅助配置表!$O$1,MATCH(U1445,卡牌辅助配置表!M:M,0)-1,0)+(N1445-1)*OFFSET(卡牌辅助配置表!$P$1,MATCH(U1445,卡牌辅助配置表!M:M,0)-1,0))*M1445,2)</f>
        <v>219.45</v>
      </c>
      <c r="W1445" s="157">
        <f ca="1">ROUND(IF(R1445=0,0,IF(R1445=1,X1445*$W$1,IF(R1445=2,X1445*$W$1*buff的资质计算!$E$2,IF(R1445=3,X1445*$W$1*buff的资质计算!$E$3,0)))),2)</f>
        <v>18.9</v>
      </c>
      <c r="X1445" s="157">
        <f ca="1" t="shared" si="237"/>
        <v>63</v>
      </c>
      <c r="Y1445" s="157">
        <f ca="1" t="shared" si="245"/>
        <v>63.6666666666667</v>
      </c>
      <c r="Z1445" s="304">
        <f ca="1" t="shared" si="238"/>
        <v>31.8333333333333</v>
      </c>
      <c r="AA1445" s="304">
        <f ca="1">OFFSET(卡牌辅助配置表!$AD$1,MATCH(AB1445,卡牌辅助配置表!AB:AB,0)-1,0)</f>
        <v>16100</v>
      </c>
      <c r="AB1445" s="304">
        <f ca="1" t="shared" si="242"/>
        <v>4225</v>
      </c>
      <c r="AC1445" s="153">
        <v>3</v>
      </c>
      <c r="AE1445" s="153">
        <v>2</v>
      </c>
      <c r="AF1445" s="153" t="str">
        <f ca="1" t="shared" si="246"/>
        <v>24020011|</v>
      </c>
      <c r="AJ1445" s="205">
        <f ca="1" t="shared" si="243"/>
        <v>0</v>
      </c>
      <c r="AK1445" s="205">
        <f ca="1">OFFSET([1]item_type!$A$1,MATCH(Q1445,[1]item_type!$G:$G,0)-1,0)</f>
        <v>302402</v>
      </c>
      <c r="AL1445" s="205"/>
      <c r="AM1445" s="205">
        <f ca="1">IF(B1445=B1446,OFFSET(卡牌辅助配置表!$AE$1,MATCH(AB1445,卡牌辅助配置表!AB:AB,0),0),0)</f>
        <v>16650</v>
      </c>
      <c r="AN1445" s="153">
        <f ca="1" t="shared" si="244"/>
        <v>0</v>
      </c>
      <c r="AP1445" s="153" t="str">
        <f ca="1">IF(AC1445=0,0,IF(AC1445=12,0,OFFSET(effect!$N$1,MATCH(K1445,effect!M:M,0)-1,0)))</f>
        <v>kpsx_pt</v>
      </c>
    </row>
    <row r="1446" spans="1:42">
      <c r="A1446" s="153">
        <f ca="1" t="shared" si="240"/>
        <v>2402026</v>
      </c>
      <c r="B1446" s="91" t="s">
        <v>385</v>
      </c>
      <c r="C1446" s="186">
        <v>2</v>
      </c>
      <c r="D1446" s="186">
        <v>1</v>
      </c>
      <c r="E1446" s="165" t="s">
        <v>1058</v>
      </c>
      <c r="F1446" s="165" t="str">
        <f>"上一招为剑法时，增加"&amp;skill!$O$118/100&amp;"%伤害"</f>
        <v>上一招为剑法时，增加50%伤害</v>
      </c>
      <c r="G1446" s="186">
        <f ca="1">OFFSET(卡牌辅助配置表!$C$1,MATCH(AC1446,卡牌辅助配置表!A:A,0)-1,0)</f>
        <v>3</v>
      </c>
      <c r="H1446" s="186">
        <f ca="1">OFFSET(skill!$Q$1,MATCH(B1446,skill!B:B,0)-1,0)</f>
        <v>0.666666666666667</v>
      </c>
      <c r="I1446" s="186"/>
      <c r="J1446" s="186">
        <f ca="1">OFFSET(card_type!$F$1,MATCH(Q1446,card_type!A:A,0)-1,0)</f>
        <v>4</v>
      </c>
      <c r="K1446" s="243">
        <f ca="1">OFFSET(card_type!$G$1,MATCH(Q1446,card_type!A:A,0)-1,0)</f>
        <v>2</v>
      </c>
      <c r="L1446" s="157">
        <v>2</v>
      </c>
      <c r="M1446" s="157">
        <v>2</v>
      </c>
      <c r="N1446" s="153">
        <f t="shared" si="239"/>
        <v>26</v>
      </c>
      <c r="O1446" s="157"/>
      <c r="P1446" s="157"/>
      <c r="Q1446" s="153">
        <f ca="1">OFFSET(card_type!$A$1,MATCH(card!B1446,card_type!B:B,0)-1,0)</f>
        <v>2402</v>
      </c>
      <c r="R1446" s="153">
        <v>1</v>
      </c>
      <c r="S1446" s="157">
        <f ca="1">ROUND(IF(R1446=0,0,IF(R1446=1,X1446*$S$1,IF(R1446=2,X1446*$S$1*buff的资质计算!$E$2,IF(R1446=3,X1446*$S$1*buff的资质计算!$E$3,0)))),0)*0</f>
        <v>0</v>
      </c>
      <c r="T1446" s="153">
        <v>5</v>
      </c>
      <c r="U1446" s="153">
        <f ca="1" t="shared" si="241"/>
        <v>42</v>
      </c>
      <c r="V1446" s="153">
        <f ca="1">ROUND((OFFSET(卡牌辅助配置表!$O$1,MATCH(U1446,卡牌辅助配置表!M:M,0)-1,0)+(N1446-1)*OFFSET(卡牌辅助配置表!$P$1,MATCH(U1446,卡牌辅助配置表!M:M,0)-1,0))*M1446,2)</f>
        <v>226.75</v>
      </c>
      <c r="W1446" s="157">
        <f ca="1">ROUND(IF(R1446=0,0,IF(R1446=1,X1446*$W$1,IF(R1446=2,X1446*$W$1*buff的资质计算!$E$2,IF(R1446=3,X1446*$W$1*buff的资质计算!$E$3,0)))),2)</f>
        <v>19.05</v>
      </c>
      <c r="X1446" s="157">
        <f ca="1" t="shared" si="237"/>
        <v>63.5</v>
      </c>
      <c r="Y1446" s="157">
        <f ca="1" t="shared" si="245"/>
        <v>64.1666666666667</v>
      </c>
      <c r="Z1446" s="304">
        <f ca="1" t="shared" si="238"/>
        <v>32.0833333333333</v>
      </c>
      <c r="AA1446" s="304">
        <f ca="1">OFFSET(卡牌辅助配置表!$AD$1,MATCH(AB1446,卡牌辅助配置表!AB:AB,0)-1,0)</f>
        <v>17020</v>
      </c>
      <c r="AB1446" s="304">
        <f ca="1" t="shared" si="242"/>
        <v>4226</v>
      </c>
      <c r="AC1446" s="153">
        <v>3</v>
      </c>
      <c r="AE1446" s="153">
        <v>2</v>
      </c>
      <c r="AF1446" s="153" t="str">
        <f ca="1" t="shared" si="246"/>
        <v>24020011|</v>
      </c>
      <c r="AJ1446" s="205">
        <f ca="1" t="shared" si="243"/>
        <v>0</v>
      </c>
      <c r="AK1446" s="205">
        <f ca="1">OFFSET([1]item_type!$A$1,MATCH(Q1446,[1]item_type!$G:$G,0)-1,0)</f>
        <v>302402</v>
      </c>
      <c r="AL1446" s="205"/>
      <c r="AM1446" s="205">
        <f ca="1">IF(B1446=B1447,OFFSET(卡牌辅助配置表!$AE$1,MATCH(AB1446,卡牌辅助配置表!AB:AB,0),0),0)</f>
        <v>17850</v>
      </c>
      <c r="AN1446" s="153">
        <f ca="1" t="shared" si="244"/>
        <v>0</v>
      </c>
      <c r="AP1446" s="153" t="str">
        <f ca="1">IF(AC1446=0,0,IF(AC1446=12,0,OFFSET(effect!$N$1,MATCH(K1446,effect!M:M,0)-1,0)))</f>
        <v>kpsx_pt</v>
      </c>
    </row>
    <row r="1447" spans="1:42">
      <c r="A1447" s="153">
        <f ca="1" t="shared" si="240"/>
        <v>2402027</v>
      </c>
      <c r="B1447" s="91" t="s">
        <v>385</v>
      </c>
      <c r="C1447" s="186">
        <v>2</v>
      </c>
      <c r="D1447" s="186">
        <v>1</v>
      </c>
      <c r="E1447" s="165" t="s">
        <v>1058</v>
      </c>
      <c r="F1447" s="165" t="str">
        <f>"上一招为剑法时，增加"&amp;skill!$O$118/100&amp;"%伤害"</f>
        <v>上一招为剑法时，增加50%伤害</v>
      </c>
      <c r="G1447" s="186">
        <f ca="1">OFFSET(卡牌辅助配置表!$C$1,MATCH(AC1447,卡牌辅助配置表!A:A,0)-1,0)</f>
        <v>3</v>
      </c>
      <c r="H1447" s="186">
        <f ca="1">OFFSET(skill!$Q$1,MATCH(B1447,skill!B:B,0)-1,0)</f>
        <v>0.666666666666667</v>
      </c>
      <c r="I1447" s="186"/>
      <c r="J1447" s="186">
        <f ca="1">OFFSET(card_type!$F$1,MATCH(Q1447,card_type!A:A,0)-1,0)</f>
        <v>4</v>
      </c>
      <c r="K1447" s="243">
        <f ca="1">OFFSET(card_type!$G$1,MATCH(Q1447,card_type!A:A,0)-1,0)</f>
        <v>2</v>
      </c>
      <c r="L1447" s="157">
        <v>2</v>
      </c>
      <c r="M1447" s="157">
        <v>2</v>
      </c>
      <c r="N1447" s="153">
        <f t="shared" si="239"/>
        <v>27</v>
      </c>
      <c r="O1447" s="157"/>
      <c r="P1447" s="157"/>
      <c r="Q1447" s="153">
        <f ca="1">OFFSET(card_type!$A$1,MATCH(card!B1447,card_type!B:B,0)-1,0)</f>
        <v>2402</v>
      </c>
      <c r="R1447" s="153">
        <v>1</v>
      </c>
      <c r="S1447" s="157">
        <f ca="1">ROUND(IF(R1447=0,0,IF(R1447=1,X1447*$S$1,IF(R1447=2,X1447*$S$1*buff的资质计算!$E$2,IF(R1447=3,X1447*$S$1*buff的资质计算!$E$3,0)))),0)*0</f>
        <v>0</v>
      </c>
      <c r="T1447" s="153">
        <v>5</v>
      </c>
      <c r="U1447" s="153">
        <f ca="1" t="shared" si="241"/>
        <v>42</v>
      </c>
      <c r="V1447" s="153">
        <f ca="1">ROUND((OFFSET(卡牌辅助配置表!$O$1,MATCH(U1447,卡牌辅助配置表!M:M,0)-1,0)+(N1447-1)*OFFSET(卡牌辅助配置表!$P$1,MATCH(U1447,卡牌辅助配置表!M:M,0)-1,0))*M1447,2)</f>
        <v>234.05</v>
      </c>
      <c r="W1447" s="157">
        <f ca="1">ROUND(IF(R1447=0,0,IF(R1447=1,X1447*$W$1,IF(R1447=2,X1447*$W$1*buff的资质计算!$E$2,IF(R1447=3,X1447*$W$1*buff的资质计算!$E$3,0)))),2)</f>
        <v>19.2</v>
      </c>
      <c r="X1447" s="157">
        <f ca="1" t="shared" si="237"/>
        <v>64</v>
      </c>
      <c r="Y1447" s="157">
        <f ca="1" t="shared" si="245"/>
        <v>64.6666666666667</v>
      </c>
      <c r="Z1447" s="304">
        <f ca="1" t="shared" si="238"/>
        <v>32.3333333333333</v>
      </c>
      <c r="AA1447" s="304">
        <f ca="1">OFFSET(卡牌辅助配置表!$AD$1,MATCH(AB1447,卡牌辅助配置表!AB:AB,0)-1,0)</f>
        <v>17940</v>
      </c>
      <c r="AB1447" s="304">
        <f ca="1" t="shared" si="242"/>
        <v>4227</v>
      </c>
      <c r="AC1447" s="153">
        <v>3</v>
      </c>
      <c r="AE1447" s="153">
        <v>2</v>
      </c>
      <c r="AF1447" s="153" t="str">
        <f ca="1" t="shared" si="246"/>
        <v>24020011|</v>
      </c>
      <c r="AJ1447" s="205">
        <f ca="1" t="shared" si="243"/>
        <v>0</v>
      </c>
      <c r="AK1447" s="205">
        <f ca="1">OFFSET([1]item_type!$A$1,MATCH(Q1447,[1]item_type!$G:$G,0)-1,0)</f>
        <v>302402</v>
      </c>
      <c r="AL1447" s="205"/>
      <c r="AM1447" s="205">
        <f ca="1">IF(B1447=B1448,OFFSET(卡牌辅助配置表!$AE$1,MATCH(AB1447,卡牌辅助配置表!AB:AB,0),0),0)</f>
        <v>19050</v>
      </c>
      <c r="AN1447" s="153">
        <f ca="1" t="shared" si="244"/>
        <v>0</v>
      </c>
      <c r="AP1447" s="153" t="str">
        <f ca="1">IF(AC1447=0,0,IF(AC1447=12,0,OFFSET(effect!$N$1,MATCH(K1447,effect!M:M,0)-1,0)))</f>
        <v>kpsx_pt</v>
      </c>
    </row>
    <row r="1448" spans="1:42">
      <c r="A1448" s="153">
        <f ca="1" t="shared" si="240"/>
        <v>2402028</v>
      </c>
      <c r="B1448" s="91" t="s">
        <v>385</v>
      </c>
      <c r="C1448" s="186">
        <v>2</v>
      </c>
      <c r="D1448" s="186">
        <v>1</v>
      </c>
      <c r="E1448" s="165" t="s">
        <v>1058</v>
      </c>
      <c r="F1448" s="165" t="str">
        <f>"上一招为剑法时，增加"&amp;skill!$O$118/100&amp;"%伤害"</f>
        <v>上一招为剑法时，增加50%伤害</v>
      </c>
      <c r="G1448" s="186">
        <f ca="1">OFFSET(卡牌辅助配置表!$C$1,MATCH(AC1448,卡牌辅助配置表!A:A,0)-1,0)</f>
        <v>3</v>
      </c>
      <c r="H1448" s="186">
        <f ca="1">OFFSET(skill!$Q$1,MATCH(B1448,skill!B:B,0)-1,0)</f>
        <v>0.666666666666667</v>
      </c>
      <c r="I1448" s="186"/>
      <c r="J1448" s="186">
        <f ca="1">OFFSET(card_type!$F$1,MATCH(Q1448,card_type!A:A,0)-1,0)</f>
        <v>4</v>
      </c>
      <c r="K1448" s="243">
        <f ca="1">OFFSET(card_type!$G$1,MATCH(Q1448,card_type!A:A,0)-1,0)</f>
        <v>2</v>
      </c>
      <c r="L1448" s="157">
        <v>2</v>
      </c>
      <c r="M1448" s="157">
        <v>2</v>
      </c>
      <c r="N1448" s="153">
        <f t="shared" si="239"/>
        <v>28</v>
      </c>
      <c r="O1448" s="157"/>
      <c r="P1448" s="157"/>
      <c r="Q1448" s="153">
        <f ca="1">OFFSET(card_type!$A$1,MATCH(card!B1448,card_type!B:B,0)-1,0)</f>
        <v>2402</v>
      </c>
      <c r="R1448" s="153">
        <v>1</v>
      </c>
      <c r="S1448" s="157">
        <f ca="1">ROUND(IF(R1448=0,0,IF(R1448=1,X1448*$S$1,IF(R1448=2,X1448*$S$1*buff的资质计算!$E$2,IF(R1448=3,X1448*$S$1*buff的资质计算!$E$3,0)))),0)*0</f>
        <v>0</v>
      </c>
      <c r="T1448" s="153">
        <v>5</v>
      </c>
      <c r="U1448" s="153">
        <f ca="1" t="shared" si="241"/>
        <v>42</v>
      </c>
      <c r="V1448" s="153">
        <f ca="1">ROUND((OFFSET(卡牌辅助配置表!$O$1,MATCH(U1448,卡牌辅助配置表!M:M,0)-1,0)+(N1448-1)*OFFSET(卡牌辅助配置表!$P$1,MATCH(U1448,卡牌辅助配置表!M:M,0)-1,0))*M1448,2)</f>
        <v>241.35</v>
      </c>
      <c r="W1448" s="157">
        <f ca="1">ROUND(IF(R1448=0,0,IF(R1448=1,X1448*$W$1,IF(R1448=2,X1448*$W$1*buff的资质计算!$E$2,IF(R1448=3,X1448*$W$1*buff的资质计算!$E$3,0)))),2)</f>
        <v>19.35</v>
      </c>
      <c r="X1448" s="157">
        <f ca="1" t="shared" si="237"/>
        <v>64.5</v>
      </c>
      <c r="Y1448" s="157">
        <f ca="1" t="shared" si="245"/>
        <v>65.1666666666667</v>
      </c>
      <c r="Z1448" s="304">
        <f ca="1" t="shared" si="238"/>
        <v>32.5833333333333</v>
      </c>
      <c r="AA1448" s="304">
        <f ca="1">OFFSET(卡牌辅助配置表!$AD$1,MATCH(AB1448,卡牌辅助配置表!AB:AB,0)-1,0)</f>
        <v>18860</v>
      </c>
      <c r="AB1448" s="304">
        <f ca="1" t="shared" si="242"/>
        <v>4228</v>
      </c>
      <c r="AC1448" s="153">
        <v>3</v>
      </c>
      <c r="AE1448" s="153">
        <v>2</v>
      </c>
      <c r="AF1448" s="153" t="str">
        <f ca="1" t="shared" si="246"/>
        <v>24020011|</v>
      </c>
      <c r="AJ1448" s="205">
        <f ca="1" t="shared" si="243"/>
        <v>0</v>
      </c>
      <c r="AK1448" s="205">
        <f ca="1">OFFSET([1]item_type!$A$1,MATCH(Q1448,[1]item_type!$G:$G,0)-1,0)</f>
        <v>302402</v>
      </c>
      <c r="AL1448" s="205"/>
      <c r="AM1448" s="205">
        <f ca="1">IF(B1448=B1449,OFFSET(卡牌辅助配置表!$AE$1,MATCH(AB1448,卡牌辅助配置表!AB:AB,0),0),0)</f>
        <v>20250</v>
      </c>
      <c r="AN1448" s="153">
        <f ca="1" t="shared" si="244"/>
        <v>0</v>
      </c>
      <c r="AP1448" s="153" t="str">
        <f ca="1">IF(AC1448=0,0,IF(AC1448=12,0,OFFSET(effect!$N$1,MATCH(K1448,effect!M:M,0)-1,0)))</f>
        <v>kpsx_pt</v>
      </c>
    </row>
    <row r="1449" spans="1:42">
      <c r="A1449" s="153">
        <f ca="1" t="shared" si="240"/>
        <v>2402029</v>
      </c>
      <c r="B1449" s="91" t="s">
        <v>385</v>
      </c>
      <c r="C1449" s="186">
        <v>2</v>
      </c>
      <c r="D1449" s="186">
        <v>1</v>
      </c>
      <c r="E1449" s="165" t="s">
        <v>1058</v>
      </c>
      <c r="F1449" s="165" t="str">
        <f>"上一招为剑法时，增加"&amp;skill!$O$118/100&amp;"%伤害"</f>
        <v>上一招为剑法时，增加50%伤害</v>
      </c>
      <c r="G1449" s="186">
        <f ca="1">OFFSET(卡牌辅助配置表!$C$1,MATCH(AC1449,卡牌辅助配置表!A:A,0)-1,0)</f>
        <v>3</v>
      </c>
      <c r="H1449" s="186">
        <f ca="1">OFFSET(skill!$Q$1,MATCH(B1449,skill!B:B,0)-1,0)</f>
        <v>0.666666666666667</v>
      </c>
      <c r="I1449" s="186"/>
      <c r="J1449" s="186">
        <f ca="1">OFFSET(card_type!$F$1,MATCH(Q1449,card_type!A:A,0)-1,0)</f>
        <v>4</v>
      </c>
      <c r="K1449" s="243">
        <f ca="1">OFFSET(card_type!$G$1,MATCH(Q1449,card_type!A:A,0)-1,0)</f>
        <v>2</v>
      </c>
      <c r="L1449" s="157">
        <v>2</v>
      </c>
      <c r="M1449" s="157">
        <v>2</v>
      </c>
      <c r="N1449" s="153">
        <f t="shared" si="239"/>
        <v>29</v>
      </c>
      <c r="O1449" s="157"/>
      <c r="P1449" s="157"/>
      <c r="Q1449" s="153">
        <f ca="1">OFFSET(card_type!$A$1,MATCH(card!B1449,card_type!B:B,0)-1,0)</f>
        <v>2402</v>
      </c>
      <c r="R1449" s="153">
        <v>1</v>
      </c>
      <c r="S1449" s="157">
        <f ca="1">ROUND(IF(R1449=0,0,IF(R1449=1,X1449*$S$1,IF(R1449=2,X1449*$S$1*buff的资质计算!$E$2,IF(R1449=3,X1449*$S$1*buff的资质计算!$E$3,0)))),0)*0</f>
        <v>0</v>
      </c>
      <c r="T1449" s="153">
        <v>5</v>
      </c>
      <c r="U1449" s="153">
        <f ca="1" t="shared" si="241"/>
        <v>42</v>
      </c>
      <c r="V1449" s="153">
        <f ca="1">ROUND((OFFSET(卡牌辅助配置表!$O$1,MATCH(U1449,卡牌辅助配置表!M:M,0)-1,0)+(N1449-1)*OFFSET(卡牌辅助配置表!$P$1,MATCH(U1449,卡牌辅助配置表!M:M,0)-1,0))*M1449,2)</f>
        <v>248.65</v>
      </c>
      <c r="W1449" s="157">
        <f ca="1">ROUND(IF(R1449=0,0,IF(R1449=1,X1449*$W$1,IF(R1449=2,X1449*$W$1*buff的资质计算!$E$2,IF(R1449=3,X1449*$W$1*buff的资质计算!$E$3,0)))),2)</f>
        <v>19.5</v>
      </c>
      <c r="X1449" s="157">
        <f ca="1" t="shared" si="237"/>
        <v>65</v>
      </c>
      <c r="Y1449" s="157">
        <f ca="1" t="shared" si="245"/>
        <v>65.6666666666667</v>
      </c>
      <c r="Z1449" s="304">
        <f ca="1" t="shared" si="238"/>
        <v>32.8333333333333</v>
      </c>
      <c r="AA1449" s="304">
        <f ca="1">OFFSET(卡牌辅助配置表!$AD$1,MATCH(AB1449,卡牌辅助配置表!AB:AB,0)-1,0)</f>
        <v>19780</v>
      </c>
      <c r="AB1449" s="304">
        <f ca="1" t="shared" si="242"/>
        <v>4229</v>
      </c>
      <c r="AC1449" s="153">
        <v>3</v>
      </c>
      <c r="AE1449" s="153">
        <v>2</v>
      </c>
      <c r="AF1449" s="153" t="str">
        <f ca="1" t="shared" si="246"/>
        <v>24020011|</v>
      </c>
      <c r="AJ1449" s="205">
        <f ca="1" t="shared" si="243"/>
        <v>0</v>
      </c>
      <c r="AK1449" s="205">
        <f ca="1">OFFSET([1]item_type!$A$1,MATCH(Q1449,[1]item_type!$G:$G,0)-1,0)</f>
        <v>302402</v>
      </c>
      <c r="AL1449" s="205">
        <v>30</v>
      </c>
      <c r="AM1449" s="205">
        <f ca="1">IF(B1449=B1450,OFFSET(卡牌辅助配置表!$AE$1,MATCH(AB1449,卡牌辅助配置表!AB:AB,0),0),0)</f>
        <v>21450</v>
      </c>
      <c r="AN1449" s="153">
        <f ca="1" t="shared" si="244"/>
        <v>0</v>
      </c>
      <c r="AP1449" s="153" t="str">
        <f ca="1">IF(AC1449=0,0,IF(AC1449=12,0,OFFSET(effect!$N$1,MATCH(K1449,effect!M:M,0)-1,0)))</f>
        <v>kpsx_pt</v>
      </c>
    </row>
    <row r="1450" spans="1:42">
      <c r="A1450" s="153">
        <f ca="1" t="shared" si="240"/>
        <v>2402030</v>
      </c>
      <c r="B1450" s="91" t="s">
        <v>385</v>
      </c>
      <c r="C1450" s="186">
        <v>2</v>
      </c>
      <c r="D1450" s="186">
        <v>1</v>
      </c>
      <c r="E1450" s="165" t="s">
        <v>1058</v>
      </c>
      <c r="F1450" s="165" t="str">
        <f>"上一招为剑法时，增加"&amp;skill!$O$118/100&amp;"%伤害"</f>
        <v>上一招为剑法时，增加50%伤害</v>
      </c>
      <c r="G1450" s="186">
        <f ca="1">OFFSET(卡牌辅助配置表!$C$1,MATCH(AC1450,卡牌辅助配置表!A:A,0)-1,0)</f>
        <v>3</v>
      </c>
      <c r="H1450" s="186">
        <f ca="1">OFFSET(skill!$Q$1,MATCH(B1450,skill!B:B,0)-1,0)</f>
        <v>0.666666666666667</v>
      </c>
      <c r="I1450" s="186"/>
      <c r="J1450" s="186">
        <f ca="1">OFFSET(card_type!$F$1,MATCH(Q1450,card_type!A:A,0)-1,0)</f>
        <v>4</v>
      </c>
      <c r="K1450" s="243">
        <f ca="1">OFFSET(card_type!$G$1,MATCH(Q1450,card_type!A:A,0)-1,0)</f>
        <v>2</v>
      </c>
      <c r="L1450" s="157">
        <v>2</v>
      </c>
      <c r="M1450" s="157">
        <v>2</v>
      </c>
      <c r="N1450" s="153">
        <f t="shared" si="239"/>
        <v>30</v>
      </c>
      <c r="O1450" s="157"/>
      <c r="P1450" s="157"/>
      <c r="Q1450" s="153">
        <f ca="1">OFFSET(card_type!$A$1,MATCH(card!B1450,card_type!B:B,0)-1,0)</f>
        <v>2402</v>
      </c>
      <c r="R1450" s="153">
        <v>1</v>
      </c>
      <c r="S1450" s="157">
        <f ca="1">ROUND(IF(R1450=0,0,IF(R1450=1,X1450*$S$1,IF(R1450=2,X1450*$S$1*buff的资质计算!$E$2,IF(R1450=3,X1450*$S$1*buff的资质计算!$E$3,0)))),0)*0</f>
        <v>0</v>
      </c>
      <c r="T1450" s="153">
        <v>5</v>
      </c>
      <c r="U1450" s="153">
        <f ca="1" t="shared" si="241"/>
        <v>42</v>
      </c>
      <c r="V1450" s="153">
        <f ca="1">ROUND((OFFSET(卡牌辅助配置表!$O$1,MATCH(U1450,卡牌辅助配置表!M:M,0)-1,0)+(N1450-1)*OFFSET(卡牌辅助配置表!$P$1,MATCH(U1450,卡牌辅助配置表!M:M,0)-1,0))*M1450,2)</f>
        <v>255.95</v>
      </c>
      <c r="W1450" s="157">
        <f ca="1">ROUND(IF(R1450=0,0,IF(R1450=1,X1450*$W$1,IF(R1450=2,X1450*$W$1*buff的资质计算!$E$2,IF(R1450=3,X1450*$W$1*buff的资质计算!$E$3,0)))),2)</f>
        <v>19.65</v>
      </c>
      <c r="X1450" s="157">
        <f ca="1" t="shared" si="237"/>
        <v>65.5</v>
      </c>
      <c r="Y1450" s="157">
        <f ca="1" t="shared" si="245"/>
        <v>66.1666666666667</v>
      </c>
      <c r="Z1450" s="304">
        <f ca="1" t="shared" si="238"/>
        <v>33.0833333333333</v>
      </c>
      <c r="AA1450" s="304">
        <f ca="1">OFFSET(卡牌辅助配置表!$AD$1,MATCH(AB1450,卡牌辅助配置表!AB:AB,0)-1,0)</f>
        <v>20700</v>
      </c>
      <c r="AB1450" s="304">
        <f ca="1" t="shared" si="242"/>
        <v>4230</v>
      </c>
      <c r="AC1450" s="153">
        <v>3</v>
      </c>
      <c r="AE1450" s="153">
        <v>2</v>
      </c>
      <c r="AF1450" s="153" t="str">
        <f ca="1" t="shared" si="246"/>
        <v>24020011|</v>
      </c>
      <c r="AJ1450" s="205">
        <f ca="1" t="shared" si="243"/>
        <v>0</v>
      </c>
      <c r="AK1450" s="205">
        <f ca="1">OFFSET([1]item_type!$A$1,MATCH(Q1450,[1]item_type!$G:$G,0)-1,0)</f>
        <v>302402</v>
      </c>
      <c r="AL1450" s="205"/>
      <c r="AM1450" s="205">
        <f ca="1">IF(B1450=B1451,OFFSET(卡牌辅助配置表!$AE$1,MATCH(AB1450,卡牌辅助配置表!AB:AB,0),0),0)</f>
        <v>0</v>
      </c>
      <c r="AN1450" s="153">
        <f ca="1" t="shared" si="244"/>
        <v>0</v>
      </c>
      <c r="AP1450" s="153" t="str">
        <f ca="1">IF(AC1450=0,0,IF(AC1450=12,0,OFFSET(effect!$N$1,MATCH(K1450,effect!M:M,0)-1,0)))</f>
        <v>kpsx_pt</v>
      </c>
    </row>
    <row r="1451" spans="1:42">
      <c r="A1451" s="153">
        <f ca="1" t="shared" si="240"/>
        <v>2403001</v>
      </c>
      <c r="B1451" s="300" t="s">
        <v>808</v>
      </c>
      <c r="C1451" s="186">
        <v>2</v>
      </c>
      <c r="D1451" s="186">
        <v>1</v>
      </c>
      <c r="E1451" s="165" t="s">
        <v>1058</v>
      </c>
      <c r="F1451" s="165" t="str">
        <f>"上一招为剑法时，使敌人下一回合费用-"&amp;skill!$O$119&amp;""</f>
        <v>上一招为剑法时，使敌人下一回合费用-1</v>
      </c>
      <c r="G1451" s="186">
        <f ca="1">OFFSET(卡牌辅助配置表!$C$1,MATCH(AC1451,卡牌辅助配置表!A:A,0)-1,0)</f>
        <v>3</v>
      </c>
      <c r="H1451" s="186">
        <f ca="1">OFFSET(skill!$Q$1,MATCH(B1451,skill!B:B,0)-1,0)</f>
        <v>0</v>
      </c>
      <c r="I1451" s="186"/>
      <c r="J1451" s="186">
        <f ca="1">OFFSET(card_type!$F$1,MATCH(Q1451,card_type!A:A,0)-1,0)</f>
        <v>4</v>
      </c>
      <c r="K1451" s="243">
        <f ca="1">OFFSET(card_type!$G$1,MATCH(Q1451,card_type!A:A,0)-1,0)</f>
        <v>2</v>
      </c>
      <c r="L1451" s="157">
        <v>2</v>
      </c>
      <c r="M1451" s="157">
        <v>2</v>
      </c>
      <c r="N1451" s="153">
        <f t="shared" si="239"/>
        <v>1</v>
      </c>
      <c r="O1451" s="157"/>
      <c r="P1451" s="157"/>
      <c r="Q1451" s="153">
        <f ca="1">OFFSET(card_type!$A$1,MATCH(card!B1451,card_type!B:B,0)-1,0)</f>
        <v>2403</v>
      </c>
      <c r="R1451" s="153">
        <v>1</v>
      </c>
      <c r="S1451" s="157"/>
      <c r="T1451" s="153">
        <v>2</v>
      </c>
      <c r="U1451" s="153">
        <f ca="1" t="shared" si="241"/>
        <v>42</v>
      </c>
      <c r="V1451" s="153">
        <f ca="1">ROUND((OFFSET(卡牌辅助配置表!$O$1,MATCH(U1451,卡牌辅助配置表!M:M,0)-1,0)+(N1451-1)*OFFSET(卡牌辅助配置表!$P$1,MATCH(U1451,卡牌辅助配置表!M:M,0)-1,0))*M1451,2)</f>
        <v>44.25</v>
      </c>
      <c r="W1451" s="157">
        <f ca="1">ROUND(IF(R1451=0,0,IF(R1451=1,X1451*$W$1,IF(R1451=2,X1451*$W$1*buff的资质计算!$E$2,IF(R1451=3,X1451*$W$1*buff的资质计算!$E$3,0)))),2)</f>
        <v>15.3</v>
      </c>
      <c r="X1451" s="157">
        <f ca="1" t="shared" si="237"/>
        <v>51</v>
      </c>
      <c r="Y1451" s="157">
        <f ca="1" t="shared" si="245"/>
        <v>51</v>
      </c>
      <c r="Z1451" s="304">
        <f ca="1" t="shared" si="238"/>
        <v>25.5</v>
      </c>
      <c r="AA1451" s="304">
        <f ca="1">OFFSET(卡牌辅助配置表!$AD$1,MATCH(AB1451,卡牌辅助配置表!AB:AB,0)-1,0)</f>
        <v>460</v>
      </c>
      <c r="AB1451" s="304">
        <f ca="1" t="shared" si="242"/>
        <v>4201</v>
      </c>
      <c r="AC1451" s="153">
        <v>3</v>
      </c>
      <c r="AE1451" s="153">
        <v>2</v>
      </c>
      <c r="AF1451" s="153" t="str">
        <f ca="1" t="shared" si="246"/>
        <v>24030011|</v>
      </c>
      <c r="AJ1451" s="205">
        <f ca="1" t="shared" si="243"/>
        <v>0</v>
      </c>
      <c r="AK1451" s="205">
        <f ca="1">OFFSET([1]item_type!$A$1,MATCH(Q1451,[1]item_type!$G:$G,0)-1,0)</f>
        <v>302403</v>
      </c>
      <c r="AL1451" s="205"/>
      <c r="AM1451" s="205">
        <f ca="1">IF(B1451=B1452,OFFSET(卡牌辅助配置表!$AE$1,MATCH(AB1451,卡牌辅助配置表!AB:AB,0),0),0)</f>
        <v>1050</v>
      </c>
      <c r="AN1451" s="153">
        <f ca="1" t="shared" si="244"/>
        <v>0</v>
      </c>
      <c r="AP1451" s="153" t="str">
        <f ca="1">IF(AC1451=0,0,IF(AC1451=12,0,OFFSET(effect!$N$1,MATCH(K1451,effect!M:M,0)-1,0)))</f>
        <v>kpsx_pt</v>
      </c>
    </row>
    <row r="1452" spans="1:42">
      <c r="A1452" s="153">
        <f ca="1" t="shared" si="240"/>
        <v>2403002</v>
      </c>
      <c r="B1452" s="300" t="s">
        <v>808</v>
      </c>
      <c r="C1452" s="186">
        <v>2</v>
      </c>
      <c r="D1452" s="186">
        <v>1</v>
      </c>
      <c r="E1452" s="165" t="s">
        <v>1058</v>
      </c>
      <c r="F1452" s="165" t="str">
        <f>"上一招为剑法时，使敌人下一回合费用-"&amp;skill!$O$119&amp;""</f>
        <v>上一招为剑法时，使敌人下一回合费用-1</v>
      </c>
      <c r="G1452" s="186">
        <f ca="1">OFFSET(卡牌辅助配置表!$C$1,MATCH(AC1452,卡牌辅助配置表!A:A,0)-1,0)</f>
        <v>3</v>
      </c>
      <c r="H1452" s="186">
        <f ca="1">OFFSET(skill!$Q$1,MATCH(B1452,skill!B:B,0)-1,0)</f>
        <v>0</v>
      </c>
      <c r="I1452" s="186"/>
      <c r="J1452" s="186">
        <f ca="1">OFFSET(card_type!$F$1,MATCH(Q1452,card_type!A:A,0)-1,0)</f>
        <v>4</v>
      </c>
      <c r="K1452" s="243">
        <f ca="1">OFFSET(card_type!$G$1,MATCH(Q1452,card_type!A:A,0)-1,0)</f>
        <v>2</v>
      </c>
      <c r="L1452" s="157">
        <v>2</v>
      </c>
      <c r="M1452" s="157">
        <v>2</v>
      </c>
      <c r="N1452" s="153">
        <f t="shared" si="239"/>
        <v>2</v>
      </c>
      <c r="O1452" s="157"/>
      <c r="P1452" s="157"/>
      <c r="Q1452" s="153">
        <f ca="1">OFFSET(card_type!$A$1,MATCH(card!B1452,card_type!B:B,0)-1,0)</f>
        <v>2403</v>
      </c>
      <c r="R1452" s="153">
        <v>1</v>
      </c>
      <c r="S1452" s="157"/>
      <c r="T1452" s="153">
        <v>2</v>
      </c>
      <c r="U1452" s="153">
        <f ca="1" t="shared" si="241"/>
        <v>42</v>
      </c>
      <c r="V1452" s="153">
        <f ca="1">ROUND((OFFSET(卡牌辅助配置表!$O$1,MATCH(U1452,卡牌辅助配置表!M:M,0)-1,0)+(N1452-1)*OFFSET(卡牌辅助配置表!$P$1,MATCH(U1452,卡牌辅助配置表!M:M,0)-1,0))*M1452,2)</f>
        <v>51.55</v>
      </c>
      <c r="W1452" s="157">
        <f ca="1">ROUND(IF(R1452=0,0,IF(R1452=1,X1452*$W$1,IF(R1452=2,X1452*$W$1*buff的资质计算!$E$2,IF(R1452=3,X1452*$W$1*buff的资质计算!$E$3,0)))),2)</f>
        <v>15.45</v>
      </c>
      <c r="X1452" s="157">
        <f ca="1" t="shared" si="237"/>
        <v>51.5</v>
      </c>
      <c r="Y1452" s="157">
        <f ca="1" t="shared" si="245"/>
        <v>51.5</v>
      </c>
      <c r="Z1452" s="304">
        <f ca="1" t="shared" si="238"/>
        <v>25.75</v>
      </c>
      <c r="AA1452" s="304">
        <f ca="1">OFFSET(卡牌辅助配置表!$AD$1,MATCH(AB1452,卡牌辅助配置表!AB:AB,0)-1,0)</f>
        <v>920</v>
      </c>
      <c r="AB1452" s="304">
        <f ca="1" t="shared" si="242"/>
        <v>4202</v>
      </c>
      <c r="AC1452" s="153">
        <v>3</v>
      </c>
      <c r="AE1452" s="153">
        <v>2</v>
      </c>
      <c r="AF1452" s="153" t="str">
        <f ca="1" t="shared" si="246"/>
        <v>24030011|</v>
      </c>
      <c r="AJ1452" s="205">
        <f ca="1" t="shared" si="243"/>
        <v>0</v>
      </c>
      <c r="AK1452" s="205">
        <f ca="1">OFFSET([1]item_type!$A$1,MATCH(Q1452,[1]item_type!$G:$G,0)-1,0)</f>
        <v>302403</v>
      </c>
      <c r="AL1452" s="205"/>
      <c r="AM1452" s="205">
        <f ca="1">IF(B1452=B1453,OFFSET(卡牌辅助配置表!$AE$1,MATCH(AB1452,卡牌辅助配置表!AB:AB,0),0),0)</f>
        <v>1350</v>
      </c>
      <c r="AN1452" s="153">
        <f ca="1" t="shared" si="244"/>
        <v>0</v>
      </c>
      <c r="AP1452" s="153" t="str">
        <f ca="1">IF(AC1452=0,0,IF(AC1452=12,0,OFFSET(effect!$N$1,MATCH(K1452,effect!M:M,0)-1,0)))</f>
        <v>kpsx_pt</v>
      </c>
    </row>
    <row r="1453" spans="1:42">
      <c r="A1453" s="153">
        <f ca="1" t="shared" si="240"/>
        <v>2403003</v>
      </c>
      <c r="B1453" s="300" t="s">
        <v>808</v>
      </c>
      <c r="C1453" s="186">
        <v>2</v>
      </c>
      <c r="D1453" s="186">
        <v>1</v>
      </c>
      <c r="E1453" s="165" t="s">
        <v>1058</v>
      </c>
      <c r="F1453" s="165" t="str">
        <f>"上一招为剑法时，使敌人下一回合费用-"&amp;skill!$O$119&amp;""</f>
        <v>上一招为剑法时，使敌人下一回合费用-1</v>
      </c>
      <c r="G1453" s="186">
        <f ca="1">OFFSET(卡牌辅助配置表!$C$1,MATCH(AC1453,卡牌辅助配置表!A:A,0)-1,0)</f>
        <v>3</v>
      </c>
      <c r="H1453" s="186">
        <f ca="1">OFFSET(skill!$Q$1,MATCH(B1453,skill!B:B,0)-1,0)</f>
        <v>0</v>
      </c>
      <c r="I1453" s="186"/>
      <c r="J1453" s="186">
        <f ca="1">OFFSET(card_type!$F$1,MATCH(Q1453,card_type!A:A,0)-1,0)</f>
        <v>4</v>
      </c>
      <c r="K1453" s="243">
        <f ca="1">OFFSET(card_type!$G$1,MATCH(Q1453,card_type!A:A,0)-1,0)</f>
        <v>2</v>
      </c>
      <c r="L1453" s="157">
        <v>2</v>
      </c>
      <c r="M1453" s="157">
        <v>2</v>
      </c>
      <c r="N1453" s="153">
        <f t="shared" si="239"/>
        <v>3</v>
      </c>
      <c r="O1453" s="157"/>
      <c r="P1453" s="157"/>
      <c r="Q1453" s="153">
        <f ca="1">OFFSET(card_type!$A$1,MATCH(card!B1453,card_type!B:B,0)-1,0)</f>
        <v>2403</v>
      </c>
      <c r="R1453" s="153">
        <v>1</v>
      </c>
      <c r="S1453" s="157"/>
      <c r="T1453" s="153">
        <v>2</v>
      </c>
      <c r="U1453" s="153">
        <f ca="1" t="shared" si="241"/>
        <v>42</v>
      </c>
      <c r="V1453" s="153">
        <f ca="1">ROUND((OFFSET(卡牌辅助配置表!$O$1,MATCH(U1453,卡牌辅助配置表!M:M,0)-1,0)+(N1453-1)*OFFSET(卡牌辅助配置表!$P$1,MATCH(U1453,卡牌辅助配置表!M:M,0)-1,0))*M1453,2)</f>
        <v>58.85</v>
      </c>
      <c r="W1453" s="157">
        <f ca="1">ROUND(IF(R1453=0,0,IF(R1453=1,X1453*$W$1,IF(R1453=2,X1453*$W$1*buff的资质计算!$E$2,IF(R1453=3,X1453*$W$1*buff的资质计算!$E$3,0)))),2)</f>
        <v>15.6</v>
      </c>
      <c r="X1453" s="157">
        <f ca="1" t="shared" si="237"/>
        <v>52</v>
      </c>
      <c r="Y1453" s="157">
        <f ca="1" t="shared" si="245"/>
        <v>52</v>
      </c>
      <c r="Z1453" s="304">
        <f ca="1" t="shared" si="238"/>
        <v>26</v>
      </c>
      <c r="AA1453" s="304">
        <f ca="1">OFFSET(卡牌辅助配置表!$AD$1,MATCH(AB1453,卡牌辅助配置表!AB:AB,0)-1,0)</f>
        <v>1380</v>
      </c>
      <c r="AB1453" s="304">
        <f ca="1" t="shared" si="242"/>
        <v>4203</v>
      </c>
      <c r="AC1453" s="153">
        <v>3</v>
      </c>
      <c r="AE1453" s="153">
        <v>2</v>
      </c>
      <c r="AF1453" s="153" t="str">
        <f ca="1" t="shared" si="246"/>
        <v>24030011|</v>
      </c>
      <c r="AJ1453" s="205">
        <f ca="1" t="shared" si="243"/>
        <v>0</v>
      </c>
      <c r="AK1453" s="205">
        <f ca="1">OFFSET([1]item_type!$A$1,MATCH(Q1453,[1]item_type!$G:$G,0)-1,0)</f>
        <v>302403</v>
      </c>
      <c r="AL1453" s="205"/>
      <c r="AM1453" s="205">
        <f ca="1">IF(B1453=B1454,OFFSET(卡牌辅助配置表!$AE$1,MATCH(AB1453,卡牌辅助配置表!AB:AB,0),0),0)</f>
        <v>1650</v>
      </c>
      <c r="AN1453" s="153">
        <f ca="1" t="shared" si="244"/>
        <v>0</v>
      </c>
      <c r="AP1453" s="153" t="str">
        <f ca="1">IF(AC1453=0,0,IF(AC1453=12,0,OFFSET(effect!$N$1,MATCH(K1453,effect!M:M,0)-1,0)))</f>
        <v>kpsx_pt</v>
      </c>
    </row>
    <row r="1454" spans="1:42">
      <c r="A1454" s="153">
        <f ca="1" t="shared" si="240"/>
        <v>2403004</v>
      </c>
      <c r="B1454" s="300" t="s">
        <v>808</v>
      </c>
      <c r="C1454" s="186">
        <v>2</v>
      </c>
      <c r="D1454" s="186">
        <v>1</v>
      </c>
      <c r="E1454" s="165" t="s">
        <v>1058</v>
      </c>
      <c r="F1454" s="165" t="str">
        <f>"上一招为剑法时，使敌人下一回合费用-"&amp;skill!$O$119&amp;""</f>
        <v>上一招为剑法时，使敌人下一回合费用-1</v>
      </c>
      <c r="G1454" s="186">
        <f ca="1">OFFSET(卡牌辅助配置表!$C$1,MATCH(AC1454,卡牌辅助配置表!A:A,0)-1,0)</f>
        <v>3</v>
      </c>
      <c r="H1454" s="186">
        <f ca="1">OFFSET(skill!$Q$1,MATCH(B1454,skill!B:B,0)-1,0)</f>
        <v>0</v>
      </c>
      <c r="I1454" s="186"/>
      <c r="J1454" s="186">
        <f ca="1">OFFSET(card_type!$F$1,MATCH(Q1454,card_type!A:A,0)-1,0)</f>
        <v>4</v>
      </c>
      <c r="K1454" s="243">
        <f ca="1">OFFSET(card_type!$G$1,MATCH(Q1454,card_type!A:A,0)-1,0)</f>
        <v>2</v>
      </c>
      <c r="L1454" s="157">
        <v>2</v>
      </c>
      <c r="M1454" s="157">
        <v>2</v>
      </c>
      <c r="N1454" s="153">
        <f t="shared" si="239"/>
        <v>4</v>
      </c>
      <c r="O1454" s="157"/>
      <c r="P1454" s="157"/>
      <c r="Q1454" s="153">
        <f ca="1">OFFSET(card_type!$A$1,MATCH(card!B1454,card_type!B:B,0)-1,0)</f>
        <v>2403</v>
      </c>
      <c r="R1454" s="153">
        <v>1</v>
      </c>
      <c r="S1454" s="157"/>
      <c r="T1454" s="153">
        <v>2</v>
      </c>
      <c r="U1454" s="153">
        <f ca="1" t="shared" si="241"/>
        <v>42</v>
      </c>
      <c r="V1454" s="153">
        <f ca="1">ROUND((OFFSET(卡牌辅助配置表!$O$1,MATCH(U1454,卡牌辅助配置表!M:M,0)-1,0)+(N1454-1)*OFFSET(卡牌辅助配置表!$P$1,MATCH(U1454,卡牌辅助配置表!M:M,0)-1,0))*M1454,2)</f>
        <v>66.15</v>
      </c>
      <c r="W1454" s="157">
        <f ca="1">ROUND(IF(R1454=0,0,IF(R1454=1,X1454*$W$1,IF(R1454=2,X1454*$W$1*buff的资质计算!$E$2,IF(R1454=3,X1454*$W$1*buff的资质计算!$E$3,0)))),2)</f>
        <v>15.75</v>
      </c>
      <c r="X1454" s="157">
        <f ca="1" t="shared" si="237"/>
        <v>52.5</v>
      </c>
      <c r="Y1454" s="157">
        <f ca="1" t="shared" si="245"/>
        <v>52.5</v>
      </c>
      <c r="Z1454" s="304">
        <f ca="1" t="shared" si="238"/>
        <v>26.25</v>
      </c>
      <c r="AA1454" s="304">
        <f ca="1">OFFSET(卡牌辅助配置表!$AD$1,MATCH(AB1454,卡牌辅助配置表!AB:AB,0)-1,0)</f>
        <v>1840</v>
      </c>
      <c r="AB1454" s="304">
        <f ca="1" t="shared" si="242"/>
        <v>4204</v>
      </c>
      <c r="AC1454" s="153">
        <v>3</v>
      </c>
      <c r="AE1454" s="153">
        <v>2</v>
      </c>
      <c r="AF1454" s="153" t="str">
        <f ca="1" t="shared" si="246"/>
        <v>24030011|</v>
      </c>
      <c r="AJ1454" s="205">
        <f ca="1" t="shared" si="243"/>
        <v>0</v>
      </c>
      <c r="AK1454" s="205">
        <f ca="1">OFFSET([1]item_type!$A$1,MATCH(Q1454,[1]item_type!$G:$G,0)-1,0)</f>
        <v>302403</v>
      </c>
      <c r="AL1454" s="205"/>
      <c r="AM1454" s="205">
        <f ca="1">IF(B1454=B1455,OFFSET(卡牌辅助配置表!$AE$1,MATCH(AB1454,卡牌辅助配置表!AB:AB,0),0),0)</f>
        <v>1950</v>
      </c>
      <c r="AN1454" s="153">
        <f ca="1" t="shared" si="244"/>
        <v>0</v>
      </c>
      <c r="AP1454" s="153" t="str">
        <f ca="1">IF(AC1454=0,0,IF(AC1454=12,0,OFFSET(effect!$N$1,MATCH(K1454,effect!M:M,0)-1,0)))</f>
        <v>kpsx_pt</v>
      </c>
    </row>
    <row r="1455" spans="1:42">
      <c r="A1455" s="153">
        <f ca="1" t="shared" si="240"/>
        <v>2403005</v>
      </c>
      <c r="B1455" s="300" t="s">
        <v>808</v>
      </c>
      <c r="C1455" s="186">
        <v>2</v>
      </c>
      <c r="D1455" s="186">
        <v>1</v>
      </c>
      <c r="E1455" s="165" t="s">
        <v>1058</v>
      </c>
      <c r="F1455" s="165" t="str">
        <f>"上一招为剑法时，使敌人下一回合费用-"&amp;skill!$O$119&amp;""</f>
        <v>上一招为剑法时，使敌人下一回合费用-1</v>
      </c>
      <c r="G1455" s="186">
        <f ca="1">OFFSET(卡牌辅助配置表!$C$1,MATCH(AC1455,卡牌辅助配置表!A:A,0)-1,0)</f>
        <v>3</v>
      </c>
      <c r="H1455" s="186">
        <f ca="1">OFFSET(skill!$Q$1,MATCH(B1455,skill!B:B,0)-1,0)</f>
        <v>0</v>
      </c>
      <c r="I1455" s="186"/>
      <c r="J1455" s="186">
        <f ca="1">OFFSET(card_type!$F$1,MATCH(Q1455,card_type!A:A,0)-1,0)</f>
        <v>4</v>
      </c>
      <c r="K1455" s="243">
        <f ca="1">OFFSET(card_type!$G$1,MATCH(Q1455,card_type!A:A,0)-1,0)</f>
        <v>2</v>
      </c>
      <c r="L1455" s="157">
        <v>2</v>
      </c>
      <c r="M1455" s="157">
        <v>2</v>
      </c>
      <c r="N1455" s="153">
        <f t="shared" si="239"/>
        <v>5</v>
      </c>
      <c r="O1455" s="157"/>
      <c r="P1455" s="157"/>
      <c r="Q1455" s="153">
        <f ca="1">OFFSET(card_type!$A$1,MATCH(card!B1455,card_type!B:B,0)-1,0)</f>
        <v>2403</v>
      </c>
      <c r="R1455" s="153">
        <v>1</v>
      </c>
      <c r="S1455" s="157"/>
      <c r="T1455" s="153">
        <v>2</v>
      </c>
      <c r="U1455" s="153">
        <f ca="1" t="shared" si="241"/>
        <v>42</v>
      </c>
      <c r="V1455" s="153">
        <f ca="1">ROUND((OFFSET(卡牌辅助配置表!$O$1,MATCH(U1455,卡牌辅助配置表!M:M,0)-1,0)+(N1455-1)*OFFSET(卡牌辅助配置表!$P$1,MATCH(U1455,卡牌辅助配置表!M:M,0)-1,0))*M1455,2)</f>
        <v>73.45</v>
      </c>
      <c r="W1455" s="157">
        <f ca="1">ROUND(IF(R1455=0,0,IF(R1455=1,X1455*$W$1,IF(R1455=2,X1455*$W$1*buff的资质计算!$E$2,IF(R1455=3,X1455*$W$1*buff的资质计算!$E$3,0)))),2)</f>
        <v>15.9</v>
      </c>
      <c r="X1455" s="157">
        <f ca="1" t="shared" si="237"/>
        <v>53</v>
      </c>
      <c r="Y1455" s="157">
        <f ca="1" t="shared" si="245"/>
        <v>53</v>
      </c>
      <c r="Z1455" s="304">
        <f ca="1" t="shared" si="238"/>
        <v>26.5</v>
      </c>
      <c r="AA1455" s="304">
        <f ca="1">OFFSET(卡牌辅助配置表!$AD$1,MATCH(AB1455,卡牌辅助配置表!AB:AB,0)-1,0)</f>
        <v>2300</v>
      </c>
      <c r="AB1455" s="304">
        <f ca="1" t="shared" si="242"/>
        <v>4205</v>
      </c>
      <c r="AC1455" s="153">
        <v>3</v>
      </c>
      <c r="AE1455" s="153">
        <v>2</v>
      </c>
      <c r="AF1455" s="153" t="str">
        <f ca="1" t="shared" si="246"/>
        <v>24030011|</v>
      </c>
      <c r="AJ1455" s="205">
        <f ca="1" t="shared" si="243"/>
        <v>0</v>
      </c>
      <c r="AK1455" s="205">
        <f ca="1">OFFSET([1]item_type!$A$1,MATCH(Q1455,[1]item_type!$G:$G,0)-1,0)</f>
        <v>302403</v>
      </c>
      <c r="AL1455" s="205"/>
      <c r="AM1455" s="205">
        <f ca="1">IF(B1455=B1456,OFFSET(卡牌辅助配置表!$AE$1,MATCH(AB1455,卡牌辅助配置表!AB:AB,0),0),0)</f>
        <v>2250</v>
      </c>
      <c r="AN1455" s="153">
        <f ca="1" t="shared" si="244"/>
        <v>0</v>
      </c>
      <c r="AP1455" s="153" t="str">
        <f ca="1">IF(AC1455=0,0,IF(AC1455=12,0,OFFSET(effect!$N$1,MATCH(K1455,effect!M:M,0)-1,0)))</f>
        <v>kpsx_pt</v>
      </c>
    </row>
    <row r="1456" spans="1:42">
      <c r="A1456" s="153">
        <f ca="1" t="shared" si="240"/>
        <v>2403006</v>
      </c>
      <c r="B1456" s="300" t="s">
        <v>808</v>
      </c>
      <c r="C1456" s="186">
        <v>2</v>
      </c>
      <c r="D1456" s="186">
        <v>1</v>
      </c>
      <c r="E1456" s="165" t="s">
        <v>1058</v>
      </c>
      <c r="F1456" s="165" t="str">
        <f>"上一招为剑法时，使敌人下一回合费用-"&amp;skill!$O$119&amp;""</f>
        <v>上一招为剑法时，使敌人下一回合费用-1</v>
      </c>
      <c r="G1456" s="186">
        <f ca="1">OFFSET(卡牌辅助配置表!$C$1,MATCH(AC1456,卡牌辅助配置表!A:A,0)-1,0)</f>
        <v>3</v>
      </c>
      <c r="H1456" s="186">
        <f ca="1">OFFSET(skill!$Q$1,MATCH(B1456,skill!B:B,0)-1,0)</f>
        <v>0</v>
      </c>
      <c r="I1456" s="186"/>
      <c r="J1456" s="186">
        <f ca="1">OFFSET(card_type!$F$1,MATCH(Q1456,card_type!A:A,0)-1,0)</f>
        <v>4</v>
      </c>
      <c r="K1456" s="243">
        <f ca="1">OFFSET(card_type!$G$1,MATCH(Q1456,card_type!A:A,0)-1,0)</f>
        <v>2</v>
      </c>
      <c r="L1456" s="157">
        <v>2</v>
      </c>
      <c r="M1456" s="157">
        <v>2</v>
      </c>
      <c r="N1456" s="153">
        <f t="shared" si="239"/>
        <v>6</v>
      </c>
      <c r="O1456" s="157"/>
      <c r="P1456" s="157"/>
      <c r="Q1456" s="153">
        <f ca="1">OFFSET(card_type!$A$1,MATCH(card!B1456,card_type!B:B,0)-1,0)</f>
        <v>2403</v>
      </c>
      <c r="R1456" s="153">
        <v>1</v>
      </c>
      <c r="S1456" s="157"/>
      <c r="T1456" s="153">
        <v>2</v>
      </c>
      <c r="U1456" s="153">
        <f ca="1" t="shared" si="241"/>
        <v>42</v>
      </c>
      <c r="V1456" s="153">
        <f ca="1">ROUND((OFFSET(卡牌辅助配置表!$O$1,MATCH(U1456,卡牌辅助配置表!M:M,0)-1,0)+(N1456-1)*OFFSET(卡牌辅助配置表!$P$1,MATCH(U1456,卡牌辅助配置表!M:M,0)-1,0))*M1456,2)</f>
        <v>80.75</v>
      </c>
      <c r="W1456" s="157">
        <f ca="1">ROUND(IF(R1456=0,0,IF(R1456=1,X1456*$W$1,IF(R1456=2,X1456*$W$1*buff的资质计算!$E$2,IF(R1456=3,X1456*$W$1*buff的资质计算!$E$3,0)))),2)</f>
        <v>16.05</v>
      </c>
      <c r="X1456" s="157">
        <f ca="1" t="shared" si="237"/>
        <v>53.5</v>
      </c>
      <c r="Y1456" s="157">
        <f ca="1" t="shared" si="245"/>
        <v>53.5</v>
      </c>
      <c r="Z1456" s="304">
        <f ca="1" t="shared" si="238"/>
        <v>26.75</v>
      </c>
      <c r="AA1456" s="304">
        <f ca="1">OFFSET(卡牌辅助配置表!$AD$1,MATCH(AB1456,卡牌辅助配置表!AB:AB,0)-1,0)</f>
        <v>2760</v>
      </c>
      <c r="AB1456" s="304">
        <f ca="1" t="shared" si="242"/>
        <v>4206</v>
      </c>
      <c r="AC1456" s="153">
        <v>3</v>
      </c>
      <c r="AE1456" s="153">
        <v>2</v>
      </c>
      <c r="AF1456" s="153" t="str">
        <f ca="1" t="shared" si="246"/>
        <v>24030011|</v>
      </c>
      <c r="AJ1456" s="205">
        <f ca="1" t="shared" si="243"/>
        <v>0</v>
      </c>
      <c r="AK1456" s="205">
        <f ca="1">OFFSET([1]item_type!$A$1,MATCH(Q1456,[1]item_type!$G:$G,0)-1,0)</f>
        <v>302403</v>
      </c>
      <c r="AL1456" s="205"/>
      <c r="AM1456" s="205">
        <f ca="1">IF(B1456=B1457,OFFSET(卡牌辅助配置表!$AE$1,MATCH(AB1456,卡牌辅助配置表!AB:AB,0),0),0)</f>
        <v>2550</v>
      </c>
      <c r="AN1456" s="153">
        <f ca="1" t="shared" si="244"/>
        <v>0</v>
      </c>
      <c r="AP1456" s="153" t="str">
        <f ca="1">IF(AC1456=0,0,IF(AC1456=12,0,OFFSET(effect!$N$1,MATCH(K1456,effect!M:M,0)-1,0)))</f>
        <v>kpsx_pt</v>
      </c>
    </row>
    <row r="1457" spans="1:42">
      <c r="A1457" s="153">
        <f ca="1" t="shared" si="240"/>
        <v>2403007</v>
      </c>
      <c r="B1457" s="300" t="s">
        <v>808</v>
      </c>
      <c r="C1457" s="186">
        <v>2</v>
      </c>
      <c r="D1457" s="186">
        <v>1</v>
      </c>
      <c r="E1457" s="165" t="s">
        <v>1058</v>
      </c>
      <c r="F1457" s="165" t="str">
        <f>"上一招为剑法时，使敌人下一回合费用-"&amp;skill!$O$119&amp;""</f>
        <v>上一招为剑法时，使敌人下一回合费用-1</v>
      </c>
      <c r="G1457" s="186">
        <f ca="1">OFFSET(卡牌辅助配置表!$C$1,MATCH(AC1457,卡牌辅助配置表!A:A,0)-1,0)</f>
        <v>3</v>
      </c>
      <c r="H1457" s="186">
        <f ca="1">OFFSET(skill!$Q$1,MATCH(B1457,skill!B:B,0)-1,0)</f>
        <v>0</v>
      </c>
      <c r="I1457" s="186"/>
      <c r="J1457" s="186">
        <f ca="1">OFFSET(card_type!$F$1,MATCH(Q1457,card_type!A:A,0)-1,0)</f>
        <v>4</v>
      </c>
      <c r="K1457" s="243">
        <f ca="1">OFFSET(card_type!$G$1,MATCH(Q1457,card_type!A:A,0)-1,0)</f>
        <v>2</v>
      </c>
      <c r="L1457" s="157">
        <v>2</v>
      </c>
      <c r="M1457" s="157">
        <v>2</v>
      </c>
      <c r="N1457" s="153">
        <f t="shared" si="239"/>
        <v>7</v>
      </c>
      <c r="O1457" s="157"/>
      <c r="P1457" s="157"/>
      <c r="Q1457" s="153">
        <f ca="1">OFFSET(card_type!$A$1,MATCH(card!B1457,card_type!B:B,0)-1,0)</f>
        <v>2403</v>
      </c>
      <c r="R1457" s="153">
        <v>1</v>
      </c>
      <c r="S1457" s="157"/>
      <c r="T1457" s="153">
        <v>2</v>
      </c>
      <c r="U1457" s="153">
        <f ca="1" t="shared" si="241"/>
        <v>42</v>
      </c>
      <c r="V1457" s="153">
        <f ca="1">ROUND((OFFSET(卡牌辅助配置表!$O$1,MATCH(U1457,卡牌辅助配置表!M:M,0)-1,0)+(N1457-1)*OFFSET(卡牌辅助配置表!$P$1,MATCH(U1457,卡牌辅助配置表!M:M,0)-1,0))*M1457,2)</f>
        <v>88.05</v>
      </c>
      <c r="W1457" s="157">
        <f ca="1">ROUND(IF(R1457=0,0,IF(R1457=1,X1457*$W$1,IF(R1457=2,X1457*$W$1*buff的资质计算!$E$2,IF(R1457=3,X1457*$W$1*buff的资质计算!$E$3,0)))),2)</f>
        <v>16.2</v>
      </c>
      <c r="X1457" s="157">
        <f ca="1" t="shared" si="237"/>
        <v>54</v>
      </c>
      <c r="Y1457" s="157">
        <f ca="1" t="shared" si="245"/>
        <v>54</v>
      </c>
      <c r="Z1457" s="304">
        <f ca="1" t="shared" si="238"/>
        <v>27</v>
      </c>
      <c r="AA1457" s="304">
        <f ca="1">OFFSET(卡牌辅助配置表!$AD$1,MATCH(AB1457,卡牌辅助配置表!AB:AB,0)-1,0)</f>
        <v>3220</v>
      </c>
      <c r="AB1457" s="304">
        <f ca="1" t="shared" si="242"/>
        <v>4207</v>
      </c>
      <c r="AC1457" s="153">
        <v>3</v>
      </c>
      <c r="AE1457" s="153">
        <v>2</v>
      </c>
      <c r="AF1457" s="153" t="str">
        <f ca="1" t="shared" si="246"/>
        <v>24030011|</v>
      </c>
      <c r="AJ1457" s="205">
        <f ca="1" t="shared" si="243"/>
        <v>0</v>
      </c>
      <c r="AK1457" s="205">
        <f ca="1">OFFSET([1]item_type!$A$1,MATCH(Q1457,[1]item_type!$G:$G,0)-1,0)</f>
        <v>302403</v>
      </c>
      <c r="AL1457" s="205"/>
      <c r="AM1457" s="205">
        <f ca="1">IF(B1457=B1458,OFFSET(卡牌辅助配置表!$AE$1,MATCH(AB1457,卡牌辅助配置表!AB:AB,0),0),0)</f>
        <v>2850</v>
      </c>
      <c r="AN1457" s="153">
        <f ca="1" t="shared" si="244"/>
        <v>0</v>
      </c>
      <c r="AP1457" s="153" t="str">
        <f ca="1">IF(AC1457=0,0,IF(AC1457=12,0,OFFSET(effect!$N$1,MATCH(K1457,effect!M:M,0)-1,0)))</f>
        <v>kpsx_pt</v>
      </c>
    </row>
    <row r="1458" spans="1:42">
      <c r="A1458" s="153">
        <f ca="1" t="shared" si="240"/>
        <v>2403008</v>
      </c>
      <c r="B1458" s="300" t="s">
        <v>808</v>
      </c>
      <c r="C1458" s="186">
        <v>2</v>
      </c>
      <c r="D1458" s="186">
        <v>1</v>
      </c>
      <c r="E1458" s="165" t="s">
        <v>1058</v>
      </c>
      <c r="F1458" s="165" t="str">
        <f>"上一招为剑法时，使敌人下一回合费用-"&amp;skill!$O$119&amp;""</f>
        <v>上一招为剑法时，使敌人下一回合费用-1</v>
      </c>
      <c r="G1458" s="186">
        <f ca="1">OFFSET(卡牌辅助配置表!$C$1,MATCH(AC1458,卡牌辅助配置表!A:A,0)-1,0)</f>
        <v>3</v>
      </c>
      <c r="H1458" s="186">
        <f ca="1">OFFSET(skill!$Q$1,MATCH(B1458,skill!B:B,0)-1,0)</f>
        <v>0</v>
      </c>
      <c r="I1458" s="186"/>
      <c r="J1458" s="186">
        <f ca="1">OFFSET(card_type!$F$1,MATCH(Q1458,card_type!A:A,0)-1,0)</f>
        <v>4</v>
      </c>
      <c r="K1458" s="243">
        <f ca="1">OFFSET(card_type!$G$1,MATCH(Q1458,card_type!A:A,0)-1,0)</f>
        <v>2</v>
      </c>
      <c r="L1458" s="157">
        <v>2</v>
      </c>
      <c r="M1458" s="157">
        <v>2</v>
      </c>
      <c r="N1458" s="153">
        <f t="shared" si="239"/>
        <v>8</v>
      </c>
      <c r="O1458" s="157"/>
      <c r="P1458" s="157"/>
      <c r="Q1458" s="153">
        <f ca="1">OFFSET(card_type!$A$1,MATCH(card!B1458,card_type!B:B,0)-1,0)</f>
        <v>2403</v>
      </c>
      <c r="R1458" s="153">
        <v>1</v>
      </c>
      <c r="S1458" s="157"/>
      <c r="T1458" s="153">
        <v>2</v>
      </c>
      <c r="U1458" s="153">
        <f ca="1" t="shared" si="241"/>
        <v>42</v>
      </c>
      <c r="V1458" s="153">
        <f ca="1">ROUND((OFFSET(卡牌辅助配置表!$O$1,MATCH(U1458,卡牌辅助配置表!M:M,0)-1,0)+(N1458-1)*OFFSET(卡牌辅助配置表!$P$1,MATCH(U1458,卡牌辅助配置表!M:M,0)-1,0))*M1458,2)</f>
        <v>95.35</v>
      </c>
      <c r="W1458" s="157">
        <f ca="1">ROUND(IF(R1458=0,0,IF(R1458=1,X1458*$W$1,IF(R1458=2,X1458*$W$1*buff的资质计算!$E$2,IF(R1458=3,X1458*$W$1*buff的资质计算!$E$3,0)))),2)</f>
        <v>16.35</v>
      </c>
      <c r="X1458" s="157">
        <f ca="1" t="shared" si="237"/>
        <v>54.5</v>
      </c>
      <c r="Y1458" s="157">
        <f ca="1" t="shared" si="245"/>
        <v>54.5</v>
      </c>
      <c r="Z1458" s="304">
        <f ca="1" t="shared" si="238"/>
        <v>27.25</v>
      </c>
      <c r="AA1458" s="304">
        <f ca="1">OFFSET(卡牌辅助配置表!$AD$1,MATCH(AB1458,卡牌辅助配置表!AB:AB,0)-1,0)</f>
        <v>3680</v>
      </c>
      <c r="AB1458" s="304">
        <f ca="1" t="shared" si="242"/>
        <v>4208</v>
      </c>
      <c r="AC1458" s="153">
        <v>3</v>
      </c>
      <c r="AE1458" s="153">
        <v>2</v>
      </c>
      <c r="AF1458" s="153" t="str">
        <f ca="1" t="shared" si="246"/>
        <v>24030011|</v>
      </c>
      <c r="AJ1458" s="205">
        <f ca="1" t="shared" si="243"/>
        <v>0</v>
      </c>
      <c r="AK1458" s="205">
        <f ca="1">OFFSET([1]item_type!$A$1,MATCH(Q1458,[1]item_type!$G:$G,0)-1,0)</f>
        <v>302403</v>
      </c>
      <c r="AL1458" s="205"/>
      <c r="AM1458" s="205">
        <f ca="1">IF(B1458=B1459,OFFSET(卡牌辅助配置表!$AE$1,MATCH(AB1458,卡牌辅助配置表!AB:AB,0),0),0)</f>
        <v>3150</v>
      </c>
      <c r="AN1458" s="153">
        <f ca="1" t="shared" si="244"/>
        <v>0</v>
      </c>
      <c r="AP1458" s="153" t="str">
        <f ca="1">IF(AC1458=0,0,IF(AC1458=12,0,OFFSET(effect!$N$1,MATCH(K1458,effect!M:M,0)-1,0)))</f>
        <v>kpsx_pt</v>
      </c>
    </row>
    <row r="1459" spans="1:42">
      <c r="A1459" s="153">
        <f ca="1" t="shared" si="240"/>
        <v>2403009</v>
      </c>
      <c r="B1459" s="300" t="s">
        <v>808</v>
      </c>
      <c r="C1459" s="186">
        <v>2</v>
      </c>
      <c r="D1459" s="186">
        <v>1</v>
      </c>
      <c r="E1459" s="165" t="s">
        <v>1058</v>
      </c>
      <c r="F1459" s="165" t="str">
        <f>"上一招为剑法时，使敌人下一回合费用-"&amp;skill!$O$119&amp;""</f>
        <v>上一招为剑法时，使敌人下一回合费用-1</v>
      </c>
      <c r="G1459" s="186">
        <f ca="1">OFFSET(卡牌辅助配置表!$C$1,MATCH(AC1459,卡牌辅助配置表!A:A,0)-1,0)</f>
        <v>3</v>
      </c>
      <c r="H1459" s="186">
        <f ca="1">OFFSET(skill!$Q$1,MATCH(B1459,skill!B:B,0)-1,0)</f>
        <v>0</v>
      </c>
      <c r="I1459" s="186"/>
      <c r="J1459" s="186">
        <f ca="1">OFFSET(card_type!$F$1,MATCH(Q1459,card_type!A:A,0)-1,0)</f>
        <v>4</v>
      </c>
      <c r="K1459" s="243">
        <f ca="1">OFFSET(card_type!$G$1,MATCH(Q1459,card_type!A:A,0)-1,0)</f>
        <v>2</v>
      </c>
      <c r="L1459" s="157">
        <v>2</v>
      </c>
      <c r="M1459" s="157">
        <v>2</v>
      </c>
      <c r="N1459" s="153">
        <f t="shared" si="239"/>
        <v>9</v>
      </c>
      <c r="O1459" s="157"/>
      <c r="P1459" s="157"/>
      <c r="Q1459" s="153">
        <f ca="1">OFFSET(card_type!$A$1,MATCH(card!B1459,card_type!B:B,0)-1,0)</f>
        <v>2403</v>
      </c>
      <c r="R1459" s="153">
        <v>1</v>
      </c>
      <c r="S1459" s="157"/>
      <c r="T1459" s="153">
        <v>2</v>
      </c>
      <c r="U1459" s="153">
        <f ca="1" t="shared" si="241"/>
        <v>42</v>
      </c>
      <c r="V1459" s="153">
        <f ca="1">ROUND((OFFSET(卡牌辅助配置表!$O$1,MATCH(U1459,卡牌辅助配置表!M:M,0)-1,0)+(N1459-1)*OFFSET(卡牌辅助配置表!$P$1,MATCH(U1459,卡牌辅助配置表!M:M,0)-1,0))*M1459,2)</f>
        <v>102.65</v>
      </c>
      <c r="W1459" s="157">
        <f ca="1">ROUND(IF(R1459=0,0,IF(R1459=1,X1459*$W$1,IF(R1459=2,X1459*$W$1*buff的资质计算!$E$2,IF(R1459=3,X1459*$W$1*buff的资质计算!$E$3,0)))),2)</f>
        <v>16.5</v>
      </c>
      <c r="X1459" s="157">
        <f ca="1" t="shared" si="237"/>
        <v>55</v>
      </c>
      <c r="Y1459" s="157">
        <f ca="1" t="shared" si="245"/>
        <v>55</v>
      </c>
      <c r="Z1459" s="304">
        <f ca="1" t="shared" si="238"/>
        <v>27.5</v>
      </c>
      <c r="AA1459" s="304">
        <f ca="1">OFFSET(卡牌辅助配置表!$AD$1,MATCH(AB1459,卡牌辅助配置表!AB:AB,0)-1,0)</f>
        <v>4140</v>
      </c>
      <c r="AB1459" s="304">
        <f ca="1" t="shared" si="242"/>
        <v>4209</v>
      </c>
      <c r="AC1459" s="153">
        <v>3</v>
      </c>
      <c r="AE1459" s="153">
        <v>2</v>
      </c>
      <c r="AF1459" s="153" t="str">
        <f ca="1" t="shared" si="246"/>
        <v>24030011|</v>
      </c>
      <c r="AJ1459" s="205">
        <f ca="1" t="shared" si="243"/>
        <v>0</v>
      </c>
      <c r="AK1459" s="205">
        <f ca="1">OFFSET([1]item_type!$A$1,MATCH(Q1459,[1]item_type!$G:$G,0)-1,0)</f>
        <v>302403</v>
      </c>
      <c r="AL1459" s="205">
        <v>15</v>
      </c>
      <c r="AM1459" s="205">
        <f ca="1">IF(B1459=B1460,OFFSET(卡牌辅助配置表!$AE$1,MATCH(AB1459,卡牌辅助配置表!AB:AB,0),0),0)</f>
        <v>3450</v>
      </c>
      <c r="AN1459" s="153">
        <f ca="1" t="shared" si="244"/>
        <v>0</v>
      </c>
      <c r="AP1459" s="153" t="str">
        <f ca="1">IF(AC1459=0,0,IF(AC1459=12,0,OFFSET(effect!$N$1,MATCH(K1459,effect!M:M,0)-1,0)))</f>
        <v>kpsx_pt</v>
      </c>
    </row>
    <row r="1460" spans="1:42">
      <c r="A1460" s="153">
        <f ca="1" t="shared" si="240"/>
        <v>2403010</v>
      </c>
      <c r="B1460" s="300" t="s">
        <v>808</v>
      </c>
      <c r="C1460" s="186">
        <v>2</v>
      </c>
      <c r="D1460" s="186">
        <v>1</v>
      </c>
      <c r="E1460" s="165" t="s">
        <v>1058</v>
      </c>
      <c r="F1460" s="165" t="str">
        <f>"上一招为剑法时，使敌人下一回合费用-"&amp;skill!$O$119&amp;""</f>
        <v>上一招为剑法时，使敌人下一回合费用-1</v>
      </c>
      <c r="G1460" s="186">
        <f ca="1">OFFSET(卡牌辅助配置表!$C$1,MATCH(AC1460,卡牌辅助配置表!A:A,0)-1,0)</f>
        <v>3</v>
      </c>
      <c r="H1460" s="186">
        <f ca="1">OFFSET(skill!$Q$1,MATCH(B1460,skill!B:B,0)-1,0)</f>
        <v>0</v>
      </c>
      <c r="I1460" s="186"/>
      <c r="J1460" s="186">
        <f ca="1">OFFSET(card_type!$F$1,MATCH(Q1460,card_type!A:A,0)-1,0)</f>
        <v>4</v>
      </c>
      <c r="K1460" s="243">
        <f ca="1">OFFSET(card_type!$G$1,MATCH(Q1460,card_type!A:A,0)-1,0)</f>
        <v>2</v>
      </c>
      <c r="L1460" s="157">
        <v>2</v>
      </c>
      <c r="M1460" s="157">
        <v>2</v>
      </c>
      <c r="N1460" s="153">
        <f t="shared" si="239"/>
        <v>10</v>
      </c>
      <c r="O1460" s="157"/>
      <c r="P1460" s="157"/>
      <c r="Q1460" s="153">
        <f ca="1">OFFSET(card_type!$A$1,MATCH(card!B1460,card_type!B:B,0)-1,0)</f>
        <v>2403</v>
      </c>
      <c r="R1460" s="153">
        <v>1</v>
      </c>
      <c r="S1460" s="157"/>
      <c r="T1460" s="153">
        <v>2</v>
      </c>
      <c r="U1460" s="153">
        <f ca="1" t="shared" si="241"/>
        <v>42</v>
      </c>
      <c r="V1460" s="153">
        <f ca="1">ROUND((OFFSET(卡牌辅助配置表!$O$1,MATCH(U1460,卡牌辅助配置表!M:M,0)-1,0)+(N1460-1)*OFFSET(卡牌辅助配置表!$P$1,MATCH(U1460,卡牌辅助配置表!M:M,0)-1,0))*M1460,2)</f>
        <v>109.95</v>
      </c>
      <c r="W1460" s="157">
        <f ca="1">ROUND(IF(R1460=0,0,IF(R1460=1,X1460*$W$1,IF(R1460=2,X1460*$W$1*buff的资质计算!$E$2,IF(R1460=3,X1460*$W$1*buff的资质计算!$E$3,0)))),2)</f>
        <v>16.65</v>
      </c>
      <c r="X1460" s="157">
        <f ca="1" t="shared" ref="X1460:X1523" si="247">M1460*($M$1+(J1460-1)*$J$1+(K1460-1)*$K$1)+G1460+$J$1*(N1460-1)/$N$1</f>
        <v>55.5</v>
      </c>
      <c r="Y1460" s="157">
        <f ca="1" t="shared" si="245"/>
        <v>55.5</v>
      </c>
      <c r="Z1460" s="304">
        <f ca="1" t="shared" ref="Z1460:Z1523" si="248">Y1460/M1460</f>
        <v>27.75</v>
      </c>
      <c r="AA1460" s="304">
        <f ca="1">OFFSET(卡牌辅助配置表!$AD$1,MATCH(AB1460,卡牌辅助配置表!AB:AB,0)-1,0)</f>
        <v>4600</v>
      </c>
      <c r="AB1460" s="304">
        <f ca="1" t="shared" si="242"/>
        <v>4210</v>
      </c>
      <c r="AC1460" s="153">
        <v>3</v>
      </c>
      <c r="AE1460" s="153">
        <v>2</v>
      </c>
      <c r="AF1460" s="153" t="str">
        <f ca="1" t="shared" si="246"/>
        <v>24030011|</v>
      </c>
      <c r="AJ1460" s="205">
        <f ca="1" t="shared" si="243"/>
        <v>0</v>
      </c>
      <c r="AK1460" s="205">
        <f ca="1">OFFSET([1]item_type!$A$1,MATCH(Q1460,[1]item_type!$G:$G,0)-1,0)</f>
        <v>302403</v>
      </c>
      <c r="AL1460" s="205"/>
      <c r="AM1460" s="205">
        <f ca="1">IF(B1460=B1461,OFFSET(卡牌辅助配置表!$AE$1,MATCH(AB1460,卡牌辅助配置表!AB:AB,0),0),0)</f>
        <v>4050</v>
      </c>
      <c r="AN1460" s="153">
        <f ca="1" t="shared" si="244"/>
        <v>0</v>
      </c>
      <c r="AP1460" s="153" t="str">
        <f ca="1">IF(AC1460=0,0,IF(AC1460=12,0,OFFSET(effect!$N$1,MATCH(K1460,effect!M:M,0)-1,0)))</f>
        <v>kpsx_pt</v>
      </c>
    </row>
    <row r="1461" spans="1:42">
      <c r="A1461" s="153">
        <f ca="1" t="shared" si="240"/>
        <v>2403011</v>
      </c>
      <c r="B1461" s="300" t="s">
        <v>808</v>
      </c>
      <c r="C1461" s="186">
        <v>2</v>
      </c>
      <c r="D1461" s="186">
        <v>1</v>
      </c>
      <c r="E1461" s="165" t="s">
        <v>1058</v>
      </c>
      <c r="F1461" s="165" t="str">
        <f>"上一招为剑法时，使敌人下一回合费用-"&amp;skill!$O$119&amp;""</f>
        <v>上一招为剑法时，使敌人下一回合费用-1</v>
      </c>
      <c r="G1461" s="186">
        <f ca="1">OFFSET(卡牌辅助配置表!$C$1,MATCH(AC1461,卡牌辅助配置表!A:A,0)-1,0)</f>
        <v>3</v>
      </c>
      <c r="H1461" s="186">
        <f ca="1">OFFSET(skill!$Q$1,MATCH(B1461,skill!B:B,0)-1,0)</f>
        <v>0</v>
      </c>
      <c r="I1461" s="186"/>
      <c r="J1461" s="186">
        <f ca="1">OFFSET(card_type!$F$1,MATCH(Q1461,card_type!A:A,0)-1,0)</f>
        <v>4</v>
      </c>
      <c r="K1461" s="243">
        <f ca="1">OFFSET(card_type!$G$1,MATCH(Q1461,card_type!A:A,0)-1,0)</f>
        <v>2</v>
      </c>
      <c r="L1461" s="157">
        <v>2</v>
      </c>
      <c r="M1461" s="157">
        <v>2</v>
      </c>
      <c r="N1461" s="153">
        <f t="shared" ref="N1461:N1524" si="249">IF(B1460=B1461,N1460+1,1)</f>
        <v>11</v>
      </c>
      <c r="O1461" s="157"/>
      <c r="P1461" s="157"/>
      <c r="Q1461" s="153">
        <f ca="1">OFFSET(card_type!$A$1,MATCH(card!B1461,card_type!B:B,0)-1,0)</f>
        <v>2403</v>
      </c>
      <c r="R1461" s="153">
        <v>1</v>
      </c>
      <c r="S1461" s="157"/>
      <c r="T1461" s="153">
        <v>2</v>
      </c>
      <c r="U1461" s="153">
        <f ca="1" t="shared" si="241"/>
        <v>42</v>
      </c>
      <c r="V1461" s="153">
        <f ca="1">ROUND((OFFSET(卡牌辅助配置表!$O$1,MATCH(U1461,卡牌辅助配置表!M:M,0)-1,0)+(N1461-1)*OFFSET(卡牌辅助配置表!$P$1,MATCH(U1461,卡牌辅助配置表!M:M,0)-1,0))*M1461,2)</f>
        <v>117.25</v>
      </c>
      <c r="W1461" s="157">
        <f ca="1">ROUND(IF(R1461=0,0,IF(R1461=1,X1461*$W$1,IF(R1461=2,X1461*$W$1*buff的资质计算!$E$2,IF(R1461=3,X1461*$W$1*buff的资质计算!$E$3,0)))),2)</f>
        <v>16.8</v>
      </c>
      <c r="X1461" s="157">
        <f ca="1" t="shared" si="247"/>
        <v>56</v>
      </c>
      <c r="Y1461" s="157">
        <f ca="1" t="shared" si="245"/>
        <v>56</v>
      </c>
      <c r="Z1461" s="304">
        <f ca="1" t="shared" si="248"/>
        <v>28</v>
      </c>
      <c r="AA1461" s="304">
        <f ca="1">OFFSET(卡牌辅助配置表!$AD$1,MATCH(AB1461,卡牌辅助配置表!AB:AB,0)-1,0)</f>
        <v>5290</v>
      </c>
      <c r="AB1461" s="304">
        <f ca="1" t="shared" si="242"/>
        <v>4211</v>
      </c>
      <c r="AC1461" s="153">
        <v>3</v>
      </c>
      <c r="AE1461" s="153">
        <v>2</v>
      </c>
      <c r="AF1461" s="153" t="str">
        <f ca="1" t="shared" si="246"/>
        <v>24030011|</v>
      </c>
      <c r="AJ1461" s="205">
        <f ca="1" t="shared" si="243"/>
        <v>0</v>
      </c>
      <c r="AK1461" s="205">
        <f ca="1">OFFSET([1]item_type!$A$1,MATCH(Q1461,[1]item_type!$G:$G,0)-1,0)</f>
        <v>302403</v>
      </c>
      <c r="AL1461" s="205"/>
      <c r="AM1461" s="205">
        <f ca="1">IF(B1461=B1462,OFFSET(卡牌辅助配置表!$AE$1,MATCH(AB1461,卡牌辅助配置表!AB:AB,0),0),0)</f>
        <v>4650</v>
      </c>
      <c r="AN1461" s="153">
        <f ca="1" t="shared" si="244"/>
        <v>0</v>
      </c>
      <c r="AP1461" s="153" t="str">
        <f ca="1">IF(AC1461=0,0,IF(AC1461=12,0,OFFSET(effect!$N$1,MATCH(K1461,effect!M:M,0)-1,0)))</f>
        <v>kpsx_pt</v>
      </c>
    </row>
    <row r="1462" spans="1:42">
      <c r="A1462" s="153">
        <f ca="1" t="shared" si="240"/>
        <v>2403012</v>
      </c>
      <c r="B1462" s="300" t="s">
        <v>808</v>
      </c>
      <c r="C1462" s="186">
        <v>2</v>
      </c>
      <c r="D1462" s="186">
        <v>1</v>
      </c>
      <c r="E1462" s="165" t="s">
        <v>1058</v>
      </c>
      <c r="F1462" s="165" t="str">
        <f>"上一招为剑法时，使敌人下一回合费用-"&amp;skill!$O$119&amp;""</f>
        <v>上一招为剑法时，使敌人下一回合费用-1</v>
      </c>
      <c r="G1462" s="186">
        <f ca="1">OFFSET(卡牌辅助配置表!$C$1,MATCH(AC1462,卡牌辅助配置表!A:A,0)-1,0)</f>
        <v>3</v>
      </c>
      <c r="H1462" s="186">
        <f ca="1">OFFSET(skill!$Q$1,MATCH(B1462,skill!B:B,0)-1,0)</f>
        <v>0</v>
      </c>
      <c r="I1462" s="186"/>
      <c r="J1462" s="186">
        <f ca="1">OFFSET(card_type!$F$1,MATCH(Q1462,card_type!A:A,0)-1,0)</f>
        <v>4</v>
      </c>
      <c r="K1462" s="243">
        <f ca="1">OFFSET(card_type!$G$1,MATCH(Q1462,card_type!A:A,0)-1,0)</f>
        <v>2</v>
      </c>
      <c r="L1462" s="157">
        <v>2</v>
      </c>
      <c r="M1462" s="157">
        <v>2</v>
      </c>
      <c r="N1462" s="153">
        <f t="shared" si="249"/>
        <v>12</v>
      </c>
      <c r="O1462" s="157"/>
      <c r="P1462" s="157"/>
      <c r="Q1462" s="153">
        <f ca="1">OFFSET(card_type!$A$1,MATCH(card!B1462,card_type!B:B,0)-1,0)</f>
        <v>2403</v>
      </c>
      <c r="R1462" s="153">
        <v>1</v>
      </c>
      <c r="S1462" s="157"/>
      <c r="T1462" s="153">
        <v>2</v>
      </c>
      <c r="U1462" s="153">
        <f ca="1" t="shared" si="241"/>
        <v>42</v>
      </c>
      <c r="V1462" s="153">
        <f ca="1">ROUND((OFFSET(卡牌辅助配置表!$O$1,MATCH(U1462,卡牌辅助配置表!M:M,0)-1,0)+(N1462-1)*OFFSET(卡牌辅助配置表!$P$1,MATCH(U1462,卡牌辅助配置表!M:M,0)-1,0))*M1462,2)</f>
        <v>124.55</v>
      </c>
      <c r="W1462" s="157">
        <f ca="1">ROUND(IF(R1462=0,0,IF(R1462=1,X1462*$W$1,IF(R1462=2,X1462*$W$1*buff的资质计算!$E$2,IF(R1462=3,X1462*$W$1*buff的资质计算!$E$3,0)))),2)</f>
        <v>16.95</v>
      </c>
      <c r="X1462" s="157">
        <f ca="1" t="shared" si="247"/>
        <v>56.5</v>
      </c>
      <c r="Y1462" s="157">
        <f ca="1" t="shared" si="245"/>
        <v>56.5</v>
      </c>
      <c r="Z1462" s="304">
        <f ca="1" t="shared" si="248"/>
        <v>28.25</v>
      </c>
      <c r="AA1462" s="304">
        <f ca="1">OFFSET(卡牌辅助配置表!$AD$1,MATCH(AB1462,卡牌辅助配置表!AB:AB,0)-1,0)</f>
        <v>5980</v>
      </c>
      <c r="AB1462" s="304">
        <f ca="1" t="shared" si="242"/>
        <v>4212</v>
      </c>
      <c r="AC1462" s="153">
        <v>3</v>
      </c>
      <c r="AE1462" s="153">
        <v>2</v>
      </c>
      <c r="AF1462" s="153" t="str">
        <f ca="1" t="shared" si="246"/>
        <v>24030011|</v>
      </c>
      <c r="AJ1462" s="205">
        <f ca="1" t="shared" si="243"/>
        <v>0</v>
      </c>
      <c r="AK1462" s="205">
        <f ca="1">OFFSET([1]item_type!$A$1,MATCH(Q1462,[1]item_type!$G:$G,0)-1,0)</f>
        <v>302403</v>
      </c>
      <c r="AL1462" s="205"/>
      <c r="AM1462" s="205">
        <f ca="1">IF(B1462=B1463,OFFSET(卡牌辅助配置表!$AE$1,MATCH(AB1462,卡牌辅助配置表!AB:AB,0),0),0)</f>
        <v>5250</v>
      </c>
      <c r="AN1462" s="153">
        <f ca="1" t="shared" si="244"/>
        <v>0</v>
      </c>
      <c r="AP1462" s="153" t="str">
        <f ca="1">IF(AC1462=0,0,IF(AC1462=12,0,OFFSET(effect!$N$1,MATCH(K1462,effect!M:M,0)-1,0)))</f>
        <v>kpsx_pt</v>
      </c>
    </row>
    <row r="1463" spans="1:42">
      <c r="A1463" s="153">
        <f ca="1" t="shared" si="240"/>
        <v>2403013</v>
      </c>
      <c r="B1463" s="300" t="s">
        <v>808</v>
      </c>
      <c r="C1463" s="186">
        <v>2</v>
      </c>
      <c r="D1463" s="186">
        <v>1</v>
      </c>
      <c r="E1463" s="165" t="s">
        <v>1058</v>
      </c>
      <c r="F1463" s="165" t="str">
        <f>"上一招为剑法时，使敌人下一回合费用-"&amp;skill!$O$119&amp;""</f>
        <v>上一招为剑法时，使敌人下一回合费用-1</v>
      </c>
      <c r="G1463" s="186">
        <f ca="1">OFFSET(卡牌辅助配置表!$C$1,MATCH(AC1463,卡牌辅助配置表!A:A,0)-1,0)</f>
        <v>3</v>
      </c>
      <c r="H1463" s="186">
        <f ca="1">OFFSET(skill!$Q$1,MATCH(B1463,skill!B:B,0)-1,0)</f>
        <v>0</v>
      </c>
      <c r="I1463" s="186"/>
      <c r="J1463" s="186">
        <f ca="1">OFFSET(card_type!$F$1,MATCH(Q1463,card_type!A:A,0)-1,0)</f>
        <v>4</v>
      </c>
      <c r="K1463" s="243">
        <f ca="1">OFFSET(card_type!$G$1,MATCH(Q1463,card_type!A:A,0)-1,0)</f>
        <v>2</v>
      </c>
      <c r="L1463" s="157">
        <v>2</v>
      </c>
      <c r="M1463" s="157">
        <v>2</v>
      </c>
      <c r="N1463" s="153">
        <f t="shared" si="249"/>
        <v>13</v>
      </c>
      <c r="O1463" s="157"/>
      <c r="P1463" s="157"/>
      <c r="Q1463" s="153">
        <f ca="1">OFFSET(card_type!$A$1,MATCH(card!B1463,card_type!B:B,0)-1,0)</f>
        <v>2403</v>
      </c>
      <c r="R1463" s="153">
        <v>1</v>
      </c>
      <c r="S1463" s="157"/>
      <c r="T1463" s="153">
        <v>2</v>
      </c>
      <c r="U1463" s="153">
        <f ca="1" t="shared" si="241"/>
        <v>42</v>
      </c>
      <c r="V1463" s="153">
        <f ca="1">ROUND((OFFSET(卡牌辅助配置表!$O$1,MATCH(U1463,卡牌辅助配置表!M:M,0)-1,0)+(N1463-1)*OFFSET(卡牌辅助配置表!$P$1,MATCH(U1463,卡牌辅助配置表!M:M,0)-1,0))*M1463,2)</f>
        <v>131.85</v>
      </c>
      <c r="W1463" s="157">
        <f ca="1">ROUND(IF(R1463=0,0,IF(R1463=1,X1463*$W$1,IF(R1463=2,X1463*$W$1*buff的资质计算!$E$2,IF(R1463=3,X1463*$W$1*buff的资质计算!$E$3,0)))),2)</f>
        <v>17.1</v>
      </c>
      <c r="X1463" s="157">
        <f ca="1" t="shared" si="247"/>
        <v>57</v>
      </c>
      <c r="Y1463" s="157">
        <f ca="1" t="shared" si="245"/>
        <v>57</v>
      </c>
      <c r="Z1463" s="304">
        <f ca="1" t="shared" si="248"/>
        <v>28.5</v>
      </c>
      <c r="AA1463" s="304">
        <f ca="1">OFFSET(卡牌辅助配置表!$AD$1,MATCH(AB1463,卡牌辅助配置表!AB:AB,0)-1,0)</f>
        <v>6670</v>
      </c>
      <c r="AB1463" s="304">
        <f ca="1" t="shared" si="242"/>
        <v>4213</v>
      </c>
      <c r="AC1463" s="153">
        <v>3</v>
      </c>
      <c r="AE1463" s="153">
        <v>2</v>
      </c>
      <c r="AF1463" s="153" t="str">
        <f ca="1" t="shared" si="246"/>
        <v>24030011|</v>
      </c>
      <c r="AJ1463" s="205">
        <f ca="1" t="shared" si="243"/>
        <v>0</v>
      </c>
      <c r="AK1463" s="205">
        <f ca="1">OFFSET([1]item_type!$A$1,MATCH(Q1463,[1]item_type!$G:$G,0)-1,0)</f>
        <v>302403</v>
      </c>
      <c r="AL1463" s="205"/>
      <c r="AM1463" s="205">
        <f ca="1">IF(B1463=B1464,OFFSET(卡牌辅助配置表!$AE$1,MATCH(AB1463,卡牌辅助配置表!AB:AB,0),0),0)</f>
        <v>5850</v>
      </c>
      <c r="AN1463" s="153">
        <f ca="1" t="shared" si="244"/>
        <v>0</v>
      </c>
      <c r="AP1463" s="153" t="str">
        <f ca="1">IF(AC1463=0,0,IF(AC1463=12,0,OFFSET(effect!$N$1,MATCH(K1463,effect!M:M,0)-1,0)))</f>
        <v>kpsx_pt</v>
      </c>
    </row>
    <row r="1464" spans="1:42">
      <c r="A1464" s="153">
        <f ca="1" t="shared" si="240"/>
        <v>2403014</v>
      </c>
      <c r="B1464" s="300" t="s">
        <v>808</v>
      </c>
      <c r="C1464" s="186">
        <v>2</v>
      </c>
      <c r="D1464" s="186">
        <v>1</v>
      </c>
      <c r="E1464" s="165" t="s">
        <v>1058</v>
      </c>
      <c r="F1464" s="165" t="str">
        <f>"上一招为剑法时，使敌人下一回合费用-"&amp;skill!$O$119&amp;""</f>
        <v>上一招为剑法时，使敌人下一回合费用-1</v>
      </c>
      <c r="G1464" s="186">
        <f ca="1">OFFSET(卡牌辅助配置表!$C$1,MATCH(AC1464,卡牌辅助配置表!A:A,0)-1,0)</f>
        <v>3</v>
      </c>
      <c r="H1464" s="186">
        <f ca="1">OFFSET(skill!$Q$1,MATCH(B1464,skill!B:B,0)-1,0)</f>
        <v>0</v>
      </c>
      <c r="I1464" s="186"/>
      <c r="J1464" s="186">
        <f ca="1">OFFSET(card_type!$F$1,MATCH(Q1464,card_type!A:A,0)-1,0)</f>
        <v>4</v>
      </c>
      <c r="K1464" s="243">
        <f ca="1">OFFSET(card_type!$G$1,MATCH(Q1464,card_type!A:A,0)-1,0)</f>
        <v>2</v>
      </c>
      <c r="L1464" s="157">
        <v>2</v>
      </c>
      <c r="M1464" s="157">
        <v>2</v>
      </c>
      <c r="N1464" s="153">
        <f t="shared" si="249"/>
        <v>14</v>
      </c>
      <c r="O1464" s="157"/>
      <c r="P1464" s="157"/>
      <c r="Q1464" s="153">
        <f ca="1">OFFSET(card_type!$A$1,MATCH(card!B1464,card_type!B:B,0)-1,0)</f>
        <v>2403</v>
      </c>
      <c r="R1464" s="153">
        <v>1</v>
      </c>
      <c r="S1464" s="157"/>
      <c r="T1464" s="153">
        <v>2</v>
      </c>
      <c r="U1464" s="153">
        <f ca="1" t="shared" si="241"/>
        <v>42</v>
      </c>
      <c r="V1464" s="153">
        <f ca="1">ROUND((OFFSET(卡牌辅助配置表!$O$1,MATCH(U1464,卡牌辅助配置表!M:M,0)-1,0)+(N1464-1)*OFFSET(卡牌辅助配置表!$P$1,MATCH(U1464,卡牌辅助配置表!M:M,0)-1,0))*M1464,2)</f>
        <v>139.15</v>
      </c>
      <c r="W1464" s="157">
        <f ca="1">ROUND(IF(R1464=0,0,IF(R1464=1,X1464*$W$1,IF(R1464=2,X1464*$W$1*buff的资质计算!$E$2,IF(R1464=3,X1464*$W$1*buff的资质计算!$E$3,0)))),2)</f>
        <v>17.25</v>
      </c>
      <c r="X1464" s="157">
        <f ca="1" t="shared" si="247"/>
        <v>57.5</v>
      </c>
      <c r="Y1464" s="157">
        <f ca="1" t="shared" si="245"/>
        <v>57.5</v>
      </c>
      <c r="Z1464" s="304">
        <f ca="1" t="shared" si="248"/>
        <v>28.75</v>
      </c>
      <c r="AA1464" s="304">
        <f ca="1">OFFSET(卡牌辅助配置表!$AD$1,MATCH(AB1464,卡牌辅助配置表!AB:AB,0)-1,0)</f>
        <v>7360</v>
      </c>
      <c r="AB1464" s="304">
        <f ca="1" t="shared" si="242"/>
        <v>4214</v>
      </c>
      <c r="AC1464" s="153">
        <v>3</v>
      </c>
      <c r="AE1464" s="153">
        <v>2</v>
      </c>
      <c r="AF1464" s="153" t="str">
        <f ca="1" t="shared" si="246"/>
        <v>24030011|</v>
      </c>
      <c r="AJ1464" s="205">
        <f ca="1" t="shared" si="243"/>
        <v>0</v>
      </c>
      <c r="AK1464" s="205">
        <f ca="1">OFFSET([1]item_type!$A$1,MATCH(Q1464,[1]item_type!$G:$G,0)-1,0)</f>
        <v>302403</v>
      </c>
      <c r="AL1464" s="205"/>
      <c r="AM1464" s="205">
        <f ca="1">IF(B1464=B1465,OFFSET(卡牌辅助配置表!$AE$1,MATCH(AB1464,卡牌辅助配置表!AB:AB,0),0),0)</f>
        <v>6450</v>
      </c>
      <c r="AN1464" s="153">
        <f ca="1" t="shared" si="244"/>
        <v>0</v>
      </c>
      <c r="AP1464" s="153" t="str">
        <f ca="1">IF(AC1464=0,0,IF(AC1464=12,0,OFFSET(effect!$N$1,MATCH(K1464,effect!M:M,0)-1,0)))</f>
        <v>kpsx_pt</v>
      </c>
    </row>
    <row r="1465" spans="1:42">
      <c r="A1465" s="153">
        <f ca="1" t="shared" si="240"/>
        <v>2403015</v>
      </c>
      <c r="B1465" s="300" t="s">
        <v>808</v>
      </c>
      <c r="C1465" s="186">
        <v>2</v>
      </c>
      <c r="D1465" s="186">
        <v>1</v>
      </c>
      <c r="E1465" s="165" t="s">
        <v>1058</v>
      </c>
      <c r="F1465" s="165" t="str">
        <f>"上一招为剑法时，使敌人下一回合费用-"&amp;skill!$O$119&amp;""</f>
        <v>上一招为剑法时，使敌人下一回合费用-1</v>
      </c>
      <c r="G1465" s="186">
        <f ca="1">OFFSET(卡牌辅助配置表!$C$1,MATCH(AC1465,卡牌辅助配置表!A:A,0)-1,0)</f>
        <v>3</v>
      </c>
      <c r="H1465" s="186">
        <f ca="1">OFFSET(skill!$Q$1,MATCH(B1465,skill!B:B,0)-1,0)</f>
        <v>0</v>
      </c>
      <c r="I1465" s="186"/>
      <c r="J1465" s="186">
        <f ca="1">OFFSET(card_type!$F$1,MATCH(Q1465,card_type!A:A,0)-1,0)</f>
        <v>4</v>
      </c>
      <c r="K1465" s="243">
        <f ca="1">OFFSET(card_type!$G$1,MATCH(Q1465,card_type!A:A,0)-1,0)</f>
        <v>2</v>
      </c>
      <c r="L1465" s="157">
        <v>2</v>
      </c>
      <c r="M1465" s="157">
        <v>2</v>
      </c>
      <c r="N1465" s="153">
        <f t="shared" si="249"/>
        <v>15</v>
      </c>
      <c r="O1465" s="157"/>
      <c r="P1465" s="157"/>
      <c r="Q1465" s="153">
        <f ca="1">OFFSET(card_type!$A$1,MATCH(card!B1465,card_type!B:B,0)-1,0)</f>
        <v>2403</v>
      </c>
      <c r="R1465" s="153">
        <v>1</v>
      </c>
      <c r="S1465" s="157"/>
      <c r="T1465" s="153">
        <v>2</v>
      </c>
      <c r="U1465" s="153">
        <f ca="1" t="shared" si="241"/>
        <v>42</v>
      </c>
      <c r="V1465" s="153">
        <f ca="1">ROUND((OFFSET(卡牌辅助配置表!$O$1,MATCH(U1465,卡牌辅助配置表!M:M,0)-1,0)+(N1465-1)*OFFSET(卡牌辅助配置表!$P$1,MATCH(U1465,卡牌辅助配置表!M:M,0)-1,0))*M1465,2)</f>
        <v>146.45</v>
      </c>
      <c r="W1465" s="157">
        <f ca="1">ROUND(IF(R1465=0,0,IF(R1465=1,X1465*$W$1,IF(R1465=2,X1465*$W$1*buff的资质计算!$E$2,IF(R1465=3,X1465*$W$1*buff的资质计算!$E$3,0)))),2)</f>
        <v>17.4</v>
      </c>
      <c r="X1465" s="157">
        <f ca="1" t="shared" si="247"/>
        <v>58</v>
      </c>
      <c r="Y1465" s="157">
        <f ca="1" t="shared" si="245"/>
        <v>58</v>
      </c>
      <c r="Z1465" s="304">
        <f ca="1" t="shared" si="248"/>
        <v>29</v>
      </c>
      <c r="AA1465" s="304">
        <f ca="1">OFFSET(卡牌辅助配置表!$AD$1,MATCH(AB1465,卡牌辅助配置表!AB:AB,0)-1,0)</f>
        <v>8050</v>
      </c>
      <c r="AB1465" s="304">
        <f ca="1" t="shared" si="242"/>
        <v>4215</v>
      </c>
      <c r="AC1465" s="153">
        <v>3</v>
      </c>
      <c r="AE1465" s="153">
        <v>2</v>
      </c>
      <c r="AF1465" s="153" t="str">
        <f ca="1" t="shared" si="246"/>
        <v>24030011|</v>
      </c>
      <c r="AJ1465" s="205">
        <f ca="1" t="shared" si="243"/>
        <v>0</v>
      </c>
      <c r="AK1465" s="205">
        <f ca="1">OFFSET([1]item_type!$A$1,MATCH(Q1465,[1]item_type!$G:$G,0)-1,0)</f>
        <v>302403</v>
      </c>
      <c r="AL1465" s="205"/>
      <c r="AM1465" s="205">
        <f ca="1">IF(B1465=B1466,OFFSET(卡牌辅助配置表!$AE$1,MATCH(AB1465,卡牌辅助配置表!AB:AB,0),0),0)</f>
        <v>7050</v>
      </c>
      <c r="AN1465" s="153">
        <f ca="1" t="shared" si="244"/>
        <v>0</v>
      </c>
      <c r="AP1465" s="153" t="str">
        <f ca="1">IF(AC1465=0,0,IF(AC1465=12,0,OFFSET(effect!$N$1,MATCH(K1465,effect!M:M,0)-1,0)))</f>
        <v>kpsx_pt</v>
      </c>
    </row>
    <row r="1466" spans="1:42">
      <c r="A1466" s="153">
        <f ca="1" t="shared" si="240"/>
        <v>2403016</v>
      </c>
      <c r="B1466" s="300" t="s">
        <v>808</v>
      </c>
      <c r="C1466" s="186">
        <v>2</v>
      </c>
      <c r="D1466" s="186">
        <v>1</v>
      </c>
      <c r="E1466" s="165" t="s">
        <v>1058</v>
      </c>
      <c r="F1466" s="165" t="str">
        <f>"上一招为剑法时，使敌人下一回合费用-"&amp;skill!$O$119&amp;""</f>
        <v>上一招为剑法时，使敌人下一回合费用-1</v>
      </c>
      <c r="G1466" s="186">
        <f ca="1">OFFSET(卡牌辅助配置表!$C$1,MATCH(AC1466,卡牌辅助配置表!A:A,0)-1,0)</f>
        <v>3</v>
      </c>
      <c r="H1466" s="186">
        <f ca="1">OFFSET(skill!$Q$1,MATCH(B1466,skill!B:B,0)-1,0)</f>
        <v>0</v>
      </c>
      <c r="I1466" s="186"/>
      <c r="J1466" s="186">
        <f ca="1">OFFSET(card_type!$F$1,MATCH(Q1466,card_type!A:A,0)-1,0)</f>
        <v>4</v>
      </c>
      <c r="K1466" s="243">
        <f ca="1">OFFSET(card_type!$G$1,MATCH(Q1466,card_type!A:A,0)-1,0)</f>
        <v>2</v>
      </c>
      <c r="L1466" s="157">
        <v>2</v>
      </c>
      <c r="M1466" s="157">
        <v>2</v>
      </c>
      <c r="N1466" s="153">
        <f t="shared" si="249"/>
        <v>16</v>
      </c>
      <c r="O1466" s="157"/>
      <c r="P1466" s="157"/>
      <c r="Q1466" s="153">
        <f ca="1">OFFSET(card_type!$A$1,MATCH(card!B1466,card_type!B:B,0)-1,0)</f>
        <v>2403</v>
      </c>
      <c r="R1466" s="153">
        <v>1</v>
      </c>
      <c r="S1466" s="157"/>
      <c r="T1466" s="153">
        <v>2</v>
      </c>
      <c r="U1466" s="153">
        <f ca="1" t="shared" si="241"/>
        <v>42</v>
      </c>
      <c r="V1466" s="153">
        <f ca="1">ROUND((OFFSET(卡牌辅助配置表!$O$1,MATCH(U1466,卡牌辅助配置表!M:M,0)-1,0)+(N1466-1)*OFFSET(卡牌辅助配置表!$P$1,MATCH(U1466,卡牌辅助配置表!M:M,0)-1,0))*M1466,2)</f>
        <v>153.75</v>
      </c>
      <c r="W1466" s="157">
        <f ca="1">ROUND(IF(R1466=0,0,IF(R1466=1,X1466*$W$1,IF(R1466=2,X1466*$W$1*buff的资质计算!$E$2,IF(R1466=3,X1466*$W$1*buff的资质计算!$E$3,0)))),2)</f>
        <v>17.55</v>
      </c>
      <c r="X1466" s="157">
        <f ca="1" t="shared" si="247"/>
        <v>58.5</v>
      </c>
      <c r="Y1466" s="157">
        <f ca="1" t="shared" si="245"/>
        <v>58.5</v>
      </c>
      <c r="Z1466" s="304">
        <f ca="1" t="shared" si="248"/>
        <v>29.25</v>
      </c>
      <c r="AA1466" s="304">
        <f ca="1">OFFSET(卡牌辅助配置表!$AD$1,MATCH(AB1466,卡牌辅助配置表!AB:AB,0)-1,0)</f>
        <v>8740</v>
      </c>
      <c r="AB1466" s="304">
        <f ca="1" t="shared" si="242"/>
        <v>4216</v>
      </c>
      <c r="AC1466" s="153">
        <v>3</v>
      </c>
      <c r="AE1466" s="153">
        <v>2</v>
      </c>
      <c r="AF1466" s="153" t="str">
        <f ca="1" t="shared" si="246"/>
        <v>24030011|</v>
      </c>
      <c r="AJ1466" s="205">
        <f ca="1" t="shared" si="243"/>
        <v>0</v>
      </c>
      <c r="AK1466" s="205">
        <f ca="1">OFFSET([1]item_type!$A$1,MATCH(Q1466,[1]item_type!$G:$G,0)-1,0)</f>
        <v>302403</v>
      </c>
      <c r="AL1466" s="205"/>
      <c r="AM1466" s="205">
        <f ca="1">IF(B1466=B1467,OFFSET(卡牌辅助配置表!$AE$1,MATCH(AB1466,卡牌辅助配置表!AB:AB,0),0),0)</f>
        <v>7650</v>
      </c>
      <c r="AN1466" s="153">
        <f ca="1" t="shared" si="244"/>
        <v>0</v>
      </c>
      <c r="AP1466" s="153" t="str">
        <f ca="1">IF(AC1466=0,0,IF(AC1466=12,0,OFFSET(effect!$N$1,MATCH(K1466,effect!M:M,0)-1,0)))</f>
        <v>kpsx_pt</v>
      </c>
    </row>
    <row r="1467" spans="1:42">
      <c r="A1467" s="153">
        <f ca="1" t="shared" si="240"/>
        <v>2403017</v>
      </c>
      <c r="B1467" s="300" t="s">
        <v>808</v>
      </c>
      <c r="C1467" s="186">
        <v>2</v>
      </c>
      <c r="D1467" s="186">
        <v>1</v>
      </c>
      <c r="E1467" s="165" t="s">
        <v>1058</v>
      </c>
      <c r="F1467" s="165" t="str">
        <f>"上一招为剑法时，使敌人下一回合费用-"&amp;skill!$O$119&amp;""</f>
        <v>上一招为剑法时，使敌人下一回合费用-1</v>
      </c>
      <c r="G1467" s="186">
        <f ca="1">OFFSET(卡牌辅助配置表!$C$1,MATCH(AC1467,卡牌辅助配置表!A:A,0)-1,0)</f>
        <v>3</v>
      </c>
      <c r="H1467" s="186">
        <f ca="1">OFFSET(skill!$Q$1,MATCH(B1467,skill!B:B,0)-1,0)</f>
        <v>0</v>
      </c>
      <c r="I1467" s="186"/>
      <c r="J1467" s="186">
        <f ca="1">OFFSET(card_type!$F$1,MATCH(Q1467,card_type!A:A,0)-1,0)</f>
        <v>4</v>
      </c>
      <c r="K1467" s="243">
        <f ca="1">OFFSET(card_type!$G$1,MATCH(Q1467,card_type!A:A,0)-1,0)</f>
        <v>2</v>
      </c>
      <c r="L1467" s="157">
        <v>2</v>
      </c>
      <c r="M1467" s="157">
        <v>2</v>
      </c>
      <c r="N1467" s="153">
        <f t="shared" si="249"/>
        <v>17</v>
      </c>
      <c r="O1467" s="157"/>
      <c r="P1467" s="157"/>
      <c r="Q1467" s="153">
        <f ca="1">OFFSET(card_type!$A$1,MATCH(card!B1467,card_type!B:B,0)-1,0)</f>
        <v>2403</v>
      </c>
      <c r="R1467" s="153">
        <v>1</v>
      </c>
      <c r="S1467" s="157"/>
      <c r="T1467" s="153">
        <v>2</v>
      </c>
      <c r="U1467" s="153">
        <f ca="1" t="shared" si="241"/>
        <v>42</v>
      </c>
      <c r="V1467" s="153">
        <f ca="1">ROUND((OFFSET(卡牌辅助配置表!$O$1,MATCH(U1467,卡牌辅助配置表!M:M,0)-1,0)+(N1467-1)*OFFSET(卡牌辅助配置表!$P$1,MATCH(U1467,卡牌辅助配置表!M:M,0)-1,0))*M1467,2)</f>
        <v>161.05</v>
      </c>
      <c r="W1467" s="157">
        <f ca="1">ROUND(IF(R1467=0,0,IF(R1467=1,X1467*$W$1,IF(R1467=2,X1467*$W$1*buff的资质计算!$E$2,IF(R1467=3,X1467*$W$1*buff的资质计算!$E$3,0)))),2)</f>
        <v>17.7</v>
      </c>
      <c r="X1467" s="157">
        <f ca="1" t="shared" si="247"/>
        <v>59</v>
      </c>
      <c r="Y1467" s="157">
        <f ca="1" t="shared" si="245"/>
        <v>59</v>
      </c>
      <c r="Z1467" s="304">
        <f ca="1" t="shared" si="248"/>
        <v>29.5</v>
      </c>
      <c r="AA1467" s="304">
        <f ca="1">OFFSET(卡牌辅助配置表!$AD$1,MATCH(AB1467,卡牌辅助配置表!AB:AB,0)-1,0)</f>
        <v>9430</v>
      </c>
      <c r="AB1467" s="304">
        <f ca="1" t="shared" si="242"/>
        <v>4217</v>
      </c>
      <c r="AC1467" s="153">
        <v>3</v>
      </c>
      <c r="AE1467" s="153">
        <v>2</v>
      </c>
      <c r="AF1467" s="153" t="str">
        <f ca="1" t="shared" si="246"/>
        <v>24030011|</v>
      </c>
      <c r="AJ1467" s="205">
        <f ca="1" t="shared" si="243"/>
        <v>0</v>
      </c>
      <c r="AK1467" s="205">
        <f ca="1">OFFSET([1]item_type!$A$1,MATCH(Q1467,[1]item_type!$G:$G,0)-1,0)</f>
        <v>302403</v>
      </c>
      <c r="AL1467" s="205"/>
      <c r="AM1467" s="205">
        <f ca="1">IF(B1467=B1468,OFFSET(卡牌辅助配置表!$AE$1,MATCH(AB1467,卡牌辅助配置表!AB:AB,0),0),0)</f>
        <v>8250</v>
      </c>
      <c r="AN1467" s="153">
        <f ca="1" t="shared" si="244"/>
        <v>0</v>
      </c>
      <c r="AP1467" s="153" t="str">
        <f ca="1">IF(AC1467=0,0,IF(AC1467=12,0,OFFSET(effect!$N$1,MATCH(K1467,effect!M:M,0)-1,0)))</f>
        <v>kpsx_pt</v>
      </c>
    </row>
    <row r="1468" spans="1:42">
      <c r="A1468" s="153">
        <f ca="1" t="shared" si="240"/>
        <v>2403018</v>
      </c>
      <c r="B1468" s="300" t="s">
        <v>808</v>
      </c>
      <c r="C1468" s="186">
        <v>2</v>
      </c>
      <c r="D1468" s="186">
        <v>1</v>
      </c>
      <c r="E1468" s="165" t="s">
        <v>1058</v>
      </c>
      <c r="F1468" s="165" t="str">
        <f>"上一招为剑法时，使敌人下一回合费用-"&amp;skill!$O$119&amp;""</f>
        <v>上一招为剑法时，使敌人下一回合费用-1</v>
      </c>
      <c r="G1468" s="186">
        <f ca="1">OFFSET(卡牌辅助配置表!$C$1,MATCH(AC1468,卡牌辅助配置表!A:A,0)-1,0)</f>
        <v>3</v>
      </c>
      <c r="H1468" s="186">
        <f ca="1">OFFSET(skill!$Q$1,MATCH(B1468,skill!B:B,0)-1,0)</f>
        <v>0</v>
      </c>
      <c r="I1468" s="186"/>
      <c r="J1468" s="186">
        <f ca="1">OFFSET(card_type!$F$1,MATCH(Q1468,card_type!A:A,0)-1,0)</f>
        <v>4</v>
      </c>
      <c r="K1468" s="243">
        <f ca="1">OFFSET(card_type!$G$1,MATCH(Q1468,card_type!A:A,0)-1,0)</f>
        <v>2</v>
      </c>
      <c r="L1468" s="157">
        <v>2</v>
      </c>
      <c r="M1468" s="157">
        <v>2</v>
      </c>
      <c r="N1468" s="153">
        <f t="shared" si="249"/>
        <v>18</v>
      </c>
      <c r="O1468" s="157"/>
      <c r="P1468" s="157"/>
      <c r="Q1468" s="153">
        <f ca="1">OFFSET(card_type!$A$1,MATCH(card!B1468,card_type!B:B,0)-1,0)</f>
        <v>2403</v>
      </c>
      <c r="R1468" s="153">
        <v>1</v>
      </c>
      <c r="S1468" s="157"/>
      <c r="T1468" s="153">
        <v>2</v>
      </c>
      <c r="U1468" s="153">
        <f ca="1" t="shared" si="241"/>
        <v>42</v>
      </c>
      <c r="V1468" s="153">
        <f ca="1">ROUND((OFFSET(卡牌辅助配置表!$O$1,MATCH(U1468,卡牌辅助配置表!M:M,0)-1,0)+(N1468-1)*OFFSET(卡牌辅助配置表!$P$1,MATCH(U1468,卡牌辅助配置表!M:M,0)-1,0))*M1468,2)</f>
        <v>168.35</v>
      </c>
      <c r="W1468" s="157">
        <f ca="1">ROUND(IF(R1468=0,0,IF(R1468=1,X1468*$W$1,IF(R1468=2,X1468*$W$1*buff的资质计算!$E$2,IF(R1468=3,X1468*$W$1*buff的资质计算!$E$3,0)))),2)</f>
        <v>17.85</v>
      </c>
      <c r="X1468" s="157">
        <f ca="1" t="shared" si="247"/>
        <v>59.5</v>
      </c>
      <c r="Y1468" s="157">
        <f ca="1" t="shared" si="245"/>
        <v>59.5</v>
      </c>
      <c r="Z1468" s="304">
        <f ca="1" t="shared" si="248"/>
        <v>29.75</v>
      </c>
      <c r="AA1468" s="304">
        <f ca="1">OFFSET(卡牌辅助配置表!$AD$1,MATCH(AB1468,卡牌辅助配置表!AB:AB,0)-1,0)</f>
        <v>10120</v>
      </c>
      <c r="AB1468" s="304">
        <f ca="1" t="shared" si="242"/>
        <v>4218</v>
      </c>
      <c r="AC1468" s="153">
        <v>3</v>
      </c>
      <c r="AE1468" s="153">
        <v>2</v>
      </c>
      <c r="AF1468" s="153" t="str">
        <f ca="1" t="shared" si="246"/>
        <v>24030011|</v>
      </c>
      <c r="AJ1468" s="205">
        <f ca="1" t="shared" si="243"/>
        <v>0</v>
      </c>
      <c r="AK1468" s="205">
        <f ca="1">OFFSET([1]item_type!$A$1,MATCH(Q1468,[1]item_type!$G:$G,0)-1,0)</f>
        <v>302403</v>
      </c>
      <c r="AL1468" s="205"/>
      <c r="AM1468" s="205">
        <f ca="1">IF(B1468=B1469,OFFSET(卡牌辅助配置表!$AE$1,MATCH(AB1468,卡牌辅助配置表!AB:AB,0),0),0)</f>
        <v>8850</v>
      </c>
      <c r="AN1468" s="153">
        <f ca="1" t="shared" si="244"/>
        <v>0</v>
      </c>
      <c r="AP1468" s="153" t="str">
        <f ca="1">IF(AC1468=0,0,IF(AC1468=12,0,OFFSET(effect!$N$1,MATCH(K1468,effect!M:M,0)-1,0)))</f>
        <v>kpsx_pt</v>
      </c>
    </row>
    <row r="1469" spans="1:42">
      <c r="A1469" s="153">
        <f ca="1" t="shared" si="240"/>
        <v>2403019</v>
      </c>
      <c r="B1469" s="300" t="s">
        <v>808</v>
      </c>
      <c r="C1469" s="186">
        <v>2</v>
      </c>
      <c r="D1469" s="186">
        <v>1</v>
      </c>
      <c r="E1469" s="165" t="s">
        <v>1058</v>
      </c>
      <c r="F1469" s="165" t="str">
        <f>"上一招为剑法时，使敌人下一回合费用-"&amp;skill!$O$119&amp;""</f>
        <v>上一招为剑法时，使敌人下一回合费用-1</v>
      </c>
      <c r="G1469" s="186">
        <f ca="1">OFFSET(卡牌辅助配置表!$C$1,MATCH(AC1469,卡牌辅助配置表!A:A,0)-1,0)</f>
        <v>3</v>
      </c>
      <c r="H1469" s="186">
        <f ca="1">OFFSET(skill!$Q$1,MATCH(B1469,skill!B:B,0)-1,0)</f>
        <v>0</v>
      </c>
      <c r="I1469" s="186"/>
      <c r="J1469" s="186">
        <f ca="1">OFFSET(card_type!$F$1,MATCH(Q1469,card_type!A:A,0)-1,0)</f>
        <v>4</v>
      </c>
      <c r="K1469" s="243">
        <f ca="1">OFFSET(card_type!$G$1,MATCH(Q1469,card_type!A:A,0)-1,0)</f>
        <v>2</v>
      </c>
      <c r="L1469" s="157">
        <v>2</v>
      </c>
      <c r="M1469" s="157">
        <v>2</v>
      </c>
      <c r="N1469" s="153">
        <f t="shared" si="249"/>
        <v>19</v>
      </c>
      <c r="O1469" s="157"/>
      <c r="P1469" s="157"/>
      <c r="Q1469" s="153">
        <f ca="1">OFFSET(card_type!$A$1,MATCH(card!B1469,card_type!B:B,0)-1,0)</f>
        <v>2403</v>
      </c>
      <c r="R1469" s="153">
        <v>1</v>
      </c>
      <c r="S1469" s="157"/>
      <c r="T1469" s="153">
        <v>2</v>
      </c>
      <c r="U1469" s="153">
        <f ca="1" t="shared" si="241"/>
        <v>42</v>
      </c>
      <c r="V1469" s="153">
        <f ca="1">ROUND((OFFSET(卡牌辅助配置表!$O$1,MATCH(U1469,卡牌辅助配置表!M:M,0)-1,0)+(N1469-1)*OFFSET(卡牌辅助配置表!$P$1,MATCH(U1469,卡牌辅助配置表!M:M,0)-1,0))*M1469,2)</f>
        <v>175.65</v>
      </c>
      <c r="W1469" s="157">
        <f ca="1">ROUND(IF(R1469=0,0,IF(R1469=1,X1469*$W$1,IF(R1469=2,X1469*$W$1*buff的资质计算!$E$2,IF(R1469=3,X1469*$W$1*buff的资质计算!$E$3,0)))),2)</f>
        <v>18</v>
      </c>
      <c r="X1469" s="157">
        <f ca="1" t="shared" si="247"/>
        <v>60</v>
      </c>
      <c r="Y1469" s="157">
        <f ca="1" t="shared" si="245"/>
        <v>60</v>
      </c>
      <c r="Z1469" s="304">
        <f ca="1" t="shared" si="248"/>
        <v>30</v>
      </c>
      <c r="AA1469" s="304">
        <f ca="1">OFFSET(卡牌辅助配置表!$AD$1,MATCH(AB1469,卡牌辅助配置表!AB:AB,0)-1,0)</f>
        <v>10810</v>
      </c>
      <c r="AB1469" s="304">
        <f ca="1" t="shared" si="242"/>
        <v>4219</v>
      </c>
      <c r="AC1469" s="153">
        <v>3</v>
      </c>
      <c r="AE1469" s="153">
        <v>2</v>
      </c>
      <c r="AF1469" s="153" t="str">
        <f ca="1" t="shared" si="246"/>
        <v>24030011|</v>
      </c>
      <c r="AJ1469" s="205">
        <f ca="1" t="shared" si="243"/>
        <v>0</v>
      </c>
      <c r="AK1469" s="205">
        <f ca="1">OFFSET([1]item_type!$A$1,MATCH(Q1469,[1]item_type!$G:$G,0)-1,0)</f>
        <v>302403</v>
      </c>
      <c r="AL1469" s="205">
        <v>20</v>
      </c>
      <c r="AM1469" s="205">
        <f ca="1">IF(B1469=B1470,OFFSET(卡牌辅助配置表!$AE$1,MATCH(AB1469,卡牌辅助配置表!AB:AB,0),0),0)</f>
        <v>9450</v>
      </c>
      <c r="AN1469" s="153">
        <f ca="1" t="shared" si="244"/>
        <v>0</v>
      </c>
      <c r="AP1469" s="153" t="str">
        <f ca="1">IF(AC1469=0,0,IF(AC1469=12,0,OFFSET(effect!$N$1,MATCH(K1469,effect!M:M,0)-1,0)))</f>
        <v>kpsx_pt</v>
      </c>
    </row>
    <row r="1470" spans="1:42">
      <c r="A1470" s="153">
        <f ca="1" t="shared" si="240"/>
        <v>2403020</v>
      </c>
      <c r="B1470" s="300" t="s">
        <v>808</v>
      </c>
      <c r="C1470" s="186">
        <v>2</v>
      </c>
      <c r="D1470" s="186">
        <v>1</v>
      </c>
      <c r="E1470" s="165" t="s">
        <v>1058</v>
      </c>
      <c r="F1470" s="165" t="str">
        <f>"上一招为剑法时，使敌人下一回合费用-"&amp;skill!$O$119&amp;""</f>
        <v>上一招为剑法时，使敌人下一回合费用-1</v>
      </c>
      <c r="G1470" s="186">
        <f ca="1">OFFSET(卡牌辅助配置表!$C$1,MATCH(AC1470,卡牌辅助配置表!A:A,0)-1,0)</f>
        <v>3</v>
      </c>
      <c r="H1470" s="186">
        <f ca="1">OFFSET(skill!$Q$1,MATCH(B1470,skill!B:B,0)-1,0)</f>
        <v>0</v>
      </c>
      <c r="I1470" s="186"/>
      <c r="J1470" s="186">
        <f ca="1">OFFSET(card_type!$F$1,MATCH(Q1470,card_type!A:A,0)-1,0)</f>
        <v>4</v>
      </c>
      <c r="K1470" s="243">
        <f ca="1">OFFSET(card_type!$G$1,MATCH(Q1470,card_type!A:A,0)-1,0)</f>
        <v>2</v>
      </c>
      <c r="L1470" s="157">
        <v>2</v>
      </c>
      <c r="M1470" s="157">
        <v>2</v>
      </c>
      <c r="N1470" s="153">
        <f t="shared" si="249"/>
        <v>20</v>
      </c>
      <c r="O1470" s="157"/>
      <c r="P1470" s="157"/>
      <c r="Q1470" s="153">
        <f ca="1">OFFSET(card_type!$A$1,MATCH(card!B1470,card_type!B:B,0)-1,0)</f>
        <v>2403</v>
      </c>
      <c r="R1470" s="153">
        <v>1</v>
      </c>
      <c r="S1470" s="157"/>
      <c r="T1470" s="153">
        <v>2</v>
      </c>
      <c r="U1470" s="153">
        <f ca="1" t="shared" si="241"/>
        <v>42</v>
      </c>
      <c r="V1470" s="153">
        <f ca="1">ROUND((OFFSET(卡牌辅助配置表!$O$1,MATCH(U1470,卡牌辅助配置表!M:M,0)-1,0)+(N1470-1)*OFFSET(卡牌辅助配置表!$P$1,MATCH(U1470,卡牌辅助配置表!M:M,0)-1,0))*M1470,2)</f>
        <v>182.95</v>
      </c>
      <c r="W1470" s="157">
        <f ca="1">ROUND(IF(R1470=0,0,IF(R1470=1,X1470*$W$1,IF(R1470=2,X1470*$W$1*buff的资质计算!$E$2,IF(R1470=3,X1470*$W$1*buff的资质计算!$E$3,0)))),2)</f>
        <v>18.15</v>
      </c>
      <c r="X1470" s="157">
        <f ca="1" t="shared" si="247"/>
        <v>60.5</v>
      </c>
      <c r="Y1470" s="157">
        <f ca="1" t="shared" si="245"/>
        <v>60.5</v>
      </c>
      <c r="Z1470" s="304">
        <f ca="1" t="shared" si="248"/>
        <v>30.25</v>
      </c>
      <c r="AA1470" s="304">
        <f ca="1">OFFSET(卡牌辅助配置表!$AD$1,MATCH(AB1470,卡牌辅助配置表!AB:AB,0)-1,0)</f>
        <v>11500</v>
      </c>
      <c r="AB1470" s="304">
        <f ca="1" t="shared" si="242"/>
        <v>4220</v>
      </c>
      <c r="AC1470" s="153">
        <v>3</v>
      </c>
      <c r="AE1470" s="153">
        <v>2</v>
      </c>
      <c r="AF1470" s="153" t="str">
        <f ca="1" t="shared" si="246"/>
        <v>24030011|</v>
      </c>
      <c r="AJ1470" s="205">
        <f ca="1" t="shared" si="243"/>
        <v>0</v>
      </c>
      <c r="AK1470" s="205">
        <f ca="1">OFFSET([1]item_type!$A$1,MATCH(Q1470,[1]item_type!$G:$G,0)-1,0)</f>
        <v>302403</v>
      </c>
      <c r="AL1470" s="205"/>
      <c r="AM1470" s="205">
        <f ca="1">IF(B1470=B1471,OFFSET(卡牌辅助配置表!$AE$1,MATCH(AB1470,卡牌辅助配置表!AB:AB,0),0),0)</f>
        <v>10650</v>
      </c>
      <c r="AN1470" s="153">
        <f ca="1" t="shared" si="244"/>
        <v>0</v>
      </c>
      <c r="AP1470" s="153" t="str">
        <f ca="1">IF(AC1470=0,0,IF(AC1470=12,0,OFFSET(effect!$N$1,MATCH(K1470,effect!M:M,0)-1,0)))</f>
        <v>kpsx_pt</v>
      </c>
    </row>
    <row r="1471" spans="1:42">
      <c r="A1471" s="153">
        <f ca="1" t="shared" si="240"/>
        <v>2403021</v>
      </c>
      <c r="B1471" s="300" t="s">
        <v>808</v>
      </c>
      <c r="C1471" s="186">
        <v>2</v>
      </c>
      <c r="D1471" s="186">
        <v>1</v>
      </c>
      <c r="E1471" s="165" t="s">
        <v>1058</v>
      </c>
      <c r="F1471" s="165" t="str">
        <f>"上一招为剑法时，使敌人下一回合费用-"&amp;skill!$O$119&amp;""</f>
        <v>上一招为剑法时，使敌人下一回合费用-1</v>
      </c>
      <c r="G1471" s="186">
        <f ca="1">OFFSET(卡牌辅助配置表!$C$1,MATCH(AC1471,卡牌辅助配置表!A:A,0)-1,0)</f>
        <v>3</v>
      </c>
      <c r="H1471" s="186">
        <f ca="1">OFFSET(skill!$Q$1,MATCH(B1471,skill!B:B,0)-1,0)</f>
        <v>0</v>
      </c>
      <c r="I1471" s="186"/>
      <c r="J1471" s="186">
        <f ca="1">OFFSET(card_type!$F$1,MATCH(Q1471,card_type!A:A,0)-1,0)</f>
        <v>4</v>
      </c>
      <c r="K1471" s="243">
        <f ca="1">OFFSET(card_type!$G$1,MATCH(Q1471,card_type!A:A,0)-1,0)</f>
        <v>2</v>
      </c>
      <c r="L1471" s="157">
        <v>2</v>
      </c>
      <c r="M1471" s="157">
        <v>2</v>
      </c>
      <c r="N1471" s="153">
        <f t="shared" si="249"/>
        <v>21</v>
      </c>
      <c r="O1471" s="157"/>
      <c r="P1471" s="157"/>
      <c r="Q1471" s="153">
        <f ca="1">OFFSET(card_type!$A$1,MATCH(card!B1471,card_type!B:B,0)-1,0)</f>
        <v>2403</v>
      </c>
      <c r="R1471" s="153">
        <v>1</v>
      </c>
      <c r="S1471" s="157"/>
      <c r="T1471" s="153">
        <v>2</v>
      </c>
      <c r="U1471" s="153">
        <f ca="1" t="shared" si="241"/>
        <v>42</v>
      </c>
      <c r="V1471" s="153">
        <f ca="1">ROUND((OFFSET(卡牌辅助配置表!$O$1,MATCH(U1471,卡牌辅助配置表!M:M,0)-1,0)+(N1471-1)*OFFSET(卡牌辅助配置表!$P$1,MATCH(U1471,卡牌辅助配置表!M:M,0)-1,0))*M1471,2)</f>
        <v>190.25</v>
      </c>
      <c r="W1471" s="157">
        <f ca="1">ROUND(IF(R1471=0,0,IF(R1471=1,X1471*$W$1,IF(R1471=2,X1471*$W$1*buff的资质计算!$E$2,IF(R1471=3,X1471*$W$1*buff的资质计算!$E$3,0)))),2)</f>
        <v>18.3</v>
      </c>
      <c r="X1471" s="157">
        <f ca="1" t="shared" si="247"/>
        <v>61</v>
      </c>
      <c r="Y1471" s="157">
        <f ca="1" t="shared" si="245"/>
        <v>61</v>
      </c>
      <c r="Z1471" s="304">
        <f ca="1" t="shared" si="248"/>
        <v>30.5</v>
      </c>
      <c r="AA1471" s="304">
        <f ca="1">OFFSET(卡牌辅助配置表!$AD$1,MATCH(AB1471,卡牌辅助配置表!AB:AB,0)-1,0)</f>
        <v>12420</v>
      </c>
      <c r="AB1471" s="304">
        <f ca="1" t="shared" si="242"/>
        <v>4221</v>
      </c>
      <c r="AC1471" s="153">
        <v>3</v>
      </c>
      <c r="AE1471" s="153">
        <v>2</v>
      </c>
      <c r="AF1471" s="153" t="str">
        <f ca="1" t="shared" si="246"/>
        <v>24030011|</v>
      </c>
      <c r="AJ1471" s="205">
        <f ca="1" t="shared" si="243"/>
        <v>0</v>
      </c>
      <c r="AK1471" s="205">
        <f ca="1">OFFSET([1]item_type!$A$1,MATCH(Q1471,[1]item_type!$G:$G,0)-1,0)</f>
        <v>302403</v>
      </c>
      <c r="AL1471" s="205"/>
      <c r="AM1471" s="205">
        <f ca="1">IF(B1471=B1472,OFFSET(卡牌辅助配置表!$AE$1,MATCH(AB1471,卡牌辅助配置表!AB:AB,0),0),0)</f>
        <v>11850</v>
      </c>
      <c r="AN1471" s="153">
        <f ca="1" t="shared" si="244"/>
        <v>0</v>
      </c>
      <c r="AP1471" s="153" t="str">
        <f ca="1">IF(AC1471=0,0,IF(AC1471=12,0,OFFSET(effect!$N$1,MATCH(K1471,effect!M:M,0)-1,0)))</f>
        <v>kpsx_pt</v>
      </c>
    </row>
    <row r="1472" spans="1:42">
      <c r="A1472" s="153">
        <f ca="1" t="shared" si="240"/>
        <v>2403022</v>
      </c>
      <c r="B1472" s="300" t="s">
        <v>808</v>
      </c>
      <c r="C1472" s="186">
        <v>2</v>
      </c>
      <c r="D1472" s="186">
        <v>1</v>
      </c>
      <c r="E1472" s="165" t="s">
        <v>1058</v>
      </c>
      <c r="F1472" s="165" t="str">
        <f>"上一招为剑法时，使敌人下一回合费用-"&amp;skill!$O$119&amp;""</f>
        <v>上一招为剑法时，使敌人下一回合费用-1</v>
      </c>
      <c r="G1472" s="186">
        <f ca="1">OFFSET(卡牌辅助配置表!$C$1,MATCH(AC1472,卡牌辅助配置表!A:A,0)-1,0)</f>
        <v>3</v>
      </c>
      <c r="H1472" s="186">
        <f ca="1">OFFSET(skill!$Q$1,MATCH(B1472,skill!B:B,0)-1,0)</f>
        <v>0</v>
      </c>
      <c r="I1472" s="186"/>
      <c r="J1472" s="186">
        <f ca="1">OFFSET(card_type!$F$1,MATCH(Q1472,card_type!A:A,0)-1,0)</f>
        <v>4</v>
      </c>
      <c r="K1472" s="243">
        <f ca="1">OFFSET(card_type!$G$1,MATCH(Q1472,card_type!A:A,0)-1,0)</f>
        <v>2</v>
      </c>
      <c r="L1472" s="157">
        <v>2</v>
      </c>
      <c r="M1472" s="157">
        <v>2</v>
      </c>
      <c r="N1472" s="153">
        <f t="shared" si="249"/>
        <v>22</v>
      </c>
      <c r="O1472" s="157"/>
      <c r="P1472" s="157"/>
      <c r="Q1472" s="153">
        <f ca="1">OFFSET(card_type!$A$1,MATCH(card!B1472,card_type!B:B,0)-1,0)</f>
        <v>2403</v>
      </c>
      <c r="R1472" s="153">
        <v>1</v>
      </c>
      <c r="S1472" s="157"/>
      <c r="T1472" s="153">
        <v>2</v>
      </c>
      <c r="U1472" s="153">
        <f ca="1" t="shared" si="241"/>
        <v>42</v>
      </c>
      <c r="V1472" s="153">
        <f ca="1">ROUND((OFFSET(卡牌辅助配置表!$O$1,MATCH(U1472,卡牌辅助配置表!M:M,0)-1,0)+(N1472-1)*OFFSET(卡牌辅助配置表!$P$1,MATCH(U1472,卡牌辅助配置表!M:M,0)-1,0))*M1472,2)</f>
        <v>197.55</v>
      </c>
      <c r="W1472" s="157">
        <f ca="1">ROUND(IF(R1472=0,0,IF(R1472=1,X1472*$W$1,IF(R1472=2,X1472*$W$1*buff的资质计算!$E$2,IF(R1472=3,X1472*$W$1*buff的资质计算!$E$3,0)))),2)</f>
        <v>18.45</v>
      </c>
      <c r="X1472" s="157">
        <f ca="1" t="shared" si="247"/>
        <v>61.5</v>
      </c>
      <c r="Y1472" s="157">
        <f ca="1" t="shared" si="245"/>
        <v>61.5</v>
      </c>
      <c r="Z1472" s="304">
        <f ca="1" t="shared" si="248"/>
        <v>30.75</v>
      </c>
      <c r="AA1472" s="304">
        <f ca="1">OFFSET(卡牌辅助配置表!$AD$1,MATCH(AB1472,卡牌辅助配置表!AB:AB,0)-1,0)</f>
        <v>13340</v>
      </c>
      <c r="AB1472" s="304">
        <f ca="1" t="shared" si="242"/>
        <v>4222</v>
      </c>
      <c r="AC1472" s="153">
        <v>3</v>
      </c>
      <c r="AE1472" s="153">
        <v>2</v>
      </c>
      <c r="AF1472" s="153" t="str">
        <f ca="1" t="shared" si="246"/>
        <v>24030011|</v>
      </c>
      <c r="AJ1472" s="205">
        <f ca="1" t="shared" si="243"/>
        <v>0</v>
      </c>
      <c r="AK1472" s="205">
        <f ca="1">OFFSET([1]item_type!$A$1,MATCH(Q1472,[1]item_type!$G:$G,0)-1,0)</f>
        <v>302403</v>
      </c>
      <c r="AL1472" s="205"/>
      <c r="AM1472" s="205">
        <f ca="1">IF(B1472=B1473,OFFSET(卡牌辅助配置表!$AE$1,MATCH(AB1472,卡牌辅助配置表!AB:AB,0),0),0)</f>
        <v>13050</v>
      </c>
      <c r="AN1472" s="153">
        <f ca="1" t="shared" si="244"/>
        <v>0</v>
      </c>
      <c r="AP1472" s="153" t="str">
        <f ca="1">IF(AC1472=0,0,IF(AC1472=12,0,OFFSET(effect!$N$1,MATCH(K1472,effect!M:M,0)-1,0)))</f>
        <v>kpsx_pt</v>
      </c>
    </row>
    <row r="1473" spans="1:42">
      <c r="A1473" s="153">
        <f ca="1" t="shared" si="240"/>
        <v>2403023</v>
      </c>
      <c r="B1473" s="300" t="s">
        <v>808</v>
      </c>
      <c r="C1473" s="186">
        <v>2</v>
      </c>
      <c r="D1473" s="186">
        <v>1</v>
      </c>
      <c r="E1473" s="165" t="s">
        <v>1058</v>
      </c>
      <c r="F1473" s="165" t="str">
        <f>"上一招为剑法时，使敌人下一回合费用-"&amp;skill!$O$119&amp;""</f>
        <v>上一招为剑法时，使敌人下一回合费用-1</v>
      </c>
      <c r="G1473" s="186">
        <f ca="1">OFFSET(卡牌辅助配置表!$C$1,MATCH(AC1473,卡牌辅助配置表!A:A,0)-1,0)</f>
        <v>3</v>
      </c>
      <c r="H1473" s="186">
        <f ca="1">OFFSET(skill!$Q$1,MATCH(B1473,skill!B:B,0)-1,0)</f>
        <v>0</v>
      </c>
      <c r="I1473" s="186"/>
      <c r="J1473" s="186">
        <f ca="1">OFFSET(card_type!$F$1,MATCH(Q1473,card_type!A:A,0)-1,0)</f>
        <v>4</v>
      </c>
      <c r="K1473" s="243">
        <f ca="1">OFFSET(card_type!$G$1,MATCH(Q1473,card_type!A:A,0)-1,0)</f>
        <v>2</v>
      </c>
      <c r="L1473" s="157">
        <v>2</v>
      </c>
      <c r="M1473" s="157">
        <v>2</v>
      </c>
      <c r="N1473" s="153">
        <f t="shared" si="249"/>
        <v>23</v>
      </c>
      <c r="O1473" s="157"/>
      <c r="P1473" s="157"/>
      <c r="Q1473" s="153">
        <f ca="1">OFFSET(card_type!$A$1,MATCH(card!B1473,card_type!B:B,0)-1,0)</f>
        <v>2403</v>
      </c>
      <c r="R1473" s="153">
        <v>1</v>
      </c>
      <c r="S1473" s="157"/>
      <c r="T1473" s="153">
        <v>2</v>
      </c>
      <c r="U1473" s="153">
        <f ca="1" t="shared" si="241"/>
        <v>42</v>
      </c>
      <c r="V1473" s="153">
        <f ca="1">ROUND((OFFSET(卡牌辅助配置表!$O$1,MATCH(U1473,卡牌辅助配置表!M:M,0)-1,0)+(N1473-1)*OFFSET(卡牌辅助配置表!$P$1,MATCH(U1473,卡牌辅助配置表!M:M,0)-1,0))*M1473,2)</f>
        <v>204.85</v>
      </c>
      <c r="W1473" s="157">
        <f ca="1">ROUND(IF(R1473=0,0,IF(R1473=1,X1473*$W$1,IF(R1473=2,X1473*$W$1*buff的资质计算!$E$2,IF(R1473=3,X1473*$W$1*buff的资质计算!$E$3,0)))),2)</f>
        <v>18.6</v>
      </c>
      <c r="X1473" s="157">
        <f ca="1" t="shared" si="247"/>
        <v>62</v>
      </c>
      <c r="Y1473" s="157">
        <f ca="1" t="shared" si="245"/>
        <v>62</v>
      </c>
      <c r="Z1473" s="304">
        <f ca="1" t="shared" si="248"/>
        <v>31</v>
      </c>
      <c r="AA1473" s="304">
        <f ca="1">OFFSET(卡牌辅助配置表!$AD$1,MATCH(AB1473,卡牌辅助配置表!AB:AB,0)-1,0)</f>
        <v>14260</v>
      </c>
      <c r="AB1473" s="304">
        <f ca="1" t="shared" si="242"/>
        <v>4223</v>
      </c>
      <c r="AC1473" s="153">
        <v>3</v>
      </c>
      <c r="AE1473" s="153">
        <v>2</v>
      </c>
      <c r="AF1473" s="153" t="str">
        <f ca="1" t="shared" si="246"/>
        <v>24030011|</v>
      </c>
      <c r="AJ1473" s="205">
        <f ca="1" t="shared" si="243"/>
        <v>0</v>
      </c>
      <c r="AK1473" s="205">
        <f ca="1">OFFSET([1]item_type!$A$1,MATCH(Q1473,[1]item_type!$G:$G,0)-1,0)</f>
        <v>302403</v>
      </c>
      <c r="AL1473" s="205"/>
      <c r="AM1473" s="205">
        <f ca="1">IF(B1473=B1474,OFFSET(卡牌辅助配置表!$AE$1,MATCH(AB1473,卡牌辅助配置表!AB:AB,0),0),0)</f>
        <v>14250</v>
      </c>
      <c r="AN1473" s="153">
        <f ca="1" t="shared" si="244"/>
        <v>0</v>
      </c>
      <c r="AP1473" s="153" t="str">
        <f ca="1">IF(AC1473=0,0,IF(AC1473=12,0,OFFSET(effect!$N$1,MATCH(K1473,effect!M:M,0)-1,0)))</f>
        <v>kpsx_pt</v>
      </c>
    </row>
    <row r="1474" spans="1:42">
      <c r="A1474" s="153">
        <f ca="1" t="shared" si="240"/>
        <v>2403024</v>
      </c>
      <c r="B1474" s="300" t="s">
        <v>808</v>
      </c>
      <c r="C1474" s="186">
        <v>2</v>
      </c>
      <c r="D1474" s="186">
        <v>1</v>
      </c>
      <c r="E1474" s="165" t="s">
        <v>1058</v>
      </c>
      <c r="F1474" s="165" t="str">
        <f>"上一招为剑法时，使敌人下一回合费用-"&amp;skill!$O$119&amp;""</f>
        <v>上一招为剑法时，使敌人下一回合费用-1</v>
      </c>
      <c r="G1474" s="186">
        <f ca="1">OFFSET(卡牌辅助配置表!$C$1,MATCH(AC1474,卡牌辅助配置表!A:A,0)-1,0)</f>
        <v>3</v>
      </c>
      <c r="H1474" s="186">
        <f ca="1">OFFSET(skill!$Q$1,MATCH(B1474,skill!B:B,0)-1,0)</f>
        <v>0</v>
      </c>
      <c r="I1474" s="186"/>
      <c r="J1474" s="186">
        <f ca="1">OFFSET(card_type!$F$1,MATCH(Q1474,card_type!A:A,0)-1,0)</f>
        <v>4</v>
      </c>
      <c r="K1474" s="243">
        <f ca="1">OFFSET(card_type!$G$1,MATCH(Q1474,card_type!A:A,0)-1,0)</f>
        <v>2</v>
      </c>
      <c r="L1474" s="157">
        <v>2</v>
      </c>
      <c r="M1474" s="157">
        <v>2</v>
      </c>
      <c r="N1474" s="153">
        <f t="shared" si="249"/>
        <v>24</v>
      </c>
      <c r="O1474" s="157"/>
      <c r="P1474" s="157"/>
      <c r="Q1474" s="153">
        <f ca="1">OFFSET(card_type!$A$1,MATCH(card!B1474,card_type!B:B,0)-1,0)</f>
        <v>2403</v>
      </c>
      <c r="R1474" s="153">
        <v>1</v>
      </c>
      <c r="S1474" s="157"/>
      <c r="T1474" s="153">
        <v>2</v>
      </c>
      <c r="U1474" s="153">
        <f ca="1" t="shared" si="241"/>
        <v>42</v>
      </c>
      <c r="V1474" s="153">
        <f ca="1">ROUND((OFFSET(卡牌辅助配置表!$O$1,MATCH(U1474,卡牌辅助配置表!M:M,0)-1,0)+(N1474-1)*OFFSET(卡牌辅助配置表!$P$1,MATCH(U1474,卡牌辅助配置表!M:M,0)-1,0))*M1474,2)</f>
        <v>212.15</v>
      </c>
      <c r="W1474" s="157">
        <f ca="1">ROUND(IF(R1474=0,0,IF(R1474=1,X1474*$W$1,IF(R1474=2,X1474*$W$1*buff的资质计算!$E$2,IF(R1474=3,X1474*$W$1*buff的资质计算!$E$3,0)))),2)</f>
        <v>18.75</v>
      </c>
      <c r="X1474" s="157">
        <f ca="1" t="shared" si="247"/>
        <v>62.5</v>
      </c>
      <c r="Y1474" s="157">
        <f ca="1" t="shared" si="245"/>
        <v>62.5</v>
      </c>
      <c r="Z1474" s="304">
        <f ca="1" t="shared" si="248"/>
        <v>31.25</v>
      </c>
      <c r="AA1474" s="304">
        <f ca="1">OFFSET(卡牌辅助配置表!$AD$1,MATCH(AB1474,卡牌辅助配置表!AB:AB,0)-1,0)</f>
        <v>15180</v>
      </c>
      <c r="AB1474" s="304">
        <f ca="1" t="shared" si="242"/>
        <v>4224</v>
      </c>
      <c r="AC1474" s="153">
        <v>3</v>
      </c>
      <c r="AE1474" s="153">
        <v>2</v>
      </c>
      <c r="AF1474" s="153" t="str">
        <f ca="1" t="shared" si="246"/>
        <v>24030011|</v>
      </c>
      <c r="AJ1474" s="205">
        <f ca="1" t="shared" si="243"/>
        <v>0</v>
      </c>
      <c r="AK1474" s="205">
        <f ca="1">OFFSET([1]item_type!$A$1,MATCH(Q1474,[1]item_type!$G:$G,0)-1,0)</f>
        <v>302403</v>
      </c>
      <c r="AL1474" s="205"/>
      <c r="AM1474" s="205">
        <f ca="1">IF(B1474=B1475,OFFSET(卡牌辅助配置表!$AE$1,MATCH(AB1474,卡牌辅助配置表!AB:AB,0),0),0)</f>
        <v>15450</v>
      </c>
      <c r="AN1474" s="153">
        <f ca="1" t="shared" si="244"/>
        <v>0</v>
      </c>
      <c r="AP1474" s="153" t="str">
        <f ca="1">IF(AC1474=0,0,IF(AC1474=12,0,OFFSET(effect!$N$1,MATCH(K1474,effect!M:M,0)-1,0)))</f>
        <v>kpsx_pt</v>
      </c>
    </row>
    <row r="1475" spans="1:42">
      <c r="A1475" s="153">
        <f ca="1" t="shared" si="240"/>
        <v>2403025</v>
      </c>
      <c r="B1475" s="300" t="s">
        <v>808</v>
      </c>
      <c r="C1475" s="186">
        <v>2</v>
      </c>
      <c r="D1475" s="186">
        <v>1</v>
      </c>
      <c r="E1475" s="165" t="s">
        <v>1058</v>
      </c>
      <c r="F1475" s="165" t="str">
        <f>"上一招为剑法时，使敌人下一回合费用-"&amp;skill!$O$119&amp;""</f>
        <v>上一招为剑法时，使敌人下一回合费用-1</v>
      </c>
      <c r="G1475" s="186">
        <f ca="1">OFFSET(卡牌辅助配置表!$C$1,MATCH(AC1475,卡牌辅助配置表!A:A,0)-1,0)</f>
        <v>3</v>
      </c>
      <c r="H1475" s="186">
        <f ca="1">OFFSET(skill!$Q$1,MATCH(B1475,skill!B:B,0)-1,0)</f>
        <v>0</v>
      </c>
      <c r="I1475" s="186"/>
      <c r="J1475" s="186">
        <f ca="1">OFFSET(card_type!$F$1,MATCH(Q1475,card_type!A:A,0)-1,0)</f>
        <v>4</v>
      </c>
      <c r="K1475" s="243">
        <f ca="1">OFFSET(card_type!$G$1,MATCH(Q1475,card_type!A:A,0)-1,0)</f>
        <v>2</v>
      </c>
      <c r="L1475" s="157">
        <v>2</v>
      </c>
      <c r="M1475" s="157">
        <v>2</v>
      </c>
      <c r="N1475" s="153">
        <f t="shared" si="249"/>
        <v>25</v>
      </c>
      <c r="O1475" s="157"/>
      <c r="P1475" s="157"/>
      <c r="Q1475" s="153">
        <f ca="1">OFFSET(card_type!$A$1,MATCH(card!B1475,card_type!B:B,0)-1,0)</f>
        <v>2403</v>
      </c>
      <c r="R1475" s="153">
        <v>1</v>
      </c>
      <c r="S1475" s="157"/>
      <c r="T1475" s="153">
        <v>2</v>
      </c>
      <c r="U1475" s="153">
        <f ca="1" t="shared" si="241"/>
        <v>42</v>
      </c>
      <c r="V1475" s="153">
        <f ca="1">ROUND((OFFSET(卡牌辅助配置表!$O$1,MATCH(U1475,卡牌辅助配置表!M:M,0)-1,0)+(N1475-1)*OFFSET(卡牌辅助配置表!$P$1,MATCH(U1475,卡牌辅助配置表!M:M,0)-1,0))*M1475,2)</f>
        <v>219.45</v>
      </c>
      <c r="W1475" s="157">
        <f ca="1">ROUND(IF(R1475=0,0,IF(R1475=1,X1475*$W$1,IF(R1475=2,X1475*$W$1*buff的资质计算!$E$2,IF(R1475=3,X1475*$W$1*buff的资质计算!$E$3,0)))),2)</f>
        <v>18.9</v>
      </c>
      <c r="X1475" s="157">
        <f ca="1" t="shared" si="247"/>
        <v>63</v>
      </c>
      <c r="Y1475" s="157">
        <f ca="1" t="shared" si="245"/>
        <v>63</v>
      </c>
      <c r="Z1475" s="304">
        <f ca="1" t="shared" si="248"/>
        <v>31.5</v>
      </c>
      <c r="AA1475" s="304">
        <f ca="1">OFFSET(卡牌辅助配置表!$AD$1,MATCH(AB1475,卡牌辅助配置表!AB:AB,0)-1,0)</f>
        <v>16100</v>
      </c>
      <c r="AB1475" s="304">
        <f ca="1" t="shared" si="242"/>
        <v>4225</v>
      </c>
      <c r="AC1475" s="153">
        <v>3</v>
      </c>
      <c r="AE1475" s="153">
        <v>2</v>
      </c>
      <c r="AF1475" s="153" t="str">
        <f ca="1" t="shared" si="246"/>
        <v>24030011|</v>
      </c>
      <c r="AJ1475" s="205">
        <f ca="1" t="shared" si="243"/>
        <v>0</v>
      </c>
      <c r="AK1475" s="205">
        <f ca="1">OFFSET([1]item_type!$A$1,MATCH(Q1475,[1]item_type!$G:$G,0)-1,0)</f>
        <v>302403</v>
      </c>
      <c r="AL1475" s="205"/>
      <c r="AM1475" s="205">
        <f ca="1">IF(B1475=B1476,OFFSET(卡牌辅助配置表!$AE$1,MATCH(AB1475,卡牌辅助配置表!AB:AB,0),0),0)</f>
        <v>16650</v>
      </c>
      <c r="AN1475" s="153">
        <f ca="1" t="shared" si="244"/>
        <v>0</v>
      </c>
      <c r="AP1475" s="153" t="str">
        <f ca="1">IF(AC1475=0,0,IF(AC1475=12,0,OFFSET(effect!$N$1,MATCH(K1475,effect!M:M,0)-1,0)))</f>
        <v>kpsx_pt</v>
      </c>
    </row>
    <row r="1476" spans="1:42">
      <c r="A1476" s="153">
        <f ca="1" t="shared" si="240"/>
        <v>2403026</v>
      </c>
      <c r="B1476" s="300" t="s">
        <v>808</v>
      </c>
      <c r="C1476" s="186">
        <v>2</v>
      </c>
      <c r="D1476" s="186">
        <v>1</v>
      </c>
      <c r="E1476" s="165" t="s">
        <v>1058</v>
      </c>
      <c r="F1476" s="165" t="str">
        <f>"上一招为剑法时，使敌人下一回合费用-"&amp;skill!$O$119&amp;""</f>
        <v>上一招为剑法时，使敌人下一回合费用-1</v>
      </c>
      <c r="G1476" s="186">
        <f ca="1">OFFSET(卡牌辅助配置表!$C$1,MATCH(AC1476,卡牌辅助配置表!A:A,0)-1,0)</f>
        <v>3</v>
      </c>
      <c r="H1476" s="186">
        <f ca="1">OFFSET(skill!$Q$1,MATCH(B1476,skill!B:B,0)-1,0)</f>
        <v>0</v>
      </c>
      <c r="I1476" s="186"/>
      <c r="J1476" s="186">
        <f ca="1">OFFSET(card_type!$F$1,MATCH(Q1476,card_type!A:A,0)-1,0)</f>
        <v>4</v>
      </c>
      <c r="K1476" s="243">
        <f ca="1">OFFSET(card_type!$G$1,MATCH(Q1476,card_type!A:A,0)-1,0)</f>
        <v>2</v>
      </c>
      <c r="L1476" s="157">
        <v>2</v>
      </c>
      <c r="M1476" s="157">
        <v>2</v>
      </c>
      <c r="N1476" s="153">
        <f t="shared" si="249"/>
        <v>26</v>
      </c>
      <c r="O1476" s="157"/>
      <c r="P1476" s="157"/>
      <c r="Q1476" s="153">
        <f ca="1">OFFSET(card_type!$A$1,MATCH(card!B1476,card_type!B:B,0)-1,0)</f>
        <v>2403</v>
      </c>
      <c r="R1476" s="153">
        <v>1</v>
      </c>
      <c r="S1476" s="157"/>
      <c r="T1476" s="153">
        <v>2</v>
      </c>
      <c r="U1476" s="153">
        <f ca="1" t="shared" si="241"/>
        <v>42</v>
      </c>
      <c r="V1476" s="153">
        <f ca="1">ROUND((OFFSET(卡牌辅助配置表!$O$1,MATCH(U1476,卡牌辅助配置表!M:M,0)-1,0)+(N1476-1)*OFFSET(卡牌辅助配置表!$P$1,MATCH(U1476,卡牌辅助配置表!M:M,0)-1,0))*M1476,2)</f>
        <v>226.75</v>
      </c>
      <c r="W1476" s="157">
        <f ca="1">ROUND(IF(R1476=0,0,IF(R1476=1,X1476*$W$1,IF(R1476=2,X1476*$W$1*buff的资质计算!$E$2,IF(R1476=3,X1476*$W$1*buff的资质计算!$E$3,0)))),2)</f>
        <v>19.05</v>
      </c>
      <c r="X1476" s="157">
        <f ca="1" t="shared" si="247"/>
        <v>63.5</v>
      </c>
      <c r="Y1476" s="157">
        <f ca="1" t="shared" si="245"/>
        <v>63.5</v>
      </c>
      <c r="Z1476" s="304">
        <f ca="1" t="shared" si="248"/>
        <v>31.75</v>
      </c>
      <c r="AA1476" s="304">
        <f ca="1">OFFSET(卡牌辅助配置表!$AD$1,MATCH(AB1476,卡牌辅助配置表!AB:AB,0)-1,0)</f>
        <v>17020</v>
      </c>
      <c r="AB1476" s="304">
        <f ca="1" t="shared" si="242"/>
        <v>4226</v>
      </c>
      <c r="AC1476" s="153">
        <v>3</v>
      </c>
      <c r="AE1476" s="153">
        <v>2</v>
      </c>
      <c r="AF1476" s="153" t="str">
        <f ca="1" t="shared" si="246"/>
        <v>24030011|</v>
      </c>
      <c r="AJ1476" s="205">
        <f ca="1" t="shared" si="243"/>
        <v>0</v>
      </c>
      <c r="AK1476" s="205">
        <f ca="1">OFFSET([1]item_type!$A$1,MATCH(Q1476,[1]item_type!$G:$G,0)-1,0)</f>
        <v>302403</v>
      </c>
      <c r="AL1476" s="205"/>
      <c r="AM1476" s="205">
        <f ca="1">IF(B1476=B1477,OFFSET(卡牌辅助配置表!$AE$1,MATCH(AB1476,卡牌辅助配置表!AB:AB,0),0),0)</f>
        <v>17850</v>
      </c>
      <c r="AN1476" s="153">
        <f ca="1" t="shared" si="244"/>
        <v>0</v>
      </c>
      <c r="AP1476" s="153" t="str">
        <f ca="1">IF(AC1476=0,0,IF(AC1476=12,0,OFFSET(effect!$N$1,MATCH(K1476,effect!M:M,0)-1,0)))</f>
        <v>kpsx_pt</v>
      </c>
    </row>
    <row r="1477" spans="1:42">
      <c r="A1477" s="153">
        <f ca="1" t="shared" si="240"/>
        <v>2403027</v>
      </c>
      <c r="B1477" s="300" t="s">
        <v>808</v>
      </c>
      <c r="C1477" s="186">
        <v>2</v>
      </c>
      <c r="D1477" s="186">
        <v>1</v>
      </c>
      <c r="E1477" s="165" t="s">
        <v>1058</v>
      </c>
      <c r="F1477" s="165" t="str">
        <f>"上一招为剑法时，使敌人下一回合费用-"&amp;skill!$O$119&amp;""</f>
        <v>上一招为剑法时，使敌人下一回合费用-1</v>
      </c>
      <c r="G1477" s="186">
        <f ca="1">OFFSET(卡牌辅助配置表!$C$1,MATCH(AC1477,卡牌辅助配置表!A:A,0)-1,0)</f>
        <v>3</v>
      </c>
      <c r="H1477" s="186">
        <f ca="1">OFFSET(skill!$Q$1,MATCH(B1477,skill!B:B,0)-1,0)</f>
        <v>0</v>
      </c>
      <c r="I1477" s="186"/>
      <c r="J1477" s="186">
        <f ca="1">OFFSET(card_type!$F$1,MATCH(Q1477,card_type!A:A,0)-1,0)</f>
        <v>4</v>
      </c>
      <c r="K1477" s="243">
        <f ca="1">OFFSET(card_type!$G$1,MATCH(Q1477,card_type!A:A,0)-1,0)</f>
        <v>2</v>
      </c>
      <c r="L1477" s="157">
        <v>2</v>
      </c>
      <c r="M1477" s="157">
        <v>2</v>
      </c>
      <c r="N1477" s="153">
        <f t="shared" si="249"/>
        <v>27</v>
      </c>
      <c r="O1477" s="157"/>
      <c r="P1477" s="157"/>
      <c r="Q1477" s="153">
        <f ca="1">OFFSET(card_type!$A$1,MATCH(card!B1477,card_type!B:B,0)-1,0)</f>
        <v>2403</v>
      </c>
      <c r="R1477" s="153">
        <v>1</v>
      </c>
      <c r="S1477" s="157"/>
      <c r="T1477" s="153">
        <v>2</v>
      </c>
      <c r="U1477" s="153">
        <f ca="1" t="shared" si="241"/>
        <v>42</v>
      </c>
      <c r="V1477" s="153">
        <f ca="1">ROUND((OFFSET(卡牌辅助配置表!$O$1,MATCH(U1477,卡牌辅助配置表!M:M,0)-1,0)+(N1477-1)*OFFSET(卡牌辅助配置表!$P$1,MATCH(U1477,卡牌辅助配置表!M:M,0)-1,0))*M1477,2)</f>
        <v>234.05</v>
      </c>
      <c r="W1477" s="157">
        <f ca="1">ROUND(IF(R1477=0,0,IF(R1477=1,X1477*$W$1,IF(R1477=2,X1477*$W$1*buff的资质计算!$E$2,IF(R1477=3,X1477*$W$1*buff的资质计算!$E$3,0)))),2)</f>
        <v>19.2</v>
      </c>
      <c r="X1477" s="157">
        <f ca="1" t="shared" si="247"/>
        <v>64</v>
      </c>
      <c r="Y1477" s="157">
        <f ca="1" t="shared" si="245"/>
        <v>64</v>
      </c>
      <c r="Z1477" s="304">
        <f ca="1" t="shared" si="248"/>
        <v>32</v>
      </c>
      <c r="AA1477" s="304">
        <f ca="1">OFFSET(卡牌辅助配置表!$AD$1,MATCH(AB1477,卡牌辅助配置表!AB:AB,0)-1,0)</f>
        <v>17940</v>
      </c>
      <c r="AB1477" s="304">
        <f ca="1" t="shared" si="242"/>
        <v>4227</v>
      </c>
      <c r="AC1477" s="153">
        <v>3</v>
      </c>
      <c r="AE1477" s="153">
        <v>2</v>
      </c>
      <c r="AF1477" s="153" t="str">
        <f ca="1" t="shared" si="246"/>
        <v>24030011|</v>
      </c>
      <c r="AJ1477" s="205">
        <f ca="1" t="shared" si="243"/>
        <v>0</v>
      </c>
      <c r="AK1477" s="205">
        <f ca="1">OFFSET([1]item_type!$A$1,MATCH(Q1477,[1]item_type!$G:$G,0)-1,0)</f>
        <v>302403</v>
      </c>
      <c r="AL1477" s="205"/>
      <c r="AM1477" s="205">
        <f ca="1">IF(B1477=B1478,OFFSET(卡牌辅助配置表!$AE$1,MATCH(AB1477,卡牌辅助配置表!AB:AB,0),0),0)</f>
        <v>19050</v>
      </c>
      <c r="AN1477" s="153">
        <f ca="1" t="shared" si="244"/>
        <v>0</v>
      </c>
      <c r="AP1477" s="153" t="str">
        <f ca="1">IF(AC1477=0,0,IF(AC1477=12,0,OFFSET(effect!$N$1,MATCH(K1477,effect!M:M,0)-1,0)))</f>
        <v>kpsx_pt</v>
      </c>
    </row>
    <row r="1478" spans="1:42">
      <c r="A1478" s="153">
        <f ca="1" t="shared" ref="A1478:A1541" si="250">Q1478*1000+N1478</f>
        <v>2403028</v>
      </c>
      <c r="B1478" s="300" t="s">
        <v>808</v>
      </c>
      <c r="C1478" s="186">
        <v>2</v>
      </c>
      <c r="D1478" s="186">
        <v>1</v>
      </c>
      <c r="E1478" s="165" t="s">
        <v>1058</v>
      </c>
      <c r="F1478" s="165" t="str">
        <f>"上一招为剑法时，使敌人下一回合费用-"&amp;skill!$O$119&amp;""</f>
        <v>上一招为剑法时，使敌人下一回合费用-1</v>
      </c>
      <c r="G1478" s="186">
        <f ca="1">OFFSET(卡牌辅助配置表!$C$1,MATCH(AC1478,卡牌辅助配置表!A:A,0)-1,0)</f>
        <v>3</v>
      </c>
      <c r="H1478" s="186">
        <f ca="1">OFFSET(skill!$Q$1,MATCH(B1478,skill!B:B,0)-1,0)</f>
        <v>0</v>
      </c>
      <c r="I1478" s="186"/>
      <c r="J1478" s="186">
        <f ca="1">OFFSET(card_type!$F$1,MATCH(Q1478,card_type!A:A,0)-1,0)</f>
        <v>4</v>
      </c>
      <c r="K1478" s="243">
        <f ca="1">OFFSET(card_type!$G$1,MATCH(Q1478,card_type!A:A,0)-1,0)</f>
        <v>2</v>
      </c>
      <c r="L1478" s="157">
        <v>2</v>
      </c>
      <c r="M1478" s="157">
        <v>2</v>
      </c>
      <c r="N1478" s="153">
        <f t="shared" si="249"/>
        <v>28</v>
      </c>
      <c r="O1478" s="157"/>
      <c r="P1478" s="157"/>
      <c r="Q1478" s="153">
        <f ca="1">OFFSET(card_type!$A$1,MATCH(card!B1478,card_type!B:B,0)-1,0)</f>
        <v>2403</v>
      </c>
      <c r="R1478" s="153">
        <v>1</v>
      </c>
      <c r="S1478" s="157"/>
      <c r="T1478" s="153">
        <v>2</v>
      </c>
      <c r="U1478" s="153">
        <f ca="1" t="shared" ref="U1478:U1541" si="251">J1478*10+K1478</f>
        <v>42</v>
      </c>
      <c r="V1478" s="153">
        <f ca="1">ROUND((OFFSET(卡牌辅助配置表!$O$1,MATCH(U1478,卡牌辅助配置表!M:M,0)-1,0)+(N1478-1)*OFFSET(卡牌辅助配置表!$P$1,MATCH(U1478,卡牌辅助配置表!M:M,0)-1,0))*M1478,2)</f>
        <v>241.35</v>
      </c>
      <c r="W1478" s="157">
        <f ca="1">ROUND(IF(R1478=0,0,IF(R1478=1,X1478*$W$1,IF(R1478=2,X1478*$W$1*buff的资质计算!$E$2,IF(R1478=3,X1478*$W$1*buff的资质计算!$E$3,0)))),2)</f>
        <v>19.35</v>
      </c>
      <c r="X1478" s="157">
        <f ca="1" t="shared" si="247"/>
        <v>64.5</v>
      </c>
      <c r="Y1478" s="157">
        <f ca="1" t="shared" si="245"/>
        <v>64.5</v>
      </c>
      <c r="Z1478" s="304">
        <f ca="1" t="shared" si="248"/>
        <v>32.25</v>
      </c>
      <c r="AA1478" s="304">
        <f ca="1">OFFSET(卡牌辅助配置表!$AD$1,MATCH(AB1478,卡牌辅助配置表!AB:AB,0)-1,0)</f>
        <v>18860</v>
      </c>
      <c r="AB1478" s="304">
        <f ca="1" t="shared" ref="AB1478:AB1541" si="252">J1478*1000+K1478*100+N1478</f>
        <v>4228</v>
      </c>
      <c r="AC1478" s="153">
        <v>3</v>
      </c>
      <c r="AE1478" s="153">
        <v>2</v>
      </c>
      <c r="AF1478" s="153" t="str">
        <f ca="1" t="shared" si="246"/>
        <v>24030011|</v>
      </c>
      <c r="AJ1478" s="205">
        <f ca="1" t="shared" ref="AJ1478:AJ1541" si="253">IF(AN1478=0,0,IF(AL1478=0,$AM$1&amp;$AF$1&amp;AM1478&amp;$AF$1&amp;$AJ$1,AK1478&amp;$AF$1&amp;AL1478&amp;$AF$1&amp;$AJ$1&amp;$AM$1&amp;$AF$1&amp;AM1478&amp;$AF$1&amp;$AJ$1))</f>
        <v>0</v>
      </c>
      <c r="AK1478" s="205">
        <f ca="1">OFFSET([1]item_type!$A$1,MATCH(Q1478,[1]item_type!$G:$G,0)-1,0)</f>
        <v>302403</v>
      </c>
      <c r="AL1478" s="205"/>
      <c r="AM1478" s="205">
        <f ca="1">IF(B1478=B1479,OFFSET(卡牌辅助配置表!$AE$1,MATCH(AB1478,卡牌辅助配置表!AB:AB,0),0),0)</f>
        <v>20250</v>
      </c>
      <c r="AN1478" s="153">
        <f ca="1" t="shared" si="244"/>
        <v>0</v>
      </c>
      <c r="AP1478" s="153" t="str">
        <f ca="1">IF(AC1478=0,0,IF(AC1478=12,0,OFFSET(effect!$N$1,MATCH(K1478,effect!M:M,0)-1,0)))</f>
        <v>kpsx_pt</v>
      </c>
    </row>
    <row r="1479" spans="1:42">
      <c r="A1479" s="153">
        <f ca="1" t="shared" si="250"/>
        <v>2403029</v>
      </c>
      <c r="B1479" s="300" t="s">
        <v>808</v>
      </c>
      <c r="C1479" s="186">
        <v>2</v>
      </c>
      <c r="D1479" s="186">
        <v>1</v>
      </c>
      <c r="E1479" s="165" t="s">
        <v>1058</v>
      </c>
      <c r="F1479" s="165" t="str">
        <f>"上一招为剑法时，使敌人下一回合费用-"&amp;skill!$O$119&amp;""</f>
        <v>上一招为剑法时，使敌人下一回合费用-1</v>
      </c>
      <c r="G1479" s="186">
        <f ca="1">OFFSET(卡牌辅助配置表!$C$1,MATCH(AC1479,卡牌辅助配置表!A:A,0)-1,0)</f>
        <v>3</v>
      </c>
      <c r="H1479" s="186">
        <f ca="1">OFFSET(skill!$Q$1,MATCH(B1479,skill!B:B,0)-1,0)</f>
        <v>0</v>
      </c>
      <c r="I1479" s="186"/>
      <c r="J1479" s="186">
        <f ca="1">OFFSET(card_type!$F$1,MATCH(Q1479,card_type!A:A,0)-1,0)</f>
        <v>4</v>
      </c>
      <c r="K1479" s="243">
        <f ca="1">OFFSET(card_type!$G$1,MATCH(Q1479,card_type!A:A,0)-1,0)</f>
        <v>2</v>
      </c>
      <c r="L1479" s="157">
        <v>2</v>
      </c>
      <c r="M1479" s="157">
        <v>2</v>
      </c>
      <c r="N1479" s="153">
        <f t="shared" si="249"/>
        <v>29</v>
      </c>
      <c r="O1479" s="157"/>
      <c r="P1479" s="157"/>
      <c r="Q1479" s="153">
        <f ca="1">OFFSET(card_type!$A$1,MATCH(card!B1479,card_type!B:B,0)-1,0)</f>
        <v>2403</v>
      </c>
      <c r="R1479" s="153">
        <v>1</v>
      </c>
      <c r="S1479" s="157"/>
      <c r="T1479" s="153">
        <v>2</v>
      </c>
      <c r="U1479" s="153">
        <f ca="1" t="shared" si="251"/>
        <v>42</v>
      </c>
      <c r="V1479" s="153">
        <f ca="1">ROUND((OFFSET(卡牌辅助配置表!$O$1,MATCH(U1479,卡牌辅助配置表!M:M,0)-1,0)+(N1479-1)*OFFSET(卡牌辅助配置表!$P$1,MATCH(U1479,卡牌辅助配置表!M:M,0)-1,0))*M1479,2)</f>
        <v>248.65</v>
      </c>
      <c r="W1479" s="157">
        <f ca="1">ROUND(IF(R1479=0,0,IF(R1479=1,X1479*$W$1,IF(R1479=2,X1479*$W$1*buff的资质计算!$E$2,IF(R1479=3,X1479*$W$1*buff的资质计算!$E$3,0)))),2)</f>
        <v>19.5</v>
      </c>
      <c r="X1479" s="157">
        <f ca="1" t="shared" si="247"/>
        <v>65</v>
      </c>
      <c r="Y1479" s="157">
        <f ca="1" t="shared" si="245"/>
        <v>65</v>
      </c>
      <c r="Z1479" s="304">
        <f ca="1" t="shared" si="248"/>
        <v>32.5</v>
      </c>
      <c r="AA1479" s="304">
        <f ca="1">OFFSET(卡牌辅助配置表!$AD$1,MATCH(AB1479,卡牌辅助配置表!AB:AB,0)-1,0)</f>
        <v>19780</v>
      </c>
      <c r="AB1479" s="304">
        <f ca="1" t="shared" si="252"/>
        <v>4229</v>
      </c>
      <c r="AC1479" s="153">
        <v>3</v>
      </c>
      <c r="AE1479" s="153">
        <v>2</v>
      </c>
      <c r="AF1479" s="153" t="str">
        <f ca="1" t="shared" si="246"/>
        <v>24030011|</v>
      </c>
      <c r="AJ1479" s="205">
        <f ca="1" t="shared" si="253"/>
        <v>0</v>
      </c>
      <c r="AK1479" s="205">
        <f ca="1">OFFSET([1]item_type!$A$1,MATCH(Q1479,[1]item_type!$G:$G,0)-1,0)</f>
        <v>302403</v>
      </c>
      <c r="AL1479" s="205">
        <v>30</v>
      </c>
      <c r="AM1479" s="205">
        <f ca="1">IF(B1479=B1480,OFFSET(卡牌辅助配置表!$AE$1,MATCH(AB1479,卡牌辅助配置表!AB:AB,0),0),0)</f>
        <v>21450</v>
      </c>
      <c r="AN1479" s="153">
        <f ca="1" t="shared" si="244"/>
        <v>0</v>
      </c>
      <c r="AP1479" s="153" t="str">
        <f ca="1">IF(AC1479=0,0,IF(AC1479=12,0,OFFSET(effect!$N$1,MATCH(K1479,effect!M:M,0)-1,0)))</f>
        <v>kpsx_pt</v>
      </c>
    </row>
    <row r="1480" spans="1:42">
      <c r="A1480" s="153">
        <f ca="1" t="shared" si="250"/>
        <v>2403030</v>
      </c>
      <c r="B1480" s="300" t="s">
        <v>808</v>
      </c>
      <c r="C1480" s="186">
        <v>2</v>
      </c>
      <c r="D1480" s="186">
        <v>1</v>
      </c>
      <c r="E1480" s="165" t="s">
        <v>1058</v>
      </c>
      <c r="F1480" s="165" t="str">
        <f>"上一招为剑法时，使敌人下一回合费用-"&amp;skill!$O$119&amp;""</f>
        <v>上一招为剑法时，使敌人下一回合费用-1</v>
      </c>
      <c r="G1480" s="186">
        <f ca="1">OFFSET(卡牌辅助配置表!$C$1,MATCH(AC1480,卡牌辅助配置表!A:A,0)-1,0)</f>
        <v>3</v>
      </c>
      <c r="H1480" s="186">
        <f ca="1">OFFSET(skill!$Q$1,MATCH(B1480,skill!B:B,0)-1,0)</f>
        <v>0</v>
      </c>
      <c r="I1480" s="186"/>
      <c r="J1480" s="186">
        <f ca="1">OFFSET(card_type!$F$1,MATCH(Q1480,card_type!A:A,0)-1,0)</f>
        <v>4</v>
      </c>
      <c r="K1480" s="243">
        <f ca="1">OFFSET(card_type!$G$1,MATCH(Q1480,card_type!A:A,0)-1,0)</f>
        <v>2</v>
      </c>
      <c r="L1480" s="157">
        <v>2</v>
      </c>
      <c r="M1480" s="157">
        <v>2</v>
      </c>
      <c r="N1480" s="153">
        <f t="shared" si="249"/>
        <v>30</v>
      </c>
      <c r="O1480" s="157"/>
      <c r="P1480" s="157"/>
      <c r="Q1480" s="153">
        <f ca="1">OFFSET(card_type!$A$1,MATCH(card!B1480,card_type!B:B,0)-1,0)</f>
        <v>2403</v>
      </c>
      <c r="R1480" s="153">
        <v>1</v>
      </c>
      <c r="S1480" s="157"/>
      <c r="T1480" s="153">
        <v>2</v>
      </c>
      <c r="U1480" s="153">
        <f ca="1" t="shared" si="251"/>
        <v>42</v>
      </c>
      <c r="V1480" s="153">
        <f ca="1">ROUND((OFFSET(卡牌辅助配置表!$O$1,MATCH(U1480,卡牌辅助配置表!M:M,0)-1,0)+(N1480-1)*OFFSET(卡牌辅助配置表!$P$1,MATCH(U1480,卡牌辅助配置表!M:M,0)-1,0))*M1480,2)</f>
        <v>255.95</v>
      </c>
      <c r="W1480" s="157">
        <f ca="1">ROUND(IF(R1480=0,0,IF(R1480=1,X1480*$W$1,IF(R1480=2,X1480*$W$1*buff的资质计算!$E$2,IF(R1480=3,X1480*$W$1*buff的资质计算!$E$3,0)))),2)</f>
        <v>19.65</v>
      </c>
      <c r="X1480" s="157">
        <f ca="1" t="shared" si="247"/>
        <v>65.5</v>
      </c>
      <c r="Y1480" s="157">
        <f ca="1" t="shared" si="245"/>
        <v>65.5</v>
      </c>
      <c r="Z1480" s="304">
        <f ca="1" t="shared" si="248"/>
        <v>32.75</v>
      </c>
      <c r="AA1480" s="304">
        <f ca="1">OFFSET(卡牌辅助配置表!$AD$1,MATCH(AB1480,卡牌辅助配置表!AB:AB,0)-1,0)</f>
        <v>20700</v>
      </c>
      <c r="AB1480" s="304">
        <f ca="1" t="shared" si="252"/>
        <v>4230</v>
      </c>
      <c r="AC1480" s="153">
        <v>3</v>
      </c>
      <c r="AE1480" s="153">
        <v>2</v>
      </c>
      <c r="AF1480" s="153" t="str">
        <f ca="1" t="shared" si="246"/>
        <v>24030011|</v>
      </c>
      <c r="AJ1480" s="205">
        <f ca="1" t="shared" si="253"/>
        <v>0</v>
      </c>
      <c r="AK1480" s="205">
        <f ca="1">OFFSET([1]item_type!$A$1,MATCH(Q1480,[1]item_type!$G:$G,0)-1,0)</f>
        <v>302403</v>
      </c>
      <c r="AL1480" s="205"/>
      <c r="AM1480" s="205">
        <f ca="1">IF(B1480=B1481,OFFSET(卡牌辅助配置表!$AE$1,MATCH(AB1480,卡牌辅助配置表!AB:AB,0),0),0)</f>
        <v>0</v>
      </c>
      <c r="AN1480" s="153">
        <f ca="1" t="shared" si="244"/>
        <v>0</v>
      </c>
      <c r="AP1480" s="153" t="str">
        <f ca="1">IF(AC1480=0,0,IF(AC1480=12,0,OFFSET(effect!$N$1,MATCH(K1480,effect!M:M,0)-1,0)))</f>
        <v>kpsx_pt</v>
      </c>
    </row>
    <row r="1481" spans="1:42">
      <c r="A1481" s="153">
        <f ca="1" t="shared" si="250"/>
        <v>2404001</v>
      </c>
      <c r="B1481" s="152" t="s">
        <v>345</v>
      </c>
      <c r="C1481" s="186">
        <v>2</v>
      </c>
      <c r="D1481" s="186">
        <v>1</v>
      </c>
      <c r="E1481" s="165" t="s">
        <v>1058</v>
      </c>
      <c r="F1481" s="179" t="s">
        <v>1064</v>
      </c>
      <c r="G1481" s="186">
        <f ca="1">OFFSET(卡牌辅助配置表!$C$1,MATCH(AC1481,卡牌辅助配置表!A:A,0)-1,0)</f>
        <v>3</v>
      </c>
      <c r="H1481" s="186">
        <f ca="1">OFFSET(skill!$Q$1,MATCH(B1481,skill!B:B,0)-1,0)</f>
        <v>1.5</v>
      </c>
      <c r="I1481" s="186"/>
      <c r="J1481" s="186">
        <f ca="1">OFFSET(card_type!$F$1,MATCH(Q1481,card_type!A:A,0)-1,0)</f>
        <v>4</v>
      </c>
      <c r="K1481" s="243">
        <f ca="1">OFFSET(card_type!$G$1,MATCH(Q1481,card_type!A:A,0)-1,0)</f>
        <v>3</v>
      </c>
      <c r="L1481" s="157">
        <v>3</v>
      </c>
      <c r="M1481" s="157">
        <v>3</v>
      </c>
      <c r="N1481" s="153">
        <f t="shared" si="249"/>
        <v>1</v>
      </c>
      <c r="O1481" s="157"/>
      <c r="P1481" s="157"/>
      <c r="Q1481" s="153">
        <f ca="1">OFFSET(card_type!$A$1,MATCH(card!B1481,card_type!B:B,0)-1,0)</f>
        <v>2404</v>
      </c>
      <c r="R1481" s="153">
        <v>1</v>
      </c>
      <c r="S1481" s="157">
        <f ca="1">ROUND(IF(R1481=0,0,IF(R1481=1,X1481*$S$1,IF(R1481=2,X1481*$S$1*buff的资质计算!$E$2,IF(R1481=3,X1481*$S$1*buff的资质计算!$E$3,0)))),0)*0</f>
        <v>0</v>
      </c>
      <c r="T1481" s="153">
        <v>4</v>
      </c>
      <c r="U1481" s="153">
        <f ca="1" t="shared" si="251"/>
        <v>43</v>
      </c>
      <c r="V1481" s="153">
        <f ca="1">ROUND((OFFSET(卡牌辅助配置表!$O$1,MATCH(U1481,卡牌辅助配置表!M:M,0)-1,0)+(N1481-1)*OFFSET(卡牌辅助配置表!$P$1,MATCH(U1481,卡牌辅助配置表!M:M,0)-1,0))*M1481,2)</f>
        <v>106.2</v>
      </c>
      <c r="W1481" s="157">
        <f ca="1">ROUND(IF(R1481=0,0,IF(R1481=1,X1481*$W$1,IF(R1481=2,X1481*$W$1*buff的资质计算!$E$2,IF(R1481=3,X1481*$W$1*buff的资质计算!$E$3,0)))),2)</f>
        <v>26.1</v>
      </c>
      <c r="X1481" s="157">
        <f ca="1" t="shared" si="247"/>
        <v>87</v>
      </c>
      <c r="Y1481" s="157">
        <f ca="1" t="shared" si="245"/>
        <v>88.5</v>
      </c>
      <c r="Z1481" s="304">
        <f ca="1" t="shared" si="248"/>
        <v>29.5</v>
      </c>
      <c r="AA1481" s="304">
        <f ca="1">OFFSET(卡牌辅助配置表!$AD$1,MATCH(AB1481,卡牌辅助配置表!AB:AB,0)-1,0)</f>
        <v>1150</v>
      </c>
      <c r="AB1481" s="304">
        <f ca="1" t="shared" si="252"/>
        <v>4301</v>
      </c>
      <c r="AC1481" s="153">
        <v>3</v>
      </c>
      <c r="AE1481" s="153">
        <v>2</v>
      </c>
      <c r="AF1481" s="153" t="str">
        <f ca="1" t="shared" si="246"/>
        <v>24040011|</v>
      </c>
      <c r="AJ1481" s="205">
        <f ca="1" t="shared" si="253"/>
        <v>0</v>
      </c>
      <c r="AK1481" s="205">
        <f ca="1">OFFSET([1]item_type!$A$1,MATCH(Q1481,[1]item_type!$G:$G,0)-1,0)</f>
        <v>302404</v>
      </c>
      <c r="AL1481" s="205"/>
      <c r="AM1481" s="205">
        <f ca="1">IF(B1481=B1482,OFFSET(卡牌辅助配置表!$AE$1,MATCH(AB1481,卡牌辅助配置表!AB:AB,0),0),0)</f>
        <v>1400</v>
      </c>
      <c r="AN1481" s="153">
        <f ca="1">IF(B1481=B1511,A1481+1,0)</f>
        <v>0</v>
      </c>
      <c r="AP1481" s="153" t="str">
        <f ca="1">IF(AC1481=0,0,IF(AC1481=12,0,OFFSET(effect!$N$1,MATCH(K1481,effect!M:M,0)-1,0)))</f>
        <v>kpsx_zise</v>
      </c>
    </row>
    <row r="1482" spans="1:42">
      <c r="A1482" s="153">
        <f ca="1" t="shared" si="250"/>
        <v>2404002</v>
      </c>
      <c r="B1482" s="91" t="s">
        <v>345</v>
      </c>
      <c r="C1482" s="186">
        <v>2</v>
      </c>
      <c r="D1482" s="186">
        <v>1</v>
      </c>
      <c r="E1482" s="165" t="s">
        <v>1058</v>
      </c>
      <c r="F1482" s="179" t="s">
        <v>1064</v>
      </c>
      <c r="G1482" s="186">
        <f ca="1">OFFSET(卡牌辅助配置表!$C$1,MATCH(AC1482,卡牌辅助配置表!A:A,0)-1,0)</f>
        <v>3</v>
      </c>
      <c r="H1482" s="186">
        <f ca="1">OFFSET(skill!$Q$1,MATCH(B1482,skill!B:B,0)-1,0)</f>
        <v>1.5</v>
      </c>
      <c r="I1482" s="186"/>
      <c r="J1482" s="186">
        <f ca="1">OFFSET(card_type!$F$1,MATCH(Q1482,card_type!A:A,0)-1,0)</f>
        <v>4</v>
      </c>
      <c r="K1482" s="243">
        <f ca="1">OFFSET(card_type!$G$1,MATCH(Q1482,card_type!A:A,0)-1,0)</f>
        <v>3</v>
      </c>
      <c r="L1482" s="157">
        <v>3</v>
      </c>
      <c r="M1482" s="157">
        <v>3</v>
      </c>
      <c r="N1482" s="153">
        <f t="shared" si="249"/>
        <v>2</v>
      </c>
      <c r="O1482" s="157"/>
      <c r="P1482" s="157"/>
      <c r="Q1482" s="153">
        <f ca="1">OFFSET(card_type!$A$1,MATCH(card!B1482,card_type!B:B,0)-1,0)</f>
        <v>2404</v>
      </c>
      <c r="R1482" s="153">
        <v>1</v>
      </c>
      <c r="S1482" s="157">
        <f ca="1">ROUND(IF(R1482=0,0,IF(R1482=1,X1482*$S$1,IF(R1482=2,X1482*$S$1*buff的资质计算!$E$2,IF(R1482=3,X1482*$S$1*buff的资质计算!$E$3,0)))),0)*0</f>
        <v>0</v>
      </c>
      <c r="T1482" s="153">
        <v>4</v>
      </c>
      <c r="U1482" s="153">
        <f ca="1" t="shared" si="251"/>
        <v>43</v>
      </c>
      <c r="V1482" s="153">
        <f ca="1">ROUND((OFFSET(卡牌辅助配置表!$O$1,MATCH(U1482,卡牌辅助配置表!M:M,0)-1,0)+(N1482-1)*OFFSET(卡牌辅助配置表!$P$1,MATCH(U1482,卡牌辅助配置表!M:M,0)-1,0))*M1482,2)</f>
        <v>120.36</v>
      </c>
      <c r="W1482" s="157">
        <f ca="1">ROUND(IF(R1482=0,0,IF(R1482=1,X1482*$W$1,IF(R1482=2,X1482*$W$1*buff的资质计算!$E$2,IF(R1482=3,X1482*$W$1*buff的资质计算!$E$3,0)))),2)</f>
        <v>26.25</v>
      </c>
      <c r="X1482" s="157">
        <f ca="1" t="shared" si="247"/>
        <v>87.5</v>
      </c>
      <c r="Y1482" s="157">
        <f ca="1" t="shared" si="245"/>
        <v>89</v>
      </c>
      <c r="Z1482" s="304">
        <f ca="1" t="shared" si="248"/>
        <v>29.6666666666667</v>
      </c>
      <c r="AA1482" s="304">
        <f ca="1">OFFSET(卡牌辅助配置表!$AD$1,MATCH(AB1482,卡牌辅助配置表!AB:AB,0)-1,0)</f>
        <v>2300</v>
      </c>
      <c r="AB1482" s="304">
        <f ca="1" t="shared" si="252"/>
        <v>4302</v>
      </c>
      <c r="AC1482" s="153">
        <v>3</v>
      </c>
      <c r="AE1482" s="153">
        <v>2</v>
      </c>
      <c r="AF1482" s="153" t="str">
        <f ca="1" t="shared" si="246"/>
        <v>24040011|</v>
      </c>
      <c r="AJ1482" s="205">
        <f ca="1" t="shared" si="253"/>
        <v>0</v>
      </c>
      <c r="AK1482" s="205">
        <f ca="1">OFFSET([1]item_type!$A$1,MATCH(Q1482,[1]item_type!$G:$G,0)-1,0)</f>
        <v>302404</v>
      </c>
      <c r="AL1482" s="205"/>
      <c r="AM1482" s="205">
        <f ca="1">IF(B1482=B1483,OFFSET(卡牌辅助配置表!$AE$1,MATCH(AB1482,卡牌辅助配置表!AB:AB,0),0),0)</f>
        <v>1800</v>
      </c>
      <c r="AN1482" s="153">
        <f ca="1" t="shared" ref="AN1482:AN1510" si="254">IF(B1482=B1541,A1482+1,0)</f>
        <v>0</v>
      </c>
      <c r="AP1482" s="153" t="str">
        <f ca="1">IF(AC1482=0,0,IF(AC1482=12,0,OFFSET(effect!$N$1,MATCH(K1482,effect!M:M,0)-1,0)))</f>
        <v>kpsx_zise</v>
      </c>
    </row>
    <row r="1483" spans="1:42">
      <c r="A1483" s="153">
        <f ca="1" t="shared" si="250"/>
        <v>2404003</v>
      </c>
      <c r="B1483" s="91" t="s">
        <v>345</v>
      </c>
      <c r="C1483" s="186">
        <v>2</v>
      </c>
      <c r="D1483" s="186">
        <v>1</v>
      </c>
      <c r="E1483" s="165" t="s">
        <v>1058</v>
      </c>
      <c r="F1483" s="179" t="s">
        <v>1064</v>
      </c>
      <c r="G1483" s="186">
        <f ca="1">OFFSET(卡牌辅助配置表!$C$1,MATCH(AC1483,卡牌辅助配置表!A:A,0)-1,0)</f>
        <v>3</v>
      </c>
      <c r="H1483" s="186">
        <f ca="1">OFFSET(skill!$Q$1,MATCH(B1483,skill!B:B,0)-1,0)</f>
        <v>1.5</v>
      </c>
      <c r="I1483" s="186"/>
      <c r="J1483" s="186">
        <f ca="1">OFFSET(card_type!$F$1,MATCH(Q1483,card_type!A:A,0)-1,0)</f>
        <v>4</v>
      </c>
      <c r="K1483" s="243">
        <f ca="1">OFFSET(card_type!$G$1,MATCH(Q1483,card_type!A:A,0)-1,0)</f>
        <v>3</v>
      </c>
      <c r="L1483" s="157">
        <v>3</v>
      </c>
      <c r="M1483" s="157">
        <v>3</v>
      </c>
      <c r="N1483" s="153">
        <f t="shared" si="249"/>
        <v>3</v>
      </c>
      <c r="O1483" s="157"/>
      <c r="P1483" s="157"/>
      <c r="Q1483" s="153">
        <f ca="1">OFFSET(card_type!$A$1,MATCH(card!B1483,card_type!B:B,0)-1,0)</f>
        <v>2404</v>
      </c>
      <c r="R1483" s="153">
        <v>1</v>
      </c>
      <c r="S1483" s="157">
        <f ca="1">ROUND(IF(R1483=0,0,IF(R1483=1,X1483*$S$1,IF(R1483=2,X1483*$S$1*buff的资质计算!$E$2,IF(R1483=3,X1483*$S$1*buff的资质计算!$E$3,0)))),0)*0</f>
        <v>0</v>
      </c>
      <c r="T1483" s="153">
        <v>4</v>
      </c>
      <c r="U1483" s="153">
        <f ca="1" t="shared" si="251"/>
        <v>43</v>
      </c>
      <c r="V1483" s="153">
        <f ca="1">ROUND((OFFSET(卡牌辅助配置表!$O$1,MATCH(U1483,卡牌辅助配置表!M:M,0)-1,0)+(N1483-1)*OFFSET(卡牌辅助配置表!$P$1,MATCH(U1483,卡牌辅助配置表!M:M,0)-1,0))*M1483,2)</f>
        <v>134.52</v>
      </c>
      <c r="W1483" s="157">
        <f ca="1">ROUND(IF(R1483=0,0,IF(R1483=1,X1483*$W$1,IF(R1483=2,X1483*$W$1*buff的资质计算!$E$2,IF(R1483=3,X1483*$W$1*buff的资质计算!$E$3,0)))),2)</f>
        <v>26.4</v>
      </c>
      <c r="X1483" s="157">
        <f ca="1" t="shared" si="247"/>
        <v>88</v>
      </c>
      <c r="Y1483" s="157">
        <f ca="1" t="shared" si="245"/>
        <v>89.5</v>
      </c>
      <c r="Z1483" s="304">
        <f ca="1" t="shared" si="248"/>
        <v>29.8333333333333</v>
      </c>
      <c r="AA1483" s="304">
        <f ca="1">OFFSET(卡牌辅助配置表!$AD$1,MATCH(AB1483,卡牌辅助配置表!AB:AB,0)-1,0)</f>
        <v>3450</v>
      </c>
      <c r="AB1483" s="304">
        <f ca="1" t="shared" si="252"/>
        <v>4303</v>
      </c>
      <c r="AC1483" s="153">
        <v>3</v>
      </c>
      <c r="AE1483" s="153">
        <v>2</v>
      </c>
      <c r="AF1483" s="153" t="str">
        <f ca="1" t="shared" si="246"/>
        <v>24040011|</v>
      </c>
      <c r="AJ1483" s="205">
        <f ca="1" t="shared" si="253"/>
        <v>0</v>
      </c>
      <c r="AK1483" s="205">
        <f ca="1">OFFSET([1]item_type!$A$1,MATCH(Q1483,[1]item_type!$G:$G,0)-1,0)</f>
        <v>302404</v>
      </c>
      <c r="AL1483" s="205"/>
      <c r="AM1483" s="205">
        <f ca="1">IF(B1483=B1484,OFFSET(卡牌辅助配置表!$AE$1,MATCH(AB1483,卡牌辅助配置表!AB:AB,0),0),0)</f>
        <v>2200</v>
      </c>
      <c r="AN1483" s="153">
        <f ca="1" t="shared" si="254"/>
        <v>0</v>
      </c>
      <c r="AP1483" s="153" t="str">
        <f ca="1">IF(AC1483=0,0,IF(AC1483=12,0,OFFSET(effect!$N$1,MATCH(K1483,effect!M:M,0)-1,0)))</f>
        <v>kpsx_zise</v>
      </c>
    </row>
    <row r="1484" spans="1:42">
      <c r="A1484" s="153">
        <f ca="1" t="shared" si="250"/>
        <v>2404004</v>
      </c>
      <c r="B1484" s="91" t="s">
        <v>345</v>
      </c>
      <c r="C1484" s="186">
        <v>2</v>
      </c>
      <c r="D1484" s="186">
        <v>1</v>
      </c>
      <c r="E1484" s="165" t="s">
        <v>1058</v>
      </c>
      <c r="F1484" s="179" t="s">
        <v>1064</v>
      </c>
      <c r="G1484" s="186">
        <f ca="1">OFFSET(卡牌辅助配置表!$C$1,MATCH(AC1484,卡牌辅助配置表!A:A,0)-1,0)</f>
        <v>3</v>
      </c>
      <c r="H1484" s="186">
        <f ca="1">OFFSET(skill!$Q$1,MATCH(B1484,skill!B:B,0)-1,0)</f>
        <v>1.5</v>
      </c>
      <c r="I1484" s="186"/>
      <c r="J1484" s="186">
        <f ca="1">OFFSET(card_type!$F$1,MATCH(Q1484,card_type!A:A,0)-1,0)</f>
        <v>4</v>
      </c>
      <c r="K1484" s="243">
        <f ca="1">OFFSET(card_type!$G$1,MATCH(Q1484,card_type!A:A,0)-1,0)</f>
        <v>3</v>
      </c>
      <c r="L1484" s="157">
        <v>3</v>
      </c>
      <c r="M1484" s="157">
        <v>3</v>
      </c>
      <c r="N1484" s="153">
        <f t="shared" si="249"/>
        <v>4</v>
      </c>
      <c r="O1484" s="157"/>
      <c r="P1484" s="157"/>
      <c r="Q1484" s="153">
        <f ca="1">OFFSET(card_type!$A$1,MATCH(card!B1484,card_type!B:B,0)-1,0)</f>
        <v>2404</v>
      </c>
      <c r="R1484" s="153">
        <v>1</v>
      </c>
      <c r="S1484" s="157">
        <f ca="1">ROUND(IF(R1484=0,0,IF(R1484=1,X1484*$S$1,IF(R1484=2,X1484*$S$1*buff的资质计算!$E$2,IF(R1484=3,X1484*$S$1*buff的资质计算!$E$3,0)))),0)*0</f>
        <v>0</v>
      </c>
      <c r="T1484" s="153">
        <v>4</v>
      </c>
      <c r="U1484" s="153">
        <f ca="1" t="shared" si="251"/>
        <v>43</v>
      </c>
      <c r="V1484" s="153">
        <f ca="1">ROUND((OFFSET(卡牌辅助配置表!$O$1,MATCH(U1484,卡牌辅助配置表!M:M,0)-1,0)+(N1484-1)*OFFSET(卡牌辅助配置表!$P$1,MATCH(U1484,卡牌辅助配置表!M:M,0)-1,0))*M1484,2)</f>
        <v>148.68</v>
      </c>
      <c r="W1484" s="157">
        <f ca="1">ROUND(IF(R1484=0,0,IF(R1484=1,X1484*$W$1,IF(R1484=2,X1484*$W$1*buff的资质计算!$E$2,IF(R1484=3,X1484*$W$1*buff的资质计算!$E$3,0)))),2)</f>
        <v>26.55</v>
      </c>
      <c r="X1484" s="157">
        <f ca="1" t="shared" si="247"/>
        <v>88.5</v>
      </c>
      <c r="Y1484" s="157">
        <f ca="1" t="shared" si="245"/>
        <v>90</v>
      </c>
      <c r="Z1484" s="304">
        <f ca="1" t="shared" si="248"/>
        <v>30</v>
      </c>
      <c r="AA1484" s="304">
        <f ca="1">OFFSET(卡牌辅助配置表!$AD$1,MATCH(AB1484,卡牌辅助配置表!AB:AB,0)-1,0)</f>
        <v>4600</v>
      </c>
      <c r="AB1484" s="304">
        <f ca="1" t="shared" si="252"/>
        <v>4304</v>
      </c>
      <c r="AC1484" s="153">
        <v>3</v>
      </c>
      <c r="AE1484" s="153">
        <v>2</v>
      </c>
      <c r="AF1484" s="153" t="str">
        <f ca="1" t="shared" si="246"/>
        <v>24040011|</v>
      </c>
      <c r="AJ1484" s="205">
        <f ca="1" t="shared" si="253"/>
        <v>0</v>
      </c>
      <c r="AK1484" s="205">
        <f ca="1">OFFSET([1]item_type!$A$1,MATCH(Q1484,[1]item_type!$G:$G,0)-1,0)</f>
        <v>302404</v>
      </c>
      <c r="AL1484" s="205"/>
      <c r="AM1484" s="205">
        <f ca="1">IF(B1484=B1485,OFFSET(卡牌辅助配置表!$AE$1,MATCH(AB1484,卡牌辅助配置表!AB:AB,0),0),0)</f>
        <v>2600</v>
      </c>
      <c r="AN1484" s="153">
        <f ca="1" t="shared" si="254"/>
        <v>0</v>
      </c>
      <c r="AP1484" s="153" t="str">
        <f ca="1">IF(AC1484=0,0,IF(AC1484=12,0,OFFSET(effect!$N$1,MATCH(K1484,effect!M:M,0)-1,0)))</f>
        <v>kpsx_zise</v>
      </c>
    </row>
    <row r="1485" spans="1:42">
      <c r="A1485" s="153">
        <f ca="1" t="shared" si="250"/>
        <v>2404005</v>
      </c>
      <c r="B1485" s="91" t="s">
        <v>345</v>
      </c>
      <c r="C1485" s="186">
        <v>2</v>
      </c>
      <c r="D1485" s="186">
        <v>1</v>
      </c>
      <c r="E1485" s="165" t="s">
        <v>1058</v>
      </c>
      <c r="F1485" s="179" t="s">
        <v>1064</v>
      </c>
      <c r="G1485" s="186">
        <f ca="1">OFFSET(卡牌辅助配置表!$C$1,MATCH(AC1485,卡牌辅助配置表!A:A,0)-1,0)</f>
        <v>3</v>
      </c>
      <c r="H1485" s="186">
        <f ca="1">OFFSET(skill!$Q$1,MATCH(B1485,skill!B:B,0)-1,0)</f>
        <v>1.5</v>
      </c>
      <c r="I1485" s="186"/>
      <c r="J1485" s="186">
        <f ca="1">OFFSET(card_type!$F$1,MATCH(Q1485,card_type!A:A,0)-1,0)</f>
        <v>4</v>
      </c>
      <c r="K1485" s="243">
        <f ca="1">OFFSET(card_type!$G$1,MATCH(Q1485,card_type!A:A,0)-1,0)</f>
        <v>3</v>
      </c>
      <c r="L1485" s="157">
        <v>3</v>
      </c>
      <c r="M1485" s="157">
        <v>3</v>
      </c>
      <c r="N1485" s="153">
        <f t="shared" si="249"/>
        <v>5</v>
      </c>
      <c r="O1485" s="157"/>
      <c r="P1485" s="157"/>
      <c r="Q1485" s="153">
        <f ca="1">OFFSET(card_type!$A$1,MATCH(card!B1485,card_type!B:B,0)-1,0)</f>
        <v>2404</v>
      </c>
      <c r="R1485" s="153">
        <v>1</v>
      </c>
      <c r="S1485" s="157">
        <f ca="1">ROUND(IF(R1485=0,0,IF(R1485=1,X1485*$S$1,IF(R1485=2,X1485*$S$1*buff的资质计算!$E$2,IF(R1485=3,X1485*$S$1*buff的资质计算!$E$3,0)))),0)*0</f>
        <v>0</v>
      </c>
      <c r="T1485" s="153">
        <v>4</v>
      </c>
      <c r="U1485" s="153">
        <f ca="1" t="shared" si="251"/>
        <v>43</v>
      </c>
      <c r="V1485" s="153">
        <f ca="1">ROUND((OFFSET(卡牌辅助配置表!$O$1,MATCH(U1485,卡牌辅助配置表!M:M,0)-1,0)+(N1485-1)*OFFSET(卡牌辅助配置表!$P$1,MATCH(U1485,卡牌辅助配置表!M:M,0)-1,0))*M1485,2)</f>
        <v>162.84</v>
      </c>
      <c r="W1485" s="157">
        <f ca="1">ROUND(IF(R1485=0,0,IF(R1485=1,X1485*$W$1,IF(R1485=2,X1485*$W$1*buff的资质计算!$E$2,IF(R1485=3,X1485*$W$1*buff的资质计算!$E$3,0)))),2)</f>
        <v>26.7</v>
      </c>
      <c r="X1485" s="157">
        <f ca="1" t="shared" si="247"/>
        <v>89</v>
      </c>
      <c r="Y1485" s="157">
        <f ca="1" t="shared" si="245"/>
        <v>90.5</v>
      </c>
      <c r="Z1485" s="304">
        <f ca="1" t="shared" si="248"/>
        <v>30.1666666666667</v>
      </c>
      <c r="AA1485" s="304">
        <f ca="1">OFFSET(卡牌辅助配置表!$AD$1,MATCH(AB1485,卡牌辅助配置表!AB:AB,0)-1,0)</f>
        <v>5750</v>
      </c>
      <c r="AB1485" s="304">
        <f ca="1" t="shared" si="252"/>
        <v>4305</v>
      </c>
      <c r="AC1485" s="153">
        <v>3</v>
      </c>
      <c r="AE1485" s="153">
        <v>2</v>
      </c>
      <c r="AF1485" s="153" t="str">
        <f ca="1" t="shared" si="246"/>
        <v>24040011|</v>
      </c>
      <c r="AJ1485" s="205">
        <f ca="1" t="shared" si="253"/>
        <v>0</v>
      </c>
      <c r="AK1485" s="205">
        <f ca="1">OFFSET([1]item_type!$A$1,MATCH(Q1485,[1]item_type!$G:$G,0)-1,0)</f>
        <v>302404</v>
      </c>
      <c r="AL1485" s="205"/>
      <c r="AM1485" s="205">
        <f ca="1">IF(B1485=B1486,OFFSET(卡牌辅助配置表!$AE$1,MATCH(AB1485,卡牌辅助配置表!AB:AB,0),0),0)</f>
        <v>3000</v>
      </c>
      <c r="AN1485" s="153">
        <f ca="1" t="shared" si="254"/>
        <v>0</v>
      </c>
      <c r="AP1485" s="153" t="str">
        <f ca="1">IF(AC1485=0,0,IF(AC1485=12,0,OFFSET(effect!$N$1,MATCH(K1485,effect!M:M,0)-1,0)))</f>
        <v>kpsx_zise</v>
      </c>
    </row>
    <row r="1486" spans="1:42">
      <c r="A1486" s="153">
        <f ca="1" t="shared" si="250"/>
        <v>2404006</v>
      </c>
      <c r="B1486" s="91" t="s">
        <v>345</v>
      </c>
      <c r="C1486" s="186">
        <v>2</v>
      </c>
      <c r="D1486" s="186">
        <v>1</v>
      </c>
      <c r="E1486" s="165" t="s">
        <v>1058</v>
      </c>
      <c r="F1486" s="179" t="s">
        <v>1064</v>
      </c>
      <c r="G1486" s="186">
        <f ca="1">OFFSET(卡牌辅助配置表!$C$1,MATCH(AC1486,卡牌辅助配置表!A:A,0)-1,0)</f>
        <v>3</v>
      </c>
      <c r="H1486" s="186">
        <f ca="1">OFFSET(skill!$Q$1,MATCH(B1486,skill!B:B,0)-1,0)</f>
        <v>1.5</v>
      </c>
      <c r="I1486" s="186"/>
      <c r="J1486" s="186">
        <f ca="1">OFFSET(card_type!$F$1,MATCH(Q1486,card_type!A:A,0)-1,0)</f>
        <v>4</v>
      </c>
      <c r="K1486" s="243">
        <f ca="1">OFFSET(card_type!$G$1,MATCH(Q1486,card_type!A:A,0)-1,0)</f>
        <v>3</v>
      </c>
      <c r="L1486" s="157">
        <v>3</v>
      </c>
      <c r="M1486" s="157">
        <v>3</v>
      </c>
      <c r="N1486" s="153">
        <f t="shared" si="249"/>
        <v>6</v>
      </c>
      <c r="O1486" s="157"/>
      <c r="P1486" s="157"/>
      <c r="Q1486" s="153">
        <f ca="1">OFFSET(card_type!$A$1,MATCH(card!B1486,card_type!B:B,0)-1,0)</f>
        <v>2404</v>
      </c>
      <c r="R1486" s="153">
        <v>1</v>
      </c>
      <c r="S1486" s="157">
        <f ca="1">ROUND(IF(R1486=0,0,IF(R1486=1,X1486*$S$1,IF(R1486=2,X1486*$S$1*buff的资质计算!$E$2,IF(R1486=3,X1486*$S$1*buff的资质计算!$E$3,0)))),0)*0</f>
        <v>0</v>
      </c>
      <c r="T1486" s="153">
        <v>4</v>
      </c>
      <c r="U1486" s="153">
        <f ca="1" t="shared" si="251"/>
        <v>43</v>
      </c>
      <c r="V1486" s="153">
        <f ca="1">ROUND((OFFSET(卡牌辅助配置表!$O$1,MATCH(U1486,卡牌辅助配置表!M:M,0)-1,0)+(N1486-1)*OFFSET(卡牌辅助配置表!$P$1,MATCH(U1486,卡牌辅助配置表!M:M,0)-1,0))*M1486,2)</f>
        <v>177</v>
      </c>
      <c r="W1486" s="157">
        <f ca="1">ROUND(IF(R1486=0,0,IF(R1486=1,X1486*$W$1,IF(R1486=2,X1486*$W$1*buff的资质计算!$E$2,IF(R1486=3,X1486*$W$1*buff的资质计算!$E$3,0)))),2)</f>
        <v>26.85</v>
      </c>
      <c r="X1486" s="157">
        <f ca="1" t="shared" si="247"/>
        <v>89.5</v>
      </c>
      <c r="Y1486" s="157">
        <f ca="1" t="shared" si="245"/>
        <v>91</v>
      </c>
      <c r="Z1486" s="304">
        <f ca="1" t="shared" si="248"/>
        <v>30.3333333333333</v>
      </c>
      <c r="AA1486" s="304">
        <f ca="1">OFFSET(卡牌辅助配置表!$AD$1,MATCH(AB1486,卡牌辅助配置表!AB:AB,0)-1,0)</f>
        <v>6900</v>
      </c>
      <c r="AB1486" s="304">
        <f ca="1" t="shared" si="252"/>
        <v>4306</v>
      </c>
      <c r="AC1486" s="153">
        <v>3</v>
      </c>
      <c r="AE1486" s="153">
        <v>2</v>
      </c>
      <c r="AF1486" s="153" t="str">
        <f ca="1" t="shared" si="246"/>
        <v>24040011|</v>
      </c>
      <c r="AJ1486" s="205">
        <f ca="1" t="shared" si="253"/>
        <v>0</v>
      </c>
      <c r="AK1486" s="205">
        <f ca="1">OFFSET([1]item_type!$A$1,MATCH(Q1486,[1]item_type!$G:$G,0)-1,0)</f>
        <v>302404</v>
      </c>
      <c r="AL1486" s="205"/>
      <c r="AM1486" s="205">
        <f ca="1">IF(B1486=B1487,OFFSET(卡牌辅助配置表!$AE$1,MATCH(AB1486,卡牌辅助配置表!AB:AB,0),0),0)</f>
        <v>3400</v>
      </c>
      <c r="AN1486" s="153">
        <f ca="1" t="shared" si="254"/>
        <v>0</v>
      </c>
      <c r="AP1486" s="153" t="str">
        <f ca="1">IF(AC1486=0,0,IF(AC1486=12,0,OFFSET(effect!$N$1,MATCH(K1486,effect!M:M,0)-1,0)))</f>
        <v>kpsx_zise</v>
      </c>
    </row>
    <row r="1487" spans="1:42">
      <c r="A1487" s="153">
        <f ca="1" t="shared" si="250"/>
        <v>2404007</v>
      </c>
      <c r="B1487" s="91" t="s">
        <v>345</v>
      </c>
      <c r="C1487" s="186">
        <v>2</v>
      </c>
      <c r="D1487" s="186">
        <v>1</v>
      </c>
      <c r="E1487" s="165" t="s">
        <v>1058</v>
      </c>
      <c r="F1487" s="179" t="s">
        <v>1064</v>
      </c>
      <c r="G1487" s="186">
        <f ca="1">OFFSET(卡牌辅助配置表!$C$1,MATCH(AC1487,卡牌辅助配置表!A:A,0)-1,0)</f>
        <v>3</v>
      </c>
      <c r="H1487" s="186">
        <f ca="1">OFFSET(skill!$Q$1,MATCH(B1487,skill!B:B,0)-1,0)</f>
        <v>1.5</v>
      </c>
      <c r="I1487" s="186"/>
      <c r="J1487" s="186">
        <f ca="1">OFFSET(card_type!$F$1,MATCH(Q1487,card_type!A:A,0)-1,0)</f>
        <v>4</v>
      </c>
      <c r="K1487" s="243">
        <f ca="1">OFFSET(card_type!$G$1,MATCH(Q1487,card_type!A:A,0)-1,0)</f>
        <v>3</v>
      </c>
      <c r="L1487" s="157">
        <v>3</v>
      </c>
      <c r="M1487" s="157">
        <v>3</v>
      </c>
      <c r="N1487" s="153">
        <f t="shared" si="249"/>
        <v>7</v>
      </c>
      <c r="O1487" s="157"/>
      <c r="P1487" s="157"/>
      <c r="Q1487" s="153">
        <f ca="1">OFFSET(card_type!$A$1,MATCH(card!B1487,card_type!B:B,0)-1,0)</f>
        <v>2404</v>
      </c>
      <c r="R1487" s="153">
        <v>1</v>
      </c>
      <c r="S1487" s="157">
        <f ca="1">ROUND(IF(R1487=0,0,IF(R1487=1,X1487*$S$1,IF(R1487=2,X1487*$S$1*buff的资质计算!$E$2,IF(R1487=3,X1487*$S$1*buff的资质计算!$E$3,0)))),0)*0</f>
        <v>0</v>
      </c>
      <c r="T1487" s="153">
        <v>4</v>
      </c>
      <c r="U1487" s="153">
        <f ca="1" t="shared" si="251"/>
        <v>43</v>
      </c>
      <c r="V1487" s="153">
        <f ca="1">ROUND((OFFSET(卡牌辅助配置表!$O$1,MATCH(U1487,卡牌辅助配置表!M:M,0)-1,0)+(N1487-1)*OFFSET(卡牌辅助配置表!$P$1,MATCH(U1487,卡牌辅助配置表!M:M,0)-1,0))*M1487,2)</f>
        <v>191.16</v>
      </c>
      <c r="W1487" s="157">
        <f ca="1">ROUND(IF(R1487=0,0,IF(R1487=1,X1487*$W$1,IF(R1487=2,X1487*$W$1*buff的资质计算!$E$2,IF(R1487=3,X1487*$W$1*buff的资质计算!$E$3,0)))),2)</f>
        <v>27</v>
      </c>
      <c r="X1487" s="157">
        <f ca="1" t="shared" si="247"/>
        <v>90</v>
      </c>
      <c r="Y1487" s="157">
        <f ca="1" t="shared" si="245"/>
        <v>91.5</v>
      </c>
      <c r="Z1487" s="304">
        <f ca="1" t="shared" si="248"/>
        <v>30.5</v>
      </c>
      <c r="AA1487" s="304">
        <f ca="1">OFFSET(卡牌辅助配置表!$AD$1,MATCH(AB1487,卡牌辅助配置表!AB:AB,0)-1,0)</f>
        <v>8050</v>
      </c>
      <c r="AB1487" s="304">
        <f ca="1" t="shared" si="252"/>
        <v>4307</v>
      </c>
      <c r="AC1487" s="153">
        <v>3</v>
      </c>
      <c r="AE1487" s="153">
        <v>2</v>
      </c>
      <c r="AF1487" s="153" t="str">
        <f ca="1" t="shared" si="246"/>
        <v>24040011|</v>
      </c>
      <c r="AJ1487" s="205">
        <f ca="1" t="shared" si="253"/>
        <v>0</v>
      </c>
      <c r="AK1487" s="205">
        <f ca="1">OFFSET([1]item_type!$A$1,MATCH(Q1487,[1]item_type!$G:$G,0)-1,0)</f>
        <v>302404</v>
      </c>
      <c r="AL1487" s="205"/>
      <c r="AM1487" s="205">
        <f ca="1">IF(B1487=B1488,OFFSET(卡牌辅助配置表!$AE$1,MATCH(AB1487,卡牌辅助配置表!AB:AB,0),0),0)</f>
        <v>3800</v>
      </c>
      <c r="AN1487" s="153">
        <f ca="1" t="shared" si="254"/>
        <v>0</v>
      </c>
      <c r="AP1487" s="153" t="str">
        <f ca="1">IF(AC1487=0,0,IF(AC1487=12,0,OFFSET(effect!$N$1,MATCH(K1487,effect!M:M,0)-1,0)))</f>
        <v>kpsx_zise</v>
      </c>
    </row>
    <row r="1488" spans="1:42">
      <c r="A1488" s="153">
        <f ca="1" t="shared" si="250"/>
        <v>2404008</v>
      </c>
      <c r="B1488" s="91" t="s">
        <v>345</v>
      </c>
      <c r="C1488" s="186">
        <v>2</v>
      </c>
      <c r="D1488" s="186">
        <v>1</v>
      </c>
      <c r="E1488" s="165" t="s">
        <v>1058</v>
      </c>
      <c r="F1488" s="179" t="s">
        <v>1064</v>
      </c>
      <c r="G1488" s="186">
        <f ca="1">OFFSET(卡牌辅助配置表!$C$1,MATCH(AC1488,卡牌辅助配置表!A:A,0)-1,0)</f>
        <v>3</v>
      </c>
      <c r="H1488" s="186">
        <f ca="1">OFFSET(skill!$Q$1,MATCH(B1488,skill!B:B,0)-1,0)</f>
        <v>1.5</v>
      </c>
      <c r="I1488" s="186"/>
      <c r="J1488" s="186">
        <f ca="1">OFFSET(card_type!$F$1,MATCH(Q1488,card_type!A:A,0)-1,0)</f>
        <v>4</v>
      </c>
      <c r="K1488" s="243">
        <f ca="1">OFFSET(card_type!$G$1,MATCH(Q1488,card_type!A:A,0)-1,0)</f>
        <v>3</v>
      </c>
      <c r="L1488" s="157">
        <v>3</v>
      </c>
      <c r="M1488" s="157">
        <v>3</v>
      </c>
      <c r="N1488" s="153">
        <f t="shared" si="249"/>
        <v>8</v>
      </c>
      <c r="O1488" s="157"/>
      <c r="P1488" s="157"/>
      <c r="Q1488" s="153">
        <f ca="1">OFFSET(card_type!$A$1,MATCH(card!B1488,card_type!B:B,0)-1,0)</f>
        <v>2404</v>
      </c>
      <c r="R1488" s="153">
        <v>1</v>
      </c>
      <c r="S1488" s="157">
        <f ca="1">ROUND(IF(R1488=0,0,IF(R1488=1,X1488*$S$1,IF(R1488=2,X1488*$S$1*buff的资质计算!$E$2,IF(R1488=3,X1488*$S$1*buff的资质计算!$E$3,0)))),0)*0</f>
        <v>0</v>
      </c>
      <c r="T1488" s="153">
        <v>4</v>
      </c>
      <c r="U1488" s="153">
        <f ca="1" t="shared" si="251"/>
        <v>43</v>
      </c>
      <c r="V1488" s="153">
        <f ca="1">ROUND((OFFSET(卡牌辅助配置表!$O$1,MATCH(U1488,卡牌辅助配置表!M:M,0)-1,0)+(N1488-1)*OFFSET(卡牌辅助配置表!$P$1,MATCH(U1488,卡牌辅助配置表!M:M,0)-1,0))*M1488,2)</f>
        <v>205.32</v>
      </c>
      <c r="W1488" s="157">
        <f ca="1">ROUND(IF(R1488=0,0,IF(R1488=1,X1488*$W$1,IF(R1488=2,X1488*$W$1*buff的资质计算!$E$2,IF(R1488=3,X1488*$W$1*buff的资质计算!$E$3,0)))),2)</f>
        <v>27.15</v>
      </c>
      <c r="X1488" s="157">
        <f ca="1" t="shared" si="247"/>
        <v>90.5</v>
      </c>
      <c r="Y1488" s="157">
        <f ca="1" t="shared" si="245"/>
        <v>92</v>
      </c>
      <c r="Z1488" s="304">
        <f ca="1" t="shared" si="248"/>
        <v>30.6666666666667</v>
      </c>
      <c r="AA1488" s="304">
        <f ca="1">OFFSET(卡牌辅助配置表!$AD$1,MATCH(AB1488,卡牌辅助配置表!AB:AB,0)-1,0)</f>
        <v>9200</v>
      </c>
      <c r="AB1488" s="304">
        <f ca="1" t="shared" si="252"/>
        <v>4308</v>
      </c>
      <c r="AC1488" s="153">
        <v>3</v>
      </c>
      <c r="AE1488" s="153">
        <v>2</v>
      </c>
      <c r="AF1488" s="153" t="str">
        <f ca="1" t="shared" si="246"/>
        <v>24040011|</v>
      </c>
      <c r="AJ1488" s="205">
        <f ca="1" t="shared" si="253"/>
        <v>0</v>
      </c>
      <c r="AK1488" s="205">
        <f ca="1">OFFSET([1]item_type!$A$1,MATCH(Q1488,[1]item_type!$G:$G,0)-1,0)</f>
        <v>302404</v>
      </c>
      <c r="AL1488" s="205"/>
      <c r="AM1488" s="205">
        <f ca="1">IF(B1488=B1489,OFFSET(卡牌辅助配置表!$AE$1,MATCH(AB1488,卡牌辅助配置表!AB:AB,0),0),0)</f>
        <v>4200</v>
      </c>
      <c r="AN1488" s="153">
        <f ca="1" t="shared" si="254"/>
        <v>0</v>
      </c>
      <c r="AP1488" s="153" t="str">
        <f ca="1">IF(AC1488=0,0,IF(AC1488=12,0,OFFSET(effect!$N$1,MATCH(K1488,effect!M:M,0)-1,0)))</f>
        <v>kpsx_zise</v>
      </c>
    </row>
    <row r="1489" spans="1:42">
      <c r="A1489" s="153">
        <f ca="1" t="shared" si="250"/>
        <v>2404009</v>
      </c>
      <c r="B1489" s="91" t="s">
        <v>345</v>
      </c>
      <c r="C1489" s="186">
        <v>2</v>
      </c>
      <c r="D1489" s="186">
        <v>1</v>
      </c>
      <c r="E1489" s="165" t="s">
        <v>1058</v>
      </c>
      <c r="F1489" s="179" t="s">
        <v>1064</v>
      </c>
      <c r="G1489" s="186">
        <f ca="1">OFFSET(卡牌辅助配置表!$C$1,MATCH(AC1489,卡牌辅助配置表!A:A,0)-1,0)</f>
        <v>3</v>
      </c>
      <c r="H1489" s="186">
        <f ca="1">OFFSET(skill!$Q$1,MATCH(B1489,skill!B:B,0)-1,0)</f>
        <v>1.5</v>
      </c>
      <c r="I1489" s="186"/>
      <c r="J1489" s="186">
        <f ca="1">OFFSET(card_type!$F$1,MATCH(Q1489,card_type!A:A,0)-1,0)</f>
        <v>4</v>
      </c>
      <c r="K1489" s="243">
        <f ca="1">OFFSET(card_type!$G$1,MATCH(Q1489,card_type!A:A,0)-1,0)</f>
        <v>3</v>
      </c>
      <c r="L1489" s="157">
        <v>3</v>
      </c>
      <c r="M1489" s="157">
        <v>3</v>
      </c>
      <c r="N1489" s="153">
        <f t="shared" si="249"/>
        <v>9</v>
      </c>
      <c r="O1489" s="157"/>
      <c r="P1489" s="157"/>
      <c r="Q1489" s="153">
        <f ca="1">OFFSET(card_type!$A$1,MATCH(card!B1489,card_type!B:B,0)-1,0)</f>
        <v>2404</v>
      </c>
      <c r="R1489" s="153">
        <v>1</v>
      </c>
      <c r="S1489" s="157">
        <f ca="1">ROUND(IF(R1489=0,0,IF(R1489=1,X1489*$S$1,IF(R1489=2,X1489*$S$1*buff的资质计算!$E$2,IF(R1489=3,X1489*$S$1*buff的资质计算!$E$3,0)))),0)*0</f>
        <v>0</v>
      </c>
      <c r="T1489" s="153">
        <v>4</v>
      </c>
      <c r="U1489" s="153">
        <f ca="1" t="shared" si="251"/>
        <v>43</v>
      </c>
      <c r="V1489" s="153">
        <f ca="1">ROUND((OFFSET(卡牌辅助配置表!$O$1,MATCH(U1489,卡牌辅助配置表!M:M,0)-1,0)+(N1489-1)*OFFSET(卡牌辅助配置表!$P$1,MATCH(U1489,卡牌辅助配置表!M:M,0)-1,0))*M1489,2)</f>
        <v>219.48</v>
      </c>
      <c r="W1489" s="157">
        <f ca="1">ROUND(IF(R1489=0,0,IF(R1489=1,X1489*$W$1,IF(R1489=2,X1489*$W$1*buff的资质计算!$E$2,IF(R1489=3,X1489*$W$1*buff的资质计算!$E$3,0)))),2)</f>
        <v>27.3</v>
      </c>
      <c r="X1489" s="157">
        <f ca="1" t="shared" si="247"/>
        <v>91</v>
      </c>
      <c r="Y1489" s="157">
        <f ca="1" t="shared" si="245"/>
        <v>92.5</v>
      </c>
      <c r="Z1489" s="304">
        <f ca="1" t="shared" si="248"/>
        <v>30.8333333333333</v>
      </c>
      <c r="AA1489" s="304">
        <f ca="1">OFFSET(卡牌辅助配置表!$AD$1,MATCH(AB1489,卡牌辅助配置表!AB:AB,0)-1,0)</f>
        <v>10350</v>
      </c>
      <c r="AB1489" s="304">
        <f ca="1" t="shared" si="252"/>
        <v>4309</v>
      </c>
      <c r="AC1489" s="153">
        <v>3</v>
      </c>
      <c r="AE1489" s="153">
        <v>2</v>
      </c>
      <c r="AF1489" s="153" t="str">
        <f ca="1" t="shared" si="246"/>
        <v>24040011|</v>
      </c>
      <c r="AJ1489" s="205">
        <f ca="1" t="shared" si="253"/>
        <v>0</v>
      </c>
      <c r="AK1489" s="205">
        <f ca="1">OFFSET([1]item_type!$A$1,MATCH(Q1489,[1]item_type!$G:$G,0)-1,0)</f>
        <v>302404</v>
      </c>
      <c r="AL1489" s="205">
        <v>15</v>
      </c>
      <c r="AM1489" s="205">
        <f ca="1">IF(B1489=B1490,OFFSET(卡牌辅助配置表!$AE$1,MATCH(AB1489,卡牌辅助配置表!AB:AB,0),0),0)</f>
        <v>4600</v>
      </c>
      <c r="AN1489" s="153">
        <f ca="1" t="shared" si="254"/>
        <v>0</v>
      </c>
      <c r="AP1489" s="153" t="str">
        <f ca="1">IF(AC1489=0,0,IF(AC1489=12,0,OFFSET(effect!$N$1,MATCH(K1489,effect!M:M,0)-1,0)))</f>
        <v>kpsx_zise</v>
      </c>
    </row>
    <row r="1490" spans="1:42">
      <c r="A1490" s="153">
        <f ca="1" t="shared" si="250"/>
        <v>2404010</v>
      </c>
      <c r="B1490" s="91" t="s">
        <v>345</v>
      </c>
      <c r="C1490" s="186">
        <v>2</v>
      </c>
      <c r="D1490" s="186">
        <v>1</v>
      </c>
      <c r="E1490" s="165" t="s">
        <v>1058</v>
      </c>
      <c r="F1490" s="179" t="s">
        <v>1064</v>
      </c>
      <c r="G1490" s="186">
        <f ca="1">OFFSET(卡牌辅助配置表!$C$1,MATCH(AC1490,卡牌辅助配置表!A:A,0)-1,0)</f>
        <v>3</v>
      </c>
      <c r="H1490" s="186">
        <f ca="1">OFFSET(skill!$Q$1,MATCH(B1490,skill!B:B,0)-1,0)</f>
        <v>1.5</v>
      </c>
      <c r="I1490" s="186"/>
      <c r="J1490" s="186">
        <f ca="1">OFFSET(card_type!$F$1,MATCH(Q1490,card_type!A:A,0)-1,0)</f>
        <v>4</v>
      </c>
      <c r="K1490" s="243">
        <f ca="1">OFFSET(card_type!$G$1,MATCH(Q1490,card_type!A:A,0)-1,0)</f>
        <v>3</v>
      </c>
      <c r="L1490" s="157">
        <v>3</v>
      </c>
      <c r="M1490" s="157">
        <v>3</v>
      </c>
      <c r="N1490" s="153">
        <f t="shared" si="249"/>
        <v>10</v>
      </c>
      <c r="O1490" s="157"/>
      <c r="P1490" s="157"/>
      <c r="Q1490" s="153">
        <f ca="1">OFFSET(card_type!$A$1,MATCH(card!B1490,card_type!B:B,0)-1,0)</f>
        <v>2404</v>
      </c>
      <c r="R1490" s="153">
        <v>1</v>
      </c>
      <c r="S1490" s="157">
        <f ca="1">ROUND(IF(R1490=0,0,IF(R1490=1,X1490*$S$1,IF(R1490=2,X1490*$S$1*buff的资质计算!$E$2,IF(R1490=3,X1490*$S$1*buff的资质计算!$E$3,0)))),0)*0</f>
        <v>0</v>
      </c>
      <c r="T1490" s="153">
        <v>4</v>
      </c>
      <c r="U1490" s="153">
        <f ca="1" t="shared" si="251"/>
        <v>43</v>
      </c>
      <c r="V1490" s="153">
        <f ca="1">ROUND((OFFSET(卡牌辅助配置表!$O$1,MATCH(U1490,卡牌辅助配置表!M:M,0)-1,0)+(N1490-1)*OFFSET(卡牌辅助配置表!$P$1,MATCH(U1490,卡牌辅助配置表!M:M,0)-1,0))*M1490,2)</f>
        <v>233.64</v>
      </c>
      <c r="W1490" s="157">
        <f ca="1">ROUND(IF(R1490=0,0,IF(R1490=1,X1490*$W$1,IF(R1490=2,X1490*$W$1*buff的资质计算!$E$2,IF(R1490=3,X1490*$W$1*buff的资质计算!$E$3,0)))),2)</f>
        <v>27.45</v>
      </c>
      <c r="X1490" s="157">
        <f ca="1" t="shared" si="247"/>
        <v>91.5</v>
      </c>
      <c r="Y1490" s="157">
        <f ca="1" t="shared" si="245"/>
        <v>93</v>
      </c>
      <c r="Z1490" s="304">
        <f ca="1" t="shared" si="248"/>
        <v>31</v>
      </c>
      <c r="AA1490" s="304">
        <f ca="1">OFFSET(卡牌辅助配置表!$AD$1,MATCH(AB1490,卡牌辅助配置表!AB:AB,0)-1,0)</f>
        <v>11500</v>
      </c>
      <c r="AB1490" s="304">
        <f ca="1" t="shared" si="252"/>
        <v>4310</v>
      </c>
      <c r="AC1490" s="153">
        <v>3</v>
      </c>
      <c r="AE1490" s="153">
        <v>2</v>
      </c>
      <c r="AF1490" s="153" t="str">
        <f ca="1" t="shared" si="246"/>
        <v>24040011|</v>
      </c>
      <c r="AJ1490" s="205">
        <f ca="1" t="shared" si="253"/>
        <v>0</v>
      </c>
      <c r="AK1490" s="205">
        <f ca="1">OFFSET([1]item_type!$A$1,MATCH(Q1490,[1]item_type!$G:$G,0)-1,0)</f>
        <v>302404</v>
      </c>
      <c r="AL1490" s="205"/>
      <c r="AM1490" s="205">
        <f ca="1">IF(B1490=B1491,OFFSET(卡牌辅助配置表!$AE$1,MATCH(AB1490,卡牌辅助配置表!AB:AB,0),0),0)</f>
        <v>5400</v>
      </c>
      <c r="AN1490" s="153">
        <f ca="1" t="shared" si="254"/>
        <v>0</v>
      </c>
      <c r="AP1490" s="153" t="str">
        <f ca="1">IF(AC1490=0,0,IF(AC1490=12,0,OFFSET(effect!$N$1,MATCH(K1490,effect!M:M,0)-1,0)))</f>
        <v>kpsx_zise</v>
      </c>
    </row>
    <row r="1491" spans="1:42">
      <c r="A1491" s="153">
        <f ca="1" t="shared" si="250"/>
        <v>2404011</v>
      </c>
      <c r="B1491" s="91" t="s">
        <v>345</v>
      </c>
      <c r="C1491" s="186">
        <v>2</v>
      </c>
      <c r="D1491" s="186">
        <v>1</v>
      </c>
      <c r="E1491" s="165" t="s">
        <v>1058</v>
      </c>
      <c r="F1491" s="179" t="s">
        <v>1064</v>
      </c>
      <c r="G1491" s="186">
        <f ca="1">OFFSET(卡牌辅助配置表!$C$1,MATCH(AC1491,卡牌辅助配置表!A:A,0)-1,0)</f>
        <v>3</v>
      </c>
      <c r="H1491" s="186">
        <f ca="1">OFFSET(skill!$Q$1,MATCH(B1491,skill!B:B,0)-1,0)</f>
        <v>1.5</v>
      </c>
      <c r="I1491" s="186"/>
      <c r="J1491" s="186">
        <f ca="1">OFFSET(card_type!$F$1,MATCH(Q1491,card_type!A:A,0)-1,0)</f>
        <v>4</v>
      </c>
      <c r="K1491" s="243">
        <f ca="1">OFFSET(card_type!$G$1,MATCH(Q1491,card_type!A:A,0)-1,0)</f>
        <v>3</v>
      </c>
      <c r="L1491" s="157">
        <v>3</v>
      </c>
      <c r="M1491" s="157">
        <v>3</v>
      </c>
      <c r="N1491" s="153">
        <f t="shared" si="249"/>
        <v>11</v>
      </c>
      <c r="O1491" s="157"/>
      <c r="P1491" s="157"/>
      <c r="Q1491" s="153">
        <f ca="1">OFFSET(card_type!$A$1,MATCH(card!B1491,card_type!B:B,0)-1,0)</f>
        <v>2404</v>
      </c>
      <c r="R1491" s="153">
        <v>1</v>
      </c>
      <c r="S1491" s="157">
        <f ca="1">ROUND(IF(R1491=0,0,IF(R1491=1,X1491*$S$1,IF(R1491=2,X1491*$S$1*buff的资质计算!$E$2,IF(R1491=3,X1491*$S$1*buff的资质计算!$E$3,0)))),0)*0</f>
        <v>0</v>
      </c>
      <c r="T1491" s="153">
        <v>4</v>
      </c>
      <c r="U1491" s="153">
        <f ca="1" t="shared" si="251"/>
        <v>43</v>
      </c>
      <c r="V1491" s="153">
        <f ca="1">ROUND((OFFSET(卡牌辅助配置表!$O$1,MATCH(U1491,卡牌辅助配置表!M:M,0)-1,0)+(N1491-1)*OFFSET(卡牌辅助配置表!$P$1,MATCH(U1491,卡牌辅助配置表!M:M,0)-1,0))*M1491,2)</f>
        <v>247.8</v>
      </c>
      <c r="W1491" s="157">
        <f ca="1">ROUND(IF(R1491=0,0,IF(R1491=1,X1491*$W$1,IF(R1491=2,X1491*$W$1*buff的资质计算!$E$2,IF(R1491=3,X1491*$W$1*buff的资质计算!$E$3,0)))),2)</f>
        <v>27.6</v>
      </c>
      <c r="X1491" s="157">
        <f ca="1" t="shared" si="247"/>
        <v>92</v>
      </c>
      <c r="Y1491" s="157">
        <f ca="1" t="shared" si="245"/>
        <v>93.5</v>
      </c>
      <c r="Z1491" s="304">
        <f ca="1" t="shared" si="248"/>
        <v>31.1666666666667</v>
      </c>
      <c r="AA1491" s="304">
        <f ca="1">OFFSET(卡牌辅助配置表!$AD$1,MATCH(AB1491,卡牌辅助配置表!AB:AB,0)-1,0)</f>
        <v>13225</v>
      </c>
      <c r="AB1491" s="304">
        <f ca="1" t="shared" si="252"/>
        <v>4311</v>
      </c>
      <c r="AC1491" s="153">
        <v>3</v>
      </c>
      <c r="AE1491" s="153">
        <v>2</v>
      </c>
      <c r="AF1491" s="153" t="str">
        <f ca="1" t="shared" si="246"/>
        <v>24040011|</v>
      </c>
      <c r="AJ1491" s="205">
        <f ca="1" t="shared" si="253"/>
        <v>0</v>
      </c>
      <c r="AK1491" s="205">
        <f ca="1">OFFSET([1]item_type!$A$1,MATCH(Q1491,[1]item_type!$G:$G,0)-1,0)</f>
        <v>302404</v>
      </c>
      <c r="AL1491" s="205"/>
      <c r="AM1491" s="205">
        <f ca="1">IF(B1491=B1492,OFFSET(卡牌辅助配置表!$AE$1,MATCH(AB1491,卡牌辅助配置表!AB:AB,0),0),0)</f>
        <v>6200</v>
      </c>
      <c r="AN1491" s="153">
        <f ca="1" t="shared" si="254"/>
        <v>0</v>
      </c>
      <c r="AP1491" s="153" t="str">
        <f ca="1">IF(AC1491=0,0,IF(AC1491=12,0,OFFSET(effect!$N$1,MATCH(K1491,effect!M:M,0)-1,0)))</f>
        <v>kpsx_zise</v>
      </c>
    </row>
    <row r="1492" spans="1:42">
      <c r="A1492" s="153">
        <f ca="1" t="shared" si="250"/>
        <v>2404012</v>
      </c>
      <c r="B1492" s="91" t="s">
        <v>345</v>
      </c>
      <c r="C1492" s="186">
        <v>2</v>
      </c>
      <c r="D1492" s="186">
        <v>1</v>
      </c>
      <c r="E1492" s="165" t="s">
        <v>1058</v>
      </c>
      <c r="F1492" s="179" t="s">
        <v>1064</v>
      </c>
      <c r="G1492" s="186">
        <f ca="1">OFFSET(卡牌辅助配置表!$C$1,MATCH(AC1492,卡牌辅助配置表!A:A,0)-1,0)</f>
        <v>3</v>
      </c>
      <c r="H1492" s="186">
        <f ca="1">OFFSET(skill!$Q$1,MATCH(B1492,skill!B:B,0)-1,0)</f>
        <v>1.5</v>
      </c>
      <c r="I1492" s="186"/>
      <c r="J1492" s="186">
        <f ca="1">OFFSET(card_type!$F$1,MATCH(Q1492,card_type!A:A,0)-1,0)</f>
        <v>4</v>
      </c>
      <c r="K1492" s="243">
        <f ca="1">OFFSET(card_type!$G$1,MATCH(Q1492,card_type!A:A,0)-1,0)</f>
        <v>3</v>
      </c>
      <c r="L1492" s="157">
        <v>3</v>
      </c>
      <c r="M1492" s="157">
        <v>3</v>
      </c>
      <c r="N1492" s="153">
        <f t="shared" si="249"/>
        <v>12</v>
      </c>
      <c r="O1492" s="157"/>
      <c r="P1492" s="157"/>
      <c r="Q1492" s="153">
        <f ca="1">OFFSET(card_type!$A$1,MATCH(card!B1492,card_type!B:B,0)-1,0)</f>
        <v>2404</v>
      </c>
      <c r="R1492" s="153">
        <v>1</v>
      </c>
      <c r="S1492" s="157">
        <f ca="1">ROUND(IF(R1492=0,0,IF(R1492=1,X1492*$S$1,IF(R1492=2,X1492*$S$1*buff的资质计算!$E$2,IF(R1492=3,X1492*$S$1*buff的资质计算!$E$3,0)))),0)*0</f>
        <v>0</v>
      </c>
      <c r="T1492" s="153">
        <v>4</v>
      </c>
      <c r="U1492" s="153">
        <f ca="1" t="shared" si="251"/>
        <v>43</v>
      </c>
      <c r="V1492" s="153">
        <f ca="1">ROUND((OFFSET(卡牌辅助配置表!$O$1,MATCH(U1492,卡牌辅助配置表!M:M,0)-1,0)+(N1492-1)*OFFSET(卡牌辅助配置表!$P$1,MATCH(U1492,卡牌辅助配置表!M:M,0)-1,0))*M1492,2)</f>
        <v>261.96</v>
      </c>
      <c r="W1492" s="157">
        <f ca="1">ROUND(IF(R1492=0,0,IF(R1492=1,X1492*$W$1,IF(R1492=2,X1492*$W$1*buff的资质计算!$E$2,IF(R1492=3,X1492*$W$1*buff的资质计算!$E$3,0)))),2)</f>
        <v>27.75</v>
      </c>
      <c r="X1492" s="157">
        <f ca="1" t="shared" si="247"/>
        <v>92.5</v>
      </c>
      <c r="Y1492" s="157">
        <f ca="1" t="shared" si="245"/>
        <v>94</v>
      </c>
      <c r="Z1492" s="304">
        <f ca="1" t="shared" si="248"/>
        <v>31.3333333333333</v>
      </c>
      <c r="AA1492" s="304">
        <f ca="1">OFFSET(卡牌辅助配置表!$AD$1,MATCH(AB1492,卡牌辅助配置表!AB:AB,0)-1,0)</f>
        <v>14950</v>
      </c>
      <c r="AB1492" s="304">
        <f ca="1" t="shared" si="252"/>
        <v>4312</v>
      </c>
      <c r="AC1492" s="153">
        <v>3</v>
      </c>
      <c r="AE1492" s="153">
        <v>2</v>
      </c>
      <c r="AF1492" s="153" t="str">
        <f ca="1" t="shared" si="246"/>
        <v>24040011|</v>
      </c>
      <c r="AJ1492" s="205">
        <f ca="1" t="shared" si="253"/>
        <v>0</v>
      </c>
      <c r="AK1492" s="205">
        <f ca="1">OFFSET([1]item_type!$A$1,MATCH(Q1492,[1]item_type!$G:$G,0)-1,0)</f>
        <v>302404</v>
      </c>
      <c r="AL1492" s="205"/>
      <c r="AM1492" s="205">
        <f ca="1">IF(B1492=B1493,OFFSET(卡牌辅助配置表!$AE$1,MATCH(AB1492,卡牌辅助配置表!AB:AB,0),0),0)</f>
        <v>7000</v>
      </c>
      <c r="AN1492" s="153">
        <f ca="1" t="shared" si="254"/>
        <v>0</v>
      </c>
      <c r="AP1492" s="153" t="str">
        <f ca="1">IF(AC1492=0,0,IF(AC1492=12,0,OFFSET(effect!$N$1,MATCH(K1492,effect!M:M,0)-1,0)))</f>
        <v>kpsx_zise</v>
      </c>
    </row>
    <row r="1493" spans="1:42">
      <c r="A1493" s="153">
        <f ca="1" t="shared" si="250"/>
        <v>2404013</v>
      </c>
      <c r="B1493" s="91" t="s">
        <v>345</v>
      </c>
      <c r="C1493" s="186">
        <v>2</v>
      </c>
      <c r="D1493" s="186">
        <v>1</v>
      </c>
      <c r="E1493" s="165" t="s">
        <v>1058</v>
      </c>
      <c r="F1493" s="179" t="s">
        <v>1064</v>
      </c>
      <c r="G1493" s="186">
        <f ca="1">OFFSET(卡牌辅助配置表!$C$1,MATCH(AC1493,卡牌辅助配置表!A:A,0)-1,0)</f>
        <v>3</v>
      </c>
      <c r="H1493" s="186">
        <f ca="1">OFFSET(skill!$Q$1,MATCH(B1493,skill!B:B,0)-1,0)</f>
        <v>1.5</v>
      </c>
      <c r="I1493" s="186"/>
      <c r="J1493" s="186">
        <f ca="1">OFFSET(card_type!$F$1,MATCH(Q1493,card_type!A:A,0)-1,0)</f>
        <v>4</v>
      </c>
      <c r="K1493" s="243">
        <f ca="1">OFFSET(card_type!$G$1,MATCH(Q1493,card_type!A:A,0)-1,0)</f>
        <v>3</v>
      </c>
      <c r="L1493" s="157">
        <v>3</v>
      </c>
      <c r="M1493" s="157">
        <v>3</v>
      </c>
      <c r="N1493" s="153">
        <f t="shared" si="249"/>
        <v>13</v>
      </c>
      <c r="O1493" s="157"/>
      <c r="P1493" s="157"/>
      <c r="Q1493" s="153">
        <f ca="1">OFFSET(card_type!$A$1,MATCH(card!B1493,card_type!B:B,0)-1,0)</f>
        <v>2404</v>
      </c>
      <c r="R1493" s="153">
        <v>1</v>
      </c>
      <c r="S1493" s="157">
        <f ca="1">ROUND(IF(R1493=0,0,IF(R1493=1,X1493*$S$1,IF(R1493=2,X1493*$S$1*buff的资质计算!$E$2,IF(R1493=3,X1493*$S$1*buff的资质计算!$E$3,0)))),0)*0</f>
        <v>0</v>
      </c>
      <c r="T1493" s="153">
        <v>4</v>
      </c>
      <c r="U1493" s="153">
        <f ca="1" t="shared" si="251"/>
        <v>43</v>
      </c>
      <c r="V1493" s="153">
        <f ca="1">ROUND((OFFSET(卡牌辅助配置表!$O$1,MATCH(U1493,卡牌辅助配置表!M:M,0)-1,0)+(N1493-1)*OFFSET(卡牌辅助配置表!$P$1,MATCH(U1493,卡牌辅助配置表!M:M,0)-1,0))*M1493,2)</f>
        <v>276.12</v>
      </c>
      <c r="W1493" s="157">
        <f ca="1">ROUND(IF(R1493=0,0,IF(R1493=1,X1493*$W$1,IF(R1493=2,X1493*$W$1*buff的资质计算!$E$2,IF(R1493=3,X1493*$W$1*buff的资质计算!$E$3,0)))),2)</f>
        <v>27.9</v>
      </c>
      <c r="X1493" s="157">
        <f ca="1" t="shared" si="247"/>
        <v>93</v>
      </c>
      <c r="Y1493" s="157">
        <f ca="1" t="shared" si="245"/>
        <v>94.5</v>
      </c>
      <c r="Z1493" s="304">
        <f ca="1" t="shared" si="248"/>
        <v>31.5</v>
      </c>
      <c r="AA1493" s="304">
        <f ca="1">OFFSET(卡牌辅助配置表!$AD$1,MATCH(AB1493,卡牌辅助配置表!AB:AB,0)-1,0)</f>
        <v>16675</v>
      </c>
      <c r="AB1493" s="304">
        <f ca="1" t="shared" si="252"/>
        <v>4313</v>
      </c>
      <c r="AC1493" s="153">
        <v>3</v>
      </c>
      <c r="AE1493" s="153">
        <v>2</v>
      </c>
      <c r="AF1493" s="153" t="str">
        <f ca="1" t="shared" si="246"/>
        <v>24040011|</v>
      </c>
      <c r="AJ1493" s="205">
        <f ca="1" t="shared" si="253"/>
        <v>0</v>
      </c>
      <c r="AK1493" s="205">
        <f ca="1">OFFSET([1]item_type!$A$1,MATCH(Q1493,[1]item_type!$G:$G,0)-1,0)</f>
        <v>302404</v>
      </c>
      <c r="AL1493" s="205"/>
      <c r="AM1493" s="205">
        <f ca="1">IF(B1493=B1494,OFFSET(卡牌辅助配置表!$AE$1,MATCH(AB1493,卡牌辅助配置表!AB:AB,0),0),0)</f>
        <v>7800</v>
      </c>
      <c r="AN1493" s="153">
        <f ca="1" t="shared" si="254"/>
        <v>0</v>
      </c>
      <c r="AP1493" s="153" t="str">
        <f ca="1">IF(AC1493=0,0,IF(AC1493=12,0,OFFSET(effect!$N$1,MATCH(K1493,effect!M:M,0)-1,0)))</f>
        <v>kpsx_zise</v>
      </c>
    </row>
    <row r="1494" spans="1:42">
      <c r="A1494" s="153">
        <f ca="1" t="shared" si="250"/>
        <v>2404014</v>
      </c>
      <c r="B1494" s="91" t="s">
        <v>345</v>
      </c>
      <c r="C1494" s="186">
        <v>2</v>
      </c>
      <c r="D1494" s="186">
        <v>1</v>
      </c>
      <c r="E1494" s="165" t="s">
        <v>1058</v>
      </c>
      <c r="F1494" s="179" t="s">
        <v>1064</v>
      </c>
      <c r="G1494" s="186">
        <f ca="1">OFFSET(卡牌辅助配置表!$C$1,MATCH(AC1494,卡牌辅助配置表!A:A,0)-1,0)</f>
        <v>3</v>
      </c>
      <c r="H1494" s="186">
        <f ca="1">OFFSET(skill!$Q$1,MATCH(B1494,skill!B:B,0)-1,0)</f>
        <v>1.5</v>
      </c>
      <c r="I1494" s="186"/>
      <c r="J1494" s="186">
        <f ca="1">OFFSET(card_type!$F$1,MATCH(Q1494,card_type!A:A,0)-1,0)</f>
        <v>4</v>
      </c>
      <c r="K1494" s="243">
        <f ca="1">OFFSET(card_type!$G$1,MATCH(Q1494,card_type!A:A,0)-1,0)</f>
        <v>3</v>
      </c>
      <c r="L1494" s="157">
        <v>3</v>
      </c>
      <c r="M1494" s="157">
        <v>3</v>
      </c>
      <c r="N1494" s="153">
        <f t="shared" si="249"/>
        <v>14</v>
      </c>
      <c r="O1494" s="157"/>
      <c r="P1494" s="157"/>
      <c r="Q1494" s="153">
        <f ca="1">OFFSET(card_type!$A$1,MATCH(card!B1494,card_type!B:B,0)-1,0)</f>
        <v>2404</v>
      </c>
      <c r="R1494" s="153">
        <v>1</v>
      </c>
      <c r="S1494" s="157">
        <f ca="1">ROUND(IF(R1494=0,0,IF(R1494=1,X1494*$S$1,IF(R1494=2,X1494*$S$1*buff的资质计算!$E$2,IF(R1494=3,X1494*$S$1*buff的资质计算!$E$3,0)))),0)*0</f>
        <v>0</v>
      </c>
      <c r="T1494" s="153">
        <v>4</v>
      </c>
      <c r="U1494" s="153">
        <f ca="1" t="shared" si="251"/>
        <v>43</v>
      </c>
      <c r="V1494" s="153">
        <f ca="1">ROUND((OFFSET(卡牌辅助配置表!$O$1,MATCH(U1494,卡牌辅助配置表!M:M,0)-1,0)+(N1494-1)*OFFSET(卡牌辅助配置表!$P$1,MATCH(U1494,卡牌辅助配置表!M:M,0)-1,0))*M1494,2)</f>
        <v>290.28</v>
      </c>
      <c r="W1494" s="157">
        <f ca="1">ROUND(IF(R1494=0,0,IF(R1494=1,X1494*$W$1,IF(R1494=2,X1494*$W$1*buff的资质计算!$E$2,IF(R1494=3,X1494*$W$1*buff的资质计算!$E$3,0)))),2)</f>
        <v>28.05</v>
      </c>
      <c r="X1494" s="157">
        <f ca="1" t="shared" si="247"/>
        <v>93.5</v>
      </c>
      <c r="Y1494" s="157">
        <f ca="1" t="shared" si="245"/>
        <v>95</v>
      </c>
      <c r="Z1494" s="304">
        <f ca="1" t="shared" si="248"/>
        <v>31.6666666666667</v>
      </c>
      <c r="AA1494" s="304">
        <f ca="1">OFFSET(卡牌辅助配置表!$AD$1,MATCH(AB1494,卡牌辅助配置表!AB:AB,0)-1,0)</f>
        <v>18400</v>
      </c>
      <c r="AB1494" s="304">
        <f ca="1" t="shared" si="252"/>
        <v>4314</v>
      </c>
      <c r="AC1494" s="153">
        <v>3</v>
      </c>
      <c r="AE1494" s="153">
        <v>2</v>
      </c>
      <c r="AF1494" s="153" t="str">
        <f ca="1" t="shared" si="246"/>
        <v>24040011|</v>
      </c>
      <c r="AJ1494" s="205">
        <f ca="1" t="shared" si="253"/>
        <v>0</v>
      </c>
      <c r="AK1494" s="205">
        <f ca="1">OFFSET([1]item_type!$A$1,MATCH(Q1494,[1]item_type!$G:$G,0)-1,0)</f>
        <v>302404</v>
      </c>
      <c r="AL1494" s="205"/>
      <c r="AM1494" s="205">
        <f ca="1">IF(B1494=B1495,OFFSET(卡牌辅助配置表!$AE$1,MATCH(AB1494,卡牌辅助配置表!AB:AB,0),0),0)</f>
        <v>8600</v>
      </c>
      <c r="AN1494" s="153">
        <f ca="1" t="shared" si="254"/>
        <v>0</v>
      </c>
      <c r="AP1494" s="153" t="str">
        <f ca="1">IF(AC1494=0,0,IF(AC1494=12,0,OFFSET(effect!$N$1,MATCH(K1494,effect!M:M,0)-1,0)))</f>
        <v>kpsx_zise</v>
      </c>
    </row>
    <row r="1495" spans="1:42">
      <c r="A1495" s="153">
        <f ca="1" t="shared" si="250"/>
        <v>2404015</v>
      </c>
      <c r="B1495" s="91" t="s">
        <v>345</v>
      </c>
      <c r="C1495" s="186">
        <v>2</v>
      </c>
      <c r="D1495" s="186">
        <v>1</v>
      </c>
      <c r="E1495" s="165" t="s">
        <v>1058</v>
      </c>
      <c r="F1495" s="179" t="s">
        <v>1064</v>
      </c>
      <c r="G1495" s="186">
        <f ca="1">OFFSET(卡牌辅助配置表!$C$1,MATCH(AC1495,卡牌辅助配置表!A:A,0)-1,0)</f>
        <v>3</v>
      </c>
      <c r="H1495" s="186">
        <f ca="1">OFFSET(skill!$Q$1,MATCH(B1495,skill!B:B,0)-1,0)</f>
        <v>1.5</v>
      </c>
      <c r="I1495" s="186"/>
      <c r="J1495" s="186">
        <f ca="1">OFFSET(card_type!$F$1,MATCH(Q1495,card_type!A:A,0)-1,0)</f>
        <v>4</v>
      </c>
      <c r="K1495" s="243">
        <f ca="1">OFFSET(card_type!$G$1,MATCH(Q1495,card_type!A:A,0)-1,0)</f>
        <v>3</v>
      </c>
      <c r="L1495" s="157">
        <v>3</v>
      </c>
      <c r="M1495" s="157">
        <v>3</v>
      </c>
      <c r="N1495" s="153">
        <f t="shared" si="249"/>
        <v>15</v>
      </c>
      <c r="O1495" s="157"/>
      <c r="P1495" s="157"/>
      <c r="Q1495" s="153">
        <f ca="1">OFFSET(card_type!$A$1,MATCH(card!B1495,card_type!B:B,0)-1,0)</f>
        <v>2404</v>
      </c>
      <c r="R1495" s="153">
        <v>1</v>
      </c>
      <c r="S1495" s="157">
        <f ca="1">ROUND(IF(R1495=0,0,IF(R1495=1,X1495*$S$1,IF(R1495=2,X1495*$S$1*buff的资质计算!$E$2,IF(R1495=3,X1495*$S$1*buff的资质计算!$E$3,0)))),0)*0</f>
        <v>0</v>
      </c>
      <c r="T1495" s="153">
        <v>4</v>
      </c>
      <c r="U1495" s="153">
        <f ca="1" t="shared" si="251"/>
        <v>43</v>
      </c>
      <c r="V1495" s="153">
        <f ca="1">ROUND((OFFSET(卡牌辅助配置表!$O$1,MATCH(U1495,卡牌辅助配置表!M:M,0)-1,0)+(N1495-1)*OFFSET(卡牌辅助配置表!$P$1,MATCH(U1495,卡牌辅助配置表!M:M,0)-1,0))*M1495,2)</f>
        <v>304.44</v>
      </c>
      <c r="W1495" s="157">
        <f ca="1">ROUND(IF(R1495=0,0,IF(R1495=1,X1495*$W$1,IF(R1495=2,X1495*$W$1*buff的资质计算!$E$2,IF(R1495=3,X1495*$W$1*buff的资质计算!$E$3,0)))),2)</f>
        <v>28.2</v>
      </c>
      <c r="X1495" s="157">
        <f ca="1" t="shared" si="247"/>
        <v>94</v>
      </c>
      <c r="Y1495" s="157">
        <f ca="1" t="shared" si="245"/>
        <v>95.5</v>
      </c>
      <c r="Z1495" s="304">
        <f ca="1" t="shared" si="248"/>
        <v>31.8333333333333</v>
      </c>
      <c r="AA1495" s="304">
        <f ca="1">OFFSET(卡牌辅助配置表!$AD$1,MATCH(AB1495,卡牌辅助配置表!AB:AB,0)-1,0)</f>
        <v>20125</v>
      </c>
      <c r="AB1495" s="304">
        <f ca="1" t="shared" si="252"/>
        <v>4315</v>
      </c>
      <c r="AC1495" s="153">
        <v>3</v>
      </c>
      <c r="AE1495" s="153">
        <v>2</v>
      </c>
      <c r="AF1495" s="153" t="str">
        <f ca="1" t="shared" si="246"/>
        <v>24040011|</v>
      </c>
      <c r="AJ1495" s="205">
        <f ca="1" t="shared" si="253"/>
        <v>0</v>
      </c>
      <c r="AK1495" s="205">
        <f ca="1">OFFSET([1]item_type!$A$1,MATCH(Q1495,[1]item_type!$G:$G,0)-1,0)</f>
        <v>302404</v>
      </c>
      <c r="AL1495" s="205"/>
      <c r="AM1495" s="205">
        <f ca="1">IF(B1495=B1496,OFFSET(卡牌辅助配置表!$AE$1,MATCH(AB1495,卡牌辅助配置表!AB:AB,0),0),0)</f>
        <v>9400</v>
      </c>
      <c r="AN1495" s="153">
        <f ca="1" t="shared" si="254"/>
        <v>0</v>
      </c>
      <c r="AP1495" s="153" t="str">
        <f ca="1">IF(AC1495=0,0,IF(AC1495=12,0,OFFSET(effect!$N$1,MATCH(K1495,effect!M:M,0)-1,0)))</f>
        <v>kpsx_zise</v>
      </c>
    </row>
    <row r="1496" spans="1:42">
      <c r="A1496" s="153">
        <f ca="1" t="shared" si="250"/>
        <v>2404016</v>
      </c>
      <c r="B1496" s="91" t="s">
        <v>345</v>
      </c>
      <c r="C1496" s="186">
        <v>2</v>
      </c>
      <c r="D1496" s="186">
        <v>1</v>
      </c>
      <c r="E1496" s="165" t="s">
        <v>1058</v>
      </c>
      <c r="F1496" s="179" t="s">
        <v>1064</v>
      </c>
      <c r="G1496" s="186">
        <f ca="1">OFFSET(卡牌辅助配置表!$C$1,MATCH(AC1496,卡牌辅助配置表!A:A,0)-1,0)</f>
        <v>3</v>
      </c>
      <c r="H1496" s="186">
        <f ca="1">OFFSET(skill!$Q$1,MATCH(B1496,skill!B:B,0)-1,0)</f>
        <v>1.5</v>
      </c>
      <c r="I1496" s="186"/>
      <c r="J1496" s="186">
        <f ca="1">OFFSET(card_type!$F$1,MATCH(Q1496,card_type!A:A,0)-1,0)</f>
        <v>4</v>
      </c>
      <c r="K1496" s="243">
        <f ca="1">OFFSET(card_type!$G$1,MATCH(Q1496,card_type!A:A,0)-1,0)</f>
        <v>3</v>
      </c>
      <c r="L1496" s="157">
        <v>3</v>
      </c>
      <c r="M1496" s="157">
        <v>3</v>
      </c>
      <c r="N1496" s="153">
        <f t="shared" si="249"/>
        <v>16</v>
      </c>
      <c r="O1496" s="157"/>
      <c r="P1496" s="157"/>
      <c r="Q1496" s="153">
        <f ca="1">OFFSET(card_type!$A$1,MATCH(card!B1496,card_type!B:B,0)-1,0)</f>
        <v>2404</v>
      </c>
      <c r="R1496" s="153">
        <v>1</v>
      </c>
      <c r="S1496" s="157">
        <f ca="1">ROUND(IF(R1496=0,0,IF(R1496=1,X1496*$S$1,IF(R1496=2,X1496*$S$1*buff的资质计算!$E$2,IF(R1496=3,X1496*$S$1*buff的资质计算!$E$3,0)))),0)*0</f>
        <v>0</v>
      </c>
      <c r="T1496" s="153">
        <v>4</v>
      </c>
      <c r="U1496" s="153">
        <f ca="1" t="shared" si="251"/>
        <v>43</v>
      </c>
      <c r="V1496" s="153">
        <f ca="1">ROUND((OFFSET(卡牌辅助配置表!$O$1,MATCH(U1496,卡牌辅助配置表!M:M,0)-1,0)+(N1496-1)*OFFSET(卡牌辅助配置表!$P$1,MATCH(U1496,卡牌辅助配置表!M:M,0)-1,0))*M1496,2)</f>
        <v>318.6</v>
      </c>
      <c r="W1496" s="157">
        <f ca="1">ROUND(IF(R1496=0,0,IF(R1496=1,X1496*$W$1,IF(R1496=2,X1496*$W$1*buff的资质计算!$E$2,IF(R1496=3,X1496*$W$1*buff的资质计算!$E$3,0)))),2)</f>
        <v>28.35</v>
      </c>
      <c r="X1496" s="157">
        <f ca="1" t="shared" si="247"/>
        <v>94.5</v>
      </c>
      <c r="Y1496" s="157">
        <f ca="1" t="shared" si="245"/>
        <v>96</v>
      </c>
      <c r="Z1496" s="304">
        <f ca="1" t="shared" si="248"/>
        <v>32</v>
      </c>
      <c r="AA1496" s="304">
        <f ca="1">OFFSET(卡牌辅助配置表!$AD$1,MATCH(AB1496,卡牌辅助配置表!AB:AB,0)-1,0)</f>
        <v>21850</v>
      </c>
      <c r="AB1496" s="304">
        <f ca="1" t="shared" si="252"/>
        <v>4316</v>
      </c>
      <c r="AC1496" s="153">
        <v>3</v>
      </c>
      <c r="AE1496" s="153">
        <v>2</v>
      </c>
      <c r="AF1496" s="153" t="str">
        <f ca="1" t="shared" si="246"/>
        <v>24040011|</v>
      </c>
      <c r="AJ1496" s="205">
        <f ca="1" t="shared" si="253"/>
        <v>0</v>
      </c>
      <c r="AK1496" s="205">
        <f ca="1">OFFSET([1]item_type!$A$1,MATCH(Q1496,[1]item_type!$G:$G,0)-1,0)</f>
        <v>302404</v>
      </c>
      <c r="AL1496" s="205"/>
      <c r="AM1496" s="205">
        <f ca="1">IF(B1496=B1497,OFFSET(卡牌辅助配置表!$AE$1,MATCH(AB1496,卡牌辅助配置表!AB:AB,0),0),0)</f>
        <v>10200</v>
      </c>
      <c r="AN1496" s="153">
        <f ca="1" t="shared" si="254"/>
        <v>0</v>
      </c>
      <c r="AP1496" s="153" t="str">
        <f ca="1">IF(AC1496=0,0,IF(AC1496=12,0,OFFSET(effect!$N$1,MATCH(K1496,effect!M:M,0)-1,0)))</f>
        <v>kpsx_zise</v>
      </c>
    </row>
    <row r="1497" spans="1:42">
      <c r="A1497" s="153">
        <f ca="1" t="shared" si="250"/>
        <v>2404017</v>
      </c>
      <c r="B1497" s="91" t="s">
        <v>345</v>
      </c>
      <c r="C1497" s="186">
        <v>2</v>
      </c>
      <c r="D1497" s="186">
        <v>1</v>
      </c>
      <c r="E1497" s="165" t="s">
        <v>1058</v>
      </c>
      <c r="F1497" s="179" t="s">
        <v>1064</v>
      </c>
      <c r="G1497" s="186">
        <f ca="1">OFFSET(卡牌辅助配置表!$C$1,MATCH(AC1497,卡牌辅助配置表!A:A,0)-1,0)</f>
        <v>3</v>
      </c>
      <c r="H1497" s="186">
        <f ca="1">OFFSET(skill!$Q$1,MATCH(B1497,skill!B:B,0)-1,0)</f>
        <v>1.5</v>
      </c>
      <c r="I1497" s="186"/>
      <c r="J1497" s="186">
        <f ca="1">OFFSET(card_type!$F$1,MATCH(Q1497,card_type!A:A,0)-1,0)</f>
        <v>4</v>
      </c>
      <c r="K1497" s="243">
        <f ca="1">OFFSET(card_type!$G$1,MATCH(Q1497,card_type!A:A,0)-1,0)</f>
        <v>3</v>
      </c>
      <c r="L1497" s="157">
        <v>3</v>
      </c>
      <c r="M1497" s="157">
        <v>3</v>
      </c>
      <c r="N1497" s="153">
        <f t="shared" si="249"/>
        <v>17</v>
      </c>
      <c r="O1497" s="157"/>
      <c r="P1497" s="157"/>
      <c r="Q1497" s="153">
        <f ca="1">OFFSET(card_type!$A$1,MATCH(card!B1497,card_type!B:B,0)-1,0)</f>
        <v>2404</v>
      </c>
      <c r="R1497" s="153">
        <v>1</v>
      </c>
      <c r="S1497" s="157">
        <f ca="1">ROUND(IF(R1497=0,0,IF(R1497=1,X1497*$S$1,IF(R1497=2,X1497*$S$1*buff的资质计算!$E$2,IF(R1497=3,X1497*$S$1*buff的资质计算!$E$3,0)))),0)*0</f>
        <v>0</v>
      </c>
      <c r="T1497" s="153">
        <v>4</v>
      </c>
      <c r="U1497" s="153">
        <f ca="1" t="shared" si="251"/>
        <v>43</v>
      </c>
      <c r="V1497" s="153">
        <f ca="1">ROUND((OFFSET(卡牌辅助配置表!$O$1,MATCH(U1497,卡牌辅助配置表!M:M,0)-1,0)+(N1497-1)*OFFSET(卡牌辅助配置表!$P$1,MATCH(U1497,卡牌辅助配置表!M:M,0)-1,0))*M1497,2)</f>
        <v>332.76</v>
      </c>
      <c r="W1497" s="157">
        <f ca="1">ROUND(IF(R1497=0,0,IF(R1497=1,X1497*$W$1,IF(R1497=2,X1497*$W$1*buff的资质计算!$E$2,IF(R1497=3,X1497*$W$1*buff的资质计算!$E$3,0)))),2)</f>
        <v>28.5</v>
      </c>
      <c r="X1497" s="157">
        <f ca="1" t="shared" si="247"/>
        <v>95</v>
      </c>
      <c r="Y1497" s="157">
        <f ca="1" t="shared" ref="Y1497:Y1544" si="255">X1497+H1497</f>
        <v>96.5</v>
      </c>
      <c r="Z1497" s="304">
        <f ca="1" t="shared" si="248"/>
        <v>32.1666666666667</v>
      </c>
      <c r="AA1497" s="304">
        <f ca="1">OFFSET(卡牌辅助配置表!$AD$1,MATCH(AB1497,卡牌辅助配置表!AB:AB,0)-1,0)</f>
        <v>23575</v>
      </c>
      <c r="AB1497" s="304">
        <f ca="1" t="shared" si="252"/>
        <v>4317</v>
      </c>
      <c r="AC1497" s="153">
        <v>3</v>
      </c>
      <c r="AE1497" s="153">
        <v>2</v>
      </c>
      <c r="AF1497" s="153" t="str">
        <f ca="1" t="shared" ref="AF1497:AF1560" si="256">((Q1497*1000+1)*10+1)&amp;$AF$1</f>
        <v>24040011|</v>
      </c>
      <c r="AJ1497" s="205">
        <f ca="1" t="shared" si="253"/>
        <v>0</v>
      </c>
      <c r="AK1497" s="205">
        <f ca="1">OFFSET([1]item_type!$A$1,MATCH(Q1497,[1]item_type!$G:$G,0)-1,0)</f>
        <v>302404</v>
      </c>
      <c r="AL1497" s="205"/>
      <c r="AM1497" s="205">
        <f ca="1">IF(B1497=B1498,OFFSET(卡牌辅助配置表!$AE$1,MATCH(AB1497,卡牌辅助配置表!AB:AB,0),0),0)</f>
        <v>11000</v>
      </c>
      <c r="AN1497" s="153">
        <f ca="1" t="shared" si="254"/>
        <v>0</v>
      </c>
      <c r="AP1497" s="153" t="str">
        <f ca="1">IF(AC1497=0,0,IF(AC1497=12,0,OFFSET(effect!$N$1,MATCH(K1497,effect!M:M,0)-1,0)))</f>
        <v>kpsx_zise</v>
      </c>
    </row>
    <row r="1498" spans="1:42">
      <c r="A1498" s="153">
        <f ca="1" t="shared" si="250"/>
        <v>2404018</v>
      </c>
      <c r="B1498" s="91" t="s">
        <v>345</v>
      </c>
      <c r="C1498" s="186">
        <v>2</v>
      </c>
      <c r="D1498" s="186">
        <v>1</v>
      </c>
      <c r="E1498" s="165" t="s">
        <v>1058</v>
      </c>
      <c r="F1498" s="179" t="s">
        <v>1064</v>
      </c>
      <c r="G1498" s="186">
        <f ca="1">OFFSET(卡牌辅助配置表!$C$1,MATCH(AC1498,卡牌辅助配置表!A:A,0)-1,0)</f>
        <v>3</v>
      </c>
      <c r="H1498" s="186">
        <f ca="1">OFFSET(skill!$Q$1,MATCH(B1498,skill!B:B,0)-1,0)</f>
        <v>1.5</v>
      </c>
      <c r="I1498" s="186"/>
      <c r="J1498" s="186">
        <f ca="1">OFFSET(card_type!$F$1,MATCH(Q1498,card_type!A:A,0)-1,0)</f>
        <v>4</v>
      </c>
      <c r="K1498" s="243">
        <f ca="1">OFFSET(card_type!$G$1,MATCH(Q1498,card_type!A:A,0)-1,0)</f>
        <v>3</v>
      </c>
      <c r="L1498" s="157">
        <v>3</v>
      </c>
      <c r="M1498" s="157">
        <v>3</v>
      </c>
      <c r="N1498" s="153">
        <f t="shared" si="249"/>
        <v>18</v>
      </c>
      <c r="O1498" s="157"/>
      <c r="P1498" s="157"/>
      <c r="Q1498" s="153">
        <f ca="1">OFFSET(card_type!$A$1,MATCH(card!B1498,card_type!B:B,0)-1,0)</f>
        <v>2404</v>
      </c>
      <c r="R1498" s="153">
        <v>1</v>
      </c>
      <c r="S1498" s="157">
        <f ca="1">ROUND(IF(R1498=0,0,IF(R1498=1,X1498*$S$1,IF(R1498=2,X1498*$S$1*buff的资质计算!$E$2,IF(R1498=3,X1498*$S$1*buff的资质计算!$E$3,0)))),0)*0</f>
        <v>0</v>
      </c>
      <c r="T1498" s="153">
        <v>4</v>
      </c>
      <c r="U1498" s="153">
        <f ca="1" t="shared" si="251"/>
        <v>43</v>
      </c>
      <c r="V1498" s="153">
        <f ca="1">ROUND((OFFSET(卡牌辅助配置表!$O$1,MATCH(U1498,卡牌辅助配置表!M:M,0)-1,0)+(N1498-1)*OFFSET(卡牌辅助配置表!$P$1,MATCH(U1498,卡牌辅助配置表!M:M,0)-1,0))*M1498,2)</f>
        <v>346.92</v>
      </c>
      <c r="W1498" s="157">
        <f ca="1">ROUND(IF(R1498=0,0,IF(R1498=1,X1498*$W$1,IF(R1498=2,X1498*$W$1*buff的资质计算!$E$2,IF(R1498=3,X1498*$W$1*buff的资质计算!$E$3,0)))),2)</f>
        <v>28.65</v>
      </c>
      <c r="X1498" s="157">
        <f ca="1" t="shared" si="247"/>
        <v>95.5</v>
      </c>
      <c r="Y1498" s="157">
        <f ca="1" t="shared" si="255"/>
        <v>97</v>
      </c>
      <c r="Z1498" s="304">
        <f ca="1" t="shared" si="248"/>
        <v>32.3333333333333</v>
      </c>
      <c r="AA1498" s="304">
        <f ca="1">OFFSET(卡牌辅助配置表!$AD$1,MATCH(AB1498,卡牌辅助配置表!AB:AB,0)-1,0)</f>
        <v>25300</v>
      </c>
      <c r="AB1498" s="304">
        <f ca="1" t="shared" si="252"/>
        <v>4318</v>
      </c>
      <c r="AC1498" s="153">
        <v>3</v>
      </c>
      <c r="AE1498" s="153">
        <v>2</v>
      </c>
      <c r="AF1498" s="153" t="str">
        <f ca="1" t="shared" si="256"/>
        <v>24040011|</v>
      </c>
      <c r="AJ1498" s="205">
        <f ca="1" t="shared" si="253"/>
        <v>0</v>
      </c>
      <c r="AK1498" s="205">
        <f ca="1">OFFSET([1]item_type!$A$1,MATCH(Q1498,[1]item_type!$G:$G,0)-1,0)</f>
        <v>302404</v>
      </c>
      <c r="AL1498" s="205"/>
      <c r="AM1498" s="205">
        <f ca="1">IF(B1498=B1499,OFFSET(卡牌辅助配置表!$AE$1,MATCH(AB1498,卡牌辅助配置表!AB:AB,0),0),0)</f>
        <v>11800</v>
      </c>
      <c r="AN1498" s="153">
        <f ca="1" t="shared" si="254"/>
        <v>0</v>
      </c>
      <c r="AP1498" s="153" t="str">
        <f ca="1">IF(AC1498=0,0,IF(AC1498=12,0,OFFSET(effect!$N$1,MATCH(K1498,effect!M:M,0)-1,0)))</f>
        <v>kpsx_zise</v>
      </c>
    </row>
    <row r="1499" spans="1:42">
      <c r="A1499" s="153">
        <f ca="1" t="shared" si="250"/>
        <v>2404019</v>
      </c>
      <c r="B1499" s="91" t="s">
        <v>345</v>
      </c>
      <c r="C1499" s="186">
        <v>2</v>
      </c>
      <c r="D1499" s="186">
        <v>1</v>
      </c>
      <c r="E1499" s="165" t="s">
        <v>1058</v>
      </c>
      <c r="F1499" s="179" t="s">
        <v>1064</v>
      </c>
      <c r="G1499" s="186">
        <f ca="1">OFFSET(卡牌辅助配置表!$C$1,MATCH(AC1499,卡牌辅助配置表!A:A,0)-1,0)</f>
        <v>3</v>
      </c>
      <c r="H1499" s="186">
        <f ca="1">OFFSET(skill!$Q$1,MATCH(B1499,skill!B:B,0)-1,0)</f>
        <v>1.5</v>
      </c>
      <c r="I1499" s="186"/>
      <c r="J1499" s="186">
        <f ca="1">OFFSET(card_type!$F$1,MATCH(Q1499,card_type!A:A,0)-1,0)</f>
        <v>4</v>
      </c>
      <c r="K1499" s="243">
        <f ca="1">OFFSET(card_type!$G$1,MATCH(Q1499,card_type!A:A,0)-1,0)</f>
        <v>3</v>
      </c>
      <c r="L1499" s="157">
        <v>3</v>
      </c>
      <c r="M1499" s="157">
        <v>3</v>
      </c>
      <c r="N1499" s="153">
        <f t="shared" si="249"/>
        <v>19</v>
      </c>
      <c r="O1499" s="157"/>
      <c r="P1499" s="157"/>
      <c r="Q1499" s="153">
        <f ca="1">OFFSET(card_type!$A$1,MATCH(card!B1499,card_type!B:B,0)-1,0)</f>
        <v>2404</v>
      </c>
      <c r="R1499" s="153">
        <v>1</v>
      </c>
      <c r="S1499" s="157">
        <f ca="1">ROUND(IF(R1499=0,0,IF(R1499=1,X1499*$S$1,IF(R1499=2,X1499*$S$1*buff的资质计算!$E$2,IF(R1499=3,X1499*$S$1*buff的资质计算!$E$3,0)))),0)*0</f>
        <v>0</v>
      </c>
      <c r="T1499" s="153">
        <v>4</v>
      </c>
      <c r="U1499" s="153">
        <f ca="1" t="shared" si="251"/>
        <v>43</v>
      </c>
      <c r="V1499" s="153">
        <f ca="1">ROUND((OFFSET(卡牌辅助配置表!$O$1,MATCH(U1499,卡牌辅助配置表!M:M,0)-1,0)+(N1499-1)*OFFSET(卡牌辅助配置表!$P$1,MATCH(U1499,卡牌辅助配置表!M:M,0)-1,0))*M1499,2)</f>
        <v>361.08</v>
      </c>
      <c r="W1499" s="157">
        <f ca="1">ROUND(IF(R1499=0,0,IF(R1499=1,X1499*$W$1,IF(R1499=2,X1499*$W$1*buff的资质计算!$E$2,IF(R1499=3,X1499*$W$1*buff的资质计算!$E$3,0)))),2)</f>
        <v>28.8</v>
      </c>
      <c r="X1499" s="157">
        <f ca="1" t="shared" si="247"/>
        <v>96</v>
      </c>
      <c r="Y1499" s="157">
        <f ca="1" t="shared" si="255"/>
        <v>97.5</v>
      </c>
      <c r="Z1499" s="304">
        <f ca="1" t="shared" si="248"/>
        <v>32.5</v>
      </c>
      <c r="AA1499" s="304">
        <f ca="1">OFFSET(卡牌辅助配置表!$AD$1,MATCH(AB1499,卡牌辅助配置表!AB:AB,0)-1,0)</f>
        <v>27025</v>
      </c>
      <c r="AB1499" s="304">
        <f ca="1" t="shared" si="252"/>
        <v>4319</v>
      </c>
      <c r="AC1499" s="153">
        <v>3</v>
      </c>
      <c r="AE1499" s="153">
        <v>2</v>
      </c>
      <c r="AF1499" s="153" t="str">
        <f ca="1" t="shared" si="256"/>
        <v>24040011|</v>
      </c>
      <c r="AJ1499" s="205">
        <f ca="1" t="shared" si="253"/>
        <v>0</v>
      </c>
      <c r="AK1499" s="205">
        <f ca="1">OFFSET([1]item_type!$A$1,MATCH(Q1499,[1]item_type!$G:$G,0)-1,0)</f>
        <v>302404</v>
      </c>
      <c r="AL1499" s="205">
        <v>20</v>
      </c>
      <c r="AM1499" s="205">
        <f ca="1">IF(B1499=B1500,OFFSET(卡牌辅助配置表!$AE$1,MATCH(AB1499,卡牌辅助配置表!AB:AB,0),0),0)</f>
        <v>12600</v>
      </c>
      <c r="AN1499" s="153">
        <f ca="1" t="shared" si="254"/>
        <v>0</v>
      </c>
      <c r="AP1499" s="153" t="str">
        <f ca="1">IF(AC1499=0,0,IF(AC1499=12,0,OFFSET(effect!$N$1,MATCH(K1499,effect!M:M,0)-1,0)))</f>
        <v>kpsx_zise</v>
      </c>
    </row>
    <row r="1500" spans="1:42">
      <c r="A1500" s="153">
        <f ca="1" t="shared" si="250"/>
        <v>2404020</v>
      </c>
      <c r="B1500" s="91" t="s">
        <v>345</v>
      </c>
      <c r="C1500" s="186">
        <v>2</v>
      </c>
      <c r="D1500" s="186">
        <v>1</v>
      </c>
      <c r="E1500" s="165" t="s">
        <v>1058</v>
      </c>
      <c r="F1500" s="179" t="s">
        <v>1064</v>
      </c>
      <c r="G1500" s="186">
        <f ca="1">OFFSET(卡牌辅助配置表!$C$1,MATCH(AC1500,卡牌辅助配置表!A:A,0)-1,0)</f>
        <v>3</v>
      </c>
      <c r="H1500" s="186">
        <f ca="1">OFFSET(skill!$Q$1,MATCH(B1500,skill!B:B,0)-1,0)</f>
        <v>1.5</v>
      </c>
      <c r="I1500" s="186"/>
      <c r="J1500" s="186">
        <f ca="1">OFFSET(card_type!$F$1,MATCH(Q1500,card_type!A:A,0)-1,0)</f>
        <v>4</v>
      </c>
      <c r="K1500" s="243">
        <f ca="1">OFFSET(card_type!$G$1,MATCH(Q1500,card_type!A:A,0)-1,0)</f>
        <v>3</v>
      </c>
      <c r="L1500" s="157">
        <v>3</v>
      </c>
      <c r="M1500" s="157">
        <v>3</v>
      </c>
      <c r="N1500" s="153">
        <f t="shared" si="249"/>
        <v>20</v>
      </c>
      <c r="O1500" s="157"/>
      <c r="P1500" s="157"/>
      <c r="Q1500" s="153">
        <f ca="1">OFFSET(card_type!$A$1,MATCH(card!B1500,card_type!B:B,0)-1,0)</f>
        <v>2404</v>
      </c>
      <c r="R1500" s="153">
        <v>1</v>
      </c>
      <c r="S1500" s="157">
        <f ca="1">ROUND(IF(R1500=0,0,IF(R1500=1,X1500*$S$1,IF(R1500=2,X1500*$S$1*buff的资质计算!$E$2,IF(R1500=3,X1500*$S$1*buff的资质计算!$E$3,0)))),0)*0</f>
        <v>0</v>
      </c>
      <c r="T1500" s="153">
        <v>4</v>
      </c>
      <c r="U1500" s="153">
        <f ca="1" t="shared" si="251"/>
        <v>43</v>
      </c>
      <c r="V1500" s="153">
        <f ca="1">ROUND((OFFSET(卡牌辅助配置表!$O$1,MATCH(U1500,卡牌辅助配置表!M:M,0)-1,0)+(N1500-1)*OFFSET(卡牌辅助配置表!$P$1,MATCH(U1500,卡牌辅助配置表!M:M,0)-1,0))*M1500,2)</f>
        <v>375.24</v>
      </c>
      <c r="W1500" s="157">
        <f ca="1">ROUND(IF(R1500=0,0,IF(R1500=1,X1500*$W$1,IF(R1500=2,X1500*$W$1*buff的资质计算!$E$2,IF(R1500=3,X1500*$W$1*buff的资质计算!$E$3,0)))),2)</f>
        <v>28.95</v>
      </c>
      <c r="X1500" s="157">
        <f ca="1" t="shared" si="247"/>
        <v>96.5</v>
      </c>
      <c r="Y1500" s="157">
        <f ca="1" t="shared" si="255"/>
        <v>98</v>
      </c>
      <c r="Z1500" s="304">
        <f ca="1" t="shared" si="248"/>
        <v>32.6666666666667</v>
      </c>
      <c r="AA1500" s="304">
        <f ca="1">OFFSET(卡牌辅助配置表!$AD$1,MATCH(AB1500,卡牌辅助配置表!AB:AB,0)-1,0)</f>
        <v>28750</v>
      </c>
      <c r="AB1500" s="304">
        <f ca="1" t="shared" si="252"/>
        <v>4320</v>
      </c>
      <c r="AC1500" s="153">
        <v>3</v>
      </c>
      <c r="AE1500" s="153">
        <v>2</v>
      </c>
      <c r="AF1500" s="153" t="str">
        <f ca="1" t="shared" si="256"/>
        <v>24040011|</v>
      </c>
      <c r="AJ1500" s="205">
        <f ca="1" t="shared" si="253"/>
        <v>0</v>
      </c>
      <c r="AK1500" s="205">
        <f ca="1">OFFSET([1]item_type!$A$1,MATCH(Q1500,[1]item_type!$G:$G,0)-1,0)</f>
        <v>302404</v>
      </c>
      <c r="AL1500" s="205"/>
      <c r="AM1500" s="205">
        <f ca="1">IF(B1500=B1501,OFFSET(卡牌辅助配置表!$AE$1,MATCH(AB1500,卡牌辅助配置表!AB:AB,0),0),0)</f>
        <v>14200</v>
      </c>
      <c r="AN1500" s="153">
        <f ca="1" t="shared" si="254"/>
        <v>0</v>
      </c>
      <c r="AP1500" s="153" t="str">
        <f ca="1">IF(AC1500=0,0,IF(AC1500=12,0,OFFSET(effect!$N$1,MATCH(K1500,effect!M:M,0)-1,0)))</f>
        <v>kpsx_zise</v>
      </c>
    </row>
    <row r="1501" spans="1:42">
      <c r="A1501" s="153">
        <f ca="1" t="shared" si="250"/>
        <v>2404021</v>
      </c>
      <c r="B1501" s="91" t="s">
        <v>345</v>
      </c>
      <c r="C1501" s="186">
        <v>2</v>
      </c>
      <c r="D1501" s="186">
        <v>1</v>
      </c>
      <c r="E1501" s="165" t="s">
        <v>1058</v>
      </c>
      <c r="F1501" s="179" t="s">
        <v>1064</v>
      </c>
      <c r="G1501" s="186">
        <f ca="1">OFFSET(卡牌辅助配置表!$C$1,MATCH(AC1501,卡牌辅助配置表!A:A,0)-1,0)</f>
        <v>3</v>
      </c>
      <c r="H1501" s="186">
        <f ca="1">OFFSET(skill!$Q$1,MATCH(B1501,skill!B:B,0)-1,0)</f>
        <v>1.5</v>
      </c>
      <c r="I1501" s="186"/>
      <c r="J1501" s="186">
        <f ca="1">OFFSET(card_type!$F$1,MATCH(Q1501,card_type!A:A,0)-1,0)</f>
        <v>4</v>
      </c>
      <c r="K1501" s="243">
        <f ca="1">OFFSET(card_type!$G$1,MATCH(Q1501,card_type!A:A,0)-1,0)</f>
        <v>3</v>
      </c>
      <c r="L1501" s="157">
        <v>3</v>
      </c>
      <c r="M1501" s="157">
        <v>3</v>
      </c>
      <c r="N1501" s="153">
        <f t="shared" si="249"/>
        <v>21</v>
      </c>
      <c r="O1501" s="157"/>
      <c r="P1501" s="157"/>
      <c r="Q1501" s="153">
        <f ca="1">OFFSET(card_type!$A$1,MATCH(card!B1501,card_type!B:B,0)-1,0)</f>
        <v>2404</v>
      </c>
      <c r="R1501" s="153">
        <v>1</v>
      </c>
      <c r="S1501" s="157">
        <f ca="1">ROUND(IF(R1501=0,0,IF(R1501=1,X1501*$S$1,IF(R1501=2,X1501*$S$1*buff的资质计算!$E$2,IF(R1501=3,X1501*$S$1*buff的资质计算!$E$3,0)))),0)*0</f>
        <v>0</v>
      </c>
      <c r="T1501" s="153">
        <v>4</v>
      </c>
      <c r="U1501" s="153">
        <f ca="1" t="shared" si="251"/>
        <v>43</v>
      </c>
      <c r="V1501" s="153">
        <f ca="1">ROUND((OFFSET(卡牌辅助配置表!$O$1,MATCH(U1501,卡牌辅助配置表!M:M,0)-1,0)+(N1501-1)*OFFSET(卡牌辅助配置表!$P$1,MATCH(U1501,卡牌辅助配置表!M:M,0)-1,0))*M1501,2)</f>
        <v>389.4</v>
      </c>
      <c r="W1501" s="157">
        <f ca="1">ROUND(IF(R1501=0,0,IF(R1501=1,X1501*$W$1,IF(R1501=2,X1501*$W$1*buff的资质计算!$E$2,IF(R1501=3,X1501*$W$1*buff的资质计算!$E$3,0)))),2)</f>
        <v>29.1</v>
      </c>
      <c r="X1501" s="157">
        <f ca="1" t="shared" si="247"/>
        <v>97</v>
      </c>
      <c r="Y1501" s="157">
        <f ca="1" t="shared" si="255"/>
        <v>98.5</v>
      </c>
      <c r="Z1501" s="304">
        <f ca="1" t="shared" si="248"/>
        <v>32.8333333333333</v>
      </c>
      <c r="AA1501" s="304">
        <f ca="1">OFFSET(卡牌辅助配置表!$AD$1,MATCH(AB1501,卡牌辅助配置表!AB:AB,0)-1,0)</f>
        <v>31051</v>
      </c>
      <c r="AB1501" s="304">
        <f ca="1" t="shared" si="252"/>
        <v>4321</v>
      </c>
      <c r="AC1501" s="153">
        <v>3</v>
      </c>
      <c r="AE1501" s="153">
        <v>2</v>
      </c>
      <c r="AF1501" s="153" t="str">
        <f ca="1" t="shared" si="256"/>
        <v>24040011|</v>
      </c>
      <c r="AJ1501" s="205">
        <f ca="1" t="shared" si="253"/>
        <v>0</v>
      </c>
      <c r="AK1501" s="205">
        <f ca="1">OFFSET([1]item_type!$A$1,MATCH(Q1501,[1]item_type!$G:$G,0)-1,0)</f>
        <v>302404</v>
      </c>
      <c r="AL1501" s="205"/>
      <c r="AM1501" s="205">
        <f ca="1">IF(B1501=B1502,OFFSET(卡牌辅助配置表!$AE$1,MATCH(AB1501,卡牌辅助配置表!AB:AB,0),0),0)</f>
        <v>15800</v>
      </c>
      <c r="AN1501" s="153">
        <f ca="1" t="shared" si="254"/>
        <v>0</v>
      </c>
      <c r="AP1501" s="153" t="str">
        <f ca="1">IF(AC1501=0,0,IF(AC1501=12,0,OFFSET(effect!$N$1,MATCH(K1501,effect!M:M,0)-1,0)))</f>
        <v>kpsx_zise</v>
      </c>
    </row>
    <row r="1502" spans="1:42">
      <c r="A1502" s="153">
        <f ca="1" t="shared" si="250"/>
        <v>2404022</v>
      </c>
      <c r="B1502" s="91" t="s">
        <v>345</v>
      </c>
      <c r="C1502" s="186">
        <v>2</v>
      </c>
      <c r="D1502" s="186">
        <v>1</v>
      </c>
      <c r="E1502" s="165" t="s">
        <v>1058</v>
      </c>
      <c r="F1502" s="179" t="s">
        <v>1064</v>
      </c>
      <c r="G1502" s="186">
        <f ca="1">OFFSET(卡牌辅助配置表!$C$1,MATCH(AC1502,卡牌辅助配置表!A:A,0)-1,0)</f>
        <v>3</v>
      </c>
      <c r="H1502" s="186">
        <f ca="1">OFFSET(skill!$Q$1,MATCH(B1502,skill!B:B,0)-1,0)</f>
        <v>1.5</v>
      </c>
      <c r="I1502" s="186"/>
      <c r="J1502" s="186">
        <f ca="1">OFFSET(card_type!$F$1,MATCH(Q1502,card_type!A:A,0)-1,0)</f>
        <v>4</v>
      </c>
      <c r="K1502" s="243">
        <f ca="1">OFFSET(card_type!$G$1,MATCH(Q1502,card_type!A:A,0)-1,0)</f>
        <v>3</v>
      </c>
      <c r="L1502" s="157">
        <v>3</v>
      </c>
      <c r="M1502" s="157">
        <v>3</v>
      </c>
      <c r="N1502" s="153">
        <f t="shared" si="249"/>
        <v>22</v>
      </c>
      <c r="O1502" s="157"/>
      <c r="P1502" s="157"/>
      <c r="Q1502" s="153">
        <f ca="1">OFFSET(card_type!$A$1,MATCH(card!B1502,card_type!B:B,0)-1,0)</f>
        <v>2404</v>
      </c>
      <c r="R1502" s="153">
        <v>1</v>
      </c>
      <c r="S1502" s="157">
        <f ca="1">ROUND(IF(R1502=0,0,IF(R1502=1,X1502*$S$1,IF(R1502=2,X1502*$S$1*buff的资质计算!$E$2,IF(R1502=3,X1502*$S$1*buff的资质计算!$E$3,0)))),0)*0</f>
        <v>0</v>
      </c>
      <c r="T1502" s="153">
        <v>4</v>
      </c>
      <c r="U1502" s="153">
        <f ca="1" t="shared" si="251"/>
        <v>43</v>
      </c>
      <c r="V1502" s="153">
        <f ca="1">ROUND((OFFSET(卡牌辅助配置表!$O$1,MATCH(U1502,卡牌辅助配置表!M:M,0)-1,0)+(N1502-1)*OFFSET(卡牌辅助配置表!$P$1,MATCH(U1502,卡牌辅助配置表!M:M,0)-1,0))*M1502,2)</f>
        <v>403.56</v>
      </c>
      <c r="W1502" s="157">
        <f ca="1">ROUND(IF(R1502=0,0,IF(R1502=1,X1502*$W$1,IF(R1502=2,X1502*$W$1*buff的资质计算!$E$2,IF(R1502=3,X1502*$W$1*buff的资质计算!$E$3,0)))),2)</f>
        <v>29.25</v>
      </c>
      <c r="X1502" s="157">
        <f ca="1" t="shared" si="247"/>
        <v>97.5</v>
      </c>
      <c r="Y1502" s="157">
        <f ca="1" t="shared" si="255"/>
        <v>99</v>
      </c>
      <c r="Z1502" s="304">
        <f ca="1" t="shared" si="248"/>
        <v>33</v>
      </c>
      <c r="AA1502" s="304">
        <f ca="1">OFFSET(卡牌辅助配置表!$AD$1,MATCH(AB1502,卡牌辅助配置表!AB:AB,0)-1,0)</f>
        <v>33352</v>
      </c>
      <c r="AB1502" s="304">
        <f ca="1" t="shared" si="252"/>
        <v>4322</v>
      </c>
      <c r="AC1502" s="153">
        <v>3</v>
      </c>
      <c r="AE1502" s="153">
        <v>2</v>
      </c>
      <c r="AF1502" s="153" t="str">
        <f ca="1" t="shared" si="256"/>
        <v>24040011|</v>
      </c>
      <c r="AJ1502" s="205">
        <f ca="1" t="shared" si="253"/>
        <v>0</v>
      </c>
      <c r="AK1502" s="205">
        <f ca="1">OFFSET([1]item_type!$A$1,MATCH(Q1502,[1]item_type!$G:$G,0)-1,0)</f>
        <v>302404</v>
      </c>
      <c r="AL1502" s="205"/>
      <c r="AM1502" s="205">
        <f ca="1">IF(B1502=B1503,OFFSET(卡牌辅助配置表!$AE$1,MATCH(AB1502,卡牌辅助配置表!AB:AB,0),0),0)</f>
        <v>17400</v>
      </c>
      <c r="AN1502" s="153">
        <f ca="1" t="shared" si="254"/>
        <v>0</v>
      </c>
      <c r="AP1502" s="153" t="str">
        <f ca="1">IF(AC1502=0,0,IF(AC1502=12,0,OFFSET(effect!$N$1,MATCH(K1502,effect!M:M,0)-1,0)))</f>
        <v>kpsx_zise</v>
      </c>
    </row>
    <row r="1503" spans="1:42">
      <c r="A1503" s="153">
        <f ca="1" t="shared" si="250"/>
        <v>2404023</v>
      </c>
      <c r="B1503" s="91" t="s">
        <v>345</v>
      </c>
      <c r="C1503" s="186">
        <v>2</v>
      </c>
      <c r="D1503" s="186">
        <v>1</v>
      </c>
      <c r="E1503" s="165" t="s">
        <v>1058</v>
      </c>
      <c r="F1503" s="179" t="s">
        <v>1064</v>
      </c>
      <c r="G1503" s="186">
        <f ca="1">OFFSET(卡牌辅助配置表!$C$1,MATCH(AC1503,卡牌辅助配置表!A:A,0)-1,0)</f>
        <v>3</v>
      </c>
      <c r="H1503" s="186">
        <f ca="1">OFFSET(skill!$Q$1,MATCH(B1503,skill!B:B,0)-1,0)</f>
        <v>1.5</v>
      </c>
      <c r="I1503" s="186"/>
      <c r="J1503" s="186">
        <f ca="1">OFFSET(card_type!$F$1,MATCH(Q1503,card_type!A:A,0)-1,0)</f>
        <v>4</v>
      </c>
      <c r="K1503" s="243">
        <f ca="1">OFFSET(card_type!$G$1,MATCH(Q1503,card_type!A:A,0)-1,0)</f>
        <v>3</v>
      </c>
      <c r="L1503" s="157">
        <v>3</v>
      </c>
      <c r="M1503" s="157">
        <v>3</v>
      </c>
      <c r="N1503" s="153">
        <f t="shared" si="249"/>
        <v>23</v>
      </c>
      <c r="O1503" s="157"/>
      <c r="P1503" s="157"/>
      <c r="Q1503" s="153">
        <f ca="1">OFFSET(card_type!$A$1,MATCH(card!B1503,card_type!B:B,0)-1,0)</f>
        <v>2404</v>
      </c>
      <c r="R1503" s="153">
        <v>1</v>
      </c>
      <c r="S1503" s="157">
        <f ca="1">ROUND(IF(R1503=0,0,IF(R1503=1,X1503*$S$1,IF(R1503=2,X1503*$S$1*buff的资质计算!$E$2,IF(R1503=3,X1503*$S$1*buff的资质计算!$E$3,0)))),0)*0</f>
        <v>0</v>
      </c>
      <c r="T1503" s="153">
        <v>4</v>
      </c>
      <c r="U1503" s="153">
        <f ca="1" t="shared" si="251"/>
        <v>43</v>
      </c>
      <c r="V1503" s="153">
        <f ca="1">ROUND((OFFSET(卡牌辅助配置表!$O$1,MATCH(U1503,卡牌辅助配置表!M:M,0)-1,0)+(N1503-1)*OFFSET(卡牌辅助配置表!$P$1,MATCH(U1503,卡牌辅助配置表!M:M,0)-1,0))*M1503,2)</f>
        <v>417.72</v>
      </c>
      <c r="W1503" s="157">
        <f ca="1">ROUND(IF(R1503=0,0,IF(R1503=1,X1503*$W$1,IF(R1503=2,X1503*$W$1*buff的资质计算!$E$2,IF(R1503=3,X1503*$W$1*buff的资质计算!$E$3,0)))),2)</f>
        <v>29.4</v>
      </c>
      <c r="X1503" s="157">
        <f ca="1" t="shared" si="247"/>
        <v>98</v>
      </c>
      <c r="Y1503" s="157">
        <f ca="1" t="shared" si="255"/>
        <v>99.5</v>
      </c>
      <c r="Z1503" s="304">
        <f ca="1" t="shared" si="248"/>
        <v>33.1666666666667</v>
      </c>
      <c r="AA1503" s="304">
        <f ca="1">OFFSET(卡牌辅助配置表!$AD$1,MATCH(AB1503,卡牌辅助配置表!AB:AB,0)-1,0)</f>
        <v>35653</v>
      </c>
      <c r="AB1503" s="304">
        <f ca="1" t="shared" si="252"/>
        <v>4323</v>
      </c>
      <c r="AC1503" s="153">
        <v>3</v>
      </c>
      <c r="AE1503" s="153">
        <v>2</v>
      </c>
      <c r="AF1503" s="153" t="str">
        <f ca="1" t="shared" si="256"/>
        <v>24040011|</v>
      </c>
      <c r="AJ1503" s="205">
        <f ca="1" t="shared" si="253"/>
        <v>0</v>
      </c>
      <c r="AK1503" s="205">
        <f ca="1">OFFSET([1]item_type!$A$1,MATCH(Q1503,[1]item_type!$G:$G,0)-1,0)</f>
        <v>302404</v>
      </c>
      <c r="AL1503" s="205"/>
      <c r="AM1503" s="205">
        <f ca="1">IF(B1503=B1504,OFFSET(卡牌辅助配置表!$AE$1,MATCH(AB1503,卡牌辅助配置表!AB:AB,0),0),0)</f>
        <v>19000</v>
      </c>
      <c r="AN1503" s="153">
        <f ca="1" t="shared" si="254"/>
        <v>0</v>
      </c>
      <c r="AP1503" s="153" t="str">
        <f ca="1">IF(AC1503=0,0,IF(AC1503=12,0,OFFSET(effect!$N$1,MATCH(K1503,effect!M:M,0)-1,0)))</f>
        <v>kpsx_zise</v>
      </c>
    </row>
    <row r="1504" spans="1:42">
      <c r="A1504" s="153">
        <f ca="1" t="shared" si="250"/>
        <v>2404024</v>
      </c>
      <c r="B1504" s="91" t="s">
        <v>345</v>
      </c>
      <c r="C1504" s="186">
        <v>2</v>
      </c>
      <c r="D1504" s="186">
        <v>1</v>
      </c>
      <c r="E1504" s="165" t="s">
        <v>1058</v>
      </c>
      <c r="F1504" s="179" t="s">
        <v>1064</v>
      </c>
      <c r="G1504" s="186">
        <f ca="1">OFFSET(卡牌辅助配置表!$C$1,MATCH(AC1504,卡牌辅助配置表!A:A,0)-1,0)</f>
        <v>3</v>
      </c>
      <c r="H1504" s="186">
        <f ca="1">OFFSET(skill!$Q$1,MATCH(B1504,skill!B:B,0)-1,0)</f>
        <v>1.5</v>
      </c>
      <c r="I1504" s="186"/>
      <c r="J1504" s="186">
        <f ca="1">OFFSET(card_type!$F$1,MATCH(Q1504,card_type!A:A,0)-1,0)</f>
        <v>4</v>
      </c>
      <c r="K1504" s="243">
        <f ca="1">OFFSET(card_type!$G$1,MATCH(Q1504,card_type!A:A,0)-1,0)</f>
        <v>3</v>
      </c>
      <c r="L1504" s="157">
        <v>3</v>
      </c>
      <c r="M1504" s="157">
        <v>3</v>
      </c>
      <c r="N1504" s="153">
        <f t="shared" si="249"/>
        <v>24</v>
      </c>
      <c r="O1504" s="157"/>
      <c r="P1504" s="157"/>
      <c r="Q1504" s="153">
        <f ca="1">OFFSET(card_type!$A$1,MATCH(card!B1504,card_type!B:B,0)-1,0)</f>
        <v>2404</v>
      </c>
      <c r="R1504" s="153">
        <v>1</v>
      </c>
      <c r="S1504" s="157">
        <f ca="1">ROUND(IF(R1504=0,0,IF(R1504=1,X1504*$S$1,IF(R1504=2,X1504*$S$1*buff的资质计算!$E$2,IF(R1504=3,X1504*$S$1*buff的资质计算!$E$3,0)))),0)*0</f>
        <v>0</v>
      </c>
      <c r="T1504" s="153">
        <v>4</v>
      </c>
      <c r="U1504" s="153">
        <f ca="1" t="shared" si="251"/>
        <v>43</v>
      </c>
      <c r="V1504" s="153">
        <f ca="1">ROUND((OFFSET(卡牌辅助配置表!$O$1,MATCH(U1504,卡牌辅助配置表!M:M,0)-1,0)+(N1504-1)*OFFSET(卡牌辅助配置表!$P$1,MATCH(U1504,卡牌辅助配置表!M:M,0)-1,0))*M1504,2)</f>
        <v>431.88</v>
      </c>
      <c r="W1504" s="157">
        <f ca="1">ROUND(IF(R1504=0,0,IF(R1504=1,X1504*$W$1,IF(R1504=2,X1504*$W$1*buff的资质计算!$E$2,IF(R1504=3,X1504*$W$1*buff的资质计算!$E$3,0)))),2)</f>
        <v>29.55</v>
      </c>
      <c r="X1504" s="157">
        <f ca="1" t="shared" si="247"/>
        <v>98.5</v>
      </c>
      <c r="Y1504" s="157">
        <f ca="1" t="shared" si="255"/>
        <v>100</v>
      </c>
      <c r="Z1504" s="304">
        <f ca="1" t="shared" si="248"/>
        <v>33.3333333333333</v>
      </c>
      <c r="AA1504" s="304">
        <f ca="1">OFFSET(卡牌辅助配置表!$AD$1,MATCH(AB1504,卡牌辅助配置表!AB:AB,0)-1,0)</f>
        <v>37954</v>
      </c>
      <c r="AB1504" s="304">
        <f ca="1" t="shared" si="252"/>
        <v>4324</v>
      </c>
      <c r="AC1504" s="153">
        <v>3</v>
      </c>
      <c r="AE1504" s="153">
        <v>2</v>
      </c>
      <c r="AF1504" s="153" t="str">
        <f ca="1" t="shared" si="256"/>
        <v>24040011|</v>
      </c>
      <c r="AJ1504" s="205">
        <f ca="1" t="shared" si="253"/>
        <v>0</v>
      </c>
      <c r="AK1504" s="205">
        <f ca="1">OFFSET([1]item_type!$A$1,MATCH(Q1504,[1]item_type!$G:$G,0)-1,0)</f>
        <v>302404</v>
      </c>
      <c r="AL1504" s="205"/>
      <c r="AM1504" s="205">
        <f ca="1">IF(B1504=B1505,OFFSET(卡牌辅助配置表!$AE$1,MATCH(AB1504,卡牌辅助配置表!AB:AB,0),0),0)</f>
        <v>20600</v>
      </c>
      <c r="AN1504" s="153">
        <f ca="1" t="shared" si="254"/>
        <v>0</v>
      </c>
      <c r="AP1504" s="153" t="str">
        <f ca="1">IF(AC1504=0,0,IF(AC1504=12,0,OFFSET(effect!$N$1,MATCH(K1504,effect!M:M,0)-1,0)))</f>
        <v>kpsx_zise</v>
      </c>
    </row>
    <row r="1505" spans="1:42">
      <c r="A1505" s="153">
        <f ca="1" t="shared" si="250"/>
        <v>2404025</v>
      </c>
      <c r="B1505" s="91" t="s">
        <v>345</v>
      </c>
      <c r="C1505" s="186">
        <v>2</v>
      </c>
      <c r="D1505" s="186">
        <v>1</v>
      </c>
      <c r="E1505" s="165" t="s">
        <v>1058</v>
      </c>
      <c r="F1505" s="179" t="s">
        <v>1064</v>
      </c>
      <c r="G1505" s="186">
        <f ca="1">OFFSET(卡牌辅助配置表!$C$1,MATCH(AC1505,卡牌辅助配置表!A:A,0)-1,0)</f>
        <v>3</v>
      </c>
      <c r="H1505" s="186">
        <f ca="1">OFFSET(skill!$Q$1,MATCH(B1505,skill!B:B,0)-1,0)</f>
        <v>1.5</v>
      </c>
      <c r="I1505" s="186"/>
      <c r="J1505" s="186">
        <f ca="1">OFFSET(card_type!$F$1,MATCH(Q1505,card_type!A:A,0)-1,0)</f>
        <v>4</v>
      </c>
      <c r="K1505" s="243">
        <f ca="1">OFFSET(card_type!$G$1,MATCH(Q1505,card_type!A:A,0)-1,0)</f>
        <v>3</v>
      </c>
      <c r="L1505" s="157">
        <v>3</v>
      </c>
      <c r="M1505" s="157">
        <v>3</v>
      </c>
      <c r="N1505" s="153">
        <f t="shared" si="249"/>
        <v>25</v>
      </c>
      <c r="O1505" s="157"/>
      <c r="P1505" s="157"/>
      <c r="Q1505" s="153">
        <f ca="1">OFFSET(card_type!$A$1,MATCH(card!B1505,card_type!B:B,0)-1,0)</f>
        <v>2404</v>
      </c>
      <c r="R1505" s="153">
        <v>1</v>
      </c>
      <c r="S1505" s="157">
        <f ca="1">ROUND(IF(R1505=0,0,IF(R1505=1,X1505*$S$1,IF(R1505=2,X1505*$S$1*buff的资质计算!$E$2,IF(R1505=3,X1505*$S$1*buff的资质计算!$E$3,0)))),0)*0</f>
        <v>0</v>
      </c>
      <c r="T1505" s="153">
        <v>4</v>
      </c>
      <c r="U1505" s="153">
        <f ca="1" t="shared" si="251"/>
        <v>43</v>
      </c>
      <c r="V1505" s="153">
        <f ca="1">ROUND((OFFSET(卡牌辅助配置表!$O$1,MATCH(U1505,卡牌辅助配置表!M:M,0)-1,0)+(N1505-1)*OFFSET(卡牌辅助配置表!$P$1,MATCH(U1505,卡牌辅助配置表!M:M,0)-1,0))*M1505,2)</f>
        <v>446.04</v>
      </c>
      <c r="W1505" s="157">
        <f ca="1">ROUND(IF(R1505=0,0,IF(R1505=1,X1505*$W$1,IF(R1505=2,X1505*$W$1*buff的资质计算!$E$2,IF(R1505=3,X1505*$W$1*buff的资质计算!$E$3,0)))),2)</f>
        <v>29.7</v>
      </c>
      <c r="X1505" s="157">
        <f ca="1" t="shared" si="247"/>
        <v>99</v>
      </c>
      <c r="Y1505" s="157">
        <f ca="1" t="shared" si="255"/>
        <v>100.5</v>
      </c>
      <c r="Z1505" s="304">
        <f ca="1" t="shared" si="248"/>
        <v>33.5</v>
      </c>
      <c r="AA1505" s="304">
        <f ca="1">OFFSET(卡牌辅助配置表!$AD$1,MATCH(AB1505,卡牌辅助配置表!AB:AB,0)-1,0)</f>
        <v>40255</v>
      </c>
      <c r="AB1505" s="304">
        <f ca="1" t="shared" si="252"/>
        <v>4325</v>
      </c>
      <c r="AC1505" s="153">
        <v>3</v>
      </c>
      <c r="AE1505" s="153">
        <v>2</v>
      </c>
      <c r="AF1505" s="153" t="str">
        <f ca="1" t="shared" si="256"/>
        <v>24040011|</v>
      </c>
      <c r="AJ1505" s="205">
        <f ca="1" t="shared" si="253"/>
        <v>0</v>
      </c>
      <c r="AK1505" s="205">
        <f ca="1">OFFSET([1]item_type!$A$1,MATCH(Q1505,[1]item_type!$G:$G,0)-1,0)</f>
        <v>302404</v>
      </c>
      <c r="AL1505" s="205"/>
      <c r="AM1505" s="205">
        <f ca="1">IF(B1505=B1506,OFFSET(卡牌辅助配置表!$AE$1,MATCH(AB1505,卡牌辅助配置表!AB:AB,0),0),0)</f>
        <v>22200</v>
      </c>
      <c r="AN1505" s="153">
        <f ca="1" t="shared" si="254"/>
        <v>0</v>
      </c>
      <c r="AP1505" s="153" t="str">
        <f ca="1">IF(AC1505=0,0,IF(AC1505=12,0,OFFSET(effect!$N$1,MATCH(K1505,effect!M:M,0)-1,0)))</f>
        <v>kpsx_zise</v>
      </c>
    </row>
    <row r="1506" spans="1:42">
      <c r="A1506" s="153">
        <f ca="1" t="shared" si="250"/>
        <v>2404026</v>
      </c>
      <c r="B1506" s="91" t="s">
        <v>345</v>
      </c>
      <c r="C1506" s="186">
        <v>2</v>
      </c>
      <c r="D1506" s="186">
        <v>1</v>
      </c>
      <c r="E1506" s="165" t="s">
        <v>1058</v>
      </c>
      <c r="F1506" s="179" t="s">
        <v>1064</v>
      </c>
      <c r="G1506" s="186">
        <f ca="1">OFFSET(卡牌辅助配置表!$C$1,MATCH(AC1506,卡牌辅助配置表!A:A,0)-1,0)</f>
        <v>3</v>
      </c>
      <c r="H1506" s="186">
        <f ca="1">OFFSET(skill!$Q$1,MATCH(B1506,skill!B:B,0)-1,0)</f>
        <v>1.5</v>
      </c>
      <c r="I1506" s="186"/>
      <c r="J1506" s="186">
        <f ca="1">OFFSET(card_type!$F$1,MATCH(Q1506,card_type!A:A,0)-1,0)</f>
        <v>4</v>
      </c>
      <c r="K1506" s="243">
        <f ca="1">OFFSET(card_type!$G$1,MATCH(Q1506,card_type!A:A,0)-1,0)</f>
        <v>3</v>
      </c>
      <c r="L1506" s="157">
        <v>3</v>
      </c>
      <c r="M1506" s="157">
        <v>3</v>
      </c>
      <c r="N1506" s="153">
        <f t="shared" si="249"/>
        <v>26</v>
      </c>
      <c r="O1506" s="157"/>
      <c r="P1506" s="157"/>
      <c r="Q1506" s="153">
        <f ca="1">OFFSET(card_type!$A$1,MATCH(card!B1506,card_type!B:B,0)-1,0)</f>
        <v>2404</v>
      </c>
      <c r="R1506" s="153">
        <v>1</v>
      </c>
      <c r="S1506" s="157">
        <f ca="1">ROUND(IF(R1506=0,0,IF(R1506=1,X1506*$S$1,IF(R1506=2,X1506*$S$1*buff的资质计算!$E$2,IF(R1506=3,X1506*$S$1*buff的资质计算!$E$3,0)))),0)*0</f>
        <v>0</v>
      </c>
      <c r="T1506" s="153">
        <v>4</v>
      </c>
      <c r="U1506" s="153">
        <f ca="1" t="shared" si="251"/>
        <v>43</v>
      </c>
      <c r="V1506" s="153">
        <f ca="1">ROUND((OFFSET(卡牌辅助配置表!$O$1,MATCH(U1506,卡牌辅助配置表!M:M,0)-1,0)+(N1506-1)*OFFSET(卡牌辅助配置表!$P$1,MATCH(U1506,卡牌辅助配置表!M:M,0)-1,0))*M1506,2)</f>
        <v>460.2</v>
      </c>
      <c r="W1506" s="157">
        <f ca="1">ROUND(IF(R1506=0,0,IF(R1506=1,X1506*$W$1,IF(R1506=2,X1506*$W$1*buff的资质计算!$E$2,IF(R1506=3,X1506*$W$1*buff的资质计算!$E$3,0)))),2)</f>
        <v>29.85</v>
      </c>
      <c r="X1506" s="157">
        <f ca="1" t="shared" si="247"/>
        <v>99.5</v>
      </c>
      <c r="Y1506" s="157">
        <f ca="1" t="shared" si="255"/>
        <v>101</v>
      </c>
      <c r="Z1506" s="304">
        <f ca="1" t="shared" si="248"/>
        <v>33.6666666666667</v>
      </c>
      <c r="AA1506" s="304">
        <f ca="1">OFFSET(卡牌辅助配置表!$AD$1,MATCH(AB1506,卡牌辅助配置表!AB:AB,0)-1,0)</f>
        <v>42556</v>
      </c>
      <c r="AB1506" s="304">
        <f ca="1" t="shared" si="252"/>
        <v>4326</v>
      </c>
      <c r="AC1506" s="153">
        <v>3</v>
      </c>
      <c r="AE1506" s="153">
        <v>2</v>
      </c>
      <c r="AF1506" s="153" t="str">
        <f ca="1" t="shared" si="256"/>
        <v>24040011|</v>
      </c>
      <c r="AJ1506" s="205">
        <f ca="1" t="shared" si="253"/>
        <v>0</v>
      </c>
      <c r="AK1506" s="205">
        <f ca="1">OFFSET([1]item_type!$A$1,MATCH(Q1506,[1]item_type!$G:$G,0)-1,0)</f>
        <v>302404</v>
      </c>
      <c r="AL1506" s="205"/>
      <c r="AM1506" s="205">
        <f ca="1">IF(B1506=B1507,OFFSET(卡牌辅助配置表!$AE$1,MATCH(AB1506,卡牌辅助配置表!AB:AB,0),0),0)</f>
        <v>23800</v>
      </c>
      <c r="AN1506" s="153">
        <f ca="1" t="shared" si="254"/>
        <v>0</v>
      </c>
      <c r="AP1506" s="153" t="str">
        <f ca="1">IF(AC1506=0,0,IF(AC1506=12,0,OFFSET(effect!$N$1,MATCH(K1506,effect!M:M,0)-1,0)))</f>
        <v>kpsx_zise</v>
      </c>
    </row>
    <row r="1507" spans="1:42">
      <c r="A1507" s="153">
        <f ca="1" t="shared" si="250"/>
        <v>2404027</v>
      </c>
      <c r="B1507" s="91" t="s">
        <v>345</v>
      </c>
      <c r="C1507" s="186">
        <v>2</v>
      </c>
      <c r="D1507" s="186">
        <v>1</v>
      </c>
      <c r="E1507" s="165" t="s">
        <v>1058</v>
      </c>
      <c r="F1507" s="179" t="s">
        <v>1064</v>
      </c>
      <c r="G1507" s="186">
        <f ca="1">OFFSET(卡牌辅助配置表!$C$1,MATCH(AC1507,卡牌辅助配置表!A:A,0)-1,0)</f>
        <v>3</v>
      </c>
      <c r="H1507" s="186">
        <f ca="1">OFFSET(skill!$Q$1,MATCH(B1507,skill!B:B,0)-1,0)</f>
        <v>1.5</v>
      </c>
      <c r="I1507" s="186"/>
      <c r="J1507" s="186">
        <f ca="1">OFFSET(card_type!$F$1,MATCH(Q1507,card_type!A:A,0)-1,0)</f>
        <v>4</v>
      </c>
      <c r="K1507" s="243">
        <f ca="1">OFFSET(card_type!$G$1,MATCH(Q1507,card_type!A:A,0)-1,0)</f>
        <v>3</v>
      </c>
      <c r="L1507" s="157">
        <v>3</v>
      </c>
      <c r="M1507" s="157">
        <v>3</v>
      </c>
      <c r="N1507" s="153">
        <f t="shared" si="249"/>
        <v>27</v>
      </c>
      <c r="O1507" s="157"/>
      <c r="P1507" s="157"/>
      <c r="Q1507" s="153">
        <f ca="1">OFFSET(card_type!$A$1,MATCH(card!B1507,card_type!B:B,0)-1,0)</f>
        <v>2404</v>
      </c>
      <c r="R1507" s="153">
        <v>1</v>
      </c>
      <c r="S1507" s="157">
        <f ca="1">ROUND(IF(R1507=0,0,IF(R1507=1,X1507*$S$1,IF(R1507=2,X1507*$S$1*buff的资质计算!$E$2,IF(R1507=3,X1507*$S$1*buff的资质计算!$E$3,0)))),0)*0</f>
        <v>0</v>
      </c>
      <c r="T1507" s="153">
        <v>4</v>
      </c>
      <c r="U1507" s="153">
        <f ca="1" t="shared" si="251"/>
        <v>43</v>
      </c>
      <c r="V1507" s="153">
        <f ca="1">ROUND((OFFSET(卡牌辅助配置表!$O$1,MATCH(U1507,卡牌辅助配置表!M:M,0)-1,0)+(N1507-1)*OFFSET(卡牌辅助配置表!$P$1,MATCH(U1507,卡牌辅助配置表!M:M,0)-1,0))*M1507,2)</f>
        <v>474.36</v>
      </c>
      <c r="W1507" s="157">
        <f ca="1">ROUND(IF(R1507=0,0,IF(R1507=1,X1507*$W$1,IF(R1507=2,X1507*$W$1*buff的资质计算!$E$2,IF(R1507=3,X1507*$W$1*buff的资质计算!$E$3,0)))),2)</f>
        <v>30</v>
      </c>
      <c r="X1507" s="157">
        <f ca="1" t="shared" si="247"/>
        <v>100</v>
      </c>
      <c r="Y1507" s="157">
        <f ca="1" t="shared" si="255"/>
        <v>101.5</v>
      </c>
      <c r="Z1507" s="304">
        <f ca="1" t="shared" si="248"/>
        <v>33.8333333333333</v>
      </c>
      <c r="AA1507" s="304">
        <f ca="1">OFFSET(卡牌辅助配置表!$AD$1,MATCH(AB1507,卡牌辅助配置表!AB:AB,0)-1,0)</f>
        <v>44857</v>
      </c>
      <c r="AB1507" s="304">
        <f ca="1" t="shared" si="252"/>
        <v>4327</v>
      </c>
      <c r="AC1507" s="153">
        <v>3</v>
      </c>
      <c r="AE1507" s="153">
        <v>2</v>
      </c>
      <c r="AF1507" s="153" t="str">
        <f ca="1" t="shared" si="256"/>
        <v>24040011|</v>
      </c>
      <c r="AJ1507" s="205">
        <f ca="1" t="shared" si="253"/>
        <v>0</v>
      </c>
      <c r="AK1507" s="205">
        <f ca="1">OFFSET([1]item_type!$A$1,MATCH(Q1507,[1]item_type!$G:$G,0)-1,0)</f>
        <v>302404</v>
      </c>
      <c r="AL1507" s="205"/>
      <c r="AM1507" s="205">
        <f ca="1">IF(B1507=B1508,OFFSET(卡牌辅助配置表!$AE$1,MATCH(AB1507,卡牌辅助配置表!AB:AB,0),0),0)</f>
        <v>25400</v>
      </c>
      <c r="AN1507" s="153">
        <f ca="1" t="shared" si="254"/>
        <v>0</v>
      </c>
      <c r="AP1507" s="153" t="str">
        <f ca="1">IF(AC1507=0,0,IF(AC1507=12,0,OFFSET(effect!$N$1,MATCH(K1507,effect!M:M,0)-1,0)))</f>
        <v>kpsx_zise</v>
      </c>
    </row>
    <row r="1508" spans="1:42">
      <c r="A1508" s="153">
        <f ca="1" t="shared" si="250"/>
        <v>2404028</v>
      </c>
      <c r="B1508" s="91" t="s">
        <v>345</v>
      </c>
      <c r="C1508" s="186">
        <v>2</v>
      </c>
      <c r="D1508" s="186">
        <v>1</v>
      </c>
      <c r="E1508" s="165" t="s">
        <v>1058</v>
      </c>
      <c r="F1508" s="179" t="s">
        <v>1064</v>
      </c>
      <c r="G1508" s="186">
        <f ca="1">OFFSET(卡牌辅助配置表!$C$1,MATCH(AC1508,卡牌辅助配置表!A:A,0)-1,0)</f>
        <v>3</v>
      </c>
      <c r="H1508" s="186">
        <f ca="1">OFFSET(skill!$Q$1,MATCH(B1508,skill!B:B,0)-1,0)</f>
        <v>1.5</v>
      </c>
      <c r="I1508" s="186"/>
      <c r="J1508" s="186">
        <f ca="1">OFFSET(card_type!$F$1,MATCH(Q1508,card_type!A:A,0)-1,0)</f>
        <v>4</v>
      </c>
      <c r="K1508" s="243">
        <f ca="1">OFFSET(card_type!$G$1,MATCH(Q1508,card_type!A:A,0)-1,0)</f>
        <v>3</v>
      </c>
      <c r="L1508" s="157">
        <v>3</v>
      </c>
      <c r="M1508" s="157">
        <v>3</v>
      </c>
      <c r="N1508" s="153">
        <f t="shared" si="249"/>
        <v>28</v>
      </c>
      <c r="O1508" s="157"/>
      <c r="P1508" s="157"/>
      <c r="Q1508" s="153">
        <f ca="1">OFFSET(card_type!$A$1,MATCH(card!B1508,card_type!B:B,0)-1,0)</f>
        <v>2404</v>
      </c>
      <c r="R1508" s="153">
        <v>1</v>
      </c>
      <c r="S1508" s="157">
        <f ca="1">ROUND(IF(R1508=0,0,IF(R1508=1,X1508*$S$1,IF(R1508=2,X1508*$S$1*buff的资质计算!$E$2,IF(R1508=3,X1508*$S$1*buff的资质计算!$E$3,0)))),0)*0</f>
        <v>0</v>
      </c>
      <c r="T1508" s="153">
        <v>4</v>
      </c>
      <c r="U1508" s="153">
        <f ca="1" t="shared" si="251"/>
        <v>43</v>
      </c>
      <c r="V1508" s="153">
        <f ca="1">ROUND((OFFSET(卡牌辅助配置表!$O$1,MATCH(U1508,卡牌辅助配置表!M:M,0)-1,0)+(N1508-1)*OFFSET(卡牌辅助配置表!$P$1,MATCH(U1508,卡牌辅助配置表!M:M,0)-1,0))*M1508,2)</f>
        <v>488.52</v>
      </c>
      <c r="W1508" s="157">
        <f ca="1">ROUND(IF(R1508=0,0,IF(R1508=1,X1508*$W$1,IF(R1508=2,X1508*$W$1*buff的资质计算!$E$2,IF(R1508=3,X1508*$W$1*buff的资质计算!$E$3,0)))),2)</f>
        <v>30.15</v>
      </c>
      <c r="X1508" s="157">
        <f ca="1" t="shared" si="247"/>
        <v>100.5</v>
      </c>
      <c r="Y1508" s="157">
        <f ca="1" t="shared" si="255"/>
        <v>102</v>
      </c>
      <c r="Z1508" s="304">
        <f ca="1" t="shared" si="248"/>
        <v>34</v>
      </c>
      <c r="AA1508" s="304">
        <f ca="1">OFFSET(卡牌辅助配置表!$AD$1,MATCH(AB1508,卡牌辅助配置表!AB:AB,0)-1,0)</f>
        <v>47158</v>
      </c>
      <c r="AB1508" s="304">
        <f ca="1" t="shared" si="252"/>
        <v>4328</v>
      </c>
      <c r="AC1508" s="153">
        <v>3</v>
      </c>
      <c r="AE1508" s="153">
        <v>2</v>
      </c>
      <c r="AF1508" s="153" t="str">
        <f ca="1" t="shared" si="256"/>
        <v>24040011|</v>
      </c>
      <c r="AJ1508" s="205">
        <f ca="1" t="shared" si="253"/>
        <v>0</v>
      </c>
      <c r="AK1508" s="205">
        <f ca="1">OFFSET([1]item_type!$A$1,MATCH(Q1508,[1]item_type!$G:$G,0)-1,0)</f>
        <v>302404</v>
      </c>
      <c r="AL1508" s="205"/>
      <c r="AM1508" s="205">
        <f ca="1">IF(B1508=B1509,OFFSET(卡牌辅助配置表!$AE$1,MATCH(AB1508,卡牌辅助配置表!AB:AB,0),0),0)</f>
        <v>27000</v>
      </c>
      <c r="AN1508" s="153">
        <f ca="1" t="shared" si="254"/>
        <v>0</v>
      </c>
      <c r="AP1508" s="153" t="str">
        <f ca="1">IF(AC1508=0,0,IF(AC1508=12,0,OFFSET(effect!$N$1,MATCH(K1508,effect!M:M,0)-1,0)))</f>
        <v>kpsx_zise</v>
      </c>
    </row>
    <row r="1509" spans="1:42">
      <c r="A1509" s="153">
        <f ca="1" t="shared" si="250"/>
        <v>2404029</v>
      </c>
      <c r="B1509" s="91" t="s">
        <v>345</v>
      </c>
      <c r="C1509" s="186">
        <v>2</v>
      </c>
      <c r="D1509" s="186">
        <v>1</v>
      </c>
      <c r="E1509" s="165" t="s">
        <v>1058</v>
      </c>
      <c r="F1509" s="179" t="s">
        <v>1064</v>
      </c>
      <c r="G1509" s="186">
        <f ca="1">OFFSET(卡牌辅助配置表!$C$1,MATCH(AC1509,卡牌辅助配置表!A:A,0)-1,0)</f>
        <v>3</v>
      </c>
      <c r="H1509" s="186">
        <f ca="1">OFFSET(skill!$Q$1,MATCH(B1509,skill!B:B,0)-1,0)</f>
        <v>1.5</v>
      </c>
      <c r="I1509" s="186"/>
      <c r="J1509" s="186">
        <f ca="1">OFFSET(card_type!$F$1,MATCH(Q1509,card_type!A:A,0)-1,0)</f>
        <v>4</v>
      </c>
      <c r="K1509" s="243">
        <f ca="1">OFFSET(card_type!$G$1,MATCH(Q1509,card_type!A:A,0)-1,0)</f>
        <v>3</v>
      </c>
      <c r="L1509" s="157">
        <v>3</v>
      </c>
      <c r="M1509" s="157">
        <v>3</v>
      </c>
      <c r="N1509" s="153">
        <f t="shared" si="249"/>
        <v>29</v>
      </c>
      <c r="O1509" s="157"/>
      <c r="P1509" s="157"/>
      <c r="Q1509" s="153">
        <f ca="1">OFFSET(card_type!$A$1,MATCH(card!B1509,card_type!B:B,0)-1,0)</f>
        <v>2404</v>
      </c>
      <c r="R1509" s="153">
        <v>1</v>
      </c>
      <c r="S1509" s="157">
        <f ca="1">ROUND(IF(R1509=0,0,IF(R1509=1,X1509*$S$1,IF(R1509=2,X1509*$S$1*buff的资质计算!$E$2,IF(R1509=3,X1509*$S$1*buff的资质计算!$E$3,0)))),0)*0</f>
        <v>0</v>
      </c>
      <c r="T1509" s="153">
        <v>4</v>
      </c>
      <c r="U1509" s="153">
        <f ca="1" t="shared" si="251"/>
        <v>43</v>
      </c>
      <c r="V1509" s="153">
        <f ca="1">ROUND((OFFSET(卡牌辅助配置表!$O$1,MATCH(U1509,卡牌辅助配置表!M:M,0)-1,0)+(N1509-1)*OFFSET(卡牌辅助配置表!$P$1,MATCH(U1509,卡牌辅助配置表!M:M,0)-1,0))*M1509,2)</f>
        <v>502.68</v>
      </c>
      <c r="W1509" s="157">
        <f ca="1">ROUND(IF(R1509=0,0,IF(R1509=1,X1509*$W$1,IF(R1509=2,X1509*$W$1*buff的资质计算!$E$2,IF(R1509=3,X1509*$W$1*buff的资质计算!$E$3,0)))),2)</f>
        <v>30.3</v>
      </c>
      <c r="X1509" s="157">
        <f ca="1" t="shared" si="247"/>
        <v>101</v>
      </c>
      <c r="Y1509" s="157">
        <f ca="1" t="shared" si="255"/>
        <v>102.5</v>
      </c>
      <c r="Z1509" s="304">
        <f ca="1" t="shared" si="248"/>
        <v>34.1666666666667</v>
      </c>
      <c r="AA1509" s="304">
        <f ca="1">OFFSET(卡牌辅助配置表!$AD$1,MATCH(AB1509,卡牌辅助配置表!AB:AB,0)-1,0)</f>
        <v>49459</v>
      </c>
      <c r="AB1509" s="304">
        <f ca="1" t="shared" si="252"/>
        <v>4329</v>
      </c>
      <c r="AC1509" s="153">
        <v>3</v>
      </c>
      <c r="AE1509" s="153">
        <v>2</v>
      </c>
      <c r="AF1509" s="153" t="str">
        <f ca="1" t="shared" si="256"/>
        <v>24040011|</v>
      </c>
      <c r="AJ1509" s="205">
        <f ca="1" t="shared" si="253"/>
        <v>0</v>
      </c>
      <c r="AK1509" s="205">
        <f ca="1">OFFSET([1]item_type!$A$1,MATCH(Q1509,[1]item_type!$G:$G,0)-1,0)</f>
        <v>302404</v>
      </c>
      <c r="AL1509" s="205">
        <v>30</v>
      </c>
      <c r="AM1509" s="205">
        <f ca="1">IF(B1509=B1510,OFFSET(卡牌辅助配置表!$AE$1,MATCH(AB1509,卡牌辅助配置表!AB:AB,0),0),0)</f>
        <v>28600</v>
      </c>
      <c r="AN1509" s="153">
        <f ca="1" t="shared" si="254"/>
        <v>0</v>
      </c>
      <c r="AP1509" s="153" t="str">
        <f ca="1">IF(AC1509=0,0,IF(AC1509=12,0,OFFSET(effect!$N$1,MATCH(K1509,effect!M:M,0)-1,0)))</f>
        <v>kpsx_zise</v>
      </c>
    </row>
    <row r="1510" spans="1:42">
      <c r="A1510" s="153">
        <f ca="1" t="shared" si="250"/>
        <v>2404030</v>
      </c>
      <c r="B1510" s="91" t="s">
        <v>345</v>
      </c>
      <c r="C1510" s="186">
        <v>2</v>
      </c>
      <c r="D1510" s="186">
        <v>1</v>
      </c>
      <c r="E1510" s="165" t="s">
        <v>1058</v>
      </c>
      <c r="F1510" s="179" t="s">
        <v>1064</v>
      </c>
      <c r="G1510" s="186">
        <f ca="1">OFFSET(卡牌辅助配置表!$C$1,MATCH(AC1510,卡牌辅助配置表!A:A,0)-1,0)</f>
        <v>3</v>
      </c>
      <c r="H1510" s="186">
        <f ca="1">OFFSET(skill!$Q$1,MATCH(B1510,skill!B:B,0)-1,0)</f>
        <v>1.5</v>
      </c>
      <c r="I1510" s="186"/>
      <c r="J1510" s="186">
        <f ca="1">OFFSET(card_type!$F$1,MATCH(Q1510,card_type!A:A,0)-1,0)</f>
        <v>4</v>
      </c>
      <c r="K1510" s="243">
        <f ca="1">OFFSET(card_type!$G$1,MATCH(Q1510,card_type!A:A,0)-1,0)</f>
        <v>3</v>
      </c>
      <c r="L1510" s="157">
        <v>3</v>
      </c>
      <c r="M1510" s="157">
        <v>3</v>
      </c>
      <c r="N1510" s="153">
        <f t="shared" si="249"/>
        <v>30</v>
      </c>
      <c r="O1510" s="157"/>
      <c r="P1510" s="157"/>
      <c r="Q1510" s="153">
        <f ca="1">OFFSET(card_type!$A$1,MATCH(card!B1510,card_type!B:B,0)-1,0)</f>
        <v>2404</v>
      </c>
      <c r="R1510" s="153">
        <v>1</v>
      </c>
      <c r="S1510" s="157">
        <f ca="1">ROUND(IF(R1510=0,0,IF(R1510=1,X1510*$S$1,IF(R1510=2,X1510*$S$1*buff的资质计算!$E$2,IF(R1510=3,X1510*$S$1*buff的资质计算!$E$3,0)))),0)*0</f>
        <v>0</v>
      </c>
      <c r="T1510" s="153">
        <v>4</v>
      </c>
      <c r="U1510" s="153">
        <f ca="1" t="shared" si="251"/>
        <v>43</v>
      </c>
      <c r="V1510" s="153">
        <f ca="1">ROUND((OFFSET(卡牌辅助配置表!$O$1,MATCH(U1510,卡牌辅助配置表!M:M,0)-1,0)+(N1510-1)*OFFSET(卡牌辅助配置表!$P$1,MATCH(U1510,卡牌辅助配置表!M:M,0)-1,0))*M1510,2)</f>
        <v>516.84</v>
      </c>
      <c r="W1510" s="157">
        <f ca="1">ROUND(IF(R1510=0,0,IF(R1510=1,X1510*$W$1,IF(R1510=2,X1510*$W$1*buff的资质计算!$E$2,IF(R1510=3,X1510*$W$1*buff的资质计算!$E$3,0)))),2)</f>
        <v>30.45</v>
      </c>
      <c r="X1510" s="157">
        <f ca="1" t="shared" si="247"/>
        <v>101.5</v>
      </c>
      <c r="Y1510" s="157">
        <f ca="1" t="shared" si="255"/>
        <v>103</v>
      </c>
      <c r="Z1510" s="304">
        <f ca="1" t="shared" si="248"/>
        <v>34.3333333333333</v>
      </c>
      <c r="AA1510" s="304">
        <f ca="1">OFFSET(卡牌辅助配置表!$AD$1,MATCH(AB1510,卡牌辅助配置表!AB:AB,0)-1,0)</f>
        <v>51760</v>
      </c>
      <c r="AB1510" s="304">
        <f ca="1" t="shared" si="252"/>
        <v>4330</v>
      </c>
      <c r="AC1510" s="153">
        <v>3</v>
      </c>
      <c r="AE1510" s="153">
        <v>2</v>
      </c>
      <c r="AF1510" s="153" t="str">
        <f ca="1" t="shared" si="256"/>
        <v>24040011|</v>
      </c>
      <c r="AJ1510" s="205">
        <f ca="1" t="shared" si="253"/>
        <v>0</v>
      </c>
      <c r="AK1510" s="205">
        <f ca="1">OFFSET([1]item_type!$A$1,MATCH(Q1510,[1]item_type!$G:$G,0)-1,0)</f>
        <v>302404</v>
      </c>
      <c r="AL1510" s="205"/>
      <c r="AM1510" s="205">
        <f ca="1">IF(B1510=B1511,OFFSET(卡牌辅助配置表!$AE$1,MATCH(AB1510,卡牌辅助配置表!AB:AB,0),0),0)</f>
        <v>0</v>
      </c>
      <c r="AN1510" s="153">
        <f ca="1" t="shared" si="254"/>
        <v>0</v>
      </c>
      <c r="AP1510" s="153" t="str">
        <f ca="1">IF(AC1510=0,0,IF(AC1510=12,0,OFFSET(effect!$N$1,MATCH(K1510,effect!M:M,0)-1,0)))</f>
        <v>kpsx_zise</v>
      </c>
    </row>
    <row r="1511" spans="1:42">
      <c r="A1511" s="153">
        <f ca="1" t="shared" si="250"/>
        <v>2405001</v>
      </c>
      <c r="B1511" s="152" t="s">
        <v>813</v>
      </c>
      <c r="C1511" s="186">
        <v>2</v>
      </c>
      <c r="D1511" s="186">
        <v>1</v>
      </c>
      <c r="E1511" s="165" t="s">
        <v>1058</v>
      </c>
      <c r="F1511" s="179" t="s">
        <v>1065</v>
      </c>
      <c r="G1511" s="186">
        <f ca="1">OFFSET(卡牌辅助配置表!$C$1,MATCH(AC1511,卡牌辅助配置表!A:A,0)-1,0)</f>
        <v>0</v>
      </c>
      <c r="H1511" s="186" t="e">
        <f ca="1">OFFSET(skill!$Q$1,MATCH(B1511,skill!B:B,0)-1,0)</f>
        <v>#VALUE!</v>
      </c>
      <c r="I1511" s="186"/>
      <c r="J1511" s="186">
        <f ca="1">OFFSET(card_type!$F$1,MATCH(Q1511,card_type!A:A,0)-1,0)</f>
        <v>4</v>
      </c>
      <c r="K1511" s="243">
        <f ca="1">OFFSET(card_type!$G$1,MATCH(Q1511,card_type!A:A,0)-1,0)</f>
        <v>4</v>
      </c>
      <c r="L1511" s="157">
        <v>4</v>
      </c>
      <c r="M1511" s="157">
        <v>4</v>
      </c>
      <c r="N1511" s="153">
        <f t="shared" si="249"/>
        <v>1</v>
      </c>
      <c r="O1511" s="157"/>
      <c r="P1511" s="157"/>
      <c r="Q1511" s="153">
        <f ca="1">OFFSET(card_type!$A$1,MATCH(card!B1511,card_type!B:B,0)-1,0)</f>
        <v>2405</v>
      </c>
      <c r="R1511" s="153">
        <v>1</v>
      </c>
      <c r="S1511" s="157">
        <f ca="1">ROUND(IF(R1511=0,0,IF(R1511=1,X1511*$S$1,IF(R1511=2,X1511*$S$1*buff的资质计算!$E$2,IF(R1511=3,X1511*$S$1*buff的资质计算!$E$3,0)))),0)*0</f>
        <v>0</v>
      </c>
      <c r="T1511" s="153">
        <v>3</v>
      </c>
      <c r="U1511" s="153">
        <f ca="1" t="shared" si="251"/>
        <v>44</v>
      </c>
      <c r="V1511" s="153">
        <f ca="1">ROUND((OFFSET(卡牌辅助配置表!$O$1,MATCH(U1511,卡牌辅助配置表!M:M,0)-1,0)+(N1511-1)*OFFSET(卡牌辅助配置表!$P$1,MATCH(U1511,卡牌辅助配置表!M:M,0)-1,0))*M1511,2)</f>
        <v>212.4</v>
      </c>
      <c r="W1511" s="157">
        <f ca="1">ROUND(IF(R1511=0,0,IF(R1511=1,X1511*$W$1,IF(R1511=2,X1511*$W$1*buff的资质计算!$E$2,IF(R1511=3,X1511*$W$1*buff的资质计算!$E$3,0)))),2)</f>
        <v>38.4</v>
      </c>
      <c r="X1511" s="157">
        <f ca="1" t="shared" si="247"/>
        <v>128</v>
      </c>
      <c r="Y1511" s="157" t="e">
        <f ca="1" t="shared" si="255"/>
        <v>#VALUE!</v>
      </c>
      <c r="Z1511" s="304" t="e">
        <f ca="1" t="shared" si="248"/>
        <v>#VALUE!</v>
      </c>
      <c r="AA1511" s="304">
        <f ca="1">OFFSET(卡牌辅助配置表!$AD$1,MATCH(AB1511,卡牌辅助配置表!AB:AB,0)-1,0)</f>
        <v>1917</v>
      </c>
      <c r="AB1511" s="304">
        <f ca="1" t="shared" si="252"/>
        <v>4401</v>
      </c>
      <c r="AC1511" s="153">
        <v>12</v>
      </c>
      <c r="AF1511" s="153" t="str">
        <f ca="1" t="shared" si="256"/>
        <v>24050011|</v>
      </c>
      <c r="AJ1511" s="205">
        <f ca="1" t="shared" si="253"/>
        <v>0</v>
      </c>
      <c r="AK1511" s="205">
        <f ca="1">OFFSET([1]item_type!$A$1,MATCH(Q1511,[1]item_type!$G:$G,0)-1,0)</f>
        <v>302405</v>
      </c>
      <c r="AL1511" s="205"/>
      <c r="AM1511" s="205">
        <f ca="1">IF(B1511=B1512,OFFSET(卡牌辅助配置表!$AE$1,MATCH(AB1511,卡牌辅助配置表!AB:AB,0),0),0)</f>
        <v>2100</v>
      </c>
      <c r="AN1511" s="153">
        <f ca="1" t="shared" ref="AN1511:AN1540" si="257">IF(B1511=B1391,A1511+1,0)</f>
        <v>0</v>
      </c>
      <c r="AP1511" s="153">
        <f ca="1">IF(AC1511=0,0,IF(AC1511=12,0,OFFSET(effect!$N$1,MATCH(K1511,effect!M:M,0)-1,0)))</f>
        <v>0</v>
      </c>
    </row>
    <row r="1512" spans="1:42">
      <c r="A1512" s="153">
        <f ca="1" t="shared" si="250"/>
        <v>2405002</v>
      </c>
      <c r="B1512" s="91" t="s">
        <v>813</v>
      </c>
      <c r="C1512" s="186">
        <v>2</v>
      </c>
      <c r="D1512" s="186">
        <v>1</v>
      </c>
      <c r="E1512" s="165" t="s">
        <v>1058</v>
      </c>
      <c r="F1512" s="179" t="s">
        <v>1065</v>
      </c>
      <c r="G1512" s="186">
        <f ca="1">OFFSET(卡牌辅助配置表!$C$1,MATCH(AC1512,卡牌辅助配置表!A:A,0)-1,0)</f>
        <v>0</v>
      </c>
      <c r="H1512" s="186" t="e">
        <f ca="1">OFFSET(skill!$Q$1,MATCH(B1512,skill!B:B,0)-1,0)</f>
        <v>#VALUE!</v>
      </c>
      <c r="I1512" s="186"/>
      <c r="J1512" s="186">
        <f ca="1">OFFSET(card_type!$F$1,MATCH(Q1512,card_type!A:A,0)-1,0)</f>
        <v>4</v>
      </c>
      <c r="K1512" s="243">
        <f ca="1">OFFSET(card_type!$G$1,MATCH(Q1512,card_type!A:A,0)-1,0)</f>
        <v>4</v>
      </c>
      <c r="L1512" s="157">
        <v>4</v>
      </c>
      <c r="M1512" s="157">
        <v>4</v>
      </c>
      <c r="N1512" s="153">
        <f t="shared" si="249"/>
        <v>2</v>
      </c>
      <c r="O1512" s="157"/>
      <c r="P1512" s="157"/>
      <c r="Q1512" s="153">
        <f ca="1">OFFSET(card_type!$A$1,MATCH(card!B1512,card_type!B:B,0)-1,0)</f>
        <v>2405</v>
      </c>
      <c r="R1512" s="153">
        <v>1</v>
      </c>
      <c r="S1512" s="157">
        <f ca="1">ROUND(IF(R1512=0,0,IF(R1512=1,X1512*$S$1,IF(R1512=2,X1512*$S$1*buff的资质计算!$E$2,IF(R1512=3,X1512*$S$1*buff的资质计算!$E$3,0)))),0)*0</f>
        <v>0</v>
      </c>
      <c r="T1512" s="153">
        <v>3</v>
      </c>
      <c r="U1512" s="153">
        <f ca="1" t="shared" si="251"/>
        <v>44</v>
      </c>
      <c r="V1512" s="153">
        <f ca="1">ROUND((OFFSET(卡牌辅助配置表!$O$1,MATCH(U1512,卡牌辅助配置表!M:M,0)-1,0)+(N1512-1)*OFFSET(卡牌辅助配置表!$P$1,MATCH(U1512,卡牌辅助配置表!M:M,0)-1,0))*M1512,2)</f>
        <v>240.72</v>
      </c>
      <c r="W1512" s="157">
        <f ca="1">ROUND(IF(R1512=0,0,IF(R1512=1,X1512*$W$1,IF(R1512=2,X1512*$W$1*buff的资质计算!$E$2,IF(R1512=3,X1512*$W$1*buff的资质计算!$E$3,0)))),2)</f>
        <v>38.55</v>
      </c>
      <c r="X1512" s="157">
        <f ca="1" t="shared" si="247"/>
        <v>128.5</v>
      </c>
      <c r="Y1512" s="157" t="e">
        <f ca="1" t="shared" si="255"/>
        <v>#VALUE!</v>
      </c>
      <c r="Z1512" s="304" t="e">
        <f ca="1" t="shared" si="248"/>
        <v>#VALUE!</v>
      </c>
      <c r="AA1512" s="304">
        <f ca="1">OFFSET(卡牌辅助配置表!$AD$1,MATCH(AB1512,卡牌辅助配置表!AB:AB,0)-1,0)</f>
        <v>3834</v>
      </c>
      <c r="AB1512" s="304">
        <f ca="1" t="shared" si="252"/>
        <v>4402</v>
      </c>
      <c r="AC1512" s="153">
        <v>12</v>
      </c>
      <c r="AF1512" s="153" t="str">
        <f ca="1" t="shared" si="256"/>
        <v>24050011|</v>
      </c>
      <c r="AJ1512" s="205">
        <f ca="1" t="shared" si="253"/>
        <v>0</v>
      </c>
      <c r="AK1512" s="205">
        <f ca="1">OFFSET([1]item_type!$A$1,MATCH(Q1512,[1]item_type!$G:$G,0)-1,0)</f>
        <v>302405</v>
      </c>
      <c r="AL1512" s="205"/>
      <c r="AM1512" s="205">
        <f ca="1">IF(B1512=B1513,OFFSET(卡牌辅助配置表!$AE$1,MATCH(AB1512,卡牌辅助配置表!AB:AB,0),0),0)</f>
        <v>2700</v>
      </c>
      <c r="AN1512" s="153">
        <f ca="1" t="shared" si="257"/>
        <v>0</v>
      </c>
      <c r="AP1512" s="153">
        <f ca="1">IF(AC1512=0,0,IF(AC1512=12,0,OFFSET(effect!$N$1,MATCH(K1512,effect!M:M,0)-1,0)))</f>
        <v>0</v>
      </c>
    </row>
    <row r="1513" spans="1:42">
      <c r="A1513" s="153">
        <f ca="1" t="shared" si="250"/>
        <v>2405003</v>
      </c>
      <c r="B1513" s="91" t="s">
        <v>813</v>
      </c>
      <c r="C1513" s="186">
        <v>2</v>
      </c>
      <c r="D1513" s="186">
        <v>1</v>
      </c>
      <c r="E1513" s="165" t="s">
        <v>1058</v>
      </c>
      <c r="F1513" s="179" t="s">
        <v>1065</v>
      </c>
      <c r="G1513" s="186">
        <f ca="1">OFFSET(卡牌辅助配置表!$C$1,MATCH(AC1513,卡牌辅助配置表!A:A,0)-1,0)</f>
        <v>0</v>
      </c>
      <c r="H1513" s="186" t="e">
        <f ca="1">OFFSET(skill!$Q$1,MATCH(B1513,skill!B:B,0)-1,0)</f>
        <v>#VALUE!</v>
      </c>
      <c r="I1513" s="186"/>
      <c r="J1513" s="186">
        <f ca="1">OFFSET(card_type!$F$1,MATCH(Q1513,card_type!A:A,0)-1,0)</f>
        <v>4</v>
      </c>
      <c r="K1513" s="243">
        <f ca="1">OFFSET(card_type!$G$1,MATCH(Q1513,card_type!A:A,0)-1,0)</f>
        <v>4</v>
      </c>
      <c r="L1513" s="157">
        <v>4</v>
      </c>
      <c r="M1513" s="157">
        <v>4</v>
      </c>
      <c r="N1513" s="153">
        <f t="shared" si="249"/>
        <v>3</v>
      </c>
      <c r="O1513" s="157"/>
      <c r="P1513" s="157"/>
      <c r="Q1513" s="153">
        <f ca="1">OFFSET(card_type!$A$1,MATCH(card!B1513,card_type!B:B,0)-1,0)</f>
        <v>2405</v>
      </c>
      <c r="R1513" s="153">
        <v>1</v>
      </c>
      <c r="S1513" s="157">
        <f ca="1">ROUND(IF(R1513=0,0,IF(R1513=1,X1513*$S$1,IF(R1513=2,X1513*$S$1*buff的资质计算!$E$2,IF(R1513=3,X1513*$S$1*buff的资质计算!$E$3,0)))),0)*0</f>
        <v>0</v>
      </c>
      <c r="T1513" s="153">
        <v>3</v>
      </c>
      <c r="U1513" s="153">
        <f ca="1" t="shared" si="251"/>
        <v>44</v>
      </c>
      <c r="V1513" s="153">
        <f ca="1">ROUND((OFFSET(卡牌辅助配置表!$O$1,MATCH(U1513,卡牌辅助配置表!M:M,0)-1,0)+(N1513-1)*OFFSET(卡牌辅助配置表!$P$1,MATCH(U1513,卡牌辅助配置表!M:M,0)-1,0))*M1513,2)</f>
        <v>269.04</v>
      </c>
      <c r="W1513" s="157">
        <f ca="1">ROUND(IF(R1513=0,0,IF(R1513=1,X1513*$W$1,IF(R1513=2,X1513*$W$1*buff的资质计算!$E$2,IF(R1513=3,X1513*$W$1*buff的资质计算!$E$3,0)))),2)</f>
        <v>38.7</v>
      </c>
      <c r="X1513" s="157">
        <f ca="1" t="shared" si="247"/>
        <v>129</v>
      </c>
      <c r="Y1513" s="157" t="e">
        <f ca="1" t="shared" si="255"/>
        <v>#VALUE!</v>
      </c>
      <c r="Z1513" s="304" t="e">
        <f ca="1" t="shared" si="248"/>
        <v>#VALUE!</v>
      </c>
      <c r="AA1513" s="304">
        <f ca="1">OFFSET(卡牌辅助配置表!$AD$1,MATCH(AB1513,卡牌辅助配置表!AB:AB,0)-1,0)</f>
        <v>5751</v>
      </c>
      <c r="AB1513" s="304">
        <f ca="1" t="shared" si="252"/>
        <v>4403</v>
      </c>
      <c r="AC1513" s="153">
        <v>12</v>
      </c>
      <c r="AF1513" s="153" t="str">
        <f ca="1" t="shared" si="256"/>
        <v>24050011|</v>
      </c>
      <c r="AJ1513" s="205">
        <f ca="1" t="shared" si="253"/>
        <v>0</v>
      </c>
      <c r="AK1513" s="205">
        <f ca="1">OFFSET([1]item_type!$A$1,MATCH(Q1513,[1]item_type!$G:$G,0)-1,0)</f>
        <v>302405</v>
      </c>
      <c r="AL1513" s="205"/>
      <c r="AM1513" s="205">
        <f ca="1">IF(B1513=B1514,OFFSET(卡牌辅助配置表!$AE$1,MATCH(AB1513,卡牌辅助配置表!AB:AB,0),0),0)</f>
        <v>3300</v>
      </c>
      <c r="AN1513" s="153">
        <f ca="1" t="shared" si="257"/>
        <v>0</v>
      </c>
      <c r="AP1513" s="153">
        <f ca="1">IF(AC1513=0,0,IF(AC1513=12,0,OFFSET(effect!$N$1,MATCH(K1513,effect!M:M,0)-1,0)))</f>
        <v>0</v>
      </c>
    </row>
    <row r="1514" spans="1:42">
      <c r="A1514" s="153">
        <f ca="1" t="shared" si="250"/>
        <v>2405004</v>
      </c>
      <c r="B1514" s="91" t="s">
        <v>813</v>
      </c>
      <c r="C1514" s="186">
        <v>2</v>
      </c>
      <c r="D1514" s="186">
        <v>1</v>
      </c>
      <c r="E1514" s="165" t="s">
        <v>1058</v>
      </c>
      <c r="F1514" s="179" t="s">
        <v>1065</v>
      </c>
      <c r="G1514" s="186">
        <f ca="1">OFFSET(卡牌辅助配置表!$C$1,MATCH(AC1514,卡牌辅助配置表!A:A,0)-1,0)</f>
        <v>0</v>
      </c>
      <c r="H1514" s="186" t="e">
        <f ca="1">OFFSET(skill!$Q$1,MATCH(B1514,skill!B:B,0)-1,0)</f>
        <v>#VALUE!</v>
      </c>
      <c r="I1514" s="186"/>
      <c r="J1514" s="186">
        <f ca="1">OFFSET(card_type!$F$1,MATCH(Q1514,card_type!A:A,0)-1,0)</f>
        <v>4</v>
      </c>
      <c r="K1514" s="243">
        <f ca="1">OFFSET(card_type!$G$1,MATCH(Q1514,card_type!A:A,0)-1,0)</f>
        <v>4</v>
      </c>
      <c r="L1514" s="157">
        <v>4</v>
      </c>
      <c r="M1514" s="157">
        <v>4</v>
      </c>
      <c r="N1514" s="153">
        <f t="shared" si="249"/>
        <v>4</v>
      </c>
      <c r="O1514" s="157"/>
      <c r="P1514" s="157"/>
      <c r="Q1514" s="153">
        <f ca="1">OFFSET(card_type!$A$1,MATCH(card!B1514,card_type!B:B,0)-1,0)</f>
        <v>2405</v>
      </c>
      <c r="R1514" s="153">
        <v>1</v>
      </c>
      <c r="S1514" s="157">
        <f ca="1">ROUND(IF(R1514=0,0,IF(R1514=1,X1514*$S$1,IF(R1514=2,X1514*$S$1*buff的资质计算!$E$2,IF(R1514=3,X1514*$S$1*buff的资质计算!$E$3,0)))),0)*0</f>
        <v>0</v>
      </c>
      <c r="T1514" s="153">
        <v>3</v>
      </c>
      <c r="U1514" s="153">
        <f ca="1" t="shared" si="251"/>
        <v>44</v>
      </c>
      <c r="V1514" s="153">
        <f ca="1">ROUND((OFFSET(卡牌辅助配置表!$O$1,MATCH(U1514,卡牌辅助配置表!M:M,0)-1,0)+(N1514-1)*OFFSET(卡牌辅助配置表!$P$1,MATCH(U1514,卡牌辅助配置表!M:M,0)-1,0))*M1514,2)</f>
        <v>297.36</v>
      </c>
      <c r="W1514" s="157">
        <f ca="1">ROUND(IF(R1514=0,0,IF(R1514=1,X1514*$W$1,IF(R1514=2,X1514*$W$1*buff的资质计算!$E$2,IF(R1514=3,X1514*$W$1*buff的资质计算!$E$3,0)))),2)</f>
        <v>38.85</v>
      </c>
      <c r="X1514" s="157">
        <f ca="1" t="shared" si="247"/>
        <v>129.5</v>
      </c>
      <c r="Y1514" s="157" t="e">
        <f ca="1" t="shared" si="255"/>
        <v>#VALUE!</v>
      </c>
      <c r="Z1514" s="304" t="e">
        <f ca="1" t="shared" si="248"/>
        <v>#VALUE!</v>
      </c>
      <c r="AA1514" s="304">
        <f ca="1">OFFSET(卡牌辅助配置表!$AD$1,MATCH(AB1514,卡牌辅助配置表!AB:AB,0)-1,0)</f>
        <v>7668</v>
      </c>
      <c r="AB1514" s="304">
        <f ca="1" t="shared" si="252"/>
        <v>4404</v>
      </c>
      <c r="AC1514" s="153">
        <v>12</v>
      </c>
      <c r="AF1514" s="153" t="str">
        <f ca="1" t="shared" si="256"/>
        <v>24050011|</v>
      </c>
      <c r="AJ1514" s="205">
        <f ca="1" t="shared" si="253"/>
        <v>0</v>
      </c>
      <c r="AK1514" s="205">
        <f ca="1">OFFSET([1]item_type!$A$1,MATCH(Q1514,[1]item_type!$G:$G,0)-1,0)</f>
        <v>302405</v>
      </c>
      <c r="AL1514" s="205"/>
      <c r="AM1514" s="205">
        <f ca="1">IF(B1514=B1515,OFFSET(卡牌辅助配置表!$AE$1,MATCH(AB1514,卡牌辅助配置表!AB:AB,0),0),0)</f>
        <v>3900</v>
      </c>
      <c r="AN1514" s="153">
        <f ca="1" t="shared" si="257"/>
        <v>0</v>
      </c>
      <c r="AP1514" s="153">
        <f ca="1">IF(AC1514=0,0,IF(AC1514=12,0,OFFSET(effect!$N$1,MATCH(K1514,effect!M:M,0)-1,0)))</f>
        <v>0</v>
      </c>
    </row>
    <row r="1515" spans="1:42">
      <c r="A1515" s="153">
        <f ca="1" t="shared" si="250"/>
        <v>2405005</v>
      </c>
      <c r="B1515" s="91" t="s">
        <v>813</v>
      </c>
      <c r="C1515" s="186">
        <v>2</v>
      </c>
      <c r="D1515" s="186">
        <v>1</v>
      </c>
      <c r="E1515" s="165" t="s">
        <v>1058</v>
      </c>
      <c r="F1515" s="179" t="s">
        <v>1065</v>
      </c>
      <c r="G1515" s="186">
        <f ca="1">OFFSET(卡牌辅助配置表!$C$1,MATCH(AC1515,卡牌辅助配置表!A:A,0)-1,0)</f>
        <v>0</v>
      </c>
      <c r="H1515" s="186" t="e">
        <f ca="1">OFFSET(skill!$Q$1,MATCH(B1515,skill!B:B,0)-1,0)</f>
        <v>#VALUE!</v>
      </c>
      <c r="I1515" s="186"/>
      <c r="J1515" s="186">
        <f ca="1">OFFSET(card_type!$F$1,MATCH(Q1515,card_type!A:A,0)-1,0)</f>
        <v>4</v>
      </c>
      <c r="K1515" s="243">
        <f ca="1">OFFSET(card_type!$G$1,MATCH(Q1515,card_type!A:A,0)-1,0)</f>
        <v>4</v>
      </c>
      <c r="L1515" s="157">
        <v>4</v>
      </c>
      <c r="M1515" s="157">
        <v>4</v>
      </c>
      <c r="N1515" s="153">
        <f t="shared" si="249"/>
        <v>5</v>
      </c>
      <c r="O1515" s="157"/>
      <c r="P1515" s="157"/>
      <c r="Q1515" s="153">
        <f ca="1">OFFSET(card_type!$A$1,MATCH(card!B1515,card_type!B:B,0)-1,0)</f>
        <v>2405</v>
      </c>
      <c r="R1515" s="153">
        <v>1</v>
      </c>
      <c r="S1515" s="157">
        <f ca="1">ROUND(IF(R1515=0,0,IF(R1515=1,X1515*$S$1,IF(R1515=2,X1515*$S$1*buff的资质计算!$E$2,IF(R1515=3,X1515*$S$1*buff的资质计算!$E$3,0)))),0)*0</f>
        <v>0</v>
      </c>
      <c r="T1515" s="153">
        <v>3</v>
      </c>
      <c r="U1515" s="153">
        <f ca="1" t="shared" si="251"/>
        <v>44</v>
      </c>
      <c r="V1515" s="153">
        <f ca="1">ROUND((OFFSET(卡牌辅助配置表!$O$1,MATCH(U1515,卡牌辅助配置表!M:M,0)-1,0)+(N1515-1)*OFFSET(卡牌辅助配置表!$P$1,MATCH(U1515,卡牌辅助配置表!M:M,0)-1,0))*M1515,2)</f>
        <v>325.68</v>
      </c>
      <c r="W1515" s="157">
        <f ca="1">ROUND(IF(R1515=0,0,IF(R1515=1,X1515*$W$1,IF(R1515=2,X1515*$W$1*buff的资质计算!$E$2,IF(R1515=3,X1515*$W$1*buff的资质计算!$E$3,0)))),2)</f>
        <v>39</v>
      </c>
      <c r="X1515" s="157">
        <f ca="1" t="shared" si="247"/>
        <v>130</v>
      </c>
      <c r="Y1515" s="157" t="e">
        <f ca="1" t="shared" si="255"/>
        <v>#VALUE!</v>
      </c>
      <c r="Z1515" s="304" t="e">
        <f ca="1" t="shared" si="248"/>
        <v>#VALUE!</v>
      </c>
      <c r="AA1515" s="304">
        <f ca="1">OFFSET(卡牌辅助配置表!$AD$1,MATCH(AB1515,卡牌辅助配置表!AB:AB,0)-1,0)</f>
        <v>9585</v>
      </c>
      <c r="AB1515" s="304">
        <f ca="1" t="shared" si="252"/>
        <v>4405</v>
      </c>
      <c r="AC1515" s="153">
        <v>12</v>
      </c>
      <c r="AF1515" s="153" t="str">
        <f ca="1" t="shared" si="256"/>
        <v>24050011|</v>
      </c>
      <c r="AJ1515" s="205">
        <f ca="1" t="shared" si="253"/>
        <v>0</v>
      </c>
      <c r="AK1515" s="205">
        <f ca="1">OFFSET([1]item_type!$A$1,MATCH(Q1515,[1]item_type!$G:$G,0)-1,0)</f>
        <v>302405</v>
      </c>
      <c r="AL1515" s="205"/>
      <c r="AM1515" s="205">
        <f ca="1">IF(B1515=B1516,OFFSET(卡牌辅助配置表!$AE$1,MATCH(AB1515,卡牌辅助配置表!AB:AB,0),0),0)</f>
        <v>4500</v>
      </c>
      <c r="AN1515" s="153">
        <f ca="1" t="shared" si="257"/>
        <v>0</v>
      </c>
      <c r="AP1515" s="153">
        <f ca="1">IF(AC1515=0,0,IF(AC1515=12,0,OFFSET(effect!$N$1,MATCH(K1515,effect!M:M,0)-1,0)))</f>
        <v>0</v>
      </c>
    </row>
    <row r="1516" spans="1:42">
      <c r="A1516" s="153">
        <f ca="1" t="shared" si="250"/>
        <v>2405006</v>
      </c>
      <c r="B1516" s="91" t="s">
        <v>813</v>
      </c>
      <c r="C1516" s="186">
        <v>2</v>
      </c>
      <c r="D1516" s="186">
        <v>1</v>
      </c>
      <c r="E1516" s="165" t="s">
        <v>1058</v>
      </c>
      <c r="F1516" s="179" t="s">
        <v>1065</v>
      </c>
      <c r="G1516" s="186">
        <f ca="1">OFFSET(卡牌辅助配置表!$C$1,MATCH(AC1516,卡牌辅助配置表!A:A,0)-1,0)</f>
        <v>0</v>
      </c>
      <c r="H1516" s="186" t="e">
        <f ca="1">OFFSET(skill!$Q$1,MATCH(B1516,skill!B:B,0)-1,0)</f>
        <v>#VALUE!</v>
      </c>
      <c r="I1516" s="186"/>
      <c r="J1516" s="186">
        <f ca="1">OFFSET(card_type!$F$1,MATCH(Q1516,card_type!A:A,0)-1,0)</f>
        <v>4</v>
      </c>
      <c r="K1516" s="243">
        <f ca="1">OFFSET(card_type!$G$1,MATCH(Q1516,card_type!A:A,0)-1,0)</f>
        <v>4</v>
      </c>
      <c r="L1516" s="157">
        <v>4</v>
      </c>
      <c r="M1516" s="157">
        <v>4</v>
      </c>
      <c r="N1516" s="153">
        <f t="shared" si="249"/>
        <v>6</v>
      </c>
      <c r="O1516" s="157"/>
      <c r="P1516" s="157"/>
      <c r="Q1516" s="153">
        <f ca="1">OFFSET(card_type!$A$1,MATCH(card!B1516,card_type!B:B,0)-1,0)</f>
        <v>2405</v>
      </c>
      <c r="R1516" s="153">
        <v>1</v>
      </c>
      <c r="S1516" s="157">
        <f ca="1">ROUND(IF(R1516=0,0,IF(R1516=1,X1516*$S$1,IF(R1516=2,X1516*$S$1*buff的资质计算!$E$2,IF(R1516=3,X1516*$S$1*buff的资质计算!$E$3,0)))),0)*0</f>
        <v>0</v>
      </c>
      <c r="T1516" s="153">
        <v>3</v>
      </c>
      <c r="U1516" s="153">
        <f ca="1" t="shared" si="251"/>
        <v>44</v>
      </c>
      <c r="V1516" s="153">
        <f ca="1">ROUND((OFFSET(卡牌辅助配置表!$O$1,MATCH(U1516,卡牌辅助配置表!M:M,0)-1,0)+(N1516-1)*OFFSET(卡牌辅助配置表!$P$1,MATCH(U1516,卡牌辅助配置表!M:M,0)-1,0))*M1516,2)</f>
        <v>354</v>
      </c>
      <c r="W1516" s="157">
        <f ca="1">ROUND(IF(R1516=0,0,IF(R1516=1,X1516*$W$1,IF(R1516=2,X1516*$W$1*buff的资质计算!$E$2,IF(R1516=3,X1516*$W$1*buff的资质计算!$E$3,0)))),2)</f>
        <v>39.15</v>
      </c>
      <c r="X1516" s="157">
        <f ca="1" t="shared" si="247"/>
        <v>130.5</v>
      </c>
      <c r="Y1516" s="157" t="e">
        <f ca="1" t="shared" si="255"/>
        <v>#VALUE!</v>
      </c>
      <c r="Z1516" s="304" t="e">
        <f ca="1" t="shared" si="248"/>
        <v>#VALUE!</v>
      </c>
      <c r="AA1516" s="304">
        <f ca="1">OFFSET(卡牌辅助配置表!$AD$1,MATCH(AB1516,卡牌辅助配置表!AB:AB,0)-1,0)</f>
        <v>11502</v>
      </c>
      <c r="AB1516" s="304">
        <f ca="1" t="shared" si="252"/>
        <v>4406</v>
      </c>
      <c r="AC1516" s="153">
        <v>12</v>
      </c>
      <c r="AF1516" s="153" t="str">
        <f ca="1" t="shared" si="256"/>
        <v>24050011|</v>
      </c>
      <c r="AJ1516" s="205">
        <f ca="1" t="shared" si="253"/>
        <v>0</v>
      </c>
      <c r="AK1516" s="205">
        <f ca="1">OFFSET([1]item_type!$A$1,MATCH(Q1516,[1]item_type!$G:$G,0)-1,0)</f>
        <v>302405</v>
      </c>
      <c r="AL1516" s="205"/>
      <c r="AM1516" s="205">
        <f ca="1">IF(B1516=B1517,OFFSET(卡牌辅助配置表!$AE$1,MATCH(AB1516,卡牌辅助配置表!AB:AB,0),0),0)</f>
        <v>5100</v>
      </c>
      <c r="AN1516" s="153">
        <f ca="1" t="shared" si="257"/>
        <v>0</v>
      </c>
      <c r="AP1516" s="153">
        <f ca="1">IF(AC1516=0,0,IF(AC1516=12,0,OFFSET(effect!$N$1,MATCH(K1516,effect!M:M,0)-1,0)))</f>
        <v>0</v>
      </c>
    </row>
    <row r="1517" spans="1:42">
      <c r="A1517" s="153">
        <f ca="1" t="shared" si="250"/>
        <v>2405007</v>
      </c>
      <c r="B1517" s="91" t="s">
        <v>813</v>
      </c>
      <c r="C1517" s="186">
        <v>2</v>
      </c>
      <c r="D1517" s="186">
        <v>1</v>
      </c>
      <c r="E1517" s="165" t="s">
        <v>1058</v>
      </c>
      <c r="F1517" s="179" t="s">
        <v>1065</v>
      </c>
      <c r="G1517" s="186">
        <f ca="1">OFFSET(卡牌辅助配置表!$C$1,MATCH(AC1517,卡牌辅助配置表!A:A,0)-1,0)</f>
        <v>0</v>
      </c>
      <c r="H1517" s="186" t="e">
        <f ca="1">OFFSET(skill!$Q$1,MATCH(B1517,skill!B:B,0)-1,0)</f>
        <v>#VALUE!</v>
      </c>
      <c r="I1517" s="186"/>
      <c r="J1517" s="186">
        <f ca="1">OFFSET(card_type!$F$1,MATCH(Q1517,card_type!A:A,0)-1,0)</f>
        <v>4</v>
      </c>
      <c r="K1517" s="243">
        <f ca="1">OFFSET(card_type!$G$1,MATCH(Q1517,card_type!A:A,0)-1,0)</f>
        <v>4</v>
      </c>
      <c r="L1517" s="157">
        <v>4</v>
      </c>
      <c r="M1517" s="157">
        <v>4</v>
      </c>
      <c r="N1517" s="153">
        <f t="shared" si="249"/>
        <v>7</v>
      </c>
      <c r="O1517" s="157"/>
      <c r="P1517" s="157"/>
      <c r="Q1517" s="153">
        <f ca="1">OFFSET(card_type!$A$1,MATCH(card!B1517,card_type!B:B,0)-1,0)</f>
        <v>2405</v>
      </c>
      <c r="R1517" s="153">
        <v>1</v>
      </c>
      <c r="S1517" s="157">
        <f ca="1">ROUND(IF(R1517=0,0,IF(R1517=1,X1517*$S$1,IF(R1517=2,X1517*$S$1*buff的资质计算!$E$2,IF(R1517=3,X1517*$S$1*buff的资质计算!$E$3,0)))),0)*0</f>
        <v>0</v>
      </c>
      <c r="T1517" s="153">
        <v>3</v>
      </c>
      <c r="U1517" s="153">
        <f ca="1" t="shared" si="251"/>
        <v>44</v>
      </c>
      <c r="V1517" s="153">
        <f ca="1">ROUND((OFFSET(卡牌辅助配置表!$O$1,MATCH(U1517,卡牌辅助配置表!M:M,0)-1,0)+(N1517-1)*OFFSET(卡牌辅助配置表!$P$1,MATCH(U1517,卡牌辅助配置表!M:M,0)-1,0))*M1517,2)</f>
        <v>382.32</v>
      </c>
      <c r="W1517" s="157">
        <f ca="1">ROUND(IF(R1517=0,0,IF(R1517=1,X1517*$W$1,IF(R1517=2,X1517*$W$1*buff的资质计算!$E$2,IF(R1517=3,X1517*$W$1*buff的资质计算!$E$3,0)))),2)</f>
        <v>39.3</v>
      </c>
      <c r="X1517" s="157">
        <f ca="1" t="shared" si="247"/>
        <v>131</v>
      </c>
      <c r="Y1517" s="157" t="e">
        <f ca="1" t="shared" si="255"/>
        <v>#VALUE!</v>
      </c>
      <c r="Z1517" s="304" t="e">
        <f ca="1" t="shared" si="248"/>
        <v>#VALUE!</v>
      </c>
      <c r="AA1517" s="304">
        <f ca="1">OFFSET(卡牌辅助配置表!$AD$1,MATCH(AB1517,卡牌辅助配置表!AB:AB,0)-1,0)</f>
        <v>13419</v>
      </c>
      <c r="AB1517" s="304">
        <f ca="1" t="shared" si="252"/>
        <v>4407</v>
      </c>
      <c r="AC1517" s="153">
        <v>12</v>
      </c>
      <c r="AF1517" s="153" t="str">
        <f ca="1" t="shared" si="256"/>
        <v>24050011|</v>
      </c>
      <c r="AJ1517" s="205">
        <f ca="1" t="shared" si="253"/>
        <v>0</v>
      </c>
      <c r="AK1517" s="205">
        <f ca="1">OFFSET([1]item_type!$A$1,MATCH(Q1517,[1]item_type!$G:$G,0)-1,0)</f>
        <v>302405</v>
      </c>
      <c r="AL1517" s="205"/>
      <c r="AM1517" s="205">
        <f ca="1">IF(B1517=B1518,OFFSET(卡牌辅助配置表!$AE$1,MATCH(AB1517,卡牌辅助配置表!AB:AB,0),0),0)</f>
        <v>5700</v>
      </c>
      <c r="AN1517" s="153">
        <f ca="1" t="shared" si="257"/>
        <v>0</v>
      </c>
      <c r="AP1517" s="153">
        <f ca="1">IF(AC1517=0,0,IF(AC1517=12,0,OFFSET(effect!$N$1,MATCH(K1517,effect!M:M,0)-1,0)))</f>
        <v>0</v>
      </c>
    </row>
    <row r="1518" spans="1:42">
      <c r="A1518" s="153">
        <f ca="1" t="shared" si="250"/>
        <v>2405008</v>
      </c>
      <c r="B1518" s="91" t="s">
        <v>813</v>
      </c>
      <c r="C1518" s="186">
        <v>2</v>
      </c>
      <c r="D1518" s="186">
        <v>1</v>
      </c>
      <c r="E1518" s="165" t="s">
        <v>1058</v>
      </c>
      <c r="F1518" s="179" t="s">
        <v>1065</v>
      </c>
      <c r="G1518" s="186">
        <f ca="1">OFFSET(卡牌辅助配置表!$C$1,MATCH(AC1518,卡牌辅助配置表!A:A,0)-1,0)</f>
        <v>0</v>
      </c>
      <c r="H1518" s="186" t="e">
        <f ca="1">OFFSET(skill!$Q$1,MATCH(B1518,skill!B:B,0)-1,0)</f>
        <v>#VALUE!</v>
      </c>
      <c r="I1518" s="186"/>
      <c r="J1518" s="186">
        <f ca="1">OFFSET(card_type!$F$1,MATCH(Q1518,card_type!A:A,0)-1,0)</f>
        <v>4</v>
      </c>
      <c r="K1518" s="243">
        <f ca="1">OFFSET(card_type!$G$1,MATCH(Q1518,card_type!A:A,0)-1,0)</f>
        <v>4</v>
      </c>
      <c r="L1518" s="157">
        <v>4</v>
      </c>
      <c r="M1518" s="157">
        <v>4</v>
      </c>
      <c r="N1518" s="153">
        <f t="shared" si="249"/>
        <v>8</v>
      </c>
      <c r="O1518" s="157"/>
      <c r="P1518" s="157"/>
      <c r="Q1518" s="153">
        <f ca="1">OFFSET(card_type!$A$1,MATCH(card!B1518,card_type!B:B,0)-1,0)</f>
        <v>2405</v>
      </c>
      <c r="R1518" s="153">
        <v>1</v>
      </c>
      <c r="S1518" s="157">
        <f ca="1">ROUND(IF(R1518=0,0,IF(R1518=1,X1518*$S$1,IF(R1518=2,X1518*$S$1*buff的资质计算!$E$2,IF(R1518=3,X1518*$S$1*buff的资质计算!$E$3,0)))),0)*0</f>
        <v>0</v>
      </c>
      <c r="T1518" s="153">
        <v>3</v>
      </c>
      <c r="U1518" s="153">
        <f ca="1" t="shared" si="251"/>
        <v>44</v>
      </c>
      <c r="V1518" s="153">
        <f ca="1">ROUND((OFFSET(卡牌辅助配置表!$O$1,MATCH(U1518,卡牌辅助配置表!M:M,0)-1,0)+(N1518-1)*OFFSET(卡牌辅助配置表!$P$1,MATCH(U1518,卡牌辅助配置表!M:M,0)-1,0))*M1518,2)</f>
        <v>410.64</v>
      </c>
      <c r="W1518" s="157">
        <f ca="1">ROUND(IF(R1518=0,0,IF(R1518=1,X1518*$W$1,IF(R1518=2,X1518*$W$1*buff的资质计算!$E$2,IF(R1518=3,X1518*$W$1*buff的资质计算!$E$3,0)))),2)</f>
        <v>39.45</v>
      </c>
      <c r="X1518" s="157">
        <f ca="1" t="shared" si="247"/>
        <v>131.5</v>
      </c>
      <c r="Y1518" s="157" t="e">
        <f ca="1" t="shared" si="255"/>
        <v>#VALUE!</v>
      </c>
      <c r="Z1518" s="304" t="e">
        <f ca="1" t="shared" si="248"/>
        <v>#VALUE!</v>
      </c>
      <c r="AA1518" s="304">
        <f ca="1">OFFSET(卡牌辅助配置表!$AD$1,MATCH(AB1518,卡牌辅助配置表!AB:AB,0)-1,0)</f>
        <v>15336</v>
      </c>
      <c r="AB1518" s="304">
        <f ca="1" t="shared" si="252"/>
        <v>4408</v>
      </c>
      <c r="AC1518" s="153">
        <v>12</v>
      </c>
      <c r="AF1518" s="153" t="str">
        <f ca="1" t="shared" si="256"/>
        <v>24050011|</v>
      </c>
      <c r="AJ1518" s="205">
        <f ca="1" t="shared" si="253"/>
        <v>0</v>
      </c>
      <c r="AK1518" s="205">
        <f ca="1">OFFSET([1]item_type!$A$1,MATCH(Q1518,[1]item_type!$G:$G,0)-1,0)</f>
        <v>302405</v>
      </c>
      <c r="AL1518" s="205"/>
      <c r="AM1518" s="205">
        <f ca="1">IF(B1518=B1519,OFFSET(卡牌辅助配置表!$AE$1,MATCH(AB1518,卡牌辅助配置表!AB:AB,0),0),0)</f>
        <v>6300</v>
      </c>
      <c r="AN1518" s="153">
        <f ca="1" t="shared" si="257"/>
        <v>0</v>
      </c>
      <c r="AP1518" s="153">
        <f ca="1">IF(AC1518=0,0,IF(AC1518=12,0,OFFSET(effect!$N$1,MATCH(K1518,effect!M:M,0)-1,0)))</f>
        <v>0</v>
      </c>
    </row>
    <row r="1519" spans="1:42">
      <c r="A1519" s="153">
        <f ca="1" t="shared" si="250"/>
        <v>2405009</v>
      </c>
      <c r="B1519" s="91" t="s">
        <v>813</v>
      </c>
      <c r="C1519" s="186">
        <v>2</v>
      </c>
      <c r="D1519" s="186">
        <v>1</v>
      </c>
      <c r="E1519" s="165" t="s">
        <v>1058</v>
      </c>
      <c r="F1519" s="179" t="s">
        <v>1065</v>
      </c>
      <c r="G1519" s="186">
        <f ca="1">OFFSET(卡牌辅助配置表!$C$1,MATCH(AC1519,卡牌辅助配置表!A:A,0)-1,0)</f>
        <v>0</v>
      </c>
      <c r="H1519" s="186" t="e">
        <f ca="1">OFFSET(skill!$Q$1,MATCH(B1519,skill!B:B,0)-1,0)</f>
        <v>#VALUE!</v>
      </c>
      <c r="I1519" s="186"/>
      <c r="J1519" s="186">
        <f ca="1">OFFSET(card_type!$F$1,MATCH(Q1519,card_type!A:A,0)-1,0)</f>
        <v>4</v>
      </c>
      <c r="K1519" s="243">
        <f ca="1">OFFSET(card_type!$G$1,MATCH(Q1519,card_type!A:A,0)-1,0)</f>
        <v>4</v>
      </c>
      <c r="L1519" s="157">
        <v>4</v>
      </c>
      <c r="M1519" s="157">
        <v>4</v>
      </c>
      <c r="N1519" s="153">
        <f t="shared" si="249"/>
        <v>9</v>
      </c>
      <c r="O1519" s="157"/>
      <c r="P1519" s="157"/>
      <c r="Q1519" s="153">
        <f ca="1">OFFSET(card_type!$A$1,MATCH(card!B1519,card_type!B:B,0)-1,0)</f>
        <v>2405</v>
      </c>
      <c r="R1519" s="153">
        <v>1</v>
      </c>
      <c r="S1519" s="157">
        <f ca="1">ROUND(IF(R1519=0,0,IF(R1519=1,X1519*$S$1,IF(R1519=2,X1519*$S$1*buff的资质计算!$E$2,IF(R1519=3,X1519*$S$1*buff的资质计算!$E$3,0)))),0)*0</f>
        <v>0</v>
      </c>
      <c r="T1519" s="153">
        <v>3</v>
      </c>
      <c r="U1519" s="153">
        <f ca="1" t="shared" si="251"/>
        <v>44</v>
      </c>
      <c r="V1519" s="153">
        <f ca="1">ROUND((OFFSET(卡牌辅助配置表!$O$1,MATCH(U1519,卡牌辅助配置表!M:M,0)-1,0)+(N1519-1)*OFFSET(卡牌辅助配置表!$P$1,MATCH(U1519,卡牌辅助配置表!M:M,0)-1,0))*M1519,2)</f>
        <v>438.96</v>
      </c>
      <c r="W1519" s="157">
        <f ca="1">ROUND(IF(R1519=0,0,IF(R1519=1,X1519*$W$1,IF(R1519=2,X1519*$W$1*buff的资质计算!$E$2,IF(R1519=3,X1519*$W$1*buff的资质计算!$E$3,0)))),2)</f>
        <v>39.6</v>
      </c>
      <c r="X1519" s="157">
        <f ca="1" t="shared" si="247"/>
        <v>132</v>
      </c>
      <c r="Y1519" s="157" t="e">
        <f ca="1" t="shared" si="255"/>
        <v>#VALUE!</v>
      </c>
      <c r="Z1519" s="304" t="e">
        <f ca="1" t="shared" si="248"/>
        <v>#VALUE!</v>
      </c>
      <c r="AA1519" s="304">
        <f ca="1">OFFSET(卡牌辅助配置表!$AD$1,MATCH(AB1519,卡牌辅助配置表!AB:AB,0)-1,0)</f>
        <v>17253</v>
      </c>
      <c r="AB1519" s="304">
        <f ca="1" t="shared" si="252"/>
        <v>4409</v>
      </c>
      <c r="AC1519" s="153">
        <v>12</v>
      </c>
      <c r="AF1519" s="153" t="str">
        <f ca="1" t="shared" si="256"/>
        <v>24050011|</v>
      </c>
      <c r="AJ1519" s="205">
        <f ca="1" t="shared" si="253"/>
        <v>0</v>
      </c>
      <c r="AK1519" s="205">
        <f ca="1">OFFSET([1]item_type!$A$1,MATCH(Q1519,[1]item_type!$G:$G,0)-1,0)</f>
        <v>302405</v>
      </c>
      <c r="AL1519" s="205">
        <v>15</v>
      </c>
      <c r="AM1519" s="205">
        <f ca="1">IF(B1519=B1520,OFFSET(卡牌辅助配置表!$AE$1,MATCH(AB1519,卡牌辅助配置表!AB:AB,0),0),0)</f>
        <v>6900</v>
      </c>
      <c r="AN1519" s="153">
        <f ca="1" t="shared" si="257"/>
        <v>0</v>
      </c>
      <c r="AP1519" s="153">
        <f ca="1">IF(AC1519=0,0,IF(AC1519=12,0,OFFSET(effect!$N$1,MATCH(K1519,effect!M:M,0)-1,0)))</f>
        <v>0</v>
      </c>
    </row>
    <row r="1520" spans="1:42">
      <c r="A1520" s="153">
        <f ca="1" t="shared" si="250"/>
        <v>2405010</v>
      </c>
      <c r="B1520" s="91" t="s">
        <v>813</v>
      </c>
      <c r="C1520" s="186">
        <v>2</v>
      </c>
      <c r="D1520" s="186">
        <v>1</v>
      </c>
      <c r="E1520" s="165" t="s">
        <v>1058</v>
      </c>
      <c r="F1520" s="179" t="s">
        <v>1065</v>
      </c>
      <c r="G1520" s="186">
        <f ca="1">OFFSET(卡牌辅助配置表!$C$1,MATCH(AC1520,卡牌辅助配置表!A:A,0)-1,0)</f>
        <v>0</v>
      </c>
      <c r="H1520" s="186" t="e">
        <f ca="1">OFFSET(skill!$Q$1,MATCH(B1520,skill!B:B,0)-1,0)</f>
        <v>#VALUE!</v>
      </c>
      <c r="I1520" s="186"/>
      <c r="J1520" s="186">
        <f ca="1">OFFSET(card_type!$F$1,MATCH(Q1520,card_type!A:A,0)-1,0)</f>
        <v>4</v>
      </c>
      <c r="K1520" s="243">
        <f ca="1">OFFSET(card_type!$G$1,MATCH(Q1520,card_type!A:A,0)-1,0)</f>
        <v>4</v>
      </c>
      <c r="L1520" s="157">
        <v>4</v>
      </c>
      <c r="M1520" s="157">
        <v>4</v>
      </c>
      <c r="N1520" s="153">
        <f t="shared" si="249"/>
        <v>10</v>
      </c>
      <c r="O1520" s="157"/>
      <c r="P1520" s="157"/>
      <c r="Q1520" s="153">
        <f ca="1">OFFSET(card_type!$A$1,MATCH(card!B1520,card_type!B:B,0)-1,0)</f>
        <v>2405</v>
      </c>
      <c r="R1520" s="153">
        <v>1</v>
      </c>
      <c r="S1520" s="157">
        <f ca="1">ROUND(IF(R1520=0,0,IF(R1520=1,X1520*$S$1,IF(R1520=2,X1520*$S$1*buff的资质计算!$E$2,IF(R1520=3,X1520*$S$1*buff的资质计算!$E$3,0)))),0)*0</f>
        <v>0</v>
      </c>
      <c r="T1520" s="153">
        <v>3</v>
      </c>
      <c r="U1520" s="153">
        <f ca="1" t="shared" si="251"/>
        <v>44</v>
      </c>
      <c r="V1520" s="153">
        <f ca="1">ROUND((OFFSET(卡牌辅助配置表!$O$1,MATCH(U1520,卡牌辅助配置表!M:M,0)-1,0)+(N1520-1)*OFFSET(卡牌辅助配置表!$P$1,MATCH(U1520,卡牌辅助配置表!M:M,0)-1,0))*M1520,2)</f>
        <v>467.28</v>
      </c>
      <c r="W1520" s="157">
        <f ca="1">ROUND(IF(R1520=0,0,IF(R1520=1,X1520*$W$1,IF(R1520=2,X1520*$W$1*buff的资质计算!$E$2,IF(R1520=3,X1520*$W$1*buff的资质计算!$E$3,0)))),2)</f>
        <v>39.75</v>
      </c>
      <c r="X1520" s="157">
        <f ca="1" t="shared" si="247"/>
        <v>132.5</v>
      </c>
      <c r="Y1520" s="157" t="e">
        <f ca="1" t="shared" si="255"/>
        <v>#VALUE!</v>
      </c>
      <c r="Z1520" s="304" t="e">
        <f ca="1" t="shared" si="248"/>
        <v>#VALUE!</v>
      </c>
      <c r="AA1520" s="304">
        <f ca="1">OFFSET(卡牌辅助配置表!$AD$1,MATCH(AB1520,卡牌辅助配置表!AB:AB,0)-1,0)</f>
        <v>19170</v>
      </c>
      <c r="AB1520" s="304">
        <f ca="1" t="shared" si="252"/>
        <v>4410</v>
      </c>
      <c r="AC1520" s="153">
        <v>12</v>
      </c>
      <c r="AF1520" s="153" t="str">
        <f ca="1" t="shared" si="256"/>
        <v>24050011|</v>
      </c>
      <c r="AJ1520" s="205">
        <f ca="1" t="shared" si="253"/>
        <v>0</v>
      </c>
      <c r="AK1520" s="205">
        <f ca="1">OFFSET([1]item_type!$A$1,MATCH(Q1520,[1]item_type!$G:$G,0)-1,0)</f>
        <v>302405</v>
      </c>
      <c r="AL1520" s="205"/>
      <c r="AM1520" s="205">
        <f ca="1">IF(B1520=B1521,OFFSET(卡牌辅助配置表!$AE$1,MATCH(AB1520,卡牌辅助配置表!AB:AB,0),0),0)</f>
        <v>8100</v>
      </c>
      <c r="AN1520" s="153">
        <f ca="1" t="shared" si="257"/>
        <v>0</v>
      </c>
      <c r="AP1520" s="153">
        <f ca="1">IF(AC1520=0,0,IF(AC1520=12,0,OFFSET(effect!$N$1,MATCH(K1520,effect!M:M,0)-1,0)))</f>
        <v>0</v>
      </c>
    </row>
    <row r="1521" spans="1:42">
      <c r="A1521" s="153">
        <f ca="1" t="shared" si="250"/>
        <v>2405011</v>
      </c>
      <c r="B1521" s="91" t="s">
        <v>813</v>
      </c>
      <c r="C1521" s="186">
        <v>2</v>
      </c>
      <c r="D1521" s="186">
        <v>1</v>
      </c>
      <c r="E1521" s="165" t="s">
        <v>1058</v>
      </c>
      <c r="F1521" s="179" t="s">
        <v>1065</v>
      </c>
      <c r="G1521" s="186">
        <f ca="1">OFFSET(卡牌辅助配置表!$C$1,MATCH(AC1521,卡牌辅助配置表!A:A,0)-1,0)</f>
        <v>0</v>
      </c>
      <c r="H1521" s="186" t="e">
        <f ca="1">OFFSET(skill!$Q$1,MATCH(B1521,skill!B:B,0)-1,0)</f>
        <v>#VALUE!</v>
      </c>
      <c r="I1521" s="186"/>
      <c r="J1521" s="186">
        <f ca="1">OFFSET(card_type!$F$1,MATCH(Q1521,card_type!A:A,0)-1,0)</f>
        <v>4</v>
      </c>
      <c r="K1521" s="243">
        <f ca="1">OFFSET(card_type!$G$1,MATCH(Q1521,card_type!A:A,0)-1,0)</f>
        <v>4</v>
      </c>
      <c r="L1521" s="157">
        <v>4</v>
      </c>
      <c r="M1521" s="157">
        <v>4</v>
      </c>
      <c r="N1521" s="153">
        <f t="shared" si="249"/>
        <v>11</v>
      </c>
      <c r="O1521" s="157"/>
      <c r="P1521" s="157"/>
      <c r="Q1521" s="153">
        <f ca="1">OFFSET(card_type!$A$1,MATCH(card!B1521,card_type!B:B,0)-1,0)</f>
        <v>2405</v>
      </c>
      <c r="R1521" s="153">
        <v>1</v>
      </c>
      <c r="S1521" s="157">
        <f ca="1">ROUND(IF(R1521=0,0,IF(R1521=1,X1521*$S$1,IF(R1521=2,X1521*$S$1*buff的资质计算!$E$2,IF(R1521=3,X1521*$S$1*buff的资质计算!$E$3,0)))),0)*0</f>
        <v>0</v>
      </c>
      <c r="T1521" s="153">
        <v>3</v>
      </c>
      <c r="U1521" s="153">
        <f ca="1" t="shared" si="251"/>
        <v>44</v>
      </c>
      <c r="V1521" s="153">
        <f ca="1">ROUND((OFFSET(卡牌辅助配置表!$O$1,MATCH(U1521,卡牌辅助配置表!M:M,0)-1,0)+(N1521-1)*OFFSET(卡牌辅助配置表!$P$1,MATCH(U1521,卡牌辅助配置表!M:M,0)-1,0))*M1521,2)</f>
        <v>495.6</v>
      </c>
      <c r="W1521" s="157">
        <f ca="1">ROUND(IF(R1521=0,0,IF(R1521=1,X1521*$W$1,IF(R1521=2,X1521*$W$1*buff的资质计算!$E$2,IF(R1521=3,X1521*$W$1*buff的资质计算!$E$3,0)))),2)</f>
        <v>39.9</v>
      </c>
      <c r="X1521" s="157">
        <f ca="1" t="shared" si="247"/>
        <v>133</v>
      </c>
      <c r="Y1521" s="157" t="e">
        <f ca="1" t="shared" si="255"/>
        <v>#VALUE!</v>
      </c>
      <c r="Z1521" s="304" t="e">
        <f ca="1" t="shared" si="248"/>
        <v>#VALUE!</v>
      </c>
      <c r="AA1521" s="304">
        <f ca="1">OFFSET(卡牌辅助配置表!$AD$1,MATCH(AB1521,卡牌辅助配置表!AB:AB,0)-1,0)</f>
        <v>22046</v>
      </c>
      <c r="AB1521" s="304">
        <f ca="1" t="shared" si="252"/>
        <v>4411</v>
      </c>
      <c r="AC1521" s="153">
        <v>12</v>
      </c>
      <c r="AF1521" s="153" t="str">
        <f ca="1" t="shared" si="256"/>
        <v>24050011|</v>
      </c>
      <c r="AJ1521" s="205">
        <f ca="1" t="shared" si="253"/>
        <v>0</v>
      </c>
      <c r="AK1521" s="205">
        <f ca="1">OFFSET([1]item_type!$A$1,MATCH(Q1521,[1]item_type!$G:$G,0)-1,0)</f>
        <v>302405</v>
      </c>
      <c r="AL1521" s="205"/>
      <c r="AM1521" s="205">
        <f ca="1">IF(B1521=B1522,OFFSET(卡牌辅助配置表!$AE$1,MATCH(AB1521,卡牌辅助配置表!AB:AB,0),0),0)</f>
        <v>9300</v>
      </c>
      <c r="AN1521" s="153">
        <f ca="1" t="shared" si="257"/>
        <v>0</v>
      </c>
      <c r="AP1521" s="153">
        <f ca="1">IF(AC1521=0,0,IF(AC1521=12,0,OFFSET(effect!$N$1,MATCH(K1521,effect!M:M,0)-1,0)))</f>
        <v>0</v>
      </c>
    </row>
    <row r="1522" spans="1:42">
      <c r="A1522" s="153">
        <f ca="1" t="shared" si="250"/>
        <v>2405012</v>
      </c>
      <c r="B1522" s="91" t="s">
        <v>813</v>
      </c>
      <c r="C1522" s="186">
        <v>2</v>
      </c>
      <c r="D1522" s="186">
        <v>1</v>
      </c>
      <c r="E1522" s="165" t="s">
        <v>1058</v>
      </c>
      <c r="F1522" s="179" t="s">
        <v>1065</v>
      </c>
      <c r="G1522" s="186">
        <f ca="1">OFFSET(卡牌辅助配置表!$C$1,MATCH(AC1522,卡牌辅助配置表!A:A,0)-1,0)</f>
        <v>0</v>
      </c>
      <c r="H1522" s="186" t="e">
        <f ca="1">OFFSET(skill!$Q$1,MATCH(B1522,skill!B:B,0)-1,0)</f>
        <v>#VALUE!</v>
      </c>
      <c r="I1522" s="186"/>
      <c r="J1522" s="186">
        <f ca="1">OFFSET(card_type!$F$1,MATCH(Q1522,card_type!A:A,0)-1,0)</f>
        <v>4</v>
      </c>
      <c r="K1522" s="243">
        <f ca="1">OFFSET(card_type!$G$1,MATCH(Q1522,card_type!A:A,0)-1,0)</f>
        <v>4</v>
      </c>
      <c r="L1522" s="157">
        <v>4</v>
      </c>
      <c r="M1522" s="157">
        <v>4</v>
      </c>
      <c r="N1522" s="153">
        <f t="shared" si="249"/>
        <v>12</v>
      </c>
      <c r="O1522" s="157"/>
      <c r="P1522" s="157"/>
      <c r="Q1522" s="153">
        <f ca="1">OFFSET(card_type!$A$1,MATCH(card!B1522,card_type!B:B,0)-1,0)</f>
        <v>2405</v>
      </c>
      <c r="R1522" s="153">
        <v>1</v>
      </c>
      <c r="S1522" s="157">
        <f ca="1">ROUND(IF(R1522=0,0,IF(R1522=1,X1522*$S$1,IF(R1522=2,X1522*$S$1*buff的资质计算!$E$2,IF(R1522=3,X1522*$S$1*buff的资质计算!$E$3,0)))),0)*0</f>
        <v>0</v>
      </c>
      <c r="T1522" s="153">
        <v>3</v>
      </c>
      <c r="U1522" s="153">
        <f ca="1" t="shared" si="251"/>
        <v>44</v>
      </c>
      <c r="V1522" s="153">
        <f ca="1">ROUND((OFFSET(卡牌辅助配置表!$O$1,MATCH(U1522,卡牌辅助配置表!M:M,0)-1,0)+(N1522-1)*OFFSET(卡牌辅助配置表!$P$1,MATCH(U1522,卡牌辅助配置表!M:M,0)-1,0))*M1522,2)</f>
        <v>523.92</v>
      </c>
      <c r="W1522" s="157">
        <f ca="1">ROUND(IF(R1522=0,0,IF(R1522=1,X1522*$W$1,IF(R1522=2,X1522*$W$1*buff的资质计算!$E$2,IF(R1522=3,X1522*$W$1*buff的资质计算!$E$3,0)))),2)</f>
        <v>40.05</v>
      </c>
      <c r="X1522" s="157">
        <f ca="1" t="shared" si="247"/>
        <v>133.5</v>
      </c>
      <c r="Y1522" s="157" t="e">
        <f ca="1" t="shared" si="255"/>
        <v>#VALUE!</v>
      </c>
      <c r="Z1522" s="304" t="e">
        <f ca="1" t="shared" si="248"/>
        <v>#VALUE!</v>
      </c>
      <c r="AA1522" s="304">
        <f ca="1">OFFSET(卡牌辅助配置表!$AD$1,MATCH(AB1522,卡牌辅助配置表!AB:AB,0)-1,0)</f>
        <v>24922</v>
      </c>
      <c r="AB1522" s="304">
        <f ca="1" t="shared" si="252"/>
        <v>4412</v>
      </c>
      <c r="AC1522" s="153">
        <v>12</v>
      </c>
      <c r="AF1522" s="153" t="str">
        <f ca="1" t="shared" si="256"/>
        <v>24050011|</v>
      </c>
      <c r="AJ1522" s="205">
        <f ca="1" t="shared" si="253"/>
        <v>0</v>
      </c>
      <c r="AK1522" s="205">
        <f ca="1">OFFSET([1]item_type!$A$1,MATCH(Q1522,[1]item_type!$G:$G,0)-1,0)</f>
        <v>302405</v>
      </c>
      <c r="AL1522" s="205"/>
      <c r="AM1522" s="205">
        <f ca="1">IF(B1522=B1523,OFFSET(卡牌辅助配置表!$AE$1,MATCH(AB1522,卡牌辅助配置表!AB:AB,0),0),0)</f>
        <v>10500</v>
      </c>
      <c r="AN1522" s="153">
        <f ca="1" t="shared" si="257"/>
        <v>0</v>
      </c>
      <c r="AP1522" s="153">
        <f ca="1">IF(AC1522=0,0,IF(AC1522=12,0,OFFSET(effect!$N$1,MATCH(K1522,effect!M:M,0)-1,0)))</f>
        <v>0</v>
      </c>
    </row>
    <row r="1523" spans="1:42">
      <c r="A1523" s="153">
        <f ca="1" t="shared" si="250"/>
        <v>2405013</v>
      </c>
      <c r="B1523" s="91" t="s">
        <v>813</v>
      </c>
      <c r="C1523" s="186">
        <v>2</v>
      </c>
      <c r="D1523" s="186">
        <v>1</v>
      </c>
      <c r="E1523" s="165" t="s">
        <v>1058</v>
      </c>
      <c r="F1523" s="179" t="s">
        <v>1065</v>
      </c>
      <c r="G1523" s="186">
        <f ca="1">OFFSET(卡牌辅助配置表!$C$1,MATCH(AC1523,卡牌辅助配置表!A:A,0)-1,0)</f>
        <v>0</v>
      </c>
      <c r="H1523" s="186" t="e">
        <f ca="1">OFFSET(skill!$Q$1,MATCH(B1523,skill!B:B,0)-1,0)</f>
        <v>#VALUE!</v>
      </c>
      <c r="I1523" s="186"/>
      <c r="J1523" s="186">
        <f ca="1">OFFSET(card_type!$F$1,MATCH(Q1523,card_type!A:A,0)-1,0)</f>
        <v>4</v>
      </c>
      <c r="K1523" s="243">
        <f ca="1">OFFSET(card_type!$G$1,MATCH(Q1523,card_type!A:A,0)-1,0)</f>
        <v>4</v>
      </c>
      <c r="L1523" s="157">
        <v>4</v>
      </c>
      <c r="M1523" s="157">
        <v>4</v>
      </c>
      <c r="N1523" s="153">
        <f t="shared" si="249"/>
        <v>13</v>
      </c>
      <c r="O1523" s="157"/>
      <c r="P1523" s="157"/>
      <c r="Q1523" s="153">
        <f ca="1">OFFSET(card_type!$A$1,MATCH(card!B1523,card_type!B:B,0)-1,0)</f>
        <v>2405</v>
      </c>
      <c r="R1523" s="153">
        <v>1</v>
      </c>
      <c r="S1523" s="157">
        <f ca="1">ROUND(IF(R1523=0,0,IF(R1523=1,X1523*$S$1,IF(R1523=2,X1523*$S$1*buff的资质计算!$E$2,IF(R1523=3,X1523*$S$1*buff的资质计算!$E$3,0)))),0)*0</f>
        <v>0</v>
      </c>
      <c r="T1523" s="153">
        <v>3</v>
      </c>
      <c r="U1523" s="153">
        <f ca="1" t="shared" si="251"/>
        <v>44</v>
      </c>
      <c r="V1523" s="153">
        <f ca="1">ROUND((OFFSET(卡牌辅助配置表!$O$1,MATCH(U1523,卡牌辅助配置表!M:M,0)-1,0)+(N1523-1)*OFFSET(卡牌辅助配置表!$P$1,MATCH(U1523,卡牌辅助配置表!M:M,0)-1,0))*M1523,2)</f>
        <v>552.24</v>
      </c>
      <c r="W1523" s="157">
        <f ca="1">ROUND(IF(R1523=0,0,IF(R1523=1,X1523*$W$1,IF(R1523=2,X1523*$W$1*buff的资质计算!$E$2,IF(R1523=3,X1523*$W$1*buff的资质计算!$E$3,0)))),2)</f>
        <v>40.2</v>
      </c>
      <c r="X1523" s="157">
        <f ca="1" t="shared" si="247"/>
        <v>134</v>
      </c>
      <c r="Y1523" s="157" t="e">
        <f ca="1" t="shared" si="255"/>
        <v>#VALUE!</v>
      </c>
      <c r="Z1523" s="304" t="e">
        <f ca="1" t="shared" si="248"/>
        <v>#VALUE!</v>
      </c>
      <c r="AA1523" s="304">
        <f ca="1">OFFSET(卡牌辅助配置表!$AD$1,MATCH(AB1523,卡牌辅助配置表!AB:AB,0)-1,0)</f>
        <v>27798</v>
      </c>
      <c r="AB1523" s="304">
        <f ca="1" t="shared" si="252"/>
        <v>4413</v>
      </c>
      <c r="AC1523" s="153">
        <v>12</v>
      </c>
      <c r="AF1523" s="153" t="str">
        <f ca="1" t="shared" si="256"/>
        <v>24050011|</v>
      </c>
      <c r="AJ1523" s="205">
        <f ca="1" t="shared" si="253"/>
        <v>0</v>
      </c>
      <c r="AK1523" s="205">
        <f ca="1">OFFSET([1]item_type!$A$1,MATCH(Q1523,[1]item_type!$G:$G,0)-1,0)</f>
        <v>302405</v>
      </c>
      <c r="AL1523" s="205"/>
      <c r="AM1523" s="205">
        <f ca="1">IF(B1523=B1524,OFFSET(卡牌辅助配置表!$AE$1,MATCH(AB1523,卡牌辅助配置表!AB:AB,0),0),0)</f>
        <v>11700</v>
      </c>
      <c r="AN1523" s="153">
        <f ca="1" t="shared" si="257"/>
        <v>0</v>
      </c>
      <c r="AP1523" s="153">
        <f ca="1">IF(AC1523=0,0,IF(AC1523=12,0,OFFSET(effect!$N$1,MATCH(K1523,effect!M:M,0)-1,0)))</f>
        <v>0</v>
      </c>
    </row>
    <row r="1524" spans="1:42">
      <c r="A1524" s="153">
        <f ca="1" t="shared" si="250"/>
        <v>2405014</v>
      </c>
      <c r="B1524" s="91" t="s">
        <v>813</v>
      </c>
      <c r="C1524" s="186">
        <v>2</v>
      </c>
      <c r="D1524" s="186">
        <v>1</v>
      </c>
      <c r="E1524" s="165" t="s">
        <v>1058</v>
      </c>
      <c r="F1524" s="179" t="s">
        <v>1065</v>
      </c>
      <c r="G1524" s="186">
        <f ca="1">OFFSET(卡牌辅助配置表!$C$1,MATCH(AC1524,卡牌辅助配置表!A:A,0)-1,0)</f>
        <v>0</v>
      </c>
      <c r="H1524" s="186" t="e">
        <f ca="1">OFFSET(skill!$Q$1,MATCH(B1524,skill!B:B,0)-1,0)</f>
        <v>#VALUE!</v>
      </c>
      <c r="I1524" s="186"/>
      <c r="J1524" s="186">
        <f ca="1">OFFSET(card_type!$F$1,MATCH(Q1524,card_type!A:A,0)-1,0)</f>
        <v>4</v>
      </c>
      <c r="K1524" s="243">
        <f ca="1">OFFSET(card_type!$G$1,MATCH(Q1524,card_type!A:A,0)-1,0)</f>
        <v>4</v>
      </c>
      <c r="L1524" s="157">
        <v>4</v>
      </c>
      <c r="M1524" s="157">
        <v>4</v>
      </c>
      <c r="N1524" s="153">
        <f t="shared" si="249"/>
        <v>14</v>
      </c>
      <c r="O1524" s="157"/>
      <c r="P1524" s="157"/>
      <c r="Q1524" s="153">
        <f ca="1">OFFSET(card_type!$A$1,MATCH(card!B1524,card_type!B:B,0)-1,0)</f>
        <v>2405</v>
      </c>
      <c r="R1524" s="153">
        <v>1</v>
      </c>
      <c r="S1524" s="157">
        <f ca="1">ROUND(IF(R1524=0,0,IF(R1524=1,X1524*$S$1,IF(R1524=2,X1524*$S$1*buff的资质计算!$E$2,IF(R1524=3,X1524*$S$1*buff的资质计算!$E$3,0)))),0)*0</f>
        <v>0</v>
      </c>
      <c r="T1524" s="153">
        <v>3</v>
      </c>
      <c r="U1524" s="153">
        <f ca="1" t="shared" si="251"/>
        <v>44</v>
      </c>
      <c r="V1524" s="153">
        <f ca="1">ROUND((OFFSET(卡牌辅助配置表!$O$1,MATCH(U1524,卡牌辅助配置表!M:M,0)-1,0)+(N1524-1)*OFFSET(卡牌辅助配置表!$P$1,MATCH(U1524,卡牌辅助配置表!M:M,0)-1,0))*M1524,2)</f>
        <v>580.56</v>
      </c>
      <c r="W1524" s="157">
        <f ca="1">ROUND(IF(R1524=0,0,IF(R1524=1,X1524*$W$1,IF(R1524=2,X1524*$W$1*buff的资质计算!$E$2,IF(R1524=3,X1524*$W$1*buff的资质计算!$E$3,0)))),2)</f>
        <v>40.35</v>
      </c>
      <c r="X1524" s="157">
        <f ca="1" t="shared" ref="X1524:X1587" si="258">M1524*($M$1+(J1524-1)*$J$1+(K1524-1)*$K$1)+G1524+$J$1*(N1524-1)/$N$1</f>
        <v>134.5</v>
      </c>
      <c r="Y1524" s="157" t="e">
        <f ca="1" t="shared" si="255"/>
        <v>#VALUE!</v>
      </c>
      <c r="Z1524" s="304" t="e">
        <f ca="1" t="shared" ref="Z1524:Z1587" si="259">Y1524/M1524</f>
        <v>#VALUE!</v>
      </c>
      <c r="AA1524" s="304">
        <f ca="1">OFFSET(卡牌辅助配置表!$AD$1,MATCH(AB1524,卡牌辅助配置表!AB:AB,0)-1,0)</f>
        <v>30674</v>
      </c>
      <c r="AB1524" s="304">
        <f ca="1" t="shared" si="252"/>
        <v>4414</v>
      </c>
      <c r="AC1524" s="153">
        <v>12</v>
      </c>
      <c r="AF1524" s="153" t="str">
        <f ca="1" t="shared" si="256"/>
        <v>24050011|</v>
      </c>
      <c r="AJ1524" s="205">
        <f ca="1" t="shared" si="253"/>
        <v>0</v>
      </c>
      <c r="AK1524" s="205">
        <f ca="1">OFFSET([1]item_type!$A$1,MATCH(Q1524,[1]item_type!$G:$G,0)-1,0)</f>
        <v>302405</v>
      </c>
      <c r="AL1524" s="205"/>
      <c r="AM1524" s="205">
        <f ca="1">IF(B1524=B1525,OFFSET(卡牌辅助配置表!$AE$1,MATCH(AB1524,卡牌辅助配置表!AB:AB,0),0),0)</f>
        <v>12900</v>
      </c>
      <c r="AN1524" s="153">
        <f ca="1" t="shared" si="257"/>
        <v>0</v>
      </c>
      <c r="AP1524" s="153">
        <f ca="1">IF(AC1524=0,0,IF(AC1524=12,0,OFFSET(effect!$N$1,MATCH(K1524,effect!M:M,0)-1,0)))</f>
        <v>0</v>
      </c>
    </row>
    <row r="1525" spans="1:42">
      <c r="A1525" s="153">
        <f ca="1" t="shared" si="250"/>
        <v>2405015</v>
      </c>
      <c r="B1525" s="91" t="s">
        <v>813</v>
      </c>
      <c r="C1525" s="186">
        <v>2</v>
      </c>
      <c r="D1525" s="186">
        <v>1</v>
      </c>
      <c r="E1525" s="165" t="s">
        <v>1058</v>
      </c>
      <c r="F1525" s="179" t="s">
        <v>1065</v>
      </c>
      <c r="G1525" s="186">
        <f ca="1">OFFSET(卡牌辅助配置表!$C$1,MATCH(AC1525,卡牌辅助配置表!A:A,0)-1,0)</f>
        <v>0</v>
      </c>
      <c r="H1525" s="186" t="e">
        <f ca="1">OFFSET(skill!$Q$1,MATCH(B1525,skill!B:B,0)-1,0)</f>
        <v>#VALUE!</v>
      </c>
      <c r="I1525" s="186"/>
      <c r="J1525" s="186">
        <f ca="1">OFFSET(card_type!$F$1,MATCH(Q1525,card_type!A:A,0)-1,0)</f>
        <v>4</v>
      </c>
      <c r="K1525" s="243">
        <f ca="1">OFFSET(card_type!$G$1,MATCH(Q1525,card_type!A:A,0)-1,0)</f>
        <v>4</v>
      </c>
      <c r="L1525" s="157">
        <v>4</v>
      </c>
      <c r="M1525" s="157">
        <v>4</v>
      </c>
      <c r="N1525" s="153">
        <f t="shared" ref="N1525:N1540" si="260">IF(B1524=B1525,N1524+1,1)</f>
        <v>15</v>
      </c>
      <c r="O1525" s="157"/>
      <c r="P1525" s="157"/>
      <c r="Q1525" s="153">
        <f ca="1">OFFSET(card_type!$A$1,MATCH(card!B1525,card_type!B:B,0)-1,0)</f>
        <v>2405</v>
      </c>
      <c r="R1525" s="153">
        <v>1</v>
      </c>
      <c r="S1525" s="157">
        <f ca="1">ROUND(IF(R1525=0,0,IF(R1525=1,X1525*$S$1,IF(R1525=2,X1525*$S$1*buff的资质计算!$E$2,IF(R1525=3,X1525*$S$1*buff的资质计算!$E$3,0)))),0)*0</f>
        <v>0</v>
      </c>
      <c r="T1525" s="153">
        <v>3</v>
      </c>
      <c r="U1525" s="153">
        <f ca="1" t="shared" si="251"/>
        <v>44</v>
      </c>
      <c r="V1525" s="153">
        <f ca="1">ROUND((OFFSET(卡牌辅助配置表!$O$1,MATCH(U1525,卡牌辅助配置表!M:M,0)-1,0)+(N1525-1)*OFFSET(卡牌辅助配置表!$P$1,MATCH(U1525,卡牌辅助配置表!M:M,0)-1,0))*M1525,2)</f>
        <v>608.88</v>
      </c>
      <c r="W1525" s="157">
        <f ca="1">ROUND(IF(R1525=0,0,IF(R1525=1,X1525*$W$1,IF(R1525=2,X1525*$W$1*buff的资质计算!$E$2,IF(R1525=3,X1525*$W$1*buff的资质计算!$E$3,0)))),2)</f>
        <v>40.5</v>
      </c>
      <c r="X1525" s="157">
        <f ca="1" t="shared" si="258"/>
        <v>135</v>
      </c>
      <c r="Y1525" s="157" t="e">
        <f ca="1" t="shared" si="255"/>
        <v>#VALUE!</v>
      </c>
      <c r="Z1525" s="304" t="e">
        <f ca="1" t="shared" si="259"/>
        <v>#VALUE!</v>
      </c>
      <c r="AA1525" s="304">
        <f ca="1">OFFSET(卡牌辅助配置表!$AD$1,MATCH(AB1525,卡牌辅助配置表!AB:AB,0)-1,0)</f>
        <v>33550</v>
      </c>
      <c r="AB1525" s="304">
        <f ca="1" t="shared" si="252"/>
        <v>4415</v>
      </c>
      <c r="AC1525" s="153">
        <v>12</v>
      </c>
      <c r="AF1525" s="153" t="str">
        <f ca="1" t="shared" si="256"/>
        <v>24050011|</v>
      </c>
      <c r="AJ1525" s="205">
        <f ca="1" t="shared" si="253"/>
        <v>0</v>
      </c>
      <c r="AK1525" s="205">
        <f ca="1">OFFSET([1]item_type!$A$1,MATCH(Q1525,[1]item_type!$G:$G,0)-1,0)</f>
        <v>302405</v>
      </c>
      <c r="AL1525" s="205"/>
      <c r="AM1525" s="205">
        <f ca="1">IF(B1525=B1526,OFFSET(卡牌辅助配置表!$AE$1,MATCH(AB1525,卡牌辅助配置表!AB:AB,0),0),0)</f>
        <v>14100</v>
      </c>
      <c r="AN1525" s="153">
        <f ca="1" t="shared" si="257"/>
        <v>0</v>
      </c>
      <c r="AP1525" s="153">
        <f ca="1">IF(AC1525=0,0,IF(AC1525=12,0,OFFSET(effect!$N$1,MATCH(K1525,effect!M:M,0)-1,0)))</f>
        <v>0</v>
      </c>
    </row>
    <row r="1526" spans="1:42">
      <c r="A1526" s="153">
        <f ca="1" t="shared" si="250"/>
        <v>2405016</v>
      </c>
      <c r="B1526" s="91" t="s">
        <v>813</v>
      </c>
      <c r="C1526" s="186">
        <v>2</v>
      </c>
      <c r="D1526" s="186">
        <v>1</v>
      </c>
      <c r="E1526" s="165" t="s">
        <v>1058</v>
      </c>
      <c r="F1526" s="179" t="s">
        <v>1065</v>
      </c>
      <c r="G1526" s="186">
        <f ca="1">OFFSET(卡牌辅助配置表!$C$1,MATCH(AC1526,卡牌辅助配置表!A:A,0)-1,0)</f>
        <v>0</v>
      </c>
      <c r="H1526" s="186" t="e">
        <f ca="1">OFFSET(skill!$Q$1,MATCH(B1526,skill!B:B,0)-1,0)</f>
        <v>#VALUE!</v>
      </c>
      <c r="I1526" s="186"/>
      <c r="J1526" s="186">
        <f ca="1">OFFSET(card_type!$F$1,MATCH(Q1526,card_type!A:A,0)-1,0)</f>
        <v>4</v>
      </c>
      <c r="K1526" s="243">
        <f ca="1">OFFSET(card_type!$G$1,MATCH(Q1526,card_type!A:A,0)-1,0)</f>
        <v>4</v>
      </c>
      <c r="L1526" s="157">
        <v>4</v>
      </c>
      <c r="M1526" s="157">
        <v>4</v>
      </c>
      <c r="N1526" s="153">
        <f t="shared" si="260"/>
        <v>16</v>
      </c>
      <c r="O1526" s="157"/>
      <c r="P1526" s="157"/>
      <c r="Q1526" s="153">
        <f ca="1">OFFSET(card_type!$A$1,MATCH(card!B1526,card_type!B:B,0)-1,0)</f>
        <v>2405</v>
      </c>
      <c r="R1526" s="153">
        <v>1</v>
      </c>
      <c r="S1526" s="157">
        <f ca="1">ROUND(IF(R1526=0,0,IF(R1526=1,X1526*$S$1,IF(R1526=2,X1526*$S$1*buff的资质计算!$E$2,IF(R1526=3,X1526*$S$1*buff的资质计算!$E$3,0)))),0)*0</f>
        <v>0</v>
      </c>
      <c r="T1526" s="153">
        <v>3</v>
      </c>
      <c r="U1526" s="153">
        <f ca="1" t="shared" si="251"/>
        <v>44</v>
      </c>
      <c r="V1526" s="153">
        <f ca="1">ROUND((OFFSET(卡牌辅助配置表!$O$1,MATCH(U1526,卡牌辅助配置表!M:M,0)-1,0)+(N1526-1)*OFFSET(卡牌辅助配置表!$P$1,MATCH(U1526,卡牌辅助配置表!M:M,0)-1,0))*M1526,2)</f>
        <v>637.2</v>
      </c>
      <c r="W1526" s="157">
        <f ca="1">ROUND(IF(R1526=0,0,IF(R1526=1,X1526*$W$1,IF(R1526=2,X1526*$W$1*buff的资质计算!$E$2,IF(R1526=3,X1526*$W$1*buff的资质计算!$E$3,0)))),2)</f>
        <v>40.65</v>
      </c>
      <c r="X1526" s="157">
        <f ca="1" t="shared" si="258"/>
        <v>135.5</v>
      </c>
      <c r="Y1526" s="157" t="e">
        <f ca="1" t="shared" si="255"/>
        <v>#VALUE!</v>
      </c>
      <c r="Z1526" s="304" t="e">
        <f ca="1" t="shared" si="259"/>
        <v>#VALUE!</v>
      </c>
      <c r="AA1526" s="304">
        <f ca="1">OFFSET(卡牌辅助配置表!$AD$1,MATCH(AB1526,卡牌辅助配置表!AB:AB,0)-1,0)</f>
        <v>36426</v>
      </c>
      <c r="AB1526" s="304">
        <f ca="1" t="shared" si="252"/>
        <v>4416</v>
      </c>
      <c r="AC1526" s="153">
        <v>12</v>
      </c>
      <c r="AF1526" s="153" t="str">
        <f ca="1" t="shared" si="256"/>
        <v>24050011|</v>
      </c>
      <c r="AJ1526" s="205">
        <f ca="1" t="shared" si="253"/>
        <v>0</v>
      </c>
      <c r="AK1526" s="205">
        <f ca="1">OFFSET([1]item_type!$A$1,MATCH(Q1526,[1]item_type!$G:$G,0)-1,0)</f>
        <v>302405</v>
      </c>
      <c r="AL1526" s="205"/>
      <c r="AM1526" s="205">
        <f ca="1">IF(B1526=B1527,OFFSET(卡牌辅助配置表!$AE$1,MATCH(AB1526,卡牌辅助配置表!AB:AB,0),0),0)</f>
        <v>15300</v>
      </c>
      <c r="AN1526" s="153">
        <f ca="1" t="shared" si="257"/>
        <v>0</v>
      </c>
      <c r="AP1526" s="153">
        <f ca="1">IF(AC1526=0,0,IF(AC1526=12,0,OFFSET(effect!$N$1,MATCH(K1526,effect!M:M,0)-1,0)))</f>
        <v>0</v>
      </c>
    </row>
    <row r="1527" spans="1:42">
      <c r="A1527" s="153">
        <f ca="1" t="shared" si="250"/>
        <v>2405017</v>
      </c>
      <c r="B1527" s="91" t="s">
        <v>813</v>
      </c>
      <c r="C1527" s="186">
        <v>2</v>
      </c>
      <c r="D1527" s="186">
        <v>1</v>
      </c>
      <c r="E1527" s="165" t="s">
        <v>1058</v>
      </c>
      <c r="F1527" s="179" t="s">
        <v>1065</v>
      </c>
      <c r="G1527" s="186">
        <f ca="1">OFFSET(卡牌辅助配置表!$C$1,MATCH(AC1527,卡牌辅助配置表!A:A,0)-1,0)</f>
        <v>0</v>
      </c>
      <c r="H1527" s="186" t="e">
        <f ca="1">OFFSET(skill!$Q$1,MATCH(B1527,skill!B:B,0)-1,0)</f>
        <v>#VALUE!</v>
      </c>
      <c r="I1527" s="186"/>
      <c r="J1527" s="186">
        <f ca="1">OFFSET(card_type!$F$1,MATCH(Q1527,card_type!A:A,0)-1,0)</f>
        <v>4</v>
      </c>
      <c r="K1527" s="243">
        <f ca="1">OFFSET(card_type!$G$1,MATCH(Q1527,card_type!A:A,0)-1,0)</f>
        <v>4</v>
      </c>
      <c r="L1527" s="157">
        <v>4</v>
      </c>
      <c r="M1527" s="157">
        <v>4</v>
      </c>
      <c r="N1527" s="153">
        <f t="shared" si="260"/>
        <v>17</v>
      </c>
      <c r="O1527" s="157"/>
      <c r="P1527" s="157"/>
      <c r="Q1527" s="153">
        <f ca="1">OFFSET(card_type!$A$1,MATCH(card!B1527,card_type!B:B,0)-1,0)</f>
        <v>2405</v>
      </c>
      <c r="R1527" s="153">
        <v>1</v>
      </c>
      <c r="S1527" s="157">
        <f ca="1">ROUND(IF(R1527=0,0,IF(R1527=1,X1527*$S$1,IF(R1527=2,X1527*$S$1*buff的资质计算!$E$2,IF(R1527=3,X1527*$S$1*buff的资质计算!$E$3,0)))),0)*0</f>
        <v>0</v>
      </c>
      <c r="T1527" s="153">
        <v>3</v>
      </c>
      <c r="U1527" s="153">
        <f ca="1" t="shared" si="251"/>
        <v>44</v>
      </c>
      <c r="V1527" s="153">
        <f ca="1">ROUND((OFFSET(卡牌辅助配置表!$O$1,MATCH(U1527,卡牌辅助配置表!M:M,0)-1,0)+(N1527-1)*OFFSET(卡牌辅助配置表!$P$1,MATCH(U1527,卡牌辅助配置表!M:M,0)-1,0))*M1527,2)</f>
        <v>665.52</v>
      </c>
      <c r="W1527" s="157">
        <f ca="1">ROUND(IF(R1527=0,0,IF(R1527=1,X1527*$W$1,IF(R1527=2,X1527*$W$1*buff的资质计算!$E$2,IF(R1527=3,X1527*$W$1*buff的资质计算!$E$3,0)))),2)</f>
        <v>40.8</v>
      </c>
      <c r="X1527" s="157">
        <f ca="1" t="shared" si="258"/>
        <v>136</v>
      </c>
      <c r="Y1527" s="157" t="e">
        <f ca="1" t="shared" si="255"/>
        <v>#VALUE!</v>
      </c>
      <c r="Z1527" s="304" t="e">
        <f ca="1" t="shared" si="259"/>
        <v>#VALUE!</v>
      </c>
      <c r="AA1527" s="304">
        <f ca="1">OFFSET(卡牌辅助配置表!$AD$1,MATCH(AB1527,卡牌辅助配置表!AB:AB,0)-1,0)</f>
        <v>39302</v>
      </c>
      <c r="AB1527" s="304">
        <f ca="1" t="shared" si="252"/>
        <v>4417</v>
      </c>
      <c r="AC1527" s="153">
        <v>12</v>
      </c>
      <c r="AF1527" s="153" t="str">
        <f ca="1" t="shared" si="256"/>
        <v>24050011|</v>
      </c>
      <c r="AJ1527" s="205">
        <f ca="1" t="shared" si="253"/>
        <v>0</v>
      </c>
      <c r="AK1527" s="205">
        <f ca="1">OFFSET([1]item_type!$A$1,MATCH(Q1527,[1]item_type!$G:$G,0)-1,0)</f>
        <v>302405</v>
      </c>
      <c r="AL1527" s="205"/>
      <c r="AM1527" s="205">
        <f ca="1">IF(B1527=B1528,OFFSET(卡牌辅助配置表!$AE$1,MATCH(AB1527,卡牌辅助配置表!AB:AB,0),0),0)</f>
        <v>16500</v>
      </c>
      <c r="AN1527" s="153">
        <f ca="1" t="shared" si="257"/>
        <v>0</v>
      </c>
      <c r="AP1527" s="153">
        <f ca="1">IF(AC1527=0,0,IF(AC1527=12,0,OFFSET(effect!$N$1,MATCH(K1527,effect!M:M,0)-1,0)))</f>
        <v>0</v>
      </c>
    </row>
    <row r="1528" spans="1:42">
      <c r="A1528" s="153">
        <f ca="1" t="shared" si="250"/>
        <v>2405018</v>
      </c>
      <c r="B1528" s="91" t="s">
        <v>813</v>
      </c>
      <c r="C1528" s="186">
        <v>2</v>
      </c>
      <c r="D1528" s="186">
        <v>1</v>
      </c>
      <c r="E1528" s="165" t="s">
        <v>1058</v>
      </c>
      <c r="F1528" s="179" t="s">
        <v>1065</v>
      </c>
      <c r="G1528" s="186">
        <f ca="1">OFFSET(卡牌辅助配置表!$C$1,MATCH(AC1528,卡牌辅助配置表!A:A,0)-1,0)</f>
        <v>0</v>
      </c>
      <c r="H1528" s="186" t="e">
        <f ca="1">OFFSET(skill!$Q$1,MATCH(B1528,skill!B:B,0)-1,0)</f>
        <v>#VALUE!</v>
      </c>
      <c r="I1528" s="186"/>
      <c r="J1528" s="186">
        <f ca="1">OFFSET(card_type!$F$1,MATCH(Q1528,card_type!A:A,0)-1,0)</f>
        <v>4</v>
      </c>
      <c r="K1528" s="243">
        <f ca="1">OFFSET(card_type!$G$1,MATCH(Q1528,card_type!A:A,0)-1,0)</f>
        <v>4</v>
      </c>
      <c r="L1528" s="157">
        <v>4</v>
      </c>
      <c r="M1528" s="157">
        <v>4</v>
      </c>
      <c r="N1528" s="153">
        <f t="shared" si="260"/>
        <v>18</v>
      </c>
      <c r="O1528" s="157"/>
      <c r="P1528" s="157"/>
      <c r="Q1528" s="153">
        <f ca="1">OFFSET(card_type!$A$1,MATCH(card!B1528,card_type!B:B,0)-1,0)</f>
        <v>2405</v>
      </c>
      <c r="R1528" s="153">
        <v>1</v>
      </c>
      <c r="S1528" s="157">
        <f ca="1">ROUND(IF(R1528=0,0,IF(R1528=1,X1528*$S$1,IF(R1528=2,X1528*$S$1*buff的资质计算!$E$2,IF(R1528=3,X1528*$S$1*buff的资质计算!$E$3,0)))),0)*0</f>
        <v>0</v>
      </c>
      <c r="T1528" s="153">
        <v>3</v>
      </c>
      <c r="U1528" s="153">
        <f ca="1" t="shared" si="251"/>
        <v>44</v>
      </c>
      <c r="V1528" s="153">
        <f ca="1">ROUND((OFFSET(卡牌辅助配置表!$O$1,MATCH(U1528,卡牌辅助配置表!M:M,0)-1,0)+(N1528-1)*OFFSET(卡牌辅助配置表!$P$1,MATCH(U1528,卡牌辅助配置表!M:M,0)-1,0))*M1528,2)</f>
        <v>693.84</v>
      </c>
      <c r="W1528" s="157">
        <f ca="1">ROUND(IF(R1528=0,0,IF(R1528=1,X1528*$W$1,IF(R1528=2,X1528*$W$1*buff的资质计算!$E$2,IF(R1528=3,X1528*$W$1*buff的资质计算!$E$3,0)))),2)</f>
        <v>40.95</v>
      </c>
      <c r="X1528" s="157">
        <f ca="1" t="shared" si="258"/>
        <v>136.5</v>
      </c>
      <c r="Y1528" s="157" t="e">
        <f ca="1" t="shared" si="255"/>
        <v>#VALUE!</v>
      </c>
      <c r="Z1528" s="304" t="e">
        <f ca="1" t="shared" si="259"/>
        <v>#VALUE!</v>
      </c>
      <c r="AA1528" s="304">
        <f ca="1">OFFSET(卡牌辅助配置表!$AD$1,MATCH(AB1528,卡牌辅助配置表!AB:AB,0)-1,0)</f>
        <v>42178</v>
      </c>
      <c r="AB1528" s="304">
        <f ca="1" t="shared" si="252"/>
        <v>4418</v>
      </c>
      <c r="AC1528" s="153">
        <v>12</v>
      </c>
      <c r="AF1528" s="153" t="str">
        <f ca="1" t="shared" si="256"/>
        <v>24050011|</v>
      </c>
      <c r="AJ1528" s="205">
        <f ca="1" t="shared" si="253"/>
        <v>0</v>
      </c>
      <c r="AK1528" s="205">
        <f ca="1">OFFSET([1]item_type!$A$1,MATCH(Q1528,[1]item_type!$G:$G,0)-1,0)</f>
        <v>302405</v>
      </c>
      <c r="AL1528" s="205"/>
      <c r="AM1528" s="205">
        <f ca="1">IF(B1528=B1529,OFFSET(卡牌辅助配置表!$AE$1,MATCH(AB1528,卡牌辅助配置表!AB:AB,0),0),0)</f>
        <v>17700</v>
      </c>
      <c r="AN1528" s="153">
        <f ca="1" t="shared" si="257"/>
        <v>0</v>
      </c>
      <c r="AP1528" s="153">
        <f ca="1">IF(AC1528=0,0,IF(AC1528=12,0,OFFSET(effect!$N$1,MATCH(K1528,effect!M:M,0)-1,0)))</f>
        <v>0</v>
      </c>
    </row>
    <row r="1529" spans="1:42">
      <c r="A1529" s="153">
        <f ca="1" t="shared" si="250"/>
        <v>2405019</v>
      </c>
      <c r="B1529" s="91" t="s">
        <v>813</v>
      </c>
      <c r="C1529" s="186">
        <v>2</v>
      </c>
      <c r="D1529" s="186">
        <v>1</v>
      </c>
      <c r="E1529" s="165" t="s">
        <v>1058</v>
      </c>
      <c r="F1529" s="179" t="s">
        <v>1065</v>
      </c>
      <c r="G1529" s="186">
        <f ca="1">OFFSET(卡牌辅助配置表!$C$1,MATCH(AC1529,卡牌辅助配置表!A:A,0)-1,0)</f>
        <v>0</v>
      </c>
      <c r="H1529" s="186" t="e">
        <f ca="1">OFFSET(skill!$Q$1,MATCH(B1529,skill!B:B,0)-1,0)</f>
        <v>#VALUE!</v>
      </c>
      <c r="I1529" s="186"/>
      <c r="J1529" s="186">
        <f ca="1">OFFSET(card_type!$F$1,MATCH(Q1529,card_type!A:A,0)-1,0)</f>
        <v>4</v>
      </c>
      <c r="K1529" s="243">
        <f ca="1">OFFSET(card_type!$G$1,MATCH(Q1529,card_type!A:A,0)-1,0)</f>
        <v>4</v>
      </c>
      <c r="L1529" s="157">
        <v>4</v>
      </c>
      <c r="M1529" s="157">
        <v>4</v>
      </c>
      <c r="N1529" s="153">
        <f t="shared" si="260"/>
        <v>19</v>
      </c>
      <c r="O1529" s="157"/>
      <c r="P1529" s="157"/>
      <c r="Q1529" s="153">
        <f ca="1">OFFSET(card_type!$A$1,MATCH(card!B1529,card_type!B:B,0)-1,0)</f>
        <v>2405</v>
      </c>
      <c r="R1529" s="153">
        <v>1</v>
      </c>
      <c r="S1529" s="157">
        <f ca="1">ROUND(IF(R1529=0,0,IF(R1529=1,X1529*$S$1,IF(R1529=2,X1529*$S$1*buff的资质计算!$E$2,IF(R1529=3,X1529*$S$1*buff的资质计算!$E$3,0)))),0)*0</f>
        <v>0</v>
      </c>
      <c r="T1529" s="153">
        <v>3</v>
      </c>
      <c r="U1529" s="153">
        <f ca="1" t="shared" si="251"/>
        <v>44</v>
      </c>
      <c r="V1529" s="153">
        <f ca="1">ROUND((OFFSET(卡牌辅助配置表!$O$1,MATCH(U1529,卡牌辅助配置表!M:M,0)-1,0)+(N1529-1)*OFFSET(卡牌辅助配置表!$P$1,MATCH(U1529,卡牌辅助配置表!M:M,0)-1,0))*M1529,2)</f>
        <v>722.16</v>
      </c>
      <c r="W1529" s="157">
        <f ca="1">ROUND(IF(R1529=0,0,IF(R1529=1,X1529*$W$1,IF(R1529=2,X1529*$W$1*buff的资质计算!$E$2,IF(R1529=3,X1529*$W$1*buff的资质计算!$E$3,0)))),2)</f>
        <v>41.1</v>
      </c>
      <c r="X1529" s="157">
        <f ca="1" t="shared" si="258"/>
        <v>137</v>
      </c>
      <c r="Y1529" s="157" t="e">
        <f ca="1" t="shared" si="255"/>
        <v>#VALUE!</v>
      </c>
      <c r="Z1529" s="304" t="e">
        <f ca="1" t="shared" si="259"/>
        <v>#VALUE!</v>
      </c>
      <c r="AA1529" s="304">
        <f ca="1">OFFSET(卡牌辅助配置表!$AD$1,MATCH(AB1529,卡牌辅助配置表!AB:AB,0)-1,0)</f>
        <v>45054</v>
      </c>
      <c r="AB1529" s="304">
        <f ca="1" t="shared" si="252"/>
        <v>4419</v>
      </c>
      <c r="AC1529" s="153">
        <v>12</v>
      </c>
      <c r="AF1529" s="153" t="str">
        <f ca="1" t="shared" si="256"/>
        <v>24050011|</v>
      </c>
      <c r="AJ1529" s="205">
        <f ca="1" t="shared" si="253"/>
        <v>0</v>
      </c>
      <c r="AK1529" s="205">
        <f ca="1">OFFSET([1]item_type!$A$1,MATCH(Q1529,[1]item_type!$G:$G,0)-1,0)</f>
        <v>302405</v>
      </c>
      <c r="AL1529" s="205">
        <v>20</v>
      </c>
      <c r="AM1529" s="205">
        <f ca="1">IF(B1529=B1530,OFFSET(卡牌辅助配置表!$AE$1,MATCH(AB1529,卡牌辅助配置表!AB:AB,0),0),0)</f>
        <v>18900</v>
      </c>
      <c r="AN1529" s="153">
        <f ca="1" t="shared" si="257"/>
        <v>0</v>
      </c>
      <c r="AP1529" s="153">
        <f ca="1">IF(AC1529=0,0,IF(AC1529=12,0,OFFSET(effect!$N$1,MATCH(K1529,effect!M:M,0)-1,0)))</f>
        <v>0</v>
      </c>
    </row>
    <row r="1530" spans="1:42">
      <c r="A1530" s="153">
        <f ca="1" t="shared" si="250"/>
        <v>2405020</v>
      </c>
      <c r="B1530" s="91" t="s">
        <v>813</v>
      </c>
      <c r="C1530" s="186">
        <v>2</v>
      </c>
      <c r="D1530" s="186">
        <v>1</v>
      </c>
      <c r="E1530" s="165" t="s">
        <v>1058</v>
      </c>
      <c r="F1530" s="179" t="s">
        <v>1065</v>
      </c>
      <c r="G1530" s="186">
        <f ca="1">OFFSET(卡牌辅助配置表!$C$1,MATCH(AC1530,卡牌辅助配置表!A:A,0)-1,0)</f>
        <v>0</v>
      </c>
      <c r="H1530" s="186" t="e">
        <f ca="1">OFFSET(skill!$Q$1,MATCH(B1530,skill!B:B,0)-1,0)</f>
        <v>#VALUE!</v>
      </c>
      <c r="I1530" s="186"/>
      <c r="J1530" s="186">
        <f ca="1">OFFSET(card_type!$F$1,MATCH(Q1530,card_type!A:A,0)-1,0)</f>
        <v>4</v>
      </c>
      <c r="K1530" s="243">
        <f ca="1">OFFSET(card_type!$G$1,MATCH(Q1530,card_type!A:A,0)-1,0)</f>
        <v>4</v>
      </c>
      <c r="L1530" s="157">
        <v>4</v>
      </c>
      <c r="M1530" s="157">
        <v>4</v>
      </c>
      <c r="N1530" s="153">
        <f t="shared" si="260"/>
        <v>20</v>
      </c>
      <c r="O1530" s="157"/>
      <c r="P1530" s="157"/>
      <c r="Q1530" s="153">
        <f ca="1">OFFSET(card_type!$A$1,MATCH(card!B1530,card_type!B:B,0)-1,0)</f>
        <v>2405</v>
      </c>
      <c r="R1530" s="153">
        <v>1</v>
      </c>
      <c r="S1530" s="157">
        <f ca="1">ROUND(IF(R1530=0,0,IF(R1530=1,X1530*$S$1,IF(R1530=2,X1530*$S$1*buff的资质计算!$E$2,IF(R1530=3,X1530*$S$1*buff的资质计算!$E$3,0)))),0)*0</f>
        <v>0</v>
      </c>
      <c r="T1530" s="153">
        <v>3</v>
      </c>
      <c r="U1530" s="153">
        <f ca="1" t="shared" si="251"/>
        <v>44</v>
      </c>
      <c r="V1530" s="153">
        <f ca="1">ROUND((OFFSET(卡牌辅助配置表!$O$1,MATCH(U1530,卡牌辅助配置表!M:M,0)-1,0)+(N1530-1)*OFFSET(卡牌辅助配置表!$P$1,MATCH(U1530,卡牌辅助配置表!M:M,0)-1,0))*M1530,2)</f>
        <v>750.48</v>
      </c>
      <c r="W1530" s="157">
        <f ca="1">ROUND(IF(R1530=0,0,IF(R1530=1,X1530*$W$1,IF(R1530=2,X1530*$W$1*buff的资质计算!$E$2,IF(R1530=3,X1530*$W$1*buff的资质计算!$E$3,0)))),2)</f>
        <v>41.25</v>
      </c>
      <c r="X1530" s="157">
        <f ca="1" t="shared" si="258"/>
        <v>137.5</v>
      </c>
      <c r="Y1530" s="157" t="e">
        <f ca="1" t="shared" si="255"/>
        <v>#VALUE!</v>
      </c>
      <c r="Z1530" s="304" t="e">
        <f ca="1" t="shared" si="259"/>
        <v>#VALUE!</v>
      </c>
      <c r="AA1530" s="304">
        <f ca="1">OFFSET(卡牌辅助配置表!$AD$1,MATCH(AB1530,卡牌辅助配置表!AB:AB,0)-1,0)</f>
        <v>47930</v>
      </c>
      <c r="AB1530" s="304">
        <f ca="1" t="shared" si="252"/>
        <v>4420</v>
      </c>
      <c r="AC1530" s="153">
        <v>12</v>
      </c>
      <c r="AF1530" s="153" t="str">
        <f ca="1" t="shared" si="256"/>
        <v>24050011|</v>
      </c>
      <c r="AJ1530" s="205">
        <f ca="1" t="shared" si="253"/>
        <v>0</v>
      </c>
      <c r="AK1530" s="205">
        <f ca="1">OFFSET([1]item_type!$A$1,MATCH(Q1530,[1]item_type!$G:$G,0)-1,0)</f>
        <v>302405</v>
      </c>
      <c r="AL1530" s="205"/>
      <c r="AM1530" s="205">
        <f ca="1">IF(B1530=B1531,OFFSET(卡牌辅助配置表!$AE$1,MATCH(AB1530,卡牌辅助配置表!AB:AB,0),0),0)</f>
        <v>21300</v>
      </c>
      <c r="AN1530" s="153">
        <f ca="1" t="shared" si="257"/>
        <v>0</v>
      </c>
      <c r="AP1530" s="153">
        <f ca="1">IF(AC1530=0,0,IF(AC1530=12,0,OFFSET(effect!$N$1,MATCH(K1530,effect!M:M,0)-1,0)))</f>
        <v>0</v>
      </c>
    </row>
    <row r="1531" spans="1:42">
      <c r="A1531" s="153">
        <f ca="1" t="shared" si="250"/>
        <v>2405021</v>
      </c>
      <c r="B1531" s="91" t="s">
        <v>813</v>
      </c>
      <c r="C1531" s="186">
        <v>2</v>
      </c>
      <c r="D1531" s="186">
        <v>1</v>
      </c>
      <c r="E1531" s="165" t="s">
        <v>1058</v>
      </c>
      <c r="F1531" s="179" t="s">
        <v>1065</v>
      </c>
      <c r="G1531" s="186">
        <f ca="1">OFFSET(卡牌辅助配置表!$C$1,MATCH(AC1531,卡牌辅助配置表!A:A,0)-1,0)</f>
        <v>0</v>
      </c>
      <c r="H1531" s="186" t="e">
        <f ca="1">OFFSET(skill!$Q$1,MATCH(B1531,skill!B:B,0)-1,0)</f>
        <v>#VALUE!</v>
      </c>
      <c r="I1531" s="186"/>
      <c r="J1531" s="186">
        <f ca="1">OFFSET(card_type!$F$1,MATCH(Q1531,card_type!A:A,0)-1,0)</f>
        <v>4</v>
      </c>
      <c r="K1531" s="243">
        <f ca="1">OFFSET(card_type!$G$1,MATCH(Q1531,card_type!A:A,0)-1,0)</f>
        <v>4</v>
      </c>
      <c r="L1531" s="157">
        <v>4</v>
      </c>
      <c r="M1531" s="157">
        <v>4</v>
      </c>
      <c r="N1531" s="153">
        <f t="shared" si="260"/>
        <v>21</v>
      </c>
      <c r="O1531" s="157"/>
      <c r="P1531" s="157"/>
      <c r="Q1531" s="153">
        <f ca="1">OFFSET(card_type!$A$1,MATCH(card!B1531,card_type!B:B,0)-1,0)</f>
        <v>2405</v>
      </c>
      <c r="R1531" s="153">
        <v>1</v>
      </c>
      <c r="S1531" s="157">
        <f ca="1">ROUND(IF(R1531=0,0,IF(R1531=1,X1531*$S$1,IF(R1531=2,X1531*$S$1*buff的资质计算!$E$2,IF(R1531=3,X1531*$S$1*buff的资质计算!$E$3,0)))),0)*0</f>
        <v>0</v>
      </c>
      <c r="T1531" s="153">
        <v>3</v>
      </c>
      <c r="U1531" s="153">
        <f ca="1" t="shared" si="251"/>
        <v>44</v>
      </c>
      <c r="V1531" s="153">
        <f ca="1">ROUND((OFFSET(卡牌辅助配置表!$O$1,MATCH(U1531,卡牌辅助配置表!M:M,0)-1,0)+(N1531-1)*OFFSET(卡牌辅助配置表!$P$1,MATCH(U1531,卡牌辅助配置表!M:M,0)-1,0))*M1531,2)</f>
        <v>778.8</v>
      </c>
      <c r="W1531" s="157">
        <f ca="1">ROUND(IF(R1531=0,0,IF(R1531=1,X1531*$W$1,IF(R1531=2,X1531*$W$1*buff的资质计算!$E$2,IF(R1531=3,X1531*$W$1*buff的资质计算!$E$3,0)))),2)</f>
        <v>41.4</v>
      </c>
      <c r="X1531" s="157">
        <f ca="1" t="shared" si="258"/>
        <v>138</v>
      </c>
      <c r="Y1531" s="157" t="e">
        <f ca="1" t="shared" si="255"/>
        <v>#VALUE!</v>
      </c>
      <c r="Z1531" s="304" t="e">
        <f ca="1" t="shared" si="259"/>
        <v>#VALUE!</v>
      </c>
      <c r="AA1531" s="304">
        <f ca="1">OFFSET(卡牌辅助配置表!$AD$1,MATCH(AB1531,卡牌辅助配置表!AB:AB,0)-1,0)</f>
        <v>51764</v>
      </c>
      <c r="AB1531" s="304">
        <f ca="1" t="shared" si="252"/>
        <v>4421</v>
      </c>
      <c r="AC1531" s="153">
        <v>12</v>
      </c>
      <c r="AF1531" s="153" t="str">
        <f ca="1" t="shared" si="256"/>
        <v>24050011|</v>
      </c>
      <c r="AJ1531" s="205">
        <f ca="1" t="shared" si="253"/>
        <v>0</v>
      </c>
      <c r="AK1531" s="205">
        <f ca="1">OFFSET([1]item_type!$A$1,MATCH(Q1531,[1]item_type!$G:$G,0)-1,0)</f>
        <v>302405</v>
      </c>
      <c r="AL1531" s="205"/>
      <c r="AM1531" s="205">
        <f ca="1">IF(B1531=B1532,OFFSET(卡牌辅助配置表!$AE$1,MATCH(AB1531,卡牌辅助配置表!AB:AB,0),0),0)</f>
        <v>23700</v>
      </c>
      <c r="AN1531" s="153">
        <f ca="1" t="shared" si="257"/>
        <v>0</v>
      </c>
      <c r="AP1531" s="153">
        <f ca="1">IF(AC1531=0,0,IF(AC1531=12,0,OFFSET(effect!$N$1,MATCH(K1531,effect!M:M,0)-1,0)))</f>
        <v>0</v>
      </c>
    </row>
    <row r="1532" spans="1:42">
      <c r="A1532" s="153">
        <f ca="1" t="shared" si="250"/>
        <v>2405022</v>
      </c>
      <c r="B1532" s="91" t="s">
        <v>813</v>
      </c>
      <c r="C1532" s="186">
        <v>2</v>
      </c>
      <c r="D1532" s="186">
        <v>1</v>
      </c>
      <c r="E1532" s="165" t="s">
        <v>1058</v>
      </c>
      <c r="F1532" s="179" t="s">
        <v>1065</v>
      </c>
      <c r="G1532" s="186">
        <f ca="1">OFFSET(卡牌辅助配置表!$C$1,MATCH(AC1532,卡牌辅助配置表!A:A,0)-1,0)</f>
        <v>0</v>
      </c>
      <c r="H1532" s="186" t="e">
        <f ca="1">OFFSET(skill!$Q$1,MATCH(B1532,skill!B:B,0)-1,0)</f>
        <v>#VALUE!</v>
      </c>
      <c r="I1532" s="186"/>
      <c r="J1532" s="186">
        <f ca="1">OFFSET(card_type!$F$1,MATCH(Q1532,card_type!A:A,0)-1,0)</f>
        <v>4</v>
      </c>
      <c r="K1532" s="243">
        <f ca="1">OFFSET(card_type!$G$1,MATCH(Q1532,card_type!A:A,0)-1,0)</f>
        <v>4</v>
      </c>
      <c r="L1532" s="157">
        <v>4</v>
      </c>
      <c r="M1532" s="157">
        <v>4</v>
      </c>
      <c r="N1532" s="153">
        <f t="shared" si="260"/>
        <v>22</v>
      </c>
      <c r="O1532" s="157"/>
      <c r="P1532" s="157"/>
      <c r="Q1532" s="153">
        <f ca="1">OFFSET(card_type!$A$1,MATCH(card!B1532,card_type!B:B,0)-1,0)</f>
        <v>2405</v>
      </c>
      <c r="R1532" s="153">
        <v>1</v>
      </c>
      <c r="S1532" s="157">
        <f ca="1">ROUND(IF(R1532=0,0,IF(R1532=1,X1532*$S$1,IF(R1532=2,X1532*$S$1*buff的资质计算!$E$2,IF(R1532=3,X1532*$S$1*buff的资质计算!$E$3,0)))),0)*0</f>
        <v>0</v>
      </c>
      <c r="T1532" s="153">
        <v>3</v>
      </c>
      <c r="U1532" s="153">
        <f ca="1" t="shared" si="251"/>
        <v>44</v>
      </c>
      <c r="V1532" s="153">
        <f ca="1">ROUND((OFFSET(卡牌辅助配置表!$O$1,MATCH(U1532,卡牌辅助配置表!M:M,0)-1,0)+(N1532-1)*OFFSET(卡牌辅助配置表!$P$1,MATCH(U1532,卡牌辅助配置表!M:M,0)-1,0))*M1532,2)</f>
        <v>807.12</v>
      </c>
      <c r="W1532" s="157">
        <f ca="1">ROUND(IF(R1532=0,0,IF(R1532=1,X1532*$W$1,IF(R1532=2,X1532*$W$1*buff的资质计算!$E$2,IF(R1532=3,X1532*$W$1*buff的资质计算!$E$3,0)))),2)</f>
        <v>41.55</v>
      </c>
      <c r="X1532" s="157">
        <f ca="1" t="shared" si="258"/>
        <v>138.5</v>
      </c>
      <c r="Y1532" s="157" t="e">
        <f ca="1" t="shared" si="255"/>
        <v>#VALUE!</v>
      </c>
      <c r="Z1532" s="304" t="e">
        <f ca="1" t="shared" si="259"/>
        <v>#VALUE!</v>
      </c>
      <c r="AA1532" s="304">
        <f ca="1">OFFSET(卡牌辅助配置表!$AD$1,MATCH(AB1532,卡牌辅助配置表!AB:AB,0)-1,0)</f>
        <v>55598</v>
      </c>
      <c r="AB1532" s="304">
        <f ca="1" t="shared" si="252"/>
        <v>4422</v>
      </c>
      <c r="AC1532" s="153">
        <v>12</v>
      </c>
      <c r="AF1532" s="153" t="str">
        <f ca="1" t="shared" si="256"/>
        <v>24050011|</v>
      </c>
      <c r="AJ1532" s="205">
        <f ca="1" t="shared" si="253"/>
        <v>0</v>
      </c>
      <c r="AK1532" s="205">
        <f ca="1">OFFSET([1]item_type!$A$1,MATCH(Q1532,[1]item_type!$G:$G,0)-1,0)</f>
        <v>302405</v>
      </c>
      <c r="AL1532" s="205"/>
      <c r="AM1532" s="205">
        <f ca="1">IF(B1532=B1533,OFFSET(卡牌辅助配置表!$AE$1,MATCH(AB1532,卡牌辅助配置表!AB:AB,0),0),0)</f>
        <v>26100</v>
      </c>
      <c r="AN1532" s="153">
        <f ca="1" t="shared" si="257"/>
        <v>0</v>
      </c>
      <c r="AP1532" s="153">
        <f ca="1">IF(AC1532=0,0,IF(AC1532=12,0,OFFSET(effect!$N$1,MATCH(K1532,effect!M:M,0)-1,0)))</f>
        <v>0</v>
      </c>
    </row>
    <row r="1533" spans="1:42">
      <c r="A1533" s="153">
        <f ca="1" t="shared" si="250"/>
        <v>2405023</v>
      </c>
      <c r="B1533" s="91" t="s">
        <v>813</v>
      </c>
      <c r="C1533" s="186">
        <v>2</v>
      </c>
      <c r="D1533" s="186">
        <v>1</v>
      </c>
      <c r="E1533" s="165" t="s">
        <v>1058</v>
      </c>
      <c r="F1533" s="179" t="s">
        <v>1065</v>
      </c>
      <c r="G1533" s="186">
        <f ca="1">OFFSET(卡牌辅助配置表!$C$1,MATCH(AC1533,卡牌辅助配置表!A:A,0)-1,0)</f>
        <v>0</v>
      </c>
      <c r="H1533" s="186" t="e">
        <f ca="1">OFFSET(skill!$Q$1,MATCH(B1533,skill!B:B,0)-1,0)</f>
        <v>#VALUE!</v>
      </c>
      <c r="I1533" s="186"/>
      <c r="J1533" s="186">
        <f ca="1">OFFSET(card_type!$F$1,MATCH(Q1533,card_type!A:A,0)-1,0)</f>
        <v>4</v>
      </c>
      <c r="K1533" s="243">
        <f ca="1">OFFSET(card_type!$G$1,MATCH(Q1533,card_type!A:A,0)-1,0)</f>
        <v>4</v>
      </c>
      <c r="L1533" s="157">
        <v>4</v>
      </c>
      <c r="M1533" s="157">
        <v>4</v>
      </c>
      <c r="N1533" s="153">
        <f t="shared" si="260"/>
        <v>23</v>
      </c>
      <c r="O1533" s="157"/>
      <c r="P1533" s="157"/>
      <c r="Q1533" s="153">
        <f ca="1">OFFSET(card_type!$A$1,MATCH(card!B1533,card_type!B:B,0)-1,0)</f>
        <v>2405</v>
      </c>
      <c r="R1533" s="153">
        <v>1</v>
      </c>
      <c r="S1533" s="157">
        <f ca="1">ROUND(IF(R1533=0,0,IF(R1533=1,X1533*$S$1,IF(R1533=2,X1533*$S$1*buff的资质计算!$E$2,IF(R1533=3,X1533*$S$1*buff的资质计算!$E$3,0)))),0)*0</f>
        <v>0</v>
      </c>
      <c r="T1533" s="153">
        <v>3</v>
      </c>
      <c r="U1533" s="153">
        <f ca="1" t="shared" si="251"/>
        <v>44</v>
      </c>
      <c r="V1533" s="153">
        <f ca="1">ROUND((OFFSET(卡牌辅助配置表!$O$1,MATCH(U1533,卡牌辅助配置表!M:M,0)-1,0)+(N1533-1)*OFFSET(卡牌辅助配置表!$P$1,MATCH(U1533,卡牌辅助配置表!M:M,0)-1,0))*M1533,2)</f>
        <v>835.44</v>
      </c>
      <c r="W1533" s="157">
        <f ca="1">ROUND(IF(R1533=0,0,IF(R1533=1,X1533*$W$1,IF(R1533=2,X1533*$W$1*buff的资质计算!$E$2,IF(R1533=3,X1533*$W$1*buff的资质计算!$E$3,0)))),2)</f>
        <v>41.7</v>
      </c>
      <c r="X1533" s="157">
        <f ca="1" t="shared" si="258"/>
        <v>139</v>
      </c>
      <c r="Y1533" s="157" t="e">
        <f ca="1" t="shared" si="255"/>
        <v>#VALUE!</v>
      </c>
      <c r="Z1533" s="304" t="e">
        <f ca="1" t="shared" si="259"/>
        <v>#VALUE!</v>
      </c>
      <c r="AA1533" s="304">
        <f ca="1">OFFSET(卡牌辅助配置表!$AD$1,MATCH(AB1533,卡牌辅助配置表!AB:AB,0)-1,0)</f>
        <v>59432</v>
      </c>
      <c r="AB1533" s="304">
        <f ca="1" t="shared" si="252"/>
        <v>4423</v>
      </c>
      <c r="AC1533" s="153">
        <v>12</v>
      </c>
      <c r="AF1533" s="153" t="str">
        <f ca="1" t="shared" si="256"/>
        <v>24050011|</v>
      </c>
      <c r="AJ1533" s="205">
        <f ca="1" t="shared" si="253"/>
        <v>0</v>
      </c>
      <c r="AK1533" s="205">
        <f ca="1">OFFSET([1]item_type!$A$1,MATCH(Q1533,[1]item_type!$G:$G,0)-1,0)</f>
        <v>302405</v>
      </c>
      <c r="AL1533" s="205"/>
      <c r="AM1533" s="205">
        <f ca="1">IF(B1533=B1534,OFFSET(卡牌辅助配置表!$AE$1,MATCH(AB1533,卡牌辅助配置表!AB:AB,0),0),0)</f>
        <v>28500</v>
      </c>
      <c r="AN1533" s="153">
        <f ca="1" t="shared" si="257"/>
        <v>0</v>
      </c>
      <c r="AP1533" s="153">
        <f ca="1">IF(AC1533=0,0,IF(AC1533=12,0,OFFSET(effect!$N$1,MATCH(K1533,effect!M:M,0)-1,0)))</f>
        <v>0</v>
      </c>
    </row>
    <row r="1534" spans="1:42">
      <c r="A1534" s="153">
        <f ca="1" t="shared" si="250"/>
        <v>2405024</v>
      </c>
      <c r="B1534" s="91" t="s">
        <v>813</v>
      </c>
      <c r="C1534" s="186">
        <v>2</v>
      </c>
      <c r="D1534" s="186">
        <v>1</v>
      </c>
      <c r="E1534" s="165" t="s">
        <v>1058</v>
      </c>
      <c r="F1534" s="179" t="s">
        <v>1065</v>
      </c>
      <c r="G1534" s="186">
        <f ca="1">OFFSET(卡牌辅助配置表!$C$1,MATCH(AC1534,卡牌辅助配置表!A:A,0)-1,0)</f>
        <v>0</v>
      </c>
      <c r="H1534" s="186" t="e">
        <f ca="1">OFFSET(skill!$Q$1,MATCH(B1534,skill!B:B,0)-1,0)</f>
        <v>#VALUE!</v>
      </c>
      <c r="I1534" s="186"/>
      <c r="J1534" s="186">
        <f ca="1">OFFSET(card_type!$F$1,MATCH(Q1534,card_type!A:A,0)-1,0)</f>
        <v>4</v>
      </c>
      <c r="K1534" s="243">
        <f ca="1">OFFSET(card_type!$G$1,MATCH(Q1534,card_type!A:A,0)-1,0)</f>
        <v>4</v>
      </c>
      <c r="L1534" s="157">
        <v>4</v>
      </c>
      <c r="M1534" s="157">
        <v>4</v>
      </c>
      <c r="N1534" s="153">
        <f t="shared" si="260"/>
        <v>24</v>
      </c>
      <c r="O1534" s="157"/>
      <c r="P1534" s="157"/>
      <c r="Q1534" s="153">
        <f ca="1">OFFSET(card_type!$A$1,MATCH(card!B1534,card_type!B:B,0)-1,0)</f>
        <v>2405</v>
      </c>
      <c r="R1534" s="153">
        <v>1</v>
      </c>
      <c r="S1534" s="157">
        <f ca="1">ROUND(IF(R1534=0,0,IF(R1534=1,X1534*$S$1,IF(R1534=2,X1534*$S$1*buff的资质计算!$E$2,IF(R1534=3,X1534*$S$1*buff的资质计算!$E$3,0)))),0)*0</f>
        <v>0</v>
      </c>
      <c r="T1534" s="153">
        <v>3</v>
      </c>
      <c r="U1534" s="153">
        <f ca="1" t="shared" si="251"/>
        <v>44</v>
      </c>
      <c r="V1534" s="153">
        <f ca="1">ROUND((OFFSET(卡牌辅助配置表!$O$1,MATCH(U1534,卡牌辅助配置表!M:M,0)-1,0)+(N1534-1)*OFFSET(卡牌辅助配置表!$P$1,MATCH(U1534,卡牌辅助配置表!M:M,0)-1,0))*M1534,2)</f>
        <v>863.76</v>
      </c>
      <c r="W1534" s="157">
        <f ca="1">ROUND(IF(R1534=0,0,IF(R1534=1,X1534*$W$1,IF(R1534=2,X1534*$W$1*buff的资质计算!$E$2,IF(R1534=3,X1534*$W$1*buff的资质计算!$E$3,0)))),2)</f>
        <v>41.85</v>
      </c>
      <c r="X1534" s="157">
        <f ca="1" t="shared" si="258"/>
        <v>139.5</v>
      </c>
      <c r="Y1534" s="157" t="e">
        <f ca="1" t="shared" si="255"/>
        <v>#VALUE!</v>
      </c>
      <c r="Z1534" s="304" t="e">
        <f ca="1" t="shared" si="259"/>
        <v>#VALUE!</v>
      </c>
      <c r="AA1534" s="304">
        <f ca="1">OFFSET(卡牌辅助配置表!$AD$1,MATCH(AB1534,卡牌辅助配置表!AB:AB,0)-1,0)</f>
        <v>63266</v>
      </c>
      <c r="AB1534" s="304">
        <f ca="1" t="shared" si="252"/>
        <v>4424</v>
      </c>
      <c r="AC1534" s="153">
        <v>12</v>
      </c>
      <c r="AF1534" s="153" t="str">
        <f ca="1" t="shared" si="256"/>
        <v>24050011|</v>
      </c>
      <c r="AJ1534" s="205">
        <f ca="1" t="shared" si="253"/>
        <v>0</v>
      </c>
      <c r="AK1534" s="205">
        <f ca="1">OFFSET([1]item_type!$A$1,MATCH(Q1534,[1]item_type!$G:$G,0)-1,0)</f>
        <v>302405</v>
      </c>
      <c r="AL1534" s="205"/>
      <c r="AM1534" s="205">
        <f ca="1">IF(B1534=B1535,OFFSET(卡牌辅助配置表!$AE$1,MATCH(AB1534,卡牌辅助配置表!AB:AB,0),0),0)</f>
        <v>30900</v>
      </c>
      <c r="AN1534" s="153">
        <f ca="1" t="shared" si="257"/>
        <v>0</v>
      </c>
      <c r="AP1534" s="153">
        <f ca="1">IF(AC1534=0,0,IF(AC1534=12,0,OFFSET(effect!$N$1,MATCH(K1534,effect!M:M,0)-1,0)))</f>
        <v>0</v>
      </c>
    </row>
    <row r="1535" spans="1:42">
      <c r="A1535" s="153">
        <f ca="1" t="shared" si="250"/>
        <v>2405025</v>
      </c>
      <c r="B1535" s="91" t="s">
        <v>813</v>
      </c>
      <c r="C1535" s="186">
        <v>2</v>
      </c>
      <c r="D1535" s="186">
        <v>1</v>
      </c>
      <c r="E1535" s="165" t="s">
        <v>1058</v>
      </c>
      <c r="F1535" s="179" t="s">
        <v>1065</v>
      </c>
      <c r="G1535" s="186">
        <f ca="1">OFFSET(卡牌辅助配置表!$C$1,MATCH(AC1535,卡牌辅助配置表!A:A,0)-1,0)</f>
        <v>0</v>
      </c>
      <c r="H1535" s="186" t="e">
        <f ca="1">OFFSET(skill!$Q$1,MATCH(B1535,skill!B:B,0)-1,0)</f>
        <v>#VALUE!</v>
      </c>
      <c r="I1535" s="186"/>
      <c r="J1535" s="186">
        <f ca="1">OFFSET(card_type!$F$1,MATCH(Q1535,card_type!A:A,0)-1,0)</f>
        <v>4</v>
      </c>
      <c r="K1535" s="243">
        <f ca="1">OFFSET(card_type!$G$1,MATCH(Q1535,card_type!A:A,0)-1,0)</f>
        <v>4</v>
      </c>
      <c r="L1535" s="157">
        <v>4</v>
      </c>
      <c r="M1535" s="157">
        <v>4</v>
      </c>
      <c r="N1535" s="153">
        <f t="shared" si="260"/>
        <v>25</v>
      </c>
      <c r="O1535" s="157"/>
      <c r="P1535" s="157"/>
      <c r="Q1535" s="153">
        <f ca="1">OFFSET(card_type!$A$1,MATCH(card!B1535,card_type!B:B,0)-1,0)</f>
        <v>2405</v>
      </c>
      <c r="R1535" s="153">
        <v>1</v>
      </c>
      <c r="S1535" s="157">
        <f ca="1">ROUND(IF(R1535=0,0,IF(R1535=1,X1535*$S$1,IF(R1535=2,X1535*$S$1*buff的资质计算!$E$2,IF(R1535=3,X1535*$S$1*buff的资质计算!$E$3,0)))),0)*0</f>
        <v>0</v>
      </c>
      <c r="T1535" s="153">
        <v>3</v>
      </c>
      <c r="U1535" s="153">
        <f ca="1" t="shared" si="251"/>
        <v>44</v>
      </c>
      <c r="V1535" s="153">
        <f ca="1">ROUND((OFFSET(卡牌辅助配置表!$O$1,MATCH(U1535,卡牌辅助配置表!M:M,0)-1,0)+(N1535-1)*OFFSET(卡牌辅助配置表!$P$1,MATCH(U1535,卡牌辅助配置表!M:M,0)-1,0))*M1535,2)</f>
        <v>892.08</v>
      </c>
      <c r="W1535" s="157">
        <f ca="1">ROUND(IF(R1535=0,0,IF(R1535=1,X1535*$W$1,IF(R1535=2,X1535*$W$1*buff的资质计算!$E$2,IF(R1535=3,X1535*$W$1*buff的资质计算!$E$3,0)))),2)</f>
        <v>42</v>
      </c>
      <c r="X1535" s="157">
        <f ca="1" t="shared" si="258"/>
        <v>140</v>
      </c>
      <c r="Y1535" s="157" t="e">
        <f ca="1" t="shared" si="255"/>
        <v>#VALUE!</v>
      </c>
      <c r="Z1535" s="304" t="e">
        <f ca="1" t="shared" si="259"/>
        <v>#VALUE!</v>
      </c>
      <c r="AA1535" s="304">
        <f ca="1">OFFSET(卡牌辅助配置表!$AD$1,MATCH(AB1535,卡牌辅助配置表!AB:AB,0)-1,0)</f>
        <v>67100</v>
      </c>
      <c r="AB1535" s="304">
        <f ca="1" t="shared" si="252"/>
        <v>4425</v>
      </c>
      <c r="AC1535" s="153">
        <v>12</v>
      </c>
      <c r="AF1535" s="153" t="str">
        <f ca="1" t="shared" si="256"/>
        <v>24050011|</v>
      </c>
      <c r="AJ1535" s="205">
        <f ca="1" t="shared" si="253"/>
        <v>0</v>
      </c>
      <c r="AK1535" s="205">
        <f ca="1">OFFSET([1]item_type!$A$1,MATCH(Q1535,[1]item_type!$G:$G,0)-1,0)</f>
        <v>302405</v>
      </c>
      <c r="AL1535" s="205"/>
      <c r="AM1535" s="205">
        <f ca="1">IF(B1535=B1536,OFFSET(卡牌辅助配置表!$AE$1,MATCH(AB1535,卡牌辅助配置表!AB:AB,0),0),0)</f>
        <v>33300</v>
      </c>
      <c r="AN1535" s="153">
        <f ca="1" t="shared" si="257"/>
        <v>0</v>
      </c>
      <c r="AP1535" s="153">
        <f ca="1">IF(AC1535=0,0,IF(AC1535=12,0,OFFSET(effect!$N$1,MATCH(K1535,effect!M:M,0)-1,0)))</f>
        <v>0</v>
      </c>
    </row>
    <row r="1536" spans="1:42">
      <c r="A1536" s="153">
        <f ca="1" t="shared" si="250"/>
        <v>2405026</v>
      </c>
      <c r="B1536" s="91" t="s">
        <v>813</v>
      </c>
      <c r="C1536" s="186">
        <v>2</v>
      </c>
      <c r="D1536" s="186">
        <v>1</v>
      </c>
      <c r="E1536" s="165" t="s">
        <v>1058</v>
      </c>
      <c r="F1536" s="179" t="s">
        <v>1065</v>
      </c>
      <c r="G1536" s="186">
        <f ca="1">OFFSET(卡牌辅助配置表!$C$1,MATCH(AC1536,卡牌辅助配置表!A:A,0)-1,0)</f>
        <v>0</v>
      </c>
      <c r="H1536" s="186" t="e">
        <f ca="1">OFFSET(skill!$Q$1,MATCH(B1536,skill!B:B,0)-1,0)</f>
        <v>#VALUE!</v>
      </c>
      <c r="I1536" s="186"/>
      <c r="J1536" s="186">
        <f ca="1">OFFSET(card_type!$F$1,MATCH(Q1536,card_type!A:A,0)-1,0)</f>
        <v>4</v>
      </c>
      <c r="K1536" s="243">
        <f ca="1">OFFSET(card_type!$G$1,MATCH(Q1536,card_type!A:A,0)-1,0)</f>
        <v>4</v>
      </c>
      <c r="L1536" s="157">
        <v>4</v>
      </c>
      <c r="M1536" s="157">
        <v>4</v>
      </c>
      <c r="N1536" s="153">
        <f t="shared" si="260"/>
        <v>26</v>
      </c>
      <c r="O1536" s="157"/>
      <c r="P1536" s="157"/>
      <c r="Q1536" s="153">
        <f ca="1">OFFSET(card_type!$A$1,MATCH(card!B1536,card_type!B:B,0)-1,0)</f>
        <v>2405</v>
      </c>
      <c r="R1536" s="153">
        <v>1</v>
      </c>
      <c r="S1536" s="157">
        <f ca="1">ROUND(IF(R1536=0,0,IF(R1536=1,X1536*$S$1,IF(R1536=2,X1536*$S$1*buff的资质计算!$E$2,IF(R1536=3,X1536*$S$1*buff的资质计算!$E$3,0)))),0)*0</f>
        <v>0</v>
      </c>
      <c r="T1536" s="153">
        <v>3</v>
      </c>
      <c r="U1536" s="153">
        <f ca="1" t="shared" si="251"/>
        <v>44</v>
      </c>
      <c r="V1536" s="153">
        <f ca="1">ROUND((OFFSET(卡牌辅助配置表!$O$1,MATCH(U1536,卡牌辅助配置表!M:M,0)-1,0)+(N1536-1)*OFFSET(卡牌辅助配置表!$P$1,MATCH(U1536,卡牌辅助配置表!M:M,0)-1,0))*M1536,2)</f>
        <v>920.4</v>
      </c>
      <c r="W1536" s="157">
        <f ca="1">ROUND(IF(R1536=0,0,IF(R1536=1,X1536*$W$1,IF(R1536=2,X1536*$W$1*buff的资质计算!$E$2,IF(R1536=3,X1536*$W$1*buff的资质计算!$E$3,0)))),2)</f>
        <v>42.15</v>
      </c>
      <c r="X1536" s="157">
        <f ca="1" t="shared" si="258"/>
        <v>140.5</v>
      </c>
      <c r="Y1536" s="157" t="e">
        <f ca="1" t="shared" si="255"/>
        <v>#VALUE!</v>
      </c>
      <c r="Z1536" s="304" t="e">
        <f ca="1" t="shared" si="259"/>
        <v>#VALUE!</v>
      </c>
      <c r="AA1536" s="304">
        <f ca="1">OFFSET(卡牌辅助配置表!$AD$1,MATCH(AB1536,卡牌辅助配置表!AB:AB,0)-1,0)</f>
        <v>70934</v>
      </c>
      <c r="AB1536" s="304">
        <f ca="1" t="shared" si="252"/>
        <v>4426</v>
      </c>
      <c r="AC1536" s="153">
        <v>12</v>
      </c>
      <c r="AF1536" s="153" t="str">
        <f ca="1" t="shared" si="256"/>
        <v>24050011|</v>
      </c>
      <c r="AJ1536" s="205">
        <f ca="1" t="shared" si="253"/>
        <v>0</v>
      </c>
      <c r="AK1536" s="205">
        <f ca="1">OFFSET([1]item_type!$A$1,MATCH(Q1536,[1]item_type!$G:$G,0)-1,0)</f>
        <v>302405</v>
      </c>
      <c r="AL1536" s="205"/>
      <c r="AM1536" s="205">
        <f ca="1">IF(B1536=B1537,OFFSET(卡牌辅助配置表!$AE$1,MATCH(AB1536,卡牌辅助配置表!AB:AB,0),0),0)</f>
        <v>35700</v>
      </c>
      <c r="AN1536" s="153">
        <f ca="1" t="shared" si="257"/>
        <v>0</v>
      </c>
      <c r="AP1536" s="153">
        <f ca="1">IF(AC1536=0,0,IF(AC1536=12,0,OFFSET(effect!$N$1,MATCH(K1536,effect!M:M,0)-1,0)))</f>
        <v>0</v>
      </c>
    </row>
    <row r="1537" spans="1:42">
      <c r="A1537" s="153">
        <f ca="1" t="shared" si="250"/>
        <v>2405027</v>
      </c>
      <c r="B1537" s="91" t="s">
        <v>813</v>
      </c>
      <c r="C1537" s="186">
        <v>2</v>
      </c>
      <c r="D1537" s="186">
        <v>1</v>
      </c>
      <c r="E1537" s="165" t="s">
        <v>1058</v>
      </c>
      <c r="F1537" s="179" t="s">
        <v>1065</v>
      </c>
      <c r="G1537" s="186">
        <f ca="1">OFFSET(卡牌辅助配置表!$C$1,MATCH(AC1537,卡牌辅助配置表!A:A,0)-1,0)</f>
        <v>0</v>
      </c>
      <c r="H1537" s="186" t="e">
        <f ca="1">OFFSET(skill!$Q$1,MATCH(B1537,skill!B:B,0)-1,0)</f>
        <v>#VALUE!</v>
      </c>
      <c r="I1537" s="186"/>
      <c r="J1537" s="186">
        <f ca="1">OFFSET(card_type!$F$1,MATCH(Q1537,card_type!A:A,0)-1,0)</f>
        <v>4</v>
      </c>
      <c r="K1537" s="243">
        <f ca="1">OFFSET(card_type!$G$1,MATCH(Q1537,card_type!A:A,0)-1,0)</f>
        <v>4</v>
      </c>
      <c r="L1537" s="157">
        <v>4</v>
      </c>
      <c r="M1537" s="157">
        <v>4</v>
      </c>
      <c r="N1537" s="153">
        <f t="shared" si="260"/>
        <v>27</v>
      </c>
      <c r="O1537" s="157"/>
      <c r="P1537" s="157"/>
      <c r="Q1537" s="153">
        <f ca="1">OFFSET(card_type!$A$1,MATCH(card!B1537,card_type!B:B,0)-1,0)</f>
        <v>2405</v>
      </c>
      <c r="R1537" s="153">
        <v>1</v>
      </c>
      <c r="S1537" s="157">
        <f ca="1">ROUND(IF(R1537=0,0,IF(R1537=1,X1537*$S$1,IF(R1537=2,X1537*$S$1*buff的资质计算!$E$2,IF(R1537=3,X1537*$S$1*buff的资质计算!$E$3,0)))),0)*0</f>
        <v>0</v>
      </c>
      <c r="T1537" s="153">
        <v>3</v>
      </c>
      <c r="U1537" s="153">
        <f ca="1" t="shared" si="251"/>
        <v>44</v>
      </c>
      <c r="V1537" s="153">
        <f ca="1">ROUND((OFFSET(卡牌辅助配置表!$O$1,MATCH(U1537,卡牌辅助配置表!M:M,0)-1,0)+(N1537-1)*OFFSET(卡牌辅助配置表!$P$1,MATCH(U1537,卡牌辅助配置表!M:M,0)-1,0))*M1537,2)</f>
        <v>948.72</v>
      </c>
      <c r="W1537" s="157">
        <f ca="1">ROUND(IF(R1537=0,0,IF(R1537=1,X1537*$W$1,IF(R1537=2,X1537*$W$1*buff的资质计算!$E$2,IF(R1537=3,X1537*$W$1*buff的资质计算!$E$3,0)))),2)</f>
        <v>42.3</v>
      </c>
      <c r="X1537" s="157">
        <f ca="1" t="shared" si="258"/>
        <v>141</v>
      </c>
      <c r="Y1537" s="157" t="e">
        <f ca="1" t="shared" si="255"/>
        <v>#VALUE!</v>
      </c>
      <c r="Z1537" s="304" t="e">
        <f ca="1" t="shared" si="259"/>
        <v>#VALUE!</v>
      </c>
      <c r="AA1537" s="304">
        <f ca="1">OFFSET(卡牌辅助配置表!$AD$1,MATCH(AB1537,卡牌辅助配置表!AB:AB,0)-1,0)</f>
        <v>74768</v>
      </c>
      <c r="AB1537" s="304">
        <f ca="1" t="shared" si="252"/>
        <v>4427</v>
      </c>
      <c r="AC1537" s="153">
        <v>12</v>
      </c>
      <c r="AF1537" s="153" t="str">
        <f ca="1" t="shared" si="256"/>
        <v>24050011|</v>
      </c>
      <c r="AJ1537" s="205">
        <f ca="1" t="shared" si="253"/>
        <v>0</v>
      </c>
      <c r="AK1537" s="205">
        <f ca="1">OFFSET([1]item_type!$A$1,MATCH(Q1537,[1]item_type!$G:$G,0)-1,0)</f>
        <v>302405</v>
      </c>
      <c r="AL1537" s="205"/>
      <c r="AM1537" s="205">
        <f ca="1">IF(B1537=B1538,OFFSET(卡牌辅助配置表!$AE$1,MATCH(AB1537,卡牌辅助配置表!AB:AB,0),0),0)</f>
        <v>38100</v>
      </c>
      <c r="AN1537" s="153">
        <f ca="1" t="shared" si="257"/>
        <v>0</v>
      </c>
      <c r="AP1537" s="153">
        <f ca="1">IF(AC1537=0,0,IF(AC1537=12,0,OFFSET(effect!$N$1,MATCH(K1537,effect!M:M,0)-1,0)))</f>
        <v>0</v>
      </c>
    </row>
    <row r="1538" spans="1:42">
      <c r="A1538" s="153">
        <f ca="1" t="shared" si="250"/>
        <v>2405028</v>
      </c>
      <c r="B1538" s="91" t="s">
        <v>813</v>
      </c>
      <c r="C1538" s="186">
        <v>2</v>
      </c>
      <c r="D1538" s="186">
        <v>1</v>
      </c>
      <c r="E1538" s="165" t="s">
        <v>1058</v>
      </c>
      <c r="F1538" s="179" t="s">
        <v>1065</v>
      </c>
      <c r="G1538" s="186">
        <f ca="1">OFFSET(卡牌辅助配置表!$C$1,MATCH(AC1538,卡牌辅助配置表!A:A,0)-1,0)</f>
        <v>0</v>
      </c>
      <c r="H1538" s="186" t="e">
        <f ca="1">OFFSET(skill!$Q$1,MATCH(B1538,skill!B:B,0)-1,0)</f>
        <v>#VALUE!</v>
      </c>
      <c r="I1538" s="186"/>
      <c r="J1538" s="186">
        <f ca="1">OFFSET(card_type!$F$1,MATCH(Q1538,card_type!A:A,0)-1,0)</f>
        <v>4</v>
      </c>
      <c r="K1538" s="243">
        <f ca="1">OFFSET(card_type!$G$1,MATCH(Q1538,card_type!A:A,0)-1,0)</f>
        <v>4</v>
      </c>
      <c r="L1538" s="157">
        <v>4</v>
      </c>
      <c r="M1538" s="157">
        <v>4</v>
      </c>
      <c r="N1538" s="153">
        <f t="shared" si="260"/>
        <v>28</v>
      </c>
      <c r="O1538" s="157"/>
      <c r="P1538" s="157"/>
      <c r="Q1538" s="153">
        <f ca="1">OFFSET(card_type!$A$1,MATCH(card!B1538,card_type!B:B,0)-1,0)</f>
        <v>2405</v>
      </c>
      <c r="R1538" s="153">
        <v>1</v>
      </c>
      <c r="S1538" s="157">
        <f ca="1">ROUND(IF(R1538=0,0,IF(R1538=1,X1538*$S$1,IF(R1538=2,X1538*$S$1*buff的资质计算!$E$2,IF(R1538=3,X1538*$S$1*buff的资质计算!$E$3,0)))),0)*0</f>
        <v>0</v>
      </c>
      <c r="T1538" s="153">
        <v>3</v>
      </c>
      <c r="U1538" s="153">
        <f ca="1" t="shared" si="251"/>
        <v>44</v>
      </c>
      <c r="V1538" s="153">
        <f ca="1">ROUND((OFFSET(卡牌辅助配置表!$O$1,MATCH(U1538,卡牌辅助配置表!M:M,0)-1,0)+(N1538-1)*OFFSET(卡牌辅助配置表!$P$1,MATCH(U1538,卡牌辅助配置表!M:M,0)-1,0))*M1538,2)</f>
        <v>977.04</v>
      </c>
      <c r="W1538" s="157">
        <f ca="1">ROUND(IF(R1538=0,0,IF(R1538=1,X1538*$W$1,IF(R1538=2,X1538*$W$1*buff的资质计算!$E$2,IF(R1538=3,X1538*$W$1*buff的资质计算!$E$3,0)))),2)</f>
        <v>42.45</v>
      </c>
      <c r="X1538" s="157">
        <f ca="1" t="shared" si="258"/>
        <v>141.5</v>
      </c>
      <c r="Y1538" s="157" t="e">
        <f ca="1" t="shared" si="255"/>
        <v>#VALUE!</v>
      </c>
      <c r="Z1538" s="304" t="e">
        <f ca="1" t="shared" si="259"/>
        <v>#VALUE!</v>
      </c>
      <c r="AA1538" s="304">
        <f ca="1">OFFSET(卡牌辅助配置表!$AD$1,MATCH(AB1538,卡牌辅助配置表!AB:AB,0)-1,0)</f>
        <v>78602</v>
      </c>
      <c r="AB1538" s="304">
        <f ca="1" t="shared" si="252"/>
        <v>4428</v>
      </c>
      <c r="AC1538" s="153">
        <v>12</v>
      </c>
      <c r="AF1538" s="153" t="str">
        <f ca="1" t="shared" si="256"/>
        <v>24050011|</v>
      </c>
      <c r="AJ1538" s="205">
        <f ca="1" t="shared" si="253"/>
        <v>0</v>
      </c>
      <c r="AK1538" s="205">
        <f ca="1">OFFSET([1]item_type!$A$1,MATCH(Q1538,[1]item_type!$G:$G,0)-1,0)</f>
        <v>302405</v>
      </c>
      <c r="AL1538" s="205"/>
      <c r="AM1538" s="205">
        <f ca="1">IF(B1538=B1539,OFFSET(卡牌辅助配置表!$AE$1,MATCH(AB1538,卡牌辅助配置表!AB:AB,0),0),0)</f>
        <v>40500</v>
      </c>
      <c r="AN1538" s="153">
        <f ca="1" t="shared" si="257"/>
        <v>0</v>
      </c>
      <c r="AP1538" s="153">
        <f ca="1">IF(AC1538=0,0,IF(AC1538=12,0,OFFSET(effect!$N$1,MATCH(K1538,effect!M:M,0)-1,0)))</f>
        <v>0</v>
      </c>
    </row>
    <row r="1539" spans="1:42">
      <c r="A1539" s="153">
        <f ca="1" t="shared" si="250"/>
        <v>2405029</v>
      </c>
      <c r="B1539" s="91" t="s">
        <v>813</v>
      </c>
      <c r="C1539" s="186">
        <v>2</v>
      </c>
      <c r="D1539" s="186">
        <v>1</v>
      </c>
      <c r="E1539" s="165" t="s">
        <v>1058</v>
      </c>
      <c r="F1539" s="179" t="s">
        <v>1065</v>
      </c>
      <c r="G1539" s="186">
        <f ca="1">OFFSET(卡牌辅助配置表!$C$1,MATCH(AC1539,卡牌辅助配置表!A:A,0)-1,0)</f>
        <v>0</v>
      </c>
      <c r="H1539" s="186" t="e">
        <f ca="1">OFFSET(skill!$Q$1,MATCH(B1539,skill!B:B,0)-1,0)</f>
        <v>#VALUE!</v>
      </c>
      <c r="I1539" s="186"/>
      <c r="J1539" s="186">
        <f ca="1">OFFSET(card_type!$F$1,MATCH(Q1539,card_type!A:A,0)-1,0)</f>
        <v>4</v>
      </c>
      <c r="K1539" s="243">
        <f ca="1">OFFSET(card_type!$G$1,MATCH(Q1539,card_type!A:A,0)-1,0)</f>
        <v>4</v>
      </c>
      <c r="L1539" s="157">
        <v>4</v>
      </c>
      <c r="M1539" s="157">
        <v>4</v>
      </c>
      <c r="N1539" s="153">
        <f t="shared" si="260"/>
        <v>29</v>
      </c>
      <c r="O1539" s="157"/>
      <c r="P1539" s="157"/>
      <c r="Q1539" s="153">
        <f ca="1">OFFSET(card_type!$A$1,MATCH(card!B1539,card_type!B:B,0)-1,0)</f>
        <v>2405</v>
      </c>
      <c r="R1539" s="153">
        <v>1</v>
      </c>
      <c r="S1539" s="157">
        <f ca="1">ROUND(IF(R1539=0,0,IF(R1539=1,X1539*$S$1,IF(R1539=2,X1539*$S$1*buff的资质计算!$E$2,IF(R1539=3,X1539*$S$1*buff的资质计算!$E$3,0)))),0)*0</f>
        <v>0</v>
      </c>
      <c r="T1539" s="153">
        <v>3</v>
      </c>
      <c r="U1539" s="153">
        <f ca="1" t="shared" si="251"/>
        <v>44</v>
      </c>
      <c r="V1539" s="153">
        <f ca="1">ROUND((OFFSET(卡牌辅助配置表!$O$1,MATCH(U1539,卡牌辅助配置表!M:M,0)-1,0)+(N1539-1)*OFFSET(卡牌辅助配置表!$P$1,MATCH(U1539,卡牌辅助配置表!M:M,0)-1,0))*M1539,2)</f>
        <v>1005.36</v>
      </c>
      <c r="W1539" s="157">
        <f ca="1">ROUND(IF(R1539=0,0,IF(R1539=1,X1539*$W$1,IF(R1539=2,X1539*$W$1*buff的资质计算!$E$2,IF(R1539=3,X1539*$W$1*buff的资质计算!$E$3,0)))),2)</f>
        <v>42.6</v>
      </c>
      <c r="X1539" s="157">
        <f ca="1" t="shared" si="258"/>
        <v>142</v>
      </c>
      <c r="Y1539" s="157" t="e">
        <f ca="1" t="shared" si="255"/>
        <v>#VALUE!</v>
      </c>
      <c r="Z1539" s="304" t="e">
        <f ca="1" t="shared" si="259"/>
        <v>#VALUE!</v>
      </c>
      <c r="AA1539" s="304">
        <f ca="1">OFFSET(卡牌辅助配置表!$AD$1,MATCH(AB1539,卡牌辅助配置表!AB:AB,0)-1,0)</f>
        <v>82436</v>
      </c>
      <c r="AB1539" s="304">
        <f ca="1" t="shared" si="252"/>
        <v>4429</v>
      </c>
      <c r="AC1539" s="153">
        <v>12</v>
      </c>
      <c r="AF1539" s="153" t="str">
        <f ca="1" t="shared" si="256"/>
        <v>24050011|</v>
      </c>
      <c r="AJ1539" s="205">
        <f ca="1" t="shared" si="253"/>
        <v>0</v>
      </c>
      <c r="AK1539" s="205">
        <f ca="1">OFFSET([1]item_type!$A$1,MATCH(Q1539,[1]item_type!$G:$G,0)-1,0)</f>
        <v>302405</v>
      </c>
      <c r="AL1539" s="205">
        <v>30</v>
      </c>
      <c r="AM1539" s="205">
        <f ca="1">IF(B1539=B1540,OFFSET(卡牌辅助配置表!$AE$1,MATCH(AB1539,卡牌辅助配置表!AB:AB,0),0),0)</f>
        <v>42900</v>
      </c>
      <c r="AN1539" s="153">
        <f ca="1" t="shared" si="257"/>
        <v>0</v>
      </c>
      <c r="AP1539" s="153">
        <f ca="1">IF(AC1539=0,0,IF(AC1539=12,0,OFFSET(effect!$N$1,MATCH(K1539,effect!M:M,0)-1,0)))</f>
        <v>0</v>
      </c>
    </row>
    <row r="1540" spans="1:42">
      <c r="A1540" s="153">
        <f ca="1" t="shared" si="250"/>
        <v>2405030</v>
      </c>
      <c r="B1540" s="91" t="s">
        <v>813</v>
      </c>
      <c r="C1540" s="186">
        <v>2</v>
      </c>
      <c r="D1540" s="186">
        <v>1</v>
      </c>
      <c r="E1540" s="165" t="s">
        <v>1058</v>
      </c>
      <c r="F1540" s="179" t="s">
        <v>1065</v>
      </c>
      <c r="G1540" s="186">
        <f ca="1">OFFSET(卡牌辅助配置表!$C$1,MATCH(AC1540,卡牌辅助配置表!A:A,0)-1,0)</f>
        <v>0</v>
      </c>
      <c r="H1540" s="186" t="e">
        <f ca="1">OFFSET(skill!$Q$1,MATCH(B1540,skill!B:B,0)-1,0)</f>
        <v>#VALUE!</v>
      </c>
      <c r="I1540" s="186"/>
      <c r="J1540" s="186">
        <f ca="1">OFFSET(card_type!$F$1,MATCH(Q1540,card_type!A:A,0)-1,0)</f>
        <v>4</v>
      </c>
      <c r="K1540" s="243">
        <f ca="1">OFFSET(card_type!$G$1,MATCH(Q1540,card_type!A:A,0)-1,0)</f>
        <v>4</v>
      </c>
      <c r="L1540" s="157">
        <v>4</v>
      </c>
      <c r="M1540" s="157">
        <v>4</v>
      </c>
      <c r="N1540" s="153">
        <f t="shared" si="260"/>
        <v>30</v>
      </c>
      <c r="O1540" s="157"/>
      <c r="P1540" s="157"/>
      <c r="Q1540" s="153">
        <f ca="1">OFFSET(card_type!$A$1,MATCH(card!B1540,card_type!B:B,0)-1,0)</f>
        <v>2405</v>
      </c>
      <c r="R1540" s="153">
        <v>1</v>
      </c>
      <c r="S1540" s="157">
        <f ca="1">ROUND(IF(R1540=0,0,IF(R1540=1,X1540*$S$1,IF(R1540=2,X1540*$S$1*buff的资质计算!$E$2,IF(R1540=3,X1540*$S$1*buff的资质计算!$E$3,0)))),0)*0</f>
        <v>0</v>
      </c>
      <c r="T1540" s="153">
        <v>3</v>
      </c>
      <c r="U1540" s="153">
        <f ca="1" t="shared" si="251"/>
        <v>44</v>
      </c>
      <c r="V1540" s="153">
        <f ca="1">ROUND((OFFSET(卡牌辅助配置表!$O$1,MATCH(U1540,卡牌辅助配置表!M:M,0)-1,0)+(N1540-1)*OFFSET(卡牌辅助配置表!$P$1,MATCH(U1540,卡牌辅助配置表!M:M,0)-1,0))*M1540,2)</f>
        <v>1033.68</v>
      </c>
      <c r="W1540" s="157">
        <f ca="1">ROUND(IF(R1540=0,0,IF(R1540=1,X1540*$W$1,IF(R1540=2,X1540*$W$1*buff的资质计算!$E$2,IF(R1540=3,X1540*$W$1*buff的资质计算!$E$3,0)))),2)</f>
        <v>42.75</v>
      </c>
      <c r="X1540" s="157">
        <f ca="1" t="shared" si="258"/>
        <v>142.5</v>
      </c>
      <c r="Y1540" s="157" t="e">
        <f ca="1" t="shared" si="255"/>
        <v>#VALUE!</v>
      </c>
      <c r="Z1540" s="304" t="e">
        <f ca="1" t="shared" si="259"/>
        <v>#VALUE!</v>
      </c>
      <c r="AA1540" s="304">
        <f ca="1">OFFSET(卡牌辅助配置表!$AD$1,MATCH(AB1540,卡牌辅助配置表!AB:AB,0)-1,0)</f>
        <v>86270</v>
      </c>
      <c r="AB1540" s="304">
        <f ca="1" t="shared" si="252"/>
        <v>4430</v>
      </c>
      <c r="AC1540" s="153">
        <v>12</v>
      </c>
      <c r="AF1540" s="153" t="str">
        <f ca="1" t="shared" si="256"/>
        <v>24050011|</v>
      </c>
      <c r="AJ1540" s="205">
        <f ca="1" t="shared" si="253"/>
        <v>0</v>
      </c>
      <c r="AK1540" s="205">
        <f ca="1">OFFSET([1]item_type!$A$1,MATCH(Q1540,[1]item_type!$G:$G,0)-1,0)</f>
        <v>302405</v>
      </c>
      <c r="AL1540" s="205"/>
      <c r="AM1540" s="205">
        <f ca="1">IF(B1540=B1541,OFFSET(卡牌辅助配置表!$AE$1,MATCH(AB1540,卡牌辅助配置表!AB:AB,0),0),0)</f>
        <v>0</v>
      </c>
      <c r="AN1540" s="153">
        <f ca="1" t="shared" si="257"/>
        <v>0</v>
      </c>
      <c r="AP1540" s="153">
        <f ca="1">IF(AC1540=0,0,IF(AC1540=12,0,OFFSET(effect!$N$1,MATCH(K1540,effect!M:M,0)-1,0)))</f>
        <v>0</v>
      </c>
    </row>
    <row r="1541" spans="1:42">
      <c r="A1541" s="153">
        <f ca="1" t="shared" si="250"/>
        <v>2025001</v>
      </c>
      <c r="B1541" s="91" t="s">
        <v>817</v>
      </c>
      <c r="C1541" s="186">
        <v>2</v>
      </c>
      <c r="D1541" s="186">
        <v>1</v>
      </c>
      <c r="E1541" s="165" t="s">
        <v>1058</v>
      </c>
      <c r="F1541" s="165" t="str">
        <f>"本回合每出一张剑法牌，伤害增加"&amp;skill!O120/100&amp;"%"</f>
        <v>本回合每出一张剑法牌，伤害增加35%</v>
      </c>
      <c r="G1541" s="186">
        <f>卡牌辅助配置表!C15</f>
        <v>6</v>
      </c>
      <c r="H1541" s="186">
        <f ca="1">OFFSET(skill!$Q$1,MATCH(B1541,skill!B:B,0)-1,0)</f>
        <v>0.777777777777778</v>
      </c>
      <c r="I1541" s="186"/>
      <c r="J1541" s="186">
        <f ca="1">OFFSET(card_type!$F$1,MATCH(Q1541,card_type!A:A,0)-1,0)</f>
        <v>5</v>
      </c>
      <c r="K1541" s="243">
        <f ca="1">OFFSET(card_type!$G$1,MATCH(Q1541,card_type!A:A,0)-1,0)</f>
        <v>2</v>
      </c>
      <c r="L1541" s="157">
        <v>3</v>
      </c>
      <c r="M1541" s="157">
        <v>3</v>
      </c>
      <c r="N1541" s="153">
        <f>IF(B1421=B1541,N1421+1,1)</f>
        <v>1</v>
      </c>
      <c r="O1541" s="157"/>
      <c r="P1541" s="157"/>
      <c r="Q1541" s="153">
        <f ca="1">OFFSET(card_type!$A$1,MATCH(card!B1541,card_type!B:B,0)-1,0)</f>
        <v>2025</v>
      </c>
      <c r="R1541" s="153">
        <v>1</v>
      </c>
      <c r="S1541" s="157">
        <f ca="1">ROUND(IF(R1541=0,0,IF(R1541=1,X1541*$S$1,IF(R1541=2,X1541*$S$1*buff的资质计算!$E$2,IF(R1541=3,X1541*$S$1*buff的资质计算!$E$3,0)))),0)*0</f>
        <v>0</v>
      </c>
      <c r="T1541" s="153">
        <v>4</v>
      </c>
      <c r="U1541" s="153">
        <f ca="1" t="shared" si="251"/>
        <v>52</v>
      </c>
      <c r="V1541" s="153">
        <f ca="1">ROUND((OFFSET(卡牌辅助配置表!$O$1,MATCH(U1541,卡牌辅助配置表!M:M,0)-1,0)+(N1541-1)*OFFSET(卡牌辅助配置表!$P$1,MATCH(U1541,卡牌辅助配置表!M:M,0)-1,0))*M1541,2)</f>
        <v>117.81</v>
      </c>
      <c r="W1541" s="157">
        <f ca="1">ROUND(IF(R1541=0,0,IF(R1541=1,X1541*$W$1,IF(R1541=2,X1541*$W$1*buff的资质计算!$E$2,IF(R1541=3,X1541*$W$1*buff的资质计算!$E$3,0)))),2)</f>
        <v>27.9</v>
      </c>
      <c r="X1541" s="157">
        <f ca="1" t="shared" si="258"/>
        <v>93</v>
      </c>
      <c r="Y1541" s="157">
        <f ca="1" t="shared" si="255"/>
        <v>93.7777777777778</v>
      </c>
      <c r="Z1541" s="304">
        <f ca="1" t="shared" si="259"/>
        <v>31.2592592592593</v>
      </c>
      <c r="AA1541" s="304">
        <f ca="1">OFFSET(卡牌辅助配置表!$AD$1,MATCH(AB1541,卡牌辅助配置表!AB:AB,0)-1,0)</f>
        <v>3834</v>
      </c>
      <c r="AB1541" s="304">
        <f ca="1" t="shared" si="252"/>
        <v>5201</v>
      </c>
      <c r="AC1541" s="153">
        <v>1</v>
      </c>
      <c r="AE1541" s="153">
        <v>2</v>
      </c>
      <c r="AF1541" s="153" t="str">
        <f ca="1" t="shared" si="256"/>
        <v>20250011|</v>
      </c>
      <c r="AJ1541" s="205">
        <f ca="1" t="shared" si="253"/>
        <v>0</v>
      </c>
      <c r="AK1541" s="205">
        <f ca="1">OFFSET([1]item_type!$A$1,MATCH(Q1541,[1]item_type!$G:$G,0)-1,0)</f>
        <v>302025</v>
      </c>
      <c r="AM1541" s="205">
        <f ca="1">IF(B1541=B1542,OFFSET(卡牌辅助配置表!$AE$1,MATCH(AB1541,卡牌辅助配置表!AB:AB,0),0),0)</f>
        <v>0</v>
      </c>
      <c r="AN1541" s="153">
        <f ca="1" t="shared" ref="AN1541:AN1604" si="261">IF(B1541=B1542,A1541+1,0)</f>
        <v>0</v>
      </c>
      <c r="AP1541" s="153" t="str">
        <f ca="1">IF(AC1541=0,0,IF(AC1541=12,0,OFFSET(effect!$N$1,MATCH(K1541,effect!M:M,0)-1,0)))</f>
        <v>kpsx_pt</v>
      </c>
    </row>
    <row r="1542" spans="1:42">
      <c r="A1542" s="153">
        <f ca="1" t="shared" ref="A1542:A1605" si="262">Q1542*1000+N1542</f>
        <v>2026001</v>
      </c>
      <c r="B1542" s="91" t="s">
        <v>821</v>
      </c>
      <c r="C1542" s="186">
        <v>2</v>
      </c>
      <c r="D1542" s="186">
        <v>1</v>
      </c>
      <c r="E1542" s="165" t="s">
        <v>1058</v>
      </c>
      <c r="F1542" s="165" t="str">
        <f>"上一招为剑法时，增加"&amp;skill!O121/100&amp;"%伤害"</f>
        <v>上一招为剑法时，增加100%伤害</v>
      </c>
      <c r="G1542" s="186">
        <f ca="1">OFFSET(卡牌辅助配置表!$C$1,MATCH(AC1542,卡牌辅助配置表!A:A,0)-1,0)</f>
        <v>3</v>
      </c>
      <c r="H1542" s="186">
        <f ca="1">OFFSET(skill!$Q$1,MATCH(B1542,skill!B:B,0)-1,0)</f>
        <v>2</v>
      </c>
      <c r="I1542" s="186"/>
      <c r="J1542" s="186">
        <f ca="1">OFFSET(card_type!$F$1,MATCH(Q1542,card_type!A:A,0)-1,0)</f>
        <v>5</v>
      </c>
      <c r="K1542" s="243">
        <f ca="1">OFFSET(card_type!$G$1,MATCH(Q1542,card_type!A:A,0)-1,0)</f>
        <v>3</v>
      </c>
      <c r="L1542" s="157">
        <v>4</v>
      </c>
      <c r="M1542" s="157">
        <v>4</v>
      </c>
      <c r="N1542" s="153">
        <f t="shared" ref="N1542:N1605" si="263">IF(B1541=B1542,N1541+1,1)</f>
        <v>1</v>
      </c>
      <c r="O1542" s="157"/>
      <c r="P1542" s="157"/>
      <c r="Q1542" s="153">
        <f ca="1">OFFSET(card_type!$A$1,MATCH(card!B1542,card_type!B:B,0)-1,0)</f>
        <v>2026</v>
      </c>
      <c r="R1542" s="153">
        <v>1</v>
      </c>
      <c r="S1542" s="157">
        <f ca="1">ROUND(IF(R1542=0,0,IF(R1542=1,X1542*$S$1,IF(R1542=2,X1542*$S$1*buff的资质计算!$E$2,IF(R1542=3,X1542*$S$1*buff的资质计算!$E$3,0)))),0)*0</f>
        <v>0</v>
      </c>
      <c r="T1542" s="153">
        <v>4</v>
      </c>
      <c r="U1542" s="153">
        <f ca="1" t="shared" ref="U1542:U1605" si="264">J1542*10+K1542</f>
        <v>53</v>
      </c>
      <c r="V1542" s="153">
        <f ca="1">ROUND((OFFSET(卡牌辅助配置表!$O$1,MATCH(U1542,卡牌辅助配置表!M:M,0)-1,0)+(N1542-1)*OFFSET(卡牌辅助配置表!$P$1,MATCH(U1542,卡牌辅助配置表!M:M,0)-1,0))*M1542,2)</f>
        <v>251.33</v>
      </c>
      <c r="W1542" s="157">
        <f ca="1">ROUND(IF(R1542=0,0,IF(R1542=1,X1542*$W$1,IF(R1542=2,X1542*$W$1*buff的资质计算!$E$2,IF(R1542=3,X1542*$W$1*buff的资质计算!$E$3,0)))),2)</f>
        <v>40.5</v>
      </c>
      <c r="X1542" s="157">
        <f ca="1" t="shared" si="258"/>
        <v>135</v>
      </c>
      <c r="Y1542" s="157">
        <f ca="1" t="shared" si="255"/>
        <v>137</v>
      </c>
      <c r="Z1542" s="304">
        <f ca="1" t="shared" si="259"/>
        <v>34.25</v>
      </c>
      <c r="AA1542" s="304">
        <f ca="1">OFFSET(卡牌辅助配置表!$AD$1,MATCH(AB1542,卡牌辅助配置表!AB:AB,0)-1,0)</f>
        <v>3834</v>
      </c>
      <c r="AB1542" s="304">
        <f ca="1" t="shared" ref="AB1542:AB1605" si="265">J1542*1000+K1542*100+N1542</f>
        <v>5301</v>
      </c>
      <c r="AC1542" s="153">
        <v>3</v>
      </c>
      <c r="AE1542" s="153">
        <v>2</v>
      </c>
      <c r="AF1542" s="153" t="str">
        <f ca="1" t="shared" si="256"/>
        <v>20260011|</v>
      </c>
      <c r="AH1542" s="153">
        <v>1</v>
      </c>
      <c r="AJ1542" s="205">
        <f ca="1" t="shared" ref="AJ1542:AJ1605" si="266">IF(AN1542=0,0,IF(AL1542=0,$AM$1&amp;$AF$1&amp;AM1542&amp;$AF$1&amp;$AJ$1,AK1542&amp;$AF$1&amp;AL1542&amp;$AF$1&amp;$AJ$1&amp;$AM$1&amp;$AF$1&amp;AM1542&amp;$AF$1&amp;$AJ$1))</f>
        <v>0</v>
      </c>
      <c r="AK1542" s="205">
        <f ca="1">OFFSET([1]item_type!$A$1,MATCH(Q1542,[1]item_type!$G:$G,0)-1,0)</f>
        <v>302026</v>
      </c>
      <c r="AM1542" s="205">
        <f ca="1">IF(B1542=B1543,OFFSET(卡牌辅助配置表!$AE$1,MATCH(AB1542,卡牌辅助配置表!AB:AB,0),0),0)</f>
        <v>0</v>
      </c>
      <c r="AN1542" s="153">
        <f ca="1" t="shared" si="261"/>
        <v>0</v>
      </c>
      <c r="AP1542" s="153" t="str">
        <f ca="1">IF(AC1542=0,0,IF(AC1542=12,0,OFFSET(effect!$N$1,MATCH(K1542,effect!M:M,0)-1,0)))</f>
        <v>kpsx_zise</v>
      </c>
    </row>
    <row r="1543" spans="1:42">
      <c r="A1543" s="153">
        <f ca="1" t="shared" si="262"/>
        <v>2027001</v>
      </c>
      <c r="B1543" s="91" t="s">
        <v>355</v>
      </c>
      <c r="C1543" s="186">
        <v>2</v>
      </c>
      <c r="D1543" s="186">
        <v>1</v>
      </c>
      <c r="E1543" s="165" t="s">
        <v>1058</v>
      </c>
      <c r="F1543" s="179" t="s">
        <v>1066</v>
      </c>
      <c r="G1543" s="186">
        <f ca="1">OFFSET(卡牌辅助配置表!$C$1,MATCH(AC1543,卡牌辅助配置表!A:A,0)-1,0)</f>
        <v>3</v>
      </c>
      <c r="H1543" s="186">
        <f ca="1">OFFSET(skill!$Q$1,MATCH(B1543,skill!B:B,0)-1,0)</f>
        <v>4</v>
      </c>
      <c r="I1543" s="186"/>
      <c r="J1543" s="186">
        <f ca="1">OFFSET(card_type!$F$1,MATCH(Q1543,card_type!A:A,0)-1,0)</f>
        <v>6</v>
      </c>
      <c r="K1543" s="243">
        <f ca="1">OFFSET(card_type!$G$1,MATCH(Q1543,card_type!A:A,0)-1,0)</f>
        <v>2</v>
      </c>
      <c r="L1543" s="157">
        <v>5</v>
      </c>
      <c r="M1543" s="157">
        <v>5</v>
      </c>
      <c r="N1543" s="153">
        <f t="shared" si="263"/>
        <v>1</v>
      </c>
      <c r="O1543" s="157"/>
      <c r="P1543" s="157"/>
      <c r="Q1543" s="153">
        <f ca="1">OFFSET(card_type!$A$1,MATCH(card!B1543,card_type!B:B,0)-1,0)</f>
        <v>2027</v>
      </c>
      <c r="R1543" s="153">
        <v>1</v>
      </c>
      <c r="S1543" s="157">
        <f ca="1">ROUND(IF(R1543=0,0,IF(R1543=1,X1543*$S$1,IF(R1543=2,X1543*$S$1*buff的资质计算!$E$2,IF(R1543=3,X1543*$S$1*buff的资质计算!$E$3,0)))),0)*0</f>
        <v>0</v>
      </c>
      <c r="T1543" s="153">
        <v>4</v>
      </c>
      <c r="U1543" s="153">
        <f ca="1" t="shared" si="264"/>
        <v>62</v>
      </c>
      <c r="V1543" s="153">
        <f ca="1">ROUND((OFFSET(卡牌辅助配置表!$O$1,MATCH(U1543,卡牌辅助配置表!M:M,0)-1,0)+(N1543-1)*OFFSET(卡牌辅助配置表!$P$1,MATCH(U1543,卡牌辅助配置表!M:M,0)-1,0))*M1543,2)</f>
        <v>358.5</v>
      </c>
      <c r="W1543" s="157">
        <f ca="1">ROUND(IF(R1543=0,0,IF(R1543=1,X1543*$W$1,IF(R1543=2,X1543*$W$1*buff的资质计算!$E$2,IF(R1543=3,X1543*$W$1*buff的资质计算!$E$3,0)))),2)</f>
        <v>51.9</v>
      </c>
      <c r="X1543" s="157">
        <f ca="1" t="shared" si="258"/>
        <v>173</v>
      </c>
      <c r="Y1543" s="157">
        <f ca="1" t="shared" si="255"/>
        <v>177</v>
      </c>
      <c r="Z1543" s="304">
        <f ca="1" t="shared" si="259"/>
        <v>35.4</v>
      </c>
      <c r="AA1543" s="304">
        <f ca="1">OFFSET(卡牌辅助配置表!$AD$1,MATCH(AB1543,卡牌辅助配置表!AB:AB,0)-1,0)</f>
        <v>3834</v>
      </c>
      <c r="AB1543" s="304">
        <f ca="1" t="shared" si="265"/>
        <v>6201</v>
      </c>
      <c r="AC1543" s="153">
        <v>3</v>
      </c>
      <c r="AE1543" s="153">
        <v>2</v>
      </c>
      <c r="AF1543" s="153" t="str">
        <f ca="1" t="shared" si="256"/>
        <v>20270011|</v>
      </c>
      <c r="AJ1543" s="205">
        <f ca="1" t="shared" si="266"/>
        <v>0</v>
      </c>
      <c r="AK1543" s="205">
        <f ca="1">OFFSET([1]item_type!$A$1,MATCH(Q1543,[1]item_type!$G:$G,0)-1,0)</f>
        <v>302027</v>
      </c>
      <c r="AM1543" s="205">
        <f ca="1">IF(B1543=B1544,OFFSET(卡牌辅助配置表!$AE$1,MATCH(AB1543,卡牌辅助配置表!AB:AB,0),0),0)</f>
        <v>0</v>
      </c>
      <c r="AN1543" s="153">
        <f ca="1" t="shared" si="261"/>
        <v>0</v>
      </c>
      <c r="AP1543" s="153" t="str">
        <f ca="1">IF(AC1543=0,0,IF(AC1543=12,0,OFFSET(effect!$N$1,MATCH(K1543,effect!M:M,0)-1,0)))</f>
        <v>kpsx_pt</v>
      </c>
    </row>
    <row r="1544" spans="1:42">
      <c r="A1544" s="153">
        <f ca="1" t="shared" si="262"/>
        <v>2028001</v>
      </c>
      <c r="B1544" s="91" t="s">
        <v>828</v>
      </c>
      <c r="C1544" s="186">
        <v>2</v>
      </c>
      <c r="D1544" s="186">
        <v>1</v>
      </c>
      <c r="E1544" s="165" t="s">
        <v>1058</v>
      </c>
      <c r="F1544" s="179" t="s">
        <v>1067</v>
      </c>
      <c r="G1544" s="186">
        <f ca="1">OFFSET(卡牌辅助配置表!$C$1,MATCH(AC1544,卡牌辅助配置表!A:A,0)-1,0)</f>
        <v>0</v>
      </c>
      <c r="H1544" s="186" t="e">
        <f ca="1">OFFSET(skill!$Q$1,MATCH(B1544,skill!B:B,0)-1,0)</f>
        <v>#VALUE!</v>
      </c>
      <c r="I1544" s="186"/>
      <c r="J1544" s="186">
        <f ca="1">OFFSET(card_type!$F$1,MATCH(Q1544,card_type!A:A,0)-1,0)</f>
        <v>6</v>
      </c>
      <c r="K1544" s="243">
        <f ca="1">OFFSET(card_type!$G$1,MATCH(Q1544,card_type!A:A,0)-1,0)</f>
        <v>4</v>
      </c>
      <c r="L1544" s="157">
        <v>5</v>
      </c>
      <c r="M1544" s="157">
        <v>5</v>
      </c>
      <c r="N1544" s="153">
        <f t="shared" si="263"/>
        <v>1</v>
      </c>
      <c r="O1544" s="157"/>
      <c r="P1544" s="157"/>
      <c r="Q1544" s="153">
        <f ca="1">OFFSET(card_type!$A$1,MATCH(card!B1544,card_type!B:B,0)-1,0)</f>
        <v>2028</v>
      </c>
      <c r="R1544" s="153">
        <v>1</v>
      </c>
      <c r="S1544" s="157">
        <f ca="1">ROUND(IF(R1544=0,0,IF(R1544=1,X1544*$S$1,IF(R1544=2,X1544*$S$1*buff的资质计算!$E$2,IF(R1544=3,X1544*$S$1*buff的资质计算!$E$3,0)))),0)*0</f>
        <v>0</v>
      </c>
      <c r="T1544" s="153">
        <v>4</v>
      </c>
      <c r="U1544" s="153">
        <f ca="1" t="shared" si="264"/>
        <v>64</v>
      </c>
      <c r="V1544" s="153">
        <f ca="1">ROUND((OFFSET(卡牌辅助配置表!$O$1,MATCH(U1544,卡牌辅助配置表!M:M,0)-1,0)+(N1544-1)*OFFSET(卡牌辅助配置表!$P$1,MATCH(U1544,卡牌辅助配置表!M:M,0)-1,0))*M1544,2)</f>
        <v>860.4</v>
      </c>
      <c r="W1544" s="157">
        <f ca="1">ROUND(IF(R1544=0,0,IF(R1544=1,X1544*$W$1,IF(R1544=2,X1544*$W$1*buff的资质计算!$E$2,IF(R1544=3,X1544*$W$1*buff的资质计算!$E$3,0)))),2)</f>
        <v>63</v>
      </c>
      <c r="X1544" s="157">
        <f ca="1" t="shared" si="258"/>
        <v>210</v>
      </c>
      <c r="Y1544" s="157" t="e">
        <f ca="1" t="shared" si="255"/>
        <v>#VALUE!</v>
      </c>
      <c r="Z1544" s="304" t="e">
        <f ca="1" t="shared" si="259"/>
        <v>#VALUE!</v>
      </c>
      <c r="AA1544" s="304">
        <f ca="1">OFFSET(卡牌辅助配置表!$AD$1,MATCH(AB1544,卡牌辅助配置表!AB:AB,0)-1,0)</f>
        <v>3834</v>
      </c>
      <c r="AB1544" s="304">
        <f ca="1" t="shared" si="265"/>
        <v>6401</v>
      </c>
      <c r="AC1544" s="153">
        <v>12</v>
      </c>
      <c r="AF1544" s="153" t="str">
        <f ca="1" t="shared" si="256"/>
        <v>20280011|</v>
      </c>
      <c r="AJ1544" s="205">
        <f ca="1" t="shared" si="266"/>
        <v>0</v>
      </c>
      <c r="AK1544" s="205">
        <f ca="1">OFFSET([1]item_type!$A$1,MATCH(Q1544,[1]item_type!$G:$G,0)-1,0)</f>
        <v>302028</v>
      </c>
      <c r="AM1544" s="205">
        <f ca="1">IF(B1544=B1545,OFFSET(卡牌辅助配置表!$AE$1,MATCH(AB1544,卡牌辅助配置表!AB:AB,0),0),0)</f>
        <v>0</v>
      </c>
      <c r="AN1544" s="153">
        <f ca="1" t="shared" si="261"/>
        <v>0</v>
      </c>
      <c r="AP1544" s="153">
        <f ca="1">IF(AC1544=0,0,IF(AC1544=12,0,OFFSET(effect!$N$1,MATCH(K1544,effect!M:M,0)-1,0)))</f>
        <v>0</v>
      </c>
    </row>
    <row r="1545" spans="1:42">
      <c r="A1545" s="153">
        <f ca="1" t="shared" si="262"/>
        <v>2029001</v>
      </c>
      <c r="B1545" s="91" t="s">
        <v>832</v>
      </c>
      <c r="C1545" s="186">
        <v>2</v>
      </c>
      <c r="D1545" s="186">
        <v>1</v>
      </c>
      <c r="E1545" s="165"/>
      <c r="F1545" s="179" t="s">
        <v>833</v>
      </c>
      <c r="G1545" s="186">
        <f ca="1">OFFSET(卡牌辅助配置表!$C$1,MATCH(AC1545,卡牌辅助配置表!A:A,0)-1,0)</f>
        <v>0</v>
      </c>
      <c r="H1545" s="186" t="e">
        <f ca="1">OFFSET(skill!$Q$1,MATCH(B1545,skill!B:B,0)-1,0)</f>
        <v>#VALUE!</v>
      </c>
      <c r="I1545" s="186"/>
      <c r="J1545" s="186">
        <f ca="1">OFFSET(card_type!$F$1,MATCH(Q1545,card_type!A:A,0)-1,0)</f>
        <v>6</v>
      </c>
      <c r="K1545" s="243">
        <f ca="1">OFFSET(card_type!$G$1,MATCH(Q1545,card_type!A:A,0)-1,0)</f>
        <v>3</v>
      </c>
      <c r="L1545" s="157">
        <v>2</v>
      </c>
      <c r="M1545" s="157">
        <v>2</v>
      </c>
      <c r="N1545" s="153">
        <f t="shared" si="263"/>
        <v>1</v>
      </c>
      <c r="O1545" s="157"/>
      <c r="P1545" s="157"/>
      <c r="Q1545" s="153">
        <f ca="1">OFFSET(card_type!$A$1,MATCH(card!B1545,card_type!B:B,0)-1,0)</f>
        <v>2029</v>
      </c>
      <c r="R1545" s="153">
        <v>0</v>
      </c>
      <c r="S1545" s="157">
        <f ca="1">ROUND(IF(R1545=0,0,IF(R1545=1,X1545*$S$1,IF(R1545=2,X1545*$S$1*buff的资质计算!$E$2,IF(R1545=3,X1545*$S$1*buff的资质计算!$E$3,0)))),0)*0</f>
        <v>0</v>
      </c>
      <c r="T1545" s="153">
        <v>1</v>
      </c>
      <c r="U1545" s="153">
        <f ca="1" t="shared" si="264"/>
        <v>63</v>
      </c>
      <c r="V1545" s="153">
        <f ca="1">ROUND((OFFSET(卡牌辅助配置表!$O$1,MATCH(U1545,卡牌辅助配置表!M:M,0)-1,0)+(N1545-1)*OFFSET(卡牌辅助配置表!$P$1,MATCH(U1545,卡牌辅助配置表!M:M,0)-1,0))*M1545,2)</f>
        <v>229.44</v>
      </c>
      <c r="W1545" s="157">
        <f ca="1">ROUND(IF(R1545=0,0,IF(R1545=1,X1545*$W$1,IF(R1545=2,X1545*$W$1*buff的资质计算!$E$2,IF(R1545=3,X1545*$W$1*buff的资质计算!$E$3,0)))),2)</f>
        <v>0</v>
      </c>
      <c r="X1545" s="157">
        <f ca="1" t="shared" si="258"/>
        <v>76</v>
      </c>
      <c r="Y1545" s="157" t="e">
        <f ca="1">IF(R1545=0,H1545,X1545+H1545)</f>
        <v>#VALUE!</v>
      </c>
      <c r="Z1545" s="304" t="e">
        <f ca="1" t="shared" si="259"/>
        <v>#VALUE!</v>
      </c>
      <c r="AA1545" s="304">
        <f ca="1">OFFSET(卡牌辅助配置表!$AD$1,MATCH(AB1545,卡牌辅助配置表!AB:AB,0)-1,0)</f>
        <v>3834</v>
      </c>
      <c r="AB1545" s="304">
        <f ca="1" t="shared" si="265"/>
        <v>6301</v>
      </c>
      <c r="AC1545" s="153">
        <v>12</v>
      </c>
      <c r="AF1545" s="153" t="str">
        <f ca="1" t="shared" si="256"/>
        <v>20290011|</v>
      </c>
      <c r="AJ1545" s="205">
        <f ca="1" t="shared" si="266"/>
        <v>0</v>
      </c>
      <c r="AK1545" s="205">
        <f ca="1">OFFSET([1]item_type!$A$1,MATCH(Q1545,[1]item_type!$G:$G,0)-1,0)</f>
        <v>302029</v>
      </c>
      <c r="AM1545" s="205">
        <f ca="1">IF(B1545=B1546,OFFSET(卡牌辅助配置表!$AE$1,MATCH(AB1545,卡牌辅助配置表!AB:AB,0),0),0)</f>
        <v>0</v>
      </c>
      <c r="AN1545" s="153">
        <f ca="1" t="shared" si="261"/>
        <v>0</v>
      </c>
      <c r="AP1545" s="153">
        <f ca="1">IF(AC1545=0,0,IF(AC1545=12,0,OFFSET(effect!$N$1,MATCH(K1545,effect!M:M,0)-1,0)))</f>
        <v>0</v>
      </c>
    </row>
    <row r="1546" spans="1:42">
      <c r="A1546" s="153">
        <f ca="1" t="shared" si="262"/>
        <v>2030001</v>
      </c>
      <c r="B1546" s="91" t="s">
        <v>836</v>
      </c>
      <c r="C1546" s="186">
        <v>2</v>
      </c>
      <c r="D1546" s="186">
        <v>1</v>
      </c>
      <c r="E1546" s="165" t="s">
        <v>1058</v>
      </c>
      <c r="F1546" s="179" t="s">
        <v>1068</v>
      </c>
      <c r="G1546" s="186">
        <f ca="1">OFFSET(卡牌辅助配置表!$C$1,MATCH(AC1546,卡牌辅助配置表!A:A,0)-1,0)</f>
        <v>0</v>
      </c>
      <c r="H1546" s="186">
        <f ca="1">IF(R1546=0,Y1546,0)</f>
        <v>0</v>
      </c>
      <c r="I1546" s="186"/>
      <c r="J1546" s="186">
        <f ca="1">OFFSET(card_type!$F$1,MATCH(Q1546,card_type!A:A,0)-1,0)</f>
        <v>6</v>
      </c>
      <c r="K1546" s="243">
        <f ca="1">OFFSET(card_type!$G$1,MATCH(Q1546,card_type!A:A,0)-1,0)</f>
        <v>4</v>
      </c>
      <c r="L1546" s="157">
        <v>6</v>
      </c>
      <c r="M1546" s="157">
        <v>6</v>
      </c>
      <c r="N1546" s="153">
        <f t="shared" si="263"/>
        <v>1</v>
      </c>
      <c r="O1546" s="157"/>
      <c r="P1546" s="157"/>
      <c r="Q1546" s="153">
        <f ca="1">OFFSET(card_type!$A$1,MATCH(card!B1546,card_type!B:B,0)-1,0)</f>
        <v>2030</v>
      </c>
      <c r="R1546" s="153">
        <v>1</v>
      </c>
      <c r="S1546" s="157">
        <f ca="1">ROUND(IF(R1546=0,0,IF(R1546=1,X1546*$S$1,IF(R1546=2,X1546*$S$1*buff的资质计算!$E$2,IF(R1546=3,X1546*$S$1*buff的资质计算!$E$3,0)))),0)*0</f>
        <v>0</v>
      </c>
      <c r="T1546" s="153">
        <v>5</v>
      </c>
      <c r="U1546" s="153">
        <f ca="1" t="shared" si="264"/>
        <v>64</v>
      </c>
      <c r="V1546" s="153">
        <f ca="1">ROUND((OFFSET(卡牌辅助配置表!$O$1,MATCH(U1546,卡牌辅助配置表!M:M,0)-1,0)+(N1546-1)*OFFSET(卡牌辅助配置表!$P$1,MATCH(U1546,卡牌辅助配置表!M:M,0)-1,0))*M1546,2)</f>
        <v>1032.48</v>
      </c>
      <c r="W1546" s="157">
        <f ca="1">ROUND(IF(R1546=0,0,IF(R1546=1,X1546*$W$1,IF(R1546=2,X1546*$W$1*buff的资质计算!$E$2,IF(R1546=3,X1546*$W$1*buff的资质计算!$E$3,0)))),2)</f>
        <v>75.6</v>
      </c>
      <c r="X1546" s="157">
        <f ca="1" t="shared" si="258"/>
        <v>252</v>
      </c>
      <c r="Y1546" s="157">
        <f ca="1" t="shared" ref="Y1546:Y1609" si="267">X1546+H1546</f>
        <v>252</v>
      </c>
      <c r="Z1546" s="304">
        <f ca="1" t="shared" si="259"/>
        <v>42</v>
      </c>
      <c r="AA1546" s="304">
        <f ca="1">OFFSET(卡牌辅助配置表!$AD$1,MATCH(AB1546,卡牌辅助配置表!AB:AB,0)-1,0)</f>
        <v>3834</v>
      </c>
      <c r="AB1546" s="304">
        <f ca="1" t="shared" si="265"/>
        <v>6401</v>
      </c>
      <c r="AC1546" s="153">
        <v>12</v>
      </c>
      <c r="AF1546" s="153" t="str">
        <f ca="1" t="shared" si="256"/>
        <v>20300011|</v>
      </c>
      <c r="AJ1546" s="205">
        <f ca="1" t="shared" si="266"/>
        <v>0</v>
      </c>
      <c r="AK1546" s="205">
        <f ca="1">OFFSET([1]item_type!$A$1,MATCH(Q1546,[1]item_type!$G:$G,0)-1,0)</f>
        <v>302030</v>
      </c>
      <c r="AM1546" s="205">
        <f ca="1">IF(B1546=B1547,OFFSET(卡牌辅助配置表!$AE$1,MATCH(AB1546,卡牌辅助配置表!AB:AB,0),0),0)</f>
        <v>0</v>
      </c>
      <c r="AN1546" s="153">
        <f ca="1" t="shared" si="261"/>
        <v>0</v>
      </c>
      <c r="AP1546" s="153">
        <f ca="1">IF(AC1546=0,0,IF(AC1546=12,0,OFFSET(effect!$N$1,MATCH(K1546,effect!M:M,0)-1,0)))</f>
        <v>0</v>
      </c>
    </row>
    <row r="1547" spans="1:42">
      <c r="A1547" s="153">
        <f ca="1" t="shared" si="262"/>
        <v>3001001</v>
      </c>
      <c r="B1547" s="153" t="s">
        <v>490</v>
      </c>
      <c r="C1547" s="186">
        <v>3</v>
      </c>
      <c r="D1547" s="186">
        <v>3</v>
      </c>
      <c r="E1547" s="165" t="s">
        <v>1069</v>
      </c>
      <c r="F1547" s="298"/>
      <c r="G1547" s="186">
        <v>-3</v>
      </c>
      <c r="H1547" s="186">
        <f ca="1">OFFSET(skill!$Q$1,MATCH(B1547,skill!B:B,0)-1,0)</f>
        <v>0</v>
      </c>
      <c r="I1547" s="186"/>
      <c r="J1547" s="186">
        <f ca="1">OFFSET(card_type!$F$1,MATCH(Q1547,card_type!A:A,0)-1,0)</f>
        <v>1</v>
      </c>
      <c r="K1547" s="243">
        <f ca="1">OFFSET(card_type!$G$1,MATCH(Q1547,card_type!A:A,0)-1,0)</f>
        <v>1</v>
      </c>
      <c r="L1547" s="157">
        <v>1</v>
      </c>
      <c r="M1547" s="157">
        <v>1</v>
      </c>
      <c r="N1547" s="153">
        <f t="shared" si="263"/>
        <v>1</v>
      </c>
      <c r="O1547" s="157"/>
      <c r="P1547" s="157"/>
      <c r="Q1547" s="153">
        <f ca="1">OFFSET(card_type!$A$1,MATCH(card!B1547,card_type!B:B,0)-1,0)</f>
        <v>3001</v>
      </c>
      <c r="R1547" s="153">
        <v>1</v>
      </c>
      <c r="S1547" s="157">
        <f ca="1">ROUND(IF(R1547=0,0,IF(R1547=1,X1547*$S$1,IF(R1547=2,X1547*$S$1*buff的资质计算!$E$2,IF(R1547=3,X1547*$S$1*buff的资质计算!$E$3,0)))),0)*0</f>
        <v>0</v>
      </c>
      <c r="T1547" s="153">
        <v>5</v>
      </c>
      <c r="U1547" s="153">
        <f ca="1" t="shared" si="264"/>
        <v>11</v>
      </c>
      <c r="V1547" s="153">
        <f ca="1">ROUND((OFFSET(卡牌辅助配置表!$O$1,MATCH(U1547,卡牌辅助配置表!M:M,0)-1,0)+(N1547-1)*OFFSET(卡牌辅助配置表!$P$1,MATCH(U1547,卡牌辅助配置表!M:M,0)-1,0))*M1547,2)</f>
        <v>6.27</v>
      </c>
      <c r="W1547" s="157">
        <f ca="1">ROUND(IF(R1547=0,0,IF(R1547=1,X1547*$W$1,IF(R1547=2,X1547*$W$1*buff的资质计算!$E$2,IF(R1547=3,X1547*$W$1*buff的资质计算!$E$3,0)))),2)</f>
        <v>0.6</v>
      </c>
      <c r="X1547" s="157">
        <f ca="1" t="shared" si="258"/>
        <v>2</v>
      </c>
      <c r="Y1547" s="157">
        <f ca="1" t="shared" si="267"/>
        <v>2</v>
      </c>
      <c r="Z1547" s="304">
        <f ca="1" t="shared" si="259"/>
        <v>2</v>
      </c>
      <c r="AA1547" s="304">
        <f ca="1">OFFSET(卡牌辅助配置表!$AD$1,MATCH(AB1547,卡牌辅助配置表!AB:AB,0)-1,0)</f>
        <v>18</v>
      </c>
      <c r="AB1547" s="304">
        <f ca="1" t="shared" si="265"/>
        <v>1101</v>
      </c>
      <c r="AF1547" s="153" t="str">
        <f ca="1" t="shared" si="256"/>
        <v>30010011|</v>
      </c>
      <c r="AJ1547" s="205" t="str">
        <f ca="1" t="shared" si="266"/>
        <v>400023|700|;</v>
      </c>
      <c r="AK1547" s="205">
        <f ca="1">OFFSET([1]item_type!$A$1,MATCH(Q1547,[1]item_type!$G:$G,0)-1,0)</f>
        <v>303001</v>
      </c>
      <c r="AL1547" s="205"/>
      <c r="AM1547" s="205">
        <f ca="1">IF(B1547=B1548,OFFSET(卡牌辅助配置表!$AE$1,MATCH(AB1547,卡牌辅助配置表!AB:AB,0),0),0)</f>
        <v>700</v>
      </c>
      <c r="AN1547" s="153">
        <f ca="1" t="shared" si="261"/>
        <v>3001002</v>
      </c>
      <c r="AP1547" s="153">
        <f ca="1">IF(AC1547=0,0,IF(AC1547=12,0,OFFSET(effect!$N$1,MATCH(K1547,effect!M:M,0)-1,0)))</f>
        <v>0</v>
      </c>
    </row>
    <row r="1548" spans="1:42">
      <c r="A1548" s="153">
        <f ca="1" t="shared" si="262"/>
        <v>3001002</v>
      </c>
      <c r="B1548" s="153" t="s">
        <v>490</v>
      </c>
      <c r="C1548" s="186">
        <v>3</v>
      </c>
      <c r="D1548" s="186">
        <v>3</v>
      </c>
      <c r="E1548" s="165" t="s">
        <v>1069</v>
      </c>
      <c r="F1548" s="298"/>
      <c r="G1548" s="186">
        <v>-3</v>
      </c>
      <c r="H1548" s="186">
        <f ca="1">OFFSET(skill!$Q$1,MATCH(B1548,skill!B:B,0)-1,0)</f>
        <v>0</v>
      </c>
      <c r="I1548" s="186"/>
      <c r="J1548" s="186">
        <f ca="1">OFFSET(card_type!$F$1,MATCH(Q1548,card_type!A:A,0)-1,0)</f>
        <v>1</v>
      </c>
      <c r="K1548" s="243">
        <f ca="1">OFFSET(card_type!$G$1,MATCH(Q1548,card_type!A:A,0)-1,0)</f>
        <v>1</v>
      </c>
      <c r="L1548" s="157">
        <v>1</v>
      </c>
      <c r="M1548" s="157">
        <v>1</v>
      </c>
      <c r="N1548" s="153">
        <f t="shared" si="263"/>
        <v>2</v>
      </c>
      <c r="O1548" s="157"/>
      <c r="P1548" s="157"/>
      <c r="Q1548" s="153">
        <f ca="1">OFFSET(card_type!$A$1,MATCH(card!B1548,card_type!B:B,0)-1,0)</f>
        <v>3001</v>
      </c>
      <c r="R1548" s="153">
        <v>1</v>
      </c>
      <c r="S1548" s="157">
        <f ca="1">ROUND(IF(R1548=0,0,IF(R1548=1,X1548*$S$1,IF(R1548=2,X1548*$S$1*buff的资质计算!$E$2,IF(R1548=3,X1548*$S$1*buff的资质计算!$E$3,0)))),0)*0</f>
        <v>0</v>
      </c>
      <c r="T1548" s="153">
        <v>5</v>
      </c>
      <c r="U1548" s="153">
        <f ca="1" t="shared" si="264"/>
        <v>11</v>
      </c>
      <c r="V1548" s="153">
        <f ca="1">ROUND((OFFSET(卡牌辅助配置表!$O$1,MATCH(U1548,卡牌辅助配置表!M:M,0)-1,0)+(N1548-1)*OFFSET(卡牌辅助配置表!$P$1,MATCH(U1548,卡牌辅助配置表!M:M,0)-1,0))*M1548,2)</f>
        <v>6.48</v>
      </c>
      <c r="W1548" s="157">
        <f ca="1">ROUND(IF(R1548=0,0,IF(R1548=1,X1548*$W$1,IF(R1548=2,X1548*$W$1*buff的资质计算!$E$2,IF(R1548=3,X1548*$W$1*buff的资质计算!$E$3,0)))),2)</f>
        <v>0.75</v>
      </c>
      <c r="X1548" s="157">
        <f ca="1" t="shared" si="258"/>
        <v>2.5</v>
      </c>
      <c r="Y1548" s="157">
        <f ca="1" t="shared" si="267"/>
        <v>2.5</v>
      </c>
      <c r="Z1548" s="304">
        <f ca="1" t="shared" si="259"/>
        <v>2.5</v>
      </c>
      <c r="AA1548" s="304">
        <f ca="1">OFFSET(卡牌辅助配置表!$AD$1,MATCH(AB1548,卡牌辅助配置表!AB:AB,0)-1,0)</f>
        <v>36</v>
      </c>
      <c r="AB1548" s="304">
        <f ca="1" t="shared" si="265"/>
        <v>1102</v>
      </c>
      <c r="AF1548" s="153" t="str">
        <f ca="1" t="shared" si="256"/>
        <v>30010011|</v>
      </c>
      <c r="AJ1548" s="205" t="str">
        <f ca="1" t="shared" si="266"/>
        <v>400023|900|;</v>
      </c>
      <c r="AK1548" s="205">
        <f ca="1">OFFSET([1]item_type!$A$1,MATCH(Q1548,[1]item_type!$G:$G,0)-1,0)</f>
        <v>303001</v>
      </c>
      <c r="AL1548" s="205"/>
      <c r="AM1548" s="205">
        <f ca="1">IF(B1548=B1549,OFFSET(卡牌辅助配置表!$AE$1,MATCH(AB1548,卡牌辅助配置表!AB:AB,0),0),0)</f>
        <v>900</v>
      </c>
      <c r="AN1548" s="153">
        <f ca="1" t="shared" si="261"/>
        <v>3001003</v>
      </c>
      <c r="AP1548" s="153">
        <f ca="1">IF(AC1548=0,0,IF(AC1548=12,0,OFFSET(effect!$N$1,MATCH(K1548,effect!M:M,0)-1,0)))</f>
        <v>0</v>
      </c>
    </row>
    <row r="1549" spans="1:42">
      <c r="A1549" s="153">
        <f ca="1" t="shared" si="262"/>
        <v>3001003</v>
      </c>
      <c r="B1549" s="153" t="s">
        <v>490</v>
      </c>
      <c r="C1549" s="186">
        <v>3</v>
      </c>
      <c r="D1549" s="186">
        <v>3</v>
      </c>
      <c r="E1549" s="165" t="s">
        <v>1069</v>
      </c>
      <c r="F1549" s="298"/>
      <c r="G1549" s="186">
        <v>-3</v>
      </c>
      <c r="H1549" s="186">
        <f ca="1">OFFSET(skill!$Q$1,MATCH(B1549,skill!B:B,0)-1,0)</f>
        <v>0</v>
      </c>
      <c r="I1549" s="186"/>
      <c r="J1549" s="186">
        <f ca="1">OFFSET(card_type!$F$1,MATCH(Q1549,card_type!A:A,0)-1,0)</f>
        <v>1</v>
      </c>
      <c r="K1549" s="243">
        <f ca="1">OFFSET(card_type!$G$1,MATCH(Q1549,card_type!A:A,0)-1,0)</f>
        <v>1</v>
      </c>
      <c r="L1549" s="157">
        <v>1</v>
      </c>
      <c r="M1549" s="157">
        <v>1</v>
      </c>
      <c r="N1549" s="153">
        <f t="shared" si="263"/>
        <v>3</v>
      </c>
      <c r="O1549" s="157"/>
      <c r="P1549" s="157"/>
      <c r="Q1549" s="153">
        <f ca="1">OFFSET(card_type!$A$1,MATCH(card!B1549,card_type!B:B,0)-1,0)</f>
        <v>3001</v>
      </c>
      <c r="R1549" s="153">
        <v>1</v>
      </c>
      <c r="S1549" s="157">
        <f ca="1">ROUND(IF(R1549=0,0,IF(R1549=1,X1549*$S$1,IF(R1549=2,X1549*$S$1*buff的资质计算!$E$2,IF(R1549=3,X1549*$S$1*buff的资质计算!$E$3,0)))),0)*0</f>
        <v>0</v>
      </c>
      <c r="T1549" s="153">
        <v>5</v>
      </c>
      <c r="U1549" s="153">
        <f ca="1" t="shared" si="264"/>
        <v>11</v>
      </c>
      <c r="V1549" s="153">
        <f ca="1">ROUND((OFFSET(卡牌辅助配置表!$O$1,MATCH(U1549,卡牌辅助配置表!M:M,0)-1,0)+(N1549-1)*OFFSET(卡牌辅助配置表!$P$1,MATCH(U1549,卡牌辅助配置表!M:M,0)-1,0))*M1549,2)</f>
        <v>6.69</v>
      </c>
      <c r="W1549" s="157">
        <f ca="1">ROUND(IF(R1549=0,0,IF(R1549=1,X1549*$W$1,IF(R1549=2,X1549*$W$1*buff的资质计算!$E$2,IF(R1549=3,X1549*$W$1*buff的资质计算!$E$3,0)))),2)</f>
        <v>0.9</v>
      </c>
      <c r="X1549" s="157">
        <f ca="1" t="shared" si="258"/>
        <v>3</v>
      </c>
      <c r="Y1549" s="157">
        <f ca="1" t="shared" si="267"/>
        <v>3</v>
      </c>
      <c r="Z1549" s="304">
        <f ca="1" t="shared" si="259"/>
        <v>3</v>
      </c>
      <c r="AA1549" s="304">
        <f ca="1">OFFSET(卡牌辅助配置表!$AD$1,MATCH(AB1549,卡牌辅助配置表!AB:AB,0)-1,0)</f>
        <v>54</v>
      </c>
      <c r="AB1549" s="304">
        <f ca="1" t="shared" si="265"/>
        <v>1103</v>
      </c>
      <c r="AF1549" s="153" t="str">
        <f ca="1" t="shared" si="256"/>
        <v>30010011|</v>
      </c>
      <c r="AJ1549" s="205" t="str">
        <f ca="1" t="shared" si="266"/>
        <v>400023|1100|;</v>
      </c>
      <c r="AK1549" s="205">
        <f ca="1">OFFSET([1]item_type!$A$1,MATCH(Q1549,[1]item_type!$G:$G,0)-1,0)</f>
        <v>303001</v>
      </c>
      <c r="AL1549" s="205"/>
      <c r="AM1549" s="205">
        <f ca="1">IF(B1549=B1550,OFFSET(卡牌辅助配置表!$AE$1,MATCH(AB1549,卡牌辅助配置表!AB:AB,0),0),0)</f>
        <v>1100</v>
      </c>
      <c r="AN1549" s="153">
        <f ca="1" t="shared" si="261"/>
        <v>3001004</v>
      </c>
      <c r="AP1549" s="153">
        <f ca="1">IF(AC1549=0,0,IF(AC1549=12,0,OFFSET(effect!$N$1,MATCH(K1549,effect!M:M,0)-1,0)))</f>
        <v>0</v>
      </c>
    </row>
    <row r="1550" spans="1:42">
      <c r="A1550" s="153">
        <f ca="1" t="shared" si="262"/>
        <v>3001004</v>
      </c>
      <c r="B1550" s="153" t="s">
        <v>490</v>
      </c>
      <c r="C1550" s="186">
        <v>3</v>
      </c>
      <c r="D1550" s="186">
        <v>3</v>
      </c>
      <c r="E1550" s="165" t="s">
        <v>1069</v>
      </c>
      <c r="F1550" s="298"/>
      <c r="G1550" s="186">
        <v>-3</v>
      </c>
      <c r="H1550" s="186">
        <f ca="1">OFFSET(skill!$Q$1,MATCH(B1550,skill!B:B,0)-1,0)</f>
        <v>0</v>
      </c>
      <c r="I1550" s="186"/>
      <c r="J1550" s="186">
        <f ca="1">OFFSET(card_type!$F$1,MATCH(Q1550,card_type!A:A,0)-1,0)</f>
        <v>1</v>
      </c>
      <c r="K1550" s="243">
        <f ca="1">OFFSET(card_type!$G$1,MATCH(Q1550,card_type!A:A,0)-1,0)</f>
        <v>1</v>
      </c>
      <c r="L1550" s="157">
        <v>1</v>
      </c>
      <c r="M1550" s="157">
        <v>1</v>
      </c>
      <c r="N1550" s="153">
        <f t="shared" si="263"/>
        <v>4</v>
      </c>
      <c r="O1550" s="157"/>
      <c r="P1550" s="157"/>
      <c r="Q1550" s="153">
        <f ca="1">OFFSET(card_type!$A$1,MATCH(card!B1550,card_type!B:B,0)-1,0)</f>
        <v>3001</v>
      </c>
      <c r="R1550" s="153">
        <v>1</v>
      </c>
      <c r="S1550" s="157">
        <f ca="1">ROUND(IF(R1550=0,0,IF(R1550=1,X1550*$S$1,IF(R1550=2,X1550*$S$1*buff的资质计算!$E$2,IF(R1550=3,X1550*$S$1*buff的资质计算!$E$3,0)))),0)*0</f>
        <v>0</v>
      </c>
      <c r="T1550" s="153">
        <v>5</v>
      </c>
      <c r="U1550" s="153">
        <f ca="1" t="shared" si="264"/>
        <v>11</v>
      </c>
      <c r="V1550" s="153">
        <f ca="1">ROUND((OFFSET(卡牌辅助配置表!$O$1,MATCH(U1550,卡牌辅助配置表!M:M,0)-1,0)+(N1550-1)*OFFSET(卡牌辅助配置表!$P$1,MATCH(U1550,卡牌辅助配置表!M:M,0)-1,0))*M1550,2)</f>
        <v>6.9</v>
      </c>
      <c r="W1550" s="157">
        <f ca="1">ROUND(IF(R1550=0,0,IF(R1550=1,X1550*$W$1,IF(R1550=2,X1550*$W$1*buff的资质计算!$E$2,IF(R1550=3,X1550*$W$1*buff的资质计算!$E$3,0)))),2)</f>
        <v>1.05</v>
      </c>
      <c r="X1550" s="157">
        <f ca="1" t="shared" si="258"/>
        <v>3.5</v>
      </c>
      <c r="Y1550" s="157">
        <f ca="1" t="shared" si="267"/>
        <v>3.5</v>
      </c>
      <c r="Z1550" s="304">
        <f ca="1" t="shared" si="259"/>
        <v>3.5</v>
      </c>
      <c r="AA1550" s="304">
        <f ca="1">OFFSET(卡牌辅助配置表!$AD$1,MATCH(AB1550,卡牌辅助配置表!AB:AB,0)-1,0)</f>
        <v>72</v>
      </c>
      <c r="AB1550" s="304">
        <f ca="1" t="shared" si="265"/>
        <v>1104</v>
      </c>
      <c r="AF1550" s="153" t="str">
        <f ca="1" t="shared" si="256"/>
        <v>30010011|</v>
      </c>
      <c r="AJ1550" s="205" t="str">
        <f ca="1" t="shared" si="266"/>
        <v>400023|1300|;</v>
      </c>
      <c r="AK1550" s="205">
        <f ca="1">OFFSET([1]item_type!$A$1,MATCH(Q1550,[1]item_type!$G:$G,0)-1,0)</f>
        <v>303001</v>
      </c>
      <c r="AL1550" s="205"/>
      <c r="AM1550" s="205">
        <f ca="1">IF(B1550=B1551,OFFSET(卡牌辅助配置表!$AE$1,MATCH(AB1550,卡牌辅助配置表!AB:AB,0),0),0)</f>
        <v>1300</v>
      </c>
      <c r="AN1550" s="153">
        <f ca="1" t="shared" si="261"/>
        <v>3001005</v>
      </c>
      <c r="AP1550" s="153">
        <f ca="1">IF(AC1550=0,0,IF(AC1550=12,0,OFFSET(effect!$N$1,MATCH(K1550,effect!M:M,0)-1,0)))</f>
        <v>0</v>
      </c>
    </row>
    <row r="1551" spans="1:42">
      <c r="A1551" s="153">
        <f ca="1" t="shared" si="262"/>
        <v>3001005</v>
      </c>
      <c r="B1551" s="153" t="s">
        <v>490</v>
      </c>
      <c r="C1551" s="186">
        <v>3</v>
      </c>
      <c r="D1551" s="186">
        <v>3</v>
      </c>
      <c r="E1551" s="165" t="s">
        <v>1069</v>
      </c>
      <c r="F1551" s="298"/>
      <c r="G1551" s="186">
        <v>-3</v>
      </c>
      <c r="H1551" s="186">
        <f ca="1">OFFSET(skill!$Q$1,MATCH(B1551,skill!B:B,0)-1,0)</f>
        <v>0</v>
      </c>
      <c r="I1551" s="186"/>
      <c r="J1551" s="186">
        <f ca="1">OFFSET(card_type!$F$1,MATCH(Q1551,card_type!A:A,0)-1,0)</f>
        <v>1</v>
      </c>
      <c r="K1551" s="243">
        <f ca="1">OFFSET(card_type!$G$1,MATCH(Q1551,card_type!A:A,0)-1,0)</f>
        <v>1</v>
      </c>
      <c r="L1551" s="157">
        <v>1</v>
      </c>
      <c r="M1551" s="157">
        <v>1</v>
      </c>
      <c r="N1551" s="153">
        <f t="shared" si="263"/>
        <v>5</v>
      </c>
      <c r="O1551" s="157"/>
      <c r="P1551" s="157"/>
      <c r="Q1551" s="153">
        <f ca="1">OFFSET(card_type!$A$1,MATCH(card!B1551,card_type!B:B,0)-1,0)</f>
        <v>3001</v>
      </c>
      <c r="R1551" s="153">
        <v>1</v>
      </c>
      <c r="S1551" s="157">
        <f ca="1">ROUND(IF(R1551=0,0,IF(R1551=1,X1551*$S$1,IF(R1551=2,X1551*$S$1*buff的资质计算!$E$2,IF(R1551=3,X1551*$S$1*buff的资质计算!$E$3,0)))),0)*0</f>
        <v>0</v>
      </c>
      <c r="T1551" s="153">
        <v>5</v>
      </c>
      <c r="U1551" s="153">
        <f ca="1" t="shared" si="264"/>
        <v>11</v>
      </c>
      <c r="V1551" s="153">
        <f ca="1">ROUND((OFFSET(卡牌辅助配置表!$O$1,MATCH(U1551,卡牌辅助配置表!M:M,0)-1,0)+(N1551-1)*OFFSET(卡牌辅助配置表!$P$1,MATCH(U1551,卡牌辅助配置表!M:M,0)-1,0))*M1551,2)</f>
        <v>7.11</v>
      </c>
      <c r="W1551" s="157">
        <f ca="1">ROUND(IF(R1551=0,0,IF(R1551=1,X1551*$W$1,IF(R1551=2,X1551*$W$1*buff的资质计算!$E$2,IF(R1551=3,X1551*$W$1*buff的资质计算!$E$3,0)))),2)</f>
        <v>1.2</v>
      </c>
      <c r="X1551" s="157">
        <f ca="1" t="shared" si="258"/>
        <v>4</v>
      </c>
      <c r="Y1551" s="157">
        <f ca="1" t="shared" si="267"/>
        <v>4</v>
      </c>
      <c r="Z1551" s="304">
        <f ca="1" t="shared" si="259"/>
        <v>4</v>
      </c>
      <c r="AA1551" s="304">
        <f ca="1">OFFSET(卡牌辅助配置表!$AD$1,MATCH(AB1551,卡牌辅助配置表!AB:AB,0)-1,0)</f>
        <v>90</v>
      </c>
      <c r="AB1551" s="304">
        <f ca="1" t="shared" si="265"/>
        <v>1105</v>
      </c>
      <c r="AF1551" s="153" t="str">
        <f ca="1" t="shared" si="256"/>
        <v>30010011|</v>
      </c>
      <c r="AJ1551" s="205" t="str">
        <f ca="1" t="shared" si="266"/>
        <v>400023|1500|;</v>
      </c>
      <c r="AK1551" s="205">
        <f ca="1">OFFSET([1]item_type!$A$1,MATCH(Q1551,[1]item_type!$G:$G,0)-1,0)</f>
        <v>303001</v>
      </c>
      <c r="AL1551" s="205"/>
      <c r="AM1551" s="205">
        <f ca="1">IF(B1551=B1552,OFFSET(卡牌辅助配置表!$AE$1,MATCH(AB1551,卡牌辅助配置表!AB:AB,0),0),0)</f>
        <v>1500</v>
      </c>
      <c r="AN1551" s="153">
        <f ca="1" t="shared" si="261"/>
        <v>3001006</v>
      </c>
      <c r="AP1551" s="153">
        <f ca="1">IF(AC1551=0,0,IF(AC1551=12,0,OFFSET(effect!$N$1,MATCH(K1551,effect!M:M,0)-1,0)))</f>
        <v>0</v>
      </c>
    </row>
    <row r="1552" spans="1:42">
      <c r="A1552" s="153">
        <f ca="1" t="shared" si="262"/>
        <v>3001006</v>
      </c>
      <c r="B1552" s="153" t="s">
        <v>490</v>
      </c>
      <c r="C1552" s="186">
        <v>3</v>
      </c>
      <c r="D1552" s="186">
        <v>3</v>
      </c>
      <c r="E1552" s="165" t="s">
        <v>1069</v>
      </c>
      <c r="F1552" s="298"/>
      <c r="G1552" s="186">
        <v>-3</v>
      </c>
      <c r="H1552" s="186">
        <f ca="1">OFFSET(skill!$Q$1,MATCH(B1552,skill!B:B,0)-1,0)</f>
        <v>0</v>
      </c>
      <c r="I1552" s="186"/>
      <c r="J1552" s="186">
        <f ca="1">OFFSET(card_type!$F$1,MATCH(Q1552,card_type!A:A,0)-1,0)</f>
        <v>1</v>
      </c>
      <c r="K1552" s="243">
        <f ca="1">OFFSET(card_type!$G$1,MATCH(Q1552,card_type!A:A,0)-1,0)</f>
        <v>1</v>
      </c>
      <c r="L1552" s="157">
        <v>1</v>
      </c>
      <c r="M1552" s="157">
        <v>1</v>
      </c>
      <c r="N1552" s="153">
        <f t="shared" si="263"/>
        <v>6</v>
      </c>
      <c r="O1552" s="157"/>
      <c r="P1552" s="157"/>
      <c r="Q1552" s="153">
        <f ca="1">OFFSET(card_type!$A$1,MATCH(card!B1552,card_type!B:B,0)-1,0)</f>
        <v>3001</v>
      </c>
      <c r="R1552" s="153">
        <v>1</v>
      </c>
      <c r="S1552" s="157">
        <f ca="1">ROUND(IF(R1552=0,0,IF(R1552=1,X1552*$S$1,IF(R1552=2,X1552*$S$1*buff的资质计算!$E$2,IF(R1552=3,X1552*$S$1*buff的资质计算!$E$3,0)))),0)*0</f>
        <v>0</v>
      </c>
      <c r="T1552" s="153">
        <v>5</v>
      </c>
      <c r="U1552" s="153">
        <f ca="1" t="shared" si="264"/>
        <v>11</v>
      </c>
      <c r="V1552" s="153">
        <f ca="1">ROUND((OFFSET(卡牌辅助配置表!$O$1,MATCH(U1552,卡牌辅助配置表!M:M,0)-1,0)+(N1552-1)*OFFSET(卡牌辅助配置表!$P$1,MATCH(U1552,卡牌辅助配置表!M:M,0)-1,0))*M1552,2)</f>
        <v>7.32</v>
      </c>
      <c r="W1552" s="157">
        <f ca="1">ROUND(IF(R1552=0,0,IF(R1552=1,X1552*$W$1,IF(R1552=2,X1552*$W$1*buff的资质计算!$E$2,IF(R1552=3,X1552*$W$1*buff的资质计算!$E$3,0)))),2)</f>
        <v>1.35</v>
      </c>
      <c r="X1552" s="157">
        <f ca="1" t="shared" si="258"/>
        <v>4.5</v>
      </c>
      <c r="Y1552" s="157">
        <f ca="1" t="shared" si="267"/>
        <v>4.5</v>
      </c>
      <c r="Z1552" s="304">
        <f ca="1" t="shared" si="259"/>
        <v>4.5</v>
      </c>
      <c r="AA1552" s="304">
        <f ca="1">OFFSET(卡牌辅助配置表!$AD$1,MATCH(AB1552,卡牌辅助配置表!AB:AB,0)-1,0)</f>
        <v>108</v>
      </c>
      <c r="AB1552" s="304">
        <f ca="1" t="shared" si="265"/>
        <v>1106</v>
      </c>
      <c r="AF1552" s="153" t="str">
        <f ca="1" t="shared" si="256"/>
        <v>30010011|</v>
      </c>
      <c r="AJ1552" s="205" t="str">
        <f ca="1" t="shared" si="266"/>
        <v>400023|1700|;</v>
      </c>
      <c r="AK1552" s="205">
        <f ca="1">OFFSET([1]item_type!$A$1,MATCH(Q1552,[1]item_type!$G:$G,0)-1,0)</f>
        <v>303001</v>
      </c>
      <c r="AL1552" s="205"/>
      <c r="AM1552" s="205">
        <f ca="1">IF(B1552=B1553,OFFSET(卡牌辅助配置表!$AE$1,MATCH(AB1552,卡牌辅助配置表!AB:AB,0),0),0)</f>
        <v>1700</v>
      </c>
      <c r="AN1552" s="153">
        <f ca="1" t="shared" si="261"/>
        <v>3001007</v>
      </c>
      <c r="AP1552" s="153">
        <f ca="1">IF(AC1552=0,0,IF(AC1552=12,0,OFFSET(effect!$N$1,MATCH(K1552,effect!M:M,0)-1,0)))</f>
        <v>0</v>
      </c>
    </row>
    <row r="1553" spans="1:42">
      <c r="A1553" s="153">
        <f ca="1" t="shared" si="262"/>
        <v>3001007</v>
      </c>
      <c r="B1553" s="153" t="s">
        <v>490</v>
      </c>
      <c r="C1553" s="186">
        <v>3</v>
      </c>
      <c r="D1553" s="186">
        <v>3</v>
      </c>
      <c r="E1553" s="165" t="s">
        <v>1069</v>
      </c>
      <c r="F1553" s="298"/>
      <c r="G1553" s="186">
        <v>-3</v>
      </c>
      <c r="H1553" s="186">
        <f ca="1">OFFSET(skill!$Q$1,MATCH(B1553,skill!B:B,0)-1,0)</f>
        <v>0</v>
      </c>
      <c r="I1553" s="186"/>
      <c r="J1553" s="186">
        <f ca="1">OFFSET(card_type!$F$1,MATCH(Q1553,card_type!A:A,0)-1,0)</f>
        <v>1</v>
      </c>
      <c r="K1553" s="243">
        <f ca="1">OFFSET(card_type!$G$1,MATCH(Q1553,card_type!A:A,0)-1,0)</f>
        <v>1</v>
      </c>
      <c r="L1553" s="157">
        <v>1</v>
      </c>
      <c r="M1553" s="157">
        <v>1</v>
      </c>
      <c r="N1553" s="153">
        <f t="shared" si="263"/>
        <v>7</v>
      </c>
      <c r="O1553" s="157"/>
      <c r="P1553" s="157"/>
      <c r="Q1553" s="153">
        <f ca="1">OFFSET(card_type!$A$1,MATCH(card!B1553,card_type!B:B,0)-1,0)</f>
        <v>3001</v>
      </c>
      <c r="R1553" s="153">
        <v>1</v>
      </c>
      <c r="S1553" s="157">
        <f ca="1">ROUND(IF(R1553=0,0,IF(R1553=1,X1553*$S$1,IF(R1553=2,X1553*$S$1*buff的资质计算!$E$2,IF(R1553=3,X1553*$S$1*buff的资质计算!$E$3,0)))),0)*0</f>
        <v>0</v>
      </c>
      <c r="T1553" s="153">
        <v>5</v>
      </c>
      <c r="U1553" s="153">
        <f ca="1" t="shared" si="264"/>
        <v>11</v>
      </c>
      <c r="V1553" s="153">
        <f ca="1">ROUND((OFFSET(卡牌辅助配置表!$O$1,MATCH(U1553,卡牌辅助配置表!M:M,0)-1,0)+(N1553-1)*OFFSET(卡牌辅助配置表!$P$1,MATCH(U1553,卡牌辅助配置表!M:M,0)-1,0))*M1553,2)</f>
        <v>7.52</v>
      </c>
      <c r="W1553" s="157">
        <f ca="1">ROUND(IF(R1553=0,0,IF(R1553=1,X1553*$W$1,IF(R1553=2,X1553*$W$1*buff的资质计算!$E$2,IF(R1553=3,X1553*$W$1*buff的资质计算!$E$3,0)))),2)</f>
        <v>1.5</v>
      </c>
      <c r="X1553" s="157">
        <f ca="1" t="shared" si="258"/>
        <v>5</v>
      </c>
      <c r="Y1553" s="157">
        <f ca="1" t="shared" si="267"/>
        <v>5</v>
      </c>
      <c r="Z1553" s="304">
        <f ca="1" t="shared" si="259"/>
        <v>5</v>
      </c>
      <c r="AA1553" s="304">
        <f ca="1">OFFSET(卡牌辅助配置表!$AD$1,MATCH(AB1553,卡牌辅助配置表!AB:AB,0)-1,0)</f>
        <v>126</v>
      </c>
      <c r="AB1553" s="304">
        <f ca="1" t="shared" si="265"/>
        <v>1107</v>
      </c>
      <c r="AF1553" s="153" t="str">
        <f ca="1" t="shared" si="256"/>
        <v>30010011|</v>
      </c>
      <c r="AJ1553" s="205" t="str">
        <f ca="1" t="shared" si="266"/>
        <v>400023|1900|;</v>
      </c>
      <c r="AK1553" s="205">
        <f ca="1">OFFSET([1]item_type!$A$1,MATCH(Q1553,[1]item_type!$G:$G,0)-1,0)</f>
        <v>303001</v>
      </c>
      <c r="AL1553" s="205"/>
      <c r="AM1553" s="205">
        <f ca="1">IF(B1553=B1554,OFFSET(卡牌辅助配置表!$AE$1,MATCH(AB1553,卡牌辅助配置表!AB:AB,0),0),0)</f>
        <v>1900</v>
      </c>
      <c r="AN1553" s="153">
        <f ca="1" t="shared" si="261"/>
        <v>3001008</v>
      </c>
      <c r="AP1553" s="153">
        <f ca="1">IF(AC1553=0,0,IF(AC1553=12,0,OFFSET(effect!$N$1,MATCH(K1553,effect!M:M,0)-1,0)))</f>
        <v>0</v>
      </c>
    </row>
    <row r="1554" spans="1:42">
      <c r="A1554" s="153">
        <f ca="1" t="shared" si="262"/>
        <v>3001008</v>
      </c>
      <c r="B1554" s="153" t="s">
        <v>490</v>
      </c>
      <c r="C1554" s="186">
        <v>3</v>
      </c>
      <c r="D1554" s="186">
        <v>3</v>
      </c>
      <c r="E1554" s="165" t="s">
        <v>1069</v>
      </c>
      <c r="F1554" s="298"/>
      <c r="G1554" s="186">
        <v>-3</v>
      </c>
      <c r="H1554" s="186">
        <f ca="1">OFFSET(skill!$Q$1,MATCH(B1554,skill!B:B,0)-1,0)</f>
        <v>0</v>
      </c>
      <c r="I1554" s="186"/>
      <c r="J1554" s="186">
        <f ca="1">OFFSET(card_type!$F$1,MATCH(Q1554,card_type!A:A,0)-1,0)</f>
        <v>1</v>
      </c>
      <c r="K1554" s="243">
        <f ca="1">OFFSET(card_type!$G$1,MATCH(Q1554,card_type!A:A,0)-1,0)</f>
        <v>1</v>
      </c>
      <c r="L1554" s="157">
        <v>1</v>
      </c>
      <c r="M1554" s="157">
        <v>1</v>
      </c>
      <c r="N1554" s="153">
        <f t="shared" si="263"/>
        <v>8</v>
      </c>
      <c r="O1554" s="157"/>
      <c r="P1554" s="157"/>
      <c r="Q1554" s="153">
        <f ca="1">OFFSET(card_type!$A$1,MATCH(card!B1554,card_type!B:B,0)-1,0)</f>
        <v>3001</v>
      </c>
      <c r="R1554" s="153">
        <v>1</v>
      </c>
      <c r="S1554" s="157">
        <f ca="1">ROUND(IF(R1554=0,0,IF(R1554=1,X1554*$S$1,IF(R1554=2,X1554*$S$1*buff的资质计算!$E$2,IF(R1554=3,X1554*$S$1*buff的资质计算!$E$3,0)))),0)*0</f>
        <v>0</v>
      </c>
      <c r="T1554" s="153">
        <v>5</v>
      </c>
      <c r="U1554" s="153">
        <f ca="1" t="shared" si="264"/>
        <v>11</v>
      </c>
      <c r="V1554" s="153">
        <f ca="1">ROUND((OFFSET(卡牌辅助配置表!$O$1,MATCH(U1554,卡牌辅助配置表!M:M,0)-1,0)+(N1554-1)*OFFSET(卡牌辅助配置表!$P$1,MATCH(U1554,卡牌辅助配置表!M:M,0)-1,0))*M1554,2)</f>
        <v>7.73</v>
      </c>
      <c r="W1554" s="157">
        <f ca="1">ROUND(IF(R1554=0,0,IF(R1554=1,X1554*$W$1,IF(R1554=2,X1554*$W$1*buff的资质计算!$E$2,IF(R1554=3,X1554*$W$1*buff的资质计算!$E$3,0)))),2)</f>
        <v>1.65</v>
      </c>
      <c r="X1554" s="157">
        <f ca="1" t="shared" si="258"/>
        <v>5.5</v>
      </c>
      <c r="Y1554" s="157">
        <f ca="1" t="shared" si="267"/>
        <v>5.5</v>
      </c>
      <c r="Z1554" s="304">
        <f ca="1" t="shared" si="259"/>
        <v>5.5</v>
      </c>
      <c r="AA1554" s="304">
        <f ca="1">OFFSET(卡牌辅助配置表!$AD$1,MATCH(AB1554,卡牌辅助配置表!AB:AB,0)-1,0)</f>
        <v>144</v>
      </c>
      <c r="AB1554" s="304">
        <f ca="1" t="shared" si="265"/>
        <v>1108</v>
      </c>
      <c r="AF1554" s="153" t="str">
        <f ca="1" t="shared" si="256"/>
        <v>30010011|</v>
      </c>
      <c r="AJ1554" s="205" t="str">
        <f ca="1" t="shared" si="266"/>
        <v>400023|2100|;</v>
      </c>
      <c r="AK1554" s="205">
        <f ca="1">OFFSET([1]item_type!$A$1,MATCH(Q1554,[1]item_type!$G:$G,0)-1,0)</f>
        <v>303001</v>
      </c>
      <c r="AL1554" s="205"/>
      <c r="AM1554" s="205">
        <f ca="1">IF(B1554=B1555,OFFSET(卡牌辅助配置表!$AE$1,MATCH(AB1554,卡牌辅助配置表!AB:AB,0),0),0)</f>
        <v>2100</v>
      </c>
      <c r="AN1554" s="153">
        <f ca="1" t="shared" si="261"/>
        <v>3001009</v>
      </c>
      <c r="AP1554" s="153">
        <f ca="1">IF(AC1554=0,0,IF(AC1554=12,0,OFFSET(effect!$N$1,MATCH(K1554,effect!M:M,0)-1,0)))</f>
        <v>0</v>
      </c>
    </row>
    <row r="1555" spans="1:42">
      <c r="A1555" s="153">
        <f ca="1" t="shared" si="262"/>
        <v>3001009</v>
      </c>
      <c r="B1555" s="153" t="s">
        <v>490</v>
      </c>
      <c r="C1555" s="186">
        <v>3</v>
      </c>
      <c r="D1555" s="186">
        <v>3</v>
      </c>
      <c r="E1555" s="165" t="s">
        <v>1069</v>
      </c>
      <c r="F1555" s="298"/>
      <c r="G1555" s="186">
        <v>-3</v>
      </c>
      <c r="H1555" s="186">
        <f ca="1">OFFSET(skill!$Q$1,MATCH(B1555,skill!B:B,0)-1,0)</f>
        <v>0</v>
      </c>
      <c r="I1555" s="186"/>
      <c r="J1555" s="186">
        <f ca="1">OFFSET(card_type!$F$1,MATCH(Q1555,card_type!A:A,0)-1,0)</f>
        <v>1</v>
      </c>
      <c r="K1555" s="243">
        <f ca="1">OFFSET(card_type!$G$1,MATCH(Q1555,card_type!A:A,0)-1,0)</f>
        <v>1</v>
      </c>
      <c r="L1555" s="157">
        <v>1</v>
      </c>
      <c r="M1555" s="157">
        <v>1</v>
      </c>
      <c r="N1555" s="153">
        <f t="shared" si="263"/>
        <v>9</v>
      </c>
      <c r="O1555" s="157"/>
      <c r="P1555" s="157"/>
      <c r="Q1555" s="153">
        <f ca="1">OFFSET(card_type!$A$1,MATCH(card!B1555,card_type!B:B,0)-1,0)</f>
        <v>3001</v>
      </c>
      <c r="R1555" s="153">
        <v>1</v>
      </c>
      <c r="S1555" s="157">
        <f ca="1">ROUND(IF(R1555=0,0,IF(R1555=1,X1555*$S$1,IF(R1555=2,X1555*$S$1*buff的资质计算!$E$2,IF(R1555=3,X1555*$S$1*buff的资质计算!$E$3,0)))),0)*0</f>
        <v>0</v>
      </c>
      <c r="T1555" s="153">
        <v>5</v>
      </c>
      <c r="U1555" s="153">
        <f ca="1" t="shared" si="264"/>
        <v>11</v>
      </c>
      <c r="V1555" s="153">
        <f ca="1">ROUND((OFFSET(卡牌辅助配置表!$O$1,MATCH(U1555,卡牌辅助配置表!M:M,0)-1,0)+(N1555-1)*OFFSET(卡牌辅助配置表!$P$1,MATCH(U1555,卡牌辅助配置表!M:M,0)-1,0))*M1555,2)</f>
        <v>7.94</v>
      </c>
      <c r="W1555" s="157">
        <f ca="1">ROUND(IF(R1555=0,0,IF(R1555=1,X1555*$W$1,IF(R1555=2,X1555*$W$1*buff的资质计算!$E$2,IF(R1555=3,X1555*$W$1*buff的资质计算!$E$3,0)))),2)</f>
        <v>1.8</v>
      </c>
      <c r="X1555" s="157">
        <f ca="1" t="shared" si="258"/>
        <v>6</v>
      </c>
      <c r="Y1555" s="157">
        <f ca="1" t="shared" si="267"/>
        <v>6</v>
      </c>
      <c r="Z1555" s="304">
        <f ca="1" t="shared" si="259"/>
        <v>6</v>
      </c>
      <c r="AA1555" s="304">
        <f ca="1">OFFSET(卡牌辅助配置表!$AD$1,MATCH(AB1555,卡牌辅助配置表!AB:AB,0)-1,0)</f>
        <v>162</v>
      </c>
      <c r="AB1555" s="304">
        <f ca="1" t="shared" si="265"/>
        <v>1109</v>
      </c>
      <c r="AF1555" s="153" t="str">
        <f ca="1" t="shared" si="256"/>
        <v>30010011|</v>
      </c>
      <c r="AJ1555" s="205" t="str">
        <f ca="1" t="shared" si="266"/>
        <v>303001|15|;400023|2300|;</v>
      </c>
      <c r="AK1555" s="205">
        <f ca="1">OFFSET([1]item_type!$A$1,MATCH(Q1555,[1]item_type!$G:$G,0)-1,0)</f>
        <v>303001</v>
      </c>
      <c r="AL1555" s="205">
        <v>15</v>
      </c>
      <c r="AM1555" s="205">
        <f ca="1">IF(B1555=B1556,OFFSET(卡牌辅助配置表!$AE$1,MATCH(AB1555,卡牌辅助配置表!AB:AB,0),0),0)</f>
        <v>2300</v>
      </c>
      <c r="AN1555" s="153">
        <f ca="1" t="shared" si="261"/>
        <v>3001010</v>
      </c>
      <c r="AP1555" s="153">
        <f ca="1">IF(AC1555=0,0,IF(AC1555=12,0,OFFSET(effect!$N$1,MATCH(K1555,effect!M:M,0)-1,0)))</f>
        <v>0</v>
      </c>
    </row>
    <row r="1556" spans="1:42">
      <c r="A1556" s="153">
        <f ca="1" t="shared" si="262"/>
        <v>3001010</v>
      </c>
      <c r="B1556" s="153" t="s">
        <v>490</v>
      </c>
      <c r="C1556" s="186">
        <v>3</v>
      </c>
      <c r="D1556" s="186">
        <v>3</v>
      </c>
      <c r="E1556" s="165" t="s">
        <v>1069</v>
      </c>
      <c r="F1556" s="298"/>
      <c r="G1556" s="186">
        <v>-3</v>
      </c>
      <c r="H1556" s="186">
        <f ca="1">OFFSET(skill!$Q$1,MATCH(B1556,skill!B:B,0)-1,0)</f>
        <v>0</v>
      </c>
      <c r="I1556" s="186"/>
      <c r="J1556" s="186">
        <f ca="1">OFFSET(card_type!$F$1,MATCH(Q1556,card_type!A:A,0)-1,0)</f>
        <v>1</v>
      </c>
      <c r="K1556" s="243">
        <f ca="1">OFFSET(card_type!$G$1,MATCH(Q1556,card_type!A:A,0)-1,0)</f>
        <v>1</v>
      </c>
      <c r="L1556" s="157">
        <v>1</v>
      </c>
      <c r="M1556" s="157">
        <v>1</v>
      </c>
      <c r="N1556" s="153">
        <f t="shared" si="263"/>
        <v>10</v>
      </c>
      <c r="O1556" s="157"/>
      <c r="P1556" s="157"/>
      <c r="Q1556" s="153">
        <f ca="1">OFFSET(card_type!$A$1,MATCH(card!B1556,card_type!B:B,0)-1,0)</f>
        <v>3001</v>
      </c>
      <c r="R1556" s="153">
        <v>1</v>
      </c>
      <c r="S1556" s="157">
        <f ca="1">ROUND(IF(R1556=0,0,IF(R1556=1,X1556*$S$1,IF(R1556=2,X1556*$S$1*buff的资质计算!$E$2,IF(R1556=3,X1556*$S$1*buff的资质计算!$E$3,0)))),0)*0</f>
        <v>0</v>
      </c>
      <c r="T1556" s="153">
        <v>5</v>
      </c>
      <c r="U1556" s="153">
        <f ca="1" t="shared" si="264"/>
        <v>11</v>
      </c>
      <c r="V1556" s="153">
        <f ca="1">ROUND((OFFSET(卡牌辅助配置表!$O$1,MATCH(U1556,卡牌辅助配置表!M:M,0)-1,0)+(N1556-1)*OFFSET(卡牌辅助配置表!$P$1,MATCH(U1556,卡牌辅助配置表!M:M,0)-1,0))*M1556,2)</f>
        <v>8.15</v>
      </c>
      <c r="W1556" s="157">
        <f ca="1">ROUND(IF(R1556=0,0,IF(R1556=1,X1556*$W$1,IF(R1556=2,X1556*$W$1*buff的资质计算!$E$2,IF(R1556=3,X1556*$W$1*buff的资质计算!$E$3,0)))),2)</f>
        <v>1.95</v>
      </c>
      <c r="X1556" s="157">
        <f ca="1" t="shared" si="258"/>
        <v>6.5</v>
      </c>
      <c r="Y1556" s="157">
        <f ca="1" t="shared" si="267"/>
        <v>6.5</v>
      </c>
      <c r="Z1556" s="304">
        <f ca="1" t="shared" si="259"/>
        <v>6.5</v>
      </c>
      <c r="AA1556" s="304">
        <f ca="1">OFFSET(卡牌辅助配置表!$AD$1,MATCH(AB1556,卡牌辅助配置表!AB:AB,0)-1,0)</f>
        <v>180</v>
      </c>
      <c r="AB1556" s="304">
        <f ca="1" t="shared" si="265"/>
        <v>1110</v>
      </c>
      <c r="AF1556" s="153" t="str">
        <f ca="1" t="shared" si="256"/>
        <v>30010011|</v>
      </c>
      <c r="AJ1556" s="205" t="str">
        <f ca="1" t="shared" si="266"/>
        <v>400023|2700|;</v>
      </c>
      <c r="AK1556" s="205">
        <f ca="1">OFFSET([1]item_type!$A$1,MATCH(Q1556,[1]item_type!$G:$G,0)-1,0)</f>
        <v>303001</v>
      </c>
      <c r="AL1556" s="205"/>
      <c r="AM1556" s="205">
        <f ca="1">IF(B1556=B1557,OFFSET(卡牌辅助配置表!$AE$1,MATCH(AB1556,卡牌辅助配置表!AB:AB,0),0),0)</f>
        <v>2700</v>
      </c>
      <c r="AN1556" s="153">
        <f ca="1" t="shared" si="261"/>
        <v>3001011</v>
      </c>
      <c r="AP1556" s="153">
        <f ca="1">IF(AC1556=0,0,IF(AC1556=12,0,OFFSET(effect!$N$1,MATCH(K1556,effect!M:M,0)-1,0)))</f>
        <v>0</v>
      </c>
    </row>
    <row r="1557" spans="1:42">
      <c r="A1557" s="153">
        <f ca="1" t="shared" si="262"/>
        <v>3001011</v>
      </c>
      <c r="B1557" s="153" t="s">
        <v>490</v>
      </c>
      <c r="C1557" s="186">
        <v>3</v>
      </c>
      <c r="D1557" s="186">
        <v>3</v>
      </c>
      <c r="E1557" s="165" t="s">
        <v>1069</v>
      </c>
      <c r="F1557" s="298"/>
      <c r="G1557" s="186">
        <v>-3</v>
      </c>
      <c r="H1557" s="186">
        <f ca="1">OFFSET(skill!$Q$1,MATCH(B1557,skill!B:B,0)-1,0)</f>
        <v>0</v>
      </c>
      <c r="I1557" s="186"/>
      <c r="J1557" s="186">
        <f ca="1">OFFSET(card_type!$F$1,MATCH(Q1557,card_type!A:A,0)-1,0)</f>
        <v>1</v>
      </c>
      <c r="K1557" s="243">
        <f ca="1">OFFSET(card_type!$G$1,MATCH(Q1557,card_type!A:A,0)-1,0)</f>
        <v>1</v>
      </c>
      <c r="L1557" s="157">
        <v>1</v>
      </c>
      <c r="M1557" s="157">
        <v>1</v>
      </c>
      <c r="N1557" s="153">
        <f t="shared" si="263"/>
        <v>11</v>
      </c>
      <c r="O1557" s="157"/>
      <c r="P1557" s="157"/>
      <c r="Q1557" s="153">
        <f ca="1">OFFSET(card_type!$A$1,MATCH(card!B1557,card_type!B:B,0)-1,0)</f>
        <v>3001</v>
      </c>
      <c r="R1557" s="153">
        <v>1</v>
      </c>
      <c r="S1557" s="157">
        <f ca="1">ROUND(IF(R1557=0,0,IF(R1557=1,X1557*$S$1,IF(R1557=2,X1557*$S$1*buff的资质计算!$E$2,IF(R1557=3,X1557*$S$1*buff的资质计算!$E$3,0)))),0)*0</f>
        <v>0</v>
      </c>
      <c r="T1557" s="153">
        <v>5</v>
      </c>
      <c r="U1557" s="153">
        <f ca="1" t="shared" si="264"/>
        <v>11</v>
      </c>
      <c r="V1557" s="153">
        <f ca="1">ROUND((OFFSET(卡牌辅助配置表!$O$1,MATCH(U1557,卡牌辅助配置表!M:M,0)-1,0)+(N1557-1)*OFFSET(卡牌辅助配置表!$P$1,MATCH(U1557,卡牌辅助配置表!M:M,0)-1,0))*M1557,2)</f>
        <v>8.36</v>
      </c>
      <c r="W1557" s="157">
        <f ca="1">ROUND(IF(R1557=0,0,IF(R1557=1,X1557*$W$1,IF(R1557=2,X1557*$W$1*buff的资质计算!$E$2,IF(R1557=3,X1557*$W$1*buff的资质计算!$E$3,0)))),2)</f>
        <v>2.1</v>
      </c>
      <c r="X1557" s="157">
        <f ca="1" t="shared" si="258"/>
        <v>7</v>
      </c>
      <c r="Y1557" s="157">
        <f ca="1" t="shared" si="267"/>
        <v>7</v>
      </c>
      <c r="Z1557" s="304">
        <f ca="1" t="shared" si="259"/>
        <v>7</v>
      </c>
      <c r="AA1557" s="304">
        <f ca="1">OFFSET(卡牌辅助配置表!$AD$1,MATCH(AB1557,卡牌辅助配置表!AB:AB,0)-1,0)</f>
        <v>207</v>
      </c>
      <c r="AB1557" s="304">
        <f ca="1" t="shared" si="265"/>
        <v>1111</v>
      </c>
      <c r="AF1557" s="153" t="str">
        <f ca="1" t="shared" si="256"/>
        <v>30010011|</v>
      </c>
      <c r="AJ1557" s="205" t="str">
        <f ca="1" t="shared" si="266"/>
        <v>400023|3100|;</v>
      </c>
      <c r="AK1557" s="205">
        <f ca="1">OFFSET([1]item_type!$A$1,MATCH(Q1557,[1]item_type!$G:$G,0)-1,0)</f>
        <v>303001</v>
      </c>
      <c r="AL1557" s="205"/>
      <c r="AM1557" s="205">
        <f ca="1">IF(B1557=B1558,OFFSET(卡牌辅助配置表!$AE$1,MATCH(AB1557,卡牌辅助配置表!AB:AB,0),0),0)</f>
        <v>3100</v>
      </c>
      <c r="AN1557" s="153">
        <f ca="1" t="shared" si="261"/>
        <v>3001012</v>
      </c>
      <c r="AP1557" s="153">
        <f ca="1">IF(AC1557=0,0,IF(AC1557=12,0,OFFSET(effect!$N$1,MATCH(K1557,effect!M:M,0)-1,0)))</f>
        <v>0</v>
      </c>
    </row>
    <row r="1558" spans="1:42">
      <c r="A1558" s="153">
        <f ca="1" t="shared" si="262"/>
        <v>3001012</v>
      </c>
      <c r="B1558" s="153" t="s">
        <v>490</v>
      </c>
      <c r="C1558" s="186">
        <v>3</v>
      </c>
      <c r="D1558" s="186">
        <v>3</v>
      </c>
      <c r="E1558" s="165" t="s">
        <v>1069</v>
      </c>
      <c r="F1558" s="298"/>
      <c r="G1558" s="186">
        <v>-3</v>
      </c>
      <c r="H1558" s="186">
        <f ca="1">OFFSET(skill!$Q$1,MATCH(B1558,skill!B:B,0)-1,0)</f>
        <v>0</v>
      </c>
      <c r="I1558" s="186"/>
      <c r="J1558" s="186">
        <f ca="1">OFFSET(card_type!$F$1,MATCH(Q1558,card_type!A:A,0)-1,0)</f>
        <v>1</v>
      </c>
      <c r="K1558" s="243">
        <f ca="1">OFFSET(card_type!$G$1,MATCH(Q1558,card_type!A:A,0)-1,0)</f>
        <v>1</v>
      </c>
      <c r="L1558" s="157">
        <v>1</v>
      </c>
      <c r="M1558" s="157">
        <v>1</v>
      </c>
      <c r="N1558" s="153">
        <f t="shared" si="263"/>
        <v>12</v>
      </c>
      <c r="O1558" s="157"/>
      <c r="P1558" s="157"/>
      <c r="Q1558" s="153">
        <f ca="1">OFFSET(card_type!$A$1,MATCH(card!B1558,card_type!B:B,0)-1,0)</f>
        <v>3001</v>
      </c>
      <c r="R1558" s="153">
        <v>1</v>
      </c>
      <c r="S1558" s="157">
        <f ca="1">ROUND(IF(R1558=0,0,IF(R1558=1,X1558*$S$1,IF(R1558=2,X1558*$S$1*buff的资质计算!$E$2,IF(R1558=3,X1558*$S$1*buff的资质计算!$E$3,0)))),0)*0</f>
        <v>0</v>
      </c>
      <c r="T1558" s="153">
        <v>5</v>
      </c>
      <c r="U1558" s="153">
        <f ca="1" t="shared" si="264"/>
        <v>11</v>
      </c>
      <c r="V1558" s="153">
        <f ca="1">ROUND((OFFSET(卡牌辅助配置表!$O$1,MATCH(U1558,卡牌辅助配置表!M:M,0)-1,0)+(N1558-1)*OFFSET(卡牌辅助配置表!$P$1,MATCH(U1558,卡牌辅助配置表!M:M,0)-1,0))*M1558,2)</f>
        <v>8.57</v>
      </c>
      <c r="W1558" s="157">
        <f ca="1">ROUND(IF(R1558=0,0,IF(R1558=1,X1558*$W$1,IF(R1558=2,X1558*$W$1*buff的资质计算!$E$2,IF(R1558=3,X1558*$W$1*buff的资质计算!$E$3,0)))),2)</f>
        <v>2.25</v>
      </c>
      <c r="X1558" s="157">
        <f ca="1" t="shared" si="258"/>
        <v>7.5</v>
      </c>
      <c r="Y1558" s="157">
        <f ca="1" t="shared" si="267"/>
        <v>7.5</v>
      </c>
      <c r="Z1558" s="304">
        <f ca="1" t="shared" si="259"/>
        <v>7.5</v>
      </c>
      <c r="AA1558" s="304">
        <f ca="1">OFFSET(卡牌辅助配置表!$AD$1,MATCH(AB1558,卡牌辅助配置表!AB:AB,0)-1,0)</f>
        <v>234</v>
      </c>
      <c r="AB1558" s="304">
        <f ca="1" t="shared" si="265"/>
        <v>1112</v>
      </c>
      <c r="AF1558" s="153" t="str">
        <f ca="1" t="shared" si="256"/>
        <v>30010011|</v>
      </c>
      <c r="AJ1558" s="205" t="str">
        <f ca="1" t="shared" si="266"/>
        <v>400023|3500|;</v>
      </c>
      <c r="AK1558" s="205">
        <f ca="1">OFFSET([1]item_type!$A$1,MATCH(Q1558,[1]item_type!$G:$G,0)-1,0)</f>
        <v>303001</v>
      </c>
      <c r="AL1558" s="205"/>
      <c r="AM1558" s="205">
        <f ca="1">IF(B1558=B1559,OFFSET(卡牌辅助配置表!$AE$1,MATCH(AB1558,卡牌辅助配置表!AB:AB,0),0),0)</f>
        <v>3500</v>
      </c>
      <c r="AN1558" s="153">
        <f ca="1" t="shared" si="261"/>
        <v>3001013</v>
      </c>
      <c r="AP1558" s="153">
        <f ca="1">IF(AC1558=0,0,IF(AC1558=12,0,OFFSET(effect!$N$1,MATCH(K1558,effect!M:M,0)-1,0)))</f>
        <v>0</v>
      </c>
    </row>
    <row r="1559" spans="1:42">
      <c r="A1559" s="153">
        <f ca="1" t="shared" si="262"/>
        <v>3001013</v>
      </c>
      <c r="B1559" s="153" t="s">
        <v>490</v>
      </c>
      <c r="C1559" s="186">
        <v>3</v>
      </c>
      <c r="D1559" s="186">
        <v>3</v>
      </c>
      <c r="E1559" s="165" t="s">
        <v>1069</v>
      </c>
      <c r="F1559" s="298"/>
      <c r="G1559" s="186">
        <v>-3</v>
      </c>
      <c r="H1559" s="186">
        <f ca="1">OFFSET(skill!$Q$1,MATCH(B1559,skill!B:B,0)-1,0)</f>
        <v>0</v>
      </c>
      <c r="I1559" s="186"/>
      <c r="J1559" s="186">
        <f ca="1">OFFSET(card_type!$F$1,MATCH(Q1559,card_type!A:A,0)-1,0)</f>
        <v>1</v>
      </c>
      <c r="K1559" s="243">
        <f ca="1">OFFSET(card_type!$G$1,MATCH(Q1559,card_type!A:A,0)-1,0)</f>
        <v>1</v>
      </c>
      <c r="L1559" s="157">
        <v>1</v>
      </c>
      <c r="M1559" s="157">
        <v>1</v>
      </c>
      <c r="N1559" s="153">
        <f t="shared" si="263"/>
        <v>13</v>
      </c>
      <c r="O1559" s="157"/>
      <c r="P1559" s="157"/>
      <c r="Q1559" s="153">
        <f ca="1">OFFSET(card_type!$A$1,MATCH(card!B1559,card_type!B:B,0)-1,0)</f>
        <v>3001</v>
      </c>
      <c r="R1559" s="153">
        <v>1</v>
      </c>
      <c r="S1559" s="157">
        <f ca="1">ROUND(IF(R1559=0,0,IF(R1559=1,X1559*$S$1,IF(R1559=2,X1559*$S$1*buff的资质计算!$E$2,IF(R1559=3,X1559*$S$1*buff的资质计算!$E$3,0)))),0)*0</f>
        <v>0</v>
      </c>
      <c r="T1559" s="153">
        <v>5</v>
      </c>
      <c r="U1559" s="153">
        <f ca="1" t="shared" si="264"/>
        <v>11</v>
      </c>
      <c r="V1559" s="153">
        <f ca="1">ROUND((OFFSET(卡牌辅助配置表!$O$1,MATCH(U1559,卡牌辅助配置表!M:M,0)-1,0)+(N1559-1)*OFFSET(卡牌辅助配置表!$P$1,MATCH(U1559,卡牌辅助配置表!M:M,0)-1,0))*M1559,2)</f>
        <v>8.78</v>
      </c>
      <c r="W1559" s="157">
        <f ca="1">ROUND(IF(R1559=0,0,IF(R1559=1,X1559*$W$1,IF(R1559=2,X1559*$W$1*buff的资质计算!$E$2,IF(R1559=3,X1559*$W$1*buff的资质计算!$E$3,0)))),2)</f>
        <v>2.4</v>
      </c>
      <c r="X1559" s="157">
        <f ca="1" t="shared" si="258"/>
        <v>8</v>
      </c>
      <c r="Y1559" s="157">
        <f ca="1" t="shared" si="267"/>
        <v>8</v>
      </c>
      <c r="Z1559" s="304">
        <f ca="1" t="shared" si="259"/>
        <v>8</v>
      </c>
      <c r="AA1559" s="304">
        <f ca="1">OFFSET(卡牌辅助配置表!$AD$1,MATCH(AB1559,卡牌辅助配置表!AB:AB,0)-1,0)</f>
        <v>261</v>
      </c>
      <c r="AB1559" s="304">
        <f ca="1" t="shared" si="265"/>
        <v>1113</v>
      </c>
      <c r="AF1559" s="153" t="str">
        <f ca="1" t="shared" si="256"/>
        <v>30010011|</v>
      </c>
      <c r="AJ1559" s="205" t="str">
        <f ca="1" t="shared" si="266"/>
        <v>400023|3900|;</v>
      </c>
      <c r="AK1559" s="205">
        <f ca="1">OFFSET([1]item_type!$A$1,MATCH(Q1559,[1]item_type!$G:$G,0)-1,0)</f>
        <v>303001</v>
      </c>
      <c r="AL1559" s="205"/>
      <c r="AM1559" s="205">
        <f ca="1">IF(B1559=B1560,OFFSET(卡牌辅助配置表!$AE$1,MATCH(AB1559,卡牌辅助配置表!AB:AB,0),0),0)</f>
        <v>3900</v>
      </c>
      <c r="AN1559" s="153">
        <f ca="1" t="shared" si="261"/>
        <v>3001014</v>
      </c>
      <c r="AP1559" s="153">
        <f ca="1">IF(AC1559=0,0,IF(AC1559=12,0,OFFSET(effect!$N$1,MATCH(K1559,effect!M:M,0)-1,0)))</f>
        <v>0</v>
      </c>
    </row>
    <row r="1560" spans="1:42">
      <c r="A1560" s="153">
        <f ca="1" t="shared" si="262"/>
        <v>3001014</v>
      </c>
      <c r="B1560" s="153" t="s">
        <v>490</v>
      </c>
      <c r="C1560" s="186">
        <v>3</v>
      </c>
      <c r="D1560" s="186">
        <v>3</v>
      </c>
      <c r="E1560" s="165" t="s">
        <v>1069</v>
      </c>
      <c r="F1560" s="298"/>
      <c r="G1560" s="186">
        <v>-3</v>
      </c>
      <c r="H1560" s="186">
        <f ca="1">OFFSET(skill!$Q$1,MATCH(B1560,skill!B:B,0)-1,0)</f>
        <v>0</v>
      </c>
      <c r="I1560" s="186"/>
      <c r="J1560" s="186">
        <f ca="1">OFFSET(card_type!$F$1,MATCH(Q1560,card_type!A:A,0)-1,0)</f>
        <v>1</v>
      </c>
      <c r="K1560" s="243">
        <f ca="1">OFFSET(card_type!$G$1,MATCH(Q1560,card_type!A:A,0)-1,0)</f>
        <v>1</v>
      </c>
      <c r="L1560" s="157">
        <v>1</v>
      </c>
      <c r="M1560" s="157">
        <v>1</v>
      </c>
      <c r="N1560" s="153">
        <f t="shared" si="263"/>
        <v>14</v>
      </c>
      <c r="O1560" s="157"/>
      <c r="P1560" s="157"/>
      <c r="Q1560" s="153">
        <f ca="1">OFFSET(card_type!$A$1,MATCH(card!B1560,card_type!B:B,0)-1,0)</f>
        <v>3001</v>
      </c>
      <c r="R1560" s="153">
        <v>1</v>
      </c>
      <c r="S1560" s="157">
        <f ca="1">ROUND(IF(R1560=0,0,IF(R1560=1,X1560*$S$1,IF(R1560=2,X1560*$S$1*buff的资质计算!$E$2,IF(R1560=3,X1560*$S$1*buff的资质计算!$E$3,0)))),0)*0</f>
        <v>0</v>
      </c>
      <c r="T1560" s="153">
        <v>5</v>
      </c>
      <c r="U1560" s="153">
        <f ca="1" t="shared" si="264"/>
        <v>11</v>
      </c>
      <c r="V1560" s="153">
        <f ca="1">ROUND((OFFSET(卡牌辅助配置表!$O$1,MATCH(U1560,卡牌辅助配置表!M:M,0)-1,0)+(N1560-1)*OFFSET(卡牌辅助配置表!$P$1,MATCH(U1560,卡牌辅助配置表!M:M,0)-1,0))*M1560,2)</f>
        <v>8.99</v>
      </c>
      <c r="W1560" s="157">
        <f ca="1">ROUND(IF(R1560=0,0,IF(R1560=1,X1560*$W$1,IF(R1560=2,X1560*$W$1*buff的资质计算!$E$2,IF(R1560=3,X1560*$W$1*buff的资质计算!$E$3,0)))),2)</f>
        <v>2.55</v>
      </c>
      <c r="X1560" s="157">
        <f ca="1" t="shared" si="258"/>
        <v>8.5</v>
      </c>
      <c r="Y1560" s="157">
        <f ca="1" t="shared" si="267"/>
        <v>8.5</v>
      </c>
      <c r="Z1560" s="304">
        <f ca="1" t="shared" si="259"/>
        <v>8.5</v>
      </c>
      <c r="AA1560" s="304">
        <f ca="1">OFFSET(卡牌辅助配置表!$AD$1,MATCH(AB1560,卡牌辅助配置表!AB:AB,0)-1,0)</f>
        <v>288</v>
      </c>
      <c r="AB1560" s="304">
        <f ca="1" t="shared" si="265"/>
        <v>1114</v>
      </c>
      <c r="AF1560" s="153" t="str">
        <f ca="1" t="shared" si="256"/>
        <v>30010011|</v>
      </c>
      <c r="AJ1560" s="205" t="str">
        <f ca="1" t="shared" si="266"/>
        <v>400023|4300|;</v>
      </c>
      <c r="AK1560" s="205">
        <f ca="1">OFFSET([1]item_type!$A$1,MATCH(Q1560,[1]item_type!$G:$G,0)-1,0)</f>
        <v>303001</v>
      </c>
      <c r="AL1560" s="205"/>
      <c r="AM1560" s="205">
        <f ca="1">IF(B1560=B1561,OFFSET(卡牌辅助配置表!$AE$1,MATCH(AB1560,卡牌辅助配置表!AB:AB,0),0),0)</f>
        <v>4300</v>
      </c>
      <c r="AN1560" s="153">
        <f ca="1" t="shared" si="261"/>
        <v>3001015</v>
      </c>
      <c r="AP1560" s="153">
        <f ca="1">IF(AC1560=0,0,IF(AC1560=12,0,OFFSET(effect!$N$1,MATCH(K1560,effect!M:M,0)-1,0)))</f>
        <v>0</v>
      </c>
    </row>
    <row r="1561" spans="1:42">
      <c r="A1561" s="153">
        <f ca="1" t="shared" si="262"/>
        <v>3001015</v>
      </c>
      <c r="B1561" s="153" t="s">
        <v>490</v>
      </c>
      <c r="C1561" s="186">
        <v>3</v>
      </c>
      <c r="D1561" s="186">
        <v>3</v>
      </c>
      <c r="E1561" s="165" t="s">
        <v>1069</v>
      </c>
      <c r="F1561" s="298"/>
      <c r="G1561" s="186">
        <v>-3</v>
      </c>
      <c r="H1561" s="186">
        <f ca="1">OFFSET(skill!$Q$1,MATCH(B1561,skill!B:B,0)-1,0)</f>
        <v>0</v>
      </c>
      <c r="I1561" s="186"/>
      <c r="J1561" s="186">
        <f ca="1">OFFSET(card_type!$F$1,MATCH(Q1561,card_type!A:A,0)-1,0)</f>
        <v>1</v>
      </c>
      <c r="K1561" s="243">
        <f ca="1">OFFSET(card_type!$G$1,MATCH(Q1561,card_type!A:A,0)-1,0)</f>
        <v>1</v>
      </c>
      <c r="L1561" s="157">
        <v>1</v>
      </c>
      <c r="M1561" s="157">
        <v>1</v>
      </c>
      <c r="N1561" s="153">
        <f t="shared" si="263"/>
        <v>15</v>
      </c>
      <c r="O1561" s="157"/>
      <c r="P1561" s="157"/>
      <c r="Q1561" s="153">
        <f ca="1">OFFSET(card_type!$A$1,MATCH(card!B1561,card_type!B:B,0)-1,0)</f>
        <v>3001</v>
      </c>
      <c r="R1561" s="153">
        <v>1</v>
      </c>
      <c r="S1561" s="157">
        <f ca="1">ROUND(IF(R1561=0,0,IF(R1561=1,X1561*$S$1,IF(R1561=2,X1561*$S$1*buff的资质计算!$E$2,IF(R1561=3,X1561*$S$1*buff的资质计算!$E$3,0)))),0)*0</f>
        <v>0</v>
      </c>
      <c r="T1561" s="153">
        <v>5</v>
      </c>
      <c r="U1561" s="153">
        <f ca="1" t="shared" si="264"/>
        <v>11</v>
      </c>
      <c r="V1561" s="153">
        <f ca="1">ROUND((OFFSET(卡牌辅助配置表!$O$1,MATCH(U1561,卡牌辅助配置表!M:M,0)-1,0)+(N1561-1)*OFFSET(卡牌辅助配置表!$P$1,MATCH(U1561,卡牌辅助配置表!M:M,0)-1,0))*M1561,2)</f>
        <v>9.2</v>
      </c>
      <c r="W1561" s="157">
        <f ca="1">ROUND(IF(R1561=0,0,IF(R1561=1,X1561*$W$1,IF(R1561=2,X1561*$W$1*buff的资质计算!$E$2,IF(R1561=3,X1561*$W$1*buff的资质计算!$E$3,0)))),2)</f>
        <v>2.7</v>
      </c>
      <c r="X1561" s="157">
        <f ca="1" t="shared" si="258"/>
        <v>9</v>
      </c>
      <c r="Y1561" s="157">
        <f ca="1" t="shared" si="267"/>
        <v>9</v>
      </c>
      <c r="Z1561" s="304">
        <f ca="1" t="shared" si="259"/>
        <v>9</v>
      </c>
      <c r="AA1561" s="304">
        <f ca="1">OFFSET(卡牌辅助配置表!$AD$1,MATCH(AB1561,卡牌辅助配置表!AB:AB,0)-1,0)</f>
        <v>315</v>
      </c>
      <c r="AB1561" s="304">
        <f ca="1" t="shared" si="265"/>
        <v>1115</v>
      </c>
      <c r="AF1561" s="153" t="str">
        <f ca="1" t="shared" ref="AF1561:AF1624" si="268">((Q1561*1000+1)*10+1)&amp;$AF$1</f>
        <v>30010011|</v>
      </c>
      <c r="AJ1561" s="205" t="str">
        <f ca="1" t="shared" si="266"/>
        <v>400023|4700|;</v>
      </c>
      <c r="AK1561" s="205">
        <f ca="1">OFFSET([1]item_type!$A$1,MATCH(Q1561,[1]item_type!$G:$G,0)-1,0)</f>
        <v>303001</v>
      </c>
      <c r="AL1561" s="205"/>
      <c r="AM1561" s="205">
        <f ca="1">IF(B1561=B1562,OFFSET(卡牌辅助配置表!$AE$1,MATCH(AB1561,卡牌辅助配置表!AB:AB,0),0),0)</f>
        <v>4700</v>
      </c>
      <c r="AN1561" s="153">
        <f ca="1" t="shared" si="261"/>
        <v>3001016</v>
      </c>
      <c r="AP1561" s="153">
        <f ca="1">IF(AC1561=0,0,IF(AC1561=12,0,OFFSET(effect!$N$1,MATCH(K1561,effect!M:M,0)-1,0)))</f>
        <v>0</v>
      </c>
    </row>
    <row r="1562" spans="1:42">
      <c r="A1562" s="153">
        <f ca="1" t="shared" si="262"/>
        <v>3001016</v>
      </c>
      <c r="B1562" s="153" t="s">
        <v>490</v>
      </c>
      <c r="C1562" s="186">
        <v>3</v>
      </c>
      <c r="D1562" s="186">
        <v>3</v>
      </c>
      <c r="E1562" s="165" t="s">
        <v>1069</v>
      </c>
      <c r="F1562" s="298"/>
      <c r="G1562" s="186">
        <v>-3</v>
      </c>
      <c r="H1562" s="186">
        <f ca="1">OFFSET(skill!$Q$1,MATCH(B1562,skill!B:B,0)-1,0)</f>
        <v>0</v>
      </c>
      <c r="I1562" s="186"/>
      <c r="J1562" s="186">
        <f ca="1">OFFSET(card_type!$F$1,MATCH(Q1562,card_type!A:A,0)-1,0)</f>
        <v>1</v>
      </c>
      <c r="K1562" s="243">
        <f ca="1">OFFSET(card_type!$G$1,MATCH(Q1562,card_type!A:A,0)-1,0)</f>
        <v>1</v>
      </c>
      <c r="L1562" s="157">
        <v>1</v>
      </c>
      <c r="M1562" s="157">
        <v>1</v>
      </c>
      <c r="N1562" s="153">
        <f t="shared" si="263"/>
        <v>16</v>
      </c>
      <c r="O1562" s="157"/>
      <c r="P1562" s="157"/>
      <c r="Q1562" s="153">
        <f ca="1">OFFSET(card_type!$A$1,MATCH(card!B1562,card_type!B:B,0)-1,0)</f>
        <v>3001</v>
      </c>
      <c r="R1562" s="153">
        <v>1</v>
      </c>
      <c r="S1562" s="157">
        <f ca="1">ROUND(IF(R1562=0,0,IF(R1562=1,X1562*$S$1,IF(R1562=2,X1562*$S$1*buff的资质计算!$E$2,IF(R1562=3,X1562*$S$1*buff的资质计算!$E$3,0)))),0)*0</f>
        <v>0</v>
      </c>
      <c r="T1562" s="153">
        <v>5</v>
      </c>
      <c r="U1562" s="153">
        <f ca="1" t="shared" si="264"/>
        <v>11</v>
      </c>
      <c r="V1562" s="153">
        <f ca="1">ROUND((OFFSET(卡牌辅助配置表!$O$1,MATCH(U1562,卡牌辅助配置表!M:M,0)-1,0)+(N1562-1)*OFFSET(卡牌辅助配置表!$P$1,MATCH(U1562,卡牌辅助配置表!M:M,0)-1,0))*M1562,2)</f>
        <v>9.41</v>
      </c>
      <c r="W1562" s="157">
        <f ca="1">ROUND(IF(R1562=0,0,IF(R1562=1,X1562*$W$1,IF(R1562=2,X1562*$W$1*buff的资质计算!$E$2,IF(R1562=3,X1562*$W$1*buff的资质计算!$E$3,0)))),2)</f>
        <v>2.85</v>
      </c>
      <c r="X1562" s="157">
        <f ca="1" t="shared" si="258"/>
        <v>9.5</v>
      </c>
      <c r="Y1562" s="157">
        <f ca="1" t="shared" si="267"/>
        <v>9.5</v>
      </c>
      <c r="Z1562" s="304">
        <f ca="1" t="shared" si="259"/>
        <v>9.5</v>
      </c>
      <c r="AA1562" s="304">
        <f ca="1">OFFSET(卡牌辅助配置表!$AD$1,MATCH(AB1562,卡牌辅助配置表!AB:AB,0)-1,0)</f>
        <v>342</v>
      </c>
      <c r="AB1562" s="304">
        <f ca="1" t="shared" si="265"/>
        <v>1116</v>
      </c>
      <c r="AF1562" s="153" t="str">
        <f ca="1" t="shared" si="268"/>
        <v>30010011|</v>
      </c>
      <c r="AJ1562" s="205" t="str">
        <f ca="1" t="shared" si="266"/>
        <v>400023|5100|;</v>
      </c>
      <c r="AK1562" s="205">
        <f ca="1">OFFSET([1]item_type!$A$1,MATCH(Q1562,[1]item_type!$G:$G,0)-1,0)</f>
        <v>303001</v>
      </c>
      <c r="AL1562" s="205"/>
      <c r="AM1562" s="205">
        <f ca="1">IF(B1562=B1563,OFFSET(卡牌辅助配置表!$AE$1,MATCH(AB1562,卡牌辅助配置表!AB:AB,0),0),0)</f>
        <v>5100</v>
      </c>
      <c r="AN1562" s="153">
        <f ca="1" t="shared" si="261"/>
        <v>3001017</v>
      </c>
      <c r="AP1562" s="153">
        <f ca="1">IF(AC1562=0,0,IF(AC1562=12,0,OFFSET(effect!$N$1,MATCH(K1562,effect!M:M,0)-1,0)))</f>
        <v>0</v>
      </c>
    </row>
    <row r="1563" spans="1:42">
      <c r="A1563" s="153">
        <f ca="1" t="shared" si="262"/>
        <v>3001017</v>
      </c>
      <c r="B1563" s="153" t="s">
        <v>490</v>
      </c>
      <c r="C1563" s="186">
        <v>3</v>
      </c>
      <c r="D1563" s="186">
        <v>3</v>
      </c>
      <c r="E1563" s="165" t="s">
        <v>1069</v>
      </c>
      <c r="F1563" s="298"/>
      <c r="G1563" s="186">
        <v>-3</v>
      </c>
      <c r="H1563" s="186">
        <f ca="1">OFFSET(skill!$Q$1,MATCH(B1563,skill!B:B,0)-1,0)</f>
        <v>0</v>
      </c>
      <c r="I1563" s="186"/>
      <c r="J1563" s="186">
        <f ca="1">OFFSET(card_type!$F$1,MATCH(Q1563,card_type!A:A,0)-1,0)</f>
        <v>1</v>
      </c>
      <c r="K1563" s="243">
        <f ca="1">OFFSET(card_type!$G$1,MATCH(Q1563,card_type!A:A,0)-1,0)</f>
        <v>1</v>
      </c>
      <c r="L1563" s="157">
        <v>1</v>
      </c>
      <c r="M1563" s="157">
        <v>1</v>
      </c>
      <c r="N1563" s="153">
        <f t="shared" si="263"/>
        <v>17</v>
      </c>
      <c r="O1563" s="157"/>
      <c r="P1563" s="157"/>
      <c r="Q1563" s="153">
        <f ca="1">OFFSET(card_type!$A$1,MATCH(card!B1563,card_type!B:B,0)-1,0)</f>
        <v>3001</v>
      </c>
      <c r="R1563" s="153">
        <v>1</v>
      </c>
      <c r="S1563" s="157">
        <f ca="1">ROUND(IF(R1563=0,0,IF(R1563=1,X1563*$S$1,IF(R1563=2,X1563*$S$1*buff的资质计算!$E$2,IF(R1563=3,X1563*$S$1*buff的资质计算!$E$3,0)))),0)*0</f>
        <v>0</v>
      </c>
      <c r="T1563" s="153">
        <v>5</v>
      </c>
      <c r="U1563" s="153">
        <f ca="1" t="shared" si="264"/>
        <v>11</v>
      </c>
      <c r="V1563" s="153">
        <f ca="1">ROUND((OFFSET(卡牌辅助配置表!$O$1,MATCH(U1563,卡牌辅助配置表!M:M,0)-1,0)+(N1563-1)*OFFSET(卡牌辅助配置表!$P$1,MATCH(U1563,卡牌辅助配置表!M:M,0)-1,0))*M1563,2)</f>
        <v>9.61</v>
      </c>
      <c r="W1563" s="157">
        <f ca="1">ROUND(IF(R1563=0,0,IF(R1563=1,X1563*$W$1,IF(R1563=2,X1563*$W$1*buff的资质计算!$E$2,IF(R1563=3,X1563*$W$1*buff的资质计算!$E$3,0)))),2)</f>
        <v>3</v>
      </c>
      <c r="X1563" s="157">
        <f ca="1" t="shared" si="258"/>
        <v>10</v>
      </c>
      <c r="Y1563" s="157">
        <f ca="1" t="shared" si="267"/>
        <v>10</v>
      </c>
      <c r="Z1563" s="304">
        <f ca="1" t="shared" si="259"/>
        <v>10</v>
      </c>
      <c r="AA1563" s="304">
        <f ca="1">OFFSET(卡牌辅助配置表!$AD$1,MATCH(AB1563,卡牌辅助配置表!AB:AB,0)-1,0)</f>
        <v>369</v>
      </c>
      <c r="AB1563" s="304">
        <f ca="1" t="shared" si="265"/>
        <v>1117</v>
      </c>
      <c r="AF1563" s="153" t="str">
        <f ca="1" t="shared" si="268"/>
        <v>30010011|</v>
      </c>
      <c r="AJ1563" s="205" t="str">
        <f ca="1" t="shared" si="266"/>
        <v>400023|5500|;</v>
      </c>
      <c r="AK1563" s="205">
        <f ca="1">OFFSET([1]item_type!$A$1,MATCH(Q1563,[1]item_type!$G:$G,0)-1,0)</f>
        <v>303001</v>
      </c>
      <c r="AL1563" s="205"/>
      <c r="AM1563" s="205">
        <f ca="1">IF(B1563=B1564,OFFSET(卡牌辅助配置表!$AE$1,MATCH(AB1563,卡牌辅助配置表!AB:AB,0),0),0)</f>
        <v>5500</v>
      </c>
      <c r="AN1563" s="153">
        <f ca="1" t="shared" si="261"/>
        <v>3001018</v>
      </c>
      <c r="AP1563" s="153">
        <f ca="1">IF(AC1563=0,0,IF(AC1563=12,0,OFFSET(effect!$N$1,MATCH(K1563,effect!M:M,0)-1,0)))</f>
        <v>0</v>
      </c>
    </row>
    <row r="1564" spans="1:42">
      <c r="A1564" s="153">
        <f ca="1" t="shared" si="262"/>
        <v>3001018</v>
      </c>
      <c r="B1564" s="153" t="s">
        <v>490</v>
      </c>
      <c r="C1564" s="186">
        <v>3</v>
      </c>
      <c r="D1564" s="186">
        <v>3</v>
      </c>
      <c r="E1564" s="165" t="s">
        <v>1069</v>
      </c>
      <c r="F1564" s="298"/>
      <c r="G1564" s="186">
        <v>-3</v>
      </c>
      <c r="H1564" s="186">
        <f ca="1">OFFSET(skill!$Q$1,MATCH(B1564,skill!B:B,0)-1,0)</f>
        <v>0</v>
      </c>
      <c r="I1564" s="186"/>
      <c r="J1564" s="186">
        <f ca="1">OFFSET(card_type!$F$1,MATCH(Q1564,card_type!A:A,0)-1,0)</f>
        <v>1</v>
      </c>
      <c r="K1564" s="243">
        <f ca="1">OFFSET(card_type!$G$1,MATCH(Q1564,card_type!A:A,0)-1,0)</f>
        <v>1</v>
      </c>
      <c r="L1564" s="157">
        <v>1</v>
      </c>
      <c r="M1564" s="157">
        <v>1</v>
      </c>
      <c r="N1564" s="153">
        <f t="shared" si="263"/>
        <v>18</v>
      </c>
      <c r="O1564" s="157"/>
      <c r="P1564" s="157"/>
      <c r="Q1564" s="153">
        <f ca="1">OFFSET(card_type!$A$1,MATCH(card!B1564,card_type!B:B,0)-1,0)</f>
        <v>3001</v>
      </c>
      <c r="R1564" s="153">
        <v>1</v>
      </c>
      <c r="S1564" s="157">
        <f ca="1">ROUND(IF(R1564=0,0,IF(R1564=1,X1564*$S$1,IF(R1564=2,X1564*$S$1*buff的资质计算!$E$2,IF(R1564=3,X1564*$S$1*buff的资质计算!$E$3,0)))),0)*0</f>
        <v>0</v>
      </c>
      <c r="T1564" s="153">
        <v>5</v>
      </c>
      <c r="U1564" s="153">
        <f ca="1" t="shared" si="264"/>
        <v>11</v>
      </c>
      <c r="V1564" s="153">
        <f ca="1">ROUND((OFFSET(卡牌辅助配置表!$O$1,MATCH(U1564,卡牌辅助配置表!M:M,0)-1,0)+(N1564-1)*OFFSET(卡牌辅助配置表!$P$1,MATCH(U1564,卡牌辅助配置表!M:M,0)-1,0))*M1564,2)</f>
        <v>9.82</v>
      </c>
      <c r="W1564" s="157">
        <f ca="1">ROUND(IF(R1564=0,0,IF(R1564=1,X1564*$W$1,IF(R1564=2,X1564*$W$1*buff的资质计算!$E$2,IF(R1564=3,X1564*$W$1*buff的资质计算!$E$3,0)))),2)</f>
        <v>3.15</v>
      </c>
      <c r="X1564" s="157">
        <f ca="1" t="shared" si="258"/>
        <v>10.5</v>
      </c>
      <c r="Y1564" s="157">
        <f ca="1" t="shared" si="267"/>
        <v>10.5</v>
      </c>
      <c r="Z1564" s="304">
        <f ca="1" t="shared" si="259"/>
        <v>10.5</v>
      </c>
      <c r="AA1564" s="304">
        <f ca="1">OFFSET(卡牌辅助配置表!$AD$1,MATCH(AB1564,卡牌辅助配置表!AB:AB,0)-1,0)</f>
        <v>396</v>
      </c>
      <c r="AB1564" s="304">
        <f ca="1" t="shared" si="265"/>
        <v>1118</v>
      </c>
      <c r="AF1564" s="153" t="str">
        <f ca="1" t="shared" si="268"/>
        <v>30010011|</v>
      </c>
      <c r="AJ1564" s="205" t="str">
        <f ca="1" t="shared" si="266"/>
        <v>400023|5900|;</v>
      </c>
      <c r="AK1564" s="205">
        <f ca="1">OFFSET([1]item_type!$A$1,MATCH(Q1564,[1]item_type!$G:$G,0)-1,0)</f>
        <v>303001</v>
      </c>
      <c r="AL1564" s="205"/>
      <c r="AM1564" s="205">
        <f ca="1">IF(B1564=B1565,OFFSET(卡牌辅助配置表!$AE$1,MATCH(AB1564,卡牌辅助配置表!AB:AB,0),0),0)</f>
        <v>5900</v>
      </c>
      <c r="AN1564" s="153">
        <f ca="1" t="shared" si="261"/>
        <v>3001019</v>
      </c>
      <c r="AP1564" s="153">
        <f ca="1">IF(AC1564=0,0,IF(AC1564=12,0,OFFSET(effect!$N$1,MATCH(K1564,effect!M:M,0)-1,0)))</f>
        <v>0</v>
      </c>
    </row>
    <row r="1565" spans="1:42">
      <c r="A1565" s="153">
        <f ca="1" t="shared" si="262"/>
        <v>3001019</v>
      </c>
      <c r="B1565" s="153" t="s">
        <v>490</v>
      </c>
      <c r="C1565" s="186">
        <v>3</v>
      </c>
      <c r="D1565" s="186">
        <v>3</v>
      </c>
      <c r="E1565" s="165" t="s">
        <v>1069</v>
      </c>
      <c r="F1565" s="298"/>
      <c r="G1565" s="186">
        <v>-3</v>
      </c>
      <c r="H1565" s="186">
        <f ca="1">OFFSET(skill!$Q$1,MATCH(B1565,skill!B:B,0)-1,0)</f>
        <v>0</v>
      </c>
      <c r="I1565" s="186"/>
      <c r="J1565" s="186">
        <f ca="1">OFFSET(card_type!$F$1,MATCH(Q1565,card_type!A:A,0)-1,0)</f>
        <v>1</v>
      </c>
      <c r="K1565" s="243">
        <f ca="1">OFFSET(card_type!$G$1,MATCH(Q1565,card_type!A:A,0)-1,0)</f>
        <v>1</v>
      </c>
      <c r="L1565" s="157">
        <v>1</v>
      </c>
      <c r="M1565" s="157">
        <v>1</v>
      </c>
      <c r="N1565" s="153">
        <f t="shared" si="263"/>
        <v>19</v>
      </c>
      <c r="O1565" s="157"/>
      <c r="P1565" s="157"/>
      <c r="Q1565" s="153">
        <f ca="1">OFFSET(card_type!$A$1,MATCH(card!B1565,card_type!B:B,0)-1,0)</f>
        <v>3001</v>
      </c>
      <c r="R1565" s="153">
        <v>1</v>
      </c>
      <c r="S1565" s="157">
        <f ca="1">ROUND(IF(R1565=0,0,IF(R1565=1,X1565*$S$1,IF(R1565=2,X1565*$S$1*buff的资质计算!$E$2,IF(R1565=3,X1565*$S$1*buff的资质计算!$E$3,0)))),0)*0</f>
        <v>0</v>
      </c>
      <c r="T1565" s="153">
        <v>5</v>
      </c>
      <c r="U1565" s="153">
        <f ca="1" t="shared" si="264"/>
        <v>11</v>
      </c>
      <c r="V1565" s="153">
        <f ca="1">ROUND((OFFSET(卡牌辅助配置表!$O$1,MATCH(U1565,卡牌辅助配置表!M:M,0)-1,0)+(N1565-1)*OFFSET(卡牌辅助配置表!$P$1,MATCH(U1565,卡牌辅助配置表!M:M,0)-1,0))*M1565,2)</f>
        <v>10.03</v>
      </c>
      <c r="W1565" s="157">
        <f ca="1">ROUND(IF(R1565=0,0,IF(R1565=1,X1565*$W$1,IF(R1565=2,X1565*$W$1*buff的资质计算!$E$2,IF(R1565=3,X1565*$W$1*buff的资质计算!$E$3,0)))),2)</f>
        <v>3.3</v>
      </c>
      <c r="X1565" s="157">
        <f ca="1" t="shared" si="258"/>
        <v>11</v>
      </c>
      <c r="Y1565" s="157">
        <f ca="1" t="shared" si="267"/>
        <v>11</v>
      </c>
      <c r="Z1565" s="304">
        <f ca="1" t="shared" si="259"/>
        <v>11</v>
      </c>
      <c r="AA1565" s="304">
        <f ca="1">OFFSET(卡牌辅助配置表!$AD$1,MATCH(AB1565,卡牌辅助配置表!AB:AB,0)-1,0)</f>
        <v>423</v>
      </c>
      <c r="AB1565" s="304">
        <f ca="1" t="shared" si="265"/>
        <v>1119</v>
      </c>
      <c r="AF1565" s="153" t="str">
        <f ca="1" t="shared" si="268"/>
        <v>30010011|</v>
      </c>
      <c r="AJ1565" s="205" t="str">
        <f ca="1" t="shared" si="266"/>
        <v>303001|20|;400023|6300|;</v>
      </c>
      <c r="AK1565" s="205">
        <f ca="1">OFFSET([1]item_type!$A$1,MATCH(Q1565,[1]item_type!$G:$G,0)-1,0)</f>
        <v>303001</v>
      </c>
      <c r="AL1565" s="205">
        <v>20</v>
      </c>
      <c r="AM1565" s="205">
        <f ca="1">IF(B1565=B1566,OFFSET(卡牌辅助配置表!$AE$1,MATCH(AB1565,卡牌辅助配置表!AB:AB,0),0),0)</f>
        <v>6300</v>
      </c>
      <c r="AN1565" s="153">
        <f ca="1" t="shared" si="261"/>
        <v>3001020</v>
      </c>
      <c r="AP1565" s="153">
        <f ca="1">IF(AC1565=0,0,IF(AC1565=12,0,OFFSET(effect!$N$1,MATCH(K1565,effect!M:M,0)-1,0)))</f>
        <v>0</v>
      </c>
    </row>
    <row r="1566" spans="1:42">
      <c r="A1566" s="153">
        <f ca="1" t="shared" si="262"/>
        <v>3001020</v>
      </c>
      <c r="B1566" s="153" t="s">
        <v>490</v>
      </c>
      <c r="C1566" s="186">
        <v>3</v>
      </c>
      <c r="D1566" s="186">
        <v>3</v>
      </c>
      <c r="E1566" s="165" t="s">
        <v>1069</v>
      </c>
      <c r="F1566" s="298"/>
      <c r="G1566" s="186">
        <v>-3</v>
      </c>
      <c r="H1566" s="186">
        <f ca="1">OFFSET(skill!$Q$1,MATCH(B1566,skill!B:B,0)-1,0)</f>
        <v>0</v>
      </c>
      <c r="I1566" s="186"/>
      <c r="J1566" s="186">
        <f ca="1">OFFSET(card_type!$F$1,MATCH(Q1566,card_type!A:A,0)-1,0)</f>
        <v>1</v>
      </c>
      <c r="K1566" s="243">
        <f ca="1">OFFSET(card_type!$G$1,MATCH(Q1566,card_type!A:A,0)-1,0)</f>
        <v>1</v>
      </c>
      <c r="L1566" s="157">
        <v>1</v>
      </c>
      <c r="M1566" s="157">
        <v>1</v>
      </c>
      <c r="N1566" s="153">
        <f t="shared" si="263"/>
        <v>20</v>
      </c>
      <c r="O1566" s="157"/>
      <c r="P1566" s="157"/>
      <c r="Q1566" s="153">
        <f ca="1">OFFSET(card_type!$A$1,MATCH(card!B1566,card_type!B:B,0)-1,0)</f>
        <v>3001</v>
      </c>
      <c r="R1566" s="153">
        <v>1</v>
      </c>
      <c r="S1566" s="157">
        <f ca="1">ROUND(IF(R1566=0,0,IF(R1566=1,X1566*$S$1,IF(R1566=2,X1566*$S$1*buff的资质计算!$E$2,IF(R1566=3,X1566*$S$1*buff的资质计算!$E$3,0)))),0)*0</f>
        <v>0</v>
      </c>
      <c r="T1566" s="153">
        <v>5</v>
      </c>
      <c r="U1566" s="153">
        <f ca="1" t="shared" si="264"/>
        <v>11</v>
      </c>
      <c r="V1566" s="153">
        <f ca="1">ROUND((OFFSET(卡牌辅助配置表!$O$1,MATCH(U1566,卡牌辅助配置表!M:M,0)-1,0)+(N1566-1)*OFFSET(卡牌辅助配置表!$P$1,MATCH(U1566,卡牌辅助配置表!M:M,0)-1,0))*M1566,2)</f>
        <v>10.24</v>
      </c>
      <c r="W1566" s="157">
        <f ca="1">ROUND(IF(R1566=0,0,IF(R1566=1,X1566*$W$1,IF(R1566=2,X1566*$W$1*buff的资质计算!$E$2,IF(R1566=3,X1566*$W$1*buff的资质计算!$E$3,0)))),2)</f>
        <v>3.45</v>
      </c>
      <c r="X1566" s="157">
        <f ca="1" t="shared" si="258"/>
        <v>11.5</v>
      </c>
      <c r="Y1566" s="157">
        <f ca="1" t="shared" si="267"/>
        <v>11.5</v>
      </c>
      <c r="Z1566" s="304">
        <f ca="1" t="shared" si="259"/>
        <v>11.5</v>
      </c>
      <c r="AA1566" s="304">
        <f ca="1">OFFSET(卡牌辅助配置表!$AD$1,MATCH(AB1566,卡牌辅助配置表!AB:AB,0)-1,0)</f>
        <v>450</v>
      </c>
      <c r="AB1566" s="304">
        <f ca="1" t="shared" si="265"/>
        <v>1120</v>
      </c>
      <c r="AF1566" s="153" t="str">
        <f ca="1" t="shared" si="268"/>
        <v>30010011|</v>
      </c>
      <c r="AJ1566" s="205" t="str">
        <f ca="1" t="shared" si="266"/>
        <v>400023|7100|;</v>
      </c>
      <c r="AK1566" s="205">
        <f ca="1">OFFSET([1]item_type!$A$1,MATCH(Q1566,[1]item_type!$G:$G,0)-1,0)</f>
        <v>303001</v>
      </c>
      <c r="AL1566" s="205"/>
      <c r="AM1566" s="205">
        <f ca="1">IF(B1566=B1567,OFFSET(卡牌辅助配置表!$AE$1,MATCH(AB1566,卡牌辅助配置表!AB:AB,0),0),0)</f>
        <v>7100</v>
      </c>
      <c r="AN1566" s="153">
        <f ca="1" t="shared" si="261"/>
        <v>3001021</v>
      </c>
      <c r="AP1566" s="153">
        <f ca="1">IF(AC1566=0,0,IF(AC1566=12,0,OFFSET(effect!$N$1,MATCH(K1566,effect!M:M,0)-1,0)))</f>
        <v>0</v>
      </c>
    </row>
    <row r="1567" spans="1:42">
      <c r="A1567" s="153">
        <f ca="1" t="shared" si="262"/>
        <v>3001021</v>
      </c>
      <c r="B1567" s="153" t="s">
        <v>490</v>
      </c>
      <c r="C1567" s="186">
        <v>3</v>
      </c>
      <c r="D1567" s="186">
        <v>3</v>
      </c>
      <c r="E1567" s="165" t="s">
        <v>1069</v>
      </c>
      <c r="F1567" s="298"/>
      <c r="G1567" s="186">
        <v>-3</v>
      </c>
      <c r="H1567" s="186">
        <f ca="1">OFFSET(skill!$Q$1,MATCH(B1567,skill!B:B,0)-1,0)</f>
        <v>0</v>
      </c>
      <c r="I1567" s="186"/>
      <c r="J1567" s="186">
        <f ca="1">OFFSET(card_type!$F$1,MATCH(Q1567,card_type!A:A,0)-1,0)</f>
        <v>1</v>
      </c>
      <c r="K1567" s="243">
        <f ca="1">OFFSET(card_type!$G$1,MATCH(Q1567,card_type!A:A,0)-1,0)</f>
        <v>1</v>
      </c>
      <c r="L1567" s="157">
        <v>1</v>
      </c>
      <c r="M1567" s="157">
        <v>1</v>
      </c>
      <c r="N1567" s="153">
        <f t="shared" si="263"/>
        <v>21</v>
      </c>
      <c r="O1567" s="157"/>
      <c r="P1567" s="157"/>
      <c r="Q1567" s="153">
        <f ca="1">OFFSET(card_type!$A$1,MATCH(card!B1567,card_type!B:B,0)-1,0)</f>
        <v>3001</v>
      </c>
      <c r="R1567" s="153">
        <v>1</v>
      </c>
      <c r="S1567" s="157">
        <f ca="1">ROUND(IF(R1567=0,0,IF(R1567=1,X1567*$S$1,IF(R1567=2,X1567*$S$1*buff的资质计算!$E$2,IF(R1567=3,X1567*$S$1*buff的资质计算!$E$3,0)))),0)*0</f>
        <v>0</v>
      </c>
      <c r="T1567" s="153">
        <v>5</v>
      </c>
      <c r="U1567" s="153">
        <f ca="1" t="shared" si="264"/>
        <v>11</v>
      </c>
      <c r="V1567" s="153">
        <f ca="1">ROUND((OFFSET(卡牌辅助配置表!$O$1,MATCH(U1567,卡牌辅助配置表!M:M,0)-1,0)+(N1567-1)*OFFSET(卡牌辅助配置表!$P$1,MATCH(U1567,卡牌辅助配置表!M:M,0)-1,0))*M1567,2)</f>
        <v>10.45</v>
      </c>
      <c r="W1567" s="157">
        <f ca="1">ROUND(IF(R1567=0,0,IF(R1567=1,X1567*$W$1,IF(R1567=2,X1567*$W$1*buff的资质计算!$E$2,IF(R1567=3,X1567*$W$1*buff的资质计算!$E$3,0)))),2)</f>
        <v>3.6</v>
      </c>
      <c r="X1567" s="157">
        <f ca="1" t="shared" si="258"/>
        <v>12</v>
      </c>
      <c r="Y1567" s="157">
        <f ca="1" t="shared" si="267"/>
        <v>12</v>
      </c>
      <c r="Z1567" s="304">
        <f ca="1" t="shared" si="259"/>
        <v>12</v>
      </c>
      <c r="AA1567" s="304">
        <f ca="1">OFFSET(卡牌辅助配置表!$AD$1,MATCH(AB1567,卡牌辅助配置表!AB:AB,0)-1,0)</f>
        <v>486</v>
      </c>
      <c r="AB1567" s="304">
        <f ca="1" t="shared" si="265"/>
        <v>1121</v>
      </c>
      <c r="AF1567" s="153" t="str">
        <f ca="1" t="shared" si="268"/>
        <v>30010011|</v>
      </c>
      <c r="AJ1567" s="205" t="str">
        <f ca="1" t="shared" si="266"/>
        <v>400023|7900|;</v>
      </c>
      <c r="AK1567" s="205">
        <f ca="1">OFFSET([1]item_type!$A$1,MATCH(Q1567,[1]item_type!$G:$G,0)-1,0)</f>
        <v>303001</v>
      </c>
      <c r="AL1567" s="205"/>
      <c r="AM1567" s="205">
        <f ca="1">IF(B1567=B1568,OFFSET(卡牌辅助配置表!$AE$1,MATCH(AB1567,卡牌辅助配置表!AB:AB,0),0),0)</f>
        <v>7900</v>
      </c>
      <c r="AN1567" s="153">
        <f ca="1" t="shared" si="261"/>
        <v>3001022</v>
      </c>
      <c r="AP1567" s="153">
        <f ca="1">IF(AC1567=0,0,IF(AC1567=12,0,OFFSET(effect!$N$1,MATCH(K1567,effect!M:M,0)-1,0)))</f>
        <v>0</v>
      </c>
    </row>
    <row r="1568" spans="1:42">
      <c r="A1568" s="153">
        <f ca="1" t="shared" si="262"/>
        <v>3001022</v>
      </c>
      <c r="B1568" s="153" t="s">
        <v>490</v>
      </c>
      <c r="C1568" s="186">
        <v>3</v>
      </c>
      <c r="D1568" s="186">
        <v>3</v>
      </c>
      <c r="E1568" s="165" t="s">
        <v>1069</v>
      </c>
      <c r="F1568" s="298"/>
      <c r="G1568" s="186">
        <v>-3</v>
      </c>
      <c r="H1568" s="186">
        <f ca="1">OFFSET(skill!$Q$1,MATCH(B1568,skill!B:B,0)-1,0)</f>
        <v>0</v>
      </c>
      <c r="I1568" s="186"/>
      <c r="J1568" s="186">
        <f ca="1">OFFSET(card_type!$F$1,MATCH(Q1568,card_type!A:A,0)-1,0)</f>
        <v>1</v>
      </c>
      <c r="K1568" s="243">
        <f ca="1">OFFSET(card_type!$G$1,MATCH(Q1568,card_type!A:A,0)-1,0)</f>
        <v>1</v>
      </c>
      <c r="L1568" s="157">
        <v>1</v>
      </c>
      <c r="M1568" s="157">
        <v>1</v>
      </c>
      <c r="N1568" s="153">
        <f t="shared" si="263"/>
        <v>22</v>
      </c>
      <c r="O1568" s="157"/>
      <c r="P1568" s="157"/>
      <c r="Q1568" s="153">
        <f ca="1">OFFSET(card_type!$A$1,MATCH(card!B1568,card_type!B:B,0)-1,0)</f>
        <v>3001</v>
      </c>
      <c r="R1568" s="153">
        <v>1</v>
      </c>
      <c r="S1568" s="157">
        <f ca="1">ROUND(IF(R1568=0,0,IF(R1568=1,X1568*$S$1,IF(R1568=2,X1568*$S$1*buff的资质计算!$E$2,IF(R1568=3,X1568*$S$1*buff的资质计算!$E$3,0)))),0)*0</f>
        <v>0</v>
      </c>
      <c r="T1568" s="153">
        <v>5</v>
      </c>
      <c r="U1568" s="153">
        <f ca="1" t="shared" si="264"/>
        <v>11</v>
      </c>
      <c r="V1568" s="153">
        <f ca="1">ROUND((OFFSET(卡牌辅助配置表!$O$1,MATCH(U1568,卡牌辅助配置表!M:M,0)-1,0)+(N1568-1)*OFFSET(卡牌辅助配置表!$P$1,MATCH(U1568,卡牌辅助配置表!M:M,0)-1,0))*M1568,2)</f>
        <v>10.66</v>
      </c>
      <c r="W1568" s="157">
        <f ca="1">ROUND(IF(R1568=0,0,IF(R1568=1,X1568*$W$1,IF(R1568=2,X1568*$W$1*buff的资质计算!$E$2,IF(R1568=3,X1568*$W$1*buff的资质计算!$E$3,0)))),2)</f>
        <v>3.75</v>
      </c>
      <c r="X1568" s="157">
        <f ca="1" t="shared" si="258"/>
        <v>12.5</v>
      </c>
      <c r="Y1568" s="157">
        <f ca="1" t="shared" si="267"/>
        <v>12.5</v>
      </c>
      <c r="Z1568" s="304">
        <f ca="1" t="shared" si="259"/>
        <v>12.5</v>
      </c>
      <c r="AA1568" s="304">
        <f ca="1">OFFSET(卡牌辅助配置表!$AD$1,MATCH(AB1568,卡牌辅助配置表!AB:AB,0)-1,0)</f>
        <v>522</v>
      </c>
      <c r="AB1568" s="304">
        <f ca="1" t="shared" si="265"/>
        <v>1122</v>
      </c>
      <c r="AF1568" s="153" t="str">
        <f ca="1" t="shared" si="268"/>
        <v>30010011|</v>
      </c>
      <c r="AJ1568" s="205" t="str">
        <f ca="1" t="shared" si="266"/>
        <v>400023|8700|;</v>
      </c>
      <c r="AK1568" s="205">
        <f ca="1">OFFSET([1]item_type!$A$1,MATCH(Q1568,[1]item_type!$G:$G,0)-1,0)</f>
        <v>303001</v>
      </c>
      <c r="AL1568" s="205"/>
      <c r="AM1568" s="205">
        <f ca="1">IF(B1568=B1569,OFFSET(卡牌辅助配置表!$AE$1,MATCH(AB1568,卡牌辅助配置表!AB:AB,0),0),0)</f>
        <v>8700</v>
      </c>
      <c r="AN1568" s="153">
        <f ca="1" t="shared" si="261"/>
        <v>3001023</v>
      </c>
      <c r="AP1568" s="153">
        <f ca="1">IF(AC1568=0,0,IF(AC1568=12,0,OFFSET(effect!$N$1,MATCH(K1568,effect!M:M,0)-1,0)))</f>
        <v>0</v>
      </c>
    </row>
    <row r="1569" spans="1:42">
      <c r="A1569" s="153">
        <f ca="1" t="shared" si="262"/>
        <v>3001023</v>
      </c>
      <c r="B1569" s="153" t="s">
        <v>490</v>
      </c>
      <c r="C1569" s="186">
        <v>3</v>
      </c>
      <c r="D1569" s="186">
        <v>3</v>
      </c>
      <c r="E1569" s="165" t="s">
        <v>1069</v>
      </c>
      <c r="F1569" s="298"/>
      <c r="G1569" s="186">
        <v>-3</v>
      </c>
      <c r="H1569" s="186">
        <f ca="1">OFFSET(skill!$Q$1,MATCH(B1569,skill!B:B,0)-1,0)</f>
        <v>0</v>
      </c>
      <c r="I1569" s="186"/>
      <c r="J1569" s="186">
        <f ca="1">OFFSET(card_type!$F$1,MATCH(Q1569,card_type!A:A,0)-1,0)</f>
        <v>1</v>
      </c>
      <c r="K1569" s="243">
        <f ca="1">OFFSET(card_type!$G$1,MATCH(Q1569,card_type!A:A,0)-1,0)</f>
        <v>1</v>
      </c>
      <c r="L1569" s="157">
        <v>1</v>
      </c>
      <c r="M1569" s="157">
        <v>1</v>
      </c>
      <c r="N1569" s="153">
        <f t="shared" si="263"/>
        <v>23</v>
      </c>
      <c r="O1569" s="157"/>
      <c r="P1569" s="157"/>
      <c r="Q1569" s="153">
        <f ca="1">OFFSET(card_type!$A$1,MATCH(card!B1569,card_type!B:B,0)-1,0)</f>
        <v>3001</v>
      </c>
      <c r="R1569" s="153">
        <v>1</v>
      </c>
      <c r="S1569" s="157">
        <f ca="1">ROUND(IF(R1569=0,0,IF(R1569=1,X1569*$S$1,IF(R1569=2,X1569*$S$1*buff的资质计算!$E$2,IF(R1569=3,X1569*$S$1*buff的资质计算!$E$3,0)))),0)*0</f>
        <v>0</v>
      </c>
      <c r="T1569" s="153">
        <v>5</v>
      </c>
      <c r="U1569" s="153">
        <f ca="1" t="shared" si="264"/>
        <v>11</v>
      </c>
      <c r="V1569" s="153">
        <f ca="1">ROUND((OFFSET(卡牌辅助配置表!$O$1,MATCH(U1569,卡牌辅助配置表!M:M,0)-1,0)+(N1569-1)*OFFSET(卡牌辅助配置表!$P$1,MATCH(U1569,卡牌辅助配置表!M:M,0)-1,0))*M1569,2)</f>
        <v>10.87</v>
      </c>
      <c r="W1569" s="157">
        <f ca="1">ROUND(IF(R1569=0,0,IF(R1569=1,X1569*$W$1,IF(R1569=2,X1569*$W$1*buff的资质计算!$E$2,IF(R1569=3,X1569*$W$1*buff的资质计算!$E$3,0)))),2)</f>
        <v>3.9</v>
      </c>
      <c r="X1569" s="157">
        <f ca="1" t="shared" si="258"/>
        <v>13</v>
      </c>
      <c r="Y1569" s="157">
        <f ca="1" t="shared" si="267"/>
        <v>13</v>
      </c>
      <c r="Z1569" s="304">
        <f ca="1" t="shared" si="259"/>
        <v>13</v>
      </c>
      <c r="AA1569" s="304">
        <f ca="1">OFFSET(卡牌辅助配置表!$AD$1,MATCH(AB1569,卡牌辅助配置表!AB:AB,0)-1,0)</f>
        <v>558</v>
      </c>
      <c r="AB1569" s="304">
        <f ca="1" t="shared" si="265"/>
        <v>1123</v>
      </c>
      <c r="AF1569" s="153" t="str">
        <f ca="1" t="shared" si="268"/>
        <v>30010011|</v>
      </c>
      <c r="AJ1569" s="205" t="str">
        <f ca="1" t="shared" si="266"/>
        <v>400023|9500|;</v>
      </c>
      <c r="AK1569" s="205">
        <f ca="1">OFFSET([1]item_type!$A$1,MATCH(Q1569,[1]item_type!$G:$G,0)-1,0)</f>
        <v>303001</v>
      </c>
      <c r="AL1569" s="205"/>
      <c r="AM1569" s="205">
        <f ca="1">IF(B1569=B1570,OFFSET(卡牌辅助配置表!$AE$1,MATCH(AB1569,卡牌辅助配置表!AB:AB,0),0),0)</f>
        <v>9500</v>
      </c>
      <c r="AN1569" s="153">
        <f ca="1" t="shared" si="261"/>
        <v>3001024</v>
      </c>
      <c r="AP1569" s="153">
        <f ca="1">IF(AC1569=0,0,IF(AC1569=12,0,OFFSET(effect!$N$1,MATCH(K1569,effect!M:M,0)-1,0)))</f>
        <v>0</v>
      </c>
    </row>
    <row r="1570" spans="1:42">
      <c r="A1570" s="153">
        <f ca="1" t="shared" si="262"/>
        <v>3001024</v>
      </c>
      <c r="B1570" s="153" t="s">
        <v>490</v>
      </c>
      <c r="C1570" s="186">
        <v>3</v>
      </c>
      <c r="D1570" s="186">
        <v>3</v>
      </c>
      <c r="E1570" s="165" t="s">
        <v>1069</v>
      </c>
      <c r="F1570" s="298"/>
      <c r="G1570" s="186">
        <v>-3</v>
      </c>
      <c r="H1570" s="186">
        <f ca="1">OFFSET(skill!$Q$1,MATCH(B1570,skill!B:B,0)-1,0)</f>
        <v>0</v>
      </c>
      <c r="I1570" s="186"/>
      <c r="J1570" s="186">
        <f ca="1">OFFSET(card_type!$F$1,MATCH(Q1570,card_type!A:A,0)-1,0)</f>
        <v>1</v>
      </c>
      <c r="K1570" s="243">
        <f ca="1">OFFSET(card_type!$G$1,MATCH(Q1570,card_type!A:A,0)-1,0)</f>
        <v>1</v>
      </c>
      <c r="L1570" s="157">
        <v>1</v>
      </c>
      <c r="M1570" s="157">
        <v>1</v>
      </c>
      <c r="N1570" s="153">
        <f t="shared" si="263"/>
        <v>24</v>
      </c>
      <c r="O1570" s="157"/>
      <c r="P1570" s="157"/>
      <c r="Q1570" s="153">
        <f ca="1">OFFSET(card_type!$A$1,MATCH(card!B1570,card_type!B:B,0)-1,0)</f>
        <v>3001</v>
      </c>
      <c r="R1570" s="153">
        <v>1</v>
      </c>
      <c r="S1570" s="157">
        <f ca="1">ROUND(IF(R1570=0,0,IF(R1570=1,X1570*$S$1,IF(R1570=2,X1570*$S$1*buff的资质计算!$E$2,IF(R1570=3,X1570*$S$1*buff的资质计算!$E$3,0)))),0)*0</f>
        <v>0</v>
      </c>
      <c r="T1570" s="153">
        <v>5</v>
      </c>
      <c r="U1570" s="153">
        <f ca="1" t="shared" si="264"/>
        <v>11</v>
      </c>
      <c r="V1570" s="153">
        <f ca="1">ROUND((OFFSET(卡牌辅助配置表!$O$1,MATCH(U1570,卡牌辅助配置表!M:M,0)-1,0)+(N1570-1)*OFFSET(卡牌辅助配置表!$P$1,MATCH(U1570,卡牌辅助配置表!M:M,0)-1,0))*M1570,2)</f>
        <v>11.08</v>
      </c>
      <c r="W1570" s="157">
        <f ca="1">ROUND(IF(R1570=0,0,IF(R1570=1,X1570*$W$1,IF(R1570=2,X1570*$W$1*buff的资质计算!$E$2,IF(R1570=3,X1570*$W$1*buff的资质计算!$E$3,0)))),2)</f>
        <v>4.05</v>
      </c>
      <c r="X1570" s="157">
        <f ca="1" t="shared" si="258"/>
        <v>13.5</v>
      </c>
      <c r="Y1570" s="157">
        <f ca="1" t="shared" si="267"/>
        <v>13.5</v>
      </c>
      <c r="Z1570" s="304">
        <f ca="1" t="shared" si="259"/>
        <v>13.5</v>
      </c>
      <c r="AA1570" s="304">
        <f ca="1">OFFSET(卡牌辅助配置表!$AD$1,MATCH(AB1570,卡牌辅助配置表!AB:AB,0)-1,0)</f>
        <v>594</v>
      </c>
      <c r="AB1570" s="304">
        <f ca="1" t="shared" si="265"/>
        <v>1124</v>
      </c>
      <c r="AF1570" s="153" t="str">
        <f ca="1" t="shared" si="268"/>
        <v>30010011|</v>
      </c>
      <c r="AJ1570" s="205" t="str">
        <f ca="1" t="shared" si="266"/>
        <v>400023|10300|;</v>
      </c>
      <c r="AK1570" s="205">
        <f ca="1">OFFSET([1]item_type!$A$1,MATCH(Q1570,[1]item_type!$G:$G,0)-1,0)</f>
        <v>303001</v>
      </c>
      <c r="AL1570" s="205"/>
      <c r="AM1570" s="205">
        <f ca="1">IF(B1570=B1571,OFFSET(卡牌辅助配置表!$AE$1,MATCH(AB1570,卡牌辅助配置表!AB:AB,0),0),0)</f>
        <v>10300</v>
      </c>
      <c r="AN1570" s="153">
        <f ca="1" t="shared" si="261"/>
        <v>3001025</v>
      </c>
      <c r="AP1570" s="153">
        <f ca="1">IF(AC1570=0,0,IF(AC1570=12,0,OFFSET(effect!$N$1,MATCH(K1570,effect!M:M,0)-1,0)))</f>
        <v>0</v>
      </c>
    </row>
    <row r="1571" spans="1:42">
      <c r="A1571" s="153">
        <f ca="1" t="shared" si="262"/>
        <v>3001025</v>
      </c>
      <c r="B1571" s="153" t="s">
        <v>490</v>
      </c>
      <c r="C1571" s="186">
        <v>3</v>
      </c>
      <c r="D1571" s="186">
        <v>3</v>
      </c>
      <c r="E1571" s="165" t="s">
        <v>1069</v>
      </c>
      <c r="F1571" s="298"/>
      <c r="G1571" s="186">
        <v>-3</v>
      </c>
      <c r="H1571" s="186">
        <f ca="1">OFFSET(skill!$Q$1,MATCH(B1571,skill!B:B,0)-1,0)</f>
        <v>0</v>
      </c>
      <c r="I1571" s="186"/>
      <c r="J1571" s="186">
        <f ca="1">OFFSET(card_type!$F$1,MATCH(Q1571,card_type!A:A,0)-1,0)</f>
        <v>1</v>
      </c>
      <c r="K1571" s="243">
        <f ca="1">OFFSET(card_type!$G$1,MATCH(Q1571,card_type!A:A,0)-1,0)</f>
        <v>1</v>
      </c>
      <c r="L1571" s="157">
        <v>1</v>
      </c>
      <c r="M1571" s="157">
        <v>1</v>
      </c>
      <c r="N1571" s="153">
        <f t="shared" si="263"/>
        <v>25</v>
      </c>
      <c r="O1571" s="157"/>
      <c r="P1571" s="157"/>
      <c r="Q1571" s="153">
        <f ca="1">OFFSET(card_type!$A$1,MATCH(card!B1571,card_type!B:B,0)-1,0)</f>
        <v>3001</v>
      </c>
      <c r="R1571" s="153">
        <v>1</v>
      </c>
      <c r="S1571" s="157">
        <f ca="1">ROUND(IF(R1571=0,0,IF(R1571=1,X1571*$S$1,IF(R1571=2,X1571*$S$1*buff的资质计算!$E$2,IF(R1571=3,X1571*$S$1*buff的资质计算!$E$3,0)))),0)*0</f>
        <v>0</v>
      </c>
      <c r="T1571" s="153">
        <v>5</v>
      </c>
      <c r="U1571" s="153">
        <f ca="1" t="shared" si="264"/>
        <v>11</v>
      </c>
      <c r="V1571" s="153">
        <f ca="1">ROUND((OFFSET(卡牌辅助配置表!$O$1,MATCH(U1571,卡牌辅助配置表!M:M,0)-1,0)+(N1571-1)*OFFSET(卡牌辅助配置表!$P$1,MATCH(U1571,卡牌辅助配置表!M:M,0)-1,0))*M1571,2)</f>
        <v>11.29</v>
      </c>
      <c r="W1571" s="157">
        <f ca="1">ROUND(IF(R1571=0,0,IF(R1571=1,X1571*$W$1,IF(R1571=2,X1571*$W$1*buff的资质计算!$E$2,IF(R1571=3,X1571*$W$1*buff的资质计算!$E$3,0)))),2)</f>
        <v>4.2</v>
      </c>
      <c r="X1571" s="157">
        <f ca="1" t="shared" si="258"/>
        <v>14</v>
      </c>
      <c r="Y1571" s="157">
        <f ca="1" t="shared" si="267"/>
        <v>14</v>
      </c>
      <c r="Z1571" s="304">
        <f ca="1" t="shared" si="259"/>
        <v>14</v>
      </c>
      <c r="AA1571" s="304">
        <f ca="1">OFFSET(卡牌辅助配置表!$AD$1,MATCH(AB1571,卡牌辅助配置表!AB:AB,0)-1,0)</f>
        <v>630</v>
      </c>
      <c r="AB1571" s="304">
        <f ca="1" t="shared" si="265"/>
        <v>1125</v>
      </c>
      <c r="AF1571" s="153" t="str">
        <f ca="1" t="shared" si="268"/>
        <v>30010011|</v>
      </c>
      <c r="AJ1571" s="205" t="str">
        <f ca="1" t="shared" si="266"/>
        <v>400023|11100|;</v>
      </c>
      <c r="AK1571" s="205">
        <f ca="1">OFFSET([1]item_type!$A$1,MATCH(Q1571,[1]item_type!$G:$G,0)-1,0)</f>
        <v>303001</v>
      </c>
      <c r="AL1571" s="205"/>
      <c r="AM1571" s="205">
        <f ca="1">IF(B1571=B1572,OFFSET(卡牌辅助配置表!$AE$1,MATCH(AB1571,卡牌辅助配置表!AB:AB,0),0),0)</f>
        <v>11100</v>
      </c>
      <c r="AN1571" s="153">
        <f ca="1" t="shared" si="261"/>
        <v>3001026</v>
      </c>
      <c r="AP1571" s="153">
        <f ca="1">IF(AC1571=0,0,IF(AC1571=12,0,OFFSET(effect!$N$1,MATCH(K1571,effect!M:M,0)-1,0)))</f>
        <v>0</v>
      </c>
    </row>
    <row r="1572" spans="1:42">
      <c r="A1572" s="153">
        <f ca="1" t="shared" si="262"/>
        <v>3001026</v>
      </c>
      <c r="B1572" s="153" t="s">
        <v>490</v>
      </c>
      <c r="C1572" s="186">
        <v>3</v>
      </c>
      <c r="D1572" s="186">
        <v>3</v>
      </c>
      <c r="E1572" s="165" t="s">
        <v>1069</v>
      </c>
      <c r="F1572" s="298"/>
      <c r="G1572" s="186">
        <v>-3</v>
      </c>
      <c r="H1572" s="186">
        <f ca="1">OFFSET(skill!$Q$1,MATCH(B1572,skill!B:B,0)-1,0)</f>
        <v>0</v>
      </c>
      <c r="I1572" s="186"/>
      <c r="J1572" s="186">
        <f ca="1">OFFSET(card_type!$F$1,MATCH(Q1572,card_type!A:A,0)-1,0)</f>
        <v>1</v>
      </c>
      <c r="K1572" s="243">
        <f ca="1">OFFSET(card_type!$G$1,MATCH(Q1572,card_type!A:A,0)-1,0)</f>
        <v>1</v>
      </c>
      <c r="L1572" s="157">
        <v>1</v>
      </c>
      <c r="M1572" s="157">
        <v>1</v>
      </c>
      <c r="N1572" s="153">
        <f t="shared" si="263"/>
        <v>26</v>
      </c>
      <c r="O1572" s="157"/>
      <c r="P1572" s="157"/>
      <c r="Q1572" s="153">
        <f ca="1">OFFSET(card_type!$A$1,MATCH(card!B1572,card_type!B:B,0)-1,0)</f>
        <v>3001</v>
      </c>
      <c r="R1572" s="153">
        <v>1</v>
      </c>
      <c r="S1572" s="157">
        <f ca="1">ROUND(IF(R1572=0,0,IF(R1572=1,X1572*$S$1,IF(R1572=2,X1572*$S$1*buff的资质计算!$E$2,IF(R1572=3,X1572*$S$1*buff的资质计算!$E$3,0)))),0)*0</f>
        <v>0</v>
      </c>
      <c r="T1572" s="153">
        <v>5</v>
      </c>
      <c r="U1572" s="153">
        <f ca="1" t="shared" si="264"/>
        <v>11</v>
      </c>
      <c r="V1572" s="153">
        <f ca="1">ROUND((OFFSET(卡牌辅助配置表!$O$1,MATCH(U1572,卡牌辅助配置表!M:M,0)-1,0)+(N1572-1)*OFFSET(卡牌辅助配置表!$P$1,MATCH(U1572,卡牌辅助配置表!M:M,0)-1,0))*M1572,2)</f>
        <v>11.5</v>
      </c>
      <c r="W1572" s="157">
        <f ca="1">ROUND(IF(R1572=0,0,IF(R1572=1,X1572*$W$1,IF(R1572=2,X1572*$W$1*buff的资质计算!$E$2,IF(R1572=3,X1572*$W$1*buff的资质计算!$E$3,0)))),2)</f>
        <v>4.35</v>
      </c>
      <c r="X1572" s="157">
        <f ca="1" t="shared" si="258"/>
        <v>14.5</v>
      </c>
      <c r="Y1572" s="157">
        <f ca="1" t="shared" si="267"/>
        <v>14.5</v>
      </c>
      <c r="Z1572" s="304">
        <f ca="1" t="shared" si="259"/>
        <v>14.5</v>
      </c>
      <c r="AA1572" s="304">
        <f ca="1">OFFSET(卡牌辅助配置表!$AD$1,MATCH(AB1572,卡牌辅助配置表!AB:AB,0)-1,0)</f>
        <v>666</v>
      </c>
      <c r="AB1572" s="304">
        <f ca="1" t="shared" si="265"/>
        <v>1126</v>
      </c>
      <c r="AF1572" s="153" t="str">
        <f ca="1" t="shared" si="268"/>
        <v>30010011|</v>
      </c>
      <c r="AJ1572" s="205" t="str">
        <f ca="1" t="shared" si="266"/>
        <v>400023|11900|;</v>
      </c>
      <c r="AK1572" s="205">
        <f ca="1">OFFSET([1]item_type!$A$1,MATCH(Q1572,[1]item_type!$G:$G,0)-1,0)</f>
        <v>303001</v>
      </c>
      <c r="AL1572" s="205"/>
      <c r="AM1572" s="205">
        <f ca="1">IF(B1572=B1573,OFFSET(卡牌辅助配置表!$AE$1,MATCH(AB1572,卡牌辅助配置表!AB:AB,0),0),0)</f>
        <v>11900</v>
      </c>
      <c r="AN1572" s="153">
        <f ca="1" t="shared" si="261"/>
        <v>3001027</v>
      </c>
      <c r="AP1572" s="153">
        <f ca="1">IF(AC1572=0,0,IF(AC1572=12,0,OFFSET(effect!$N$1,MATCH(K1572,effect!M:M,0)-1,0)))</f>
        <v>0</v>
      </c>
    </row>
    <row r="1573" spans="1:42">
      <c r="A1573" s="153">
        <f ca="1" t="shared" si="262"/>
        <v>3001027</v>
      </c>
      <c r="B1573" s="153" t="s">
        <v>490</v>
      </c>
      <c r="C1573" s="186">
        <v>3</v>
      </c>
      <c r="D1573" s="186">
        <v>3</v>
      </c>
      <c r="E1573" s="165" t="s">
        <v>1069</v>
      </c>
      <c r="F1573" s="298"/>
      <c r="G1573" s="186">
        <v>-3</v>
      </c>
      <c r="H1573" s="186">
        <f ca="1">OFFSET(skill!$Q$1,MATCH(B1573,skill!B:B,0)-1,0)</f>
        <v>0</v>
      </c>
      <c r="I1573" s="186"/>
      <c r="J1573" s="186">
        <f ca="1">OFFSET(card_type!$F$1,MATCH(Q1573,card_type!A:A,0)-1,0)</f>
        <v>1</v>
      </c>
      <c r="K1573" s="243">
        <f ca="1">OFFSET(card_type!$G$1,MATCH(Q1573,card_type!A:A,0)-1,0)</f>
        <v>1</v>
      </c>
      <c r="L1573" s="157">
        <v>1</v>
      </c>
      <c r="M1573" s="157">
        <v>1</v>
      </c>
      <c r="N1573" s="153">
        <f t="shared" si="263"/>
        <v>27</v>
      </c>
      <c r="O1573" s="157"/>
      <c r="P1573" s="157"/>
      <c r="Q1573" s="153">
        <f ca="1">OFFSET(card_type!$A$1,MATCH(card!B1573,card_type!B:B,0)-1,0)</f>
        <v>3001</v>
      </c>
      <c r="R1573" s="153">
        <v>1</v>
      </c>
      <c r="S1573" s="157">
        <f ca="1">ROUND(IF(R1573=0,0,IF(R1573=1,X1573*$S$1,IF(R1573=2,X1573*$S$1*buff的资质计算!$E$2,IF(R1573=3,X1573*$S$1*buff的资质计算!$E$3,0)))),0)*0</f>
        <v>0</v>
      </c>
      <c r="T1573" s="153">
        <v>5</v>
      </c>
      <c r="U1573" s="153">
        <f ca="1" t="shared" si="264"/>
        <v>11</v>
      </c>
      <c r="V1573" s="153">
        <f ca="1">ROUND((OFFSET(卡牌辅助配置表!$O$1,MATCH(U1573,卡牌辅助配置表!M:M,0)-1,0)+(N1573-1)*OFFSET(卡牌辅助配置表!$P$1,MATCH(U1573,卡牌辅助配置表!M:M,0)-1,0))*M1573,2)</f>
        <v>11.7</v>
      </c>
      <c r="W1573" s="157">
        <f ca="1">ROUND(IF(R1573=0,0,IF(R1573=1,X1573*$W$1,IF(R1573=2,X1573*$W$1*buff的资质计算!$E$2,IF(R1573=3,X1573*$W$1*buff的资质计算!$E$3,0)))),2)</f>
        <v>4.5</v>
      </c>
      <c r="X1573" s="157">
        <f ca="1" t="shared" si="258"/>
        <v>15</v>
      </c>
      <c r="Y1573" s="157">
        <f ca="1" t="shared" si="267"/>
        <v>15</v>
      </c>
      <c r="Z1573" s="304">
        <f ca="1" t="shared" si="259"/>
        <v>15</v>
      </c>
      <c r="AA1573" s="304">
        <f ca="1">OFFSET(卡牌辅助配置表!$AD$1,MATCH(AB1573,卡牌辅助配置表!AB:AB,0)-1,0)</f>
        <v>702</v>
      </c>
      <c r="AB1573" s="304">
        <f ca="1" t="shared" si="265"/>
        <v>1127</v>
      </c>
      <c r="AF1573" s="153" t="str">
        <f ca="1" t="shared" si="268"/>
        <v>30010011|</v>
      </c>
      <c r="AJ1573" s="205" t="str">
        <f ca="1" t="shared" si="266"/>
        <v>400023|12700|;</v>
      </c>
      <c r="AK1573" s="205">
        <f ca="1">OFFSET([1]item_type!$A$1,MATCH(Q1573,[1]item_type!$G:$G,0)-1,0)</f>
        <v>303001</v>
      </c>
      <c r="AL1573" s="205"/>
      <c r="AM1573" s="205">
        <f ca="1">IF(B1573=B1574,OFFSET(卡牌辅助配置表!$AE$1,MATCH(AB1573,卡牌辅助配置表!AB:AB,0),0),0)</f>
        <v>12700</v>
      </c>
      <c r="AN1573" s="153">
        <f ca="1" t="shared" si="261"/>
        <v>3001028</v>
      </c>
      <c r="AP1573" s="153">
        <f ca="1">IF(AC1573=0,0,IF(AC1573=12,0,OFFSET(effect!$N$1,MATCH(K1573,effect!M:M,0)-1,0)))</f>
        <v>0</v>
      </c>
    </row>
    <row r="1574" spans="1:42">
      <c r="A1574" s="153">
        <f ca="1" t="shared" si="262"/>
        <v>3001028</v>
      </c>
      <c r="B1574" s="153" t="s">
        <v>490</v>
      </c>
      <c r="C1574" s="186">
        <v>3</v>
      </c>
      <c r="D1574" s="186">
        <v>3</v>
      </c>
      <c r="E1574" s="165" t="s">
        <v>1069</v>
      </c>
      <c r="F1574" s="298"/>
      <c r="G1574" s="186">
        <v>-3</v>
      </c>
      <c r="H1574" s="186">
        <f ca="1">OFFSET(skill!$Q$1,MATCH(B1574,skill!B:B,0)-1,0)</f>
        <v>0</v>
      </c>
      <c r="I1574" s="186"/>
      <c r="J1574" s="186">
        <f ca="1">OFFSET(card_type!$F$1,MATCH(Q1574,card_type!A:A,0)-1,0)</f>
        <v>1</v>
      </c>
      <c r="K1574" s="243">
        <f ca="1">OFFSET(card_type!$G$1,MATCH(Q1574,card_type!A:A,0)-1,0)</f>
        <v>1</v>
      </c>
      <c r="L1574" s="157">
        <v>1</v>
      </c>
      <c r="M1574" s="157">
        <v>1</v>
      </c>
      <c r="N1574" s="153">
        <f t="shared" si="263"/>
        <v>28</v>
      </c>
      <c r="O1574" s="157"/>
      <c r="P1574" s="157"/>
      <c r="Q1574" s="153">
        <f ca="1">OFFSET(card_type!$A$1,MATCH(card!B1574,card_type!B:B,0)-1,0)</f>
        <v>3001</v>
      </c>
      <c r="R1574" s="153">
        <v>1</v>
      </c>
      <c r="S1574" s="157">
        <f ca="1">ROUND(IF(R1574=0,0,IF(R1574=1,X1574*$S$1,IF(R1574=2,X1574*$S$1*buff的资质计算!$E$2,IF(R1574=3,X1574*$S$1*buff的资质计算!$E$3,0)))),0)*0</f>
        <v>0</v>
      </c>
      <c r="T1574" s="153">
        <v>5</v>
      </c>
      <c r="U1574" s="153">
        <f ca="1" t="shared" si="264"/>
        <v>11</v>
      </c>
      <c r="V1574" s="153">
        <f ca="1">ROUND((OFFSET(卡牌辅助配置表!$O$1,MATCH(U1574,卡牌辅助配置表!M:M,0)-1,0)+(N1574-1)*OFFSET(卡牌辅助配置表!$P$1,MATCH(U1574,卡牌辅助配置表!M:M,0)-1,0))*M1574,2)</f>
        <v>11.91</v>
      </c>
      <c r="W1574" s="157">
        <f ca="1">ROUND(IF(R1574=0,0,IF(R1574=1,X1574*$W$1,IF(R1574=2,X1574*$W$1*buff的资质计算!$E$2,IF(R1574=3,X1574*$W$1*buff的资质计算!$E$3,0)))),2)</f>
        <v>4.65</v>
      </c>
      <c r="X1574" s="157">
        <f ca="1" t="shared" si="258"/>
        <v>15.5</v>
      </c>
      <c r="Y1574" s="157">
        <f ca="1" t="shared" si="267"/>
        <v>15.5</v>
      </c>
      <c r="Z1574" s="304">
        <f ca="1" t="shared" si="259"/>
        <v>15.5</v>
      </c>
      <c r="AA1574" s="304">
        <f ca="1">OFFSET(卡牌辅助配置表!$AD$1,MATCH(AB1574,卡牌辅助配置表!AB:AB,0)-1,0)</f>
        <v>738</v>
      </c>
      <c r="AB1574" s="304">
        <f ca="1" t="shared" si="265"/>
        <v>1128</v>
      </c>
      <c r="AF1574" s="153" t="str">
        <f ca="1" t="shared" si="268"/>
        <v>30010011|</v>
      </c>
      <c r="AJ1574" s="205" t="str">
        <f ca="1" t="shared" si="266"/>
        <v>400023|13500|;</v>
      </c>
      <c r="AK1574" s="205">
        <f ca="1">OFFSET([1]item_type!$A$1,MATCH(Q1574,[1]item_type!$G:$G,0)-1,0)</f>
        <v>303001</v>
      </c>
      <c r="AL1574" s="205"/>
      <c r="AM1574" s="205">
        <f ca="1">IF(B1574=B1575,OFFSET(卡牌辅助配置表!$AE$1,MATCH(AB1574,卡牌辅助配置表!AB:AB,0),0),0)</f>
        <v>13500</v>
      </c>
      <c r="AN1574" s="153">
        <f ca="1" t="shared" si="261"/>
        <v>3001029</v>
      </c>
      <c r="AP1574" s="153">
        <f ca="1">IF(AC1574=0,0,IF(AC1574=12,0,OFFSET(effect!$N$1,MATCH(K1574,effect!M:M,0)-1,0)))</f>
        <v>0</v>
      </c>
    </row>
    <row r="1575" spans="1:42">
      <c r="A1575" s="153">
        <f ca="1" t="shared" si="262"/>
        <v>3001029</v>
      </c>
      <c r="B1575" s="153" t="s">
        <v>490</v>
      </c>
      <c r="C1575" s="186">
        <v>3</v>
      </c>
      <c r="D1575" s="186">
        <v>3</v>
      </c>
      <c r="E1575" s="165" t="s">
        <v>1069</v>
      </c>
      <c r="F1575" s="298"/>
      <c r="G1575" s="186">
        <v>-3</v>
      </c>
      <c r="H1575" s="186">
        <f ca="1">OFFSET(skill!$Q$1,MATCH(B1575,skill!B:B,0)-1,0)</f>
        <v>0</v>
      </c>
      <c r="I1575" s="186"/>
      <c r="J1575" s="186">
        <f ca="1">OFFSET(card_type!$F$1,MATCH(Q1575,card_type!A:A,0)-1,0)</f>
        <v>1</v>
      </c>
      <c r="K1575" s="243">
        <f ca="1">OFFSET(card_type!$G$1,MATCH(Q1575,card_type!A:A,0)-1,0)</f>
        <v>1</v>
      </c>
      <c r="L1575" s="157">
        <v>1</v>
      </c>
      <c r="M1575" s="157">
        <v>1</v>
      </c>
      <c r="N1575" s="153">
        <f t="shared" si="263"/>
        <v>29</v>
      </c>
      <c r="O1575" s="157"/>
      <c r="P1575" s="157"/>
      <c r="Q1575" s="153">
        <f ca="1">OFFSET(card_type!$A$1,MATCH(card!B1575,card_type!B:B,0)-1,0)</f>
        <v>3001</v>
      </c>
      <c r="R1575" s="153">
        <v>1</v>
      </c>
      <c r="S1575" s="157">
        <f ca="1">ROUND(IF(R1575=0,0,IF(R1575=1,X1575*$S$1,IF(R1575=2,X1575*$S$1*buff的资质计算!$E$2,IF(R1575=3,X1575*$S$1*buff的资质计算!$E$3,0)))),0)*0</f>
        <v>0</v>
      </c>
      <c r="T1575" s="153">
        <v>5</v>
      </c>
      <c r="U1575" s="153">
        <f ca="1" t="shared" si="264"/>
        <v>11</v>
      </c>
      <c r="V1575" s="153">
        <f ca="1">ROUND((OFFSET(卡牌辅助配置表!$O$1,MATCH(U1575,卡牌辅助配置表!M:M,0)-1,0)+(N1575-1)*OFFSET(卡牌辅助配置表!$P$1,MATCH(U1575,卡牌辅助配置表!M:M,0)-1,0))*M1575,2)</f>
        <v>12.12</v>
      </c>
      <c r="W1575" s="157">
        <f ca="1">ROUND(IF(R1575=0,0,IF(R1575=1,X1575*$W$1,IF(R1575=2,X1575*$W$1*buff的资质计算!$E$2,IF(R1575=3,X1575*$W$1*buff的资质计算!$E$3,0)))),2)</f>
        <v>4.8</v>
      </c>
      <c r="X1575" s="157">
        <f ca="1" t="shared" si="258"/>
        <v>16</v>
      </c>
      <c r="Y1575" s="157">
        <f ca="1" t="shared" si="267"/>
        <v>16</v>
      </c>
      <c r="Z1575" s="304">
        <f ca="1" t="shared" si="259"/>
        <v>16</v>
      </c>
      <c r="AA1575" s="304">
        <f ca="1">OFFSET(卡牌辅助配置表!$AD$1,MATCH(AB1575,卡牌辅助配置表!AB:AB,0)-1,0)</f>
        <v>774</v>
      </c>
      <c r="AB1575" s="304">
        <f ca="1" t="shared" si="265"/>
        <v>1129</v>
      </c>
      <c r="AF1575" s="153" t="str">
        <f ca="1" t="shared" si="268"/>
        <v>30010011|</v>
      </c>
      <c r="AJ1575" s="205" t="str">
        <f ca="1" t="shared" si="266"/>
        <v>303001|30|;400023|14300|;</v>
      </c>
      <c r="AK1575" s="205">
        <f ca="1">OFFSET([1]item_type!$A$1,MATCH(Q1575,[1]item_type!$G:$G,0)-1,0)</f>
        <v>303001</v>
      </c>
      <c r="AL1575" s="205">
        <v>30</v>
      </c>
      <c r="AM1575" s="205">
        <f ca="1">IF(B1575=B1576,OFFSET(卡牌辅助配置表!$AE$1,MATCH(AB1575,卡牌辅助配置表!AB:AB,0),0),0)</f>
        <v>14300</v>
      </c>
      <c r="AN1575" s="153">
        <f ca="1" t="shared" si="261"/>
        <v>3001030</v>
      </c>
      <c r="AP1575" s="153">
        <f ca="1">IF(AC1575=0,0,IF(AC1575=12,0,OFFSET(effect!$N$1,MATCH(K1575,effect!M:M,0)-1,0)))</f>
        <v>0</v>
      </c>
    </row>
    <row r="1576" spans="1:42">
      <c r="A1576" s="153">
        <f ca="1" t="shared" si="262"/>
        <v>3001030</v>
      </c>
      <c r="B1576" s="153" t="s">
        <v>490</v>
      </c>
      <c r="C1576" s="186">
        <v>3</v>
      </c>
      <c r="D1576" s="186">
        <v>3</v>
      </c>
      <c r="E1576" s="165" t="s">
        <v>1069</v>
      </c>
      <c r="F1576" s="298"/>
      <c r="G1576" s="186">
        <v>-3</v>
      </c>
      <c r="H1576" s="186">
        <f ca="1">OFFSET(skill!$Q$1,MATCH(B1576,skill!B:B,0)-1,0)</f>
        <v>0</v>
      </c>
      <c r="I1576" s="186"/>
      <c r="J1576" s="186">
        <f ca="1">OFFSET(card_type!$F$1,MATCH(Q1576,card_type!A:A,0)-1,0)</f>
        <v>1</v>
      </c>
      <c r="K1576" s="243">
        <f ca="1">OFFSET(card_type!$G$1,MATCH(Q1576,card_type!A:A,0)-1,0)</f>
        <v>1</v>
      </c>
      <c r="L1576" s="157">
        <v>1</v>
      </c>
      <c r="M1576" s="157">
        <v>1</v>
      </c>
      <c r="N1576" s="153">
        <f t="shared" si="263"/>
        <v>30</v>
      </c>
      <c r="O1576" s="157"/>
      <c r="P1576" s="157"/>
      <c r="Q1576" s="153">
        <f ca="1">OFFSET(card_type!$A$1,MATCH(card!B1576,card_type!B:B,0)-1,0)</f>
        <v>3001</v>
      </c>
      <c r="R1576" s="153">
        <v>1</v>
      </c>
      <c r="S1576" s="157">
        <f ca="1">ROUND(IF(R1576=0,0,IF(R1576=1,X1576*$S$1,IF(R1576=2,X1576*$S$1*buff的资质计算!$E$2,IF(R1576=3,X1576*$S$1*buff的资质计算!$E$3,0)))),0)*0</f>
        <v>0</v>
      </c>
      <c r="T1576" s="153">
        <v>5</v>
      </c>
      <c r="U1576" s="153">
        <f ca="1" t="shared" si="264"/>
        <v>11</v>
      </c>
      <c r="V1576" s="153">
        <f ca="1">ROUND((OFFSET(卡牌辅助配置表!$O$1,MATCH(U1576,卡牌辅助配置表!M:M,0)-1,0)+(N1576-1)*OFFSET(卡牌辅助配置表!$P$1,MATCH(U1576,卡牌辅助配置表!M:M,0)-1,0))*M1576,2)</f>
        <v>12.33</v>
      </c>
      <c r="W1576" s="157">
        <f ca="1">ROUND(IF(R1576=0,0,IF(R1576=1,X1576*$W$1,IF(R1576=2,X1576*$W$1*buff的资质计算!$E$2,IF(R1576=3,X1576*$W$1*buff的资质计算!$E$3,0)))),2)</f>
        <v>4.95</v>
      </c>
      <c r="X1576" s="157">
        <f ca="1" t="shared" si="258"/>
        <v>16.5</v>
      </c>
      <c r="Y1576" s="157">
        <f ca="1" t="shared" si="267"/>
        <v>16.5</v>
      </c>
      <c r="Z1576" s="304">
        <f ca="1" t="shared" si="259"/>
        <v>16.5</v>
      </c>
      <c r="AA1576" s="304">
        <f ca="1">OFFSET(卡牌辅助配置表!$AD$1,MATCH(AB1576,卡牌辅助配置表!AB:AB,0)-1,0)</f>
        <v>810</v>
      </c>
      <c r="AB1576" s="304">
        <f ca="1" t="shared" si="265"/>
        <v>1130</v>
      </c>
      <c r="AF1576" s="153" t="str">
        <f ca="1" t="shared" si="268"/>
        <v>30010011|</v>
      </c>
      <c r="AJ1576" s="205">
        <f ca="1" t="shared" si="266"/>
        <v>0</v>
      </c>
      <c r="AK1576" s="205">
        <f ca="1">OFFSET([1]item_type!$A$1,MATCH(Q1576,[1]item_type!$G:$G,0)-1,0)</f>
        <v>303001</v>
      </c>
      <c r="AL1576" s="205"/>
      <c r="AM1576" s="205">
        <f ca="1">IF(B1576=B1577,OFFSET(卡牌辅助配置表!$AE$1,MATCH(AB1576,卡牌辅助配置表!AB:AB,0),0),0)</f>
        <v>0</v>
      </c>
      <c r="AN1576" s="153">
        <f ca="1" t="shared" si="261"/>
        <v>0</v>
      </c>
      <c r="AP1576" s="153">
        <f ca="1">IF(AC1576=0,0,IF(AC1576=12,0,OFFSET(effect!$N$1,MATCH(K1576,effect!M:M,0)-1,0)))</f>
        <v>0</v>
      </c>
    </row>
    <row r="1577" spans="1:42">
      <c r="A1577" s="153">
        <f ca="1" t="shared" si="262"/>
        <v>3002001</v>
      </c>
      <c r="B1577" s="91" t="s">
        <v>494</v>
      </c>
      <c r="C1577" s="186">
        <v>3</v>
      </c>
      <c r="D1577" s="186">
        <v>5</v>
      </c>
      <c r="E1577" s="165" t="s">
        <v>1069</v>
      </c>
      <c r="F1577" s="298"/>
      <c r="G1577" s="186">
        <v>-3</v>
      </c>
      <c r="H1577" s="186">
        <f ca="1" t="shared" ref="H1577:H1606" si="269">IF(R1577=0,Y1577,0)</f>
        <v>0</v>
      </c>
      <c r="I1577" s="186"/>
      <c r="J1577" s="186">
        <f ca="1">OFFSET(card_type!$F$1,MATCH(Q1577,card_type!A:A,0)-1,0)</f>
        <v>1</v>
      </c>
      <c r="K1577" s="243">
        <f ca="1">OFFSET(card_type!$G$1,MATCH(Q1577,card_type!A:A,0)-1,0)</f>
        <v>1</v>
      </c>
      <c r="L1577" s="157">
        <v>1</v>
      </c>
      <c r="M1577" s="157">
        <v>1</v>
      </c>
      <c r="N1577" s="153">
        <f t="shared" si="263"/>
        <v>1</v>
      </c>
      <c r="O1577" s="157"/>
      <c r="P1577" s="157"/>
      <c r="Q1577" s="153">
        <f ca="1">OFFSET(card_type!$A$1,MATCH(card!B1577,card_type!B:B,0)-1,0)</f>
        <v>3002</v>
      </c>
      <c r="R1577" s="153">
        <v>1</v>
      </c>
      <c r="S1577" s="157">
        <f ca="1">ROUND(IF(R1577=0,0,IF(R1577=1,X1577*$S$1,IF(R1577=2,X1577*$S$1*buff的资质计算!$E$2,IF(R1577=3,X1577*$S$1*buff的资质计算!$E$3,0)))),0)*0</f>
        <v>0</v>
      </c>
      <c r="T1577" s="153">
        <v>3</v>
      </c>
      <c r="U1577" s="153">
        <f ca="1" t="shared" si="264"/>
        <v>11</v>
      </c>
      <c r="V1577" s="153">
        <f ca="1">ROUND((OFFSET(卡牌辅助配置表!$O$1,MATCH(U1577,卡牌辅助配置表!M:M,0)-1,0)+(N1577-1)*OFFSET(卡牌辅助配置表!$P$1,MATCH(U1577,卡牌辅助配置表!M:M,0)-1,0))*M1577,2)</f>
        <v>6.27</v>
      </c>
      <c r="W1577" s="157">
        <f ca="1">ROUND(IF(R1577=0,0,IF(R1577=1,X1577*$W$1,IF(R1577=2,X1577*$W$1*buff的资质计算!$E$2,IF(R1577=3,X1577*$W$1*buff的资质计算!$E$3,0)))),2)</f>
        <v>0.6</v>
      </c>
      <c r="X1577" s="157">
        <f ca="1" t="shared" si="258"/>
        <v>2</v>
      </c>
      <c r="Y1577" s="157">
        <f ca="1" t="shared" si="267"/>
        <v>2</v>
      </c>
      <c r="Z1577" s="304">
        <f ca="1" t="shared" si="259"/>
        <v>2</v>
      </c>
      <c r="AA1577" s="304">
        <f ca="1">OFFSET(卡牌辅助配置表!$AD$1,MATCH(AB1577,卡牌辅助配置表!AB:AB,0)-1,0)</f>
        <v>18</v>
      </c>
      <c r="AB1577" s="304">
        <f ca="1" t="shared" si="265"/>
        <v>1101</v>
      </c>
      <c r="AF1577" s="153" t="str">
        <f ca="1" t="shared" si="268"/>
        <v>30020011|</v>
      </c>
      <c r="AJ1577" s="205" t="str">
        <f ca="1" t="shared" si="266"/>
        <v>400023|700|;</v>
      </c>
      <c r="AK1577" s="205">
        <f ca="1">OFFSET([1]item_type!$A$1,MATCH(Q1577,[1]item_type!$G:$G,0)-1,0)</f>
        <v>303002</v>
      </c>
      <c r="AL1577" s="205"/>
      <c r="AM1577" s="205">
        <f ca="1">IF(B1577=B1578,OFFSET(卡牌辅助配置表!$AE$1,MATCH(AB1577,卡牌辅助配置表!AB:AB,0),0),0)</f>
        <v>700</v>
      </c>
      <c r="AN1577" s="153">
        <f ca="1" t="shared" si="261"/>
        <v>3002002</v>
      </c>
      <c r="AP1577" s="153">
        <f ca="1">IF(AC1577=0,0,IF(AC1577=12,0,OFFSET(effect!$N$1,MATCH(K1577,effect!M:M,0)-1,0)))</f>
        <v>0</v>
      </c>
    </row>
    <row r="1578" spans="1:42">
      <c r="A1578" s="153">
        <f ca="1" t="shared" si="262"/>
        <v>3002002</v>
      </c>
      <c r="B1578" s="91" t="s">
        <v>494</v>
      </c>
      <c r="C1578" s="186">
        <v>3</v>
      </c>
      <c r="D1578" s="186">
        <v>5</v>
      </c>
      <c r="E1578" s="165" t="s">
        <v>1069</v>
      </c>
      <c r="F1578" s="298"/>
      <c r="G1578" s="186">
        <v>-3</v>
      </c>
      <c r="H1578" s="186">
        <f ca="1" t="shared" si="269"/>
        <v>0</v>
      </c>
      <c r="I1578" s="186"/>
      <c r="J1578" s="186">
        <f ca="1">OFFSET(card_type!$F$1,MATCH(Q1578,card_type!A:A,0)-1,0)</f>
        <v>1</v>
      </c>
      <c r="K1578" s="243">
        <f ca="1">OFFSET(card_type!$G$1,MATCH(Q1578,card_type!A:A,0)-1,0)</f>
        <v>1</v>
      </c>
      <c r="L1578" s="157">
        <v>1</v>
      </c>
      <c r="M1578" s="157">
        <v>1</v>
      </c>
      <c r="N1578" s="153">
        <f t="shared" si="263"/>
        <v>2</v>
      </c>
      <c r="O1578" s="157"/>
      <c r="P1578" s="157"/>
      <c r="Q1578" s="153">
        <f ca="1">OFFSET(card_type!$A$1,MATCH(card!B1578,card_type!B:B,0)-1,0)</f>
        <v>3002</v>
      </c>
      <c r="R1578" s="153">
        <v>1</v>
      </c>
      <c r="S1578" s="157">
        <f ca="1">ROUND(IF(R1578=0,0,IF(R1578=1,X1578*$S$1,IF(R1578=2,X1578*$S$1*buff的资质计算!$E$2,IF(R1578=3,X1578*$S$1*buff的资质计算!$E$3,0)))),0)*0</f>
        <v>0</v>
      </c>
      <c r="T1578" s="153">
        <v>3</v>
      </c>
      <c r="U1578" s="153">
        <f ca="1" t="shared" si="264"/>
        <v>11</v>
      </c>
      <c r="V1578" s="153">
        <f ca="1">ROUND((OFFSET(卡牌辅助配置表!$O$1,MATCH(U1578,卡牌辅助配置表!M:M,0)-1,0)+(N1578-1)*OFFSET(卡牌辅助配置表!$P$1,MATCH(U1578,卡牌辅助配置表!M:M,0)-1,0))*M1578,2)</f>
        <v>6.48</v>
      </c>
      <c r="W1578" s="157">
        <f ca="1">ROUND(IF(R1578=0,0,IF(R1578=1,X1578*$W$1,IF(R1578=2,X1578*$W$1*buff的资质计算!$E$2,IF(R1578=3,X1578*$W$1*buff的资质计算!$E$3,0)))),2)</f>
        <v>0.75</v>
      </c>
      <c r="X1578" s="157">
        <f ca="1" t="shared" si="258"/>
        <v>2.5</v>
      </c>
      <c r="Y1578" s="157">
        <f ca="1" t="shared" si="267"/>
        <v>2.5</v>
      </c>
      <c r="Z1578" s="304">
        <f ca="1" t="shared" si="259"/>
        <v>2.5</v>
      </c>
      <c r="AA1578" s="304">
        <f ca="1">OFFSET(卡牌辅助配置表!$AD$1,MATCH(AB1578,卡牌辅助配置表!AB:AB,0)-1,0)</f>
        <v>36</v>
      </c>
      <c r="AB1578" s="304">
        <f ca="1" t="shared" si="265"/>
        <v>1102</v>
      </c>
      <c r="AF1578" s="153" t="str">
        <f ca="1" t="shared" si="268"/>
        <v>30020011|</v>
      </c>
      <c r="AJ1578" s="205" t="str">
        <f ca="1" t="shared" si="266"/>
        <v>400023|900|;</v>
      </c>
      <c r="AK1578" s="205">
        <f ca="1">OFFSET([1]item_type!$A$1,MATCH(Q1578,[1]item_type!$G:$G,0)-1,0)</f>
        <v>303002</v>
      </c>
      <c r="AL1578" s="205"/>
      <c r="AM1578" s="205">
        <f ca="1">IF(B1578=B1579,OFFSET(卡牌辅助配置表!$AE$1,MATCH(AB1578,卡牌辅助配置表!AB:AB,0),0),0)</f>
        <v>900</v>
      </c>
      <c r="AN1578" s="153">
        <f ca="1" t="shared" si="261"/>
        <v>3002003</v>
      </c>
      <c r="AP1578" s="153">
        <f ca="1">IF(AC1578=0,0,IF(AC1578=12,0,OFFSET(effect!$N$1,MATCH(K1578,effect!M:M,0)-1,0)))</f>
        <v>0</v>
      </c>
    </row>
    <row r="1579" spans="1:42">
      <c r="A1579" s="153">
        <f ca="1" t="shared" si="262"/>
        <v>3002003</v>
      </c>
      <c r="B1579" s="91" t="s">
        <v>494</v>
      </c>
      <c r="C1579" s="186">
        <v>3</v>
      </c>
      <c r="D1579" s="186">
        <v>5</v>
      </c>
      <c r="E1579" s="165" t="s">
        <v>1069</v>
      </c>
      <c r="F1579" s="298"/>
      <c r="G1579" s="186">
        <v>-3</v>
      </c>
      <c r="H1579" s="186">
        <f ca="1" t="shared" si="269"/>
        <v>0</v>
      </c>
      <c r="I1579" s="186"/>
      <c r="J1579" s="186">
        <f ca="1">OFFSET(card_type!$F$1,MATCH(Q1579,card_type!A:A,0)-1,0)</f>
        <v>1</v>
      </c>
      <c r="K1579" s="243">
        <f ca="1">OFFSET(card_type!$G$1,MATCH(Q1579,card_type!A:A,0)-1,0)</f>
        <v>1</v>
      </c>
      <c r="L1579" s="157">
        <v>1</v>
      </c>
      <c r="M1579" s="157">
        <v>1</v>
      </c>
      <c r="N1579" s="153">
        <f t="shared" si="263"/>
        <v>3</v>
      </c>
      <c r="O1579" s="157"/>
      <c r="P1579" s="157"/>
      <c r="Q1579" s="153">
        <f ca="1">OFFSET(card_type!$A$1,MATCH(card!B1579,card_type!B:B,0)-1,0)</f>
        <v>3002</v>
      </c>
      <c r="R1579" s="153">
        <v>1</v>
      </c>
      <c r="S1579" s="157">
        <f ca="1">ROUND(IF(R1579=0,0,IF(R1579=1,X1579*$S$1,IF(R1579=2,X1579*$S$1*buff的资质计算!$E$2,IF(R1579=3,X1579*$S$1*buff的资质计算!$E$3,0)))),0)*0</f>
        <v>0</v>
      </c>
      <c r="T1579" s="153">
        <v>3</v>
      </c>
      <c r="U1579" s="153">
        <f ca="1" t="shared" si="264"/>
        <v>11</v>
      </c>
      <c r="V1579" s="153">
        <f ca="1">ROUND((OFFSET(卡牌辅助配置表!$O$1,MATCH(U1579,卡牌辅助配置表!M:M,0)-1,0)+(N1579-1)*OFFSET(卡牌辅助配置表!$P$1,MATCH(U1579,卡牌辅助配置表!M:M,0)-1,0))*M1579,2)</f>
        <v>6.69</v>
      </c>
      <c r="W1579" s="157">
        <f ca="1">ROUND(IF(R1579=0,0,IF(R1579=1,X1579*$W$1,IF(R1579=2,X1579*$W$1*buff的资质计算!$E$2,IF(R1579=3,X1579*$W$1*buff的资质计算!$E$3,0)))),2)</f>
        <v>0.9</v>
      </c>
      <c r="X1579" s="157">
        <f ca="1" t="shared" si="258"/>
        <v>3</v>
      </c>
      <c r="Y1579" s="157">
        <f ca="1" t="shared" si="267"/>
        <v>3</v>
      </c>
      <c r="Z1579" s="304">
        <f ca="1" t="shared" si="259"/>
        <v>3</v>
      </c>
      <c r="AA1579" s="304">
        <f ca="1">OFFSET(卡牌辅助配置表!$AD$1,MATCH(AB1579,卡牌辅助配置表!AB:AB,0)-1,0)</f>
        <v>54</v>
      </c>
      <c r="AB1579" s="304">
        <f ca="1" t="shared" si="265"/>
        <v>1103</v>
      </c>
      <c r="AF1579" s="153" t="str">
        <f ca="1" t="shared" si="268"/>
        <v>30020011|</v>
      </c>
      <c r="AJ1579" s="205" t="str">
        <f ca="1" t="shared" si="266"/>
        <v>400023|1100|;</v>
      </c>
      <c r="AK1579" s="205">
        <f ca="1">OFFSET([1]item_type!$A$1,MATCH(Q1579,[1]item_type!$G:$G,0)-1,0)</f>
        <v>303002</v>
      </c>
      <c r="AL1579" s="205"/>
      <c r="AM1579" s="205">
        <f ca="1">IF(B1579=B1580,OFFSET(卡牌辅助配置表!$AE$1,MATCH(AB1579,卡牌辅助配置表!AB:AB,0),0),0)</f>
        <v>1100</v>
      </c>
      <c r="AN1579" s="153">
        <f ca="1" t="shared" si="261"/>
        <v>3002004</v>
      </c>
      <c r="AP1579" s="153">
        <f ca="1">IF(AC1579=0,0,IF(AC1579=12,0,OFFSET(effect!$N$1,MATCH(K1579,effect!M:M,0)-1,0)))</f>
        <v>0</v>
      </c>
    </row>
    <row r="1580" spans="1:42">
      <c r="A1580" s="153">
        <f ca="1" t="shared" si="262"/>
        <v>3002004</v>
      </c>
      <c r="B1580" s="91" t="s">
        <v>494</v>
      </c>
      <c r="C1580" s="186">
        <v>3</v>
      </c>
      <c r="D1580" s="186">
        <v>5</v>
      </c>
      <c r="E1580" s="165" t="s">
        <v>1069</v>
      </c>
      <c r="F1580" s="298"/>
      <c r="G1580" s="186">
        <v>-3</v>
      </c>
      <c r="H1580" s="186">
        <f ca="1" t="shared" si="269"/>
        <v>0</v>
      </c>
      <c r="I1580" s="186"/>
      <c r="J1580" s="186">
        <f ca="1">OFFSET(card_type!$F$1,MATCH(Q1580,card_type!A:A,0)-1,0)</f>
        <v>1</v>
      </c>
      <c r="K1580" s="243">
        <f ca="1">OFFSET(card_type!$G$1,MATCH(Q1580,card_type!A:A,0)-1,0)</f>
        <v>1</v>
      </c>
      <c r="L1580" s="157">
        <v>1</v>
      </c>
      <c r="M1580" s="157">
        <v>1</v>
      </c>
      <c r="N1580" s="153">
        <f t="shared" si="263"/>
        <v>4</v>
      </c>
      <c r="O1580" s="157"/>
      <c r="P1580" s="157"/>
      <c r="Q1580" s="153">
        <f ca="1">OFFSET(card_type!$A$1,MATCH(card!B1580,card_type!B:B,0)-1,0)</f>
        <v>3002</v>
      </c>
      <c r="R1580" s="153">
        <v>1</v>
      </c>
      <c r="S1580" s="157">
        <f ca="1">ROUND(IF(R1580=0,0,IF(R1580=1,X1580*$S$1,IF(R1580=2,X1580*$S$1*buff的资质计算!$E$2,IF(R1580=3,X1580*$S$1*buff的资质计算!$E$3,0)))),0)*0</f>
        <v>0</v>
      </c>
      <c r="T1580" s="153">
        <v>3</v>
      </c>
      <c r="U1580" s="153">
        <f ca="1" t="shared" si="264"/>
        <v>11</v>
      </c>
      <c r="V1580" s="153">
        <f ca="1">ROUND((OFFSET(卡牌辅助配置表!$O$1,MATCH(U1580,卡牌辅助配置表!M:M,0)-1,0)+(N1580-1)*OFFSET(卡牌辅助配置表!$P$1,MATCH(U1580,卡牌辅助配置表!M:M,0)-1,0))*M1580,2)</f>
        <v>6.9</v>
      </c>
      <c r="W1580" s="157">
        <f ca="1">ROUND(IF(R1580=0,0,IF(R1580=1,X1580*$W$1,IF(R1580=2,X1580*$W$1*buff的资质计算!$E$2,IF(R1580=3,X1580*$W$1*buff的资质计算!$E$3,0)))),2)</f>
        <v>1.05</v>
      </c>
      <c r="X1580" s="157">
        <f ca="1" t="shared" si="258"/>
        <v>3.5</v>
      </c>
      <c r="Y1580" s="157">
        <f ca="1" t="shared" si="267"/>
        <v>3.5</v>
      </c>
      <c r="Z1580" s="304">
        <f ca="1" t="shared" si="259"/>
        <v>3.5</v>
      </c>
      <c r="AA1580" s="304">
        <f ca="1">OFFSET(卡牌辅助配置表!$AD$1,MATCH(AB1580,卡牌辅助配置表!AB:AB,0)-1,0)</f>
        <v>72</v>
      </c>
      <c r="AB1580" s="304">
        <f ca="1" t="shared" si="265"/>
        <v>1104</v>
      </c>
      <c r="AF1580" s="153" t="str">
        <f ca="1" t="shared" si="268"/>
        <v>30020011|</v>
      </c>
      <c r="AJ1580" s="205" t="str">
        <f ca="1" t="shared" si="266"/>
        <v>400023|1300|;</v>
      </c>
      <c r="AK1580" s="205">
        <f ca="1">OFFSET([1]item_type!$A$1,MATCH(Q1580,[1]item_type!$G:$G,0)-1,0)</f>
        <v>303002</v>
      </c>
      <c r="AL1580" s="205"/>
      <c r="AM1580" s="205">
        <f ca="1">IF(B1580=B1581,OFFSET(卡牌辅助配置表!$AE$1,MATCH(AB1580,卡牌辅助配置表!AB:AB,0),0),0)</f>
        <v>1300</v>
      </c>
      <c r="AN1580" s="153">
        <f ca="1" t="shared" si="261"/>
        <v>3002005</v>
      </c>
      <c r="AP1580" s="153">
        <f ca="1">IF(AC1580=0,0,IF(AC1580=12,0,OFFSET(effect!$N$1,MATCH(K1580,effect!M:M,0)-1,0)))</f>
        <v>0</v>
      </c>
    </row>
    <row r="1581" spans="1:42">
      <c r="A1581" s="153">
        <f ca="1" t="shared" si="262"/>
        <v>3002005</v>
      </c>
      <c r="B1581" s="91" t="s">
        <v>494</v>
      </c>
      <c r="C1581" s="186">
        <v>3</v>
      </c>
      <c r="D1581" s="186">
        <v>5</v>
      </c>
      <c r="E1581" s="165" t="s">
        <v>1069</v>
      </c>
      <c r="F1581" s="298"/>
      <c r="G1581" s="186">
        <v>-3</v>
      </c>
      <c r="H1581" s="186">
        <f ca="1" t="shared" si="269"/>
        <v>0</v>
      </c>
      <c r="I1581" s="186"/>
      <c r="J1581" s="186">
        <f ca="1">OFFSET(card_type!$F$1,MATCH(Q1581,card_type!A:A,0)-1,0)</f>
        <v>1</v>
      </c>
      <c r="K1581" s="243">
        <f ca="1">OFFSET(card_type!$G$1,MATCH(Q1581,card_type!A:A,0)-1,0)</f>
        <v>1</v>
      </c>
      <c r="L1581" s="157">
        <v>1</v>
      </c>
      <c r="M1581" s="157">
        <v>1</v>
      </c>
      <c r="N1581" s="153">
        <f t="shared" si="263"/>
        <v>5</v>
      </c>
      <c r="O1581" s="157"/>
      <c r="P1581" s="157"/>
      <c r="Q1581" s="153">
        <f ca="1">OFFSET(card_type!$A$1,MATCH(card!B1581,card_type!B:B,0)-1,0)</f>
        <v>3002</v>
      </c>
      <c r="R1581" s="153">
        <v>1</v>
      </c>
      <c r="S1581" s="157">
        <f ca="1">ROUND(IF(R1581=0,0,IF(R1581=1,X1581*$S$1,IF(R1581=2,X1581*$S$1*buff的资质计算!$E$2,IF(R1581=3,X1581*$S$1*buff的资质计算!$E$3,0)))),0)*0</f>
        <v>0</v>
      </c>
      <c r="T1581" s="153">
        <v>3</v>
      </c>
      <c r="U1581" s="153">
        <f ca="1" t="shared" si="264"/>
        <v>11</v>
      </c>
      <c r="V1581" s="153">
        <f ca="1">ROUND((OFFSET(卡牌辅助配置表!$O$1,MATCH(U1581,卡牌辅助配置表!M:M,0)-1,0)+(N1581-1)*OFFSET(卡牌辅助配置表!$P$1,MATCH(U1581,卡牌辅助配置表!M:M,0)-1,0))*M1581,2)</f>
        <v>7.11</v>
      </c>
      <c r="W1581" s="157">
        <f ca="1">ROUND(IF(R1581=0,0,IF(R1581=1,X1581*$W$1,IF(R1581=2,X1581*$W$1*buff的资质计算!$E$2,IF(R1581=3,X1581*$W$1*buff的资质计算!$E$3,0)))),2)</f>
        <v>1.2</v>
      </c>
      <c r="X1581" s="157">
        <f ca="1" t="shared" si="258"/>
        <v>4</v>
      </c>
      <c r="Y1581" s="157">
        <f ca="1" t="shared" si="267"/>
        <v>4</v>
      </c>
      <c r="Z1581" s="304">
        <f ca="1" t="shared" si="259"/>
        <v>4</v>
      </c>
      <c r="AA1581" s="304">
        <f ca="1">OFFSET(卡牌辅助配置表!$AD$1,MATCH(AB1581,卡牌辅助配置表!AB:AB,0)-1,0)</f>
        <v>90</v>
      </c>
      <c r="AB1581" s="304">
        <f ca="1" t="shared" si="265"/>
        <v>1105</v>
      </c>
      <c r="AF1581" s="153" t="str">
        <f ca="1" t="shared" si="268"/>
        <v>30020011|</v>
      </c>
      <c r="AJ1581" s="205" t="str">
        <f ca="1" t="shared" si="266"/>
        <v>400023|1500|;</v>
      </c>
      <c r="AK1581" s="205">
        <f ca="1">OFFSET([1]item_type!$A$1,MATCH(Q1581,[1]item_type!$G:$G,0)-1,0)</f>
        <v>303002</v>
      </c>
      <c r="AL1581" s="205"/>
      <c r="AM1581" s="205">
        <f ca="1">IF(B1581=B1582,OFFSET(卡牌辅助配置表!$AE$1,MATCH(AB1581,卡牌辅助配置表!AB:AB,0),0),0)</f>
        <v>1500</v>
      </c>
      <c r="AN1581" s="153">
        <f ca="1" t="shared" si="261"/>
        <v>3002006</v>
      </c>
      <c r="AP1581" s="153">
        <f ca="1">IF(AC1581=0,0,IF(AC1581=12,0,OFFSET(effect!$N$1,MATCH(K1581,effect!M:M,0)-1,0)))</f>
        <v>0</v>
      </c>
    </row>
    <row r="1582" spans="1:42">
      <c r="A1582" s="153">
        <f ca="1" t="shared" si="262"/>
        <v>3002006</v>
      </c>
      <c r="B1582" s="91" t="s">
        <v>494</v>
      </c>
      <c r="C1582" s="186">
        <v>3</v>
      </c>
      <c r="D1582" s="186">
        <v>5</v>
      </c>
      <c r="E1582" s="165" t="s">
        <v>1069</v>
      </c>
      <c r="F1582" s="298"/>
      <c r="G1582" s="186">
        <v>-3</v>
      </c>
      <c r="H1582" s="186">
        <f ca="1" t="shared" si="269"/>
        <v>0</v>
      </c>
      <c r="I1582" s="186"/>
      <c r="J1582" s="186">
        <f ca="1">OFFSET(card_type!$F$1,MATCH(Q1582,card_type!A:A,0)-1,0)</f>
        <v>1</v>
      </c>
      <c r="K1582" s="243">
        <f ca="1">OFFSET(card_type!$G$1,MATCH(Q1582,card_type!A:A,0)-1,0)</f>
        <v>1</v>
      </c>
      <c r="L1582" s="157">
        <v>1</v>
      </c>
      <c r="M1582" s="157">
        <v>1</v>
      </c>
      <c r="N1582" s="153">
        <f t="shared" si="263"/>
        <v>6</v>
      </c>
      <c r="O1582" s="157"/>
      <c r="P1582" s="157"/>
      <c r="Q1582" s="153">
        <f ca="1">OFFSET(card_type!$A$1,MATCH(card!B1582,card_type!B:B,0)-1,0)</f>
        <v>3002</v>
      </c>
      <c r="R1582" s="153">
        <v>1</v>
      </c>
      <c r="S1582" s="157">
        <f ca="1">ROUND(IF(R1582=0,0,IF(R1582=1,X1582*$S$1,IF(R1582=2,X1582*$S$1*buff的资质计算!$E$2,IF(R1582=3,X1582*$S$1*buff的资质计算!$E$3,0)))),0)*0</f>
        <v>0</v>
      </c>
      <c r="T1582" s="153">
        <v>3</v>
      </c>
      <c r="U1582" s="153">
        <f ca="1" t="shared" si="264"/>
        <v>11</v>
      </c>
      <c r="V1582" s="153">
        <f ca="1">ROUND((OFFSET(卡牌辅助配置表!$O$1,MATCH(U1582,卡牌辅助配置表!M:M,0)-1,0)+(N1582-1)*OFFSET(卡牌辅助配置表!$P$1,MATCH(U1582,卡牌辅助配置表!M:M,0)-1,0))*M1582,2)</f>
        <v>7.32</v>
      </c>
      <c r="W1582" s="157">
        <f ca="1">ROUND(IF(R1582=0,0,IF(R1582=1,X1582*$W$1,IF(R1582=2,X1582*$W$1*buff的资质计算!$E$2,IF(R1582=3,X1582*$W$1*buff的资质计算!$E$3,0)))),2)</f>
        <v>1.35</v>
      </c>
      <c r="X1582" s="157">
        <f ca="1" t="shared" si="258"/>
        <v>4.5</v>
      </c>
      <c r="Y1582" s="157">
        <f ca="1" t="shared" si="267"/>
        <v>4.5</v>
      </c>
      <c r="Z1582" s="304">
        <f ca="1" t="shared" si="259"/>
        <v>4.5</v>
      </c>
      <c r="AA1582" s="304">
        <f ca="1">OFFSET(卡牌辅助配置表!$AD$1,MATCH(AB1582,卡牌辅助配置表!AB:AB,0)-1,0)</f>
        <v>108</v>
      </c>
      <c r="AB1582" s="304">
        <f ca="1" t="shared" si="265"/>
        <v>1106</v>
      </c>
      <c r="AF1582" s="153" t="str">
        <f ca="1" t="shared" si="268"/>
        <v>30020011|</v>
      </c>
      <c r="AJ1582" s="205" t="str">
        <f ca="1" t="shared" si="266"/>
        <v>400023|1700|;</v>
      </c>
      <c r="AK1582" s="205">
        <f ca="1">OFFSET([1]item_type!$A$1,MATCH(Q1582,[1]item_type!$G:$G,0)-1,0)</f>
        <v>303002</v>
      </c>
      <c r="AL1582" s="205"/>
      <c r="AM1582" s="205">
        <f ca="1">IF(B1582=B1583,OFFSET(卡牌辅助配置表!$AE$1,MATCH(AB1582,卡牌辅助配置表!AB:AB,0),0),0)</f>
        <v>1700</v>
      </c>
      <c r="AN1582" s="153">
        <f ca="1" t="shared" si="261"/>
        <v>3002007</v>
      </c>
      <c r="AP1582" s="153">
        <f ca="1">IF(AC1582=0,0,IF(AC1582=12,0,OFFSET(effect!$N$1,MATCH(K1582,effect!M:M,0)-1,0)))</f>
        <v>0</v>
      </c>
    </row>
    <row r="1583" spans="1:42">
      <c r="A1583" s="153">
        <f ca="1" t="shared" si="262"/>
        <v>3002007</v>
      </c>
      <c r="B1583" s="91" t="s">
        <v>494</v>
      </c>
      <c r="C1583" s="186">
        <v>3</v>
      </c>
      <c r="D1583" s="186">
        <v>5</v>
      </c>
      <c r="E1583" s="165" t="s">
        <v>1069</v>
      </c>
      <c r="F1583" s="298"/>
      <c r="G1583" s="186">
        <v>-3</v>
      </c>
      <c r="H1583" s="186">
        <f ca="1" t="shared" si="269"/>
        <v>0</v>
      </c>
      <c r="I1583" s="186"/>
      <c r="J1583" s="186">
        <f ca="1">OFFSET(card_type!$F$1,MATCH(Q1583,card_type!A:A,0)-1,0)</f>
        <v>1</v>
      </c>
      <c r="K1583" s="243">
        <f ca="1">OFFSET(card_type!$G$1,MATCH(Q1583,card_type!A:A,0)-1,0)</f>
        <v>1</v>
      </c>
      <c r="L1583" s="157">
        <v>1</v>
      </c>
      <c r="M1583" s="157">
        <v>1</v>
      </c>
      <c r="N1583" s="153">
        <f t="shared" si="263"/>
        <v>7</v>
      </c>
      <c r="O1583" s="157"/>
      <c r="P1583" s="157"/>
      <c r="Q1583" s="153">
        <f ca="1">OFFSET(card_type!$A$1,MATCH(card!B1583,card_type!B:B,0)-1,0)</f>
        <v>3002</v>
      </c>
      <c r="R1583" s="153">
        <v>1</v>
      </c>
      <c r="S1583" s="157">
        <f ca="1">ROUND(IF(R1583=0,0,IF(R1583=1,X1583*$S$1,IF(R1583=2,X1583*$S$1*buff的资质计算!$E$2,IF(R1583=3,X1583*$S$1*buff的资质计算!$E$3,0)))),0)*0</f>
        <v>0</v>
      </c>
      <c r="T1583" s="153">
        <v>3</v>
      </c>
      <c r="U1583" s="153">
        <f ca="1" t="shared" si="264"/>
        <v>11</v>
      </c>
      <c r="V1583" s="153">
        <f ca="1">ROUND((OFFSET(卡牌辅助配置表!$O$1,MATCH(U1583,卡牌辅助配置表!M:M,0)-1,0)+(N1583-1)*OFFSET(卡牌辅助配置表!$P$1,MATCH(U1583,卡牌辅助配置表!M:M,0)-1,0))*M1583,2)</f>
        <v>7.52</v>
      </c>
      <c r="W1583" s="157">
        <f ca="1">ROUND(IF(R1583=0,0,IF(R1583=1,X1583*$W$1,IF(R1583=2,X1583*$W$1*buff的资质计算!$E$2,IF(R1583=3,X1583*$W$1*buff的资质计算!$E$3,0)))),2)</f>
        <v>1.5</v>
      </c>
      <c r="X1583" s="157">
        <f ca="1" t="shared" si="258"/>
        <v>5</v>
      </c>
      <c r="Y1583" s="157">
        <f ca="1" t="shared" si="267"/>
        <v>5</v>
      </c>
      <c r="Z1583" s="304">
        <f ca="1" t="shared" si="259"/>
        <v>5</v>
      </c>
      <c r="AA1583" s="304">
        <f ca="1">OFFSET(卡牌辅助配置表!$AD$1,MATCH(AB1583,卡牌辅助配置表!AB:AB,0)-1,0)</f>
        <v>126</v>
      </c>
      <c r="AB1583" s="304">
        <f ca="1" t="shared" si="265"/>
        <v>1107</v>
      </c>
      <c r="AF1583" s="153" t="str">
        <f ca="1" t="shared" si="268"/>
        <v>30020011|</v>
      </c>
      <c r="AJ1583" s="205" t="str">
        <f ca="1" t="shared" si="266"/>
        <v>400023|1900|;</v>
      </c>
      <c r="AK1583" s="205">
        <f ca="1">OFFSET([1]item_type!$A$1,MATCH(Q1583,[1]item_type!$G:$G,0)-1,0)</f>
        <v>303002</v>
      </c>
      <c r="AL1583" s="205"/>
      <c r="AM1583" s="205">
        <f ca="1">IF(B1583=B1584,OFFSET(卡牌辅助配置表!$AE$1,MATCH(AB1583,卡牌辅助配置表!AB:AB,0),0),0)</f>
        <v>1900</v>
      </c>
      <c r="AN1583" s="153">
        <f ca="1" t="shared" si="261"/>
        <v>3002008</v>
      </c>
      <c r="AP1583" s="153">
        <f ca="1">IF(AC1583=0,0,IF(AC1583=12,0,OFFSET(effect!$N$1,MATCH(K1583,effect!M:M,0)-1,0)))</f>
        <v>0</v>
      </c>
    </row>
    <row r="1584" spans="1:42">
      <c r="A1584" s="153">
        <f ca="1" t="shared" si="262"/>
        <v>3002008</v>
      </c>
      <c r="B1584" s="91" t="s">
        <v>494</v>
      </c>
      <c r="C1584" s="186">
        <v>3</v>
      </c>
      <c r="D1584" s="186">
        <v>5</v>
      </c>
      <c r="E1584" s="165" t="s">
        <v>1069</v>
      </c>
      <c r="F1584" s="298"/>
      <c r="G1584" s="186">
        <v>-3</v>
      </c>
      <c r="H1584" s="186">
        <f ca="1" t="shared" si="269"/>
        <v>0</v>
      </c>
      <c r="I1584" s="186"/>
      <c r="J1584" s="186">
        <f ca="1">OFFSET(card_type!$F$1,MATCH(Q1584,card_type!A:A,0)-1,0)</f>
        <v>1</v>
      </c>
      <c r="K1584" s="243">
        <f ca="1">OFFSET(card_type!$G$1,MATCH(Q1584,card_type!A:A,0)-1,0)</f>
        <v>1</v>
      </c>
      <c r="L1584" s="157">
        <v>1</v>
      </c>
      <c r="M1584" s="157">
        <v>1</v>
      </c>
      <c r="N1584" s="153">
        <f t="shared" si="263"/>
        <v>8</v>
      </c>
      <c r="O1584" s="157"/>
      <c r="P1584" s="157"/>
      <c r="Q1584" s="153">
        <f ca="1">OFFSET(card_type!$A$1,MATCH(card!B1584,card_type!B:B,0)-1,0)</f>
        <v>3002</v>
      </c>
      <c r="R1584" s="153">
        <v>1</v>
      </c>
      <c r="S1584" s="157">
        <f ca="1">ROUND(IF(R1584=0,0,IF(R1584=1,X1584*$S$1,IF(R1584=2,X1584*$S$1*buff的资质计算!$E$2,IF(R1584=3,X1584*$S$1*buff的资质计算!$E$3,0)))),0)*0</f>
        <v>0</v>
      </c>
      <c r="T1584" s="153">
        <v>3</v>
      </c>
      <c r="U1584" s="153">
        <f ca="1" t="shared" si="264"/>
        <v>11</v>
      </c>
      <c r="V1584" s="153">
        <f ca="1">ROUND((OFFSET(卡牌辅助配置表!$O$1,MATCH(U1584,卡牌辅助配置表!M:M,0)-1,0)+(N1584-1)*OFFSET(卡牌辅助配置表!$P$1,MATCH(U1584,卡牌辅助配置表!M:M,0)-1,0))*M1584,2)</f>
        <v>7.73</v>
      </c>
      <c r="W1584" s="157">
        <f ca="1">ROUND(IF(R1584=0,0,IF(R1584=1,X1584*$W$1,IF(R1584=2,X1584*$W$1*buff的资质计算!$E$2,IF(R1584=3,X1584*$W$1*buff的资质计算!$E$3,0)))),2)</f>
        <v>1.65</v>
      </c>
      <c r="X1584" s="157">
        <f ca="1" t="shared" si="258"/>
        <v>5.5</v>
      </c>
      <c r="Y1584" s="157">
        <f ca="1" t="shared" si="267"/>
        <v>5.5</v>
      </c>
      <c r="Z1584" s="304">
        <f ca="1" t="shared" si="259"/>
        <v>5.5</v>
      </c>
      <c r="AA1584" s="304">
        <f ca="1">OFFSET(卡牌辅助配置表!$AD$1,MATCH(AB1584,卡牌辅助配置表!AB:AB,0)-1,0)</f>
        <v>144</v>
      </c>
      <c r="AB1584" s="304">
        <f ca="1" t="shared" si="265"/>
        <v>1108</v>
      </c>
      <c r="AF1584" s="153" t="str">
        <f ca="1" t="shared" si="268"/>
        <v>30020011|</v>
      </c>
      <c r="AJ1584" s="205" t="str">
        <f ca="1" t="shared" si="266"/>
        <v>400023|2100|;</v>
      </c>
      <c r="AK1584" s="205">
        <f ca="1">OFFSET([1]item_type!$A$1,MATCH(Q1584,[1]item_type!$G:$G,0)-1,0)</f>
        <v>303002</v>
      </c>
      <c r="AL1584" s="205"/>
      <c r="AM1584" s="205">
        <f ca="1">IF(B1584=B1585,OFFSET(卡牌辅助配置表!$AE$1,MATCH(AB1584,卡牌辅助配置表!AB:AB,0),0),0)</f>
        <v>2100</v>
      </c>
      <c r="AN1584" s="153">
        <f ca="1" t="shared" si="261"/>
        <v>3002009</v>
      </c>
      <c r="AP1584" s="153">
        <f ca="1">IF(AC1584=0,0,IF(AC1584=12,0,OFFSET(effect!$N$1,MATCH(K1584,effect!M:M,0)-1,0)))</f>
        <v>0</v>
      </c>
    </row>
    <row r="1585" spans="1:42">
      <c r="A1585" s="153">
        <f ca="1" t="shared" si="262"/>
        <v>3002009</v>
      </c>
      <c r="B1585" s="91" t="s">
        <v>494</v>
      </c>
      <c r="C1585" s="186">
        <v>3</v>
      </c>
      <c r="D1585" s="186">
        <v>5</v>
      </c>
      <c r="E1585" s="165" t="s">
        <v>1069</v>
      </c>
      <c r="F1585" s="298"/>
      <c r="G1585" s="186">
        <v>-3</v>
      </c>
      <c r="H1585" s="186">
        <f ca="1" t="shared" si="269"/>
        <v>0</v>
      </c>
      <c r="I1585" s="186"/>
      <c r="J1585" s="186">
        <f ca="1">OFFSET(card_type!$F$1,MATCH(Q1585,card_type!A:A,0)-1,0)</f>
        <v>1</v>
      </c>
      <c r="K1585" s="243">
        <f ca="1">OFFSET(card_type!$G$1,MATCH(Q1585,card_type!A:A,0)-1,0)</f>
        <v>1</v>
      </c>
      <c r="L1585" s="157">
        <v>1</v>
      </c>
      <c r="M1585" s="157">
        <v>1</v>
      </c>
      <c r="N1585" s="153">
        <f t="shared" si="263"/>
        <v>9</v>
      </c>
      <c r="O1585" s="157"/>
      <c r="P1585" s="157"/>
      <c r="Q1585" s="153">
        <f ca="1">OFFSET(card_type!$A$1,MATCH(card!B1585,card_type!B:B,0)-1,0)</f>
        <v>3002</v>
      </c>
      <c r="R1585" s="153">
        <v>1</v>
      </c>
      <c r="S1585" s="157">
        <f ca="1">ROUND(IF(R1585=0,0,IF(R1585=1,X1585*$S$1,IF(R1585=2,X1585*$S$1*buff的资质计算!$E$2,IF(R1585=3,X1585*$S$1*buff的资质计算!$E$3,0)))),0)*0</f>
        <v>0</v>
      </c>
      <c r="T1585" s="153">
        <v>3</v>
      </c>
      <c r="U1585" s="153">
        <f ca="1" t="shared" si="264"/>
        <v>11</v>
      </c>
      <c r="V1585" s="153">
        <f ca="1">ROUND((OFFSET(卡牌辅助配置表!$O$1,MATCH(U1585,卡牌辅助配置表!M:M,0)-1,0)+(N1585-1)*OFFSET(卡牌辅助配置表!$P$1,MATCH(U1585,卡牌辅助配置表!M:M,0)-1,0))*M1585,2)</f>
        <v>7.94</v>
      </c>
      <c r="W1585" s="157">
        <f ca="1">ROUND(IF(R1585=0,0,IF(R1585=1,X1585*$W$1,IF(R1585=2,X1585*$W$1*buff的资质计算!$E$2,IF(R1585=3,X1585*$W$1*buff的资质计算!$E$3,0)))),2)</f>
        <v>1.8</v>
      </c>
      <c r="X1585" s="157">
        <f ca="1" t="shared" si="258"/>
        <v>6</v>
      </c>
      <c r="Y1585" s="157">
        <f ca="1" t="shared" si="267"/>
        <v>6</v>
      </c>
      <c r="Z1585" s="304">
        <f ca="1" t="shared" si="259"/>
        <v>6</v>
      </c>
      <c r="AA1585" s="304">
        <f ca="1">OFFSET(卡牌辅助配置表!$AD$1,MATCH(AB1585,卡牌辅助配置表!AB:AB,0)-1,0)</f>
        <v>162</v>
      </c>
      <c r="AB1585" s="304">
        <f ca="1" t="shared" si="265"/>
        <v>1109</v>
      </c>
      <c r="AF1585" s="153" t="str">
        <f ca="1" t="shared" si="268"/>
        <v>30020011|</v>
      </c>
      <c r="AJ1585" s="205" t="str">
        <f ca="1" t="shared" si="266"/>
        <v>303002|15|;400023|2300|;</v>
      </c>
      <c r="AK1585" s="205">
        <f ca="1">OFFSET([1]item_type!$A$1,MATCH(Q1585,[1]item_type!$G:$G,0)-1,0)</f>
        <v>303002</v>
      </c>
      <c r="AL1585" s="205">
        <v>15</v>
      </c>
      <c r="AM1585" s="205">
        <f ca="1">IF(B1585=B1586,OFFSET(卡牌辅助配置表!$AE$1,MATCH(AB1585,卡牌辅助配置表!AB:AB,0),0),0)</f>
        <v>2300</v>
      </c>
      <c r="AN1585" s="153">
        <f ca="1" t="shared" si="261"/>
        <v>3002010</v>
      </c>
      <c r="AP1585" s="153">
        <f ca="1">IF(AC1585=0,0,IF(AC1585=12,0,OFFSET(effect!$N$1,MATCH(K1585,effect!M:M,0)-1,0)))</f>
        <v>0</v>
      </c>
    </row>
    <row r="1586" spans="1:42">
      <c r="A1586" s="153">
        <f ca="1" t="shared" si="262"/>
        <v>3002010</v>
      </c>
      <c r="B1586" s="91" t="s">
        <v>494</v>
      </c>
      <c r="C1586" s="186">
        <v>3</v>
      </c>
      <c r="D1586" s="186">
        <v>5</v>
      </c>
      <c r="E1586" s="165" t="s">
        <v>1069</v>
      </c>
      <c r="F1586" s="298"/>
      <c r="G1586" s="186">
        <v>-3</v>
      </c>
      <c r="H1586" s="186">
        <f ca="1" t="shared" si="269"/>
        <v>0</v>
      </c>
      <c r="I1586" s="186"/>
      <c r="J1586" s="186">
        <f ca="1">OFFSET(card_type!$F$1,MATCH(Q1586,card_type!A:A,0)-1,0)</f>
        <v>1</v>
      </c>
      <c r="K1586" s="243">
        <f ca="1">OFFSET(card_type!$G$1,MATCH(Q1586,card_type!A:A,0)-1,0)</f>
        <v>1</v>
      </c>
      <c r="L1586" s="157">
        <v>1</v>
      </c>
      <c r="M1586" s="157">
        <v>1</v>
      </c>
      <c r="N1586" s="153">
        <f t="shared" si="263"/>
        <v>10</v>
      </c>
      <c r="O1586" s="157"/>
      <c r="P1586" s="157"/>
      <c r="Q1586" s="153">
        <f ca="1">OFFSET(card_type!$A$1,MATCH(card!B1586,card_type!B:B,0)-1,0)</f>
        <v>3002</v>
      </c>
      <c r="R1586" s="153">
        <v>1</v>
      </c>
      <c r="S1586" s="157">
        <f ca="1">ROUND(IF(R1586=0,0,IF(R1586=1,X1586*$S$1,IF(R1586=2,X1586*$S$1*buff的资质计算!$E$2,IF(R1586=3,X1586*$S$1*buff的资质计算!$E$3,0)))),0)*0</f>
        <v>0</v>
      </c>
      <c r="T1586" s="153">
        <v>3</v>
      </c>
      <c r="U1586" s="153">
        <f ca="1" t="shared" si="264"/>
        <v>11</v>
      </c>
      <c r="V1586" s="153">
        <f ca="1">ROUND((OFFSET(卡牌辅助配置表!$O$1,MATCH(U1586,卡牌辅助配置表!M:M,0)-1,0)+(N1586-1)*OFFSET(卡牌辅助配置表!$P$1,MATCH(U1586,卡牌辅助配置表!M:M,0)-1,0))*M1586,2)</f>
        <v>8.15</v>
      </c>
      <c r="W1586" s="157">
        <f ca="1">ROUND(IF(R1586=0,0,IF(R1586=1,X1586*$W$1,IF(R1586=2,X1586*$W$1*buff的资质计算!$E$2,IF(R1586=3,X1586*$W$1*buff的资质计算!$E$3,0)))),2)</f>
        <v>1.95</v>
      </c>
      <c r="X1586" s="157">
        <f ca="1" t="shared" si="258"/>
        <v>6.5</v>
      </c>
      <c r="Y1586" s="157">
        <f ca="1" t="shared" si="267"/>
        <v>6.5</v>
      </c>
      <c r="Z1586" s="304">
        <f ca="1" t="shared" si="259"/>
        <v>6.5</v>
      </c>
      <c r="AA1586" s="304">
        <f ca="1">OFFSET(卡牌辅助配置表!$AD$1,MATCH(AB1586,卡牌辅助配置表!AB:AB,0)-1,0)</f>
        <v>180</v>
      </c>
      <c r="AB1586" s="304">
        <f ca="1" t="shared" si="265"/>
        <v>1110</v>
      </c>
      <c r="AF1586" s="153" t="str">
        <f ca="1" t="shared" si="268"/>
        <v>30020011|</v>
      </c>
      <c r="AJ1586" s="205" t="str">
        <f ca="1" t="shared" si="266"/>
        <v>400023|2700|;</v>
      </c>
      <c r="AK1586" s="205">
        <f ca="1">OFFSET([1]item_type!$A$1,MATCH(Q1586,[1]item_type!$G:$G,0)-1,0)</f>
        <v>303002</v>
      </c>
      <c r="AL1586" s="205"/>
      <c r="AM1586" s="205">
        <f ca="1">IF(B1586=B1587,OFFSET(卡牌辅助配置表!$AE$1,MATCH(AB1586,卡牌辅助配置表!AB:AB,0),0),0)</f>
        <v>2700</v>
      </c>
      <c r="AN1586" s="153">
        <f ca="1" t="shared" si="261"/>
        <v>3002011</v>
      </c>
      <c r="AP1586" s="153">
        <f ca="1">IF(AC1586=0,0,IF(AC1586=12,0,OFFSET(effect!$N$1,MATCH(K1586,effect!M:M,0)-1,0)))</f>
        <v>0</v>
      </c>
    </row>
    <row r="1587" spans="1:42">
      <c r="A1587" s="153">
        <f ca="1" t="shared" si="262"/>
        <v>3002011</v>
      </c>
      <c r="B1587" s="91" t="s">
        <v>494</v>
      </c>
      <c r="C1587" s="186">
        <v>3</v>
      </c>
      <c r="D1587" s="186">
        <v>5</v>
      </c>
      <c r="E1587" s="165" t="s">
        <v>1069</v>
      </c>
      <c r="F1587" s="298"/>
      <c r="G1587" s="186">
        <v>-3</v>
      </c>
      <c r="H1587" s="186">
        <f ca="1" t="shared" si="269"/>
        <v>0</v>
      </c>
      <c r="I1587" s="186"/>
      <c r="J1587" s="186">
        <f ca="1">OFFSET(card_type!$F$1,MATCH(Q1587,card_type!A:A,0)-1,0)</f>
        <v>1</v>
      </c>
      <c r="K1587" s="243">
        <f ca="1">OFFSET(card_type!$G$1,MATCH(Q1587,card_type!A:A,0)-1,0)</f>
        <v>1</v>
      </c>
      <c r="L1587" s="157">
        <v>1</v>
      </c>
      <c r="M1587" s="157">
        <v>1</v>
      </c>
      <c r="N1587" s="153">
        <f t="shared" si="263"/>
        <v>11</v>
      </c>
      <c r="O1587" s="157"/>
      <c r="P1587" s="157"/>
      <c r="Q1587" s="153">
        <f ca="1">OFFSET(card_type!$A$1,MATCH(card!B1587,card_type!B:B,0)-1,0)</f>
        <v>3002</v>
      </c>
      <c r="R1587" s="153">
        <v>1</v>
      </c>
      <c r="S1587" s="157">
        <f ca="1">ROUND(IF(R1587=0,0,IF(R1587=1,X1587*$S$1,IF(R1587=2,X1587*$S$1*buff的资质计算!$E$2,IF(R1587=3,X1587*$S$1*buff的资质计算!$E$3,0)))),0)*0</f>
        <v>0</v>
      </c>
      <c r="T1587" s="153">
        <v>3</v>
      </c>
      <c r="U1587" s="153">
        <f ca="1" t="shared" si="264"/>
        <v>11</v>
      </c>
      <c r="V1587" s="153">
        <f ca="1">ROUND((OFFSET(卡牌辅助配置表!$O$1,MATCH(U1587,卡牌辅助配置表!M:M,0)-1,0)+(N1587-1)*OFFSET(卡牌辅助配置表!$P$1,MATCH(U1587,卡牌辅助配置表!M:M,0)-1,0))*M1587,2)</f>
        <v>8.36</v>
      </c>
      <c r="W1587" s="157">
        <f ca="1">ROUND(IF(R1587=0,0,IF(R1587=1,X1587*$W$1,IF(R1587=2,X1587*$W$1*buff的资质计算!$E$2,IF(R1587=3,X1587*$W$1*buff的资质计算!$E$3,0)))),2)</f>
        <v>2.1</v>
      </c>
      <c r="X1587" s="157">
        <f ca="1" t="shared" si="258"/>
        <v>7</v>
      </c>
      <c r="Y1587" s="157">
        <f ca="1" t="shared" si="267"/>
        <v>7</v>
      </c>
      <c r="Z1587" s="304">
        <f ca="1" t="shared" si="259"/>
        <v>7</v>
      </c>
      <c r="AA1587" s="304">
        <f ca="1">OFFSET(卡牌辅助配置表!$AD$1,MATCH(AB1587,卡牌辅助配置表!AB:AB,0)-1,0)</f>
        <v>207</v>
      </c>
      <c r="AB1587" s="304">
        <f ca="1" t="shared" si="265"/>
        <v>1111</v>
      </c>
      <c r="AF1587" s="153" t="str">
        <f ca="1" t="shared" si="268"/>
        <v>30020011|</v>
      </c>
      <c r="AJ1587" s="205" t="str">
        <f ca="1" t="shared" si="266"/>
        <v>400023|3100|;</v>
      </c>
      <c r="AK1587" s="205">
        <f ca="1">OFFSET([1]item_type!$A$1,MATCH(Q1587,[1]item_type!$G:$G,0)-1,0)</f>
        <v>303002</v>
      </c>
      <c r="AL1587" s="205"/>
      <c r="AM1587" s="205">
        <f ca="1">IF(B1587=B1588,OFFSET(卡牌辅助配置表!$AE$1,MATCH(AB1587,卡牌辅助配置表!AB:AB,0),0),0)</f>
        <v>3100</v>
      </c>
      <c r="AN1587" s="153">
        <f ca="1" t="shared" si="261"/>
        <v>3002012</v>
      </c>
      <c r="AP1587" s="153">
        <f ca="1">IF(AC1587=0,0,IF(AC1587=12,0,OFFSET(effect!$N$1,MATCH(K1587,effect!M:M,0)-1,0)))</f>
        <v>0</v>
      </c>
    </row>
    <row r="1588" spans="1:42">
      <c r="A1588" s="153">
        <f ca="1" t="shared" si="262"/>
        <v>3002012</v>
      </c>
      <c r="B1588" s="91" t="s">
        <v>494</v>
      </c>
      <c r="C1588" s="186">
        <v>3</v>
      </c>
      <c r="D1588" s="186">
        <v>5</v>
      </c>
      <c r="E1588" s="165" t="s">
        <v>1069</v>
      </c>
      <c r="F1588" s="298"/>
      <c r="G1588" s="186">
        <v>-3</v>
      </c>
      <c r="H1588" s="186">
        <f ca="1" t="shared" si="269"/>
        <v>0</v>
      </c>
      <c r="I1588" s="186"/>
      <c r="J1588" s="186">
        <f ca="1">OFFSET(card_type!$F$1,MATCH(Q1588,card_type!A:A,0)-1,0)</f>
        <v>1</v>
      </c>
      <c r="K1588" s="243">
        <f ca="1">OFFSET(card_type!$G$1,MATCH(Q1588,card_type!A:A,0)-1,0)</f>
        <v>1</v>
      </c>
      <c r="L1588" s="157">
        <v>1</v>
      </c>
      <c r="M1588" s="157">
        <v>1</v>
      </c>
      <c r="N1588" s="153">
        <f t="shared" si="263"/>
        <v>12</v>
      </c>
      <c r="O1588" s="157"/>
      <c r="P1588" s="157"/>
      <c r="Q1588" s="153">
        <f ca="1">OFFSET(card_type!$A$1,MATCH(card!B1588,card_type!B:B,0)-1,0)</f>
        <v>3002</v>
      </c>
      <c r="R1588" s="153">
        <v>1</v>
      </c>
      <c r="S1588" s="157">
        <f ca="1">ROUND(IF(R1588=0,0,IF(R1588=1,X1588*$S$1,IF(R1588=2,X1588*$S$1*buff的资质计算!$E$2,IF(R1588=3,X1588*$S$1*buff的资质计算!$E$3,0)))),0)*0</f>
        <v>0</v>
      </c>
      <c r="T1588" s="153">
        <v>3</v>
      </c>
      <c r="U1588" s="153">
        <f ca="1" t="shared" si="264"/>
        <v>11</v>
      </c>
      <c r="V1588" s="153">
        <f ca="1">ROUND((OFFSET(卡牌辅助配置表!$O$1,MATCH(U1588,卡牌辅助配置表!M:M,0)-1,0)+(N1588-1)*OFFSET(卡牌辅助配置表!$P$1,MATCH(U1588,卡牌辅助配置表!M:M,0)-1,0))*M1588,2)</f>
        <v>8.57</v>
      </c>
      <c r="W1588" s="157">
        <f ca="1">ROUND(IF(R1588=0,0,IF(R1588=1,X1588*$W$1,IF(R1588=2,X1588*$W$1*buff的资质计算!$E$2,IF(R1588=3,X1588*$W$1*buff的资质计算!$E$3,0)))),2)</f>
        <v>2.25</v>
      </c>
      <c r="X1588" s="157">
        <f ca="1" t="shared" ref="X1588:X1651" si="270">M1588*($M$1+(J1588-1)*$J$1+(K1588-1)*$K$1)+G1588+$J$1*(N1588-1)/$N$1</f>
        <v>7.5</v>
      </c>
      <c r="Y1588" s="157">
        <f ca="1" t="shared" si="267"/>
        <v>7.5</v>
      </c>
      <c r="Z1588" s="304">
        <f ca="1" t="shared" ref="Z1588:Z1651" si="271">Y1588/M1588</f>
        <v>7.5</v>
      </c>
      <c r="AA1588" s="304">
        <f ca="1">OFFSET(卡牌辅助配置表!$AD$1,MATCH(AB1588,卡牌辅助配置表!AB:AB,0)-1,0)</f>
        <v>234</v>
      </c>
      <c r="AB1588" s="304">
        <f ca="1" t="shared" si="265"/>
        <v>1112</v>
      </c>
      <c r="AF1588" s="153" t="str">
        <f ca="1" t="shared" si="268"/>
        <v>30020011|</v>
      </c>
      <c r="AJ1588" s="205" t="str">
        <f ca="1" t="shared" si="266"/>
        <v>400023|3500|;</v>
      </c>
      <c r="AK1588" s="205">
        <f ca="1">OFFSET([1]item_type!$A$1,MATCH(Q1588,[1]item_type!$G:$G,0)-1,0)</f>
        <v>303002</v>
      </c>
      <c r="AL1588" s="205"/>
      <c r="AM1588" s="205">
        <f ca="1">IF(B1588=B1589,OFFSET(卡牌辅助配置表!$AE$1,MATCH(AB1588,卡牌辅助配置表!AB:AB,0),0),0)</f>
        <v>3500</v>
      </c>
      <c r="AN1588" s="153">
        <f ca="1" t="shared" si="261"/>
        <v>3002013</v>
      </c>
      <c r="AP1588" s="153">
        <f ca="1">IF(AC1588=0,0,IF(AC1588=12,0,OFFSET(effect!$N$1,MATCH(K1588,effect!M:M,0)-1,0)))</f>
        <v>0</v>
      </c>
    </row>
    <row r="1589" spans="1:42">
      <c r="A1589" s="153">
        <f ca="1" t="shared" si="262"/>
        <v>3002013</v>
      </c>
      <c r="B1589" s="91" t="s">
        <v>494</v>
      </c>
      <c r="C1589" s="186">
        <v>3</v>
      </c>
      <c r="D1589" s="186">
        <v>5</v>
      </c>
      <c r="E1589" s="165" t="s">
        <v>1069</v>
      </c>
      <c r="F1589" s="298"/>
      <c r="G1589" s="186">
        <v>-3</v>
      </c>
      <c r="H1589" s="186">
        <f ca="1" t="shared" si="269"/>
        <v>0</v>
      </c>
      <c r="I1589" s="186"/>
      <c r="J1589" s="186">
        <f ca="1">OFFSET(card_type!$F$1,MATCH(Q1589,card_type!A:A,0)-1,0)</f>
        <v>1</v>
      </c>
      <c r="K1589" s="243">
        <f ca="1">OFFSET(card_type!$G$1,MATCH(Q1589,card_type!A:A,0)-1,0)</f>
        <v>1</v>
      </c>
      <c r="L1589" s="157">
        <v>1</v>
      </c>
      <c r="M1589" s="157">
        <v>1</v>
      </c>
      <c r="N1589" s="153">
        <f t="shared" si="263"/>
        <v>13</v>
      </c>
      <c r="O1589" s="157"/>
      <c r="P1589" s="157"/>
      <c r="Q1589" s="153">
        <f ca="1">OFFSET(card_type!$A$1,MATCH(card!B1589,card_type!B:B,0)-1,0)</f>
        <v>3002</v>
      </c>
      <c r="R1589" s="153">
        <v>1</v>
      </c>
      <c r="S1589" s="157">
        <f ca="1">ROUND(IF(R1589=0,0,IF(R1589=1,X1589*$S$1,IF(R1589=2,X1589*$S$1*buff的资质计算!$E$2,IF(R1589=3,X1589*$S$1*buff的资质计算!$E$3,0)))),0)*0</f>
        <v>0</v>
      </c>
      <c r="T1589" s="153">
        <v>3</v>
      </c>
      <c r="U1589" s="153">
        <f ca="1" t="shared" si="264"/>
        <v>11</v>
      </c>
      <c r="V1589" s="153">
        <f ca="1">ROUND((OFFSET(卡牌辅助配置表!$O$1,MATCH(U1589,卡牌辅助配置表!M:M,0)-1,0)+(N1589-1)*OFFSET(卡牌辅助配置表!$P$1,MATCH(U1589,卡牌辅助配置表!M:M,0)-1,0))*M1589,2)</f>
        <v>8.78</v>
      </c>
      <c r="W1589" s="157">
        <f ca="1">ROUND(IF(R1589=0,0,IF(R1589=1,X1589*$W$1,IF(R1589=2,X1589*$W$1*buff的资质计算!$E$2,IF(R1589=3,X1589*$W$1*buff的资质计算!$E$3,0)))),2)</f>
        <v>2.4</v>
      </c>
      <c r="X1589" s="157">
        <f ca="1" t="shared" si="270"/>
        <v>8</v>
      </c>
      <c r="Y1589" s="157">
        <f ca="1" t="shared" si="267"/>
        <v>8</v>
      </c>
      <c r="Z1589" s="304">
        <f ca="1" t="shared" si="271"/>
        <v>8</v>
      </c>
      <c r="AA1589" s="304">
        <f ca="1">OFFSET(卡牌辅助配置表!$AD$1,MATCH(AB1589,卡牌辅助配置表!AB:AB,0)-1,0)</f>
        <v>261</v>
      </c>
      <c r="AB1589" s="304">
        <f ca="1" t="shared" si="265"/>
        <v>1113</v>
      </c>
      <c r="AF1589" s="153" t="str">
        <f ca="1" t="shared" si="268"/>
        <v>30020011|</v>
      </c>
      <c r="AJ1589" s="205" t="str">
        <f ca="1" t="shared" si="266"/>
        <v>400023|3900|;</v>
      </c>
      <c r="AK1589" s="205">
        <f ca="1">OFFSET([1]item_type!$A$1,MATCH(Q1589,[1]item_type!$G:$G,0)-1,0)</f>
        <v>303002</v>
      </c>
      <c r="AL1589" s="205"/>
      <c r="AM1589" s="205">
        <f ca="1">IF(B1589=B1590,OFFSET(卡牌辅助配置表!$AE$1,MATCH(AB1589,卡牌辅助配置表!AB:AB,0),0),0)</f>
        <v>3900</v>
      </c>
      <c r="AN1589" s="153">
        <f ca="1" t="shared" si="261"/>
        <v>3002014</v>
      </c>
      <c r="AP1589" s="153">
        <f ca="1">IF(AC1589=0,0,IF(AC1589=12,0,OFFSET(effect!$N$1,MATCH(K1589,effect!M:M,0)-1,0)))</f>
        <v>0</v>
      </c>
    </row>
    <row r="1590" spans="1:42">
      <c r="A1590" s="153">
        <f ca="1" t="shared" si="262"/>
        <v>3002014</v>
      </c>
      <c r="B1590" s="91" t="s">
        <v>494</v>
      </c>
      <c r="C1590" s="186">
        <v>3</v>
      </c>
      <c r="D1590" s="186">
        <v>5</v>
      </c>
      <c r="E1590" s="165" t="s">
        <v>1069</v>
      </c>
      <c r="F1590" s="298"/>
      <c r="G1590" s="186">
        <v>-3</v>
      </c>
      <c r="H1590" s="186">
        <f ca="1" t="shared" si="269"/>
        <v>0</v>
      </c>
      <c r="I1590" s="186"/>
      <c r="J1590" s="186">
        <f ca="1">OFFSET(card_type!$F$1,MATCH(Q1590,card_type!A:A,0)-1,0)</f>
        <v>1</v>
      </c>
      <c r="K1590" s="243">
        <f ca="1">OFFSET(card_type!$G$1,MATCH(Q1590,card_type!A:A,0)-1,0)</f>
        <v>1</v>
      </c>
      <c r="L1590" s="157">
        <v>1</v>
      </c>
      <c r="M1590" s="157">
        <v>1</v>
      </c>
      <c r="N1590" s="153">
        <f t="shared" si="263"/>
        <v>14</v>
      </c>
      <c r="O1590" s="157"/>
      <c r="P1590" s="157"/>
      <c r="Q1590" s="153">
        <f ca="1">OFFSET(card_type!$A$1,MATCH(card!B1590,card_type!B:B,0)-1,0)</f>
        <v>3002</v>
      </c>
      <c r="R1590" s="153">
        <v>1</v>
      </c>
      <c r="S1590" s="157">
        <f ca="1">ROUND(IF(R1590=0,0,IF(R1590=1,X1590*$S$1,IF(R1590=2,X1590*$S$1*buff的资质计算!$E$2,IF(R1590=3,X1590*$S$1*buff的资质计算!$E$3,0)))),0)*0</f>
        <v>0</v>
      </c>
      <c r="T1590" s="153">
        <v>3</v>
      </c>
      <c r="U1590" s="153">
        <f ca="1" t="shared" si="264"/>
        <v>11</v>
      </c>
      <c r="V1590" s="153">
        <f ca="1">ROUND((OFFSET(卡牌辅助配置表!$O$1,MATCH(U1590,卡牌辅助配置表!M:M,0)-1,0)+(N1590-1)*OFFSET(卡牌辅助配置表!$P$1,MATCH(U1590,卡牌辅助配置表!M:M,0)-1,0))*M1590,2)</f>
        <v>8.99</v>
      </c>
      <c r="W1590" s="157">
        <f ca="1">ROUND(IF(R1590=0,0,IF(R1590=1,X1590*$W$1,IF(R1590=2,X1590*$W$1*buff的资质计算!$E$2,IF(R1590=3,X1590*$W$1*buff的资质计算!$E$3,0)))),2)</f>
        <v>2.55</v>
      </c>
      <c r="X1590" s="157">
        <f ca="1" t="shared" si="270"/>
        <v>8.5</v>
      </c>
      <c r="Y1590" s="157">
        <f ca="1" t="shared" si="267"/>
        <v>8.5</v>
      </c>
      <c r="Z1590" s="304">
        <f ca="1" t="shared" si="271"/>
        <v>8.5</v>
      </c>
      <c r="AA1590" s="304">
        <f ca="1">OFFSET(卡牌辅助配置表!$AD$1,MATCH(AB1590,卡牌辅助配置表!AB:AB,0)-1,0)</f>
        <v>288</v>
      </c>
      <c r="AB1590" s="304">
        <f ca="1" t="shared" si="265"/>
        <v>1114</v>
      </c>
      <c r="AF1590" s="153" t="str">
        <f ca="1" t="shared" si="268"/>
        <v>30020011|</v>
      </c>
      <c r="AJ1590" s="205" t="str">
        <f ca="1" t="shared" si="266"/>
        <v>400023|4300|;</v>
      </c>
      <c r="AK1590" s="205">
        <f ca="1">OFFSET([1]item_type!$A$1,MATCH(Q1590,[1]item_type!$G:$G,0)-1,0)</f>
        <v>303002</v>
      </c>
      <c r="AL1590" s="205"/>
      <c r="AM1590" s="205">
        <f ca="1">IF(B1590=B1591,OFFSET(卡牌辅助配置表!$AE$1,MATCH(AB1590,卡牌辅助配置表!AB:AB,0),0),0)</f>
        <v>4300</v>
      </c>
      <c r="AN1590" s="153">
        <f ca="1" t="shared" si="261"/>
        <v>3002015</v>
      </c>
      <c r="AP1590" s="153">
        <f ca="1">IF(AC1590=0,0,IF(AC1590=12,0,OFFSET(effect!$N$1,MATCH(K1590,effect!M:M,0)-1,0)))</f>
        <v>0</v>
      </c>
    </row>
    <row r="1591" spans="1:42">
      <c r="A1591" s="153">
        <f ca="1" t="shared" si="262"/>
        <v>3002015</v>
      </c>
      <c r="B1591" s="91" t="s">
        <v>494</v>
      </c>
      <c r="C1591" s="186">
        <v>3</v>
      </c>
      <c r="D1591" s="186">
        <v>5</v>
      </c>
      <c r="E1591" s="165" t="s">
        <v>1069</v>
      </c>
      <c r="F1591" s="298"/>
      <c r="G1591" s="186">
        <v>-3</v>
      </c>
      <c r="H1591" s="186">
        <f ca="1" t="shared" si="269"/>
        <v>0</v>
      </c>
      <c r="I1591" s="186"/>
      <c r="J1591" s="186">
        <f ca="1">OFFSET(card_type!$F$1,MATCH(Q1591,card_type!A:A,0)-1,0)</f>
        <v>1</v>
      </c>
      <c r="K1591" s="243">
        <f ca="1">OFFSET(card_type!$G$1,MATCH(Q1591,card_type!A:A,0)-1,0)</f>
        <v>1</v>
      </c>
      <c r="L1591" s="157">
        <v>1</v>
      </c>
      <c r="M1591" s="157">
        <v>1</v>
      </c>
      <c r="N1591" s="153">
        <f t="shared" si="263"/>
        <v>15</v>
      </c>
      <c r="O1591" s="157"/>
      <c r="P1591" s="157"/>
      <c r="Q1591" s="153">
        <f ca="1">OFFSET(card_type!$A$1,MATCH(card!B1591,card_type!B:B,0)-1,0)</f>
        <v>3002</v>
      </c>
      <c r="R1591" s="153">
        <v>1</v>
      </c>
      <c r="S1591" s="157">
        <f ca="1">ROUND(IF(R1591=0,0,IF(R1591=1,X1591*$S$1,IF(R1591=2,X1591*$S$1*buff的资质计算!$E$2,IF(R1591=3,X1591*$S$1*buff的资质计算!$E$3,0)))),0)*0</f>
        <v>0</v>
      </c>
      <c r="T1591" s="153">
        <v>3</v>
      </c>
      <c r="U1591" s="153">
        <f ca="1" t="shared" si="264"/>
        <v>11</v>
      </c>
      <c r="V1591" s="153">
        <f ca="1">ROUND((OFFSET(卡牌辅助配置表!$O$1,MATCH(U1591,卡牌辅助配置表!M:M,0)-1,0)+(N1591-1)*OFFSET(卡牌辅助配置表!$P$1,MATCH(U1591,卡牌辅助配置表!M:M,0)-1,0))*M1591,2)</f>
        <v>9.2</v>
      </c>
      <c r="W1591" s="157">
        <f ca="1">ROUND(IF(R1591=0,0,IF(R1591=1,X1591*$W$1,IF(R1591=2,X1591*$W$1*buff的资质计算!$E$2,IF(R1591=3,X1591*$W$1*buff的资质计算!$E$3,0)))),2)</f>
        <v>2.7</v>
      </c>
      <c r="X1591" s="157">
        <f ca="1" t="shared" si="270"/>
        <v>9</v>
      </c>
      <c r="Y1591" s="157">
        <f ca="1" t="shared" si="267"/>
        <v>9</v>
      </c>
      <c r="Z1591" s="304">
        <f ca="1" t="shared" si="271"/>
        <v>9</v>
      </c>
      <c r="AA1591" s="304">
        <f ca="1">OFFSET(卡牌辅助配置表!$AD$1,MATCH(AB1591,卡牌辅助配置表!AB:AB,0)-1,0)</f>
        <v>315</v>
      </c>
      <c r="AB1591" s="304">
        <f ca="1" t="shared" si="265"/>
        <v>1115</v>
      </c>
      <c r="AF1591" s="153" t="str">
        <f ca="1" t="shared" si="268"/>
        <v>30020011|</v>
      </c>
      <c r="AJ1591" s="205" t="str">
        <f ca="1" t="shared" si="266"/>
        <v>400023|4700|;</v>
      </c>
      <c r="AK1591" s="205">
        <f ca="1">OFFSET([1]item_type!$A$1,MATCH(Q1591,[1]item_type!$G:$G,0)-1,0)</f>
        <v>303002</v>
      </c>
      <c r="AL1591" s="205"/>
      <c r="AM1591" s="205">
        <f ca="1">IF(B1591=B1592,OFFSET(卡牌辅助配置表!$AE$1,MATCH(AB1591,卡牌辅助配置表!AB:AB,0),0),0)</f>
        <v>4700</v>
      </c>
      <c r="AN1591" s="153">
        <f ca="1" t="shared" si="261"/>
        <v>3002016</v>
      </c>
      <c r="AP1591" s="153">
        <f ca="1">IF(AC1591=0,0,IF(AC1591=12,0,OFFSET(effect!$N$1,MATCH(K1591,effect!M:M,0)-1,0)))</f>
        <v>0</v>
      </c>
    </row>
    <row r="1592" spans="1:42">
      <c r="A1592" s="153">
        <f ca="1" t="shared" si="262"/>
        <v>3002016</v>
      </c>
      <c r="B1592" s="91" t="s">
        <v>494</v>
      </c>
      <c r="C1592" s="186">
        <v>3</v>
      </c>
      <c r="D1592" s="186">
        <v>5</v>
      </c>
      <c r="E1592" s="165" t="s">
        <v>1069</v>
      </c>
      <c r="F1592" s="298"/>
      <c r="G1592" s="186">
        <v>-3</v>
      </c>
      <c r="H1592" s="186">
        <f ca="1" t="shared" si="269"/>
        <v>0</v>
      </c>
      <c r="I1592" s="186"/>
      <c r="J1592" s="186">
        <f ca="1">OFFSET(card_type!$F$1,MATCH(Q1592,card_type!A:A,0)-1,0)</f>
        <v>1</v>
      </c>
      <c r="K1592" s="243">
        <f ca="1">OFFSET(card_type!$G$1,MATCH(Q1592,card_type!A:A,0)-1,0)</f>
        <v>1</v>
      </c>
      <c r="L1592" s="157">
        <v>1</v>
      </c>
      <c r="M1592" s="157">
        <v>1</v>
      </c>
      <c r="N1592" s="153">
        <f t="shared" si="263"/>
        <v>16</v>
      </c>
      <c r="O1592" s="157"/>
      <c r="P1592" s="157"/>
      <c r="Q1592" s="153">
        <f ca="1">OFFSET(card_type!$A$1,MATCH(card!B1592,card_type!B:B,0)-1,0)</f>
        <v>3002</v>
      </c>
      <c r="R1592" s="153">
        <v>1</v>
      </c>
      <c r="S1592" s="157">
        <f ca="1">ROUND(IF(R1592=0,0,IF(R1592=1,X1592*$S$1,IF(R1592=2,X1592*$S$1*buff的资质计算!$E$2,IF(R1592=3,X1592*$S$1*buff的资质计算!$E$3,0)))),0)*0</f>
        <v>0</v>
      </c>
      <c r="T1592" s="153">
        <v>3</v>
      </c>
      <c r="U1592" s="153">
        <f ca="1" t="shared" si="264"/>
        <v>11</v>
      </c>
      <c r="V1592" s="153">
        <f ca="1">ROUND((OFFSET(卡牌辅助配置表!$O$1,MATCH(U1592,卡牌辅助配置表!M:M,0)-1,0)+(N1592-1)*OFFSET(卡牌辅助配置表!$P$1,MATCH(U1592,卡牌辅助配置表!M:M,0)-1,0))*M1592,2)</f>
        <v>9.41</v>
      </c>
      <c r="W1592" s="157">
        <f ca="1">ROUND(IF(R1592=0,0,IF(R1592=1,X1592*$W$1,IF(R1592=2,X1592*$W$1*buff的资质计算!$E$2,IF(R1592=3,X1592*$W$1*buff的资质计算!$E$3,0)))),2)</f>
        <v>2.85</v>
      </c>
      <c r="X1592" s="157">
        <f ca="1" t="shared" si="270"/>
        <v>9.5</v>
      </c>
      <c r="Y1592" s="157">
        <f ca="1" t="shared" si="267"/>
        <v>9.5</v>
      </c>
      <c r="Z1592" s="304">
        <f ca="1" t="shared" si="271"/>
        <v>9.5</v>
      </c>
      <c r="AA1592" s="304">
        <f ca="1">OFFSET(卡牌辅助配置表!$AD$1,MATCH(AB1592,卡牌辅助配置表!AB:AB,0)-1,0)</f>
        <v>342</v>
      </c>
      <c r="AB1592" s="304">
        <f ca="1" t="shared" si="265"/>
        <v>1116</v>
      </c>
      <c r="AF1592" s="153" t="str">
        <f ca="1" t="shared" si="268"/>
        <v>30020011|</v>
      </c>
      <c r="AJ1592" s="205" t="str">
        <f ca="1" t="shared" si="266"/>
        <v>400023|5100|;</v>
      </c>
      <c r="AK1592" s="205">
        <f ca="1">OFFSET([1]item_type!$A$1,MATCH(Q1592,[1]item_type!$G:$G,0)-1,0)</f>
        <v>303002</v>
      </c>
      <c r="AL1592" s="205"/>
      <c r="AM1592" s="205">
        <f ca="1">IF(B1592=B1593,OFFSET(卡牌辅助配置表!$AE$1,MATCH(AB1592,卡牌辅助配置表!AB:AB,0),0),0)</f>
        <v>5100</v>
      </c>
      <c r="AN1592" s="153">
        <f ca="1" t="shared" si="261"/>
        <v>3002017</v>
      </c>
      <c r="AP1592" s="153">
        <f ca="1">IF(AC1592=0,0,IF(AC1592=12,0,OFFSET(effect!$N$1,MATCH(K1592,effect!M:M,0)-1,0)))</f>
        <v>0</v>
      </c>
    </row>
    <row r="1593" spans="1:42">
      <c r="A1593" s="153">
        <f ca="1" t="shared" si="262"/>
        <v>3002017</v>
      </c>
      <c r="B1593" s="91" t="s">
        <v>494</v>
      </c>
      <c r="C1593" s="186">
        <v>3</v>
      </c>
      <c r="D1593" s="186">
        <v>5</v>
      </c>
      <c r="E1593" s="165" t="s">
        <v>1069</v>
      </c>
      <c r="F1593" s="298"/>
      <c r="G1593" s="186">
        <v>-3</v>
      </c>
      <c r="H1593" s="186">
        <f ca="1" t="shared" si="269"/>
        <v>0</v>
      </c>
      <c r="I1593" s="186"/>
      <c r="J1593" s="186">
        <f ca="1">OFFSET(card_type!$F$1,MATCH(Q1593,card_type!A:A,0)-1,0)</f>
        <v>1</v>
      </c>
      <c r="K1593" s="243">
        <f ca="1">OFFSET(card_type!$G$1,MATCH(Q1593,card_type!A:A,0)-1,0)</f>
        <v>1</v>
      </c>
      <c r="L1593" s="157">
        <v>1</v>
      </c>
      <c r="M1593" s="157">
        <v>1</v>
      </c>
      <c r="N1593" s="153">
        <f t="shared" si="263"/>
        <v>17</v>
      </c>
      <c r="O1593" s="157"/>
      <c r="P1593" s="157"/>
      <c r="Q1593" s="153">
        <f ca="1">OFFSET(card_type!$A$1,MATCH(card!B1593,card_type!B:B,0)-1,0)</f>
        <v>3002</v>
      </c>
      <c r="R1593" s="153">
        <v>1</v>
      </c>
      <c r="S1593" s="157">
        <f ca="1">ROUND(IF(R1593=0,0,IF(R1593=1,X1593*$S$1,IF(R1593=2,X1593*$S$1*buff的资质计算!$E$2,IF(R1593=3,X1593*$S$1*buff的资质计算!$E$3,0)))),0)*0</f>
        <v>0</v>
      </c>
      <c r="T1593" s="153">
        <v>3</v>
      </c>
      <c r="U1593" s="153">
        <f ca="1" t="shared" si="264"/>
        <v>11</v>
      </c>
      <c r="V1593" s="153">
        <f ca="1">ROUND((OFFSET(卡牌辅助配置表!$O$1,MATCH(U1593,卡牌辅助配置表!M:M,0)-1,0)+(N1593-1)*OFFSET(卡牌辅助配置表!$P$1,MATCH(U1593,卡牌辅助配置表!M:M,0)-1,0))*M1593,2)</f>
        <v>9.61</v>
      </c>
      <c r="W1593" s="157">
        <f ca="1">ROUND(IF(R1593=0,0,IF(R1593=1,X1593*$W$1,IF(R1593=2,X1593*$W$1*buff的资质计算!$E$2,IF(R1593=3,X1593*$W$1*buff的资质计算!$E$3,0)))),2)</f>
        <v>3</v>
      </c>
      <c r="X1593" s="157">
        <f ca="1" t="shared" si="270"/>
        <v>10</v>
      </c>
      <c r="Y1593" s="157">
        <f ca="1" t="shared" si="267"/>
        <v>10</v>
      </c>
      <c r="Z1593" s="304">
        <f ca="1" t="shared" si="271"/>
        <v>10</v>
      </c>
      <c r="AA1593" s="304">
        <f ca="1">OFFSET(卡牌辅助配置表!$AD$1,MATCH(AB1593,卡牌辅助配置表!AB:AB,0)-1,0)</f>
        <v>369</v>
      </c>
      <c r="AB1593" s="304">
        <f ca="1" t="shared" si="265"/>
        <v>1117</v>
      </c>
      <c r="AF1593" s="153" t="str">
        <f ca="1" t="shared" si="268"/>
        <v>30020011|</v>
      </c>
      <c r="AJ1593" s="205" t="str">
        <f ca="1" t="shared" si="266"/>
        <v>400023|5500|;</v>
      </c>
      <c r="AK1593" s="205">
        <f ca="1">OFFSET([1]item_type!$A$1,MATCH(Q1593,[1]item_type!$G:$G,0)-1,0)</f>
        <v>303002</v>
      </c>
      <c r="AL1593" s="205"/>
      <c r="AM1593" s="205">
        <f ca="1">IF(B1593=B1594,OFFSET(卡牌辅助配置表!$AE$1,MATCH(AB1593,卡牌辅助配置表!AB:AB,0),0),0)</f>
        <v>5500</v>
      </c>
      <c r="AN1593" s="153">
        <f ca="1" t="shared" si="261"/>
        <v>3002018</v>
      </c>
      <c r="AP1593" s="153">
        <f ca="1">IF(AC1593=0,0,IF(AC1593=12,0,OFFSET(effect!$N$1,MATCH(K1593,effect!M:M,0)-1,0)))</f>
        <v>0</v>
      </c>
    </row>
    <row r="1594" spans="1:42">
      <c r="A1594" s="153">
        <f ca="1" t="shared" si="262"/>
        <v>3002018</v>
      </c>
      <c r="B1594" s="91" t="s">
        <v>494</v>
      </c>
      <c r="C1594" s="186">
        <v>3</v>
      </c>
      <c r="D1594" s="186">
        <v>5</v>
      </c>
      <c r="E1594" s="165" t="s">
        <v>1069</v>
      </c>
      <c r="F1594" s="298"/>
      <c r="G1594" s="186">
        <v>-3</v>
      </c>
      <c r="H1594" s="186">
        <f ca="1" t="shared" si="269"/>
        <v>0</v>
      </c>
      <c r="I1594" s="186"/>
      <c r="J1594" s="186">
        <f ca="1">OFFSET(card_type!$F$1,MATCH(Q1594,card_type!A:A,0)-1,0)</f>
        <v>1</v>
      </c>
      <c r="K1594" s="243">
        <f ca="1">OFFSET(card_type!$G$1,MATCH(Q1594,card_type!A:A,0)-1,0)</f>
        <v>1</v>
      </c>
      <c r="L1594" s="157">
        <v>1</v>
      </c>
      <c r="M1594" s="157">
        <v>1</v>
      </c>
      <c r="N1594" s="153">
        <f t="shared" si="263"/>
        <v>18</v>
      </c>
      <c r="O1594" s="157"/>
      <c r="P1594" s="157"/>
      <c r="Q1594" s="153">
        <f ca="1">OFFSET(card_type!$A$1,MATCH(card!B1594,card_type!B:B,0)-1,0)</f>
        <v>3002</v>
      </c>
      <c r="R1594" s="153">
        <v>1</v>
      </c>
      <c r="S1594" s="157">
        <f ca="1">ROUND(IF(R1594=0,0,IF(R1594=1,X1594*$S$1,IF(R1594=2,X1594*$S$1*buff的资质计算!$E$2,IF(R1594=3,X1594*$S$1*buff的资质计算!$E$3,0)))),0)*0</f>
        <v>0</v>
      </c>
      <c r="T1594" s="153">
        <v>3</v>
      </c>
      <c r="U1594" s="153">
        <f ca="1" t="shared" si="264"/>
        <v>11</v>
      </c>
      <c r="V1594" s="153">
        <f ca="1">ROUND((OFFSET(卡牌辅助配置表!$O$1,MATCH(U1594,卡牌辅助配置表!M:M,0)-1,0)+(N1594-1)*OFFSET(卡牌辅助配置表!$P$1,MATCH(U1594,卡牌辅助配置表!M:M,0)-1,0))*M1594,2)</f>
        <v>9.82</v>
      </c>
      <c r="W1594" s="157">
        <f ca="1">ROUND(IF(R1594=0,0,IF(R1594=1,X1594*$W$1,IF(R1594=2,X1594*$W$1*buff的资质计算!$E$2,IF(R1594=3,X1594*$W$1*buff的资质计算!$E$3,0)))),2)</f>
        <v>3.15</v>
      </c>
      <c r="X1594" s="157">
        <f ca="1" t="shared" si="270"/>
        <v>10.5</v>
      </c>
      <c r="Y1594" s="157">
        <f ca="1" t="shared" si="267"/>
        <v>10.5</v>
      </c>
      <c r="Z1594" s="304">
        <f ca="1" t="shared" si="271"/>
        <v>10.5</v>
      </c>
      <c r="AA1594" s="304">
        <f ca="1">OFFSET(卡牌辅助配置表!$AD$1,MATCH(AB1594,卡牌辅助配置表!AB:AB,0)-1,0)</f>
        <v>396</v>
      </c>
      <c r="AB1594" s="304">
        <f ca="1" t="shared" si="265"/>
        <v>1118</v>
      </c>
      <c r="AF1594" s="153" t="str">
        <f ca="1" t="shared" si="268"/>
        <v>30020011|</v>
      </c>
      <c r="AJ1594" s="205" t="str">
        <f ca="1" t="shared" si="266"/>
        <v>400023|5900|;</v>
      </c>
      <c r="AK1594" s="205">
        <f ca="1">OFFSET([1]item_type!$A$1,MATCH(Q1594,[1]item_type!$G:$G,0)-1,0)</f>
        <v>303002</v>
      </c>
      <c r="AL1594" s="205"/>
      <c r="AM1594" s="205">
        <f ca="1">IF(B1594=B1595,OFFSET(卡牌辅助配置表!$AE$1,MATCH(AB1594,卡牌辅助配置表!AB:AB,0),0),0)</f>
        <v>5900</v>
      </c>
      <c r="AN1594" s="153">
        <f ca="1" t="shared" si="261"/>
        <v>3002019</v>
      </c>
      <c r="AP1594" s="153">
        <f ca="1">IF(AC1594=0,0,IF(AC1594=12,0,OFFSET(effect!$N$1,MATCH(K1594,effect!M:M,0)-1,0)))</f>
        <v>0</v>
      </c>
    </row>
    <row r="1595" spans="1:42">
      <c r="A1595" s="153">
        <f ca="1" t="shared" si="262"/>
        <v>3002019</v>
      </c>
      <c r="B1595" s="91" t="s">
        <v>494</v>
      </c>
      <c r="C1595" s="186">
        <v>3</v>
      </c>
      <c r="D1595" s="186">
        <v>5</v>
      </c>
      <c r="E1595" s="165" t="s">
        <v>1069</v>
      </c>
      <c r="F1595" s="298"/>
      <c r="G1595" s="186">
        <v>-3</v>
      </c>
      <c r="H1595" s="186">
        <f ca="1" t="shared" si="269"/>
        <v>0</v>
      </c>
      <c r="I1595" s="186"/>
      <c r="J1595" s="186">
        <f ca="1">OFFSET(card_type!$F$1,MATCH(Q1595,card_type!A:A,0)-1,0)</f>
        <v>1</v>
      </c>
      <c r="K1595" s="243">
        <f ca="1">OFFSET(card_type!$G$1,MATCH(Q1595,card_type!A:A,0)-1,0)</f>
        <v>1</v>
      </c>
      <c r="L1595" s="157">
        <v>1</v>
      </c>
      <c r="M1595" s="157">
        <v>1</v>
      </c>
      <c r="N1595" s="153">
        <f t="shared" si="263"/>
        <v>19</v>
      </c>
      <c r="O1595" s="157"/>
      <c r="P1595" s="157"/>
      <c r="Q1595" s="153">
        <f ca="1">OFFSET(card_type!$A$1,MATCH(card!B1595,card_type!B:B,0)-1,0)</f>
        <v>3002</v>
      </c>
      <c r="R1595" s="153">
        <v>1</v>
      </c>
      <c r="S1595" s="157">
        <f ca="1">ROUND(IF(R1595=0,0,IF(R1595=1,X1595*$S$1,IF(R1595=2,X1595*$S$1*buff的资质计算!$E$2,IF(R1595=3,X1595*$S$1*buff的资质计算!$E$3,0)))),0)*0</f>
        <v>0</v>
      </c>
      <c r="T1595" s="153">
        <v>3</v>
      </c>
      <c r="U1595" s="153">
        <f ca="1" t="shared" si="264"/>
        <v>11</v>
      </c>
      <c r="V1595" s="153">
        <f ca="1">ROUND((OFFSET(卡牌辅助配置表!$O$1,MATCH(U1595,卡牌辅助配置表!M:M,0)-1,0)+(N1595-1)*OFFSET(卡牌辅助配置表!$P$1,MATCH(U1595,卡牌辅助配置表!M:M,0)-1,0))*M1595,2)</f>
        <v>10.03</v>
      </c>
      <c r="W1595" s="157">
        <f ca="1">ROUND(IF(R1595=0,0,IF(R1595=1,X1595*$W$1,IF(R1595=2,X1595*$W$1*buff的资质计算!$E$2,IF(R1595=3,X1595*$W$1*buff的资质计算!$E$3,0)))),2)</f>
        <v>3.3</v>
      </c>
      <c r="X1595" s="157">
        <f ca="1" t="shared" si="270"/>
        <v>11</v>
      </c>
      <c r="Y1595" s="157">
        <f ca="1" t="shared" si="267"/>
        <v>11</v>
      </c>
      <c r="Z1595" s="304">
        <f ca="1" t="shared" si="271"/>
        <v>11</v>
      </c>
      <c r="AA1595" s="304">
        <f ca="1">OFFSET(卡牌辅助配置表!$AD$1,MATCH(AB1595,卡牌辅助配置表!AB:AB,0)-1,0)</f>
        <v>423</v>
      </c>
      <c r="AB1595" s="304">
        <f ca="1" t="shared" si="265"/>
        <v>1119</v>
      </c>
      <c r="AF1595" s="153" t="str">
        <f ca="1" t="shared" si="268"/>
        <v>30020011|</v>
      </c>
      <c r="AJ1595" s="205" t="str">
        <f ca="1" t="shared" si="266"/>
        <v>303002|20|;400023|6300|;</v>
      </c>
      <c r="AK1595" s="205">
        <f ca="1">OFFSET([1]item_type!$A$1,MATCH(Q1595,[1]item_type!$G:$G,0)-1,0)</f>
        <v>303002</v>
      </c>
      <c r="AL1595" s="205">
        <v>20</v>
      </c>
      <c r="AM1595" s="205">
        <f ca="1">IF(B1595=B1596,OFFSET(卡牌辅助配置表!$AE$1,MATCH(AB1595,卡牌辅助配置表!AB:AB,0),0),0)</f>
        <v>6300</v>
      </c>
      <c r="AN1595" s="153">
        <f ca="1" t="shared" si="261"/>
        <v>3002020</v>
      </c>
      <c r="AP1595" s="153">
        <f ca="1">IF(AC1595=0,0,IF(AC1595=12,0,OFFSET(effect!$N$1,MATCH(K1595,effect!M:M,0)-1,0)))</f>
        <v>0</v>
      </c>
    </row>
    <row r="1596" spans="1:42">
      <c r="A1596" s="153">
        <f ca="1" t="shared" si="262"/>
        <v>3002020</v>
      </c>
      <c r="B1596" s="91" t="s">
        <v>494</v>
      </c>
      <c r="C1596" s="186">
        <v>3</v>
      </c>
      <c r="D1596" s="186">
        <v>5</v>
      </c>
      <c r="E1596" s="165" t="s">
        <v>1069</v>
      </c>
      <c r="F1596" s="298"/>
      <c r="G1596" s="186">
        <v>-3</v>
      </c>
      <c r="H1596" s="186">
        <f ca="1" t="shared" si="269"/>
        <v>0</v>
      </c>
      <c r="I1596" s="186"/>
      <c r="J1596" s="186">
        <f ca="1">OFFSET(card_type!$F$1,MATCH(Q1596,card_type!A:A,0)-1,0)</f>
        <v>1</v>
      </c>
      <c r="K1596" s="243">
        <f ca="1">OFFSET(card_type!$G$1,MATCH(Q1596,card_type!A:A,0)-1,0)</f>
        <v>1</v>
      </c>
      <c r="L1596" s="157">
        <v>1</v>
      </c>
      <c r="M1596" s="157">
        <v>1</v>
      </c>
      <c r="N1596" s="153">
        <f t="shared" si="263"/>
        <v>20</v>
      </c>
      <c r="O1596" s="157"/>
      <c r="P1596" s="157"/>
      <c r="Q1596" s="153">
        <f ca="1">OFFSET(card_type!$A$1,MATCH(card!B1596,card_type!B:B,0)-1,0)</f>
        <v>3002</v>
      </c>
      <c r="R1596" s="153">
        <v>1</v>
      </c>
      <c r="S1596" s="157">
        <f ca="1">ROUND(IF(R1596=0,0,IF(R1596=1,X1596*$S$1,IF(R1596=2,X1596*$S$1*buff的资质计算!$E$2,IF(R1596=3,X1596*$S$1*buff的资质计算!$E$3,0)))),0)*0</f>
        <v>0</v>
      </c>
      <c r="T1596" s="153">
        <v>3</v>
      </c>
      <c r="U1596" s="153">
        <f ca="1" t="shared" si="264"/>
        <v>11</v>
      </c>
      <c r="V1596" s="153">
        <f ca="1">ROUND((OFFSET(卡牌辅助配置表!$O$1,MATCH(U1596,卡牌辅助配置表!M:M,0)-1,0)+(N1596-1)*OFFSET(卡牌辅助配置表!$P$1,MATCH(U1596,卡牌辅助配置表!M:M,0)-1,0))*M1596,2)</f>
        <v>10.24</v>
      </c>
      <c r="W1596" s="157">
        <f ca="1">ROUND(IF(R1596=0,0,IF(R1596=1,X1596*$W$1,IF(R1596=2,X1596*$W$1*buff的资质计算!$E$2,IF(R1596=3,X1596*$W$1*buff的资质计算!$E$3,0)))),2)</f>
        <v>3.45</v>
      </c>
      <c r="X1596" s="157">
        <f ca="1" t="shared" si="270"/>
        <v>11.5</v>
      </c>
      <c r="Y1596" s="157">
        <f ca="1" t="shared" si="267"/>
        <v>11.5</v>
      </c>
      <c r="Z1596" s="304">
        <f ca="1" t="shared" si="271"/>
        <v>11.5</v>
      </c>
      <c r="AA1596" s="304">
        <f ca="1">OFFSET(卡牌辅助配置表!$AD$1,MATCH(AB1596,卡牌辅助配置表!AB:AB,0)-1,0)</f>
        <v>450</v>
      </c>
      <c r="AB1596" s="304">
        <f ca="1" t="shared" si="265"/>
        <v>1120</v>
      </c>
      <c r="AF1596" s="153" t="str">
        <f ca="1" t="shared" si="268"/>
        <v>30020011|</v>
      </c>
      <c r="AJ1596" s="205" t="str">
        <f ca="1" t="shared" si="266"/>
        <v>400023|7100|;</v>
      </c>
      <c r="AK1596" s="205">
        <f ca="1">OFFSET([1]item_type!$A$1,MATCH(Q1596,[1]item_type!$G:$G,0)-1,0)</f>
        <v>303002</v>
      </c>
      <c r="AL1596" s="205"/>
      <c r="AM1596" s="205">
        <f ca="1">IF(B1596=B1597,OFFSET(卡牌辅助配置表!$AE$1,MATCH(AB1596,卡牌辅助配置表!AB:AB,0),0),0)</f>
        <v>7100</v>
      </c>
      <c r="AN1596" s="153">
        <f ca="1" t="shared" si="261"/>
        <v>3002021</v>
      </c>
      <c r="AP1596" s="153">
        <f ca="1">IF(AC1596=0,0,IF(AC1596=12,0,OFFSET(effect!$N$1,MATCH(K1596,effect!M:M,0)-1,0)))</f>
        <v>0</v>
      </c>
    </row>
    <row r="1597" spans="1:42">
      <c r="A1597" s="153">
        <f ca="1" t="shared" si="262"/>
        <v>3002021</v>
      </c>
      <c r="B1597" s="91" t="s">
        <v>494</v>
      </c>
      <c r="C1597" s="186">
        <v>3</v>
      </c>
      <c r="D1597" s="186">
        <v>5</v>
      </c>
      <c r="E1597" s="165" t="s">
        <v>1069</v>
      </c>
      <c r="F1597" s="298"/>
      <c r="G1597" s="186">
        <v>-3</v>
      </c>
      <c r="H1597" s="186">
        <f ca="1" t="shared" si="269"/>
        <v>0</v>
      </c>
      <c r="I1597" s="186"/>
      <c r="J1597" s="186">
        <f ca="1">OFFSET(card_type!$F$1,MATCH(Q1597,card_type!A:A,0)-1,0)</f>
        <v>1</v>
      </c>
      <c r="K1597" s="243">
        <f ca="1">OFFSET(card_type!$G$1,MATCH(Q1597,card_type!A:A,0)-1,0)</f>
        <v>1</v>
      </c>
      <c r="L1597" s="157">
        <v>1</v>
      </c>
      <c r="M1597" s="157">
        <v>1</v>
      </c>
      <c r="N1597" s="153">
        <f t="shared" si="263"/>
        <v>21</v>
      </c>
      <c r="O1597" s="157"/>
      <c r="P1597" s="157"/>
      <c r="Q1597" s="153">
        <f ca="1">OFFSET(card_type!$A$1,MATCH(card!B1597,card_type!B:B,0)-1,0)</f>
        <v>3002</v>
      </c>
      <c r="R1597" s="153">
        <v>1</v>
      </c>
      <c r="S1597" s="157">
        <f ca="1">ROUND(IF(R1597=0,0,IF(R1597=1,X1597*$S$1,IF(R1597=2,X1597*$S$1*buff的资质计算!$E$2,IF(R1597=3,X1597*$S$1*buff的资质计算!$E$3,0)))),0)*0</f>
        <v>0</v>
      </c>
      <c r="T1597" s="153">
        <v>3</v>
      </c>
      <c r="U1597" s="153">
        <f ca="1" t="shared" si="264"/>
        <v>11</v>
      </c>
      <c r="V1597" s="153">
        <f ca="1">ROUND((OFFSET(卡牌辅助配置表!$O$1,MATCH(U1597,卡牌辅助配置表!M:M,0)-1,0)+(N1597-1)*OFFSET(卡牌辅助配置表!$P$1,MATCH(U1597,卡牌辅助配置表!M:M,0)-1,0))*M1597,2)</f>
        <v>10.45</v>
      </c>
      <c r="W1597" s="157">
        <f ca="1">ROUND(IF(R1597=0,0,IF(R1597=1,X1597*$W$1,IF(R1597=2,X1597*$W$1*buff的资质计算!$E$2,IF(R1597=3,X1597*$W$1*buff的资质计算!$E$3,0)))),2)</f>
        <v>3.6</v>
      </c>
      <c r="X1597" s="157">
        <f ca="1" t="shared" si="270"/>
        <v>12</v>
      </c>
      <c r="Y1597" s="157">
        <f ca="1" t="shared" si="267"/>
        <v>12</v>
      </c>
      <c r="Z1597" s="304">
        <f ca="1" t="shared" si="271"/>
        <v>12</v>
      </c>
      <c r="AA1597" s="304">
        <f ca="1">OFFSET(卡牌辅助配置表!$AD$1,MATCH(AB1597,卡牌辅助配置表!AB:AB,0)-1,0)</f>
        <v>486</v>
      </c>
      <c r="AB1597" s="304">
        <f ca="1" t="shared" si="265"/>
        <v>1121</v>
      </c>
      <c r="AF1597" s="153" t="str">
        <f ca="1" t="shared" si="268"/>
        <v>30020011|</v>
      </c>
      <c r="AJ1597" s="205" t="str">
        <f ca="1" t="shared" si="266"/>
        <v>400023|7900|;</v>
      </c>
      <c r="AK1597" s="205">
        <f ca="1">OFFSET([1]item_type!$A$1,MATCH(Q1597,[1]item_type!$G:$G,0)-1,0)</f>
        <v>303002</v>
      </c>
      <c r="AL1597" s="205"/>
      <c r="AM1597" s="205">
        <f ca="1">IF(B1597=B1598,OFFSET(卡牌辅助配置表!$AE$1,MATCH(AB1597,卡牌辅助配置表!AB:AB,0),0),0)</f>
        <v>7900</v>
      </c>
      <c r="AN1597" s="153">
        <f ca="1" t="shared" si="261"/>
        <v>3002022</v>
      </c>
      <c r="AP1597" s="153">
        <f ca="1">IF(AC1597=0,0,IF(AC1597=12,0,OFFSET(effect!$N$1,MATCH(K1597,effect!M:M,0)-1,0)))</f>
        <v>0</v>
      </c>
    </row>
    <row r="1598" spans="1:42">
      <c r="A1598" s="153">
        <f ca="1" t="shared" si="262"/>
        <v>3002022</v>
      </c>
      <c r="B1598" s="91" t="s">
        <v>494</v>
      </c>
      <c r="C1598" s="186">
        <v>3</v>
      </c>
      <c r="D1598" s="186">
        <v>5</v>
      </c>
      <c r="E1598" s="165" t="s">
        <v>1069</v>
      </c>
      <c r="F1598" s="298"/>
      <c r="G1598" s="186">
        <v>-3</v>
      </c>
      <c r="H1598" s="186">
        <f ca="1" t="shared" si="269"/>
        <v>0</v>
      </c>
      <c r="I1598" s="186"/>
      <c r="J1598" s="186">
        <f ca="1">OFFSET(card_type!$F$1,MATCH(Q1598,card_type!A:A,0)-1,0)</f>
        <v>1</v>
      </c>
      <c r="K1598" s="243">
        <f ca="1">OFFSET(card_type!$G$1,MATCH(Q1598,card_type!A:A,0)-1,0)</f>
        <v>1</v>
      </c>
      <c r="L1598" s="157">
        <v>1</v>
      </c>
      <c r="M1598" s="157">
        <v>1</v>
      </c>
      <c r="N1598" s="153">
        <f t="shared" si="263"/>
        <v>22</v>
      </c>
      <c r="O1598" s="157"/>
      <c r="P1598" s="157"/>
      <c r="Q1598" s="153">
        <f ca="1">OFFSET(card_type!$A$1,MATCH(card!B1598,card_type!B:B,0)-1,0)</f>
        <v>3002</v>
      </c>
      <c r="R1598" s="153">
        <v>1</v>
      </c>
      <c r="S1598" s="157">
        <f ca="1">ROUND(IF(R1598=0,0,IF(R1598=1,X1598*$S$1,IF(R1598=2,X1598*$S$1*buff的资质计算!$E$2,IF(R1598=3,X1598*$S$1*buff的资质计算!$E$3,0)))),0)*0</f>
        <v>0</v>
      </c>
      <c r="T1598" s="153">
        <v>3</v>
      </c>
      <c r="U1598" s="153">
        <f ca="1" t="shared" si="264"/>
        <v>11</v>
      </c>
      <c r="V1598" s="153">
        <f ca="1">ROUND((OFFSET(卡牌辅助配置表!$O$1,MATCH(U1598,卡牌辅助配置表!M:M,0)-1,0)+(N1598-1)*OFFSET(卡牌辅助配置表!$P$1,MATCH(U1598,卡牌辅助配置表!M:M,0)-1,0))*M1598,2)</f>
        <v>10.66</v>
      </c>
      <c r="W1598" s="157">
        <f ca="1">ROUND(IF(R1598=0,0,IF(R1598=1,X1598*$W$1,IF(R1598=2,X1598*$W$1*buff的资质计算!$E$2,IF(R1598=3,X1598*$W$1*buff的资质计算!$E$3,0)))),2)</f>
        <v>3.75</v>
      </c>
      <c r="X1598" s="157">
        <f ca="1" t="shared" si="270"/>
        <v>12.5</v>
      </c>
      <c r="Y1598" s="157">
        <f ca="1" t="shared" si="267"/>
        <v>12.5</v>
      </c>
      <c r="Z1598" s="304">
        <f ca="1" t="shared" si="271"/>
        <v>12.5</v>
      </c>
      <c r="AA1598" s="304">
        <f ca="1">OFFSET(卡牌辅助配置表!$AD$1,MATCH(AB1598,卡牌辅助配置表!AB:AB,0)-1,0)</f>
        <v>522</v>
      </c>
      <c r="AB1598" s="304">
        <f ca="1" t="shared" si="265"/>
        <v>1122</v>
      </c>
      <c r="AF1598" s="153" t="str">
        <f ca="1" t="shared" si="268"/>
        <v>30020011|</v>
      </c>
      <c r="AJ1598" s="205" t="str">
        <f ca="1" t="shared" si="266"/>
        <v>400023|8700|;</v>
      </c>
      <c r="AK1598" s="205">
        <f ca="1">OFFSET([1]item_type!$A$1,MATCH(Q1598,[1]item_type!$G:$G,0)-1,0)</f>
        <v>303002</v>
      </c>
      <c r="AL1598" s="205"/>
      <c r="AM1598" s="205">
        <f ca="1">IF(B1598=B1599,OFFSET(卡牌辅助配置表!$AE$1,MATCH(AB1598,卡牌辅助配置表!AB:AB,0),0),0)</f>
        <v>8700</v>
      </c>
      <c r="AN1598" s="153">
        <f ca="1" t="shared" si="261"/>
        <v>3002023</v>
      </c>
      <c r="AP1598" s="153">
        <f ca="1">IF(AC1598=0,0,IF(AC1598=12,0,OFFSET(effect!$N$1,MATCH(K1598,effect!M:M,0)-1,0)))</f>
        <v>0</v>
      </c>
    </row>
    <row r="1599" spans="1:42">
      <c r="A1599" s="153">
        <f ca="1" t="shared" si="262"/>
        <v>3002023</v>
      </c>
      <c r="B1599" s="91" t="s">
        <v>494</v>
      </c>
      <c r="C1599" s="186">
        <v>3</v>
      </c>
      <c r="D1599" s="186">
        <v>5</v>
      </c>
      <c r="E1599" s="165" t="s">
        <v>1069</v>
      </c>
      <c r="F1599" s="298"/>
      <c r="G1599" s="186">
        <v>-3</v>
      </c>
      <c r="H1599" s="186">
        <f ca="1" t="shared" si="269"/>
        <v>0</v>
      </c>
      <c r="I1599" s="186"/>
      <c r="J1599" s="186">
        <f ca="1">OFFSET(card_type!$F$1,MATCH(Q1599,card_type!A:A,0)-1,0)</f>
        <v>1</v>
      </c>
      <c r="K1599" s="243">
        <f ca="1">OFFSET(card_type!$G$1,MATCH(Q1599,card_type!A:A,0)-1,0)</f>
        <v>1</v>
      </c>
      <c r="L1599" s="157">
        <v>1</v>
      </c>
      <c r="M1599" s="157">
        <v>1</v>
      </c>
      <c r="N1599" s="153">
        <f t="shared" si="263"/>
        <v>23</v>
      </c>
      <c r="O1599" s="157"/>
      <c r="P1599" s="157"/>
      <c r="Q1599" s="153">
        <f ca="1">OFFSET(card_type!$A$1,MATCH(card!B1599,card_type!B:B,0)-1,0)</f>
        <v>3002</v>
      </c>
      <c r="R1599" s="153">
        <v>1</v>
      </c>
      <c r="S1599" s="157">
        <f ca="1">ROUND(IF(R1599=0,0,IF(R1599=1,X1599*$S$1,IF(R1599=2,X1599*$S$1*buff的资质计算!$E$2,IF(R1599=3,X1599*$S$1*buff的资质计算!$E$3,0)))),0)*0</f>
        <v>0</v>
      </c>
      <c r="T1599" s="153">
        <v>3</v>
      </c>
      <c r="U1599" s="153">
        <f ca="1" t="shared" si="264"/>
        <v>11</v>
      </c>
      <c r="V1599" s="153">
        <f ca="1">ROUND((OFFSET(卡牌辅助配置表!$O$1,MATCH(U1599,卡牌辅助配置表!M:M,0)-1,0)+(N1599-1)*OFFSET(卡牌辅助配置表!$P$1,MATCH(U1599,卡牌辅助配置表!M:M,0)-1,0))*M1599,2)</f>
        <v>10.87</v>
      </c>
      <c r="W1599" s="157">
        <f ca="1">ROUND(IF(R1599=0,0,IF(R1599=1,X1599*$W$1,IF(R1599=2,X1599*$W$1*buff的资质计算!$E$2,IF(R1599=3,X1599*$W$1*buff的资质计算!$E$3,0)))),2)</f>
        <v>3.9</v>
      </c>
      <c r="X1599" s="157">
        <f ca="1" t="shared" si="270"/>
        <v>13</v>
      </c>
      <c r="Y1599" s="157">
        <f ca="1" t="shared" si="267"/>
        <v>13</v>
      </c>
      <c r="Z1599" s="304">
        <f ca="1" t="shared" si="271"/>
        <v>13</v>
      </c>
      <c r="AA1599" s="304">
        <f ca="1">OFFSET(卡牌辅助配置表!$AD$1,MATCH(AB1599,卡牌辅助配置表!AB:AB,0)-1,0)</f>
        <v>558</v>
      </c>
      <c r="AB1599" s="304">
        <f ca="1" t="shared" si="265"/>
        <v>1123</v>
      </c>
      <c r="AF1599" s="153" t="str">
        <f ca="1" t="shared" si="268"/>
        <v>30020011|</v>
      </c>
      <c r="AJ1599" s="205" t="str">
        <f ca="1" t="shared" si="266"/>
        <v>400023|9500|;</v>
      </c>
      <c r="AK1599" s="205">
        <f ca="1">OFFSET([1]item_type!$A$1,MATCH(Q1599,[1]item_type!$G:$G,0)-1,0)</f>
        <v>303002</v>
      </c>
      <c r="AL1599" s="205"/>
      <c r="AM1599" s="205">
        <f ca="1">IF(B1599=B1600,OFFSET(卡牌辅助配置表!$AE$1,MATCH(AB1599,卡牌辅助配置表!AB:AB,0),0),0)</f>
        <v>9500</v>
      </c>
      <c r="AN1599" s="153">
        <f ca="1" t="shared" si="261"/>
        <v>3002024</v>
      </c>
      <c r="AP1599" s="153">
        <f ca="1">IF(AC1599=0,0,IF(AC1599=12,0,OFFSET(effect!$N$1,MATCH(K1599,effect!M:M,0)-1,0)))</f>
        <v>0</v>
      </c>
    </row>
    <row r="1600" spans="1:42">
      <c r="A1600" s="153">
        <f ca="1" t="shared" si="262"/>
        <v>3002024</v>
      </c>
      <c r="B1600" s="91" t="s">
        <v>494</v>
      </c>
      <c r="C1600" s="186">
        <v>3</v>
      </c>
      <c r="D1600" s="186">
        <v>5</v>
      </c>
      <c r="E1600" s="165" t="s">
        <v>1069</v>
      </c>
      <c r="F1600" s="298"/>
      <c r="G1600" s="186">
        <v>-3</v>
      </c>
      <c r="H1600" s="186">
        <f ca="1" t="shared" si="269"/>
        <v>0</v>
      </c>
      <c r="I1600" s="186"/>
      <c r="J1600" s="186">
        <f ca="1">OFFSET(card_type!$F$1,MATCH(Q1600,card_type!A:A,0)-1,0)</f>
        <v>1</v>
      </c>
      <c r="K1600" s="243">
        <f ca="1">OFFSET(card_type!$G$1,MATCH(Q1600,card_type!A:A,0)-1,0)</f>
        <v>1</v>
      </c>
      <c r="L1600" s="157">
        <v>1</v>
      </c>
      <c r="M1600" s="157">
        <v>1</v>
      </c>
      <c r="N1600" s="153">
        <f t="shared" si="263"/>
        <v>24</v>
      </c>
      <c r="O1600" s="157"/>
      <c r="P1600" s="157"/>
      <c r="Q1600" s="153">
        <f ca="1">OFFSET(card_type!$A$1,MATCH(card!B1600,card_type!B:B,0)-1,0)</f>
        <v>3002</v>
      </c>
      <c r="R1600" s="153">
        <v>1</v>
      </c>
      <c r="S1600" s="157">
        <f ca="1">ROUND(IF(R1600=0,0,IF(R1600=1,X1600*$S$1,IF(R1600=2,X1600*$S$1*buff的资质计算!$E$2,IF(R1600=3,X1600*$S$1*buff的资质计算!$E$3,0)))),0)*0</f>
        <v>0</v>
      </c>
      <c r="T1600" s="153">
        <v>3</v>
      </c>
      <c r="U1600" s="153">
        <f ca="1" t="shared" si="264"/>
        <v>11</v>
      </c>
      <c r="V1600" s="153">
        <f ca="1">ROUND((OFFSET(卡牌辅助配置表!$O$1,MATCH(U1600,卡牌辅助配置表!M:M,0)-1,0)+(N1600-1)*OFFSET(卡牌辅助配置表!$P$1,MATCH(U1600,卡牌辅助配置表!M:M,0)-1,0))*M1600,2)</f>
        <v>11.08</v>
      </c>
      <c r="W1600" s="157">
        <f ca="1">ROUND(IF(R1600=0,0,IF(R1600=1,X1600*$W$1,IF(R1600=2,X1600*$W$1*buff的资质计算!$E$2,IF(R1600=3,X1600*$W$1*buff的资质计算!$E$3,0)))),2)</f>
        <v>4.05</v>
      </c>
      <c r="X1600" s="157">
        <f ca="1" t="shared" si="270"/>
        <v>13.5</v>
      </c>
      <c r="Y1600" s="157">
        <f ca="1" t="shared" si="267"/>
        <v>13.5</v>
      </c>
      <c r="Z1600" s="304">
        <f ca="1" t="shared" si="271"/>
        <v>13.5</v>
      </c>
      <c r="AA1600" s="304">
        <f ca="1">OFFSET(卡牌辅助配置表!$AD$1,MATCH(AB1600,卡牌辅助配置表!AB:AB,0)-1,0)</f>
        <v>594</v>
      </c>
      <c r="AB1600" s="304">
        <f ca="1" t="shared" si="265"/>
        <v>1124</v>
      </c>
      <c r="AF1600" s="153" t="str">
        <f ca="1" t="shared" si="268"/>
        <v>30020011|</v>
      </c>
      <c r="AJ1600" s="205" t="str">
        <f ca="1" t="shared" si="266"/>
        <v>400023|10300|;</v>
      </c>
      <c r="AK1600" s="205">
        <f ca="1">OFFSET([1]item_type!$A$1,MATCH(Q1600,[1]item_type!$G:$G,0)-1,0)</f>
        <v>303002</v>
      </c>
      <c r="AL1600" s="205"/>
      <c r="AM1600" s="205">
        <f ca="1">IF(B1600=B1601,OFFSET(卡牌辅助配置表!$AE$1,MATCH(AB1600,卡牌辅助配置表!AB:AB,0),0),0)</f>
        <v>10300</v>
      </c>
      <c r="AN1600" s="153">
        <f ca="1" t="shared" si="261"/>
        <v>3002025</v>
      </c>
      <c r="AP1600" s="153">
        <f ca="1">IF(AC1600=0,0,IF(AC1600=12,0,OFFSET(effect!$N$1,MATCH(K1600,effect!M:M,0)-1,0)))</f>
        <v>0</v>
      </c>
    </row>
    <row r="1601" spans="1:42">
      <c r="A1601" s="153">
        <f ca="1" t="shared" si="262"/>
        <v>3002025</v>
      </c>
      <c r="B1601" s="91" t="s">
        <v>494</v>
      </c>
      <c r="C1601" s="186">
        <v>3</v>
      </c>
      <c r="D1601" s="186">
        <v>5</v>
      </c>
      <c r="E1601" s="165" t="s">
        <v>1069</v>
      </c>
      <c r="F1601" s="298"/>
      <c r="G1601" s="186">
        <v>-3</v>
      </c>
      <c r="H1601" s="186">
        <f ca="1" t="shared" si="269"/>
        <v>0</v>
      </c>
      <c r="I1601" s="186"/>
      <c r="J1601" s="186">
        <f ca="1">OFFSET(card_type!$F$1,MATCH(Q1601,card_type!A:A,0)-1,0)</f>
        <v>1</v>
      </c>
      <c r="K1601" s="243">
        <f ca="1">OFFSET(card_type!$G$1,MATCH(Q1601,card_type!A:A,0)-1,0)</f>
        <v>1</v>
      </c>
      <c r="L1601" s="157">
        <v>1</v>
      </c>
      <c r="M1601" s="157">
        <v>1</v>
      </c>
      <c r="N1601" s="153">
        <f t="shared" si="263"/>
        <v>25</v>
      </c>
      <c r="O1601" s="157"/>
      <c r="P1601" s="157"/>
      <c r="Q1601" s="153">
        <f ca="1">OFFSET(card_type!$A$1,MATCH(card!B1601,card_type!B:B,0)-1,0)</f>
        <v>3002</v>
      </c>
      <c r="R1601" s="153">
        <v>1</v>
      </c>
      <c r="S1601" s="157">
        <f ca="1">ROUND(IF(R1601=0,0,IF(R1601=1,X1601*$S$1,IF(R1601=2,X1601*$S$1*buff的资质计算!$E$2,IF(R1601=3,X1601*$S$1*buff的资质计算!$E$3,0)))),0)*0</f>
        <v>0</v>
      </c>
      <c r="T1601" s="153">
        <v>3</v>
      </c>
      <c r="U1601" s="153">
        <f ca="1" t="shared" si="264"/>
        <v>11</v>
      </c>
      <c r="V1601" s="153">
        <f ca="1">ROUND((OFFSET(卡牌辅助配置表!$O$1,MATCH(U1601,卡牌辅助配置表!M:M,0)-1,0)+(N1601-1)*OFFSET(卡牌辅助配置表!$P$1,MATCH(U1601,卡牌辅助配置表!M:M,0)-1,0))*M1601,2)</f>
        <v>11.29</v>
      </c>
      <c r="W1601" s="157">
        <f ca="1">ROUND(IF(R1601=0,0,IF(R1601=1,X1601*$W$1,IF(R1601=2,X1601*$W$1*buff的资质计算!$E$2,IF(R1601=3,X1601*$W$1*buff的资质计算!$E$3,0)))),2)</f>
        <v>4.2</v>
      </c>
      <c r="X1601" s="157">
        <f ca="1" t="shared" si="270"/>
        <v>14</v>
      </c>
      <c r="Y1601" s="157">
        <f ca="1" t="shared" si="267"/>
        <v>14</v>
      </c>
      <c r="Z1601" s="304">
        <f ca="1" t="shared" si="271"/>
        <v>14</v>
      </c>
      <c r="AA1601" s="304">
        <f ca="1">OFFSET(卡牌辅助配置表!$AD$1,MATCH(AB1601,卡牌辅助配置表!AB:AB,0)-1,0)</f>
        <v>630</v>
      </c>
      <c r="AB1601" s="304">
        <f ca="1" t="shared" si="265"/>
        <v>1125</v>
      </c>
      <c r="AF1601" s="153" t="str">
        <f ca="1" t="shared" si="268"/>
        <v>30020011|</v>
      </c>
      <c r="AJ1601" s="205" t="str">
        <f ca="1" t="shared" si="266"/>
        <v>400023|11100|;</v>
      </c>
      <c r="AK1601" s="205">
        <f ca="1">OFFSET([1]item_type!$A$1,MATCH(Q1601,[1]item_type!$G:$G,0)-1,0)</f>
        <v>303002</v>
      </c>
      <c r="AL1601" s="205"/>
      <c r="AM1601" s="205">
        <f ca="1">IF(B1601=B1602,OFFSET(卡牌辅助配置表!$AE$1,MATCH(AB1601,卡牌辅助配置表!AB:AB,0),0),0)</f>
        <v>11100</v>
      </c>
      <c r="AN1601" s="153">
        <f ca="1" t="shared" si="261"/>
        <v>3002026</v>
      </c>
      <c r="AP1601" s="153">
        <f ca="1">IF(AC1601=0,0,IF(AC1601=12,0,OFFSET(effect!$N$1,MATCH(K1601,effect!M:M,0)-1,0)))</f>
        <v>0</v>
      </c>
    </row>
    <row r="1602" spans="1:42">
      <c r="A1602" s="153">
        <f ca="1" t="shared" si="262"/>
        <v>3002026</v>
      </c>
      <c r="B1602" s="91" t="s">
        <v>494</v>
      </c>
      <c r="C1602" s="186">
        <v>3</v>
      </c>
      <c r="D1602" s="186">
        <v>5</v>
      </c>
      <c r="E1602" s="165" t="s">
        <v>1069</v>
      </c>
      <c r="F1602" s="298"/>
      <c r="G1602" s="186">
        <v>-3</v>
      </c>
      <c r="H1602" s="186">
        <f ca="1" t="shared" si="269"/>
        <v>0</v>
      </c>
      <c r="I1602" s="186"/>
      <c r="J1602" s="186">
        <f ca="1">OFFSET(card_type!$F$1,MATCH(Q1602,card_type!A:A,0)-1,0)</f>
        <v>1</v>
      </c>
      <c r="K1602" s="243">
        <f ca="1">OFFSET(card_type!$G$1,MATCH(Q1602,card_type!A:A,0)-1,0)</f>
        <v>1</v>
      </c>
      <c r="L1602" s="157">
        <v>1</v>
      </c>
      <c r="M1602" s="157">
        <v>1</v>
      </c>
      <c r="N1602" s="153">
        <f t="shared" si="263"/>
        <v>26</v>
      </c>
      <c r="O1602" s="157"/>
      <c r="P1602" s="157"/>
      <c r="Q1602" s="153">
        <f ca="1">OFFSET(card_type!$A$1,MATCH(card!B1602,card_type!B:B,0)-1,0)</f>
        <v>3002</v>
      </c>
      <c r="R1602" s="153">
        <v>1</v>
      </c>
      <c r="S1602" s="157">
        <f ca="1">ROUND(IF(R1602=0,0,IF(R1602=1,X1602*$S$1,IF(R1602=2,X1602*$S$1*buff的资质计算!$E$2,IF(R1602=3,X1602*$S$1*buff的资质计算!$E$3,0)))),0)*0</f>
        <v>0</v>
      </c>
      <c r="T1602" s="153">
        <v>3</v>
      </c>
      <c r="U1602" s="153">
        <f ca="1" t="shared" si="264"/>
        <v>11</v>
      </c>
      <c r="V1602" s="153">
        <f ca="1">ROUND((OFFSET(卡牌辅助配置表!$O$1,MATCH(U1602,卡牌辅助配置表!M:M,0)-1,0)+(N1602-1)*OFFSET(卡牌辅助配置表!$P$1,MATCH(U1602,卡牌辅助配置表!M:M,0)-1,0))*M1602,2)</f>
        <v>11.5</v>
      </c>
      <c r="W1602" s="157">
        <f ca="1">ROUND(IF(R1602=0,0,IF(R1602=1,X1602*$W$1,IF(R1602=2,X1602*$W$1*buff的资质计算!$E$2,IF(R1602=3,X1602*$W$1*buff的资质计算!$E$3,0)))),2)</f>
        <v>4.35</v>
      </c>
      <c r="X1602" s="157">
        <f ca="1" t="shared" si="270"/>
        <v>14.5</v>
      </c>
      <c r="Y1602" s="157">
        <f ca="1" t="shared" si="267"/>
        <v>14.5</v>
      </c>
      <c r="Z1602" s="304">
        <f ca="1" t="shared" si="271"/>
        <v>14.5</v>
      </c>
      <c r="AA1602" s="304">
        <f ca="1">OFFSET(卡牌辅助配置表!$AD$1,MATCH(AB1602,卡牌辅助配置表!AB:AB,0)-1,0)</f>
        <v>666</v>
      </c>
      <c r="AB1602" s="304">
        <f ca="1" t="shared" si="265"/>
        <v>1126</v>
      </c>
      <c r="AF1602" s="153" t="str">
        <f ca="1" t="shared" si="268"/>
        <v>30020011|</v>
      </c>
      <c r="AJ1602" s="205" t="str">
        <f ca="1" t="shared" si="266"/>
        <v>400023|11900|;</v>
      </c>
      <c r="AK1602" s="205">
        <f ca="1">OFFSET([1]item_type!$A$1,MATCH(Q1602,[1]item_type!$G:$G,0)-1,0)</f>
        <v>303002</v>
      </c>
      <c r="AL1602" s="205"/>
      <c r="AM1602" s="205">
        <f ca="1">IF(B1602=B1603,OFFSET(卡牌辅助配置表!$AE$1,MATCH(AB1602,卡牌辅助配置表!AB:AB,0),0),0)</f>
        <v>11900</v>
      </c>
      <c r="AN1602" s="153">
        <f ca="1" t="shared" si="261"/>
        <v>3002027</v>
      </c>
      <c r="AP1602" s="153">
        <f ca="1">IF(AC1602=0,0,IF(AC1602=12,0,OFFSET(effect!$N$1,MATCH(K1602,effect!M:M,0)-1,0)))</f>
        <v>0</v>
      </c>
    </row>
    <row r="1603" spans="1:42">
      <c r="A1603" s="153">
        <f ca="1" t="shared" si="262"/>
        <v>3002027</v>
      </c>
      <c r="B1603" s="91" t="s">
        <v>494</v>
      </c>
      <c r="C1603" s="186">
        <v>3</v>
      </c>
      <c r="D1603" s="186">
        <v>5</v>
      </c>
      <c r="E1603" s="165" t="s">
        <v>1069</v>
      </c>
      <c r="F1603" s="298"/>
      <c r="G1603" s="186">
        <v>-3</v>
      </c>
      <c r="H1603" s="186">
        <f ca="1" t="shared" si="269"/>
        <v>0</v>
      </c>
      <c r="I1603" s="186"/>
      <c r="J1603" s="186">
        <f ca="1">OFFSET(card_type!$F$1,MATCH(Q1603,card_type!A:A,0)-1,0)</f>
        <v>1</v>
      </c>
      <c r="K1603" s="243">
        <f ca="1">OFFSET(card_type!$G$1,MATCH(Q1603,card_type!A:A,0)-1,0)</f>
        <v>1</v>
      </c>
      <c r="L1603" s="157">
        <v>1</v>
      </c>
      <c r="M1603" s="157">
        <v>1</v>
      </c>
      <c r="N1603" s="153">
        <f t="shared" si="263"/>
        <v>27</v>
      </c>
      <c r="O1603" s="157"/>
      <c r="P1603" s="157"/>
      <c r="Q1603" s="153">
        <f ca="1">OFFSET(card_type!$A$1,MATCH(card!B1603,card_type!B:B,0)-1,0)</f>
        <v>3002</v>
      </c>
      <c r="R1603" s="153">
        <v>1</v>
      </c>
      <c r="S1603" s="157">
        <f ca="1">ROUND(IF(R1603=0,0,IF(R1603=1,X1603*$S$1,IF(R1603=2,X1603*$S$1*buff的资质计算!$E$2,IF(R1603=3,X1603*$S$1*buff的资质计算!$E$3,0)))),0)*0</f>
        <v>0</v>
      </c>
      <c r="T1603" s="153">
        <v>3</v>
      </c>
      <c r="U1603" s="153">
        <f ca="1" t="shared" si="264"/>
        <v>11</v>
      </c>
      <c r="V1603" s="153">
        <f ca="1">ROUND((OFFSET(卡牌辅助配置表!$O$1,MATCH(U1603,卡牌辅助配置表!M:M,0)-1,0)+(N1603-1)*OFFSET(卡牌辅助配置表!$P$1,MATCH(U1603,卡牌辅助配置表!M:M,0)-1,0))*M1603,2)</f>
        <v>11.7</v>
      </c>
      <c r="W1603" s="157">
        <f ca="1">ROUND(IF(R1603=0,0,IF(R1603=1,X1603*$W$1,IF(R1603=2,X1603*$W$1*buff的资质计算!$E$2,IF(R1603=3,X1603*$W$1*buff的资质计算!$E$3,0)))),2)</f>
        <v>4.5</v>
      </c>
      <c r="X1603" s="157">
        <f ca="1" t="shared" si="270"/>
        <v>15</v>
      </c>
      <c r="Y1603" s="157">
        <f ca="1" t="shared" si="267"/>
        <v>15</v>
      </c>
      <c r="Z1603" s="304">
        <f ca="1" t="shared" si="271"/>
        <v>15</v>
      </c>
      <c r="AA1603" s="304">
        <f ca="1">OFFSET(卡牌辅助配置表!$AD$1,MATCH(AB1603,卡牌辅助配置表!AB:AB,0)-1,0)</f>
        <v>702</v>
      </c>
      <c r="AB1603" s="304">
        <f ca="1" t="shared" si="265"/>
        <v>1127</v>
      </c>
      <c r="AF1603" s="153" t="str">
        <f ca="1" t="shared" si="268"/>
        <v>30020011|</v>
      </c>
      <c r="AJ1603" s="205" t="str">
        <f ca="1" t="shared" si="266"/>
        <v>400023|12700|;</v>
      </c>
      <c r="AK1603" s="205">
        <f ca="1">OFFSET([1]item_type!$A$1,MATCH(Q1603,[1]item_type!$G:$G,0)-1,0)</f>
        <v>303002</v>
      </c>
      <c r="AL1603" s="205"/>
      <c r="AM1603" s="205">
        <f ca="1">IF(B1603=B1604,OFFSET(卡牌辅助配置表!$AE$1,MATCH(AB1603,卡牌辅助配置表!AB:AB,0),0),0)</f>
        <v>12700</v>
      </c>
      <c r="AN1603" s="153">
        <f ca="1" t="shared" si="261"/>
        <v>3002028</v>
      </c>
      <c r="AP1603" s="153">
        <f ca="1">IF(AC1603=0,0,IF(AC1603=12,0,OFFSET(effect!$N$1,MATCH(K1603,effect!M:M,0)-1,0)))</f>
        <v>0</v>
      </c>
    </row>
    <row r="1604" spans="1:42">
      <c r="A1604" s="153">
        <f ca="1" t="shared" si="262"/>
        <v>3002028</v>
      </c>
      <c r="B1604" s="91" t="s">
        <v>494</v>
      </c>
      <c r="C1604" s="186">
        <v>3</v>
      </c>
      <c r="D1604" s="186">
        <v>5</v>
      </c>
      <c r="E1604" s="165" t="s">
        <v>1069</v>
      </c>
      <c r="F1604" s="298"/>
      <c r="G1604" s="186">
        <v>-3</v>
      </c>
      <c r="H1604" s="186">
        <f ca="1" t="shared" si="269"/>
        <v>0</v>
      </c>
      <c r="I1604" s="186"/>
      <c r="J1604" s="186">
        <f ca="1">OFFSET(card_type!$F$1,MATCH(Q1604,card_type!A:A,0)-1,0)</f>
        <v>1</v>
      </c>
      <c r="K1604" s="243">
        <f ca="1">OFFSET(card_type!$G$1,MATCH(Q1604,card_type!A:A,0)-1,0)</f>
        <v>1</v>
      </c>
      <c r="L1604" s="157">
        <v>1</v>
      </c>
      <c r="M1604" s="157">
        <v>1</v>
      </c>
      <c r="N1604" s="153">
        <f t="shared" si="263"/>
        <v>28</v>
      </c>
      <c r="O1604" s="157"/>
      <c r="P1604" s="157"/>
      <c r="Q1604" s="153">
        <f ca="1">OFFSET(card_type!$A$1,MATCH(card!B1604,card_type!B:B,0)-1,0)</f>
        <v>3002</v>
      </c>
      <c r="R1604" s="153">
        <v>1</v>
      </c>
      <c r="S1604" s="157">
        <f ca="1">ROUND(IF(R1604=0,0,IF(R1604=1,X1604*$S$1,IF(R1604=2,X1604*$S$1*buff的资质计算!$E$2,IF(R1604=3,X1604*$S$1*buff的资质计算!$E$3,0)))),0)*0</f>
        <v>0</v>
      </c>
      <c r="T1604" s="153">
        <v>3</v>
      </c>
      <c r="U1604" s="153">
        <f ca="1" t="shared" si="264"/>
        <v>11</v>
      </c>
      <c r="V1604" s="153">
        <f ca="1">ROUND((OFFSET(卡牌辅助配置表!$O$1,MATCH(U1604,卡牌辅助配置表!M:M,0)-1,0)+(N1604-1)*OFFSET(卡牌辅助配置表!$P$1,MATCH(U1604,卡牌辅助配置表!M:M,0)-1,0))*M1604,2)</f>
        <v>11.91</v>
      </c>
      <c r="W1604" s="157">
        <f ca="1">ROUND(IF(R1604=0,0,IF(R1604=1,X1604*$W$1,IF(R1604=2,X1604*$W$1*buff的资质计算!$E$2,IF(R1604=3,X1604*$W$1*buff的资质计算!$E$3,0)))),2)</f>
        <v>4.65</v>
      </c>
      <c r="X1604" s="157">
        <f ca="1" t="shared" si="270"/>
        <v>15.5</v>
      </c>
      <c r="Y1604" s="157">
        <f ca="1" t="shared" si="267"/>
        <v>15.5</v>
      </c>
      <c r="Z1604" s="304">
        <f ca="1" t="shared" si="271"/>
        <v>15.5</v>
      </c>
      <c r="AA1604" s="304">
        <f ca="1">OFFSET(卡牌辅助配置表!$AD$1,MATCH(AB1604,卡牌辅助配置表!AB:AB,0)-1,0)</f>
        <v>738</v>
      </c>
      <c r="AB1604" s="304">
        <f ca="1" t="shared" si="265"/>
        <v>1128</v>
      </c>
      <c r="AF1604" s="153" t="str">
        <f ca="1" t="shared" si="268"/>
        <v>30020011|</v>
      </c>
      <c r="AJ1604" s="205" t="str">
        <f ca="1" t="shared" si="266"/>
        <v>400023|13500|;</v>
      </c>
      <c r="AK1604" s="205">
        <f ca="1">OFFSET([1]item_type!$A$1,MATCH(Q1604,[1]item_type!$G:$G,0)-1,0)</f>
        <v>303002</v>
      </c>
      <c r="AL1604" s="205"/>
      <c r="AM1604" s="205">
        <f ca="1">IF(B1604=B1605,OFFSET(卡牌辅助配置表!$AE$1,MATCH(AB1604,卡牌辅助配置表!AB:AB,0),0),0)</f>
        <v>13500</v>
      </c>
      <c r="AN1604" s="153">
        <f ca="1" t="shared" si="261"/>
        <v>3002029</v>
      </c>
      <c r="AP1604" s="153">
        <f ca="1">IF(AC1604=0,0,IF(AC1604=12,0,OFFSET(effect!$N$1,MATCH(K1604,effect!M:M,0)-1,0)))</f>
        <v>0</v>
      </c>
    </row>
    <row r="1605" spans="1:42">
      <c r="A1605" s="153">
        <f ca="1" t="shared" si="262"/>
        <v>3002029</v>
      </c>
      <c r="B1605" s="91" t="s">
        <v>494</v>
      </c>
      <c r="C1605" s="186">
        <v>3</v>
      </c>
      <c r="D1605" s="186">
        <v>5</v>
      </c>
      <c r="E1605" s="165" t="s">
        <v>1069</v>
      </c>
      <c r="F1605" s="298"/>
      <c r="G1605" s="186">
        <v>-3</v>
      </c>
      <c r="H1605" s="186">
        <f ca="1" t="shared" si="269"/>
        <v>0</v>
      </c>
      <c r="I1605" s="186"/>
      <c r="J1605" s="186">
        <f ca="1">OFFSET(card_type!$F$1,MATCH(Q1605,card_type!A:A,0)-1,0)</f>
        <v>1</v>
      </c>
      <c r="K1605" s="243">
        <f ca="1">OFFSET(card_type!$G$1,MATCH(Q1605,card_type!A:A,0)-1,0)</f>
        <v>1</v>
      </c>
      <c r="L1605" s="157">
        <v>1</v>
      </c>
      <c r="M1605" s="157">
        <v>1</v>
      </c>
      <c r="N1605" s="153">
        <f t="shared" si="263"/>
        <v>29</v>
      </c>
      <c r="O1605" s="157"/>
      <c r="P1605" s="157"/>
      <c r="Q1605" s="153">
        <f ca="1">OFFSET(card_type!$A$1,MATCH(card!B1605,card_type!B:B,0)-1,0)</f>
        <v>3002</v>
      </c>
      <c r="R1605" s="153">
        <v>1</v>
      </c>
      <c r="S1605" s="157">
        <f ca="1">ROUND(IF(R1605=0,0,IF(R1605=1,X1605*$S$1,IF(R1605=2,X1605*$S$1*buff的资质计算!$E$2,IF(R1605=3,X1605*$S$1*buff的资质计算!$E$3,0)))),0)*0</f>
        <v>0</v>
      </c>
      <c r="T1605" s="153">
        <v>3</v>
      </c>
      <c r="U1605" s="153">
        <f ca="1" t="shared" si="264"/>
        <v>11</v>
      </c>
      <c r="V1605" s="153">
        <f ca="1">ROUND((OFFSET(卡牌辅助配置表!$O$1,MATCH(U1605,卡牌辅助配置表!M:M,0)-1,0)+(N1605-1)*OFFSET(卡牌辅助配置表!$P$1,MATCH(U1605,卡牌辅助配置表!M:M,0)-1,0))*M1605,2)</f>
        <v>12.12</v>
      </c>
      <c r="W1605" s="157">
        <f ca="1">ROUND(IF(R1605=0,0,IF(R1605=1,X1605*$W$1,IF(R1605=2,X1605*$W$1*buff的资质计算!$E$2,IF(R1605=3,X1605*$W$1*buff的资质计算!$E$3,0)))),2)</f>
        <v>4.8</v>
      </c>
      <c r="X1605" s="157">
        <f ca="1" t="shared" si="270"/>
        <v>16</v>
      </c>
      <c r="Y1605" s="157">
        <f ca="1" t="shared" si="267"/>
        <v>16</v>
      </c>
      <c r="Z1605" s="304">
        <f ca="1" t="shared" si="271"/>
        <v>16</v>
      </c>
      <c r="AA1605" s="304">
        <f ca="1">OFFSET(卡牌辅助配置表!$AD$1,MATCH(AB1605,卡牌辅助配置表!AB:AB,0)-1,0)</f>
        <v>774</v>
      </c>
      <c r="AB1605" s="304">
        <f ca="1" t="shared" si="265"/>
        <v>1129</v>
      </c>
      <c r="AF1605" s="153" t="str">
        <f ca="1" t="shared" si="268"/>
        <v>30020011|</v>
      </c>
      <c r="AJ1605" s="205" t="str">
        <f ca="1" t="shared" si="266"/>
        <v>303002|30|;400023|14300|;</v>
      </c>
      <c r="AK1605" s="205">
        <f ca="1">OFFSET([1]item_type!$A$1,MATCH(Q1605,[1]item_type!$G:$G,0)-1,0)</f>
        <v>303002</v>
      </c>
      <c r="AL1605" s="205">
        <v>30</v>
      </c>
      <c r="AM1605" s="205">
        <f ca="1">IF(B1605=B1606,OFFSET(卡牌辅助配置表!$AE$1,MATCH(AB1605,卡牌辅助配置表!AB:AB,0),0),0)</f>
        <v>14300</v>
      </c>
      <c r="AN1605" s="153">
        <f ca="1" t="shared" ref="AN1605:AN1668" si="272">IF(B1605=B1606,A1605+1,0)</f>
        <v>3002030</v>
      </c>
      <c r="AP1605" s="153">
        <f ca="1">IF(AC1605=0,0,IF(AC1605=12,0,OFFSET(effect!$N$1,MATCH(K1605,effect!M:M,0)-1,0)))</f>
        <v>0</v>
      </c>
    </row>
    <row r="1606" spans="1:42">
      <c r="A1606" s="153">
        <f ca="1" t="shared" ref="A1606:A1669" si="273">Q1606*1000+N1606</f>
        <v>3002030</v>
      </c>
      <c r="B1606" s="91" t="s">
        <v>494</v>
      </c>
      <c r="C1606" s="186">
        <v>3</v>
      </c>
      <c r="D1606" s="186">
        <v>5</v>
      </c>
      <c r="E1606" s="165" t="s">
        <v>1069</v>
      </c>
      <c r="F1606" s="298"/>
      <c r="G1606" s="186">
        <v>-3</v>
      </c>
      <c r="H1606" s="186">
        <f ca="1" t="shared" si="269"/>
        <v>0</v>
      </c>
      <c r="I1606" s="186"/>
      <c r="J1606" s="186">
        <f ca="1">OFFSET(card_type!$F$1,MATCH(Q1606,card_type!A:A,0)-1,0)</f>
        <v>1</v>
      </c>
      <c r="K1606" s="243">
        <f ca="1">OFFSET(card_type!$G$1,MATCH(Q1606,card_type!A:A,0)-1,0)</f>
        <v>1</v>
      </c>
      <c r="L1606" s="157">
        <v>1</v>
      </c>
      <c r="M1606" s="157">
        <v>1</v>
      </c>
      <c r="N1606" s="153">
        <f t="shared" ref="N1606:N1669" si="274">IF(B1605=B1606,N1605+1,1)</f>
        <v>30</v>
      </c>
      <c r="O1606" s="157"/>
      <c r="P1606" s="157"/>
      <c r="Q1606" s="153">
        <f ca="1">OFFSET(card_type!$A$1,MATCH(card!B1606,card_type!B:B,0)-1,0)</f>
        <v>3002</v>
      </c>
      <c r="R1606" s="153">
        <v>1</v>
      </c>
      <c r="S1606" s="157">
        <f ca="1">ROUND(IF(R1606=0,0,IF(R1606=1,X1606*$S$1,IF(R1606=2,X1606*$S$1*buff的资质计算!$E$2,IF(R1606=3,X1606*$S$1*buff的资质计算!$E$3,0)))),0)*0</f>
        <v>0</v>
      </c>
      <c r="T1606" s="153">
        <v>3</v>
      </c>
      <c r="U1606" s="153">
        <f ca="1" t="shared" ref="U1606:U1669" si="275">J1606*10+K1606</f>
        <v>11</v>
      </c>
      <c r="V1606" s="153">
        <f ca="1">ROUND((OFFSET(卡牌辅助配置表!$O$1,MATCH(U1606,卡牌辅助配置表!M:M,0)-1,0)+(N1606-1)*OFFSET(卡牌辅助配置表!$P$1,MATCH(U1606,卡牌辅助配置表!M:M,0)-1,0))*M1606,2)</f>
        <v>12.33</v>
      </c>
      <c r="W1606" s="157">
        <f ca="1">ROUND(IF(R1606=0,0,IF(R1606=1,X1606*$W$1,IF(R1606=2,X1606*$W$1*buff的资质计算!$E$2,IF(R1606=3,X1606*$W$1*buff的资质计算!$E$3,0)))),2)</f>
        <v>4.95</v>
      </c>
      <c r="X1606" s="157">
        <f ca="1" t="shared" si="270"/>
        <v>16.5</v>
      </c>
      <c r="Y1606" s="157">
        <f ca="1" t="shared" si="267"/>
        <v>16.5</v>
      </c>
      <c r="Z1606" s="304">
        <f ca="1" t="shared" si="271"/>
        <v>16.5</v>
      </c>
      <c r="AA1606" s="304">
        <f ca="1">OFFSET(卡牌辅助配置表!$AD$1,MATCH(AB1606,卡牌辅助配置表!AB:AB,0)-1,0)</f>
        <v>810</v>
      </c>
      <c r="AB1606" s="304">
        <f ca="1" t="shared" ref="AB1606:AB1669" si="276">J1606*1000+K1606*100+N1606</f>
        <v>1130</v>
      </c>
      <c r="AF1606" s="153" t="str">
        <f ca="1" t="shared" si="268"/>
        <v>30020011|</v>
      </c>
      <c r="AJ1606" s="205">
        <f ca="1" t="shared" ref="AJ1606:AJ1669" si="277">IF(AN1606=0,0,IF(AL1606=0,$AM$1&amp;$AF$1&amp;AM1606&amp;$AF$1&amp;$AJ$1,AK1606&amp;$AF$1&amp;AL1606&amp;$AF$1&amp;$AJ$1&amp;$AM$1&amp;$AF$1&amp;AM1606&amp;$AF$1&amp;$AJ$1))</f>
        <v>0</v>
      </c>
      <c r="AK1606" s="205">
        <f ca="1">OFFSET([1]item_type!$A$1,MATCH(Q1606,[1]item_type!$G:$G,0)-1,0)</f>
        <v>303002</v>
      </c>
      <c r="AL1606" s="205"/>
      <c r="AM1606" s="205">
        <f ca="1">IF(B1606=B1607,OFFSET(卡牌辅助配置表!$AE$1,MATCH(AB1606,卡牌辅助配置表!AB:AB,0),0),0)</f>
        <v>0</v>
      </c>
      <c r="AN1606" s="153">
        <f ca="1" t="shared" si="272"/>
        <v>0</v>
      </c>
      <c r="AP1606" s="153">
        <f ca="1">IF(AC1606=0,0,IF(AC1606=12,0,OFFSET(effect!$N$1,MATCH(K1606,effect!M:M,0)-1,0)))</f>
        <v>0</v>
      </c>
    </row>
    <row r="1607" spans="1:42">
      <c r="A1607" s="153">
        <f ca="1" t="shared" si="273"/>
        <v>3003001</v>
      </c>
      <c r="B1607" s="91" t="s">
        <v>524</v>
      </c>
      <c r="C1607" s="186">
        <v>3</v>
      </c>
      <c r="D1607" s="186">
        <v>6</v>
      </c>
      <c r="E1607" s="165" t="s">
        <v>1069</v>
      </c>
      <c r="F1607" s="165" t="str">
        <f>"本回合每出一张法术牌，伤害增加"&amp;skill!$O$128/100&amp;"%"</f>
        <v>本回合每出一张法术牌，伤害增加25%</v>
      </c>
      <c r="G1607" s="186">
        <f ca="1">OFFSET(卡牌辅助配置表!$C$1,MATCH(AC1607,卡牌辅助配置表!A:A,0)-1,0)</f>
        <v>3</v>
      </c>
      <c r="H1607" s="186">
        <f ca="1">OFFSET(skill!$Q$1,MATCH(B1607,skill!B:B,0)-1,0)</f>
        <v>0.4</v>
      </c>
      <c r="I1607" s="186"/>
      <c r="J1607" s="186">
        <f ca="1">OFFSET(card_type!$F$1,MATCH(Q1607,card_type!A:A,0)-1,0)</f>
        <v>1</v>
      </c>
      <c r="K1607" s="243">
        <f ca="1">OFFSET(card_type!$G$1,MATCH(Q1607,card_type!A:A,0)-1,0)</f>
        <v>2</v>
      </c>
      <c r="L1607" s="157">
        <v>2</v>
      </c>
      <c r="M1607" s="157">
        <v>2</v>
      </c>
      <c r="N1607" s="153">
        <f t="shared" si="274"/>
        <v>1</v>
      </c>
      <c r="O1607" s="157"/>
      <c r="P1607" s="157"/>
      <c r="Q1607" s="153">
        <f ca="1">OFFSET(card_type!$A$1,MATCH(card!B1607,card_type!B:B,0)-1,0)</f>
        <v>3003</v>
      </c>
      <c r="R1607" s="153">
        <v>1</v>
      </c>
      <c r="S1607" s="157">
        <f ca="1">ROUND(IF(R1607=0,0,IF(R1607=1,X1607*$S$1,IF(R1607=2,X1607*$S$1*buff的资质计算!$E$2,IF(R1607=3,X1607*$S$1*buff的资质计算!$E$3,0)))),0)*0</f>
        <v>0</v>
      </c>
      <c r="T1607" s="153">
        <v>2</v>
      </c>
      <c r="U1607" s="153">
        <f ca="1" t="shared" si="275"/>
        <v>12</v>
      </c>
      <c r="V1607" s="153">
        <f ca="1">ROUND((OFFSET(卡牌辅助配置表!$O$1,MATCH(U1607,卡牌辅助配置表!M:M,0)-1,0)+(N1607-1)*OFFSET(卡牌辅助配置表!$P$1,MATCH(U1607,卡牌辅助配置表!M:M,0)-1,0))*M1607,2)</f>
        <v>19</v>
      </c>
      <c r="W1607" s="157">
        <f ca="1">ROUND(IF(R1607=0,0,IF(R1607=1,X1607*$W$1,IF(R1607=2,X1607*$W$1*buff的资质计算!$E$2,IF(R1607=3,X1607*$W$1*buff的资质计算!$E$3,0)))),2)</f>
        <v>6.3</v>
      </c>
      <c r="X1607" s="157">
        <f ca="1" t="shared" si="270"/>
        <v>21</v>
      </c>
      <c r="Y1607" s="157">
        <f ca="1" t="shared" si="267"/>
        <v>21.4</v>
      </c>
      <c r="Z1607" s="304">
        <f ca="1" t="shared" si="271"/>
        <v>10.7</v>
      </c>
      <c r="AA1607" s="304">
        <f ca="1">OFFSET(卡牌辅助配置表!$AD$1,MATCH(AB1607,卡牌辅助配置表!AB:AB,0)-1,0)</f>
        <v>36</v>
      </c>
      <c r="AB1607" s="304">
        <f ca="1" t="shared" si="276"/>
        <v>1201</v>
      </c>
      <c r="AC1607" s="153">
        <v>1</v>
      </c>
      <c r="AE1607" s="153">
        <v>3</v>
      </c>
      <c r="AF1607" s="153" t="str">
        <f ca="1" t="shared" si="268"/>
        <v>30030011|</v>
      </c>
      <c r="AJ1607" s="205" t="str">
        <f ca="1" t="shared" si="277"/>
        <v>400023|1050|;</v>
      </c>
      <c r="AK1607" s="205">
        <f ca="1">OFFSET([1]item_type!$A$1,MATCH(Q1607,[1]item_type!$G:$G,0)-1,0)</f>
        <v>303003</v>
      </c>
      <c r="AL1607" s="205"/>
      <c r="AM1607" s="205">
        <f ca="1">IF(B1607=B1608,OFFSET(卡牌辅助配置表!$AE$1,MATCH(AB1607,卡牌辅助配置表!AB:AB,0),0),0)</f>
        <v>1050</v>
      </c>
      <c r="AN1607" s="153">
        <f ca="1" t="shared" si="272"/>
        <v>3003002</v>
      </c>
      <c r="AP1607" s="153" t="str">
        <f ca="1">IF(AC1607=0,0,IF(AC1607=12,0,OFFSET(effect!$N$1,MATCH(K1607,effect!M:M,0)-1,0)))</f>
        <v>kpsx_pt</v>
      </c>
    </row>
    <row r="1608" spans="1:42">
      <c r="A1608" s="153">
        <f ca="1" t="shared" si="273"/>
        <v>3003002</v>
      </c>
      <c r="B1608" s="91" t="s">
        <v>524</v>
      </c>
      <c r="C1608" s="186">
        <v>3</v>
      </c>
      <c r="D1608" s="186">
        <v>6</v>
      </c>
      <c r="E1608" s="165" t="s">
        <v>1069</v>
      </c>
      <c r="F1608" s="165" t="str">
        <f>"本回合每出一张法术牌，伤害增加"&amp;skill!$O$128/100&amp;"%"</f>
        <v>本回合每出一张法术牌，伤害增加25%</v>
      </c>
      <c r="G1608" s="186">
        <f ca="1">OFFSET(卡牌辅助配置表!$C$1,MATCH(AC1608,卡牌辅助配置表!A:A,0)-1,0)</f>
        <v>3</v>
      </c>
      <c r="H1608" s="186">
        <f ca="1">OFFSET(skill!$Q$1,MATCH(B1608,skill!B:B,0)-1,0)</f>
        <v>0.4</v>
      </c>
      <c r="I1608" s="186"/>
      <c r="J1608" s="186">
        <f ca="1">OFFSET(card_type!$F$1,MATCH(Q1608,card_type!A:A,0)-1,0)</f>
        <v>1</v>
      </c>
      <c r="K1608" s="243">
        <f ca="1">OFFSET(card_type!$G$1,MATCH(Q1608,card_type!A:A,0)-1,0)</f>
        <v>2</v>
      </c>
      <c r="L1608" s="157">
        <v>2</v>
      </c>
      <c r="M1608" s="157">
        <v>2</v>
      </c>
      <c r="N1608" s="153">
        <f t="shared" si="274"/>
        <v>2</v>
      </c>
      <c r="O1608" s="157"/>
      <c r="P1608" s="157"/>
      <c r="Q1608" s="153">
        <f ca="1">OFFSET(card_type!$A$1,MATCH(card!B1608,card_type!B:B,0)-1,0)</f>
        <v>3003</v>
      </c>
      <c r="R1608" s="153">
        <v>1</v>
      </c>
      <c r="S1608" s="157">
        <f ca="1">ROUND(IF(R1608=0,0,IF(R1608=1,X1608*$S$1,IF(R1608=2,X1608*$S$1*buff的资质计算!$E$2,IF(R1608=3,X1608*$S$1*buff的资质计算!$E$3,0)))),0)*0</f>
        <v>0</v>
      </c>
      <c r="T1608" s="153">
        <v>2</v>
      </c>
      <c r="U1608" s="153">
        <f ca="1" t="shared" si="275"/>
        <v>12</v>
      </c>
      <c r="V1608" s="153">
        <f ca="1">ROUND((OFFSET(卡牌辅助配置表!$O$1,MATCH(U1608,卡牌辅助配置表!M:M,0)-1,0)+(N1608-1)*OFFSET(卡牌辅助配置表!$P$1,MATCH(U1608,卡牌辅助配置表!M:M,0)-1,0))*M1608,2)</f>
        <v>19.63</v>
      </c>
      <c r="W1608" s="157">
        <f ca="1">ROUND(IF(R1608=0,0,IF(R1608=1,X1608*$W$1,IF(R1608=2,X1608*$W$1*buff的资质计算!$E$2,IF(R1608=3,X1608*$W$1*buff的资质计算!$E$3,0)))),2)</f>
        <v>6.45</v>
      </c>
      <c r="X1608" s="157">
        <f ca="1" t="shared" si="270"/>
        <v>21.5</v>
      </c>
      <c r="Y1608" s="157">
        <f ca="1" t="shared" si="267"/>
        <v>21.9</v>
      </c>
      <c r="Z1608" s="304">
        <f ca="1" t="shared" si="271"/>
        <v>10.95</v>
      </c>
      <c r="AA1608" s="304">
        <f ca="1">OFFSET(卡牌辅助配置表!$AD$1,MATCH(AB1608,卡牌辅助配置表!AB:AB,0)-1,0)</f>
        <v>72</v>
      </c>
      <c r="AB1608" s="304">
        <f ca="1" t="shared" si="276"/>
        <v>1202</v>
      </c>
      <c r="AC1608" s="153">
        <v>1</v>
      </c>
      <c r="AE1608" s="153">
        <v>3</v>
      </c>
      <c r="AF1608" s="153" t="str">
        <f ca="1" t="shared" si="268"/>
        <v>30030011|</v>
      </c>
      <c r="AJ1608" s="205" t="str">
        <f ca="1" t="shared" si="277"/>
        <v>400023|1350|;</v>
      </c>
      <c r="AK1608" s="205">
        <f ca="1">OFFSET([1]item_type!$A$1,MATCH(Q1608,[1]item_type!$G:$G,0)-1,0)</f>
        <v>303003</v>
      </c>
      <c r="AL1608" s="205"/>
      <c r="AM1608" s="205">
        <f ca="1">IF(B1608=B1609,OFFSET(卡牌辅助配置表!$AE$1,MATCH(AB1608,卡牌辅助配置表!AB:AB,0),0),0)</f>
        <v>1350</v>
      </c>
      <c r="AN1608" s="153">
        <f ca="1" t="shared" si="272"/>
        <v>3003003</v>
      </c>
      <c r="AP1608" s="153" t="str">
        <f ca="1">IF(AC1608=0,0,IF(AC1608=12,0,OFFSET(effect!$N$1,MATCH(K1608,effect!M:M,0)-1,0)))</f>
        <v>kpsx_pt</v>
      </c>
    </row>
    <row r="1609" spans="1:42">
      <c r="A1609" s="153">
        <f ca="1" t="shared" si="273"/>
        <v>3003003</v>
      </c>
      <c r="B1609" s="91" t="s">
        <v>524</v>
      </c>
      <c r="C1609" s="186">
        <v>3</v>
      </c>
      <c r="D1609" s="186">
        <v>6</v>
      </c>
      <c r="E1609" s="165" t="s">
        <v>1069</v>
      </c>
      <c r="F1609" s="165" t="str">
        <f>"本回合每出一张法术牌，伤害增加"&amp;skill!$O$128/100&amp;"%"</f>
        <v>本回合每出一张法术牌，伤害增加25%</v>
      </c>
      <c r="G1609" s="186">
        <f ca="1">OFFSET(卡牌辅助配置表!$C$1,MATCH(AC1609,卡牌辅助配置表!A:A,0)-1,0)</f>
        <v>3</v>
      </c>
      <c r="H1609" s="186">
        <f ca="1">OFFSET(skill!$Q$1,MATCH(B1609,skill!B:B,0)-1,0)</f>
        <v>0.4</v>
      </c>
      <c r="I1609" s="186"/>
      <c r="J1609" s="186">
        <f ca="1">OFFSET(card_type!$F$1,MATCH(Q1609,card_type!A:A,0)-1,0)</f>
        <v>1</v>
      </c>
      <c r="K1609" s="243">
        <f ca="1">OFFSET(card_type!$G$1,MATCH(Q1609,card_type!A:A,0)-1,0)</f>
        <v>2</v>
      </c>
      <c r="L1609" s="157">
        <v>2</v>
      </c>
      <c r="M1609" s="157">
        <v>2</v>
      </c>
      <c r="N1609" s="153">
        <f t="shared" si="274"/>
        <v>3</v>
      </c>
      <c r="O1609" s="157"/>
      <c r="P1609" s="157"/>
      <c r="Q1609" s="153">
        <f ca="1">OFFSET(card_type!$A$1,MATCH(card!B1609,card_type!B:B,0)-1,0)</f>
        <v>3003</v>
      </c>
      <c r="R1609" s="153">
        <v>1</v>
      </c>
      <c r="S1609" s="157">
        <f ca="1">ROUND(IF(R1609=0,0,IF(R1609=1,X1609*$S$1,IF(R1609=2,X1609*$S$1*buff的资质计算!$E$2,IF(R1609=3,X1609*$S$1*buff的资质计算!$E$3,0)))),0)*0</f>
        <v>0</v>
      </c>
      <c r="T1609" s="153">
        <v>2</v>
      </c>
      <c r="U1609" s="153">
        <f ca="1" t="shared" si="275"/>
        <v>12</v>
      </c>
      <c r="V1609" s="153">
        <f ca="1">ROUND((OFFSET(卡牌辅助配置表!$O$1,MATCH(U1609,卡牌辅助配置表!M:M,0)-1,0)+(N1609-1)*OFFSET(卡牌辅助配置表!$P$1,MATCH(U1609,卡牌辅助配置表!M:M,0)-1,0))*M1609,2)</f>
        <v>20.27</v>
      </c>
      <c r="W1609" s="157">
        <f ca="1">ROUND(IF(R1609=0,0,IF(R1609=1,X1609*$W$1,IF(R1609=2,X1609*$W$1*buff的资质计算!$E$2,IF(R1609=3,X1609*$W$1*buff的资质计算!$E$3,0)))),2)</f>
        <v>6.6</v>
      </c>
      <c r="X1609" s="157">
        <f ca="1" t="shared" si="270"/>
        <v>22</v>
      </c>
      <c r="Y1609" s="157">
        <f ca="1" t="shared" si="267"/>
        <v>22.4</v>
      </c>
      <c r="Z1609" s="304">
        <f ca="1" t="shared" si="271"/>
        <v>11.2</v>
      </c>
      <c r="AA1609" s="304">
        <f ca="1">OFFSET(卡牌辅助配置表!$AD$1,MATCH(AB1609,卡牌辅助配置表!AB:AB,0)-1,0)</f>
        <v>108</v>
      </c>
      <c r="AB1609" s="304">
        <f ca="1" t="shared" si="276"/>
        <v>1203</v>
      </c>
      <c r="AC1609" s="153">
        <v>1</v>
      </c>
      <c r="AE1609" s="153">
        <v>3</v>
      </c>
      <c r="AF1609" s="153" t="str">
        <f ca="1" t="shared" si="268"/>
        <v>30030011|</v>
      </c>
      <c r="AJ1609" s="205" t="str">
        <f ca="1" t="shared" si="277"/>
        <v>400023|1650|;</v>
      </c>
      <c r="AK1609" s="205">
        <f ca="1">OFFSET([1]item_type!$A$1,MATCH(Q1609,[1]item_type!$G:$G,0)-1,0)</f>
        <v>303003</v>
      </c>
      <c r="AL1609" s="205"/>
      <c r="AM1609" s="205">
        <f ca="1">IF(B1609=B1610,OFFSET(卡牌辅助配置表!$AE$1,MATCH(AB1609,卡牌辅助配置表!AB:AB,0),0),0)</f>
        <v>1650</v>
      </c>
      <c r="AN1609" s="153">
        <f ca="1" t="shared" si="272"/>
        <v>3003004</v>
      </c>
      <c r="AP1609" s="153" t="str">
        <f ca="1">IF(AC1609=0,0,IF(AC1609=12,0,OFFSET(effect!$N$1,MATCH(K1609,effect!M:M,0)-1,0)))</f>
        <v>kpsx_pt</v>
      </c>
    </row>
    <row r="1610" spans="1:42">
      <c r="A1610" s="153">
        <f ca="1" t="shared" si="273"/>
        <v>3003004</v>
      </c>
      <c r="B1610" s="91" t="s">
        <v>524</v>
      </c>
      <c r="C1610" s="186">
        <v>3</v>
      </c>
      <c r="D1610" s="186">
        <v>6</v>
      </c>
      <c r="E1610" s="165" t="s">
        <v>1069</v>
      </c>
      <c r="F1610" s="165" t="str">
        <f>"本回合每出一张法术牌，伤害增加"&amp;skill!$O$128/100&amp;"%"</f>
        <v>本回合每出一张法术牌，伤害增加25%</v>
      </c>
      <c r="G1610" s="186">
        <f ca="1">OFFSET(卡牌辅助配置表!$C$1,MATCH(AC1610,卡牌辅助配置表!A:A,0)-1,0)</f>
        <v>3</v>
      </c>
      <c r="H1610" s="186">
        <f ca="1">OFFSET(skill!$Q$1,MATCH(B1610,skill!B:B,0)-1,0)</f>
        <v>0.4</v>
      </c>
      <c r="I1610" s="186"/>
      <c r="J1610" s="186">
        <f ca="1">OFFSET(card_type!$F$1,MATCH(Q1610,card_type!A:A,0)-1,0)</f>
        <v>1</v>
      </c>
      <c r="K1610" s="243">
        <f ca="1">OFFSET(card_type!$G$1,MATCH(Q1610,card_type!A:A,0)-1,0)</f>
        <v>2</v>
      </c>
      <c r="L1610" s="157">
        <v>2</v>
      </c>
      <c r="M1610" s="157">
        <v>2</v>
      </c>
      <c r="N1610" s="153">
        <f t="shared" si="274"/>
        <v>4</v>
      </c>
      <c r="O1610" s="157"/>
      <c r="P1610" s="157"/>
      <c r="Q1610" s="153">
        <f ca="1">OFFSET(card_type!$A$1,MATCH(card!B1610,card_type!B:B,0)-1,0)</f>
        <v>3003</v>
      </c>
      <c r="R1610" s="153">
        <v>1</v>
      </c>
      <c r="S1610" s="157">
        <f ca="1">ROUND(IF(R1610=0,0,IF(R1610=1,X1610*$S$1,IF(R1610=2,X1610*$S$1*buff的资质计算!$E$2,IF(R1610=3,X1610*$S$1*buff的资质计算!$E$3,0)))),0)*0</f>
        <v>0</v>
      </c>
      <c r="T1610" s="153">
        <v>2</v>
      </c>
      <c r="U1610" s="153">
        <f ca="1" t="shared" si="275"/>
        <v>12</v>
      </c>
      <c r="V1610" s="153">
        <f ca="1">ROUND((OFFSET(卡牌辅助配置表!$O$1,MATCH(U1610,卡牌辅助配置表!M:M,0)-1,0)+(N1610-1)*OFFSET(卡牌辅助配置表!$P$1,MATCH(U1610,卡牌辅助配置表!M:M,0)-1,0))*M1610,2)</f>
        <v>20.9</v>
      </c>
      <c r="W1610" s="157">
        <f ca="1">ROUND(IF(R1610=0,0,IF(R1610=1,X1610*$W$1,IF(R1610=2,X1610*$W$1*buff的资质计算!$E$2,IF(R1610=3,X1610*$W$1*buff的资质计算!$E$3,0)))),2)</f>
        <v>6.75</v>
      </c>
      <c r="X1610" s="157">
        <f ca="1" t="shared" si="270"/>
        <v>22.5</v>
      </c>
      <c r="Y1610" s="157">
        <f ca="1" t="shared" ref="Y1610:Y1673" si="278">X1610+H1610</f>
        <v>22.9</v>
      </c>
      <c r="Z1610" s="304">
        <f ca="1" t="shared" si="271"/>
        <v>11.45</v>
      </c>
      <c r="AA1610" s="304">
        <f ca="1">OFFSET(卡牌辅助配置表!$AD$1,MATCH(AB1610,卡牌辅助配置表!AB:AB,0)-1,0)</f>
        <v>144</v>
      </c>
      <c r="AB1610" s="304">
        <f ca="1" t="shared" si="276"/>
        <v>1204</v>
      </c>
      <c r="AC1610" s="153">
        <v>1</v>
      </c>
      <c r="AE1610" s="153">
        <v>3</v>
      </c>
      <c r="AF1610" s="153" t="str">
        <f ca="1" t="shared" si="268"/>
        <v>30030011|</v>
      </c>
      <c r="AJ1610" s="205" t="str">
        <f ca="1" t="shared" si="277"/>
        <v>400023|1950|;</v>
      </c>
      <c r="AK1610" s="205">
        <f ca="1">OFFSET([1]item_type!$A$1,MATCH(Q1610,[1]item_type!$G:$G,0)-1,0)</f>
        <v>303003</v>
      </c>
      <c r="AL1610" s="205"/>
      <c r="AM1610" s="205">
        <f ca="1">IF(B1610=B1611,OFFSET(卡牌辅助配置表!$AE$1,MATCH(AB1610,卡牌辅助配置表!AB:AB,0),0),0)</f>
        <v>1950</v>
      </c>
      <c r="AN1610" s="153">
        <f ca="1" t="shared" si="272"/>
        <v>3003005</v>
      </c>
      <c r="AP1610" s="153" t="str">
        <f ca="1">IF(AC1610=0,0,IF(AC1610=12,0,OFFSET(effect!$N$1,MATCH(K1610,effect!M:M,0)-1,0)))</f>
        <v>kpsx_pt</v>
      </c>
    </row>
    <row r="1611" spans="1:42">
      <c r="A1611" s="153">
        <f ca="1" t="shared" si="273"/>
        <v>3003005</v>
      </c>
      <c r="B1611" s="91" t="s">
        <v>524</v>
      </c>
      <c r="C1611" s="186">
        <v>3</v>
      </c>
      <c r="D1611" s="186">
        <v>6</v>
      </c>
      <c r="E1611" s="165" t="s">
        <v>1069</v>
      </c>
      <c r="F1611" s="165" t="str">
        <f>"本回合每出一张法术牌，伤害增加"&amp;skill!$O$128/100&amp;"%"</f>
        <v>本回合每出一张法术牌，伤害增加25%</v>
      </c>
      <c r="G1611" s="186">
        <f ca="1">OFFSET(卡牌辅助配置表!$C$1,MATCH(AC1611,卡牌辅助配置表!A:A,0)-1,0)</f>
        <v>3</v>
      </c>
      <c r="H1611" s="186">
        <f ca="1">OFFSET(skill!$Q$1,MATCH(B1611,skill!B:B,0)-1,0)</f>
        <v>0.4</v>
      </c>
      <c r="I1611" s="186"/>
      <c r="J1611" s="186">
        <f ca="1">OFFSET(card_type!$F$1,MATCH(Q1611,card_type!A:A,0)-1,0)</f>
        <v>1</v>
      </c>
      <c r="K1611" s="243">
        <f ca="1">OFFSET(card_type!$G$1,MATCH(Q1611,card_type!A:A,0)-1,0)</f>
        <v>2</v>
      </c>
      <c r="L1611" s="157">
        <v>2</v>
      </c>
      <c r="M1611" s="157">
        <v>2</v>
      </c>
      <c r="N1611" s="153">
        <f t="shared" si="274"/>
        <v>5</v>
      </c>
      <c r="O1611" s="157"/>
      <c r="P1611" s="157"/>
      <c r="Q1611" s="153">
        <f ca="1">OFFSET(card_type!$A$1,MATCH(card!B1611,card_type!B:B,0)-1,0)</f>
        <v>3003</v>
      </c>
      <c r="R1611" s="153">
        <v>1</v>
      </c>
      <c r="S1611" s="157">
        <f ca="1">ROUND(IF(R1611=0,0,IF(R1611=1,X1611*$S$1,IF(R1611=2,X1611*$S$1*buff的资质计算!$E$2,IF(R1611=3,X1611*$S$1*buff的资质计算!$E$3,0)))),0)*0</f>
        <v>0</v>
      </c>
      <c r="T1611" s="153">
        <v>2</v>
      </c>
      <c r="U1611" s="153">
        <f ca="1" t="shared" si="275"/>
        <v>12</v>
      </c>
      <c r="V1611" s="153">
        <f ca="1">ROUND((OFFSET(卡牌辅助配置表!$O$1,MATCH(U1611,卡牌辅助配置表!M:M,0)-1,0)+(N1611-1)*OFFSET(卡牌辅助配置表!$P$1,MATCH(U1611,卡牌辅助配置表!M:M,0)-1,0))*M1611,2)</f>
        <v>21.53</v>
      </c>
      <c r="W1611" s="157">
        <f ca="1">ROUND(IF(R1611=0,0,IF(R1611=1,X1611*$W$1,IF(R1611=2,X1611*$W$1*buff的资质计算!$E$2,IF(R1611=3,X1611*$W$1*buff的资质计算!$E$3,0)))),2)</f>
        <v>6.9</v>
      </c>
      <c r="X1611" s="157">
        <f ca="1" t="shared" si="270"/>
        <v>23</v>
      </c>
      <c r="Y1611" s="157">
        <f ca="1" t="shared" si="278"/>
        <v>23.4</v>
      </c>
      <c r="Z1611" s="304">
        <f ca="1" t="shared" si="271"/>
        <v>11.7</v>
      </c>
      <c r="AA1611" s="304">
        <f ca="1">OFFSET(卡牌辅助配置表!$AD$1,MATCH(AB1611,卡牌辅助配置表!AB:AB,0)-1,0)</f>
        <v>180</v>
      </c>
      <c r="AB1611" s="304">
        <f ca="1" t="shared" si="276"/>
        <v>1205</v>
      </c>
      <c r="AC1611" s="153">
        <v>1</v>
      </c>
      <c r="AE1611" s="153">
        <v>3</v>
      </c>
      <c r="AF1611" s="153" t="str">
        <f ca="1" t="shared" si="268"/>
        <v>30030011|</v>
      </c>
      <c r="AJ1611" s="205" t="str">
        <f ca="1" t="shared" si="277"/>
        <v>400023|2250|;</v>
      </c>
      <c r="AK1611" s="205">
        <f ca="1">OFFSET([1]item_type!$A$1,MATCH(Q1611,[1]item_type!$G:$G,0)-1,0)</f>
        <v>303003</v>
      </c>
      <c r="AL1611" s="205"/>
      <c r="AM1611" s="205">
        <f ca="1">IF(B1611=B1612,OFFSET(卡牌辅助配置表!$AE$1,MATCH(AB1611,卡牌辅助配置表!AB:AB,0),0),0)</f>
        <v>2250</v>
      </c>
      <c r="AN1611" s="153">
        <f ca="1" t="shared" si="272"/>
        <v>3003006</v>
      </c>
      <c r="AP1611" s="153" t="str">
        <f ca="1">IF(AC1611=0,0,IF(AC1611=12,0,OFFSET(effect!$N$1,MATCH(K1611,effect!M:M,0)-1,0)))</f>
        <v>kpsx_pt</v>
      </c>
    </row>
    <row r="1612" spans="1:42">
      <c r="A1612" s="153">
        <f ca="1" t="shared" si="273"/>
        <v>3003006</v>
      </c>
      <c r="B1612" s="91" t="s">
        <v>524</v>
      </c>
      <c r="C1612" s="186">
        <v>3</v>
      </c>
      <c r="D1612" s="186">
        <v>6</v>
      </c>
      <c r="E1612" s="165" t="s">
        <v>1069</v>
      </c>
      <c r="F1612" s="165" t="str">
        <f>"本回合每出一张法术牌，伤害增加"&amp;skill!$O$128/100&amp;"%"</f>
        <v>本回合每出一张法术牌，伤害增加25%</v>
      </c>
      <c r="G1612" s="186">
        <f ca="1">OFFSET(卡牌辅助配置表!$C$1,MATCH(AC1612,卡牌辅助配置表!A:A,0)-1,0)</f>
        <v>3</v>
      </c>
      <c r="H1612" s="186">
        <f ca="1">OFFSET(skill!$Q$1,MATCH(B1612,skill!B:B,0)-1,0)</f>
        <v>0.4</v>
      </c>
      <c r="I1612" s="186"/>
      <c r="J1612" s="186">
        <f ca="1">OFFSET(card_type!$F$1,MATCH(Q1612,card_type!A:A,0)-1,0)</f>
        <v>1</v>
      </c>
      <c r="K1612" s="243">
        <f ca="1">OFFSET(card_type!$G$1,MATCH(Q1612,card_type!A:A,0)-1,0)</f>
        <v>2</v>
      </c>
      <c r="L1612" s="157">
        <v>2</v>
      </c>
      <c r="M1612" s="157">
        <v>2</v>
      </c>
      <c r="N1612" s="153">
        <f t="shared" si="274"/>
        <v>6</v>
      </c>
      <c r="O1612" s="157"/>
      <c r="P1612" s="157"/>
      <c r="Q1612" s="153">
        <f ca="1">OFFSET(card_type!$A$1,MATCH(card!B1612,card_type!B:B,0)-1,0)</f>
        <v>3003</v>
      </c>
      <c r="R1612" s="153">
        <v>1</v>
      </c>
      <c r="S1612" s="157">
        <f ca="1">ROUND(IF(R1612=0,0,IF(R1612=1,X1612*$S$1,IF(R1612=2,X1612*$S$1*buff的资质计算!$E$2,IF(R1612=3,X1612*$S$1*buff的资质计算!$E$3,0)))),0)*0</f>
        <v>0</v>
      </c>
      <c r="T1612" s="153">
        <v>2</v>
      </c>
      <c r="U1612" s="153">
        <f ca="1" t="shared" si="275"/>
        <v>12</v>
      </c>
      <c r="V1612" s="153">
        <f ca="1">ROUND((OFFSET(卡牌辅助配置表!$O$1,MATCH(U1612,卡牌辅助配置表!M:M,0)-1,0)+(N1612-1)*OFFSET(卡牌辅助配置表!$P$1,MATCH(U1612,卡牌辅助配置表!M:M,0)-1,0))*M1612,2)</f>
        <v>22.17</v>
      </c>
      <c r="W1612" s="157">
        <f ca="1">ROUND(IF(R1612=0,0,IF(R1612=1,X1612*$W$1,IF(R1612=2,X1612*$W$1*buff的资质计算!$E$2,IF(R1612=3,X1612*$W$1*buff的资质计算!$E$3,0)))),2)</f>
        <v>7.05</v>
      </c>
      <c r="X1612" s="157">
        <f ca="1" t="shared" si="270"/>
        <v>23.5</v>
      </c>
      <c r="Y1612" s="157">
        <f ca="1" t="shared" si="278"/>
        <v>23.9</v>
      </c>
      <c r="Z1612" s="304">
        <f ca="1" t="shared" si="271"/>
        <v>11.95</v>
      </c>
      <c r="AA1612" s="304">
        <f ca="1">OFFSET(卡牌辅助配置表!$AD$1,MATCH(AB1612,卡牌辅助配置表!AB:AB,0)-1,0)</f>
        <v>216</v>
      </c>
      <c r="AB1612" s="304">
        <f ca="1" t="shared" si="276"/>
        <v>1206</v>
      </c>
      <c r="AC1612" s="153">
        <v>1</v>
      </c>
      <c r="AE1612" s="153">
        <v>3</v>
      </c>
      <c r="AF1612" s="153" t="str">
        <f ca="1" t="shared" si="268"/>
        <v>30030011|</v>
      </c>
      <c r="AJ1612" s="205" t="str">
        <f ca="1" t="shared" si="277"/>
        <v>400023|2550|;</v>
      </c>
      <c r="AK1612" s="205">
        <f ca="1">OFFSET([1]item_type!$A$1,MATCH(Q1612,[1]item_type!$G:$G,0)-1,0)</f>
        <v>303003</v>
      </c>
      <c r="AL1612" s="205"/>
      <c r="AM1612" s="205">
        <f ca="1">IF(B1612=B1613,OFFSET(卡牌辅助配置表!$AE$1,MATCH(AB1612,卡牌辅助配置表!AB:AB,0),0),0)</f>
        <v>2550</v>
      </c>
      <c r="AN1612" s="153">
        <f ca="1" t="shared" si="272"/>
        <v>3003007</v>
      </c>
      <c r="AP1612" s="153" t="str">
        <f ca="1">IF(AC1612=0,0,IF(AC1612=12,0,OFFSET(effect!$N$1,MATCH(K1612,effect!M:M,0)-1,0)))</f>
        <v>kpsx_pt</v>
      </c>
    </row>
    <row r="1613" spans="1:42">
      <c r="A1613" s="153">
        <f ca="1" t="shared" si="273"/>
        <v>3003007</v>
      </c>
      <c r="B1613" s="91" t="s">
        <v>524</v>
      </c>
      <c r="C1613" s="186">
        <v>3</v>
      </c>
      <c r="D1613" s="186">
        <v>6</v>
      </c>
      <c r="E1613" s="165" t="s">
        <v>1069</v>
      </c>
      <c r="F1613" s="165" t="str">
        <f>"本回合每出一张法术牌，伤害增加"&amp;skill!$O$128/100&amp;"%"</f>
        <v>本回合每出一张法术牌，伤害增加25%</v>
      </c>
      <c r="G1613" s="186">
        <f ca="1">OFFSET(卡牌辅助配置表!$C$1,MATCH(AC1613,卡牌辅助配置表!A:A,0)-1,0)</f>
        <v>3</v>
      </c>
      <c r="H1613" s="186">
        <f ca="1">OFFSET(skill!$Q$1,MATCH(B1613,skill!B:B,0)-1,0)</f>
        <v>0.4</v>
      </c>
      <c r="I1613" s="186"/>
      <c r="J1613" s="186">
        <f ca="1">OFFSET(card_type!$F$1,MATCH(Q1613,card_type!A:A,0)-1,0)</f>
        <v>1</v>
      </c>
      <c r="K1613" s="243">
        <f ca="1">OFFSET(card_type!$G$1,MATCH(Q1613,card_type!A:A,0)-1,0)</f>
        <v>2</v>
      </c>
      <c r="L1613" s="157">
        <v>2</v>
      </c>
      <c r="M1613" s="157">
        <v>2</v>
      </c>
      <c r="N1613" s="153">
        <f t="shared" si="274"/>
        <v>7</v>
      </c>
      <c r="O1613" s="157"/>
      <c r="P1613" s="157"/>
      <c r="Q1613" s="153">
        <f ca="1">OFFSET(card_type!$A$1,MATCH(card!B1613,card_type!B:B,0)-1,0)</f>
        <v>3003</v>
      </c>
      <c r="R1613" s="153">
        <v>1</v>
      </c>
      <c r="S1613" s="157">
        <f ca="1">ROUND(IF(R1613=0,0,IF(R1613=1,X1613*$S$1,IF(R1613=2,X1613*$S$1*buff的资质计算!$E$2,IF(R1613=3,X1613*$S$1*buff的资质计算!$E$3,0)))),0)*0</f>
        <v>0</v>
      </c>
      <c r="T1613" s="153">
        <v>2</v>
      </c>
      <c r="U1613" s="153">
        <f ca="1" t="shared" si="275"/>
        <v>12</v>
      </c>
      <c r="V1613" s="153">
        <f ca="1">ROUND((OFFSET(卡牌辅助配置表!$O$1,MATCH(U1613,卡牌辅助配置表!M:M,0)-1,0)+(N1613-1)*OFFSET(卡牌辅助配置表!$P$1,MATCH(U1613,卡牌辅助配置表!M:M,0)-1,0))*M1613,2)</f>
        <v>22.8</v>
      </c>
      <c r="W1613" s="157">
        <f ca="1">ROUND(IF(R1613=0,0,IF(R1613=1,X1613*$W$1,IF(R1613=2,X1613*$W$1*buff的资质计算!$E$2,IF(R1613=3,X1613*$W$1*buff的资质计算!$E$3,0)))),2)</f>
        <v>7.2</v>
      </c>
      <c r="X1613" s="157">
        <f ca="1" t="shared" si="270"/>
        <v>24</v>
      </c>
      <c r="Y1613" s="157">
        <f ca="1" t="shared" si="278"/>
        <v>24.4</v>
      </c>
      <c r="Z1613" s="304">
        <f ca="1" t="shared" si="271"/>
        <v>12.2</v>
      </c>
      <c r="AA1613" s="304">
        <f ca="1">OFFSET(卡牌辅助配置表!$AD$1,MATCH(AB1613,卡牌辅助配置表!AB:AB,0)-1,0)</f>
        <v>252</v>
      </c>
      <c r="AB1613" s="304">
        <f ca="1" t="shared" si="276"/>
        <v>1207</v>
      </c>
      <c r="AC1613" s="153">
        <v>1</v>
      </c>
      <c r="AE1613" s="153">
        <v>3</v>
      </c>
      <c r="AF1613" s="153" t="str">
        <f ca="1" t="shared" si="268"/>
        <v>30030011|</v>
      </c>
      <c r="AJ1613" s="205" t="str">
        <f ca="1" t="shared" si="277"/>
        <v>400023|2850|;</v>
      </c>
      <c r="AK1613" s="205">
        <f ca="1">OFFSET([1]item_type!$A$1,MATCH(Q1613,[1]item_type!$G:$G,0)-1,0)</f>
        <v>303003</v>
      </c>
      <c r="AL1613" s="205"/>
      <c r="AM1613" s="205">
        <f ca="1">IF(B1613=B1614,OFFSET(卡牌辅助配置表!$AE$1,MATCH(AB1613,卡牌辅助配置表!AB:AB,0),0),0)</f>
        <v>2850</v>
      </c>
      <c r="AN1613" s="153">
        <f ca="1" t="shared" si="272"/>
        <v>3003008</v>
      </c>
      <c r="AP1613" s="153" t="str">
        <f ca="1">IF(AC1613=0,0,IF(AC1613=12,0,OFFSET(effect!$N$1,MATCH(K1613,effect!M:M,0)-1,0)))</f>
        <v>kpsx_pt</v>
      </c>
    </row>
    <row r="1614" spans="1:42">
      <c r="A1614" s="153">
        <f ca="1" t="shared" si="273"/>
        <v>3003008</v>
      </c>
      <c r="B1614" s="91" t="s">
        <v>524</v>
      </c>
      <c r="C1614" s="186">
        <v>3</v>
      </c>
      <c r="D1614" s="186">
        <v>6</v>
      </c>
      <c r="E1614" s="165" t="s">
        <v>1069</v>
      </c>
      <c r="F1614" s="165" t="str">
        <f>"本回合每出一张法术牌，伤害增加"&amp;skill!$O$128/100&amp;"%"</f>
        <v>本回合每出一张法术牌，伤害增加25%</v>
      </c>
      <c r="G1614" s="186">
        <f ca="1">OFFSET(卡牌辅助配置表!$C$1,MATCH(AC1614,卡牌辅助配置表!A:A,0)-1,0)</f>
        <v>3</v>
      </c>
      <c r="H1614" s="186">
        <f ca="1">OFFSET(skill!$Q$1,MATCH(B1614,skill!B:B,0)-1,0)</f>
        <v>0.4</v>
      </c>
      <c r="I1614" s="186"/>
      <c r="J1614" s="186">
        <f ca="1">OFFSET(card_type!$F$1,MATCH(Q1614,card_type!A:A,0)-1,0)</f>
        <v>1</v>
      </c>
      <c r="K1614" s="243">
        <f ca="1">OFFSET(card_type!$G$1,MATCH(Q1614,card_type!A:A,0)-1,0)</f>
        <v>2</v>
      </c>
      <c r="L1614" s="157">
        <v>2</v>
      </c>
      <c r="M1614" s="157">
        <v>2</v>
      </c>
      <c r="N1614" s="153">
        <f t="shared" si="274"/>
        <v>8</v>
      </c>
      <c r="O1614" s="157"/>
      <c r="P1614" s="157"/>
      <c r="Q1614" s="153">
        <f ca="1">OFFSET(card_type!$A$1,MATCH(card!B1614,card_type!B:B,0)-1,0)</f>
        <v>3003</v>
      </c>
      <c r="R1614" s="153">
        <v>1</v>
      </c>
      <c r="S1614" s="157">
        <f ca="1">ROUND(IF(R1614=0,0,IF(R1614=1,X1614*$S$1,IF(R1614=2,X1614*$S$1*buff的资质计算!$E$2,IF(R1614=3,X1614*$S$1*buff的资质计算!$E$3,0)))),0)*0</f>
        <v>0</v>
      </c>
      <c r="T1614" s="153">
        <v>2</v>
      </c>
      <c r="U1614" s="153">
        <f ca="1" t="shared" si="275"/>
        <v>12</v>
      </c>
      <c r="V1614" s="153">
        <f ca="1">ROUND((OFFSET(卡牌辅助配置表!$O$1,MATCH(U1614,卡牌辅助配置表!M:M,0)-1,0)+(N1614-1)*OFFSET(卡牌辅助配置表!$P$1,MATCH(U1614,卡牌辅助配置表!M:M,0)-1,0))*M1614,2)</f>
        <v>23.43</v>
      </c>
      <c r="W1614" s="157">
        <f ca="1">ROUND(IF(R1614=0,0,IF(R1614=1,X1614*$W$1,IF(R1614=2,X1614*$W$1*buff的资质计算!$E$2,IF(R1614=3,X1614*$W$1*buff的资质计算!$E$3,0)))),2)</f>
        <v>7.35</v>
      </c>
      <c r="X1614" s="157">
        <f ca="1" t="shared" si="270"/>
        <v>24.5</v>
      </c>
      <c r="Y1614" s="157">
        <f ca="1" t="shared" si="278"/>
        <v>24.9</v>
      </c>
      <c r="Z1614" s="304">
        <f ca="1" t="shared" si="271"/>
        <v>12.45</v>
      </c>
      <c r="AA1614" s="304">
        <f ca="1">OFFSET(卡牌辅助配置表!$AD$1,MATCH(AB1614,卡牌辅助配置表!AB:AB,0)-1,0)</f>
        <v>288</v>
      </c>
      <c r="AB1614" s="304">
        <f ca="1" t="shared" si="276"/>
        <v>1208</v>
      </c>
      <c r="AC1614" s="153">
        <v>1</v>
      </c>
      <c r="AE1614" s="153">
        <v>3</v>
      </c>
      <c r="AF1614" s="153" t="str">
        <f ca="1" t="shared" si="268"/>
        <v>30030011|</v>
      </c>
      <c r="AJ1614" s="205" t="str">
        <f ca="1" t="shared" si="277"/>
        <v>400023|3150|;</v>
      </c>
      <c r="AK1614" s="205">
        <f ca="1">OFFSET([1]item_type!$A$1,MATCH(Q1614,[1]item_type!$G:$G,0)-1,0)</f>
        <v>303003</v>
      </c>
      <c r="AL1614" s="205"/>
      <c r="AM1614" s="205">
        <f ca="1">IF(B1614=B1615,OFFSET(卡牌辅助配置表!$AE$1,MATCH(AB1614,卡牌辅助配置表!AB:AB,0),0),0)</f>
        <v>3150</v>
      </c>
      <c r="AN1614" s="153">
        <f ca="1" t="shared" si="272"/>
        <v>3003009</v>
      </c>
      <c r="AP1614" s="153" t="str">
        <f ca="1">IF(AC1614=0,0,IF(AC1614=12,0,OFFSET(effect!$N$1,MATCH(K1614,effect!M:M,0)-1,0)))</f>
        <v>kpsx_pt</v>
      </c>
    </row>
    <row r="1615" spans="1:42">
      <c r="A1615" s="153">
        <f ca="1" t="shared" si="273"/>
        <v>3003009</v>
      </c>
      <c r="B1615" s="91" t="s">
        <v>524</v>
      </c>
      <c r="C1615" s="186">
        <v>3</v>
      </c>
      <c r="D1615" s="186">
        <v>6</v>
      </c>
      <c r="E1615" s="165" t="s">
        <v>1069</v>
      </c>
      <c r="F1615" s="165" t="str">
        <f>"本回合每出一张法术牌，伤害增加"&amp;skill!$O$128/100&amp;"%"</f>
        <v>本回合每出一张法术牌，伤害增加25%</v>
      </c>
      <c r="G1615" s="186">
        <f ca="1">OFFSET(卡牌辅助配置表!$C$1,MATCH(AC1615,卡牌辅助配置表!A:A,0)-1,0)</f>
        <v>3</v>
      </c>
      <c r="H1615" s="186">
        <f ca="1">OFFSET(skill!$Q$1,MATCH(B1615,skill!B:B,0)-1,0)</f>
        <v>0.4</v>
      </c>
      <c r="I1615" s="186"/>
      <c r="J1615" s="186">
        <f ca="1">OFFSET(card_type!$F$1,MATCH(Q1615,card_type!A:A,0)-1,0)</f>
        <v>1</v>
      </c>
      <c r="K1615" s="243">
        <f ca="1">OFFSET(card_type!$G$1,MATCH(Q1615,card_type!A:A,0)-1,0)</f>
        <v>2</v>
      </c>
      <c r="L1615" s="157">
        <v>2</v>
      </c>
      <c r="M1615" s="157">
        <v>2</v>
      </c>
      <c r="N1615" s="153">
        <f t="shared" si="274"/>
        <v>9</v>
      </c>
      <c r="O1615" s="157"/>
      <c r="P1615" s="157"/>
      <c r="Q1615" s="153">
        <f ca="1">OFFSET(card_type!$A$1,MATCH(card!B1615,card_type!B:B,0)-1,0)</f>
        <v>3003</v>
      </c>
      <c r="R1615" s="153">
        <v>1</v>
      </c>
      <c r="S1615" s="157">
        <f ca="1">ROUND(IF(R1615=0,0,IF(R1615=1,X1615*$S$1,IF(R1615=2,X1615*$S$1*buff的资质计算!$E$2,IF(R1615=3,X1615*$S$1*buff的资质计算!$E$3,0)))),0)*0</f>
        <v>0</v>
      </c>
      <c r="T1615" s="153">
        <v>2</v>
      </c>
      <c r="U1615" s="153">
        <f ca="1" t="shared" si="275"/>
        <v>12</v>
      </c>
      <c r="V1615" s="153">
        <f ca="1">ROUND((OFFSET(卡牌辅助配置表!$O$1,MATCH(U1615,卡牌辅助配置表!M:M,0)-1,0)+(N1615-1)*OFFSET(卡牌辅助配置表!$P$1,MATCH(U1615,卡牌辅助配置表!M:M,0)-1,0))*M1615,2)</f>
        <v>24.07</v>
      </c>
      <c r="W1615" s="157">
        <f ca="1">ROUND(IF(R1615=0,0,IF(R1615=1,X1615*$W$1,IF(R1615=2,X1615*$W$1*buff的资质计算!$E$2,IF(R1615=3,X1615*$W$1*buff的资质计算!$E$3,0)))),2)</f>
        <v>7.5</v>
      </c>
      <c r="X1615" s="157">
        <f ca="1" t="shared" si="270"/>
        <v>25</v>
      </c>
      <c r="Y1615" s="157">
        <f ca="1" t="shared" si="278"/>
        <v>25.4</v>
      </c>
      <c r="Z1615" s="304">
        <f ca="1" t="shared" si="271"/>
        <v>12.7</v>
      </c>
      <c r="AA1615" s="304">
        <f ca="1">OFFSET(卡牌辅助配置表!$AD$1,MATCH(AB1615,卡牌辅助配置表!AB:AB,0)-1,0)</f>
        <v>324</v>
      </c>
      <c r="AB1615" s="304">
        <f ca="1" t="shared" si="276"/>
        <v>1209</v>
      </c>
      <c r="AC1615" s="153">
        <v>1</v>
      </c>
      <c r="AE1615" s="153">
        <v>3</v>
      </c>
      <c r="AF1615" s="153" t="str">
        <f ca="1" t="shared" si="268"/>
        <v>30030011|</v>
      </c>
      <c r="AJ1615" s="205" t="str">
        <f ca="1" t="shared" si="277"/>
        <v>303003|15|;400023|3450|;</v>
      </c>
      <c r="AK1615" s="205">
        <f ca="1">OFFSET([1]item_type!$A$1,MATCH(Q1615,[1]item_type!$G:$G,0)-1,0)</f>
        <v>303003</v>
      </c>
      <c r="AL1615" s="205">
        <v>15</v>
      </c>
      <c r="AM1615" s="205">
        <f ca="1">IF(B1615=B1616,OFFSET(卡牌辅助配置表!$AE$1,MATCH(AB1615,卡牌辅助配置表!AB:AB,0),0),0)</f>
        <v>3450</v>
      </c>
      <c r="AN1615" s="153">
        <f ca="1" t="shared" si="272"/>
        <v>3003010</v>
      </c>
      <c r="AP1615" s="153" t="str">
        <f ca="1">IF(AC1615=0,0,IF(AC1615=12,0,OFFSET(effect!$N$1,MATCH(K1615,effect!M:M,0)-1,0)))</f>
        <v>kpsx_pt</v>
      </c>
    </row>
    <row r="1616" spans="1:42">
      <c r="A1616" s="153">
        <f ca="1" t="shared" si="273"/>
        <v>3003010</v>
      </c>
      <c r="B1616" s="91" t="s">
        <v>524</v>
      </c>
      <c r="C1616" s="186">
        <v>3</v>
      </c>
      <c r="D1616" s="186">
        <v>6</v>
      </c>
      <c r="E1616" s="165" t="s">
        <v>1069</v>
      </c>
      <c r="F1616" s="165" t="str">
        <f>"本回合每出一张法术牌，伤害增加"&amp;skill!$O$128/100&amp;"%"</f>
        <v>本回合每出一张法术牌，伤害增加25%</v>
      </c>
      <c r="G1616" s="186">
        <f ca="1">OFFSET(卡牌辅助配置表!$C$1,MATCH(AC1616,卡牌辅助配置表!A:A,0)-1,0)</f>
        <v>3</v>
      </c>
      <c r="H1616" s="186">
        <f ca="1">OFFSET(skill!$Q$1,MATCH(B1616,skill!B:B,0)-1,0)</f>
        <v>0.4</v>
      </c>
      <c r="I1616" s="186"/>
      <c r="J1616" s="186">
        <f ca="1">OFFSET(card_type!$F$1,MATCH(Q1616,card_type!A:A,0)-1,0)</f>
        <v>1</v>
      </c>
      <c r="K1616" s="243">
        <f ca="1">OFFSET(card_type!$G$1,MATCH(Q1616,card_type!A:A,0)-1,0)</f>
        <v>2</v>
      </c>
      <c r="L1616" s="157">
        <v>2</v>
      </c>
      <c r="M1616" s="157">
        <v>2</v>
      </c>
      <c r="N1616" s="153">
        <f t="shared" si="274"/>
        <v>10</v>
      </c>
      <c r="O1616" s="157"/>
      <c r="P1616" s="157"/>
      <c r="Q1616" s="153">
        <f ca="1">OFFSET(card_type!$A$1,MATCH(card!B1616,card_type!B:B,0)-1,0)</f>
        <v>3003</v>
      </c>
      <c r="R1616" s="153">
        <v>1</v>
      </c>
      <c r="S1616" s="157">
        <f ca="1">ROUND(IF(R1616=0,0,IF(R1616=1,X1616*$S$1,IF(R1616=2,X1616*$S$1*buff的资质计算!$E$2,IF(R1616=3,X1616*$S$1*buff的资质计算!$E$3,0)))),0)*0</f>
        <v>0</v>
      </c>
      <c r="T1616" s="153">
        <v>2</v>
      </c>
      <c r="U1616" s="153">
        <f ca="1" t="shared" si="275"/>
        <v>12</v>
      </c>
      <c r="V1616" s="153">
        <f ca="1">ROUND((OFFSET(卡牌辅助配置表!$O$1,MATCH(U1616,卡牌辅助配置表!M:M,0)-1,0)+(N1616-1)*OFFSET(卡牌辅助配置表!$P$1,MATCH(U1616,卡牌辅助配置表!M:M,0)-1,0))*M1616,2)</f>
        <v>24.7</v>
      </c>
      <c r="W1616" s="157">
        <f ca="1">ROUND(IF(R1616=0,0,IF(R1616=1,X1616*$W$1,IF(R1616=2,X1616*$W$1*buff的资质计算!$E$2,IF(R1616=3,X1616*$W$1*buff的资质计算!$E$3,0)))),2)</f>
        <v>7.65</v>
      </c>
      <c r="X1616" s="157">
        <f ca="1" t="shared" si="270"/>
        <v>25.5</v>
      </c>
      <c r="Y1616" s="157">
        <f ca="1" t="shared" si="278"/>
        <v>25.9</v>
      </c>
      <c r="Z1616" s="304">
        <f ca="1" t="shared" si="271"/>
        <v>12.95</v>
      </c>
      <c r="AA1616" s="304">
        <f ca="1">OFFSET(卡牌辅助配置表!$AD$1,MATCH(AB1616,卡牌辅助配置表!AB:AB,0)-1,0)</f>
        <v>360</v>
      </c>
      <c r="AB1616" s="304">
        <f ca="1" t="shared" si="276"/>
        <v>1210</v>
      </c>
      <c r="AC1616" s="153">
        <v>1</v>
      </c>
      <c r="AE1616" s="153">
        <v>3</v>
      </c>
      <c r="AF1616" s="153" t="str">
        <f ca="1" t="shared" si="268"/>
        <v>30030011|</v>
      </c>
      <c r="AJ1616" s="205" t="str">
        <f ca="1" t="shared" si="277"/>
        <v>400023|4050|;</v>
      </c>
      <c r="AK1616" s="205">
        <f ca="1">OFFSET([1]item_type!$A$1,MATCH(Q1616,[1]item_type!$G:$G,0)-1,0)</f>
        <v>303003</v>
      </c>
      <c r="AL1616" s="205"/>
      <c r="AM1616" s="205">
        <f ca="1">IF(B1616=B1617,OFFSET(卡牌辅助配置表!$AE$1,MATCH(AB1616,卡牌辅助配置表!AB:AB,0),0),0)</f>
        <v>4050</v>
      </c>
      <c r="AN1616" s="153">
        <f ca="1" t="shared" si="272"/>
        <v>3003011</v>
      </c>
      <c r="AP1616" s="153" t="str">
        <f ca="1">IF(AC1616=0,0,IF(AC1616=12,0,OFFSET(effect!$N$1,MATCH(K1616,effect!M:M,0)-1,0)))</f>
        <v>kpsx_pt</v>
      </c>
    </row>
    <row r="1617" spans="1:42">
      <c r="A1617" s="153">
        <f ca="1" t="shared" si="273"/>
        <v>3003011</v>
      </c>
      <c r="B1617" s="91" t="s">
        <v>524</v>
      </c>
      <c r="C1617" s="186">
        <v>3</v>
      </c>
      <c r="D1617" s="186">
        <v>6</v>
      </c>
      <c r="E1617" s="165" t="s">
        <v>1069</v>
      </c>
      <c r="F1617" s="165" t="str">
        <f>"本回合每出一张法术牌，伤害增加"&amp;skill!$O$128/100&amp;"%"</f>
        <v>本回合每出一张法术牌，伤害增加25%</v>
      </c>
      <c r="G1617" s="186">
        <f ca="1">OFFSET(卡牌辅助配置表!$C$1,MATCH(AC1617,卡牌辅助配置表!A:A,0)-1,0)</f>
        <v>3</v>
      </c>
      <c r="H1617" s="186">
        <f ca="1">OFFSET(skill!$Q$1,MATCH(B1617,skill!B:B,0)-1,0)</f>
        <v>0.4</v>
      </c>
      <c r="I1617" s="186"/>
      <c r="J1617" s="186">
        <f ca="1">OFFSET(card_type!$F$1,MATCH(Q1617,card_type!A:A,0)-1,0)</f>
        <v>1</v>
      </c>
      <c r="K1617" s="243">
        <f ca="1">OFFSET(card_type!$G$1,MATCH(Q1617,card_type!A:A,0)-1,0)</f>
        <v>2</v>
      </c>
      <c r="L1617" s="157">
        <v>2</v>
      </c>
      <c r="M1617" s="157">
        <v>2</v>
      </c>
      <c r="N1617" s="153">
        <f t="shared" si="274"/>
        <v>11</v>
      </c>
      <c r="O1617" s="157"/>
      <c r="P1617" s="157"/>
      <c r="Q1617" s="153">
        <f ca="1">OFFSET(card_type!$A$1,MATCH(card!B1617,card_type!B:B,0)-1,0)</f>
        <v>3003</v>
      </c>
      <c r="R1617" s="153">
        <v>1</v>
      </c>
      <c r="S1617" s="157">
        <f ca="1">ROUND(IF(R1617=0,0,IF(R1617=1,X1617*$S$1,IF(R1617=2,X1617*$S$1*buff的资质计算!$E$2,IF(R1617=3,X1617*$S$1*buff的资质计算!$E$3,0)))),0)*0</f>
        <v>0</v>
      </c>
      <c r="T1617" s="153">
        <v>2</v>
      </c>
      <c r="U1617" s="153">
        <f ca="1" t="shared" si="275"/>
        <v>12</v>
      </c>
      <c r="V1617" s="153">
        <f ca="1">ROUND((OFFSET(卡牌辅助配置表!$O$1,MATCH(U1617,卡牌辅助配置表!M:M,0)-1,0)+(N1617-1)*OFFSET(卡牌辅助配置表!$P$1,MATCH(U1617,卡牌辅助配置表!M:M,0)-1,0))*M1617,2)</f>
        <v>25.33</v>
      </c>
      <c r="W1617" s="157">
        <f ca="1">ROUND(IF(R1617=0,0,IF(R1617=1,X1617*$W$1,IF(R1617=2,X1617*$W$1*buff的资质计算!$E$2,IF(R1617=3,X1617*$W$1*buff的资质计算!$E$3,0)))),2)</f>
        <v>7.8</v>
      </c>
      <c r="X1617" s="157">
        <f ca="1" t="shared" si="270"/>
        <v>26</v>
      </c>
      <c r="Y1617" s="157">
        <f ca="1" t="shared" si="278"/>
        <v>26.4</v>
      </c>
      <c r="Z1617" s="304">
        <f ca="1" t="shared" si="271"/>
        <v>13.2</v>
      </c>
      <c r="AA1617" s="304">
        <f ca="1">OFFSET(卡牌辅助配置表!$AD$1,MATCH(AB1617,卡牌辅助配置表!AB:AB,0)-1,0)</f>
        <v>415</v>
      </c>
      <c r="AB1617" s="304">
        <f ca="1" t="shared" si="276"/>
        <v>1211</v>
      </c>
      <c r="AC1617" s="153">
        <v>1</v>
      </c>
      <c r="AE1617" s="153">
        <v>3</v>
      </c>
      <c r="AF1617" s="153" t="str">
        <f ca="1" t="shared" si="268"/>
        <v>30030011|</v>
      </c>
      <c r="AJ1617" s="205" t="str">
        <f ca="1" t="shared" si="277"/>
        <v>400023|4650|;</v>
      </c>
      <c r="AK1617" s="205">
        <f ca="1">OFFSET([1]item_type!$A$1,MATCH(Q1617,[1]item_type!$G:$G,0)-1,0)</f>
        <v>303003</v>
      </c>
      <c r="AL1617" s="205"/>
      <c r="AM1617" s="205">
        <f ca="1">IF(B1617=B1618,OFFSET(卡牌辅助配置表!$AE$1,MATCH(AB1617,卡牌辅助配置表!AB:AB,0),0),0)</f>
        <v>4650</v>
      </c>
      <c r="AN1617" s="153">
        <f ca="1" t="shared" si="272"/>
        <v>3003012</v>
      </c>
      <c r="AP1617" s="153" t="str">
        <f ca="1">IF(AC1617=0,0,IF(AC1617=12,0,OFFSET(effect!$N$1,MATCH(K1617,effect!M:M,0)-1,0)))</f>
        <v>kpsx_pt</v>
      </c>
    </row>
    <row r="1618" spans="1:42">
      <c r="A1618" s="153">
        <f ca="1" t="shared" si="273"/>
        <v>3003012</v>
      </c>
      <c r="B1618" s="91" t="s">
        <v>524</v>
      </c>
      <c r="C1618" s="186">
        <v>3</v>
      </c>
      <c r="D1618" s="186">
        <v>6</v>
      </c>
      <c r="E1618" s="165" t="s">
        <v>1069</v>
      </c>
      <c r="F1618" s="165" t="str">
        <f>"本回合每出一张法术牌，伤害增加"&amp;skill!$O$128/100&amp;"%"</f>
        <v>本回合每出一张法术牌，伤害增加25%</v>
      </c>
      <c r="G1618" s="186">
        <f ca="1">OFFSET(卡牌辅助配置表!$C$1,MATCH(AC1618,卡牌辅助配置表!A:A,0)-1,0)</f>
        <v>3</v>
      </c>
      <c r="H1618" s="186">
        <f ca="1">OFFSET(skill!$Q$1,MATCH(B1618,skill!B:B,0)-1,0)</f>
        <v>0.4</v>
      </c>
      <c r="I1618" s="186"/>
      <c r="J1618" s="186">
        <f ca="1">OFFSET(card_type!$F$1,MATCH(Q1618,card_type!A:A,0)-1,0)</f>
        <v>1</v>
      </c>
      <c r="K1618" s="243">
        <f ca="1">OFFSET(card_type!$G$1,MATCH(Q1618,card_type!A:A,0)-1,0)</f>
        <v>2</v>
      </c>
      <c r="L1618" s="157">
        <v>2</v>
      </c>
      <c r="M1618" s="157">
        <v>2</v>
      </c>
      <c r="N1618" s="153">
        <f t="shared" si="274"/>
        <v>12</v>
      </c>
      <c r="O1618" s="157"/>
      <c r="P1618" s="157"/>
      <c r="Q1618" s="153">
        <f ca="1">OFFSET(card_type!$A$1,MATCH(card!B1618,card_type!B:B,0)-1,0)</f>
        <v>3003</v>
      </c>
      <c r="R1618" s="153">
        <v>1</v>
      </c>
      <c r="S1618" s="157">
        <f ca="1">ROUND(IF(R1618=0,0,IF(R1618=1,X1618*$S$1,IF(R1618=2,X1618*$S$1*buff的资质计算!$E$2,IF(R1618=3,X1618*$S$1*buff的资质计算!$E$3,0)))),0)*0</f>
        <v>0</v>
      </c>
      <c r="T1618" s="153">
        <v>2</v>
      </c>
      <c r="U1618" s="153">
        <f ca="1" t="shared" si="275"/>
        <v>12</v>
      </c>
      <c r="V1618" s="153">
        <f ca="1">ROUND((OFFSET(卡牌辅助配置表!$O$1,MATCH(U1618,卡牌辅助配置表!M:M,0)-1,0)+(N1618-1)*OFFSET(卡牌辅助配置表!$P$1,MATCH(U1618,卡牌辅助配置表!M:M,0)-1,0))*M1618,2)</f>
        <v>25.97</v>
      </c>
      <c r="W1618" s="157">
        <f ca="1">ROUND(IF(R1618=0,0,IF(R1618=1,X1618*$W$1,IF(R1618=2,X1618*$W$1*buff的资质计算!$E$2,IF(R1618=3,X1618*$W$1*buff的资质计算!$E$3,0)))),2)</f>
        <v>7.95</v>
      </c>
      <c r="X1618" s="157">
        <f ca="1" t="shared" si="270"/>
        <v>26.5</v>
      </c>
      <c r="Y1618" s="157">
        <f ca="1" t="shared" si="278"/>
        <v>26.9</v>
      </c>
      <c r="Z1618" s="304">
        <f ca="1" t="shared" si="271"/>
        <v>13.45</v>
      </c>
      <c r="AA1618" s="304">
        <f ca="1">OFFSET(卡牌辅助配置表!$AD$1,MATCH(AB1618,卡牌辅助配置表!AB:AB,0)-1,0)</f>
        <v>470</v>
      </c>
      <c r="AB1618" s="304">
        <f ca="1" t="shared" si="276"/>
        <v>1212</v>
      </c>
      <c r="AC1618" s="153">
        <v>1</v>
      </c>
      <c r="AE1618" s="153">
        <v>3</v>
      </c>
      <c r="AF1618" s="153" t="str">
        <f ca="1" t="shared" si="268"/>
        <v>30030011|</v>
      </c>
      <c r="AJ1618" s="205" t="str">
        <f ca="1" t="shared" si="277"/>
        <v>400023|5250|;</v>
      </c>
      <c r="AK1618" s="205">
        <f ca="1">OFFSET([1]item_type!$A$1,MATCH(Q1618,[1]item_type!$G:$G,0)-1,0)</f>
        <v>303003</v>
      </c>
      <c r="AL1618" s="205"/>
      <c r="AM1618" s="205">
        <f ca="1">IF(B1618=B1619,OFFSET(卡牌辅助配置表!$AE$1,MATCH(AB1618,卡牌辅助配置表!AB:AB,0),0),0)</f>
        <v>5250</v>
      </c>
      <c r="AN1618" s="153">
        <f ca="1" t="shared" si="272"/>
        <v>3003013</v>
      </c>
      <c r="AP1618" s="153" t="str">
        <f ca="1">IF(AC1618=0,0,IF(AC1618=12,0,OFFSET(effect!$N$1,MATCH(K1618,effect!M:M,0)-1,0)))</f>
        <v>kpsx_pt</v>
      </c>
    </row>
    <row r="1619" spans="1:42">
      <c r="A1619" s="153">
        <f ca="1" t="shared" si="273"/>
        <v>3003013</v>
      </c>
      <c r="B1619" s="91" t="s">
        <v>524</v>
      </c>
      <c r="C1619" s="186">
        <v>3</v>
      </c>
      <c r="D1619" s="186">
        <v>6</v>
      </c>
      <c r="E1619" s="165" t="s">
        <v>1069</v>
      </c>
      <c r="F1619" s="165" t="str">
        <f>"本回合每出一张法术牌，伤害增加"&amp;skill!$O$128/100&amp;"%"</f>
        <v>本回合每出一张法术牌，伤害增加25%</v>
      </c>
      <c r="G1619" s="186">
        <f ca="1">OFFSET(卡牌辅助配置表!$C$1,MATCH(AC1619,卡牌辅助配置表!A:A,0)-1,0)</f>
        <v>3</v>
      </c>
      <c r="H1619" s="186">
        <f ca="1">OFFSET(skill!$Q$1,MATCH(B1619,skill!B:B,0)-1,0)</f>
        <v>0.4</v>
      </c>
      <c r="I1619" s="186"/>
      <c r="J1619" s="186">
        <f ca="1">OFFSET(card_type!$F$1,MATCH(Q1619,card_type!A:A,0)-1,0)</f>
        <v>1</v>
      </c>
      <c r="K1619" s="243">
        <f ca="1">OFFSET(card_type!$G$1,MATCH(Q1619,card_type!A:A,0)-1,0)</f>
        <v>2</v>
      </c>
      <c r="L1619" s="157">
        <v>2</v>
      </c>
      <c r="M1619" s="157">
        <v>2</v>
      </c>
      <c r="N1619" s="153">
        <f t="shared" si="274"/>
        <v>13</v>
      </c>
      <c r="O1619" s="157"/>
      <c r="P1619" s="157"/>
      <c r="Q1619" s="153">
        <f ca="1">OFFSET(card_type!$A$1,MATCH(card!B1619,card_type!B:B,0)-1,0)</f>
        <v>3003</v>
      </c>
      <c r="R1619" s="153">
        <v>1</v>
      </c>
      <c r="S1619" s="157">
        <f ca="1">ROUND(IF(R1619=0,0,IF(R1619=1,X1619*$S$1,IF(R1619=2,X1619*$S$1*buff的资质计算!$E$2,IF(R1619=3,X1619*$S$1*buff的资质计算!$E$3,0)))),0)*0</f>
        <v>0</v>
      </c>
      <c r="T1619" s="153">
        <v>2</v>
      </c>
      <c r="U1619" s="153">
        <f ca="1" t="shared" si="275"/>
        <v>12</v>
      </c>
      <c r="V1619" s="153">
        <f ca="1">ROUND((OFFSET(卡牌辅助配置表!$O$1,MATCH(U1619,卡牌辅助配置表!M:M,0)-1,0)+(N1619-1)*OFFSET(卡牌辅助配置表!$P$1,MATCH(U1619,卡牌辅助配置表!M:M,0)-1,0))*M1619,2)</f>
        <v>26.6</v>
      </c>
      <c r="W1619" s="157">
        <f ca="1">ROUND(IF(R1619=0,0,IF(R1619=1,X1619*$W$1,IF(R1619=2,X1619*$W$1*buff的资质计算!$E$2,IF(R1619=3,X1619*$W$1*buff的资质计算!$E$3,0)))),2)</f>
        <v>8.1</v>
      </c>
      <c r="X1619" s="157">
        <f ca="1" t="shared" si="270"/>
        <v>27</v>
      </c>
      <c r="Y1619" s="157">
        <f ca="1" t="shared" si="278"/>
        <v>27.4</v>
      </c>
      <c r="Z1619" s="304">
        <f ca="1" t="shared" si="271"/>
        <v>13.7</v>
      </c>
      <c r="AA1619" s="304">
        <f ca="1">OFFSET(卡牌辅助配置表!$AD$1,MATCH(AB1619,卡牌辅助配置表!AB:AB,0)-1,0)</f>
        <v>525</v>
      </c>
      <c r="AB1619" s="304">
        <f ca="1" t="shared" si="276"/>
        <v>1213</v>
      </c>
      <c r="AC1619" s="153">
        <v>1</v>
      </c>
      <c r="AE1619" s="153">
        <v>3</v>
      </c>
      <c r="AF1619" s="153" t="str">
        <f ca="1" t="shared" si="268"/>
        <v>30030011|</v>
      </c>
      <c r="AJ1619" s="205" t="str">
        <f ca="1" t="shared" si="277"/>
        <v>400023|5850|;</v>
      </c>
      <c r="AK1619" s="205">
        <f ca="1">OFFSET([1]item_type!$A$1,MATCH(Q1619,[1]item_type!$G:$G,0)-1,0)</f>
        <v>303003</v>
      </c>
      <c r="AL1619" s="205"/>
      <c r="AM1619" s="205">
        <f ca="1">IF(B1619=B1620,OFFSET(卡牌辅助配置表!$AE$1,MATCH(AB1619,卡牌辅助配置表!AB:AB,0),0),0)</f>
        <v>5850</v>
      </c>
      <c r="AN1619" s="153">
        <f ca="1" t="shared" si="272"/>
        <v>3003014</v>
      </c>
      <c r="AP1619" s="153" t="str">
        <f ca="1">IF(AC1619=0,0,IF(AC1619=12,0,OFFSET(effect!$N$1,MATCH(K1619,effect!M:M,0)-1,0)))</f>
        <v>kpsx_pt</v>
      </c>
    </row>
    <row r="1620" spans="1:42">
      <c r="A1620" s="153">
        <f ca="1" t="shared" si="273"/>
        <v>3003014</v>
      </c>
      <c r="B1620" s="91" t="s">
        <v>524</v>
      </c>
      <c r="C1620" s="186">
        <v>3</v>
      </c>
      <c r="D1620" s="186">
        <v>6</v>
      </c>
      <c r="E1620" s="165" t="s">
        <v>1069</v>
      </c>
      <c r="F1620" s="165" t="str">
        <f>"本回合每出一张法术牌，伤害增加"&amp;skill!$O$128/100&amp;"%"</f>
        <v>本回合每出一张法术牌，伤害增加25%</v>
      </c>
      <c r="G1620" s="186">
        <f ca="1">OFFSET(卡牌辅助配置表!$C$1,MATCH(AC1620,卡牌辅助配置表!A:A,0)-1,0)</f>
        <v>3</v>
      </c>
      <c r="H1620" s="186">
        <f ca="1">OFFSET(skill!$Q$1,MATCH(B1620,skill!B:B,0)-1,0)</f>
        <v>0.4</v>
      </c>
      <c r="I1620" s="186"/>
      <c r="J1620" s="186">
        <f ca="1">OFFSET(card_type!$F$1,MATCH(Q1620,card_type!A:A,0)-1,0)</f>
        <v>1</v>
      </c>
      <c r="K1620" s="243">
        <f ca="1">OFFSET(card_type!$G$1,MATCH(Q1620,card_type!A:A,0)-1,0)</f>
        <v>2</v>
      </c>
      <c r="L1620" s="157">
        <v>2</v>
      </c>
      <c r="M1620" s="157">
        <v>2</v>
      </c>
      <c r="N1620" s="153">
        <f t="shared" si="274"/>
        <v>14</v>
      </c>
      <c r="O1620" s="157"/>
      <c r="P1620" s="157"/>
      <c r="Q1620" s="153">
        <f ca="1">OFFSET(card_type!$A$1,MATCH(card!B1620,card_type!B:B,0)-1,0)</f>
        <v>3003</v>
      </c>
      <c r="R1620" s="153">
        <v>1</v>
      </c>
      <c r="S1620" s="157">
        <f ca="1">ROUND(IF(R1620=0,0,IF(R1620=1,X1620*$S$1,IF(R1620=2,X1620*$S$1*buff的资质计算!$E$2,IF(R1620=3,X1620*$S$1*buff的资质计算!$E$3,0)))),0)*0</f>
        <v>0</v>
      </c>
      <c r="T1620" s="153">
        <v>2</v>
      </c>
      <c r="U1620" s="153">
        <f ca="1" t="shared" si="275"/>
        <v>12</v>
      </c>
      <c r="V1620" s="153">
        <f ca="1">ROUND((OFFSET(卡牌辅助配置表!$O$1,MATCH(U1620,卡牌辅助配置表!M:M,0)-1,0)+(N1620-1)*OFFSET(卡牌辅助配置表!$P$1,MATCH(U1620,卡牌辅助配置表!M:M,0)-1,0))*M1620,2)</f>
        <v>27.23</v>
      </c>
      <c r="W1620" s="157">
        <f ca="1">ROUND(IF(R1620=0,0,IF(R1620=1,X1620*$W$1,IF(R1620=2,X1620*$W$1*buff的资质计算!$E$2,IF(R1620=3,X1620*$W$1*buff的资质计算!$E$3,0)))),2)</f>
        <v>8.25</v>
      </c>
      <c r="X1620" s="157">
        <f ca="1" t="shared" si="270"/>
        <v>27.5</v>
      </c>
      <c r="Y1620" s="157">
        <f ca="1" t="shared" si="278"/>
        <v>27.9</v>
      </c>
      <c r="Z1620" s="304">
        <f ca="1" t="shared" si="271"/>
        <v>13.95</v>
      </c>
      <c r="AA1620" s="304">
        <f ca="1">OFFSET(卡牌辅助配置表!$AD$1,MATCH(AB1620,卡牌辅助配置表!AB:AB,0)-1,0)</f>
        <v>580</v>
      </c>
      <c r="AB1620" s="304">
        <f ca="1" t="shared" si="276"/>
        <v>1214</v>
      </c>
      <c r="AC1620" s="153">
        <v>1</v>
      </c>
      <c r="AE1620" s="153">
        <v>3</v>
      </c>
      <c r="AF1620" s="153" t="str">
        <f ca="1" t="shared" si="268"/>
        <v>30030011|</v>
      </c>
      <c r="AJ1620" s="205" t="str">
        <f ca="1" t="shared" si="277"/>
        <v>400023|6450|;</v>
      </c>
      <c r="AK1620" s="205">
        <f ca="1">OFFSET([1]item_type!$A$1,MATCH(Q1620,[1]item_type!$G:$G,0)-1,0)</f>
        <v>303003</v>
      </c>
      <c r="AL1620" s="205"/>
      <c r="AM1620" s="205">
        <f ca="1">IF(B1620=B1621,OFFSET(卡牌辅助配置表!$AE$1,MATCH(AB1620,卡牌辅助配置表!AB:AB,0),0),0)</f>
        <v>6450</v>
      </c>
      <c r="AN1620" s="153">
        <f ca="1" t="shared" si="272"/>
        <v>3003015</v>
      </c>
      <c r="AP1620" s="153" t="str">
        <f ca="1">IF(AC1620=0,0,IF(AC1620=12,0,OFFSET(effect!$N$1,MATCH(K1620,effect!M:M,0)-1,0)))</f>
        <v>kpsx_pt</v>
      </c>
    </row>
    <row r="1621" spans="1:42">
      <c r="A1621" s="153">
        <f ca="1" t="shared" si="273"/>
        <v>3003015</v>
      </c>
      <c r="B1621" s="91" t="s">
        <v>524</v>
      </c>
      <c r="C1621" s="186">
        <v>3</v>
      </c>
      <c r="D1621" s="186">
        <v>6</v>
      </c>
      <c r="E1621" s="165" t="s">
        <v>1069</v>
      </c>
      <c r="F1621" s="165" t="str">
        <f>"本回合每出一张法术牌，伤害增加"&amp;skill!$O$128/100&amp;"%"</f>
        <v>本回合每出一张法术牌，伤害增加25%</v>
      </c>
      <c r="G1621" s="186">
        <f ca="1">OFFSET(卡牌辅助配置表!$C$1,MATCH(AC1621,卡牌辅助配置表!A:A,0)-1,0)</f>
        <v>3</v>
      </c>
      <c r="H1621" s="186">
        <f ca="1">OFFSET(skill!$Q$1,MATCH(B1621,skill!B:B,0)-1,0)</f>
        <v>0.4</v>
      </c>
      <c r="I1621" s="186"/>
      <c r="J1621" s="186">
        <f ca="1">OFFSET(card_type!$F$1,MATCH(Q1621,card_type!A:A,0)-1,0)</f>
        <v>1</v>
      </c>
      <c r="K1621" s="243">
        <f ca="1">OFFSET(card_type!$G$1,MATCH(Q1621,card_type!A:A,0)-1,0)</f>
        <v>2</v>
      </c>
      <c r="L1621" s="157">
        <v>2</v>
      </c>
      <c r="M1621" s="157">
        <v>2</v>
      </c>
      <c r="N1621" s="153">
        <f t="shared" si="274"/>
        <v>15</v>
      </c>
      <c r="O1621" s="157"/>
      <c r="P1621" s="157"/>
      <c r="Q1621" s="153">
        <f ca="1">OFFSET(card_type!$A$1,MATCH(card!B1621,card_type!B:B,0)-1,0)</f>
        <v>3003</v>
      </c>
      <c r="R1621" s="153">
        <v>1</v>
      </c>
      <c r="S1621" s="157">
        <f ca="1">ROUND(IF(R1621=0,0,IF(R1621=1,X1621*$S$1,IF(R1621=2,X1621*$S$1*buff的资质计算!$E$2,IF(R1621=3,X1621*$S$1*buff的资质计算!$E$3,0)))),0)*0</f>
        <v>0</v>
      </c>
      <c r="T1621" s="153">
        <v>2</v>
      </c>
      <c r="U1621" s="153">
        <f ca="1" t="shared" si="275"/>
        <v>12</v>
      </c>
      <c r="V1621" s="153">
        <f ca="1">ROUND((OFFSET(卡牌辅助配置表!$O$1,MATCH(U1621,卡牌辅助配置表!M:M,0)-1,0)+(N1621-1)*OFFSET(卡牌辅助配置表!$P$1,MATCH(U1621,卡牌辅助配置表!M:M,0)-1,0))*M1621,2)</f>
        <v>27.87</v>
      </c>
      <c r="W1621" s="157">
        <f ca="1">ROUND(IF(R1621=0,0,IF(R1621=1,X1621*$W$1,IF(R1621=2,X1621*$W$1*buff的资质计算!$E$2,IF(R1621=3,X1621*$W$1*buff的资质计算!$E$3,0)))),2)</f>
        <v>8.4</v>
      </c>
      <c r="X1621" s="157">
        <f ca="1" t="shared" si="270"/>
        <v>28</v>
      </c>
      <c r="Y1621" s="157">
        <f ca="1" t="shared" si="278"/>
        <v>28.4</v>
      </c>
      <c r="Z1621" s="304">
        <f ca="1" t="shared" si="271"/>
        <v>14.2</v>
      </c>
      <c r="AA1621" s="304">
        <f ca="1">OFFSET(卡牌辅助配置表!$AD$1,MATCH(AB1621,卡牌辅助配置表!AB:AB,0)-1,0)</f>
        <v>635</v>
      </c>
      <c r="AB1621" s="304">
        <f ca="1" t="shared" si="276"/>
        <v>1215</v>
      </c>
      <c r="AC1621" s="153">
        <v>1</v>
      </c>
      <c r="AE1621" s="153">
        <v>3</v>
      </c>
      <c r="AF1621" s="153" t="str">
        <f ca="1" t="shared" si="268"/>
        <v>30030011|</v>
      </c>
      <c r="AJ1621" s="205" t="str">
        <f ca="1" t="shared" si="277"/>
        <v>400023|7050|;</v>
      </c>
      <c r="AK1621" s="205">
        <f ca="1">OFFSET([1]item_type!$A$1,MATCH(Q1621,[1]item_type!$G:$G,0)-1,0)</f>
        <v>303003</v>
      </c>
      <c r="AL1621" s="205"/>
      <c r="AM1621" s="205">
        <f ca="1">IF(B1621=B1622,OFFSET(卡牌辅助配置表!$AE$1,MATCH(AB1621,卡牌辅助配置表!AB:AB,0),0),0)</f>
        <v>7050</v>
      </c>
      <c r="AN1621" s="153">
        <f ca="1" t="shared" si="272"/>
        <v>3003016</v>
      </c>
      <c r="AP1621" s="153" t="str">
        <f ca="1">IF(AC1621=0,0,IF(AC1621=12,0,OFFSET(effect!$N$1,MATCH(K1621,effect!M:M,0)-1,0)))</f>
        <v>kpsx_pt</v>
      </c>
    </row>
    <row r="1622" spans="1:42">
      <c r="A1622" s="153">
        <f ca="1" t="shared" si="273"/>
        <v>3003016</v>
      </c>
      <c r="B1622" s="91" t="s">
        <v>524</v>
      </c>
      <c r="C1622" s="186">
        <v>3</v>
      </c>
      <c r="D1622" s="186">
        <v>6</v>
      </c>
      <c r="E1622" s="165" t="s">
        <v>1069</v>
      </c>
      <c r="F1622" s="165" t="str">
        <f>"本回合每出一张法术牌，伤害增加"&amp;skill!$O$128/100&amp;"%"</f>
        <v>本回合每出一张法术牌，伤害增加25%</v>
      </c>
      <c r="G1622" s="186">
        <f ca="1">OFFSET(卡牌辅助配置表!$C$1,MATCH(AC1622,卡牌辅助配置表!A:A,0)-1,0)</f>
        <v>3</v>
      </c>
      <c r="H1622" s="186">
        <f ca="1">OFFSET(skill!$Q$1,MATCH(B1622,skill!B:B,0)-1,0)</f>
        <v>0.4</v>
      </c>
      <c r="I1622" s="186"/>
      <c r="J1622" s="186">
        <f ca="1">OFFSET(card_type!$F$1,MATCH(Q1622,card_type!A:A,0)-1,0)</f>
        <v>1</v>
      </c>
      <c r="K1622" s="243">
        <f ca="1">OFFSET(card_type!$G$1,MATCH(Q1622,card_type!A:A,0)-1,0)</f>
        <v>2</v>
      </c>
      <c r="L1622" s="157">
        <v>2</v>
      </c>
      <c r="M1622" s="157">
        <v>2</v>
      </c>
      <c r="N1622" s="153">
        <f t="shared" si="274"/>
        <v>16</v>
      </c>
      <c r="O1622" s="157"/>
      <c r="P1622" s="157"/>
      <c r="Q1622" s="153">
        <f ca="1">OFFSET(card_type!$A$1,MATCH(card!B1622,card_type!B:B,0)-1,0)</f>
        <v>3003</v>
      </c>
      <c r="R1622" s="153">
        <v>1</v>
      </c>
      <c r="S1622" s="157">
        <f ca="1">ROUND(IF(R1622=0,0,IF(R1622=1,X1622*$S$1,IF(R1622=2,X1622*$S$1*buff的资质计算!$E$2,IF(R1622=3,X1622*$S$1*buff的资质计算!$E$3,0)))),0)*0</f>
        <v>0</v>
      </c>
      <c r="T1622" s="153">
        <v>2</v>
      </c>
      <c r="U1622" s="153">
        <f ca="1" t="shared" si="275"/>
        <v>12</v>
      </c>
      <c r="V1622" s="153">
        <f ca="1">ROUND((OFFSET(卡牌辅助配置表!$O$1,MATCH(U1622,卡牌辅助配置表!M:M,0)-1,0)+(N1622-1)*OFFSET(卡牌辅助配置表!$P$1,MATCH(U1622,卡牌辅助配置表!M:M,0)-1,0))*M1622,2)</f>
        <v>28.5</v>
      </c>
      <c r="W1622" s="157">
        <f ca="1">ROUND(IF(R1622=0,0,IF(R1622=1,X1622*$W$1,IF(R1622=2,X1622*$W$1*buff的资质计算!$E$2,IF(R1622=3,X1622*$W$1*buff的资质计算!$E$3,0)))),2)</f>
        <v>8.55</v>
      </c>
      <c r="X1622" s="157">
        <f ca="1" t="shared" si="270"/>
        <v>28.5</v>
      </c>
      <c r="Y1622" s="157">
        <f ca="1" t="shared" si="278"/>
        <v>28.9</v>
      </c>
      <c r="Z1622" s="304">
        <f ca="1" t="shared" si="271"/>
        <v>14.45</v>
      </c>
      <c r="AA1622" s="304">
        <f ca="1">OFFSET(卡牌辅助配置表!$AD$1,MATCH(AB1622,卡牌辅助配置表!AB:AB,0)-1,0)</f>
        <v>690</v>
      </c>
      <c r="AB1622" s="304">
        <f ca="1" t="shared" si="276"/>
        <v>1216</v>
      </c>
      <c r="AC1622" s="153">
        <v>1</v>
      </c>
      <c r="AE1622" s="153">
        <v>3</v>
      </c>
      <c r="AF1622" s="153" t="str">
        <f ca="1" t="shared" si="268"/>
        <v>30030011|</v>
      </c>
      <c r="AJ1622" s="205" t="str">
        <f ca="1" t="shared" si="277"/>
        <v>400023|7650|;</v>
      </c>
      <c r="AK1622" s="205">
        <f ca="1">OFFSET([1]item_type!$A$1,MATCH(Q1622,[1]item_type!$G:$G,0)-1,0)</f>
        <v>303003</v>
      </c>
      <c r="AL1622" s="205"/>
      <c r="AM1622" s="205">
        <f ca="1">IF(B1622=B1623,OFFSET(卡牌辅助配置表!$AE$1,MATCH(AB1622,卡牌辅助配置表!AB:AB,0),0),0)</f>
        <v>7650</v>
      </c>
      <c r="AN1622" s="153">
        <f ca="1" t="shared" si="272"/>
        <v>3003017</v>
      </c>
      <c r="AP1622" s="153" t="str">
        <f ca="1">IF(AC1622=0,0,IF(AC1622=12,0,OFFSET(effect!$N$1,MATCH(K1622,effect!M:M,0)-1,0)))</f>
        <v>kpsx_pt</v>
      </c>
    </row>
    <row r="1623" spans="1:42">
      <c r="A1623" s="153">
        <f ca="1" t="shared" si="273"/>
        <v>3003017</v>
      </c>
      <c r="B1623" s="91" t="s">
        <v>524</v>
      </c>
      <c r="C1623" s="186">
        <v>3</v>
      </c>
      <c r="D1623" s="186">
        <v>6</v>
      </c>
      <c r="E1623" s="165" t="s">
        <v>1069</v>
      </c>
      <c r="F1623" s="165" t="str">
        <f>"本回合每出一张法术牌，伤害增加"&amp;skill!$O$128/100&amp;"%"</f>
        <v>本回合每出一张法术牌，伤害增加25%</v>
      </c>
      <c r="G1623" s="186">
        <f ca="1">OFFSET(卡牌辅助配置表!$C$1,MATCH(AC1623,卡牌辅助配置表!A:A,0)-1,0)</f>
        <v>3</v>
      </c>
      <c r="H1623" s="186">
        <f ca="1">OFFSET(skill!$Q$1,MATCH(B1623,skill!B:B,0)-1,0)</f>
        <v>0.4</v>
      </c>
      <c r="I1623" s="186"/>
      <c r="J1623" s="186">
        <f ca="1">OFFSET(card_type!$F$1,MATCH(Q1623,card_type!A:A,0)-1,0)</f>
        <v>1</v>
      </c>
      <c r="K1623" s="243">
        <f ca="1">OFFSET(card_type!$G$1,MATCH(Q1623,card_type!A:A,0)-1,0)</f>
        <v>2</v>
      </c>
      <c r="L1623" s="157">
        <v>2</v>
      </c>
      <c r="M1623" s="157">
        <v>2</v>
      </c>
      <c r="N1623" s="153">
        <f t="shared" si="274"/>
        <v>17</v>
      </c>
      <c r="O1623" s="157"/>
      <c r="P1623" s="157"/>
      <c r="Q1623" s="153">
        <f ca="1">OFFSET(card_type!$A$1,MATCH(card!B1623,card_type!B:B,0)-1,0)</f>
        <v>3003</v>
      </c>
      <c r="R1623" s="153">
        <v>1</v>
      </c>
      <c r="S1623" s="157">
        <f ca="1">ROUND(IF(R1623=0,0,IF(R1623=1,X1623*$S$1,IF(R1623=2,X1623*$S$1*buff的资质计算!$E$2,IF(R1623=3,X1623*$S$1*buff的资质计算!$E$3,0)))),0)*0</f>
        <v>0</v>
      </c>
      <c r="T1623" s="153">
        <v>2</v>
      </c>
      <c r="U1623" s="153">
        <f ca="1" t="shared" si="275"/>
        <v>12</v>
      </c>
      <c r="V1623" s="153">
        <f ca="1">ROUND((OFFSET(卡牌辅助配置表!$O$1,MATCH(U1623,卡牌辅助配置表!M:M,0)-1,0)+(N1623-1)*OFFSET(卡牌辅助配置表!$P$1,MATCH(U1623,卡牌辅助配置表!M:M,0)-1,0))*M1623,2)</f>
        <v>29.13</v>
      </c>
      <c r="W1623" s="157">
        <f ca="1">ROUND(IF(R1623=0,0,IF(R1623=1,X1623*$W$1,IF(R1623=2,X1623*$W$1*buff的资质计算!$E$2,IF(R1623=3,X1623*$W$1*buff的资质计算!$E$3,0)))),2)</f>
        <v>8.7</v>
      </c>
      <c r="X1623" s="157">
        <f ca="1" t="shared" si="270"/>
        <v>29</v>
      </c>
      <c r="Y1623" s="157">
        <f ca="1" t="shared" si="278"/>
        <v>29.4</v>
      </c>
      <c r="Z1623" s="304">
        <f ca="1" t="shared" si="271"/>
        <v>14.7</v>
      </c>
      <c r="AA1623" s="304">
        <f ca="1">OFFSET(卡牌辅助配置表!$AD$1,MATCH(AB1623,卡牌辅助配置表!AB:AB,0)-1,0)</f>
        <v>745</v>
      </c>
      <c r="AB1623" s="304">
        <f ca="1" t="shared" si="276"/>
        <v>1217</v>
      </c>
      <c r="AC1623" s="153">
        <v>1</v>
      </c>
      <c r="AE1623" s="153">
        <v>3</v>
      </c>
      <c r="AF1623" s="153" t="str">
        <f ca="1" t="shared" si="268"/>
        <v>30030011|</v>
      </c>
      <c r="AJ1623" s="205" t="str">
        <f ca="1" t="shared" si="277"/>
        <v>400023|8250|;</v>
      </c>
      <c r="AK1623" s="205">
        <f ca="1">OFFSET([1]item_type!$A$1,MATCH(Q1623,[1]item_type!$G:$G,0)-1,0)</f>
        <v>303003</v>
      </c>
      <c r="AL1623" s="205"/>
      <c r="AM1623" s="205">
        <f ca="1">IF(B1623=B1624,OFFSET(卡牌辅助配置表!$AE$1,MATCH(AB1623,卡牌辅助配置表!AB:AB,0),0),0)</f>
        <v>8250</v>
      </c>
      <c r="AN1623" s="153">
        <f ca="1" t="shared" si="272"/>
        <v>3003018</v>
      </c>
      <c r="AP1623" s="153" t="str">
        <f ca="1">IF(AC1623=0,0,IF(AC1623=12,0,OFFSET(effect!$N$1,MATCH(K1623,effect!M:M,0)-1,0)))</f>
        <v>kpsx_pt</v>
      </c>
    </row>
    <row r="1624" spans="1:42">
      <c r="A1624" s="153">
        <f ca="1" t="shared" si="273"/>
        <v>3003018</v>
      </c>
      <c r="B1624" s="91" t="s">
        <v>524</v>
      </c>
      <c r="C1624" s="186">
        <v>3</v>
      </c>
      <c r="D1624" s="186">
        <v>6</v>
      </c>
      <c r="E1624" s="165" t="s">
        <v>1069</v>
      </c>
      <c r="F1624" s="165" t="str">
        <f>"本回合每出一张法术牌，伤害增加"&amp;skill!$O$128/100&amp;"%"</f>
        <v>本回合每出一张法术牌，伤害增加25%</v>
      </c>
      <c r="G1624" s="186">
        <f ca="1">OFFSET(卡牌辅助配置表!$C$1,MATCH(AC1624,卡牌辅助配置表!A:A,0)-1,0)</f>
        <v>3</v>
      </c>
      <c r="H1624" s="186">
        <f ca="1">OFFSET(skill!$Q$1,MATCH(B1624,skill!B:B,0)-1,0)</f>
        <v>0.4</v>
      </c>
      <c r="I1624" s="186"/>
      <c r="J1624" s="186">
        <f ca="1">OFFSET(card_type!$F$1,MATCH(Q1624,card_type!A:A,0)-1,0)</f>
        <v>1</v>
      </c>
      <c r="K1624" s="243">
        <f ca="1">OFFSET(card_type!$G$1,MATCH(Q1624,card_type!A:A,0)-1,0)</f>
        <v>2</v>
      </c>
      <c r="L1624" s="157">
        <v>2</v>
      </c>
      <c r="M1624" s="157">
        <v>2</v>
      </c>
      <c r="N1624" s="153">
        <f t="shared" si="274"/>
        <v>18</v>
      </c>
      <c r="O1624" s="157"/>
      <c r="P1624" s="157"/>
      <c r="Q1624" s="153">
        <f ca="1">OFFSET(card_type!$A$1,MATCH(card!B1624,card_type!B:B,0)-1,0)</f>
        <v>3003</v>
      </c>
      <c r="R1624" s="153">
        <v>1</v>
      </c>
      <c r="S1624" s="157">
        <f ca="1">ROUND(IF(R1624=0,0,IF(R1624=1,X1624*$S$1,IF(R1624=2,X1624*$S$1*buff的资质计算!$E$2,IF(R1624=3,X1624*$S$1*buff的资质计算!$E$3,0)))),0)*0</f>
        <v>0</v>
      </c>
      <c r="T1624" s="153">
        <v>2</v>
      </c>
      <c r="U1624" s="153">
        <f ca="1" t="shared" si="275"/>
        <v>12</v>
      </c>
      <c r="V1624" s="153">
        <f ca="1">ROUND((OFFSET(卡牌辅助配置表!$O$1,MATCH(U1624,卡牌辅助配置表!M:M,0)-1,0)+(N1624-1)*OFFSET(卡牌辅助配置表!$P$1,MATCH(U1624,卡牌辅助配置表!M:M,0)-1,0))*M1624,2)</f>
        <v>29.77</v>
      </c>
      <c r="W1624" s="157">
        <f ca="1">ROUND(IF(R1624=0,0,IF(R1624=1,X1624*$W$1,IF(R1624=2,X1624*$W$1*buff的资质计算!$E$2,IF(R1624=3,X1624*$W$1*buff的资质计算!$E$3,0)))),2)</f>
        <v>8.85</v>
      </c>
      <c r="X1624" s="157">
        <f ca="1" t="shared" si="270"/>
        <v>29.5</v>
      </c>
      <c r="Y1624" s="157">
        <f ca="1" t="shared" si="278"/>
        <v>29.9</v>
      </c>
      <c r="Z1624" s="304">
        <f ca="1" t="shared" si="271"/>
        <v>14.95</v>
      </c>
      <c r="AA1624" s="304">
        <f ca="1">OFFSET(卡牌辅助配置表!$AD$1,MATCH(AB1624,卡牌辅助配置表!AB:AB,0)-1,0)</f>
        <v>800</v>
      </c>
      <c r="AB1624" s="304">
        <f ca="1" t="shared" si="276"/>
        <v>1218</v>
      </c>
      <c r="AC1624" s="153">
        <v>1</v>
      </c>
      <c r="AE1624" s="153">
        <v>3</v>
      </c>
      <c r="AF1624" s="153" t="str">
        <f ca="1" t="shared" si="268"/>
        <v>30030011|</v>
      </c>
      <c r="AJ1624" s="205" t="str">
        <f ca="1" t="shared" si="277"/>
        <v>400023|8850|;</v>
      </c>
      <c r="AK1624" s="205">
        <f ca="1">OFFSET([1]item_type!$A$1,MATCH(Q1624,[1]item_type!$G:$G,0)-1,0)</f>
        <v>303003</v>
      </c>
      <c r="AL1624" s="205"/>
      <c r="AM1624" s="205">
        <f ca="1">IF(B1624=B1625,OFFSET(卡牌辅助配置表!$AE$1,MATCH(AB1624,卡牌辅助配置表!AB:AB,0),0),0)</f>
        <v>8850</v>
      </c>
      <c r="AN1624" s="153">
        <f ca="1" t="shared" si="272"/>
        <v>3003019</v>
      </c>
      <c r="AP1624" s="153" t="str">
        <f ca="1">IF(AC1624=0,0,IF(AC1624=12,0,OFFSET(effect!$N$1,MATCH(K1624,effect!M:M,0)-1,0)))</f>
        <v>kpsx_pt</v>
      </c>
    </row>
    <row r="1625" spans="1:42">
      <c r="A1625" s="153">
        <f ca="1" t="shared" si="273"/>
        <v>3003019</v>
      </c>
      <c r="B1625" s="91" t="s">
        <v>524</v>
      </c>
      <c r="C1625" s="186">
        <v>3</v>
      </c>
      <c r="D1625" s="186">
        <v>6</v>
      </c>
      <c r="E1625" s="165" t="s">
        <v>1069</v>
      </c>
      <c r="F1625" s="165" t="str">
        <f>"本回合每出一张法术牌，伤害增加"&amp;skill!$O$128/100&amp;"%"</f>
        <v>本回合每出一张法术牌，伤害增加25%</v>
      </c>
      <c r="G1625" s="186">
        <f ca="1">OFFSET(卡牌辅助配置表!$C$1,MATCH(AC1625,卡牌辅助配置表!A:A,0)-1,0)</f>
        <v>3</v>
      </c>
      <c r="H1625" s="186">
        <f ca="1">OFFSET(skill!$Q$1,MATCH(B1625,skill!B:B,0)-1,0)</f>
        <v>0.4</v>
      </c>
      <c r="I1625" s="186"/>
      <c r="J1625" s="186">
        <f ca="1">OFFSET(card_type!$F$1,MATCH(Q1625,card_type!A:A,0)-1,0)</f>
        <v>1</v>
      </c>
      <c r="K1625" s="243">
        <f ca="1">OFFSET(card_type!$G$1,MATCH(Q1625,card_type!A:A,0)-1,0)</f>
        <v>2</v>
      </c>
      <c r="L1625" s="157">
        <v>2</v>
      </c>
      <c r="M1625" s="157">
        <v>2</v>
      </c>
      <c r="N1625" s="153">
        <f t="shared" si="274"/>
        <v>19</v>
      </c>
      <c r="O1625" s="157"/>
      <c r="P1625" s="157"/>
      <c r="Q1625" s="153">
        <f ca="1">OFFSET(card_type!$A$1,MATCH(card!B1625,card_type!B:B,0)-1,0)</f>
        <v>3003</v>
      </c>
      <c r="R1625" s="153">
        <v>1</v>
      </c>
      <c r="S1625" s="157">
        <f ca="1">ROUND(IF(R1625=0,0,IF(R1625=1,X1625*$S$1,IF(R1625=2,X1625*$S$1*buff的资质计算!$E$2,IF(R1625=3,X1625*$S$1*buff的资质计算!$E$3,0)))),0)*0</f>
        <v>0</v>
      </c>
      <c r="T1625" s="153">
        <v>2</v>
      </c>
      <c r="U1625" s="153">
        <f ca="1" t="shared" si="275"/>
        <v>12</v>
      </c>
      <c r="V1625" s="153">
        <f ca="1">ROUND((OFFSET(卡牌辅助配置表!$O$1,MATCH(U1625,卡牌辅助配置表!M:M,0)-1,0)+(N1625-1)*OFFSET(卡牌辅助配置表!$P$1,MATCH(U1625,卡牌辅助配置表!M:M,0)-1,0))*M1625,2)</f>
        <v>30.4</v>
      </c>
      <c r="W1625" s="157">
        <f ca="1">ROUND(IF(R1625=0,0,IF(R1625=1,X1625*$W$1,IF(R1625=2,X1625*$W$1*buff的资质计算!$E$2,IF(R1625=3,X1625*$W$1*buff的资质计算!$E$3,0)))),2)</f>
        <v>9</v>
      </c>
      <c r="X1625" s="157">
        <f ca="1" t="shared" si="270"/>
        <v>30</v>
      </c>
      <c r="Y1625" s="157">
        <f ca="1" t="shared" si="278"/>
        <v>30.4</v>
      </c>
      <c r="Z1625" s="304">
        <f ca="1" t="shared" si="271"/>
        <v>15.2</v>
      </c>
      <c r="AA1625" s="304">
        <f ca="1">OFFSET(卡牌辅助配置表!$AD$1,MATCH(AB1625,卡牌辅助配置表!AB:AB,0)-1,0)</f>
        <v>855</v>
      </c>
      <c r="AB1625" s="304">
        <f ca="1" t="shared" si="276"/>
        <v>1219</v>
      </c>
      <c r="AC1625" s="153">
        <v>1</v>
      </c>
      <c r="AE1625" s="153">
        <v>3</v>
      </c>
      <c r="AF1625" s="153" t="str">
        <f ca="1" t="shared" ref="AF1625:AF1688" si="279">((Q1625*1000+1)*10+1)&amp;$AF$1</f>
        <v>30030011|</v>
      </c>
      <c r="AJ1625" s="205" t="str">
        <f ca="1" t="shared" si="277"/>
        <v>303003|20|;400023|9450|;</v>
      </c>
      <c r="AK1625" s="205">
        <f ca="1">OFFSET([1]item_type!$A$1,MATCH(Q1625,[1]item_type!$G:$G,0)-1,0)</f>
        <v>303003</v>
      </c>
      <c r="AL1625" s="205">
        <v>20</v>
      </c>
      <c r="AM1625" s="205">
        <f ca="1">IF(B1625=B1626,OFFSET(卡牌辅助配置表!$AE$1,MATCH(AB1625,卡牌辅助配置表!AB:AB,0),0),0)</f>
        <v>9450</v>
      </c>
      <c r="AN1625" s="153">
        <f ca="1" t="shared" si="272"/>
        <v>3003020</v>
      </c>
      <c r="AP1625" s="153" t="str">
        <f ca="1">IF(AC1625=0,0,IF(AC1625=12,0,OFFSET(effect!$N$1,MATCH(K1625,effect!M:M,0)-1,0)))</f>
        <v>kpsx_pt</v>
      </c>
    </row>
    <row r="1626" spans="1:42">
      <c r="A1626" s="153">
        <f ca="1" t="shared" si="273"/>
        <v>3003020</v>
      </c>
      <c r="B1626" s="91" t="s">
        <v>524</v>
      </c>
      <c r="C1626" s="186">
        <v>3</v>
      </c>
      <c r="D1626" s="186">
        <v>6</v>
      </c>
      <c r="E1626" s="165" t="s">
        <v>1069</v>
      </c>
      <c r="F1626" s="165" t="str">
        <f>"本回合每出一张法术牌，伤害增加"&amp;skill!$O$128/100&amp;"%"</f>
        <v>本回合每出一张法术牌，伤害增加25%</v>
      </c>
      <c r="G1626" s="186">
        <f ca="1">OFFSET(卡牌辅助配置表!$C$1,MATCH(AC1626,卡牌辅助配置表!A:A,0)-1,0)</f>
        <v>3</v>
      </c>
      <c r="H1626" s="186">
        <f ca="1">OFFSET(skill!$Q$1,MATCH(B1626,skill!B:B,0)-1,0)</f>
        <v>0.4</v>
      </c>
      <c r="I1626" s="186"/>
      <c r="J1626" s="186">
        <f ca="1">OFFSET(card_type!$F$1,MATCH(Q1626,card_type!A:A,0)-1,0)</f>
        <v>1</v>
      </c>
      <c r="K1626" s="243">
        <f ca="1">OFFSET(card_type!$G$1,MATCH(Q1626,card_type!A:A,0)-1,0)</f>
        <v>2</v>
      </c>
      <c r="L1626" s="157">
        <v>2</v>
      </c>
      <c r="M1626" s="157">
        <v>2</v>
      </c>
      <c r="N1626" s="153">
        <f t="shared" si="274"/>
        <v>20</v>
      </c>
      <c r="O1626" s="157"/>
      <c r="P1626" s="157"/>
      <c r="Q1626" s="153">
        <f ca="1">OFFSET(card_type!$A$1,MATCH(card!B1626,card_type!B:B,0)-1,0)</f>
        <v>3003</v>
      </c>
      <c r="R1626" s="153">
        <v>1</v>
      </c>
      <c r="S1626" s="157">
        <f ca="1">ROUND(IF(R1626=0,0,IF(R1626=1,X1626*$S$1,IF(R1626=2,X1626*$S$1*buff的资质计算!$E$2,IF(R1626=3,X1626*$S$1*buff的资质计算!$E$3,0)))),0)*0</f>
        <v>0</v>
      </c>
      <c r="T1626" s="153">
        <v>2</v>
      </c>
      <c r="U1626" s="153">
        <f ca="1" t="shared" si="275"/>
        <v>12</v>
      </c>
      <c r="V1626" s="153">
        <f ca="1">ROUND((OFFSET(卡牌辅助配置表!$O$1,MATCH(U1626,卡牌辅助配置表!M:M,0)-1,0)+(N1626-1)*OFFSET(卡牌辅助配置表!$P$1,MATCH(U1626,卡牌辅助配置表!M:M,0)-1,0))*M1626,2)</f>
        <v>31.03</v>
      </c>
      <c r="W1626" s="157">
        <f ca="1">ROUND(IF(R1626=0,0,IF(R1626=1,X1626*$W$1,IF(R1626=2,X1626*$W$1*buff的资质计算!$E$2,IF(R1626=3,X1626*$W$1*buff的资质计算!$E$3,0)))),2)</f>
        <v>9.15</v>
      </c>
      <c r="X1626" s="157">
        <f ca="1" t="shared" si="270"/>
        <v>30.5</v>
      </c>
      <c r="Y1626" s="157">
        <f ca="1" t="shared" si="278"/>
        <v>30.9</v>
      </c>
      <c r="Z1626" s="304">
        <f ca="1" t="shared" si="271"/>
        <v>15.45</v>
      </c>
      <c r="AA1626" s="304">
        <f ca="1">OFFSET(卡牌辅助配置表!$AD$1,MATCH(AB1626,卡牌辅助配置表!AB:AB,0)-1,0)</f>
        <v>910</v>
      </c>
      <c r="AB1626" s="304">
        <f ca="1" t="shared" si="276"/>
        <v>1220</v>
      </c>
      <c r="AC1626" s="153">
        <v>1</v>
      </c>
      <c r="AE1626" s="153">
        <v>3</v>
      </c>
      <c r="AF1626" s="153" t="str">
        <f ca="1" t="shared" si="279"/>
        <v>30030011|</v>
      </c>
      <c r="AJ1626" s="205" t="str">
        <f ca="1" t="shared" si="277"/>
        <v>400023|10650|;</v>
      </c>
      <c r="AK1626" s="205">
        <f ca="1">OFFSET([1]item_type!$A$1,MATCH(Q1626,[1]item_type!$G:$G,0)-1,0)</f>
        <v>303003</v>
      </c>
      <c r="AL1626" s="205"/>
      <c r="AM1626" s="205">
        <f ca="1">IF(B1626=B1627,OFFSET(卡牌辅助配置表!$AE$1,MATCH(AB1626,卡牌辅助配置表!AB:AB,0),0),0)</f>
        <v>10650</v>
      </c>
      <c r="AN1626" s="153">
        <f ca="1" t="shared" si="272"/>
        <v>3003021</v>
      </c>
      <c r="AP1626" s="153" t="str">
        <f ca="1">IF(AC1626=0,0,IF(AC1626=12,0,OFFSET(effect!$N$1,MATCH(K1626,effect!M:M,0)-1,0)))</f>
        <v>kpsx_pt</v>
      </c>
    </row>
    <row r="1627" spans="1:42">
      <c r="A1627" s="153">
        <f ca="1" t="shared" si="273"/>
        <v>3003021</v>
      </c>
      <c r="B1627" s="91" t="s">
        <v>524</v>
      </c>
      <c r="C1627" s="186">
        <v>3</v>
      </c>
      <c r="D1627" s="186">
        <v>6</v>
      </c>
      <c r="E1627" s="165" t="s">
        <v>1069</v>
      </c>
      <c r="F1627" s="165" t="str">
        <f>"本回合每出一张法术牌，伤害增加"&amp;skill!$O$128/100&amp;"%"</f>
        <v>本回合每出一张法术牌，伤害增加25%</v>
      </c>
      <c r="G1627" s="186">
        <f ca="1">OFFSET(卡牌辅助配置表!$C$1,MATCH(AC1627,卡牌辅助配置表!A:A,0)-1,0)</f>
        <v>3</v>
      </c>
      <c r="H1627" s="186">
        <f ca="1">OFFSET(skill!$Q$1,MATCH(B1627,skill!B:B,0)-1,0)</f>
        <v>0.4</v>
      </c>
      <c r="I1627" s="186"/>
      <c r="J1627" s="186">
        <f ca="1">OFFSET(card_type!$F$1,MATCH(Q1627,card_type!A:A,0)-1,0)</f>
        <v>1</v>
      </c>
      <c r="K1627" s="243">
        <f ca="1">OFFSET(card_type!$G$1,MATCH(Q1627,card_type!A:A,0)-1,0)</f>
        <v>2</v>
      </c>
      <c r="L1627" s="157">
        <v>2</v>
      </c>
      <c r="M1627" s="157">
        <v>2</v>
      </c>
      <c r="N1627" s="153">
        <f t="shared" si="274"/>
        <v>21</v>
      </c>
      <c r="O1627" s="157"/>
      <c r="P1627" s="157"/>
      <c r="Q1627" s="153">
        <f ca="1">OFFSET(card_type!$A$1,MATCH(card!B1627,card_type!B:B,0)-1,0)</f>
        <v>3003</v>
      </c>
      <c r="R1627" s="153">
        <v>1</v>
      </c>
      <c r="S1627" s="157">
        <f ca="1">ROUND(IF(R1627=0,0,IF(R1627=1,X1627*$S$1,IF(R1627=2,X1627*$S$1*buff的资质计算!$E$2,IF(R1627=3,X1627*$S$1*buff的资质计算!$E$3,0)))),0)*0</f>
        <v>0</v>
      </c>
      <c r="T1627" s="153">
        <v>2</v>
      </c>
      <c r="U1627" s="153">
        <f ca="1" t="shared" si="275"/>
        <v>12</v>
      </c>
      <c r="V1627" s="153">
        <f ca="1">ROUND((OFFSET(卡牌辅助配置表!$O$1,MATCH(U1627,卡牌辅助配置表!M:M,0)-1,0)+(N1627-1)*OFFSET(卡牌辅助配置表!$P$1,MATCH(U1627,卡牌辅助配置表!M:M,0)-1,0))*M1627,2)</f>
        <v>31.67</v>
      </c>
      <c r="W1627" s="157">
        <f ca="1">ROUND(IF(R1627=0,0,IF(R1627=1,X1627*$W$1,IF(R1627=2,X1627*$W$1*buff的资质计算!$E$2,IF(R1627=3,X1627*$W$1*buff的资质计算!$E$3,0)))),2)</f>
        <v>9.3</v>
      </c>
      <c r="X1627" s="157">
        <f ca="1" t="shared" si="270"/>
        <v>31</v>
      </c>
      <c r="Y1627" s="157">
        <f ca="1" t="shared" si="278"/>
        <v>31.4</v>
      </c>
      <c r="Z1627" s="304">
        <f ca="1" t="shared" si="271"/>
        <v>15.7</v>
      </c>
      <c r="AA1627" s="304">
        <f ca="1">OFFSET(卡牌辅助配置表!$AD$1,MATCH(AB1627,卡牌辅助配置表!AB:AB,0)-1,0)</f>
        <v>983</v>
      </c>
      <c r="AB1627" s="304">
        <f ca="1" t="shared" si="276"/>
        <v>1221</v>
      </c>
      <c r="AC1627" s="153">
        <v>1</v>
      </c>
      <c r="AE1627" s="153">
        <v>3</v>
      </c>
      <c r="AF1627" s="153" t="str">
        <f ca="1" t="shared" si="279"/>
        <v>30030011|</v>
      </c>
      <c r="AJ1627" s="205" t="str">
        <f ca="1" t="shared" si="277"/>
        <v>400023|11850|;</v>
      </c>
      <c r="AK1627" s="205">
        <f ca="1">OFFSET([1]item_type!$A$1,MATCH(Q1627,[1]item_type!$G:$G,0)-1,0)</f>
        <v>303003</v>
      </c>
      <c r="AL1627" s="205"/>
      <c r="AM1627" s="205">
        <f ca="1">IF(B1627=B1628,OFFSET(卡牌辅助配置表!$AE$1,MATCH(AB1627,卡牌辅助配置表!AB:AB,0),0),0)</f>
        <v>11850</v>
      </c>
      <c r="AN1627" s="153">
        <f ca="1" t="shared" si="272"/>
        <v>3003022</v>
      </c>
      <c r="AP1627" s="153" t="str">
        <f ca="1">IF(AC1627=0,0,IF(AC1627=12,0,OFFSET(effect!$N$1,MATCH(K1627,effect!M:M,0)-1,0)))</f>
        <v>kpsx_pt</v>
      </c>
    </row>
    <row r="1628" spans="1:42">
      <c r="A1628" s="153">
        <f ca="1" t="shared" si="273"/>
        <v>3003022</v>
      </c>
      <c r="B1628" s="91" t="s">
        <v>524</v>
      </c>
      <c r="C1628" s="186">
        <v>3</v>
      </c>
      <c r="D1628" s="186">
        <v>6</v>
      </c>
      <c r="E1628" s="165" t="s">
        <v>1069</v>
      </c>
      <c r="F1628" s="165" t="str">
        <f>"本回合每出一张法术牌，伤害增加"&amp;skill!$O$128/100&amp;"%"</f>
        <v>本回合每出一张法术牌，伤害增加25%</v>
      </c>
      <c r="G1628" s="186">
        <f ca="1">OFFSET(卡牌辅助配置表!$C$1,MATCH(AC1628,卡牌辅助配置表!A:A,0)-1,0)</f>
        <v>3</v>
      </c>
      <c r="H1628" s="186">
        <f ca="1">OFFSET(skill!$Q$1,MATCH(B1628,skill!B:B,0)-1,0)</f>
        <v>0.4</v>
      </c>
      <c r="I1628" s="186"/>
      <c r="J1628" s="186">
        <f ca="1">OFFSET(card_type!$F$1,MATCH(Q1628,card_type!A:A,0)-1,0)</f>
        <v>1</v>
      </c>
      <c r="K1628" s="243">
        <f ca="1">OFFSET(card_type!$G$1,MATCH(Q1628,card_type!A:A,0)-1,0)</f>
        <v>2</v>
      </c>
      <c r="L1628" s="157">
        <v>2</v>
      </c>
      <c r="M1628" s="157">
        <v>2</v>
      </c>
      <c r="N1628" s="153">
        <f t="shared" si="274"/>
        <v>22</v>
      </c>
      <c r="O1628" s="157"/>
      <c r="P1628" s="157"/>
      <c r="Q1628" s="153">
        <f ca="1">OFFSET(card_type!$A$1,MATCH(card!B1628,card_type!B:B,0)-1,0)</f>
        <v>3003</v>
      </c>
      <c r="R1628" s="153">
        <v>1</v>
      </c>
      <c r="S1628" s="157">
        <f ca="1">ROUND(IF(R1628=0,0,IF(R1628=1,X1628*$S$1,IF(R1628=2,X1628*$S$1*buff的资质计算!$E$2,IF(R1628=3,X1628*$S$1*buff的资质计算!$E$3,0)))),0)*0</f>
        <v>0</v>
      </c>
      <c r="T1628" s="153">
        <v>2</v>
      </c>
      <c r="U1628" s="153">
        <f ca="1" t="shared" si="275"/>
        <v>12</v>
      </c>
      <c r="V1628" s="153">
        <f ca="1">ROUND((OFFSET(卡牌辅助配置表!$O$1,MATCH(U1628,卡牌辅助配置表!M:M,0)-1,0)+(N1628-1)*OFFSET(卡牌辅助配置表!$P$1,MATCH(U1628,卡牌辅助配置表!M:M,0)-1,0))*M1628,2)</f>
        <v>32.3</v>
      </c>
      <c r="W1628" s="157">
        <f ca="1">ROUND(IF(R1628=0,0,IF(R1628=1,X1628*$W$1,IF(R1628=2,X1628*$W$1*buff的资质计算!$E$2,IF(R1628=3,X1628*$W$1*buff的资质计算!$E$3,0)))),2)</f>
        <v>9.45</v>
      </c>
      <c r="X1628" s="157">
        <f ca="1" t="shared" si="270"/>
        <v>31.5</v>
      </c>
      <c r="Y1628" s="157">
        <f ca="1" t="shared" si="278"/>
        <v>31.9</v>
      </c>
      <c r="Z1628" s="304">
        <f ca="1" t="shared" si="271"/>
        <v>15.95</v>
      </c>
      <c r="AA1628" s="304">
        <f ca="1">OFFSET(卡牌辅助配置表!$AD$1,MATCH(AB1628,卡牌辅助配置表!AB:AB,0)-1,0)</f>
        <v>1056</v>
      </c>
      <c r="AB1628" s="304">
        <f ca="1" t="shared" si="276"/>
        <v>1222</v>
      </c>
      <c r="AC1628" s="153">
        <v>1</v>
      </c>
      <c r="AE1628" s="153">
        <v>3</v>
      </c>
      <c r="AF1628" s="153" t="str">
        <f ca="1" t="shared" si="279"/>
        <v>30030011|</v>
      </c>
      <c r="AJ1628" s="205" t="str">
        <f ca="1" t="shared" si="277"/>
        <v>400023|13050|;</v>
      </c>
      <c r="AK1628" s="205">
        <f ca="1">OFFSET([1]item_type!$A$1,MATCH(Q1628,[1]item_type!$G:$G,0)-1,0)</f>
        <v>303003</v>
      </c>
      <c r="AL1628" s="205"/>
      <c r="AM1628" s="205">
        <f ca="1">IF(B1628=B1629,OFFSET(卡牌辅助配置表!$AE$1,MATCH(AB1628,卡牌辅助配置表!AB:AB,0),0),0)</f>
        <v>13050</v>
      </c>
      <c r="AN1628" s="153">
        <f ca="1" t="shared" si="272"/>
        <v>3003023</v>
      </c>
      <c r="AP1628" s="153" t="str">
        <f ca="1">IF(AC1628=0,0,IF(AC1628=12,0,OFFSET(effect!$N$1,MATCH(K1628,effect!M:M,0)-1,0)))</f>
        <v>kpsx_pt</v>
      </c>
    </row>
    <row r="1629" spans="1:42">
      <c r="A1629" s="153">
        <f ca="1" t="shared" si="273"/>
        <v>3003023</v>
      </c>
      <c r="B1629" s="91" t="s">
        <v>524</v>
      </c>
      <c r="C1629" s="186">
        <v>3</v>
      </c>
      <c r="D1629" s="186">
        <v>6</v>
      </c>
      <c r="E1629" s="165" t="s">
        <v>1069</v>
      </c>
      <c r="F1629" s="165" t="str">
        <f>"本回合每出一张法术牌，伤害增加"&amp;skill!$O$128/100&amp;"%"</f>
        <v>本回合每出一张法术牌，伤害增加25%</v>
      </c>
      <c r="G1629" s="186">
        <f ca="1">OFFSET(卡牌辅助配置表!$C$1,MATCH(AC1629,卡牌辅助配置表!A:A,0)-1,0)</f>
        <v>3</v>
      </c>
      <c r="H1629" s="186">
        <f ca="1">OFFSET(skill!$Q$1,MATCH(B1629,skill!B:B,0)-1,0)</f>
        <v>0.4</v>
      </c>
      <c r="I1629" s="186"/>
      <c r="J1629" s="186">
        <f ca="1">OFFSET(card_type!$F$1,MATCH(Q1629,card_type!A:A,0)-1,0)</f>
        <v>1</v>
      </c>
      <c r="K1629" s="243">
        <f ca="1">OFFSET(card_type!$G$1,MATCH(Q1629,card_type!A:A,0)-1,0)</f>
        <v>2</v>
      </c>
      <c r="L1629" s="157">
        <v>2</v>
      </c>
      <c r="M1629" s="157">
        <v>2</v>
      </c>
      <c r="N1629" s="153">
        <f t="shared" si="274"/>
        <v>23</v>
      </c>
      <c r="O1629" s="157"/>
      <c r="P1629" s="157"/>
      <c r="Q1629" s="153">
        <f ca="1">OFFSET(card_type!$A$1,MATCH(card!B1629,card_type!B:B,0)-1,0)</f>
        <v>3003</v>
      </c>
      <c r="R1629" s="153">
        <v>1</v>
      </c>
      <c r="S1629" s="157">
        <f ca="1">ROUND(IF(R1629=0,0,IF(R1629=1,X1629*$S$1,IF(R1629=2,X1629*$S$1*buff的资质计算!$E$2,IF(R1629=3,X1629*$S$1*buff的资质计算!$E$3,0)))),0)*0</f>
        <v>0</v>
      </c>
      <c r="T1629" s="153">
        <v>2</v>
      </c>
      <c r="U1629" s="153">
        <f ca="1" t="shared" si="275"/>
        <v>12</v>
      </c>
      <c r="V1629" s="153">
        <f ca="1">ROUND((OFFSET(卡牌辅助配置表!$O$1,MATCH(U1629,卡牌辅助配置表!M:M,0)-1,0)+(N1629-1)*OFFSET(卡牌辅助配置表!$P$1,MATCH(U1629,卡牌辅助配置表!M:M,0)-1,0))*M1629,2)</f>
        <v>32.93</v>
      </c>
      <c r="W1629" s="157">
        <f ca="1">ROUND(IF(R1629=0,0,IF(R1629=1,X1629*$W$1,IF(R1629=2,X1629*$W$1*buff的资质计算!$E$2,IF(R1629=3,X1629*$W$1*buff的资质计算!$E$3,0)))),2)</f>
        <v>9.6</v>
      </c>
      <c r="X1629" s="157">
        <f ca="1" t="shared" si="270"/>
        <v>32</v>
      </c>
      <c r="Y1629" s="157">
        <f ca="1" t="shared" si="278"/>
        <v>32.4</v>
      </c>
      <c r="Z1629" s="304">
        <f ca="1" t="shared" si="271"/>
        <v>16.2</v>
      </c>
      <c r="AA1629" s="304">
        <f ca="1">OFFSET(卡牌辅助配置表!$AD$1,MATCH(AB1629,卡牌辅助配置表!AB:AB,0)-1,0)</f>
        <v>1129</v>
      </c>
      <c r="AB1629" s="304">
        <f ca="1" t="shared" si="276"/>
        <v>1223</v>
      </c>
      <c r="AC1629" s="153">
        <v>1</v>
      </c>
      <c r="AE1629" s="153">
        <v>3</v>
      </c>
      <c r="AF1629" s="153" t="str">
        <f ca="1" t="shared" si="279"/>
        <v>30030011|</v>
      </c>
      <c r="AJ1629" s="205" t="str">
        <f ca="1" t="shared" si="277"/>
        <v>400023|14250|;</v>
      </c>
      <c r="AK1629" s="205">
        <f ca="1">OFFSET([1]item_type!$A$1,MATCH(Q1629,[1]item_type!$G:$G,0)-1,0)</f>
        <v>303003</v>
      </c>
      <c r="AL1629" s="205"/>
      <c r="AM1629" s="205">
        <f ca="1">IF(B1629=B1630,OFFSET(卡牌辅助配置表!$AE$1,MATCH(AB1629,卡牌辅助配置表!AB:AB,0),0),0)</f>
        <v>14250</v>
      </c>
      <c r="AN1629" s="153">
        <f ca="1" t="shared" si="272"/>
        <v>3003024</v>
      </c>
      <c r="AP1629" s="153" t="str">
        <f ca="1">IF(AC1629=0,0,IF(AC1629=12,0,OFFSET(effect!$N$1,MATCH(K1629,effect!M:M,0)-1,0)))</f>
        <v>kpsx_pt</v>
      </c>
    </row>
    <row r="1630" spans="1:42">
      <c r="A1630" s="153">
        <f ca="1" t="shared" si="273"/>
        <v>3003024</v>
      </c>
      <c r="B1630" s="91" t="s">
        <v>524</v>
      </c>
      <c r="C1630" s="186">
        <v>3</v>
      </c>
      <c r="D1630" s="186">
        <v>6</v>
      </c>
      <c r="E1630" s="165" t="s">
        <v>1069</v>
      </c>
      <c r="F1630" s="165" t="str">
        <f>"本回合每出一张法术牌，伤害增加"&amp;skill!$O$128/100&amp;"%"</f>
        <v>本回合每出一张法术牌，伤害增加25%</v>
      </c>
      <c r="G1630" s="186">
        <f ca="1">OFFSET(卡牌辅助配置表!$C$1,MATCH(AC1630,卡牌辅助配置表!A:A,0)-1,0)</f>
        <v>3</v>
      </c>
      <c r="H1630" s="186">
        <f ca="1">OFFSET(skill!$Q$1,MATCH(B1630,skill!B:B,0)-1,0)</f>
        <v>0.4</v>
      </c>
      <c r="I1630" s="186"/>
      <c r="J1630" s="186">
        <f ca="1">OFFSET(card_type!$F$1,MATCH(Q1630,card_type!A:A,0)-1,0)</f>
        <v>1</v>
      </c>
      <c r="K1630" s="243">
        <f ca="1">OFFSET(card_type!$G$1,MATCH(Q1630,card_type!A:A,0)-1,0)</f>
        <v>2</v>
      </c>
      <c r="L1630" s="157">
        <v>2</v>
      </c>
      <c r="M1630" s="157">
        <v>2</v>
      </c>
      <c r="N1630" s="153">
        <f t="shared" si="274"/>
        <v>24</v>
      </c>
      <c r="O1630" s="157"/>
      <c r="P1630" s="157"/>
      <c r="Q1630" s="153">
        <f ca="1">OFFSET(card_type!$A$1,MATCH(card!B1630,card_type!B:B,0)-1,0)</f>
        <v>3003</v>
      </c>
      <c r="R1630" s="153">
        <v>1</v>
      </c>
      <c r="S1630" s="157">
        <f ca="1">ROUND(IF(R1630=0,0,IF(R1630=1,X1630*$S$1,IF(R1630=2,X1630*$S$1*buff的资质计算!$E$2,IF(R1630=3,X1630*$S$1*buff的资质计算!$E$3,0)))),0)*0</f>
        <v>0</v>
      </c>
      <c r="T1630" s="153">
        <v>2</v>
      </c>
      <c r="U1630" s="153">
        <f ca="1" t="shared" si="275"/>
        <v>12</v>
      </c>
      <c r="V1630" s="153">
        <f ca="1">ROUND((OFFSET(卡牌辅助配置表!$O$1,MATCH(U1630,卡牌辅助配置表!M:M,0)-1,0)+(N1630-1)*OFFSET(卡牌辅助配置表!$P$1,MATCH(U1630,卡牌辅助配置表!M:M,0)-1,0))*M1630,2)</f>
        <v>33.57</v>
      </c>
      <c r="W1630" s="157">
        <f ca="1">ROUND(IF(R1630=0,0,IF(R1630=1,X1630*$W$1,IF(R1630=2,X1630*$W$1*buff的资质计算!$E$2,IF(R1630=3,X1630*$W$1*buff的资质计算!$E$3,0)))),2)</f>
        <v>9.75</v>
      </c>
      <c r="X1630" s="157">
        <f ca="1" t="shared" si="270"/>
        <v>32.5</v>
      </c>
      <c r="Y1630" s="157">
        <f ca="1" t="shared" si="278"/>
        <v>32.9</v>
      </c>
      <c r="Z1630" s="304">
        <f ca="1" t="shared" si="271"/>
        <v>16.45</v>
      </c>
      <c r="AA1630" s="304">
        <f ca="1">OFFSET(卡牌辅助配置表!$AD$1,MATCH(AB1630,卡牌辅助配置表!AB:AB,0)-1,0)</f>
        <v>1202</v>
      </c>
      <c r="AB1630" s="304">
        <f ca="1" t="shared" si="276"/>
        <v>1224</v>
      </c>
      <c r="AC1630" s="153">
        <v>1</v>
      </c>
      <c r="AE1630" s="153">
        <v>3</v>
      </c>
      <c r="AF1630" s="153" t="str">
        <f ca="1" t="shared" si="279"/>
        <v>30030011|</v>
      </c>
      <c r="AJ1630" s="205" t="str">
        <f ca="1" t="shared" si="277"/>
        <v>400023|15450|;</v>
      </c>
      <c r="AK1630" s="205">
        <f ca="1">OFFSET([1]item_type!$A$1,MATCH(Q1630,[1]item_type!$G:$G,0)-1,0)</f>
        <v>303003</v>
      </c>
      <c r="AL1630" s="205"/>
      <c r="AM1630" s="205">
        <f ca="1">IF(B1630=B1631,OFFSET(卡牌辅助配置表!$AE$1,MATCH(AB1630,卡牌辅助配置表!AB:AB,0),0),0)</f>
        <v>15450</v>
      </c>
      <c r="AN1630" s="153">
        <f ca="1" t="shared" si="272"/>
        <v>3003025</v>
      </c>
      <c r="AP1630" s="153" t="str">
        <f ca="1">IF(AC1630=0,0,IF(AC1630=12,0,OFFSET(effect!$N$1,MATCH(K1630,effect!M:M,0)-1,0)))</f>
        <v>kpsx_pt</v>
      </c>
    </row>
    <row r="1631" spans="1:42">
      <c r="A1631" s="153">
        <f ca="1" t="shared" si="273"/>
        <v>3003025</v>
      </c>
      <c r="B1631" s="91" t="s">
        <v>524</v>
      </c>
      <c r="C1631" s="186">
        <v>3</v>
      </c>
      <c r="D1631" s="186">
        <v>6</v>
      </c>
      <c r="E1631" s="165" t="s">
        <v>1069</v>
      </c>
      <c r="F1631" s="165" t="str">
        <f>"本回合每出一张法术牌，伤害增加"&amp;skill!$O$128/100&amp;"%"</f>
        <v>本回合每出一张法术牌，伤害增加25%</v>
      </c>
      <c r="G1631" s="186">
        <f ca="1">OFFSET(卡牌辅助配置表!$C$1,MATCH(AC1631,卡牌辅助配置表!A:A,0)-1,0)</f>
        <v>3</v>
      </c>
      <c r="H1631" s="186">
        <f ca="1">OFFSET(skill!$Q$1,MATCH(B1631,skill!B:B,0)-1,0)</f>
        <v>0.4</v>
      </c>
      <c r="I1631" s="186"/>
      <c r="J1631" s="186">
        <f ca="1">OFFSET(card_type!$F$1,MATCH(Q1631,card_type!A:A,0)-1,0)</f>
        <v>1</v>
      </c>
      <c r="K1631" s="243">
        <f ca="1">OFFSET(card_type!$G$1,MATCH(Q1631,card_type!A:A,0)-1,0)</f>
        <v>2</v>
      </c>
      <c r="L1631" s="157">
        <v>2</v>
      </c>
      <c r="M1631" s="157">
        <v>2</v>
      </c>
      <c r="N1631" s="153">
        <f t="shared" si="274"/>
        <v>25</v>
      </c>
      <c r="O1631" s="157"/>
      <c r="P1631" s="157"/>
      <c r="Q1631" s="153">
        <f ca="1">OFFSET(card_type!$A$1,MATCH(card!B1631,card_type!B:B,0)-1,0)</f>
        <v>3003</v>
      </c>
      <c r="R1631" s="153">
        <v>1</v>
      </c>
      <c r="S1631" s="157">
        <f ca="1">ROUND(IF(R1631=0,0,IF(R1631=1,X1631*$S$1,IF(R1631=2,X1631*$S$1*buff的资质计算!$E$2,IF(R1631=3,X1631*$S$1*buff的资质计算!$E$3,0)))),0)*0</f>
        <v>0</v>
      </c>
      <c r="T1631" s="153">
        <v>2</v>
      </c>
      <c r="U1631" s="153">
        <f ca="1" t="shared" si="275"/>
        <v>12</v>
      </c>
      <c r="V1631" s="153">
        <f ca="1">ROUND((OFFSET(卡牌辅助配置表!$O$1,MATCH(U1631,卡牌辅助配置表!M:M,0)-1,0)+(N1631-1)*OFFSET(卡牌辅助配置表!$P$1,MATCH(U1631,卡牌辅助配置表!M:M,0)-1,0))*M1631,2)</f>
        <v>34.2</v>
      </c>
      <c r="W1631" s="157">
        <f ca="1">ROUND(IF(R1631=0,0,IF(R1631=1,X1631*$W$1,IF(R1631=2,X1631*$W$1*buff的资质计算!$E$2,IF(R1631=3,X1631*$W$1*buff的资质计算!$E$3,0)))),2)</f>
        <v>9.9</v>
      </c>
      <c r="X1631" s="157">
        <f ca="1" t="shared" si="270"/>
        <v>33</v>
      </c>
      <c r="Y1631" s="157">
        <f ca="1" t="shared" si="278"/>
        <v>33.4</v>
      </c>
      <c r="Z1631" s="304">
        <f ca="1" t="shared" si="271"/>
        <v>16.7</v>
      </c>
      <c r="AA1631" s="304">
        <f ca="1">OFFSET(卡牌辅助配置表!$AD$1,MATCH(AB1631,卡牌辅助配置表!AB:AB,0)-1,0)</f>
        <v>1275</v>
      </c>
      <c r="AB1631" s="304">
        <f ca="1" t="shared" si="276"/>
        <v>1225</v>
      </c>
      <c r="AC1631" s="153">
        <v>1</v>
      </c>
      <c r="AE1631" s="153">
        <v>3</v>
      </c>
      <c r="AF1631" s="153" t="str">
        <f ca="1" t="shared" si="279"/>
        <v>30030011|</v>
      </c>
      <c r="AJ1631" s="205" t="str">
        <f ca="1" t="shared" si="277"/>
        <v>400023|16650|;</v>
      </c>
      <c r="AK1631" s="205">
        <f ca="1">OFFSET([1]item_type!$A$1,MATCH(Q1631,[1]item_type!$G:$G,0)-1,0)</f>
        <v>303003</v>
      </c>
      <c r="AL1631" s="205"/>
      <c r="AM1631" s="205">
        <f ca="1">IF(B1631=B1632,OFFSET(卡牌辅助配置表!$AE$1,MATCH(AB1631,卡牌辅助配置表!AB:AB,0),0),0)</f>
        <v>16650</v>
      </c>
      <c r="AN1631" s="153">
        <f ca="1" t="shared" si="272"/>
        <v>3003026</v>
      </c>
      <c r="AP1631" s="153" t="str">
        <f ca="1">IF(AC1631=0,0,IF(AC1631=12,0,OFFSET(effect!$N$1,MATCH(K1631,effect!M:M,0)-1,0)))</f>
        <v>kpsx_pt</v>
      </c>
    </row>
    <row r="1632" spans="1:42">
      <c r="A1632" s="153">
        <f ca="1" t="shared" si="273"/>
        <v>3003026</v>
      </c>
      <c r="B1632" s="91" t="s">
        <v>524</v>
      </c>
      <c r="C1632" s="186">
        <v>3</v>
      </c>
      <c r="D1632" s="186">
        <v>6</v>
      </c>
      <c r="E1632" s="165" t="s">
        <v>1069</v>
      </c>
      <c r="F1632" s="165" t="str">
        <f>"本回合每出一张法术牌，伤害增加"&amp;skill!$O$128/100&amp;"%"</f>
        <v>本回合每出一张法术牌，伤害增加25%</v>
      </c>
      <c r="G1632" s="186">
        <f ca="1">OFFSET(卡牌辅助配置表!$C$1,MATCH(AC1632,卡牌辅助配置表!A:A,0)-1,0)</f>
        <v>3</v>
      </c>
      <c r="H1632" s="186">
        <f ca="1">OFFSET(skill!$Q$1,MATCH(B1632,skill!B:B,0)-1,0)</f>
        <v>0.4</v>
      </c>
      <c r="I1632" s="186"/>
      <c r="J1632" s="186">
        <f ca="1">OFFSET(card_type!$F$1,MATCH(Q1632,card_type!A:A,0)-1,0)</f>
        <v>1</v>
      </c>
      <c r="K1632" s="243">
        <f ca="1">OFFSET(card_type!$G$1,MATCH(Q1632,card_type!A:A,0)-1,0)</f>
        <v>2</v>
      </c>
      <c r="L1632" s="157">
        <v>2</v>
      </c>
      <c r="M1632" s="157">
        <v>2</v>
      </c>
      <c r="N1632" s="153">
        <f t="shared" si="274"/>
        <v>26</v>
      </c>
      <c r="O1632" s="157"/>
      <c r="P1632" s="157"/>
      <c r="Q1632" s="153">
        <f ca="1">OFFSET(card_type!$A$1,MATCH(card!B1632,card_type!B:B,0)-1,0)</f>
        <v>3003</v>
      </c>
      <c r="R1632" s="153">
        <v>1</v>
      </c>
      <c r="S1632" s="157">
        <f ca="1">ROUND(IF(R1632=0,0,IF(R1632=1,X1632*$S$1,IF(R1632=2,X1632*$S$1*buff的资质计算!$E$2,IF(R1632=3,X1632*$S$1*buff的资质计算!$E$3,0)))),0)*0</f>
        <v>0</v>
      </c>
      <c r="T1632" s="153">
        <v>2</v>
      </c>
      <c r="U1632" s="153">
        <f ca="1" t="shared" si="275"/>
        <v>12</v>
      </c>
      <c r="V1632" s="153">
        <f ca="1">ROUND((OFFSET(卡牌辅助配置表!$O$1,MATCH(U1632,卡牌辅助配置表!M:M,0)-1,0)+(N1632-1)*OFFSET(卡牌辅助配置表!$P$1,MATCH(U1632,卡牌辅助配置表!M:M,0)-1,0))*M1632,2)</f>
        <v>34.83</v>
      </c>
      <c r="W1632" s="157">
        <f ca="1">ROUND(IF(R1632=0,0,IF(R1632=1,X1632*$W$1,IF(R1632=2,X1632*$W$1*buff的资质计算!$E$2,IF(R1632=3,X1632*$W$1*buff的资质计算!$E$3,0)))),2)</f>
        <v>10.05</v>
      </c>
      <c r="X1632" s="157">
        <f ca="1" t="shared" si="270"/>
        <v>33.5</v>
      </c>
      <c r="Y1632" s="157">
        <f ca="1" t="shared" si="278"/>
        <v>33.9</v>
      </c>
      <c r="Z1632" s="304">
        <f ca="1" t="shared" si="271"/>
        <v>16.95</v>
      </c>
      <c r="AA1632" s="304">
        <f ca="1">OFFSET(卡牌辅助配置表!$AD$1,MATCH(AB1632,卡牌辅助配置表!AB:AB,0)-1,0)</f>
        <v>1348</v>
      </c>
      <c r="AB1632" s="304">
        <f ca="1" t="shared" si="276"/>
        <v>1226</v>
      </c>
      <c r="AC1632" s="153">
        <v>1</v>
      </c>
      <c r="AE1632" s="153">
        <v>3</v>
      </c>
      <c r="AF1632" s="153" t="str">
        <f ca="1" t="shared" si="279"/>
        <v>30030011|</v>
      </c>
      <c r="AJ1632" s="205" t="str">
        <f ca="1" t="shared" si="277"/>
        <v>400023|17850|;</v>
      </c>
      <c r="AK1632" s="205">
        <f ca="1">OFFSET([1]item_type!$A$1,MATCH(Q1632,[1]item_type!$G:$G,0)-1,0)</f>
        <v>303003</v>
      </c>
      <c r="AL1632" s="205"/>
      <c r="AM1632" s="205">
        <f ca="1">IF(B1632=B1633,OFFSET(卡牌辅助配置表!$AE$1,MATCH(AB1632,卡牌辅助配置表!AB:AB,0),0),0)</f>
        <v>17850</v>
      </c>
      <c r="AN1632" s="153">
        <f ca="1" t="shared" si="272"/>
        <v>3003027</v>
      </c>
      <c r="AP1632" s="153" t="str">
        <f ca="1">IF(AC1632=0,0,IF(AC1632=12,0,OFFSET(effect!$N$1,MATCH(K1632,effect!M:M,0)-1,0)))</f>
        <v>kpsx_pt</v>
      </c>
    </row>
    <row r="1633" spans="1:42">
      <c r="A1633" s="153">
        <f ca="1" t="shared" si="273"/>
        <v>3003027</v>
      </c>
      <c r="B1633" s="91" t="s">
        <v>524</v>
      </c>
      <c r="C1633" s="186">
        <v>3</v>
      </c>
      <c r="D1633" s="186">
        <v>6</v>
      </c>
      <c r="E1633" s="165" t="s">
        <v>1069</v>
      </c>
      <c r="F1633" s="165" t="str">
        <f>"本回合每出一张法术牌，伤害增加"&amp;skill!$O$128/100&amp;"%"</f>
        <v>本回合每出一张法术牌，伤害增加25%</v>
      </c>
      <c r="G1633" s="186">
        <f ca="1">OFFSET(卡牌辅助配置表!$C$1,MATCH(AC1633,卡牌辅助配置表!A:A,0)-1,0)</f>
        <v>3</v>
      </c>
      <c r="H1633" s="186">
        <f ca="1">OFFSET(skill!$Q$1,MATCH(B1633,skill!B:B,0)-1,0)</f>
        <v>0.4</v>
      </c>
      <c r="I1633" s="186"/>
      <c r="J1633" s="186">
        <f ca="1">OFFSET(card_type!$F$1,MATCH(Q1633,card_type!A:A,0)-1,0)</f>
        <v>1</v>
      </c>
      <c r="K1633" s="243">
        <f ca="1">OFFSET(card_type!$G$1,MATCH(Q1633,card_type!A:A,0)-1,0)</f>
        <v>2</v>
      </c>
      <c r="L1633" s="157">
        <v>2</v>
      </c>
      <c r="M1633" s="157">
        <v>2</v>
      </c>
      <c r="N1633" s="153">
        <f t="shared" si="274"/>
        <v>27</v>
      </c>
      <c r="O1633" s="157"/>
      <c r="P1633" s="157"/>
      <c r="Q1633" s="153">
        <f ca="1">OFFSET(card_type!$A$1,MATCH(card!B1633,card_type!B:B,0)-1,0)</f>
        <v>3003</v>
      </c>
      <c r="R1633" s="153">
        <v>1</v>
      </c>
      <c r="S1633" s="157">
        <f ca="1">ROUND(IF(R1633=0,0,IF(R1633=1,X1633*$S$1,IF(R1633=2,X1633*$S$1*buff的资质计算!$E$2,IF(R1633=3,X1633*$S$1*buff的资质计算!$E$3,0)))),0)*0</f>
        <v>0</v>
      </c>
      <c r="T1633" s="153">
        <v>2</v>
      </c>
      <c r="U1633" s="153">
        <f ca="1" t="shared" si="275"/>
        <v>12</v>
      </c>
      <c r="V1633" s="153">
        <f ca="1">ROUND((OFFSET(卡牌辅助配置表!$O$1,MATCH(U1633,卡牌辅助配置表!M:M,0)-1,0)+(N1633-1)*OFFSET(卡牌辅助配置表!$P$1,MATCH(U1633,卡牌辅助配置表!M:M,0)-1,0))*M1633,2)</f>
        <v>35.47</v>
      </c>
      <c r="W1633" s="157">
        <f ca="1">ROUND(IF(R1633=0,0,IF(R1633=1,X1633*$W$1,IF(R1633=2,X1633*$W$1*buff的资质计算!$E$2,IF(R1633=3,X1633*$W$1*buff的资质计算!$E$3,0)))),2)</f>
        <v>10.2</v>
      </c>
      <c r="X1633" s="157">
        <f ca="1" t="shared" si="270"/>
        <v>34</v>
      </c>
      <c r="Y1633" s="157">
        <f ca="1" t="shared" si="278"/>
        <v>34.4</v>
      </c>
      <c r="Z1633" s="304">
        <f ca="1" t="shared" si="271"/>
        <v>17.2</v>
      </c>
      <c r="AA1633" s="304">
        <f ca="1">OFFSET(卡牌辅助配置表!$AD$1,MATCH(AB1633,卡牌辅助配置表!AB:AB,0)-1,0)</f>
        <v>1421</v>
      </c>
      <c r="AB1633" s="304">
        <f ca="1" t="shared" si="276"/>
        <v>1227</v>
      </c>
      <c r="AC1633" s="153">
        <v>1</v>
      </c>
      <c r="AE1633" s="153">
        <v>3</v>
      </c>
      <c r="AF1633" s="153" t="str">
        <f ca="1" t="shared" si="279"/>
        <v>30030011|</v>
      </c>
      <c r="AJ1633" s="205" t="str">
        <f ca="1" t="shared" si="277"/>
        <v>400023|19050|;</v>
      </c>
      <c r="AK1633" s="205">
        <f ca="1">OFFSET([1]item_type!$A$1,MATCH(Q1633,[1]item_type!$G:$G,0)-1,0)</f>
        <v>303003</v>
      </c>
      <c r="AL1633" s="205"/>
      <c r="AM1633" s="205">
        <f ca="1">IF(B1633=B1634,OFFSET(卡牌辅助配置表!$AE$1,MATCH(AB1633,卡牌辅助配置表!AB:AB,0),0),0)</f>
        <v>19050</v>
      </c>
      <c r="AN1633" s="153">
        <f ca="1" t="shared" si="272"/>
        <v>3003028</v>
      </c>
      <c r="AP1633" s="153" t="str">
        <f ca="1">IF(AC1633=0,0,IF(AC1633=12,0,OFFSET(effect!$N$1,MATCH(K1633,effect!M:M,0)-1,0)))</f>
        <v>kpsx_pt</v>
      </c>
    </row>
    <row r="1634" spans="1:42">
      <c r="A1634" s="153">
        <f ca="1" t="shared" si="273"/>
        <v>3003028</v>
      </c>
      <c r="B1634" s="91" t="s">
        <v>524</v>
      </c>
      <c r="C1634" s="186">
        <v>3</v>
      </c>
      <c r="D1634" s="186">
        <v>6</v>
      </c>
      <c r="E1634" s="165" t="s">
        <v>1069</v>
      </c>
      <c r="F1634" s="165" t="str">
        <f>"本回合每出一张法术牌，伤害增加"&amp;skill!$O$128/100&amp;"%"</f>
        <v>本回合每出一张法术牌，伤害增加25%</v>
      </c>
      <c r="G1634" s="186">
        <f ca="1">OFFSET(卡牌辅助配置表!$C$1,MATCH(AC1634,卡牌辅助配置表!A:A,0)-1,0)</f>
        <v>3</v>
      </c>
      <c r="H1634" s="186">
        <f ca="1">OFFSET(skill!$Q$1,MATCH(B1634,skill!B:B,0)-1,0)</f>
        <v>0.4</v>
      </c>
      <c r="I1634" s="186"/>
      <c r="J1634" s="186">
        <f ca="1">OFFSET(card_type!$F$1,MATCH(Q1634,card_type!A:A,0)-1,0)</f>
        <v>1</v>
      </c>
      <c r="K1634" s="243">
        <f ca="1">OFFSET(card_type!$G$1,MATCH(Q1634,card_type!A:A,0)-1,0)</f>
        <v>2</v>
      </c>
      <c r="L1634" s="157">
        <v>2</v>
      </c>
      <c r="M1634" s="157">
        <v>2</v>
      </c>
      <c r="N1634" s="153">
        <f t="shared" si="274"/>
        <v>28</v>
      </c>
      <c r="O1634" s="157"/>
      <c r="P1634" s="157"/>
      <c r="Q1634" s="153">
        <f ca="1">OFFSET(card_type!$A$1,MATCH(card!B1634,card_type!B:B,0)-1,0)</f>
        <v>3003</v>
      </c>
      <c r="R1634" s="153">
        <v>1</v>
      </c>
      <c r="S1634" s="157">
        <f ca="1">ROUND(IF(R1634=0,0,IF(R1634=1,X1634*$S$1,IF(R1634=2,X1634*$S$1*buff的资质计算!$E$2,IF(R1634=3,X1634*$S$1*buff的资质计算!$E$3,0)))),0)*0</f>
        <v>0</v>
      </c>
      <c r="T1634" s="153">
        <v>2</v>
      </c>
      <c r="U1634" s="153">
        <f ca="1" t="shared" si="275"/>
        <v>12</v>
      </c>
      <c r="V1634" s="153">
        <f ca="1">ROUND((OFFSET(卡牌辅助配置表!$O$1,MATCH(U1634,卡牌辅助配置表!M:M,0)-1,0)+(N1634-1)*OFFSET(卡牌辅助配置表!$P$1,MATCH(U1634,卡牌辅助配置表!M:M,0)-1,0))*M1634,2)</f>
        <v>36.1</v>
      </c>
      <c r="W1634" s="157">
        <f ca="1">ROUND(IF(R1634=0,0,IF(R1634=1,X1634*$W$1,IF(R1634=2,X1634*$W$1*buff的资质计算!$E$2,IF(R1634=3,X1634*$W$1*buff的资质计算!$E$3,0)))),2)</f>
        <v>10.35</v>
      </c>
      <c r="X1634" s="157">
        <f ca="1" t="shared" si="270"/>
        <v>34.5</v>
      </c>
      <c r="Y1634" s="157">
        <f ca="1" t="shared" si="278"/>
        <v>34.9</v>
      </c>
      <c r="Z1634" s="304">
        <f ca="1" t="shared" si="271"/>
        <v>17.45</v>
      </c>
      <c r="AA1634" s="304">
        <f ca="1">OFFSET(卡牌辅助配置表!$AD$1,MATCH(AB1634,卡牌辅助配置表!AB:AB,0)-1,0)</f>
        <v>1494</v>
      </c>
      <c r="AB1634" s="304">
        <f ca="1" t="shared" si="276"/>
        <v>1228</v>
      </c>
      <c r="AC1634" s="153">
        <v>1</v>
      </c>
      <c r="AE1634" s="153">
        <v>3</v>
      </c>
      <c r="AF1634" s="153" t="str">
        <f ca="1" t="shared" si="279"/>
        <v>30030011|</v>
      </c>
      <c r="AJ1634" s="205" t="str">
        <f ca="1" t="shared" si="277"/>
        <v>400023|20250|;</v>
      </c>
      <c r="AK1634" s="205">
        <f ca="1">OFFSET([1]item_type!$A$1,MATCH(Q1634,[1]item_type!$G:$G,0)-1,0)</f>
        <v>303003</v>
      </c>
      <c r="AL1634" s="205"/>
      <c r="AM1634" s="205">
        <f ca="1">IF(B1634=B1635,OFFSET(卡牌辅助配置表!$AE$1,MATCH(AB1634,卡牌辅助配置表!AB:AB,0),0),0)</f>
        <v>20250</v>
      </c>
      <c r="AN1634" s="153">
        <f ca="1" t="shared" si="272"/>
        <v>3003029</v>
      </c>
      <c r="AP1634" s="153" t="str">
        <f ca="1">IF(AC1634=0,0,IF(AC1634=12,0,OFFSET(effect!$N$1,MATCH(K1634,effect!M:M,0)-1,0)))</f>
        <v>kpsx_pt</v>
      </c>
    </row>
    <row r="1635" spans="1:42">
      <c r="A1635" s="153">
        <f ca="1" t="shared" si="273"/>
        <v>3003029</v>
      </c>
      <c r="B1635" s="91" t="s">
        <v>524</v>
      </c>
      <c r="C1635" s="186">
        <v>3</v>
      </c>
      <c r="D1635" s="186">
        <v>6</v>
      </c>
      <c r="E1635" s="165" t="s">
        <v>1069</v>
      </c>
      <c r="F1635" s="165" t="str">
        <f>"本回合每出一张法术牌，伤害增加"&amp;skill!$O$128/100&amp;"%"</f>
        <v>本回合每出一张法术牌，伤害增加25%</v>
      </c>
      <c r="G1635" s="186">
        <f ca="1">OFFSET(卡牌辅助配置表!$C$1,MATCH(AC1635,卡牌辅助配置表!A:A,0)-1,0)</f>
        <v>3</v>
      </c>
      <c r="H1635" s="186">
        <f ca="1">OFFSET(skill!$Q$1,MATCH(B1635,skill!B:B,0)-1,0)</f>
        <v>0.4</v>
      </c>
      <c r="I1635" s="186"/>
      <c r="J1635" s="186">
        <f ca="1">OFFSET(card_type!$F$1,MATCH(Q1635,card_type!A:A,0)-1,0)</f>
        <v>1</v>
      </c>
      <c r="K1635" s="243">
        <f ca="1">OFFSET(card_type!$G$1,MATCH(Q1635,card_type!A:A,0)-1,0)</f>
        <v>2</v>
      </c>
      <c r="L1635" s="157">
        <v>2</v>
      </c>
      <c r="M1635" s="157">
        <v>2</v>
      </c>
      <c r="N1635" s="153">
        <f t="shared" si="274"/>
        <v>29</v>
      </c>
      <c r="O1635" s="157"/>
      <c r="P1635" s="157"/>
      <c r="Q1635" s="153">
        <f ca="1">OFFSET(card_type!$A$1,MATCH(card!B1635,card_type!B:B,0)-1,0)</f>
        <v>3003</v>
      </c>
      <c r="R1635" s="153">
        <v>1</v>
      </c>
      <c r="S1635" s="157">
        <f ca="1">ROUND(IF(R1635=0,0,IF(R1635=1,X1635*$S$1,IF(R1635=2,X1635*$S$1*buff的资质计算!$E$2,IF(R1635=3,X1635*$S$1*buff的资质计算!$E$3,0)))),0)*0</f>
        <v>0</v>
      </c>
      <c r="T1635" s="153">
        <v>2</v>
      </c>
      <c r="U1635" s="153">
        <f ca="1" t="shared" si="275"/>
        <v>12</v>
      </c>
      <c r="V1635" s="153">
        <f ca="1">ROUND((OFFSET(卡牌辅助配置表!$O$1,MATCH(U1635,卡牌辅助配置表!M:M,0)-1,0)+(N1635-1)*OFFSET(卡牌辅助配置表!$P$1,MATCH(U1635,卡牌辅助配置表!M:M,0)-1,0))*M1635,2)</f>
        <v>36.73</v>
      </c>
      <c r="W1635" s="157">
        <f ca="1">ROUND(IF(R1635=0,0,IF(R1635=1,X1635*$W$1,IF(R1635=2,X1635*$W$1*buff的资质计算!$E$2,IF(R1635=3,X1635*$W$1*buff的资质计算!$E$3,0)))),2)</f>
        <v>10.5</v>
      </c>
      <c r="X1635" s="157">
        <f ca="1" t="shared" si="270"/>
        <v>35</v>
      </c>
      <c r="Y1635" s="157">
        <f ca="1" t="shared" si="278"/>
        <v>35.4</v>
      </c>
      <c r="Z1635" s="304">
        <f ca="1" t="shared" si="271"/>
        <v>17.7</v>
      </c>
      <c r="AA1635" s="304">
        <f ca="1">OFFSET(卡牌辅助配置表!$AD$1,MATCH(AB1635,卡牌辅助配置表!AB:AB,0)-1,0)</f>
        <v>1567</v>
      </c>
      <c r="AB1635" s="304">
        <f ca="1" t="shared" si="276"/>
        <v>1229</v>
      </c>
      <c r="AC1635" s="153">
        <v>1</v>
      </c>
      <c r="AE1635" s="153">
        <v>3</v>
      </c>
      <c r="AF1635" s="153" t="str">
        <f ca="1" t="shared" si="279"/>
        <v>30030011|</v>
      </c>
      <c r="AJ1635" s="205" t="str">
        <f ca="1" t="shared" si="277"/>
        <v>303003|30|;400023|21450|;</v>
      </c>
      <c r="AK1635" s="205">
        <f ca="1">OFFSET([1]item_type!$A$1,MATCH(Q1635,[1]item_type!$G:$G,0)-1,0)</f>
        <v>303003</v>
      </c>
      <c r="AL1635" s="205">
        <v>30</v>
      </c>
      <c r="AM1635" s="205">
        <f ca="1">IF(B1635=B1636,OFFSET(卡牌辅助配置表!$AE$1,MATCH(AB1635,卡牌辅助配置表!AB:AB,0),0),0)</f>
        <v>21450</v>
      </c>
      <c r="AN1635" s="153">
        <f ca="1" t="shared" si="272"/>
        <v>3003030</v>
      </c>
      <c r="AP1635" s="153" t="str">
        <f ca="1">IF(AC1635=0,0,IF(AC1635=12,0,OFFSET(effect!$N$1,MATCH(K1635,effect!M:M,0)-1,0)))</f>
        <v>kpsx_pt</v>
      </c>
    </row>
    <row r="1636" spans="1:42">
      <c r="A1636" s="153">
        <f ca="1" t="shared" si="273"/>
        <v>3003030</v>
      </c>
      <c r="B1636" s="91" t="s">
        <v>524</v>
      </c>
      <c r="C1636" s="186">
        <v>3</v>
      </c>
      <c r="D1636" s="186">
        <v>6</v>
      </c>
      <c r="E1636" s="165" t="s">
        <v>1069</v>
      </c>
      <c r="F1636" s="165" t="str">
        <f>"本回合每出一张法术牌，伤害增加"&amp;skill!$O$128/100&amp;"%"</f>
        <v>本回合每出一张法术牌，伤害增加25%</v>
      </c>
      <c r="G1636" s="186">
        <f ca="1">OFFSET(卡牌辅助配置表!$C$1,MATCH(AC1636,卡牌辅助配置表!A:A,0)-1,0)</f>
        <v>3</v>
      </c>
      <c r="H1636" s="186">
        <f ca="1">OFFSET(skill!$Q$1,MATCH(B1636,skill!B:B,0)-1,0)</f>
        <v>0.4</v>
      </c>
      <c r="I1636" s="186"/>
      <c r="J1636" s="186">
        <f ca="1">OFFSET(card_type!$F$1,MATCH(Q1636,card_type!A:A,0)-1,0)</f>
        <v>1</v>
      </c>
      <c r="K1636" s="243">
        <f ca="1">OFFSET(card_type!$G$1,MATCH(Q1636,card_type!A:A,0)-1,0)</f>
        <v>2</v>
      </c>
      <c r="L1636" s="157">
        <v>2</v>
      </c>
      <c r="M1636" s="157">
        <v>2</v>
      </c>
      <c r="N1636" s="153">
        <f t="shared" si="274"/>
        <v>30</v>
      </c>
      <c r="O1636" s="157"/>
      <c r="P1636" s="157"/>
      <c r="Q1636" s="153">
        <f ca="1">OFFSET(card_type!$A$1,MATCH(card!B1636,card_type!B:B,0)-1,0)</f>
        <v>3003</v>
      </c>
      <c r="R1636" s="153">
        <v>1</v>
      </c>
      <c r="S1636" s="157">
        <f ca="1">ROUND(IF(R1636=0,0,IF(R1636=1,X1636*$S$1,IF(R1636=2,X1636*$S$1*buff的资质计算!$E$2,IF(R1636=3,X1636*$S$1*buff的资质计算!$E$3,0)))),0)*0</f>
        <v>0</v>
      </c>
      <c r="T1636" s="153">
        <v>2</v>
      </c>
      <c r="U1636" s="153">
        <f ca="1" t="shared" si="275"/>
        <v>12</v>
      </c>
      <c r="V1636" s="153">
        <f ca="1">ROUND((OFFSET(卡牌辅助配置表!$O$1,MATCH(U1636,卡牌辅助配置表!M:M,0)-1,0)+(N1636-1)*OFFSET(卡牌辅助配置表!$P$1,MATCH(U1636,卡牌辅助配置表!M:M,0)-1,0))*M1636,2)</f>
        <v>37.37</v>
      </c>
      <c r="W1636" s="157">
        <f ca="1">ROUND(IF(R1636=0,0,IF(R1636=1,X1636*$W$1,IF(R1636=2,X1636*$W$1*buff的资质计算!$E$2,IF(R1636=3,X1636*$W$1*buff的资质计算!$E$3,0)))),2)</f>
        <v>10.65</v>
      </c>
      <c r="X1636" s="157">
        <f ca="1" t="shared" si="270"/>
        <v>35.5</v>
      </c>
      <c r="Y1636" s="157">
        <f ca="1" t="shared" si="278"/>
        <v>35.9</v>
      </c>
      <c r="Z1636" s="304">
        <f ca="1" t="shared" si="271"/>
        <v>17.95</v>
      </c>
      <c r="AA1636" s="304">
        <f ca="1">OFFSET(卡牌辅助配置表!$AD$1,MATCH(AB1636,卡牌辅助配置表!AB:AB,0)-1,0)</f>
        <v>1640</v>
      </c>
      <c r="AB1636" s="304">
        <f ca="1" t="shared" si="276"/>
        <v>1230</v>
      </c>
      <c r="AC1636" s="153">
        <v>1</v>
      </c>
      <c r="AE1636" s="153">
        <v>3</v>
      </c>
      <c r="AF1636" s="153" t="str">
        <f ca="1" t="shared" si="279"/>
        <v>30030011|</v>
      </c>
      <c r="AJ1636" s="205">
        <f ca="1" t="shared" si="277"/>
        <v>0</v>
      </c>
      <c r="AK1636" s="205">
        <f ca="1">OFFSET([1]item_type!$A$1,MATCH(Q1636,[1]item_type!$G:$G,0)-1,0)</f>
        <v>303003</v>
      </c>
      <c r="AL1636" s="205"/>
      <c r="AM1636" s="205">
        <f ca="1">IF(B1636=B1637,OFFSET(卡牌辅助配置表!$AE$1,MATCH(AB1636,卡牌辅助配置表!AB:AB,0),0),0)</f>
        <v>0</v>
      </c>
      <c r="AN1636" s="153">
        <f ca="1" t="shared" si="272"/>
        <v>0</v>
      </c>
      <c r="AP1636" s="153" t="str">
        <f ca="1">IF(AC1636=0,0,IF(AC1636=12,0,OFFSET(effect!$N$1,MATCH(K1636,effect!M:M,0)-1,0)))</f>
        <v>kpsx_pt</v>
      </c>
    </row>
    <row r="1637" spans="1:42">
      <c r="A1637" s="153">
        <f ca="1" t="shared" si="273"/>
        <v>3004001</v>
      </c>
      <c r="B1637" s="91" t="s">
        <v>851</v>
      </c>
      <c r="C1637" s="186">
        <v>3</v>
      </c>
      <c r="D1637" s="186">
        <v>4</v>
      </c>
      <c r="E1637" s="165" t="s">
        <v>1069</v>
      </c>
      <c r="F1637" s="298" t="s">
        <v>1054</v>
      </c>
      <c r="G1637" s="186">
        <f ca="1">OFFSET(卡牌辅助配置表!$C$1,MATCH(AC1637,卡牌辅助配置表!A:A,0)-1,0)</f>
        <v>0</v>
      </c>
      <c r="H1637" s="186">
        <f ca="1" t="shared" ref="H1637:H1666" si="280">IF(R1637=0,Y1637,0)</f>
        <v>0</v>
      </c>
      <c r="I1637" s="186"/>
      <c r="J1637" s="186">
        <f ca="1">OFFSET(card_type!$F$1,MATCH(Q1637,card_type!A:A,0)-1,0)</f>
        <v>1</v>
      </c>
      <c r="K1637" s="243">
        <f ca="1">OFFSET(card_type!$G$1,MATCH(Q1637,card_type!A:A,0)-1,0)</f>
        <v>1</v>
      </c>
      <c r="L1637" s="157">
        <v>2</v>
      </c>
      <c r="M1637" s="157">
        <v>2</v>
      </c>
      <c r="N1637" s="153">
        <f t="shared" si="274"/>
        <v>1</v>
      </c>
      <c r="O1637" s="157"/>
      <c r="P1637" s="157"/>
      <c r="Q1637" s="153">
        <f ca="1">OFFSET(card_type!$A$1,MATCH(card!B1637,card_type!B:B,0)-1,0)</f>
        <v>3004</v>
      </c>
      <c r="R1637" s="153">
        <v>1</v>
      </c>
      <c r="S1637" s="157">
        <f ca="1">ROUND(IF(R1637=0,0,IF(R1637=1,X1637*$S$1,IF(R1637=2,X1637*$S$1*buff的资质计算!$E$2,IF(R1637=3,X1637*$S$1*buff的资质计算!$E$3,0)))),0)*0</f>
        <v>0</v>
      </c>
      <c r="T1637" s="153">
        <v>3</v>
      </c>
      <c r="U1637" s="153">
        <f ca="1" t="shared" si="275"/>
        <v>11</v>
      </c>
      <c r="V1637" s="153">
        <f ca="1">ROUND((OFFSET(卡牌辅助配置表!$O$1,MATCH(U1637,卡牌辅助配置表!M:M,0)-1,0)+(N1637-1)*OFFSET(卡牌辅助配置表!$P$1,MATCH(U1637,卡牌辅助配置表!M:M,0)-1,0))*M1637,2)</f>
        <v>12.54</v>
      </c>
      <c r="W1637" s="157">
        <f ca="1">ROUND(IF(R1637=0,0,IF(R1637=1,X1637*$W$1,IF(R1637=2,X1637*$W$1*buff的资质计算!$E$2,IF(R1637=3,X1637*$W$1*buff的资质计算!$E$3,0)))),2)</f>
        <v>3</v>
      </c>
      <c r="X1637" s="157">
        <f ca="1" t="shared" si="270"/>
        <v>10</v>
      </c>
      <c r="Y1637" s="157">
        <f ca="1" t="shared" si="278"/>
        <v>10</v>
      </c>
      <c r="Z1637" s="304">
        <f ca="1" t="shared" si="271"/>
        <v>5</v>
      </c>
      <c r="AA1637" s="304">
        <f ca="1">OFFSET(卡牌辅助配置表!$AD$1,MATCH(AB1637,卡牌辅助配置表!AB:AB,0)-1,0)</f>
        <v>18</v>
      </c>
      <c r="AB1637" s="304">
        <f ca="1" t="shared" si="276"/>
        <v>1101</v>
      </c>
      <c r="AC1637" s="153">
        <v>12</v>
      </c>
      <c r="AF1637" s="153" t="str">
        <f ca="1" t="shared" si="279"/>
        <v>30040011|</v>
      </c>
      <c r="AJ1637" s="205" t="str">
        <f ca="1" t="shared" si="277"/>
        <v>400023|700|;</v>
      </c>
      <c r="AK1637" s="205">
        <f ca="1">OFFSET([1]item_type!$A$1,MATCH(Q1637,[1]item_type!$G:$G,0)-1,0)</f>
        <v>303004</v>
      </c>
      <c r="AL1637" s="205"/>
      <c r="AM1637" s="205">
        <f ca="1">IF(B1637=B1638,OFFSET(卡牌辅助配置表!$AE$1,MATCH(AB1637,卡牌辅助配置表!AB:AB,0),0),0)</f>
        <v>700</v>
      </c>
      <c r="AN1637" s="153">
        <f ca="1" t="shared" si="272"/>
        <v>3004002</v>
      </c>
      <c r="AP1637" s="153">
        <f ca="1">IF(AC1637=0,0,IF(AC1637=12,0,OFFSET(effect!$N$1,MATCH(K1637,effect!M:M,0)-1,0)))</f>
        <v>0</v>
      </c>
    </row>
    <row r="1638" spans="1:42">
      <c r="A1638" s="153">
        <f ca="1" t="shared" si="273"/>
        <v>3004002</v>
      </c>
      <c r="B1638" s="91" t="s">
        <v>851</v>
      </c>
      <c r="C1638" s="186">
        <v>3</v>
      </c>
      <c r="D1638" s="186">
        <v>4</v>
      </c>
      <c r="E1638" s="165" t="s">
        <v>1069</v>
      </c>
      <c r="F1638" s="298" t="s">
        <v>1054</v>
      </c>
      <c r="G1638" s="186">
        <f ca="1">OFFSET(卡牌辅助配置表!$C$1,MATCH(AC1638,卡牌辅助配置表!A:A,0)-1,0)</f>
        <v>0</v>
      </c>
      <c r="H1638" s="186">
        <f ca="1" t="shared" si="280"/>
        <v>0</v>
      </c>
      <c r="I1638" s="186"/>
      <c r="J1638" s="186">
        <f ca="1">OFFSET(card_type!$F$1,MATCH(Q1638,card_type!A:A,0)-1,0)</f>
        <v>1</v>
      </c>
      <c r="K1638" s="243">
        <f ca="1">OFFSET(card_type!$G$1,MATCH(Q1638,card_type!A:A,0)-1,0)</f>
        <v>1</v>
      </c>
      <c r="L1638" s="157">
        <v>2</v>
      </c>
      <c r="M1638" s="157">
        <v>2</v>
      </c>
      <c r="N1638" s="153">
        <f t="shared" si="274"/>
        <v>2</v>
      </c>
      <c r="O1638" s="157"/>
      <c r="P1638" s="157"/>
      <c r="Q1638" s="153">
        <f ca="1">OFFSET(card_type!$A$1,MATCH(card!B1638,card_type!B:B,0)-1,0)</f>
        <v>3004</v>
      </c>
      <c r="R1638" s="153">
        <v>1</v>
      </c>
      <c r="S1638" s="157">
        <f ca="1">ROUND(IF(R1638=0,0,IF(R1638=1,X1638*$S$1,IF(R1638=2,X1638*$S$1*buff的资质计算!$E$2,IF(R1638=3,X1638*$S$1*buff的资质计算!$E$3,0)))),0)*0</f>
        <v>0</v>
      </c>
      <c r="T1638" s="153">
        <v>3</v>
      </c>
      <c r="U1638" s="153">
        <f ca="1" t="shared" si="275"/>
        <v>11</v>
      </c>
      <c r="V1638" s="153">
        <f ca="1">ROUND((OFFSET(卡牌辅助配置表!$O$1,MATCH(U1638,卡牌辅助配置表!M:M,0)-1,0)+(N1638-1)*OFFSET(卡牌辅助配置表!$P$1,MATCH(U1638,卡牌辅助配置表!M:M,0)-1,0))*M1638,2)</f>
        <v>12.96</v>
      </c>
      <c r="W1638" s="157">
        <f ca="1">ROUND(IF(R1638=0,0,IF(R1638=1,X1638*$W$1,IF(R1638=2,X1638*$W$1*buff的资质计算!$E$2,IF(R1638=3,X1638*$W$1*buff的资质计算!$E$3,0)))),2)</f>
        <v>3.15</v>
      </c>
      <c r="X1638" s="157">
        <f ca="1" t="shared" si="270"/>
        <v>10.5</v>
      </c>
      <c r="Y1638" s="157">
        <f ca="1" t="shared" si="278"/>
        <v>10.5</v>
      </c>
      <c r="Z1638" s="304">
        <f ca="1" t="shared" si="271"/>
        <v>5.25</v>
      </c>
      <c r="AA1638" s="304">
        <f ca="1">OFFSET(卡牌辅助配置表!$AD$1,MATCH(AB1638,卡牌辅助配置表!AB:AB,0)-1,0)</f>
        <v>36</v>
      </c>
      <c r="AB1638" s="304">
        <f ca="1" t="shared" si="276"/>
        <v>1102</v>
      </c>
      <c r="AC1638" s="153">
        <v>12</v>
      </c>
      <c r="AF1638" s="153" t="str">
        <f ca="1" t="shared" si="279"/>
        <v>30040011|</v>
      </c>
      <c r="AJ1638" s="205" t="str">
        <f ca="1" t="shared" si="277"/>
        <v>400023|900|;</v>
      </c>
      <c r="AK1638" s="205">
        <f ca="1">OFFSET([1]item_type!$A$1,MATCH(Q1638,[1]item_type!$G:$G,0)-1,0)</f>
        <v>303004</v>
      </c>
      <c r="AL1638" s="205"/>
      <c r="AM1638" s="205">
        <f ca="1">IF(B1638=B1639,OFFSET(卡牌辅助配置表!$AE$1,MATCH(AB1638,卡牌辅助配置表!AB:AB,0),0),0)</f>
        <v>900</v>
      </c>
      <c r="AN1638" s="153">
        <f ca="1" t="shared" si="272"/>
        <v>3004003</v>
      </c>
      <c r="AP1638" s="153">
        <f ca="1">IF(AC1638=0,0,IF(AC1638=12,0,OFFSET(effect!$N$1,MATCH(K1638,effect!M:M,0)-1,0)))</f>
        <v>0</v>
      </c>
    </row>
    <row r="1639" spans="1:42">
      <c r="A1639" s="153">
        <f ca="1" t="shared" si="273"/>
        <v>3004003</v>
      </c>
      <c r="B1639" s="91" t="s">
        <v>851</v>
      </c>
      <c r="C1639" s="186">
        <v>3</v>
      </c>
      <c r="D1639" s="186">
        <v>4</v>
      </c>
      <c r="E1639" s="165" t="s">
        <v>1069</v>
      </c>
      <c r="F1639" s="298" t="s">
        <v>1054</v>
      </c>
      <c r="G1639" s="186">
        <f ca="1">OFFSET(卡牌辅助配置表!$C$1,MATCH(AC1639,卡牌辅助配置表!A:A,0)-1,0)</f>
        <v>0</v>
      </c>
      <c r="H1639" s="186">
        <f ca="1" t="shared" si="280"/>
        <v>0</v>
      </c>
      <c r="I1639" s="186"/>
      <c r="J1639" s="186">
        <f ca="1">OFFSET(card_type!$F$1,MATCH(Q1639,card_type!A:A,0)-1,0)</f>
        <v>1</v>
      </c>
      <c r="K1639" s="243">
        <f ca="1">OFFSET(card_type!$G$1,MATCH(Q1639,card_type!A:A,0)-1,0)</f>
        <v>1</v>
      </c>
      <c r="L1639" s="157">
        <v>2</v>
      </c>
      <c r="M1639" s="157">
        <v>2</v>
      </c>
      <c r="N1639" s="153">
        <f t="shared" si="274"/>
        <v>3</v>
      </c>
      <c r="O1639" s="157"/>
      <c r="P1639" s="157"/>
      <c r="Q1639" s="153">
        <f ca="1">OFFSET(card_type!$A$1,MATCH(card!B1639,card_type!B:B,0)-1,0)</f>
        <v>3004</v>
      </c>
      <c r="R1639" s="153">
        <v>1</v>
      </c>
      <c r="S1639" s="157">
        <f ca="1">ROUND(IF(R1639=0,0,IF(R1639=1,X1639*$S$1,IF(R1639=2,X1639*$S$1*buff的资质计算!$E$2,IF(R1639=3,X1639*$S$1*buff的资质计算!$E$3,0)))),0)*0</f>
        <v>0</v>
      </c>
      <c r="T1639" s="153">
        <v>3</v>
      </c>
      <c r="U1639" s="153">
        <f ca="1" t="shared" si="275"/>
        <v>11</v>
      </c>
      <c r="V1639" s="153">
        <f ca="1">ROUND((OFFSET(卡牌辅助配置表!$O$1,MATCH(U1639,卡牌辅助配置表!M:M,0)-1,0)+(N1639-1)*OFFSET(卡牌辅助配置表!$P$1,MATCH(U1639,卡牌辅助配置表!M:M,0)-1,0))*M1639,2)</f>
        <v>13.38</v>
      </c>
      <c r="W1639" s="157">
        <f ca="1">ROUND(IF(R1639=0,0,IF(R1639=1,X1639*$W$1,IF(R1639=2,X1639*$W$1*buff的资质计算!$E$2,IF(R1639=3,X1639*$W$1*buff的资质计算!$E$3,0)))),2)</f>
        <v>3.3</v>
      </c>
      <c r="X1639" s="157">
        <f ca="1" t="shared" si="270"/>
        <v>11</v>
      </c>
      <c r="Y1639" s="157">
        <f ca="1" t="shared" si="278"/>
        <v>11</v>
      </c>
      <c r="Z1639" s="304">
        <f ca="1" t="shared" si="271"/>
        <v>5.5</v>
      </c>
      <c r="AA1639" s="304">
        <f ca="1">OFFSET(卡牌辅助配置表!$AD$1,MATCH(AB1639,卡牌辅助配置表!AB:AB,0)-1,0)</f>
        <v>54</v>
      </c>
      <c r="AB1639" s="304">
        <f ca="1" t="shared" si="276"/>
        <v>1103</v>
      </c>
      <c r="AC1639" s="153">
        <v>12</v>
      </c>
      <c r="AF1639" s="153" t="str">
        <f ca="1" t="shared" si="279"/>
        <v>30040011|</v>
      </c>
      <c r="AJ1639" s="205" t="str">
        <f ca="1" t="shared" si="277"/>
        <v>400023|1100|;</v>
      </c>
      <c r="AK1639" s="205">
        <f ca="1">OFFSET([1]item_type!$A$1,MATCH(Q1639,[1]item_type!$G:$G,0)-1,0)</f>
        <v>303004</v>
      </c>
      <c r="AL1639" s="205"/>
      <c r="AM1639" s="205">
        <f ca="1">IF(B1639=B1640,OFFSET(卡牌辅助配置表!$AE$1,MATCH(AB1639,卡牌辅助配置表!AB:AB,0),0),0)</f>
        <v>1100</v>
      </c>
      <c r="AN1639" s="153">
        <f ca="1" t="shared" si="272"/>
        <v>3004004</v>
      </c>
      <c r="AP1639" s="153">
        <f ca="1">IF(AC1639=0,0,IF(AC1639=12,0,OFFSET(effect!$N$1,MATCH(K1639,effect!M:M,0)-1,0)))</f>
        <v>0</v>
      </c>
    </row>
    <row r="1640" spans="1:42">
      <c r="A1640" s="153">
        <f ca="1" t="shared" si="273"/>
        <v>3004004</v>
      </c>
      <c r="B1640" s="91" t="s">
        <v>851</v>
      </c>
      <c r="C1640" s="186">
        <v>3</v>
      </c>
      <c r="D1640" s="186">
        <v>4</v>
      </c>
      <c r="E1640" s="165" t="s">
        <v>1069</v>
      </c>
      <c r="F1640" s="298" t="s">
        <v>1054</v>
      </c>
      <c r="G1640" s="186">
        <f ca="1">OFFSET(卡牌辅助配置表!$C$1,MATCH(AC1640,卡牌辅助配置表!A:A,0)-1,0)</f>
        <v>0</v>
      </c>
      <c r="H1640" s="186">
        <f ca="1" t="shared" si="280"/>
        <v>0</v>
      </c>
      <c r="I1640" s="186"/>
      <c r="J1640" s="186">
        <f ca="1">OFFSET(card_type!$F$1,MATCH(Q1640,card_type!A:A,0)-1,0)</f>
        <v>1</v>
      </c>
      <c r="K1640" s="243">
        <f ca="1">OFFSET(card_type!$G$1,MATCH(Q1640,card_type!A:A,0)-1,0)</f>
        <v>1</v>
      </c>
      <c r="L1640" s="157">
        <v>2</v>
      </c>
      <c r="M1640" s="157">
        <v>2</v>
      </c>
      <c r="N1640" s="153">
        <f t="shared" si="274"/>
        <v>4</v>
      </c>
      <c r="O1640" s="157"/>
      <c r="P1640" s="157"/>
      <c r="Q1640" s="153">
        <f ca="1">OFFSET(card_type!$A$1,MATCH(card!B1640,card_type!B:B,0)-1,0)</f>
        <v>3004</v>
      </c>
      <c r="R1640" s="153">
        <v>1</v>
      </c>
      <c r="S1640" s="157">
        <f ca="1">ROUND(IF(R1640=0,0,IF(R1640=1,X1640*$S$1,IF(R1640=2,X1640*$S$1*buff的资质计算!$E$2,IF(R1640=3,X1640*$S$1*buff的资质计算!$E$3,0)))),0)*0</f>
        <v>0</v>
      </c>
      <c r="T1640" s="153">
        <v>3</v>
      </c>
      <c r="U1640" s="153">
        <f ca="1" t="shared" si="275"/>
        <v>11</v>
      </c>
      <c r="V1640" s="153">
        <f ca="1">ROUND((OFFSET(卡牌辅助配置表!$O$1,MATCH(U1640,卡牌辅助配置表!M:M,0)-1,0)+(N1640-1)*OFFSET(卡牌辅助配置表!$P$1,MATCH(U1640,卡牌辅助配置表!M:M,0)-1,0))*M1640,2)</f>
        <v>13.79</v>
      </c>
      <c r="W1640" s="157">
        <f ca="1">ROUND(IF(R1640=0,0,IF(R1640=1,X1640*$W$1,IF(R1640=2,X1640*$W$1*buff的资质计算!$E$2,IF(R1640=3,X1640*$W$1*buff的资质计算!$E$3,0)))),2)</f>
        <v>3.45</v>
      </c>
      <c r="X1640" s="157">
        <f ca="1" t="shared" si="270"/>
        <v>11.5</v>
      </c>
      <c r="Y1640" s="157">
        <f ca="1" t="shared" si="278"/>
        <v>11.5</v>
      </c>
      <c r="Z1640" s="304">
        <f ca="1" t="shared" si="271"/>
        <v>5.75</v>
      </c>
      <c r="AA1640" s="304">
        <f ca="1">OFFSET(卡牌辅助配置表!$AD$1,MATCH(AB1640,卡牌辅助配置表!AB:AB,0)-1,0)</f>
        <v>72</v>
      </c>
      <c r="AB1640" s="304">
        <f ca="1" t="shared" si="276"/>
        <v>1104</v>
      </c>
      <c r="AC1640" s="153">
        <v>12</v>
      </c>
      <c r="AF1640" s="153" t="str">
        <f ca="1" t="shared" si="279"/>
        <v>30040011|</v>
      </c>
      <c r="AJ1640" s="205" t="str">
        <f ca="1" t="shared" si="277"/>
        <v>400023|1300|;</v>
      </c>
      <c r="AK1640" s="205">
        <f ca="1">OFFSET([1]item_type!$A$1,MATCH(Q1640,[1]item_type!$G:$G,0)-1,0)</f>
        <v>303004</v>
      </c>
      <c r="AL1640" s="205"/>
      <c r="AM1640" s="205">
        <f ca="1">IF(B1640=B1641,OFFSET(卡牌辅助配置表!$AE$1,MATCH(AB1640,卡牌辅助配置表!AB:AB,0),0),0)</f>
        <v>1300</v>
      </c>
      <c r="AN1640" s="153">
        <f ca="1" t="shared" si="272"/>
        <v>3004005</v>
      </c>
      <c r="AP1640" s="153">
        <f ca="1">IF(AC1640=0,0,IF(AC1640=12,0,OFFSET(effect!$N$1,MATCH(K1640,effect!M:M,0)-1,0)))</f>
        <v>0</v>
      </c>
    </row>
    <row r="1641" spans="1:42">
      <c r="A1641" s="153">
        <f ca="1" t="shared" si="273"/>
        <v>3004005</v>
      </c>
      <c r="B1641" s="91" t="s">
        <v>851</v>
      </c>
      <c r="C1641" s="186">
        <v>3</v>
      </c>
      <c r="D1641" s="186">
        <v>4</v>
      </c>
      <c r="E1641" s="165" t="s">
        <v>1069</v>
      </c>
      <c r="F1641" s="298" t="s">
        <v>1054</v>
      </c>
      <c r="G1641" s="186">
        <f ca="1">OFFSET(卡牌辅助配置表!$C$1,MATCH(AC1641,卡牌辅助配置表!A:A,0)-1,0)</f>
        <v>0</v>
      </c>
      <c r="H1641" s="186">
        <f ca="1" t="shared" si="280"/>
        <v>0</v>
      </c>
      <c r="I1641" s="186"/>
      <c r="J1641" s="186">
        <f ca="1">OFFSET(card_type!$F$1,MATCH(Q1641,card_type!A:A,0)-1,0)</f>
        <v>1</v>
      </c>
      <c r="K1641" s="243">
        <f ca="1">OFFSET(card_type!$G$1,MATCH(Q1641,card_type!A:A,0)-1,0)</f>
        <v>1</v>
      </c>
      <c r="L1641" s="157">
        <v>2</v>
      </c>
      <c r="M1641" s="157">
        <v>2</v>
      </c>
      <c r="N1641" s="153">
        <f t="shared" si="274"/>
        <v>5</v>
      </c>
      <c r="O1641" s="157"/>
      <c r="P1641" s="157"/>
      <c r="Q1641" s="153">
        <f ca="1">OFFSET(card_type!$A$1,MATCH(card!B1641,card_type!B:B,0)-1,0)</f>
        <v>3004</v>
      </c>
      <c r="R1641" s="153">
        <v>1</v>
      </c>
      <c r="S1641" s="157">
        <f ca="1">ROUND(IF(R1641=0,0,IF(R1641=1,X1641*$S$1,IF(R1641=2,X1641*$S$1*buff的资质计算!$E$2,IF(R1641=3,X1641*$S$1*buff的资质计算!$E$3,0)))),0)*0</f>
        <v>0</v>
      </c>
      <c r="T1641" s="153">
        <v>3</v>
      </c>
      <c r="U1641" s="153">
        <f ca="1" t="shared" si="275"/>
        <v>11</v>
      </c>
      <c r="V1641" s="153">
        <f ca="1">ROUND((OFFSET(卡牌辅助配置表!$O$1,MATCH(U1641,卡牌辅助配置表!M:M,0)-1,0)+(N1641-1)*OFFSET(卡牌辅助配置表!$P$1,MATCH(U1641,卡牌辅助配置表!M:M,0)-1,0))*M1641,2)</f>
        <v>14.21</v>
      </c>
      <c r="W1641" s="157">
        <f ca="1">ROUND(IF(R1641=0,0,IF(R1641=1,X1641*$W$1,IF(R1641=2,X1641*$W$1*buff的资质计算!$E$2,IF(R1641=3,X1641*$W$1*buff的资质计算!$E$3,0)))),2)</f>
        <v>3.6</v>
      </c>
      <c r="X1641" s="157">
        <f ca="1" t="shared" si="270"/>
        <v>12</v>
      </c>
      <c r="Y1641" s="157">
        <f ca="1" t="shared" si="278"/>
        <v>12</v>
      </c>
      <c r="Z1641" s="304">
        <f ca="1" t="shared" si="271"/>
        <v>6</v>
      </c>
      <c r="AA1641" s="304">
        <f ca="1">OFFSET(卡牌辅助配置表!$AD$1,MATCH(AB1641,卡牌辅助配置表!AB:AB,0)-1,0)</f>
        <v>90</v>
      </c>
      <c r="AB1641" s="304">
        <f ca="1" t="shared" si="276"/>
        <v>1105</v>
      </c>
      <c r="AC1641" s="153">
        <v>12</v>
      </c>
      <c r="AF1641" s="153" t="str">
        <f ca="1" t="shared" si="279"/>
        <v>30040011|</v>
      </c>
      <c r="AJ1641" s="205" t="str">
        <f ca="1" t="shared" si="277"/>
        <v>400023|1500|;</v>
      </c>
      <c r="AK1641" s="205">
        <f ca="1">OFFSET([1]item_type!$A$1,MATCH(Q1641,[1]item_type!$G:$G,0)-1,0)</f>
        <v>303004</v>
      </c>
      <c r="AL1641" s="205"/>
      <c r="AM1641" s="205">
        <f ca="1">IF(B1641=B1642,OFFSET(卡牌辅助配置表!$AE$1,MATCH(AB1641,卡牌辅助配置表!AB:AB,0),0),0)</f>
        <v>1500</v>
      </c>
      <c r="AN1641" s="153">
        <f ca="1" t="shared" si="272"/>
        <v>3004006</v>
      </c>
      <c r="AP1641" s="153">
        <f ca="1">IF(AC1641=0,0,IF(AC1641=12,0,OFFSET(effect!$N$1,MATCH(K1641,effect!M:M,0)-1,0)))</f>
        <v>0</v>
      </c>
    </row>
    <row r="1642" spans="1:42">
      <c r="A1642" s="153">
        <f ca="1" t="shared" si="273"/>
        <v>3004006</v>
      </c>
      <c r="B1642" s="91" t="s">
        <v>851</v>
      </c>
      <c r="C1642" s="186">
        <v>3</v>
      </c>
      <c r="D1642" s="186">
        <v>4</v>
      </c>
      <c r="E1642" s="165" t="s">
        <v>1069</v>
      </c>
      <c r="F1642" s="298" t="s">
        <v>1054</v>
      </c>
      <c r="G1642" s="186">
        <f ca="1">OFFSET(卡牌辅助配置表!$C$1,MATCH(AC1642,卡牌辅助配置表!A:A,0)-1,0)</f>
        <v>0</v>
      </c>
      <c r="H1642" s="186">
        <f ca="1" t="shared" si="280"/>
        <v>0</v>
      </c>
      <c r="I1642" s="186"/>
      <c r="J1642" s="186">
        <f ca="1">OFFSET(card_type!$F$1,MATCH(Q1642,card_type!A:A,0)-1,0)</f>
        <v>1</v>
      </c>
      <c r="K1642" s="243">
        <f ca="1">OFFSET(card_type!$G$1,MATCH(Q1642,card_type!A:A,0)-1,0)</f>
        <v>1</v>
      </c>
      <c r="L1642" s="157">
        <v>2</v>
      </c>
      <c r="M1642" s="157">
        <v>2</v>
      </c>
      <c r="N1642" s="153">
        <f t="shared" si="274"/>
        <v>6</v>
      </c>
      <c r="O1642" s="157"/>
      <c r="P1642" s="157"/>
      <c r="Q1642" s="153">
        <f ca="1">OFFSET(card_type!$A$1,MATCH(card!B1642,card_type!B:B,0)-1,0)</f>
        <v>3004</v>
      </c>
      <c r="R1642" s="153">
        <v>1</v>
      </c>
      <c r="S1642" s="157">
        <f ca="1">ROUND(IF(R1642=0,0,IF(R1642=1,X1642*$S$1,IF(R1642=2,X1642*$S$1*buff的资质计算!$E$2,IF(R1642=3,X1642*$S$1*buff的资质计算!$E$3,0)))),0)*0</f>
        <v>0</v>
      </c>
      <c r="T1642" s="153">
        <v>3</v>
      </c>
      <c r="U1642" s="153">
        <f ca="1" t="shared" si="275"/>
        <v>11</v>
      </c>
      <c r="V1642" s="153">
        <f ca="1">ROUND((OFFSET(卡牌辅助配置表!$O$1,MATCH(U1642,卡牌辅助配置表!M:M,0)-1,0)+(N1642-1)*OFFSET(卡牌辅助配置表!$P$1,MATCH(U1642,卡牌辅助配置表!M:M,0)-1,0))*M1642,2)</f>
        <v>14.63</v>
      </c>
      <c r="W1642" s="157">
        <f ca="1">ROUND(IF(R1642=0,0,IF(R1642=1,X1642*$W$1,IF(R1642=2,X1642*$W$1*buff的资质计算!$E$2,IF(R1642=3,X1642*$W$1*buff的资质计算!$E$3,0)))),2)</f>
        <v>3.75</v>
      </c>
      <c r="X1642" s="157">
        <f ca="1" t="shared" si="270"/>
        <v>12.5</v>
      </c>
      <c r="Y1642" s="157">
        <f ca="1" t="shared" si="278"/>
        <v>12.5</v>
      </c>
      <c r="Z1642" s="304">
        <f ca="1" t="shared" si="271"/>
        <v>6.25</v>
      </c>
      <c r="AA1642" s="304">
        <f ca="1">OFFSET(卡牌辅助配置表!$AD$1,MATCH(AB1642,卡牌辅助配置表!AB:AB,0)-1,0)</f>
        <v>108</v>
      </c>
      <c r="AB1642" s="304">
        <f ca="1" t="shared" si="276"/>
        <v>1106</v>
      </c>
      <c r="AC1642" s="153">
        <v>12</v>
      </c>
      <c r="AF1642" s="153" t="str">
        <f ca="1" t="shared" si="279"/>
        <v>30040011|</v>
      </c>
      <c r="AJ1642" s="205" t="str">
        <f ca="1" t="shared" si="277"/>
        <v>400023|1700|;</v>
      </c>
      <c r="AK1642" s="205">
        <f ca="1">OFFSET([1]item_type!$A$1,MATCH(Q1642,[1]item_type!$G:$G,0)-1,0)</f>
        <v>303004</v>
      </c>
      <c r="AL1642" s="205"/>
      <c r="AM1642" s="205">
        <f ca="1">IF(B1642=B1643,OFFSET(卡牌辅助配置表!$AE$1,MATCH(AB1642,卡牌辅助配置表!AB:AB,0),0),0)</f>
        <v>1700</v>
      </c>
      <c r="AN1642" s="153">
        <f ca="1" t="shared" si="272"/>
        <v>3004007</v>
      </c>
      <c r="AP1642" s="153">
        <f ca="1">IF(AC1642=0,0,IF(AC1642=12,0,OFFSET(effect!$N$1,MATCH(K1642,effect!M:M,0)-1,0)))</f>
        <v>0</v>
      </c>
    </row>
    <row r="1643" spans="1:42">
      <c r="A1643" s="153">
        <f ca="1" t="shared" si="273"/>
        <v>3004007</v>
      </c>
      <c r="B1643" s="91" t="s">
        <v>851</v>
      </c>
      <c r="C1643" s="186">
        <v>3</v>
      </c>
      <c r="D1643" s="186">
        <v>4</v>
      </c>
      <c r="E1643" s="165" t="s">
        <v>1069</v>
      </c>
      <c r="F1643" s="298" t="s">
        <v>1054</v>
      </c>
      <c r="G1643" s="186">
        <f ca="1">OFFSET(卡牌辅助配置表!$C$1,MATCH(AC1643,卡牌辅助配置表!A:A,0)-1,0)</f>
        <v>0</v>
      </c>
      <c r="H1643" s="186">
        <f ca="1" t="shared" si="280"/>
        <v>0</v>
      </c>
      <c r="I1643" s="186"/>
      <c r="J1643" s="186">
        <f ca="1">OFFSET(card_type!$F$1,MATCH(Q1643,card_type!A:A,0)-1,0)</f>
        <v>1</v>
      </c>
      <c r="K1643" s="243">
        <f ca="1">OFFSET(card_type!$G$1,MATCH(Q1643,card_type!A:A,0)-1,0)</f>
        <v>1</v>
      </c>
      <c r="L1643" s="157">
        <v>2</v>
      </c>
      <c r="M1643" s="157">
        <v>2</v>
      </c>
      <c r="N1643" s="153">
        <f t="shared" si="274"/>
        <v>7</v>
      </c>
      <c r="O1643" s="157"/>
      <c r="P1643" s="157"/>
      <c r="Q1643" s="153">
        <f ca="1">OFFSET(card_type!$A$1,MATCH(card!B1643,card_type!B:B,0)-1,0)</f>
        <v>3004</v>
      </c>
      <c r="R1643" s="153">
        <v>1</v>
      </c>
      <c r="S1643" s="157">
        <f ca="1">ROUND(IF(R1643=0,0,IF(R1643=1,X1643*$S$1,IF(R1643=2,X1643*$S$1*buff的资质计算!$E$2,IF(R1643=3,X1643*$S$1*buff的资质计算!$E$3,0)))),0)*0</f>
        <v>0</v>
      </c>
      <c r="T1643" s="153">
        <v>3</v>
      </c>
      <c r="U1643" s="153">
        <f ca="1" t="shared" si="275"/>
        <v>11</v>
      </c>
      <c r="V1643" s="153">
        <f ca="1">ROUND((OFFSET(卡牌辅助配置表!$O$1,MATCH(U1643,卡牌辅助配置表!M:M,0)-1,0)+(N1643-1)*OFFSET(卡牌辅助配置表!$P$1,MATCH(U1643,卡牌辅助配置表!M:M,0)-1,0))*M1643,2)</f>
        <v>15.05</v>
      </c>
      <c r="W1643" s="157">
        <f ca="1">ROUND(IF(R1643=0,0,IF(R1643=1,X1643*$W$1,IF(R1643=2,X1643*$W$1*buff的资质计算!$E$2,IF(R1643=3,X1643*$W$1*buff的资质计算!$E$3,0)))),2)</f>
        <v>3.9</v>
      </c>
      <c r="X1643" s="157">
        <f ca="1" t="shared" si="270"/>
        <v>13</v>
      </c>
      <c r="Y1643" s="157">
        <f ca="1" t="shared" si="278"/>
        <v>13</v>
      </c>
      <c r="Z1643" s="304">
        <f ca="1" t="shared" si="271"/>
        <v>6.5</v>
      </c>
      <c r="AA1643" s="304">
        <f ca="1">OFFSET(卡牌辅助配置表!$AD$1,MATCH(AB1643,卡牌辅助配置表!AB:AB,0)-1,0)</f>
        <v>126</v>
      </c>
      <c r="AB1643" s="304">
        <f ca="1" t="shared" si="276"/>
        <v>1107</v>
      </c>
      <c r="AC1643" s="153">
        <v>12</v>
      </c>
      <c r="AF1643" s="153" t="str">
        <f ca="1" t="shared" si="279"/>
        <v>30040011|</v>
      </c>
      <c r="AJ1643" s="205" t="str">
        <f ca="1" t="shared" si="277"/>
        <v>400023|1900|;</v>
      </c>
      <c r="AK1643" s="205">
        <f ca="1">OFFSET([1]item_type!$A$1,MATCH(Q1643,[1]item_type!$G:$G,0)-1,0)</f>
        <v>303004</v>
      </c>
      <c r="AL1643" s="205"/>
      <c r="AM1643" s="205">
        <f ca="1">IF(B1643=B1644,OFFSET(卡牌辅助配置表!$AE$1,MATCH(AB1643,卡牌辅助配置表!AB:AB,0),0),0)</f>
        <v>1900</v>
      </c>
      <c r="AN1643" s="153">
        <f ca="1" t="shared" si="272"/>
        <v>3004008</v>
      </c>
      <c r="AP1643" s="153">
        <f ca="1">IF(AC1643=0,0,IF(AC1643=12,0,OFFSET(effect!$N$1,MATCH(K1643,effect!M:M,0)-1,0)))</f>
        <v>0</v>
      </c>
    </row>
    <row r="1644" spans="1:42">
      <c r="A1644" s="153">
        <f ca="1" t="shared" si="273"/>
        <v>3004008</v>
      </c>
      <c r="B1644" s="91" t="s">
        <v>851</v>
      </c>
      <c r="C1644" s="186">
        <v>3</v>
      </c>
      <c r="D1644" s="186">
        <v>4</v>
      </c>
      <c r="E1644" s="165" t="s">
        <v>1069</v>
      </c>
      <c r="F1644" s="298" t="s">
        <v>1054</v>
      </c>
      <c r="G1644" s="186">
        <f ca="1">OFFSET(卡牌辅助配置表!$C$1,MATCH(AC1644,卡牌辅助配置表!A:A,0)-1,0)</f>
        <v>0</v>
      </c>
      <c r="H1644" s="186">
        <f ca="1" t="shared" si="280"/>
        <v>0</v>
      </c>
      <c r="I1644" s="186"/>
      <c r="J1644" s="186">
        <f ca="1">OFFSET(card_type!$F$1,MATCH(Q1644,card_type!A:A,0)-1,0)</f>
        <v>1</v>
      </c>
      <c r="K1644" s="243">
        <f ca="1">OFFSET(card_type!$G$1,MATCH(Q1644,card_type!A:A,0)-1,0)</f>
        <v>1</v>
      </c>
      <c r="L1644" s="157">
        <v>2</v>
      </c>
      <c r="M1644" s="157">
        <v>2</v>
      </c>
      <c r="N1644" s="153">
        <f t="shared" si="274"/>
        <v>8</v>
      </c>
      <c r="O1644" s="157"/>
      <c r="P1644" s="157"/>
      <c r="Q1644" s="153">
        <f ca="1">OFFSET(card_type!$A$1,MATCH(card!B1644,card_type!B:B,0)-1,0)</f>
        <v>3004</v>
      </c>
      <c r="R1644" s="153">
        <v>1</v>
      </c>
      <c r="S1644" s="157">
        <f ca="1">ROUND(IF(R1644=0,0,IF(R1644=1,X1644*$S$1,IF(R1644=2,X1644*$S$1*buff的资质计算!$E$2,IF(R1644=3,X1644*$S$1*buff的资质计算!$E$3,0)))),0)*0</f>
        <v>0</v>
      </c>
      <c r="T1644" s="153">
        <v>3</v>
      </c>
      <c r="U1644" s="153">
        <f ca="1" t="shared" si="275"/>
        <v>11</v>
      </c>
      <c r="V1644" s="153">
        <f ca="1">ROUND((OFFSET(卡牌辅助配置表!$O$1,MATCH(U1644,卡牌辅助配置表!M:M,0)-1,0)+(N1644-1)*OFFSET(卡牌辅助配置表!$P$1,MATCH(U1644,卡牌辅助配置表!M:M,0)-1,0))*M1644,2)</f>
        <v>15.47</v>
      </c>
      <c r="W1644" s="157">
        <f ca="1">ROUND(IF(R1644=0,0,IF(R1644=1,X1644*$W$1,IF(R1644=2,X1644*$W$1*buff的资质计算!$E$2,IF(R1644=3,X1644*$W$1*buff的资质计算!$E$3,0)))),2)</f>
        <v>4.05</v>
      </c>
      <c r="X1644" s="157">
        <f ca="1" t="shared" si="270"/>
        <v>13.5</v>
      </c>
      <c r="Y1644" s="157">
        <f ca="1" t="shared" si="278"/>
        <v>13.5</v>
      </c>
      <c r="Z1644" s="304">
        <f ca="1" t="shared" si="271"/>
        <v>6.75</v>
      </c>
      <c r="AA1644" s="304">
        <f ca="1">OFFSET(卡牌辅助配置表!$AD$1,MATCH(AB1644,卡牌辅助配置表!AB:AB,0)-1,0)</f>
        <v>144</v>
      </c>
      <c r="AB1644" s="304">
        <f ca="1" t="shared" si="276"/>
        <v>1108</v>
      </c>
      <c r="AC1644" s="153">
        <v>12</v>
      </c>
      <c r="AF1644" s="153" t="str">
        <f ca="1" t="shared" si="279"/>
        <v>30040011|</v>
      </c>
      <c r="AJ1644" s="205" t="str">
        <f ca="1" t="shared" si="277"/>
        <v>400023|2100|;</v>
      </c>
      <c r="AK1644" s="205">
        <f ca="1">OFFSET([1]item_type!$A$1,MATCH(Q1644,[1]item_type!$G:$G,0)-1,0)</f>
        <v>303004</v>
      </c>
      <c r="AL1644" s="205"/>
      <c r="AM1644" s="205">
        <f ca="1">IF(B1644=B1645,OFFSET(卡牌辅助配置表!$AE$1,MATCH(AB1644,卡牌辅助配置表!AB:AB,0),0),0)</f>
        <v>2100</v>
      </c>
      <c r="AN1644" s="153">
        <f ca="1" t="shared" si="272"/>
        <v>3004009</v>
      </c>
      <c r="AP1644" s="153">
        <f ca="1">IF(AC1644=0,0,IF(AC1644=12,0,OFFSET(effect!$N$1,MATCH(K1644,effect!M:M,0)-1,0)))</f>
        <v>0</v>
      </c>
    </row>
    <row r="1645" spans="1:42">
      <c r="A1645" s="153">
        <f ca="1" t="shared" si="273"/>
        <v>3004009</v>
      </c>
      <c r="B1645" s="91" t="s">
        <v>851</v>
      </c>
      <c r="C1645" s="186">
        <v>3</v>
      </c>
      <c r="D1645" s="186">
        <v>4</v>
      </c>
      <c r="E1645" s="165" t="s">
        <v>1069</v>
      </c>
      <c r="F1645" s="298" t="s">
        <v>1054</v>
      </c>
      <c r="G1645" s="186">
        <f ca="1">OFFSET(卡牌辅助配置表!$C$1,MATCH(AC1645,卡牌辅助配置表!A:A,0)-1,0)</f>
        <v>0</v>
      </c>
      <c r="H1645" s="186">
        <f ca="1" t="shared" si="280"/>
        <v>0</v>
      </c>
      <c r="I1645" s="186"/>
      <c r="J1645" s="186">
        <f ca="1">OFFSET(card_type!$F$1,MATCH(Q1645,card_type!A:A,0)-1,0)</f>
        <v>1</v>
      </c>
      <c r="K1645" s="243">
        <f ca="1">OFFSET(card_type!$G$1,MATCH(Q1645,card_type!A:A,0)-1,0)</f>
        <v>1</v>
      </c>
      <c r="L1645" s="157">
        <v>2</v>
      </c>
      <c r="M1645" s="157">
        <v>2</v>
      </c>
      <c r="N1645" s="153">
        <f t="shared" si="274"/>
        <v>9</v>
      </c>
      <c r="O1645" s="157"/>
      <c r="P1645" s="157"/>
      <c r="Q1645" s="153">
        <f ca="1">OFFSET(card_type!$A$1,MATCH(card!B1645,card_type!B:B,0)-1,0)</f>
        <v>3004</v>
      </c>
      <c r="R1645" s="153">
        <v>1</v>
      </c>
      <c r="S1645" s="157">
        <f ca="1">ROUND(IF(R1645=0,0,IF(R1645=1,X1645*$S$1,IF(R1645=2,X1645*$S$1*buff的资质计算!$E$2,IF(R1645=3,X1645*$S$1*buff的资质计算!$E$3,0)))),0)*0</f>
        <v>0</v>
      </c>
      <c r="T1645" s="153">
        <v>3</v>
      </c>
      <c r="U1645" s="153">
        <f ca="1" t="shared" si="275"/>
        <v>11</v>
      </c>
      <c r="V1645" s="153">
        <f ca="1">ROUND((OFFSET(卡牌辅助配置表!$O$1,MATCH(U1645,卡牌辅助配置表!M:M,0)-1,0)+(N1645-1)*OFFSET(卡牌辅助配置表!$P$1,MATCH(U1645,卡牌辅助配置表!M:M,0)-1,0))*M1645,2)</f>
        <v>15.88</v>
      </c>
      <c r="W1645" s="157">
        <f ca="1">ROUND(IF(R1645=0,0,IF(R1645=1,X1645*$W$1,IF(R1645=2,X1645*$W$1*buff的资质计算!$E$2,IF(R1645=3,X1645*$W$1*buff的资质计算!$E$3,0)))),2)</f>
        <v>4.2</v>
      </c>
      <c r="X1645" s="157">
        <f ca="1" t="shared" si="270"/>
        <v>14</v>
      </c>
      <c r="Y1645" s="157">
        <f ca="1" t="shared" si="278"/>
        <v>14</v>
      </c>
      <c r="Z1645" s="304">
        <f ca="1" t="shared" si="271"/>
        <v>7</v>
      </c>
      <c r="AA1645" s="304">
        <f ca="1">OFFSET(卡牌辅助配置表!$AD$1,MATCH(AB1645,卡牌辅助配置表!AB:AB,0)-1,0)</f>
        <v>162</v>
      </c>
      <c r="AB1645" s="304">
        <f ca="1" t="shared" si="276"/>
        <v>1109</v>
      </c>
      <c r="AC1645" s="153">
        <v>12</v>
      </c>
      <c r="AF1645" s="153" t="str">
        <f ca="1" t="shared" si="279"/>
        <v>30040011|</v>
      </c>
      <c r="AJ1645" s="205" t="str">
        <f ca="1" t="shared" si="277"/>
        <v>303004|15|;400023|2300|;</v>
      </c>
      <c r="AK1645" s="205">
        <f ca="1">OFFSET([1]item_type!$A$1,MATCH(Q1645,[1]item_type!$G:$G,0)-1,0)</f>
        <v>303004</v>
      </c>
      <c r="AL1645" s="205">
        <v>15</v>
      </c>
      <c r="AM1645" s="205">
        <f ca="1">IF(B1645=B1646,OFFSET(卡牌辅助配置表!$AE$1,MATCH(AB1645,卡牌辅助配置表!AB:AB,0),0),0)</f>
        <v>2300</v>
      </c>
      <c r="AN1645" s="153">
        <f ca="1" t="shared" si="272"/>
        <v>3004010</v>
      </c>
      <c r="AP1645" s="153">
        <f ca="1">IF(AC1645=0,0,IF(AC1645=12,0,OFFSET(effect!$N$1,MATCH(K1645,effect!M:M,0)-1,0)))</f>
        <v>0</v>
      </c>
    </row>
    <row r="1646" spans="1:42">
      <c r="A1646" s="153">
        <f ca="1" t="shared" si="273"/>
        <v>3004010</v>
      </c>
      <c r="B1646" s="91" t="s">
        <v>851</v>
      </c>
      <c r="C1646" s="186">
        <v>3</v>
      </c>
      <c r="D1646" s="186">
        <v>4</v>
      </c>
      <c r="E1646" s="165" t="s">
        <v>1069</v>
      </c>
      <c r="F1646" s="298" t="s">
        <v>1054</v>
      </c>
      <c r="G1646" s="186">
        <f ca="1">OFFSET(卡牌辅助配置表!$C$1,MATCH(AC1646,卡牌辅助配置表!A:A,0)-1,0)</f>
        <v>0</v>
      </c>
      <c r="H1646" s="186">
        <f ca="1" t="shared" si="280"/>
        <v>0</v>
      </c>
      <c r="I1646" s="186"/>
      <c r="J1646" s="186">
        <f ca="1">OFFSET(card_type!$F$1,MATCH(Q1646,card_type!A:A,0)-1,0)</f>
        <v>1</v>
      </c>
      <c r="K1646" s="243">
        <f ca="1">OFFSET(card_type!$G$1,MATCH(Q1646,card_type!A:A,0)-1,0)</f>
        <v>1</v>
      </c>
      <c r="L1646" s="157">
        <v>2</v>
      </c>
      <c r="M1646" s="157">
        <v>2</v>
      </c>
      <c r="N1646" s="153">
        <f t="shared" si="274"/>
        <v>10</v>
      </c>
      <c r="O1646" s="157"/>
      <c r="P1646" s="157"/>
      <c r="Q1646" s="153">
        <f ca="1">OFFSET(card_type!$A$1,MATCH(card!B1646,card_type!B:B,0)-1,0)</f>
        <v>3004</v>
      </c>
      <c r="R1646" s="153">
        <v>1</v>
      </c>
      <c r="S1646" s="157">
        <f ca="1">ROUND(IF(R1646=0,0,IF(R1646=1,X1646*$S$1,IF(R1646=2,X1646*$S$1*buff的资质计算!$E$2,IF(R1646=3,X1646*$S$1*buff的资质计算!$E$3,0)))),0)*0</f>
        <v>0</v>
      </c>
      <c r="T1646" s="153">
        <v>3</v>
      </c>
      <c r="U1646" s="153">
        <f ca="1" t="shared" si="275"/>
        <v>11</v>
      </c>
      <c r="V1646" s="153">
        <f ca="1">ROUND((OFFSET(卡牌辅助配置表!$O$1,MATCH(U1646,卡牌辅助配置表!M:M,0)-1,0)+(N1646-1)*OFFSET(卡牌辅助配置表!$P$1,MATCH(U1646,卡牌辅助配置表!M:M,0)-1,0))*M1646,2)</f>
        <v>16.3</v>
      </c>
      <c r="W1646" s="157">
        <f ca="1">ROUND(IF(R1646=0,0,IF(R1646=1,X1646*$W$1,IF(R1646=2,X1646*$W$1*buff的资质计算!$E$2,IF(R1646=3,X1646*$W$1*buff的资质计算!$E$3,0)))),2)</f>
        <v>4.35</v>
      </c>
      <c r="X1646" s="157">
        <f ca="1" t="shared" si="270"/>
        <v>14.5</v>
      </c>
      <c r="Y1646" s="157">
        <f ca="1" t="shared" si="278"/>
        <v>14.5</v>
      </c>
      <c r="Z1646" s="304">
        <f ca="1" t="shared" si="271"/>
        <v>7.25</v>
      </c>
      <c r="AA1646" s="304">
        <f ca="1">OFFSET(卡牌辅助配置表!$AD$1,MATCH(AB1646,卡牌辅助配置表!AB:AB,0)-1,0)</f>
        <v>180</v>
      </c>
      <c r="AB1646" s="304">
        <f ca="1" t="shared" si="276"/>
        <v>1110</v>
      </c>
      <c r="AC1646" s="153">
        <v>12</v>
      </c>
      <c r="AF1646" s="153" t="str">
        <f ca="1" t="shared" si="279"/>
        <v>30040011|</v>
      </c>
      <c r="AJ1646" s="205" t="str">
        <f ca="1" t="shared" si="277"/>
        <v>400023|2700|;</v>
      </c>
      <c r="AK1646" s="205">
        <f ca="1">OFFSET([1]item_type!$A$1,MATCH(Q1646,[1]item_type!$G:$G,0)-1,0)</f>
        <v>303004</v>
      </c>
      <c r="AL1646" s="205"/>
      <c r="AM1646" s="205">
        <f ca="1">IF(B1646=B1647,OFFSET(卡牌辅助配置表!$AE$1,MATCH(AB1646,卡牌辅助配置表!AB:AB,0),0),0)</f>
        <v>2700</v>
      </c>
      <c r="AN1646" s="153">
        <f ca="1" t="shared" si="272"/>
        <v>3004011</v>
      </c>
      <c r="AP1646" s="153">
        <f ca="1">IF(AC1646=0,0,IF(AC1646=12,0,OFFSET(effect!$N$1,MATCH(K1646,effect!M:M,0)-1,0)))</f>
        <v>0</v>
      </c>
    </row>
    <row r="1647" spans="1:42">
      <c r="A1647" s="153">
        <f ca="1" t="shared" si="273"/>
        <v>3004011</v>
      </c>
      <c r="B1647" s="91" t="s">
        <v>851</v>
      </c>
      <c r="C1647" s="186">
        <v>3</v>
      </c>
      <c r="D1647" s="186">
        <v>4</v>
      </c>
      <c r="E1647" s="165" t="s">
        <v>1069</v>
      </c>
      <c r="F1647" s="298" t="s">
        <v>1054</v>
      </c>
      <c r="G1647" s="186">
        <f ca="1">OFFSET(卡牌辅助配置表!$C$1,MATCH(AC1647,卡牌辅助配置表!A:A,0)-1,0)</f>
        <v>0</v>
      </c>
      <c r="H1647" s="186">
        <f ca="1" t="shared" si="280"/>
        <v>0</v>
      </c>
      <c r="I1647" s="186"/>
      <c r="J1647" s="186">
        <f ca="1">OFFSET(card_type!$F$1,MATCH(Q1647,card_type!A:A,0)-1,0)</f>
        <v>1</v>
      </c>
      <c r="K1647" s="243">
        <f ca="1">OFFSET(card_type!$G$1,MATCH(Q1647,card_type!A:A,0)-1,0)</f>
        <v>1</v>
      </c>
      <c r="L1647" s="157">
        <v>2</v>
      </c>
      <c r="M1647" s="157">
        <v>2</v>
      </c>
      <c r="N1647" s="153">
        <f t="shared" si="274"/>
        <v>11</v>
      </c>
      <c r="O1647" s="157"/>
      <c r="P1647" s="157"/>
      <c r="Q1647" s="153">
        <f ca="1">OFFSET(card_type!$A$1,MATCH(card!B1647,card_type!B:B,0)-1,0)</f>
        <v>3004</v>
      </c>
      <c r="R1647" s="153">
        <v>1</v>
      </c>
      <c r="S1647" s="157">
        <f ca="1">ROUND(IF(R1647=0,0,IF(R1647=1,X1647*$S$1,IF(R1647=2,X1647*$S$1*buff的资质计算!$E$2,IF(R1647=3,X1647*$S$1*buff的资质计算!$E$3,0)))),0)*0</f>
        <v>0</v>
      </c>
      <c r="T1647" s="153">
        <v>3</v>
      </c>
      <c r="U1647" s="153">
        <f ca="1" t="shared" si="275"/>
        <v>11</v>
      </c>
      <c r="V1647" s="153">
        <f ca="1">ROUND((OFFSET(卡牌辅助配置表!$O$1,MATCH(U1647,卡牌辅助配置表!M:M,0)-1,0)+(N1647-1)*OFFSET(卡牌辅助配置表!$P$1,MATCH(U1647,卡牌辅助配置表!M:M,0)-1,0))*M1647,2)</f>
        <v>16.72</v>
      </c>
      <c r="W1647" s="157">
        <f ca="1">ROUND(IF(R1647=0,0,IF(R1647=1,X1647*$W$1,IF(R1647=2,X1647*$W$1*buff的资质计算!$E$2,IF(R1647=3,X1647*$W$1*buff的资质计算!$E$3,0)))),2)</f>
        <v>4.5</v>
      </c>
      <c r="X1647" s="157">
        <f ca="1" t="shared" si="270"/>
        <v>15</v>
      </c>
      <c r="Y1647" s="157">
        <f ca="1" t="shared" si="278"/>
        <v>15</v>
      </c>
      <c r="Z1647" s="304">
        <f ca="1" t="shared" si="271"/>
        <v>7.5</v>
      </c>
      <c r="AA1647" s="304">
        <f ca="1">OFFSET(卡牌辅助配置表!$AD$1,MATCH(AB1647,卡牌辅助配置表!AB:AB,0)-1,0)</f>
        <v>207</v>
      </c>
      <c r="AB1647" s="304">
        <f ca="1" t="shared" si="276"/>
        <v>1111</v>
      </c>
      <c r="AC1647" s="153">
        <v>12</v>
      </c>
      <c r="AF1647" s="153" t="str">
        <f ca="1" t="shared" si="279"/>
        <v>30040011|</v>
      </c>
      <c r="AJ1647" s="205" t="str">
        <f ca="1" t="shared" si="277"/>
        <v>400023|3100|;</v>
      </c>
      <c r="AK1647" s="205">
        <f ca="1">OFFSET([1]item_type!$A$1,MATCH(Q1647,[1]item_type!$G:$G,0)-1,0)</f>
        <v>303004</v>
      </c>
      <c r="AL1647" s="205"/>
      <c r="AM1647" s="205">
        <f ca="1">IF(B1647=B1648,OFFSET(卡牌辅助配置表!$AE$1,MATCH(AB1647,卡牌辅助配置表!AB:AB,0),0),0)</f>
        <v>3100</v>
      </c>
      <c r="AN1647" s="153">
        <f ca="1" t="shared" si="272"/>
        <v>3004012</v>
      </c>
      <c r="AP1647" s="153">
        <f ca="1">IF(AC1647=0,0,IF(AC1647=12,0,OFFSET(effect!$N$1,MATCH(K1647,effect!M:M,0)-1,0)))</f>
        <v>0</v>
      </c>
    </row>
    <row r="1648" spans="1:42">
      <c r="A1648" s="153">
        <f ca="1" t="shared" si="273"/>
        <v>3004012</v>
      </c>
      <c r="B1648" s="91" t="s">
        <v>851</v>
      </c>
      <c r="C1648" s="186">
        <v>3</v>
      </c>
      <c r="D1648" s="186">
        <v>4</v>
      </c>
      <c r="E1648" s="165" t="s">
        <v>1069</v>
      </c>
      <c r="F1648" s="298" t="s">
        <v>1054</v>
      </c>
      <c r="G1648" s="186">
        <f ca="1">OFFSET(卡牌辅助配置表!$C$1,MATCH(AC1648,卡牌辅助配置表!A:A,0)-1,0)</f>
        <v>0</v>
      </c>
      <c r="H1648" s="186">
        <f ca="1" t="shared" si="280"/>
        <v>0</v>
      </c>
      <c r="I1648" s="186"/>
      <c r="J1648" s="186">
        <f ca="1">OFFSET(card_type!$F$1,MATCH(Q1648,card_type!A:A,0)-1,0)</f>
        <v>1</v>
      </c>
      <c r="K1648" s="243">
        <f ca="1">OFFSET(card_type!$G$1,MATCH(Q1648,card_type!A:A,0)-1,0)</f>
        <v>1</v>
      </c>
      <c r="L1648" s="157">
        <v>2</v>
      </c>
      <c r="M1648" s="157">
        <v>2</v>
      </c>
      <c r="N1648" s="153">
        <f t="shared" si="274"/>
        <v>12</v>
      </c>
      <c r="O1648" s="157"/>
      <c r="P1648" s="157"/>
      <c r="Q1648" s="153">
        <f ca="1">OFFSET(card_type!$A$1,MATCH(card!B1648,card_type!B:B,0)-1,0)</f>
        <v>3004</v>
      </c>
      <c r="R1648" s="153">
        <v>1</v>
      </c>
      <c r="S1648" s="157">
        <f ca="1">ROUND(IF(R1648=0,0,IF(R1648=1,X1648*$S$1,IF(R1648=2,X1648*$S$1*buff的资质计算!$E$2,IF(R1648=3,X1648*$S$1*buff的资质计算!$E$3,0)))),0)*0</f>
        <v>0</v>
      </c>
      <c r="T1648" s="153">
        <v>3</v>
      </c>
      <c r="U1648" s="153">
        <f ca="1" t="shared" si="275"/>
        <v>11</v>
      </c>
      <c r="V1648" s="153">
        <f ca="1">ROUND((OFFSET(卡牌辅助配置表!$O$1,MATCH(U1648,卡牌辅助配置表!M:M,0)-1,0)+(N1648-1)*OFFSET(卡牌辅助配置表!$P$1,MATCH(U1648,卡牌辅助配置表!M:M,0)-1,0))*M1648,2)</f>
        <v>17.14</v>
      </c>
      <c r="W1648" s="157">
        <f ca="1">ROUND(IF(R1648=0,0,IF(R1648=1,X1648*$W$1,IF(R1648=2,X1648*$W$1*buff的资质计算!$E$2,IF(R1648=3,X1648*$W$1*buff的资质计算!$E$3,0)))),2)</f>
        <v>4.65</v>
      </c>
      <c r="X1648" s="157">
        <f ca="1" t="shared" si="270"/>
        <v>15.5</v>
      </c>
      <c r="Y1648" s="157">
        <f ca="1" t="shared" si="278"/>
        <v>15.5</v>
      </c>
      <c r="Z1648" s="304">
        <f ca="1" t="shared" si="271"/>
        <v>7.75</v>
      </c>
      <c r="AA1648" s="304">
        <f ca="1">OFFSET(卡牌辅助配置表!$AD$1,MATCH(AB1648,卡牌辅助配置表!AB:AB,0)-1,0)</f>
        <v>234</v>
      </c>
      <c r="AB1648" s="304">
        <f ca="1" t="shared" si="276"/>
        <v>1112</v>
      </c>
      <c r="AC1648" s="153">
        <v>12</v>
      </c>
      <c r="AF1648" s="153" t="str">
        <f ca="1" t="shared" si="279"/>
        <v>30040011|</v>
      </c>
      <c r="AJ1648" s="205" t="str">
        <f ca="1" t="shared" si="277"/>
        <v>400023|3500|;</v>
      </c>
      <c r="AK1648" s="205">
        <f ca="1">OFFSET([1]item_type!$A$1,MATCH(Q1648,[1]item_type!$G:$G,0)-1,0)</f>
        <v>303004</v>
      </c>
      <c r="AL1648" s="205"/>
      <c r="AM1648" s="205">
        <f ca="1">IF(B1648=B1649,OFFSET(卡牌辅助配置表!$AE$1,MATCH(AB1648,卡牌辅助配置表!AB:AB,0),0),0)</f>
        <v>3500</v>
      </c>
      <c r="AN1648" s="153">
        <f ca="1" t="shared" si="272"/>
        <v>3004013</v>
      </c>
      <c r="AP1648" s="153">
        <f ca="1">IF(AC1648=0,0,IF(AC1648=12,0,OFFSET(effect!$N$1,MATCH(K1648,effect!M:M,0)-1,0)))</f>
        <v>0</v>
      </c>
    </row>
    <row r="1649" spans="1:42">
      <c r="A1649" s="153">
        <f ca="1" t="shared" si="273"/>
        <v>3004013</v>
      </c>
      <c r="B1649" s="91" t="s">
        <v>851</v>
      </c>
      <c r="C1649" s="186">
        <v>3</v>
      </c>
      <c r="D1649" s="186">
        <v>4</v>
      </c>
      <c r="E1649" s="165" t="s">
        <v>1069</v>
      </c>
      <c r="F1649" s="298" t="s">
        <v>1054</v>
      </c>
      <c r="G1649" s="186">
        <f ca="1">OFFSET(卡牌辅助配置表!$C$1,MATCH(AC1649,卡牌辅助配置表!A:A,0)-1,0)</f>
        <v>0</v>
      </c>
      <c r="H1649" s="186">
        <f ca="1" t="shared" si="280"/>
        <v>0</v>
      </c>
      <c r="I1649" s="186"/>
      <c r="J1649" s="186">
        <f ca="1">OFFSET(card_type!$F$1,MATCH(Q1649,card_type!A:A,0)-1,0)</f>
        <v>1</v>
      </c>
      <c r="K1649" s="243">
        <f ca="1">OFFSET(card_type!$G$1,MATCH(Q1649,card_type!A:A,0)-1,0)</f>
        <v>1</v>
      </c>
      <c r="L1649" s="157">
        <v>2</v>
      </c>
      <c r="M1649" s="157">
        <v>2</v>
      </c>
      <c r="N1649" s="153">
        <f t="shared" si="274"/>
        <v>13</v>
      </c>
      <c r="O1649" s="157"/>
      <c r="P1649" s="157"/>
      <c r="Q1649" s="153">
        <f ca="1">OFFSET(card_type!$A$1,MATCH(card!B1649,card_type!B:B,0)-1,0)</f>
        <v>3004</v>
      </c>
      <c r="R1649" s="153">
        <v>1</v>
      </c>
      <c r="S1649" s="157">
        <f ca="1">ROUND(IF(R1649=0,0,IF(R1649=1,X1649*$S$1,IF(R1649=2,X1649*$S$1*buff的资质计算!$E$2,IF(R1649=3,X1649*$S$1*buff的资质计算!$E$3,0)))),0)*0</f>
        <v>0</v>
      </c>
      <c r="T1649" s="153">
        <v>3</v>
      </c>
      <c r="U1649" s="153">
        <f ca="1" t="shared" si="275"/>
        <v>11</v>
      </c>
      <c r="V1649" s="153">
        <f ca="1">ROUND((OFFSET(卡牌辅助配置表!$O$1,MATCH(U1649,卡牌辅助配置表!M:M,0)-1,0)+(N1649-1)*OFFSET(卡牌辅助配置表!$P$1,MATCH(U1649,卡牌辅助配置表!M:M,0)-1,0))*M1649,2)</f>
        <v>17.56</v>
      </c>
      <c r="W1649" s="157">
        <f ca="1">ROUND(IF(R1649=0,0,IF(R1649=1,X1649*$W$1,IF(R1649=2,X1649*$W$1*buff的资质计算!$E$2,IF(R1649=3,X1649*$W$1*buff的资质计算!$E$3,0)))),2)</f>
        <v>4.8</v>
      </c>
      <c r="X1649" s="157">
        <f ca="1" t="shared" si="270"/>
        <v>16</v>
      </c>
      <c r="Y1649" s="157">
        <f ca="1" t="shared" si="278"/>
        <v>16</v>
      </c>
      <c r="Z1649" s="304">
        <f ca="1" t="shared" si="271"/>
        <v>8</v>
      </c>
      <c r="AA1649" s="304">
        <f ca="1">OFFSET(卡牌辅助配置表!$AD$1,MATCH(AB1649,卡牌辅助配置表!AB:AB,0)-1,0)</f>
        <v>261</v>
      </c>
      <c r="AB1649" s="304">
        <f ca="1" t="shared" si="276"/>
        <v>1113</v>
      </c>
      <c r="AC1649" s="153">
        <v>12</v>
      </c>
      <c r="AF1649" s="153" t="str">
        <f ca="1" t="shared" si="279"/>
        <v>30040011|</v>
      </c>
      <c r="AJ1649" s="205" t="str">
        <f ca="1" t="shared" si="277"/>
        <v>400023|3900|;</v>
      </c>
      <c r="AK1649" s="205">
        <f ca="1">OFFSET([1]item_type!$A$1,MATCH(Q1649,[1]item_type!$G:$G,0)-1,0)</f>
        <v>303004</v>
      </c>
      <c r="AL1649" s="205"/>
      <c r="AM1649" s="205">
        <f ca="1">IF(B1649=B1650,OFFSET(卡牌辅助配置表!$AE$1,MATCH(AB1649,卡牌辅助配置表!AB:AB,0),0),0)</f>
        <v>3900</v>
      </c>
      <c r="AN1649" s="153">
        <f ca="1" t="shared" si="272"/>
        <v>3004014</v>
      </c>
      <c r="AP1649" s="153">
        <f ca="1">IF(AC1649=0,0,IF(AC1649=12,0,OFFSET(effect!$N$1,MATCH(K1649,effect!M:M,0)-1,0)))</f>
        <v>0</v>
      </c>
    </row>
    <row r="1650" spans="1:42">
      <c r="A1650" s="153">
        <f ca="1" t="shared" si="273"/>
        <v>3004014</v>
      </c>
      <c r="B1650" s="91" t="s">
        <v>851</v>
      </c>
      <c r="C1650" s="186">
        <v>3</v>
      </c>
      <c r="D1650" s="186">
        <v>4</v>
      </c>
      <c r="E1650" s="165" t="s">
        <v>1069</v>
      </c>
      <c r="F1650" s="298" t="s">
        <v>1054</v>
      </c>
      <c r="G1650" s="186">
        <f ca="1">OFFSET(卡牌辅助配置表!$C$1,MATCH(AC1650,卡牌辅助配置表!A:A,0)-1,0)</f>
        <v>0</v>
      </c>
      <c r="H1650" s="186">
        <f ca="1" t="shared" si="280"/>
        <v>0</v>
      </c>
      <c r="I1650" s="186"/>
      <c r="J1650" s="186">
        <f ca="1">OFFSET(card_type!$F$1,MATCH(Q1650,card_type!A:A,0)-1,0)</f>
        <v>1</v>
      </c>
      <c r="K1650" s="243">
        <f ca="1">OFFSET(card_type!$G$1,MATCH(Q1650,card_type!A:A,0)-1,0)</f>
        <v>1</v>
      </c>
      <c r="L1650" s="157">
        <v>2</v>
      </c>
      <c r="M1650" s="157">
        <v>2</v>
      </c>
      <c r="N1650" s="153">
        <f t="shared" si="274"/>
        <v>14</v>
      </c>
      <c r="O1650" s="157"/>
      <c r="P1650" s="157"/>
      <c r="Q1650" s="153">
        <f ca="1">OFFSET(card_type!$A$1,MATCH(card!B1650,card_type!B:B,0)-1,0)</f>
        <v>3004</v>
      </c>
      <c r="R1650" s="153">
        <v>1</v>
      </c>
      <c r="S1650" s="157">
        <f ca="1">ROUND(IF(R1650=0,0,IF(R1650=1,X1650*$S$1,IF(R1650=2,X1650*$S$1*buff的资质计算!$E$2,IF(R1650=3,X1650*$S$1*buff的资质计算!$E$3,0)))),0)*0</f>
        <v>0</v>
      </c>
      <c r="T1650" s="153">
        <v>3</v>
      </c>
      <c r="U1650" s="153">
        <f ca="1" t="shared" si="275"/>
        <v>11</v>
      </c>
      <c r="V1650" s="153">
        <f ca="1">ROUND((OFFSET(卡牌辅助配置表!$O$1,MATCH(U1650,卡牌辅助配置表!M:M,0)-1,0)+(N1650-1)*OFFSET(卡牌辅助配置表!$P$1,MATCH(U1650,卡牌辅助配置表!M:M,0)-1,0))*M1650,2)</f>
        <v>17.97</v>
      </c>
      <c r="W1650" s="157">
        <f ca="1">ROUND(IF(R1650=0,0,IF(R1650=1,X1650*$W$1,IF(R1650=2,X1650*$W$1*buff的资质计算!$E$2,IF(R1650=3,X1650*$W$1*buff的资质计算!$E$3,0)))),2)</f>
        <v>4.95</v>
      </c>
      <c r="X1650" s="157">
        <f ca="1" t="shared" si="270"/>
        <v>16.5</v>
      </c>
      <c r="Y1650" s="157">
        <f ca="1" t="shared" si="278"/>
        <v>16.5</v>
      </c>
      <c r="Z1650" s="304">
        <f ca="1" t="shared" si="271"/>
        <v>8.25</v>
      </c>
      <c r="AA1650" s="304">
        <f ca="1">OFFSET(卡牌辅助配置表!$AD$1,MATCH(AB1650,卡牌辅助配置表!AB:AB,0)-1,0)</f>
        <v>288</v>
      </c>
      <c r="AB1650" s="304">
        <f ca="1" t="shared" si="276"/>
        <v>1114</v>
      </c>
      <c r="AC1650" s="153">
        <v>12</v>
      </c>
      <c r="AF1650" s="153" t="str">
        <f ca="1" t="shared" si="279"/>
        <v>30040011|</v>
      </c>
      <c r="AJ1650" s="205" t="str">
        <f ca="1" t="shared" si="277"/>
        <v>400023|4300|;</v>
      </c>
      <c r="AK1650" s="205">
        <f ca="1">OFFSET([1]item_type!$A$1,MATCH(Q1650,[1]item_type!$G:$G,0)-1,0)</f>
        <v>303004</v>
      </c>
      <c r="AL1650" s="205"/>
      <c r="AM1650" s="205">
        <f ca="1">IF(B1650=B1651,OFFSET(卡牌辅助配置表!$AE$1,MATCH(AB1650,卡牌辅助配置表!AB:AB,0),0),0)</f>
        <v>4300</v>
      </c>
      <c r="AN1650" s="153">
        <f ca="1" t="shared" si="272"/>
        <v>3004015</v>
      </c>
      <c r="AP1650" s="153">
        <f ca="1">IF(AC1650=0,0,IF(AC1650=12,0,OFFSET(effect!$N$1,MATCH(K1650,effect!M:M,0)-1,0)))</f>
        <v>0</v>
      </c>
    </row>
    <row r="1651" spans="1:42">
      <c r="A1651" s="153">
        <f ca="1" t="shared" si="273"/>
        <v>3004015</v>
      </c>
      <c r="B1651" s="91" t="s">
        <v>851</v>
      </c>
      <c r="C1651" s="186">
        <v>3</v>
      </c>
      <c r="D1651" s="186">
        <v>4</v>
      </c>
      <c r="E1651" s="165" t="s">
        <v>1069</v>
      </c>
      <c r="F1651" s="298" t="s">
        <v>1054</v>
      </c>
      <c r="G1651" s="186">
        <f ca="1">OFFSET(卡牌辅助配置表!$C$1,MATCH(AC1651,卡牌辅助配置表!A:A,0)-1,0)</f>
        <v>0</v>
      </c>
      <c r="H1651" s="186">
        <f ca="1" t="shared" si="280"/>
        <v>0</v>
      </c>
      <c r="I1651" s="186"/>
      <c r="J1651" s="186">
        <f ca="1">OFFSET(card_type!$F$1,MATCH(Q1651,card_type!A:A,0)-1,0)</f>
        <v>1</v>
      </c>
      <c r="K1651" s="243">
        <f ca="1">OFFSET(card_type!$G$1,MATCH(Q1651,card_type!A:A,0)-1,0)</f>
        <v>1</v>
      </c>
      <c r="L1651" s="157">
        <v>2</v>
      </c>
      <c r="M1651" s="157">
        <v>2</v>
      </c>
      <c r="N1651" s="153">
        <f t="shared" si="274"/>
        <v>15</v>
      </c>
      <c r="O1651" s="157"/>
      <c r="P1651" s="157"/>
      <c r="Q1651" s="153">
        <f ca="1">OFFSET(card_type!$A$1,MATCH(card!B1651,card_type!B:B,0)-1,0)</f>
        <v>3004</v>
      </c>
      <c r="R1651" s="153">
        <v>1</v>
      </c>
      <c r="S1651" s="157">
        <f ca="1">ROUND(IF(R1651=0,0,IF(R1651=1,X1651*$S$1,IF(R1651=2,X1651*$S$1*buff的资质计算!$E$2,IF(R1651=3,X1651*$S$1*buff的资质计算!$E$3,0)))),0)*0</f>
        <v>0</v>
      </c>
      <c r="T1651" s="153">
        <v>3</v>
      </c>
      <c r="U1651" s="153">
        <f ca="1" t="shared" si="275"/>
        <v>11</v>
      </c>
      <c r="V1651" s="153">
        <f ca="1">ROUND((OFFSET(卡牌辅助配置表!$O$1,MATCH(U1651,卡牌辅助配置表!M:M,0)-1,0)+(N1651-1)*OFFSET(卡牌辅助配置表!$P$1,MATCH(U1651,卡牌辅助配置表!M:M,0)-1,0))*M1651,2)</f>
        <v>18.39</v>
      </c>
      <c r="W1651" s="157">
        <f ca="1">ROUND(IF(R1651=0,0,IF(R1651=1,X1651*$W$1,IF(R1651=2,X1651*$W$1*buff的资质计算!$E$2,IF(R1651=3,X1651*$W$1*buff的资质计算!$E$3,0)))),2)</f>
        <v>5.1</v>
      </c>
      <c r="X1651" s="157">
        <f ca="1" t="shared" si="270"/>
        <v>17</v>
      </c>
      <c r="Y1651" s="157">
        <f ca="1" t="shared" si="278"/>
        <v>17</v>
      </c>
      <c r="Z1651" s="304">
        <f ca="1" t="shared" si="271"/>
        <v>8.5</v>
      </c>
      <c r="AA1651" s="304">
        <f ca="1">OFFSET(卡牌辅助配置表!$AD$1,MATCH(AB1651,卡牌辅助配置表!AB:AB,0)-1,0)</f>
        <v>315</v>
      </c>
      <c r="AB1651" s="304">
        <f ca="1" t="shared" si="276"/>
        <v>1115</v>
      </c>
      <c r="AC1651" s="153">
        <v>12</v>
      </c>
      <c r="AF1651" s="153" t="str">
        <f ca="1" t="shared" si="279"/>
        <v>30040011|</v>
      </c>
      <c r="AJ1651" s="205" t="str">
        <f ca="1" t="shared" si="277"/>
        <v>400023|4700|;</v>
      </c>
      <c r="AK1651" s="205">
        <f ca="1">OFFSET([1]item_type!$A$1,MATCH(Q1651,[1]item_type!$G:$G,0)-1,0)</f>
        <v>303004</v>
      </c>
      <c r="AL1651" s="205"/>
      <c r="AM1651" s="205">
        <f ca="1">IF(B1651=B1652,OFFSET(卡牌辅助配置表!$AE$1,MATCH(AB1651,卡牌辅助配置表!AB:AB,0),0),0)</f>
        <v>4700</v>
      </c>
      <c r="AN1651" s="153">
        <f ca="1" t="shared" si="272"/>
        <v>3004016</v>
      </c>
      <c r="AP1651" s="153">
        <f ca="1">IF(AC1651=0,0,IF(AC1651=12,0,OFFSET(effect!$N$1,MATCH(K1651,effect!M:M,0)-1,0)))</f>
        <v>0</v>
      </c>
    </row>
    <row r="1652" spans="1:42">
      <c r="A1652" s="153">
        <f ca="1" t="shared" si="273"/>
        <v>3004016</v>
      </c>
      <c r="B1652" s="91" t="s">
        <v>851</v>
      </c>
      <c r="C1652" s="186">
        <v>3</v>
      </c>
      <c r="D1652" s="186">
        <v>4</v>
      </c>
      <c r="E1652" s="165" t="s">
        <v>1069</v>
      </c>
      <c r="F1652" s="298" t="s">
        <v>1054</v>
      </c>
      <c r="G1652" s="186">
        <f ca="1">OFFSET(卡牌辅助配置表!$C$1,MATCH(AC1652,卡牌辅助配置表!A:A,0)-1,0)</f>
        <v>0</v>
      </c>
      <c r="H1652" s="186">
        <f ca="1" t="shared" si="280"/>
        <v>0</v>
      </c>
      <c r="I1652" s="186"/>
      <c r="J1652" s="186">
        <f ca="1">OFFSET(card_type!$F$1,MATCH(Q1652,card_type!A:A,0)-1,0)</f>
        <v>1</v>
      </c>
      <c r="K1652" s="243">
        <f ca="1">OFFSET(card_type!$G$1,MATCH(Q1652,card_type!A:A,0)-1,0)</f>
        <v>1</v>
      </c>
      <c r="L1652" s="157">
        <v>2</v>
      </c>
      <c r="M1652" s="157">
        <v>2</v>
      </c>
      <c r="N1652" s="153">
        <f t="shared" si="274"/>
        <v>16</v>
      </c>
      <c r="O1652" s="157"/>
      <c r="P1652" s="157"/>
      <c r="Q1652" s="153">
        <f ca="1">OFFSET(card_type!$A$1,MATCH(card!B1652,card_type!B:B,0)-1,0)</f>
        <v>3004</v>
      </c>
      <c r="R1652" s="153">
        <v>1</v>
      </c>
      <c r="S1652" s="157">
        <f ca="1">ROUND(IF(R1652=0,0,IF(R1652=1,X1652*$S$1,IF(R1652=2,X1652*$S$1*buff的资质计算!$E$2,IF(R1652=3,X1652*$S$1*buff的资质计算!$E$3,0)))),0)*0</f>
        <v>0</v>
      </c>
      <c r="T1652" s="153">
        <v>3</v>
      </c>
      <c r="U1652" s="153">
        <f ca="1" t="shared" si="275"/>
        <v>11</v>
      </c>
      <c r="V1652" s="153">
        <f ca="1">ROUND((OFFSET(卡牌辅助配置表!$O$1,MATCH(U1652,卡牌辅助配置表!M:M,0)-1,0)+(N1652-1)*OFFSET(卡牌辅助配置表!$P$1,MATCH(U1652,卡牌辅助配置表!M:M,0)-1,0))*M1652,2)</f>
        <v>18.81</v>
      </c>
      <c r="W1652" s="157">
        <f ca="1">ROUND(IF(R1652=0,0,IF(R1652=1,X1652*$W$1,IF(R1652=2,X1652*$W$1*buff的资质计算!$E$2,IF(R1652=3,X1652*$W$1*buff的资质计算!$E$3,0)))),2)</f>
        <v>5.25</v>
      </c>
      <c r="X1652" s="157">
        <f ca="1" t="shared" ref="X1652:X1715" si="281">M1652*($M$1+(J1652-1)*$J$1+(K1652-1)*$K$1)+G1652+$J$1*(N1652-1)/$N$1</f>
        <v>17.5</v>
      </c>
      <c r="Y1652" s="157">
        <f ca="1" t="shared" si="278"/>
        <v>17.5</v>
      </c>
      <c r="Z1652" s="304">
        <f ca="1" t="shared" ref="Z1652:Z1715" si="282">Y1652/M1652</f>
        <v>8.75</v>
      </c>
      <c r="AA1652" s="304">
        <f ca="1">OFFSET(卡牌辅助配置表!$AD$1,MATCH(AB1652,卡牌辅助配置表!AB:AB,0)-1,0)</f>
        <v>342</v>
      </c>
      <c r="AB1652" s="304">
        <f ca="1" t="shared" si="276"/>
        <v>1116</v>
      </c>
      <c r="AC1652" s="153">
        <v>12</v>
      </c>
      <c r="AF1652" s="153" t="str">
        <f ca="1" t="shared" si="279"/>
        <v>30040011|</v>
      </c>
      <c r="AJ1652" s="205" t="str">
        <f ca="1" t="shared" si="277"/>
        <v>400023|5100|;</v>
      </c>
      <c r="AK1652" s="205">
        <f ca="1">OFFSET([1]item_type!$A$1,MATCH(Q1652,[1]item_type!$G:$G,0)-1,0)</f>
        <v>303004</v>
      </c>
      <c r="AL1652" s="205"/>
      <c r="AM1652" s="205">
        <f ca="1">IF(B1652=B1653,OFFSET(卡牌辅助配置表!$AE$1,MATCH(AB1652,卡牌辅助配置表!AB:AB,0),0),0)</f>
        <v>5100</v>
      </c>
      <c r="AN1652" s="153">
        <f ca="1" t="shared" si="272"/>
        <v>3004017</v>
      </c>
      <c r="AP1652" s="153">
        <f ca="1">IF(AC1652=0,0,IF(AC1652=12,0,OFFSET(effect!$N$1,MATCH(K1652,effect!M:M,0)-1,0)))</f>
        <v>0</v>
      </c>
    </row>
    <row r="1653" spans="1:42">
      <c r="A1653" s="153">
        <f ca="1" t="shared" si="273"/>
        <v>3004017</v>
      </c>
      <c r="B1653" s="91" t="s">
        <v>851</v>
      </c>
      <c r="C1653" s="186">
        <v>3</v>
      </c>
      <c r="D1653" s="186">
        <v>4</v>
      </c>
      <c r="E1653" s="165" t="s">
        <v>1069</v>
      </c>
      <c r="F1653" s="298" t="s">
        <v>1054</v>
      </c>
      <c r="G1653" s="186">
        <f ca="1">OFFSET(卡牌辅助配置表!$C$1,MATCH(AC1653,卡牌辅助配置表!A:A,0)-1,0)</f>
        <v>0</v>
      </c>
      <c r="H1653" s="186">
        <f ca="1" t="shared" si="280"/>
        <v>0</v>
      </c>
      <c r="I1653" s="186"/>
      <c r="J1653" s="186">
        <f ca="1">OFFSET(card_type!$F$1,MATCH(Q1653,card_type!A:A,0)-1,0)</f>
        <v>1</v>
      </c>
      <c r="K1653" s="243">
        <f ca="1">OFFSET(card_type!$G$1,MATCH(Q1653,card_type!A:A,0)-1,0)</f>
        <v>1</v>
      </c>
      <c r="L1653" s="157">
        <v>2</v>
      </c>
      <c r="M1653" s="157">
        <v>2</v>
      </c>
      <c r="N1653" s="153">
        <f t="shared" si="274"/>
        <v>17</v>
      </c>
      <c r="O1653" s="157"/>
      <c r="P1653" s="157"/>
      <c r="Q1653" s="153">
        <f ca="1">OFFSET(card_type!$A$1,MATCH(card!B1653,card_type!B:B,0)-1,0)</f>
        <v>3004</v>
      </c>
      <c r="R1653" s="153">
        <v>1</v>
      </c>
      <c r="S1653" s="157">
        <f ca="1">ROUND(IF(R1653=0,0,IF(R1653=1,X1653*$S$1,IF(R1653=2,X1653*$S$1*buff的资质计算!$E$2,IF(R1653=3,X1653*$S$1*buff的资质计算!$E$3,0)))),0)*0</f>
        <v>0</v>
      </c>
      <c r="T1653" s="153">
        <v>3</v>
      </c>
      <c r="U1653" s="153">
        <f ca="1" t="shared" si="275"/>
        <v>11</v>
      </c>
      <c r="V1653" s="153">
        <f ca="1">ROUND((OFFSET(卡牌辅助配置表!$O$1,MATCH(U1653,卡牌辅助配置表!M:M,0)-1,0)+(N1653-1)*OFFSET(卡牌辅助配置表!$P$1,MATCH(U1653,卡牌辅助配置表!M:M,0)-1,0))*M1653,2)</f>
        <v>19.23</v>
      </c>
      <c r="W1653" s="157">
        <f ca="1">ROUND(IF(R1653=0,0,IF(R1653=1,X1653*$W$1,IF(R1653=2,X1653*$W$1*buff的资质计算!$E$2,IF(R1653=3,X1653*$W$1*buff的资质计算!$E$3,0)))),2)</f>
        <v>5.4</v>
      </c>
      <c r="X1653" s="157">
        <f ca="1" t="shared" si="281"/>
        <v>18</v>
      </c>
      <c r="Y1653" s="157">
        <f ca="1" t="shared" si="278"/>
        <v>18</v>
      </c>
      <c r="Z1653" s="304">
        <f ca="1" t="shared" si="282"/>
        <v>9</v>
      </c>
      <c r="AA1653" s="304">
        <f ca="1">OFFSET(卡牌辅助配置表!$AD$1,MATCH(AB1653,卡牌辅助配置表!AB:AB,0)-1,0)</f>
        <v>369</v>
      </c>
      <c r="AB1653" s="304">
        <f ca="1" t="shared" si="276"/>
        <v>1117</v>
      </c>
      <c r="AC1653" s="153">
        <v>12</v>
      </c>
      <c r="AF1653" s="153" t="str">
        <f ca="1" t="shared" si="279"/>
        <v>30040011|</v>
      </c>
      <c r="AJ1653" s="205" t="str">
        <f ca="1" t="shared" si="277"/>
        <v>400023|5500|;</v>
      </c>
      <c r="AK1653" s="205">
        <f ca="1">OFFSET([1]item_type!$A$1,MATCH(Q1653,[1]item_type!$G:$G,0)-1,0)</f>
        <v>303004</v>
      </c>
      <c r="AL1653" s="205"/>
      <c r="AM1653" s="205">
        <f ca="1">IF(B1653=B1654,OFFSET(卡牌辅助配置表!$AE$1,MATCH(AB1653,卡牌辅助配置表!AB:AB,0),0),0)</f>
        <v>5500</v>
      </c>
      <c r="AN1653" s="153">
        <f ca="1" t="shared" si="272"/>
        <v>3004018</v>
      </c>
      <c r="AP1653" s="153">
        <f ca="1">IF(AC1653=0,0,IF(AC1653=12,0,OFFSET(effect!$N$1,MATCH(K1653,effect!M:M,0)-1,0)))</f>
        <v>0</v>
      </c>
    </row>
    <row r="1654" spans="1:42">
      <c r="A1654" s="153">
        <f ca="1" t="shared" si="273"/>
        <v>3004018</v>
      </c>
      <c r="B1654" s="91" t="s">
        <v>851</v>
      </c>
      <c r="C1654" s="186">
        <v>3</v>
      </c>
      <c r="D1654" s="186">
        <v>4</v>
      </c>
      <c r="E1654" s="165" t="s">
        <v>1069</v>
      </c>
      <c r="F1654" s="298" t="s">
        <v>1054</v>
      </c>
      <c r="G1654" s="186">
        <f ca="1">OFFSET(卡牌辅助配置表!$C$1,MATCH(AC1654,卡牌辅助配置表!A:A,0)-1,0)</f>
        <v>0</v>
      </c>
      <c r="H1654" s="186">
        <f ca="1" t="shared" si="280"/>
        <v>0</v>
      </c>
      <c r="I1654" s="186"/>
      <c r="J1654" s="186">
        <f ca="1">OFFSET(card_type!$F$1,MATCH(Q1654,card_type!A:A,0)-1,0)</f>
        <v>1</v>
      </c>
      <c r="K1654" s="243">
        <f ca="1">OFFSET(card_type!$G$1,MATCH(Q1654,card_type!A:A,0)-1,0)</f>
        <v>1</v>
      </c>
      <c r="L1654" s="157">
        <v>2</v>
      </c>
      <c r="M1654" s="157">
        <v>2</v>
      </c>
      <c r="N1654" s="153">
        <f t="shared" si="274"/>
        <v>18</v>
      </c>
      <c r="O1654" s="157"/>
      <c r="P1654" s="157"/>
      <c r="Q1654" s="153">
        <f ca="1">OFFSET(card_type!$A$1,MATCH(card!B1654,card_type!B:B,0)-1,0)</f>
        <v>3004</v>
      </c>
      <c r="R1654" s="153">
        <v>1</v>
      </c>
      <c r="S1654" s="157">
        <f ca="1">ROUND(IF(R1654=0,0,IF(R1654=1,X1654*$S$1,IF(R1654=2,X1654*$S$1*buff的资质计算!$E$2,IF(R1654=3,X1654*$S$1*buff的资质计算!$E$3,0)))),0)*0</f>
        <v>0</v>
      </c>
      <c r="T1654" s="153">
        <v>3</v>
      </c>
      <c r="U1654" s="153">
        <f ca="1" t="shared" si="275"/>
        <v>11</v>
      </c>
      <c r="V1654" s="153">
        <f ca="1">ROUND((OFFSET(卡牌辅助配置表!$O$1,MATCH(U1654,卡牌辅助配置表!M:M,0)-1,0)+(N1654-1)*OFFSET(卡牌辅助配置表!$P$1,MATCH(U1654,卡牌辅助配置表!M:M,0)-1,0))*M1654,2)</f>
        <v>19.65</v>
      </c>
      <c r="W1654" s="157">
        <f ca="1">ROUND(IF(R1654=0,0,IF(R1654=1,X1654*$W$1,IF(R1654=2,X1654*$W$1*buff的资质计算!$E$2,IF(R1654=3,X1654*$W$1*buff的资质计算!$E$3,0)))),2)</f>
        <v>5.55</v>
      </c>
      <c r="X1654" s="157">
        <f ca="1" t="shared" si="281"/>
        <v>18.5</v>
      </c>
      <c r="Y1654" s="157">
        <f ca="1" t="shared" si="278"/>
        <v>18.5</v>
      </c>
      <c r="Z1654" s="304">
        <f ca="1" t="shared" si="282"/>
        <v>9.25</v>
      </c>
      <c r="AA1654" s="304">
        <f ca="1">OFFSET(卡牌辅助配置表!$AD$1,MATCH(AB1654,卡牌辅助配置表!AB:AB,0)-1,0)</f>
        <v>396</v>
      </c>
      <c r="AB1654" s="304">
        <f ca="1" t="shared" si="276"/>
        <v>1118</v>
      </c>
      <c r="AC1654" s="153">
        <v>12</v>
      </c>
      <c r="AF1654" s="153" t="str">
        <f ca="1" t="shared" si="279"/>
        <v>30040011|</v>
      </c>
      <c r="AJ1654" s="205" t="str">
        <f ca="1" t="shared" si="277"/>
        <v>400023|5900|;</v>
      </c>
      <c r="AK1654" s="205">
        <f ca="1">OFFSET([1]item_type!$A$1,MATCH(Q1654,[1]item_type!$G:$G,0)-1,0)</f>
        <v>303004</v>
      </c>
      <c r="AL1654" s="205"/>
      <c r="AM1654" s="205">
        <f ca="1">IF(B1654=B1655,OFFSET(卡牌辅助配置表!$AE$1,MATCH(AB1654,卡牌辅助配置表!AB:AB,0),0),0)</f>
        <v>5900</v>
      </c>
      <c r="AN1654" s="153">
        <f ca="1" t="shared" si="272"/>
        <v>3004019</v>
      </c>
      <c r="AP1654" s="153">
        <f ca="1">IF(AC1654=0,0,IF(AC1654=12,0,OFFSET(effect!$N$1,MATCH(K1654,effect!M:M,0)-1,0)))</f>
        <v>0</v>
      </c>
    </row>
    <row r="1655" spans="1:42">
      <c r="A1655" s="153">
        <f ca="1" t="shared" si="273"/>
        <v>3004019</v>
      </c>
      <c r="B1655" s="91" t="s">
        <v>851</v>
      </c>
      <c r="C1655" s="186">
        <v>3</v>
      </c>
      <c r="D1655" s="186">
        <v>4</v>
      </c>
      <c r="E1655" s="165" t="s">
        <v>1069</v>
      </c>
      <c r="F1655" s="298" t="s">
        <v>1054</v>
      </c>
      <c r="G1655" s="186">
        <f ca="1">OFFSET(卡牌辅助配置表!$C$1,MATCH(AC1655,卡牌辅助配置表!A:A,0)-1,0)</f>
        <v>0</v>
      </c>
      <c r="H1655" s="186">
        <f ca="1" t="shared" si="280"/>
        <v>0</v>
      </c>
      <c r="I1655" s="186"/>
      <c r="J1655" s="186">
        <f ca="1">OFFSET(card_type!$F$1,MATCH(Q1655,card_type!A:A,0)-1,0)</f>
        <v>1</v>
      </c>
      <c r="K1655" s="243">
        <f ca="1">OFFSET(card_type!$G$1,MATCH(Q1655,card_type!A:A,0)-1,0)</f>
        <v>1</v>
      </c>
      <c r="L1655" s="157">
        <v>2</v>
      </c>
      <c r="M1655" s="157">
        <v>2</v>
      </c>
      <c r="N1655" s="153">
        <f t="shared" si="274"/>
        <v>19</v>
      </c>
      <c r="O1655" s="157"/>
      <c r="P1655" s="157"/>
      <c r="Q1655" s="153">
        <f ca="1">OFFSET(card_type!$A$1,MATCH(card!B1655,card_type!B:B,0)-1,0)</f>
        <v>3004</v>
      </c>
      <c r="R1655" s="153">
        <v>1</v>
      </c>
      <c r="S1655" s="157">
        <f ca="1">ROUND(IF(R1655=0,0,IF(R1655=1,X1655*$S$1,IF(R1655=2,X1655*$S$1*buff的资质计算!$E$2,IF(R1655=3,X1655*$S$1*buff的资质计算!$E$3,0)))),0)*0</f>
        <v>0</v>
      </c>
      <c r="T1655" s="153">
        <v>3</v>
      </c>
      <c r="U1655" s="153">
        <f ca="1" t="shared" si="275"/>
        <v>11</v>
      </c>
      <c r="V1655" s="153">
        <f ca="1">ROUND((OFFSET(卡牌辅助配置表!$O$1,MATCH(U1655,卡牌辅助配置表!M:M,0)-1,0)+(N1655-1)*OFFSET(卡牌辅助配置表!$P$1,MATCH(U1655,卡牌辅助配置表!M:M,0)-1,0))*M1655,2)</f>
        <v>20.06</v>
      </c>
      <c r="W1655" s="157">
        <f ca="1">ROUND(IF(R1655=0,0,IF(R1655=1,X1655*$W$1,IF(R1655=2,X1655*$W$1*buff的资质计算!$E$2,IF(R1655=3,X1655*$W$1*buff的资质计算!$E$3,0)))),2)</f>
        <v>5.7</v>
      </c>
      <c r="X1655" s="157">
        <f ca="1" t="shared" si="281"/>
        <v>19</v>
      </c>
      <c r="Y1655" s="157">
        <f ca="1" t="shared" si="278"/>
        <v>19</v>
      </c>
      <c r="Z1655" s="304">
        <f ca="1" t="shared" si="282"/>
        <v>9.5</v>
      </c>
      <c r="AA1655" s="304">
        <f ca="1">OFFSET(卡牌辅助配置表!$AD$1,MATCH(AB1655,卡牌辅助配置表!AB:AB,0)-1,0)</f>
        <v>423</v>
      </c>
      <c r="AB1655" s="304">
        <f ca="1" t="shared" si="276"/>
        <v>1119</v>
      </c>
      <c r="AC1655" s="153">
        <v>12</v>
      </c>
      <c r="AF1655" s="153" t="str">
        <f ca="1" t="shared" si="279"/>
        <v>30040011|</v>
      </c>
      <c r="AJ1655" s="205" t="str">
        <f ca="1" t="shared" si="277"/>
        <v>303004|20|;400023|6300|;</v>
      </c>
      <c r="AK1655" s="205">
        <f ca="1">OFFSET([1]item_type!$A$1,MATCH(Q1655,[1]item_type!$G:$G,0)-1,0)</f>
        <v>303004</v>
      </c>
      <c r="AL1655" s="205">
        <v>20</v>
      </c>
      <c r="AM1655" s="205">
        <f ca="1">IF(B1655=B1656,OFFSET(卡牌辅助配置表!$AE$1,MATCH(AB1655,卡牌辅助配置表!AB:AB,0),0),0)</f>
        <v>6300</v>
      </c>
      <c r="AN1655" s="153">
        <f ca="1" t="shared" si="272"/>
        <v>3004020</v>
      </c>
      <c r="AP1655" s="153">
        <f ca="1">IF(AC1655=0,0,IF(AC1655=12,0,OFFSET(effect!$N$1,MATCH(K1655,effect!M:M,0)-1,0)))</f>
        <v>0</v>
      </c>
    </row>
    <row r="1656" spans="1:42">
      <c r="A1656" s="153">
        <f ca="1" t="shared" si="273"/>
        <v>3004020</v>
      </c>
      <c r="B1656" s="91" t="s">
        <v>851</v>
      </c>
      <c r="C1656" s="186">
        <v>3</v>
      </c>
      <c r="D1656" s="186">
        <v>4</v>
      </c>
      <c r="E1656" s="165" t="s">
        <v>1069</v>
      </c>
      <c r="F1656" s="298" t="s">
        <v>1054</v>
      </c>
      <c r="G1656" s="186">
        <f ca="1">OFFSET(卡牌辅助配置表!$C$1,MATCH(AC1656,卡牌辅助配置表!A:A,0)-1,0)</f>
        <v>0</v>
      </c>
      <c r="H1656" s="186">
        <f ca="1" t="shared" si="280"/>
        <v>0</v>
      </c>
      <c r="I1656" s="186"/>
      <c r="J1656" s="186">
        <f ca="1">OFFSET(card_type!$F$1,MATCH(Q1656,card_type!A:A,0)-1,0)</f>
        <v>1</v>
      </c>
      <c r="K1656" s="243">
        <f ca="1">OFFSET(card_type!$G$1,MATCH(Q1656,card_type!A:A,0)-1,0)</f>
        <v>1</v>
      </c>
      <c r="L1656" s="157">
        <v>2</v>
      </c>
      <c r="M1656" s="157">
        <v>2</v>
      </c>
      <c r="N1656" s="153">
        <f t="shared" si="274"/>
        <v>20</v>
      </c>
      <c r="O1656" s="157"/>
      <c r="P1656" s="157"/>
      <c r="Q1656" s="153">
        <f ca="1">OFFSET(card_type!$A$1,MATCH(card!B1656,card_type!B:B,0)-1,0)</f>
        <v>3004</v>
      </c>
      <c r="R1656" s="153">
        <v>1</v>
      </c>
      <c r="S1656" s="157">
        <f ca="1">ROUND(IF(R1656=0,0,IF(R1656=1,X1656*$S$1,IF(R1656=2,X1656*$S$1*buff的资质计算!$E$2,IF(R1656=3,X1656*$S$1*buff的资质计算!$E$3,0)))),0)*0</f>
        <v>0</v>
      </c>
      <c r="T1656" s="153">
        <v>3</v>
      </c>
      <c r="U1656" s="153">
        <f ca="1" t="shared" si="275"/>
        <v>11</v>
      </c>
      <c r="V1656" s="153">
        <f ca="1">ROUND((OFFSET(卡牌辅助配置表!$O$1,MATCH(U1656,卡牌辅助配置表!M:M,0)-1,0)+(N1656-1)*OFFSET(卡牌辅助配置表!$P$1,MATCH(U1656,卡牌辅助配置表!M:M,0)-1,0))*M1656,2)</f>
        <v>20.48</v>
      </c>
      <c r="W1656" s="157">
        <f ca="1">ROUND(IF(R1656=0,0,IF(R1656=1,X1656*$W$1,IF(R1656=2,X1656*$W$1*buff的资质计算!$E$2,IF(R1656=3,X1656*$W$1*buff的资质计算!$E$3,0)))),2)</f>
        <v>5.85</v>
      </c>
      <c r="X1656" s="157">
        <f ca="1" t="shared" si="281"/>
        <v>19.5</v>
      </c>
      <c r="Y1656" s="157">
        <f ca="1" t="shared" si="278"/>
        <v>19.5</v>
      </c>
      <c r="Z1656" s="304">
        <f ca="1" t="shared" si="282"/>
        <v>9.75</v>
      </c>
      <c r="AA1656" s="304">
        <f ca="1">OFFSET(卡牌辅助配置表!$AD$1,MATCH(AB1656,卡牌辅助配置表!AB:AB,0)-1,0)</f>
        <v>450</v>
      </c>
      <c r="AB1656" s="304">
        <f ca="1" t="shared" si="276"/>
        <v>1120</v>
      </c>
      <c r="AC1656" s="153">
        <v>12</v>
      </c>
      <c r="AF1656" s="153" t="str">
        <f ca="1" t="shared" si="279"/>
        <v>30040011|</v>
      </c>
      <c r="AJ1656" s="205" t="str">
        <f ca="1" t="shared" si="277"/>
        <v>400023|7100|;</v>
      </c>
      <c r="AK1656" s="205">
        <f ca="1">OFFSET([1]item_type!$A$1,MATCH(Q1656,[1]item_type!$G:$G,0)-1,0)</f>
        <v>303004</v>
      </c>
      <c r="AL1656" s="205"/>
      <c r="AM1656" s="205">
        <f ca="1">IF(B1656=B1657,OFFSET(卡牌辅助配置表!$AE$1,MATCH(AB1656,卡牌辅助配置表!AB:AB,0),0),0)</f>
        <v>7100</v>
      </c>
      <c r="AN1656" s="153">
        <f ca="1" t="shared" si="272"/>
        <v>3004021</v>
      </c>
      <c r="AP1656" s="153">
        <f ca="1">IF(AC1656=0,0,IF(AC1656=12,0,OFFSET(effect!$N$1,MATCH(K1656,effect!M:M,0)-1,0)))</f>
        <v>0</v>
      </c>
    </row>
    <row r="1657" spans="1:42">
      <c r="A1657" s="153">
        <f ca="1" t="shared" si="273"/>
        <v>3004021</v>
      </c>
      <c r="B1657" s="91" t="s">
        <v>851</v>
      </c>
      <c r="C1657" s="186">
        <v>3</v>
      </c>
      <c r="D1657" s="186">
        <v>4</v>
      </c>
      <c r="E1657" s="165" t="s">
        <v>1069</v>
      </c>
      <c r="F1657" s="298" t="s">
        <v>1054</v>
      </c>
      <c r="G1657" s="186">
        <f ca="1">OFFSET(卡牌辅助配置表!$C$1,MATCH(AC1657,卡牌辅助配置表!A:A,0)-1,0)</f>
        <v>0</v>
      </c>
      <c r="H1657" s="186">
        <f ca="1" t="shared" si="280"/>
        <v>0</v>
      </c>
      <c r="I1657" s="186"/>
      <c r="J1657" s="186">
        <f ca="1">OFFSET(card_type!$F$1,MATCH(Q1657,card_type!A:A,0)-1,0)</f>
        <v>1</v>
      </c>
      <c r="K1657" s="243">
        <f ca="1">OFFSET(card_type!$G$1,MATCH(Q1657,card_type!A:A,0)-1,0)</f>
        <v>1</v>
      </c>
      <c r="L1657" s="157">
        <v>2</v>
      </c>
      <c r="M1657" s="157">
        <v>2</v>
      </c>
      <c r="N1657" s="153">
        <f t="shared" si="274"/>
        <v>21</v>
      </c>
      <c r="O1657" s="157"/>
      <c r="P1657" s="157"/>
      <c r="Q1657" s="153">
        <f ca="1">OFFSET(card_type!$A$1,MATCH(card!B1657,card_type!B:B,0)-1,0)</f>
        <v>3004</v>
      </c>
      <c r="R1657" s="153">
        <v>1</v>
      </c>
      <c r="S1657" s="157">
        <f ca="1">ROUND(IF(R1657=0,0,IF(R1657=1,X1657*$S$1,IF(R1657=2,X1657*$S$1*buff的资质计算!$E$2,IF(R1657=3,X1657*$S$1*buff的资质计算!$E$3,0)))),0)*0</f>
        <v>0</v>
      </c>
      <c r="T1657" s="153">
        <v>3</v>
      </c>
      <c r="U1657" s="153">
        <f ca="1" t="shared" si="275"/>
        <v>11</v>
      </c>
      <c r="V1657" s="153">
        <f ca="1">ROUND((OFFSET(卡牌辅助配置表!$O$1,MATCH(U1657,卡牌辅助配置表!M:M,0)-1,0)+(N1657-1)*OFFSET(卡牌辅助配置表!$P$1,MATCH(U1657,卡牌辅助配置表!M:M,0)-1,0))*M1657,2)</f>
        <v>20.9</v>
      </c>
      <c r="W1657" s="157">
        <f ca="1">ROUND(IF(R1657=0,0,IF(R1657=1,X1657*$W$1,IF(R1657=2,X1657*$W$1*buff的资质计算!$E$2,IF(R1657=3,X1657*$W$1*buff的资质计算!$E$3,0)))),2)</f>
        <v>6</v>
      </c>
      <c r="X1657" s="157">
        <f ca="1" t="shared" si="281"/>
        <v>20</v>
      </c>
      <c r="Y1657" s="157">
        <f ca="1" t="shared" si="278"/>
        <v>20</v>
      </c>
      <c r="Z1657" s="304">
        <f ca="1" t="shared" si="282"/>
        <v>10</v>
      </c>
      <c r="AA1657" s="304">
        <f ca="1">OFFSET(卡牌辅助配置表!$AD$1,MATCH(AB1657,卡牌辅助配置表!AB:AB,0)-1,0)</f>
        <v>486</v>
      </c>
      <c r="AB1657" s="304">
        <f ca="1" t="shared" si="276"/>
        <v>1121</v>
      </c>
      <c r="AC1657" s="153">
        <v>12</v>
      </c>
      <c r="AF1657" s="153" t="str">
        <f ca="1" t="shared" si="279"/>
        <v>30040011|</v>
      </c>
      <c r="AJ1657" s="205" t="str">
        <f ca="1" t="shared" si="277"/>
        <v>400023|7900|;</v>
      </c>
      <c r="AK1657" s="205">
        <f ca="1">OFFSET([1]item_type!$A$1,MATCH(Q1657,[1]item_type!$G:$G,0)-1,0)</f>
        <v>303004</v>
      </c>
      <c r="AL1657" s="205"/>
      <c r="AM1657" s="205">
        <f ca="1">IF(B1657=B1658,OFFSET(卡牌辅助配置表!$AE$1,MATCH(AB1657,卡牌辅助配置表!AB:AB,0),0),0)</f>
        <v>7900</v>
      </c>
      <c r="AN1657" s="153">
        <f ca="1" t="shared" si="272"/>
        <v>3004022</v>
      </c>
      <c r="AP1657" s="153">
        <f ca="1">IF(AC1657=0,0,IF(AC1657=12,0,OFFSET(effect!$N$1,MATCH(K1657,effect!M:M,0)-1,0)))</f>
        <v>0</v>
      </c>
    </row>
    <row r="1658" spans="1:42">
      <c r="A1658" s="153">
        <f ca="1" t="shared" si="273"/>
        <v>3004022</v>
      </c>
      <c r="B1658" s="91" t="s">
        <v>851</v>
      </c>
      <c r="C1658" s="186">
        <v>3</v>
      </c>
      <c r="D1658" s="186">
        <v>4</v>
      </c>
      <c r="E1658" s="165" t="s">
        <v>1069</v>
      </c>
      <c r="F1658" s="298" t="s">
        <v>1054</v>
      </c>
      <c r="G1658" s="186">
        <f ca="1">OFFSET(卡牌辅助配置表!$C$1,MATCH(AC1658,卡牌辅助配置表!A:A,0)-1,0)</f>
        <v>0</v>
      </c>
      <c r="H1658" s="186">
        <f ca="1" t="shared" si="280"/>
        <v>0</v>
      </c>
      <c r="I1658" s="186"/>
      <c r="J1658" s="186">
        <f ca="1">OFFSET(card_type!$F$1,MATCH(Q1658,card_type!A:A,0)-1,0)</f>
        <v>1</v>
      </c>
      <c r="K1658" s="243">
        <f ca="1">OFFSET(card_type!$G$1,MATCH(Q1658,card_type!A:A,0)-1,0)</f>
        <v>1</v>
      </c>
      <c r="L1658" s="157">
        <v>2</v>
      </c>
      <c r="M1658" s="157">
        <v>2</v>
      </c>
      <c r="N1658" s="153">
        <f t="shared" si="274"/>
        <v>22</v>
      </c>
      <c r="O1658" s="157"/>
      <c r="P1658" s="157"/>
      <c r="Q1658" s="153">
        <f ca="1">OFFSET(card_type!$A$1,MATCH(card!B1658,card_type!B:B,0)-1,0)</f>
        <v>3004</v>
      </c>
      <c r="R1658" s="153">
        <v>1</v>
      </c>
      <c r="S1658" s="157">
        <f ca="1">ROUND(IF(R1658=0,0,IF(R1658=1,X1658*$S$1,IF(R1658=2,X1658*$S$1*buff的资质计算!$E$2,IF(R1658=3,X1658*$S$1*buff的资质计算!$E$3,0)))),0)*0</f>
        <v>0</v>
      </c>
      <c r="T1658" s="153">
        <v>3</v>
      </c>
      <c r="U1658" s="153">
        <f ca="1" t="shared" si="275"/>
        <v>11</v>
      </c>
      <c r="V1658" s="153">
        <f ca="1">ROUND((OFFSET(卡牌辅助配置表!$O$1,MATCH(U1658,卡牌辅助配置表!M:M,0)-1,0)+(N1658-1)*OFFSET(卡牌辅助配置表!$P$1,MATCH(U1658,卡牌辅助配置表!M:M,0)-1,0))*M1658,2)</f>
        <v>21.32</v>
      </c>
      <c r="W1658" s="157">
        <f ca="1">ROUND(IF(R1658=0,0,IF(R1658=1,X1658*$W$1,IF(R1658=2,X1658*$W$1*buff的资质计算!$E$2,IF(R1658=3,X1658*$W$1*buff的资质计算!$E$3,0)))),2)</f>
        <v>6.15</v>
      </c>
      <c r="X1658" s="157">
        <f ca="1" t="shared" si="281"/>
        <v>20.5</v>
      </c>
      <c r="Y1658" s="157">
        <f ca="1" t="shared" si="278"/>
        <v>20.5</v>
      </c>
      <c r="Z1658" s="304">
        <f ca="1" t="shared" si="282"/>
        <v>10.25</v>
      </c>
      <c r="AA1658" s="304">
        <f ca="1">OFFSET(卡牌辅助配置表!$AD$1,MATCH(AB1658,卡牌辅助配置表!AB:AB,0)-1,0)</f>
        <v>522</v>
      </c>
      <c r="AB1658" s="304">
        <f ca="1" t="shared" si="276"/>
        <v>1122</v>
      </c>
      <c r="AC1658" s="153">
        <v>12</v>
      </c>
      <c r="AF1658" s="153" t="str">
        <f ca="1" t="shared" si="279"/>
        <v>30040011|</v>
      </c>
      <c r="AJ1658" s="205" t="str">
        <f ca="1" t="shared" si="277"/>
        <v>400023|8700|;</v>
      </c>
      <c r="AK1658" s="205">
        <f ca="1">OFFSET([1]item_type!$A$1,MATCH(Q1658,[1]item_type!$G:$G,0)-1,0)</f>
        <v>303004</v>
      </c>
      <c r="AL1658" s="205"/>
      <c r="AM1658" s="205">
        <f ca="1">IF(B1658=B1659,OFFSET(卡牌辅助配置表!$AE$1,MATCH(AB1658,卡牌辅助配置表!AB:AB,0),0),0)</f>
        <v>8700</v>
      </c>
      <c r="AN1658" s="153">
        <f ca="1" t="shared" si="272"/>
        <v>3004023</v>
      </c>
      <c r="AP1658" s="153">
        <f ca="1">IF(AC1658=0,0,IF(AC1658=12,0,OFFSET(effect!$N$1,MATCH(K1658,effect!M:M,0)-1,0)))</f>
        <v>0</v>
      </c>
    </row>
    <row r="1659" spans="1:42">
      <c r="A1659" s="153">
        <f ca="1" t="shared" si="273"/>
        <v>3004023</v>
      </c>
      <c r="B1659" s="91" t="s">
        <v>851</v>
      </c>
      <c r="C1659" s="186">
        <v>3</v>
      </c>
      <c r="D1659" s="186">
        <v>4</v>
      </c>
      <c r="E1659" s="165" t="s">
        <v>1069</v>
      </c>
      <c r="F1659" s="298" t="s">
        <v>1054</v>
      </c>
      <c r="G1659" s="186">
        <f ca="1">OFFSET(卡牌辅助配置表!$C$1,MATCH(AC1659,卡牌辅助配置表!A:A,0)-1,0)</f>
        <v>0</v>
      </c>
      <c r="H1659" s="186">
        <f ca="1" t="shared" si="280"/>
        <v>0</v>
      </c>
      <c r="I1659" s="186"/>
      <c r="J1659" s="186">
        <f ca="1">OFFSET(card_type!$F$1,MATCH(Q1659,card_type!A:A,0)-1,0)</f>
        <v>1</v>
      </c>
      <c r="K1659" s="243">
        <f ca="1">OFFSET(card_type!$G$1,MATCH(Q1659,card_type!A:A,0)-1,0)</f>
        <v>1</v>
      </c>
      <c r="L1659" s="157">
        <v>2</v>
      </c>
      <c r="M1659" s="157">
        <v>2</v>
      </c>
      <c r="N1659" s="153">
        <f t="shared" si="274"/>
        <v>23</v>
      </c>
      <c r="O1659" s="157"/>
      <c r="P1659" s="157"/>
      <c r="Q1659" s="153">
        <f ca="1">OFFSET(card_type!$A$1,MATCH(card!B1659,card_type!B:B,0)-1,0)</f>
        <v>3004</v>
      </c>
      <c r="R1659" s="153">
        <v>1</v>
      </c>
      <c r="S1659" s="157">
        <f ca="1">ROUND(IF(R1659=0,0,IF(R1659=1,X1659*$S$1,IF(R1659=2,X1659*$S$1*buff的资质计算!$E$2,IF(R1659=3,X1659*$S$1*buff的资质计算!$E$3,0)))),0)*0</f>
        <v>0</v>
      </c>
      <c r="T1659" s="153">
        <v>3</v>
      </c>
      <c r="U1659" s="153">
        <f ca="1" t="shared" si="275"/>
        <v>11</v>
      </c>
      <c r="V1659" s="153">
        <f ca="1">ROUND((OFFSET(卡牌辅助配置表!$O$1,MATCH(U1659,卡牌辅助配置表!M:M,0)-1,0)+(N1659-1)*OFFSET(卡牌辅助配置表!$P$1,MATCH(U1659,卡牌辅助配置表!M:M,0)-1,0))*M1659,2)</f>
        <v>21.74</v>
      </c>
      <c r="W1659" s="157">
        <f ca="1">ROUND(IF(R1659=0,0,IF(R1659=1,X1659*$W$1,IF(R1659=2,X1659*$W$1*buff的资质计算!$E$2,IF(R1659=3,X1659*$W$1*buff的资质计算!$E$3,0)))),2)</f>
        <v>6.3</v>
      </c>
      <c r="X1659" s="157">
        <f ca="1" t="shared" si="281"/>
        <v>21</v>
      </c>
      <c r="Y1659" s="157">
        <f ca="1" t="shared" si="278"/>
        <v>21</v>
      </c>
      <c r="Z1659" s="304">
        <f ca="1" t="shared" si="282"/>
        <v>10.5</v>
      </c>
      <c r="AA1659" s="304">
        <f ca="1">OFFSET(卡牌辅助配置表!$AD$1,MATCH(AB1659,卡牌辅助配置表!AB:AB,0)-1,0)</f>
        <v>558</v>
      </c>
      <c r="AB1659" s="304">
        <f ca="1" t="shared" si="276"/>
        <v>1123</v>
      </c>
      <c r="AC1659" s="153">
        <v>12</v>
      </c>
      <c r="AF1659" s="153" t="str">
        <f ca="1" t="shared" si="279"/>
        <v>30040011|</v>
      </c>
      <c r="AJ1659" s="205" t="str">
        <f ca="1" t="shared" si="277"/>
        <v>400023|9500|;</v>
      </c>
      <c r="AK1659" s="205">
        <f ca="1">OFFSET([1]item_type!$A$1,MATCH(Q1659,[1]item_type!$G:$G,0)-1,0)</f>
        <v>303004</v>
      </c>
      <c r="AL1659" s="205"/>
      <c r="AM1659" s="205">
        <f ca="1">IF(B1659=B1660,OFFSET(卡牌辅助配置表!$AE$1,MATCH(AB1659,卡牌辅助配置表!AB:AB,0),0),0)</f>
        <v>9500</v>
      </c>
      <c r="AN1659" s="153">
        <f ca="1" t="shared" si="272"/>
        <v>3004024</v>
      </c>
      <c r="AP1659" s="153">
        <f ca="1">IF(AC1659=0,0,IF(AC1659=12,0,OFFSET(effect!$N$1,MATCH(K1659,effect!M:M,0)-1,0)))</f>
        <v>0</v>
      </c>
    </row>
    <row r="1660" spans="1:42">
      <c r="A1660" s="153">
        <f ca="1" t="shared" si="273"/>
        <v>3004024</v>
      </c>
      <c r="B1660" s="91" t="s">
        <v>851</v>
      </c>
      <c r="C1660" s="186">
        <v>3</v>
      </c>
      <c r="D1660" s="186">
        <v>4</v>
      </c>
      <c r="E1660" s="165" t="s">
        <v>1069</v>
      </c>
      <c r="F1660" s="298" t="s">
        <v>1054</v>
      </c>
      <c r="G1660" s="186">
        <f ca="1">OFFSET(卡牌辅助配置表!$C$1,MATCH(AC1660,卡牌辅助配置表!A:A,0)-1,0)</f>
        <v>0</v>
      </c>
      <c r="H1660" s="186">
        <f ca="1" t="shared" si="280"/>
        <v>0</v>
      </c>
      <c r="I1660" s="186"/>
      <c r="J1660" s="186">
        <f ca="1">OFFSET(card_type!$F$1,MATCH(Q1660,card_type!A:A,0)-1,0)</f>
        <v>1</v>
      </c>
      <c r="K1660" s="243">
        <f ca="1">OFFSET(card_type!$G$1,MATCH(Q1660,card_type!A:A,0)-1,0)</f>
        <v>1</v>
      </c>
      <c r="L1660" s="157">
        <v>2</v>
      </c>
      <c r="M1660" s="157">
        <v>2</v>
      </c>
      <c r="N1660" s="153">
        <f t="shared" si="274"/>
        <v>24</v>
      </c>
      <c r="O1660" s="157"/>
      <c r="P1660" s="157"/>
      <c r="Q1660" s="153">
        <f ca="1">OFFSET(card_type!$A$1,MATCH(card!B1660,card_type!B:B,0)-1,0)</f>
        <v>3004</v>
      </c>
      <c r="R1660" s="153">
        <v>1</v>
      </c>
      <c r="S1660" s="157">
        <f ca="1">ROUND(IF(R1660=0,0,IF(R1660=1,X1660*$S$1,IF(R1660=2,X1660*$S$1*buff的资质计算!$E$2,IF(R1660=3,X1660*$S$1*buff的资质计算!$E$3,0)))),0)*0</f>
        <v>0</v>
      </c>
      <c r="T1660" s="153">
        <v>3</v>
      </c>
      <c r="U1660" s="153">
        <f ca="1" t="shared" si="275"/>
        <v>11</v>
      </c>
      <c r="V1660" s="153">
        <f ca="1">ROUND((OFFSET(卡牌辅助配置表!$O$1,MATCH(U1660,卡牌辅助配置表!M:M,0)-1,0)+(N1660-1)*OFFSET(卡牌辅助配置表!$P$1,MATCH(U1660,卡牌辅助配置表!M:M,0)-1,0))*M1660,2)</f>
        <v>22.15</v>
      </c>
      <c r="W1660" s="157">
        <f ca="1">ROUND(IF(R1660=0,0,IF(R1660=1,X1660*$W$1,IF(R1660=2,X1660*$W$1*buff的资质计算!$E$2,IF(R1660=3,X1660*$W$1*buff的资质计算!$E$3,0)))),2)</f>
        <v>6.45</v>
      </c>
      <c r="X1660" s="157">
        <f ca="1" t="shared" si="281"/>
        <v>21.5</v>
      </c>
      <c r="Y1660" s="157">
        <f ca="1" t="shared" si="278"/>
        <v>21.5</v>
      </c>
      <c r="Z1660" s="304">
        <f ca="1" t="shared" si="282"/>
        <v>10.75</v>
      </c>
      <c r="AA1660" s="304">
        <f ca="1">OFFSET(卡牌辅助配置表!$AD$1,MATCH(AB1660,卡牌辅助配置表!AB:AB,0)-1,0)</f>
        <v>594</v>
      </c>
      <c r="AB1660" s="304">
        <f ca="1" t="shared" si="276"/>
        <v>1124</v>
      </c>
      <c r="AC1660" s="153">
        <v>12</v>
      </c>
      <c r="AF1660" s="153" t="str">
        <f ca="1" t="shared" si="279"/>
        <v>30040011|</v>
      </c>
      <c r="AJ1660" s="205" t="str">
        <f ca="1" t="shared" si="277"/>
        <v>400023|10300|;</v>
      </c>
      <c r="AK1660" s="205">
        <f ca="1">OFFSET([1]item_type!$A$1,MATCH(Q1660,[1]item_type!$G:$G,0)-1,0)</f>
        <v>303004</v>
      </c>
      <c r="AL1660" s="205"/>
      <c r="AM1660" s="205">
        <f ca="1">IF(B1660=B1661,OFFSET(卡牌辅助配置表!$AE$1,MATCH(AB1660,卡牌辅助配置表!AB:AB,0),0),0)</f>
        <v>10300</v>
      </c>
      <c r="AN1660" s="153">
        <f ca="1" t="shared" si="272"/>
        <v>3004025</v>
      </c>
      <c r="AP1660" s="153">
        <f ca="1">IF(AC1660=0,0,IF(AC1660=12,0,OFFSET(effect!$N$1,MATCH(K1660,effect!M:M,0)-1,0)))</f>
        <v>0</v>
      </c>
    </row>
    <row r="1661" spans="1:42">
      <c r="A1661" s="153">
        <f ca="1" t="shared" si="273"/>
        <v>3004025</v>
      </c>
      <c r="B1661" s="91" t="s">
        <v>851</v>
      </c>
      <c r="C1661" s="186">
        <v>3</v>
      </c>
      <c r="D1661" s="186">
        <v>4</v>
      </c>
      <c r="E1661" s="165" t="s">
        <v>1069</v>
      </c>
      <c r="F1661" s="298" t="s">
        <v>1054</v>
      </c>
      <c r="G1661" s="186">
        <f ca="1">OFFSET(卡牌辅助配置表!$C$1,MATCH(AC1661,卡牌辅助配置表!A:A,0)-1,0)</f>
        <v>0</v>
      </c>
      <c r="H1661" s="186">
        <f ca="1" t="shared" si="280"/>
        <v>0</v>
      </c>
      <c r="I1661" s="186"/>
      <c r="J1661" s="186">
        <f ca="1">OFFSET(card_type!$F$1,MATCH(Q1661,card_type!A:A,0)-1,0)</f>
        <v>1</v>
      </c>
      <c r="K1661" s="243">
        <f ca="1">OFFSET(card_type!$G$1,MATCH(Q1661,card_type!A:A,0)-1,0)</f>
        <v>1</v>
      </c>
      <c r="L1661" s="157">
        <v>2</v>
      </c>
      <c r="M1661" s="157">
        <v>2</v>
      </c>
      <c r="N1661" s="153">
        <f t="shared" si="274"/>
        <v>25</v>
      </c>
      <c r="O1661" s="157"/>
      <c r="P1661" s="157"/>
      <c r="Q1661" s="153">
        <f ca="1">OFFSET(card_type!$A$1,MATCH(card!B1661,card_type!B:B,0)-1,0)</f>
        <v>3004</v>
      </c>
      <c r="R1661" s="153">
        <v>1</v>
      </c>
      <c r="S1661" s="157">
        <f ca="1">ROUND(IF(R1661=0,0,IF(R1661=1,X1661*$S$1,IF(R1661=2,X1661*$S$1*buff的资质计算!$E$2,IF(R1661=3,X1661*$S$1*buff的资质计算!$E$3,0)))),0)*0</f>
        <v>0</v>
      </c>
      <c r="T1661" s="153">
        <v>3</v>
      </c>
      <c r="U1661" s="153">
        <f ca="1" t="shared" si="275"/>
        <v>11</v>
      </c>
      <c r="V1661" s="153">
        <f ca="1">ROUND((OFFSET(卡牌辅助配置表!$O$1,MATCH(U1661,卡牌辅助配置表!M:M,0)-1,0)+(N1661-1)*OFFSET(卡牌辅助配置表!$P$1,MATCH(U1661,卡牌辅助配置表!M:M,0)-1,0))*M1661,2)</f>
        <v>22.57</v>
      </c>
      <c r="W1661" s="157">
        <f ca="1">ROUND(IF(R1661=0,0,IF(R1661=1,X1661*$W$1,IF(R1661=2,X1661*$W$1*buff的资质计算!$E$2,IF(R1661=3,X1661*$W$1*buff的资质计算!$E$3,0)))),2)</f>
        <v>6.6</v>
      </c>
      <c r="X1661" s="157">
        <f ca="1" t="shared" si="281"/>
        <v>22</v>
      </c>
      <c r="Y1661" s="157">
        <f ca="1" t="shared" si="278"/>
        <v>22</v>
      </c>
      <c r="Z1661" s="304">
        <f ca="1" t="shared" si="282"/>
        <v>11</v>
      </c>
      <c r="AA1661" s="304">
        <f ca="1">OFFSET(卡牌辅助配置表!$AD$1,MATCH(AB1661,卡牌辅助配置表!AB:AB,0)-1,0)</f>
        <v>630</v>
      </c>
      <c r="AB1661" s="304">
        <f ca="1" t="shared" si="276"/>
        <v>1125</v>
      </c>
      <c r="AC1661" s="153">
        <v>12</v>
      </c>
      <c r="AF1661" s="153" t="str">
        <f ca="1" t="shared" si="279"/>
        <v>30040011|</v>
      </c>
      <c r="AJ1661" s="205" t="str">
        <f ca="1" t="shared" si="277"/>
        <v>400023|11100|;</v>
      </c>
      <c r="AK1661" s="205">
        <f ca="1">OFFSET([1]item_type!$A$1,MATCH(Q1661,[1]item_type!$G:$G,0)-1,0)</f>
        <v>303004</v>
      </c>
      <c r="AL1661" s="205"/>
      <c r="AM1661" s="205">
        <f ca="1">IF(B1661=B1662,OFFSET(卡牌辅助配置表!$AE$1,MATCH(AB1661,卡牌辅助配置表!AB:AB,0),0),0)</f>
        <v>11100</v>
      </c>
      <c r="AN1661" s="153">
        <f ca="1" t="shared" si="272"/>
        <v>3004026</v>
      </c>
      <c r="AP1661" s="153">
        <f ca="1">IF(AC1661=0,0,IF(AC1661=12,0,OFFSET(effect!$N$1,MATCH(K1661,effect!M:M,0)-1,0)))</f>
        <v>0</v>
      </c>
    </row>
    <row r="1662" spans="1:42">
      <c r="A1662" s="153">
        <f ca="1" t="shared" si="273"/>
        <v>3004026</v>
      </c>
      <c r="B1662" s="91" t="s">
        <v>851</v>
      </c>
      <c r="C1662" s="186">
        <v>3</v>
      </c>
      <c r="D1662" s="186">
        <v>4</v>
      </c>
      <c r="E1662" s="165" t="s">
        <v>1069</v>
      </c>
      <c r="F1662" s="298" t="s">
        <v>1054</v>
      </c>
      <c r="G1662" s="186">
        <f ca="1">OFFSET(卡牌辅助配置表!$C$1,MATCH(AC1662,卡牌辅助配置表!A:A,0)-1,0)</f>
        <v>0</v>
      </c>
      <c r="H1662" s="186">
        <f ca="1" t="shared" si="280"/>
        <v>0</v>
      </c>
      <c r="I1662" s="186"/>
      <c r="J1662" s="186">
        <f ca="1">OFFSET(card_type!$F$1,MATCH(Q1662,card_type!A:A,0)-1,0)</f>
        <v>1</v>
      </c>
      <c r="K1662" s="243">
        <f ca="1">OFFSET(card_type!$G$1,MATCH(Q1662,card_type!A:A,0)-1,0)</f>
        <v>1</v>
      </c>
      <c r="L1662" s="157">
        <v>2</v>
      </c>
      <c r="M1662" s="157">
        <v>2</v>
      </c>
      <c r="N1662" s="153">
        <f t="shared" si="274"/>
        <v>26</v>
      </c>
      <c r="O1662" s="157"/>
      <c r="P1662" s="157"/>
      <c r="Q1662" s="153">
        <f ca="1">OFFSET(card_type!$A$1,MATCH(card!B1662,card_type!B:B,0)-1,0)</f>
        <v>3004</v>
      </c>
      <c r="R1662" s="153">
        <v>1</v>
      </c>
      <c r="S1662" s="157">
        <f ca="1">ROUND(IF(R1662=0,0,IF(R1662=1,X1662*$S$1,IF(R1662=2,X1662*$S$1*buff的资质计算!$E$2,IF(R1662=3,X1662*$S$1*buff的资质计算!$E$3,0)))),0)*0</f>
        <v>0</v>
      </c>
      <c r="T1662" s="153">
        <v>3</v>
      </c>
      <c r="U1662" s="153">
        <f ca="1" t="shared" si="275"/>
        <v>11</v>
      </c>
      <c r="V1662" s="153">
        <f ca="1">ROUND((OFFSET(卡牌辅助配置表!$O$1,MATCH(U1662,卡牌辅助配置表!M:M,0)-1,0)+(N1662-1)*OFFSET(卡牌辅助配置表!$P$1,MATCH(U1662,卡牌辅助配置表!M:M,0)-1,0))*M1662,2)</f>
        <v>22.99</v>
      </c>
      <c r="W1662" s="157">
        <f ca="1">ROUND(IF(R1662=0,0,IF(R1662=1,X1662*$W$1,IF(R1662=2,X1662*$W$1*buff的资质计算!$E$2,IF(R1662=3,X1662*$W$1*buff的资质计算!$E$3,0)))),2)</f>
        <v>6.75</v>
      </c>
      <c r="X1662" s="157">
        <f ca="1" t="shared" si="281"/>
        <v>22.5</v>
      </c>
      <c r="Y1662" s="157">
        <f ca="1" t="shared" si="278"/>
        <v>22.5</v>
      </c>
      <c r="Z1662" s="304">
        <f ca="1" t="shared" si="282"/>
        <v>11.25</v>
      </c>
      <c r="AA1662" s="304">
        <f ca="1">OFFSET(卡牌辅助配置表!$AD$1,MATCH(AB1662,卡牌辅助配置表!AB:AB,0)-1,0)</f>
        <v>666</v>
      </c>
      <c r="AB1662" s="304">
        <f ca="1" t="shared" si="276"/>
        <v>1126</v>
      </c>
      <c r="AC1662" s="153">
        <v>12</v>
      </c>
      <c r="AF1662" s="153" t="str">
        <f ca="1" t="shared" si="279"/>
        <v>30040011|</v>
      </c>
      <c r="AJ1662" s="205" t="str">
        <f ca="1" t="shared" si="277"/>
        <v>400023|11900|;</v>
      </c>
      <c r="AK1662" s="205">
        <f ca="1">OFFSET([1]item_type!$A$1,MATCH(Q1662,[1]item_type!$G:$G,0)-1,0)</f>
        <v>303004</v>
      </c>
      <c r="AL1662" s="205"/>
      <c r="AM1662" s="205">
        <f ca="1">IF(B1662=B1663,OFFSET(卡牌辅助配置表!$AE$1,MATCH(AB1662,卡牌辅助配置表!AB:AB,0),0),0)</f>
        <v>11900</v>
      </c>
      <c r="AN1662" s="153">
        <f ca="1" t="shared" si="272"/>
        <v>3004027</v>
      </c>
      <c r="AP1662" s="153">
        <f ca="1">IF(AC1662=0,0,IF(AC1662=12,0,OFFSET(effect!$N$1,MATCH(K1662,effect!M:M,0)-1,0)))</f>
        <v>0</v>
      </c>
    </row>
    <row r="1663" spans="1:42">
      <c r="A1663" s="153">
        <f ca="1" t="shared" si="273"/>
        <v>3004027</v>
      </c>
      <c r="B1663" s="91" t="s">
        <v>851</v>
      </c>
      <c r="C1663" s="186">
        <v>3</v>
      </c>
      <c r="D1663" s="186">
        <v>4</v>
      </c>
      <c r="E1663" s="165" t="s">
        <v>1069</v>
      </c>
      <c r="F1663" s="298" t="s">
        <v>1054</v>
      </c>
      <c r="G1663" s="186">
        <f ca="1">OFFSET(卡牌辅助配置表!$C$1,MATCH(AC1663,卡牌辅助配置表!A:A,0)-1,0)</f>
        <v>0</v>
      </c>
      <c r="H1663" s="186">
        <f ca="1" t="shared" si="280"/>
        <v>0</v>
      </c>
      <c r="I1663" s="186"/>
      <c r="J1663" s="186">
        <f ca="1">OFFSET(card_type!$F$1,MATCH(Q1663,card_type!A:A,0)-1,0)</f>
        <v>1</v>
      </c>
      <c r="K1663" s="243">
        <f ca="1">OFFSET(card_type!$G$1,MATCH(Q1663,card_type!A:A,0)-1,0)</f>
        <v>1</v>
      </c>
      <c r="L1663" s="157">
        <v>2</v>
      </c>
      <c r="M1663" s="157">
        <v>2</v>
      </c>
      <c r="N1663" s="153">
        <f t="shared" si="274"/>
        <v>27</v>
      </c>
      <c r="O1663" s="157"/>
      <c r="P1663" s="157"/>
      <c r="Q1663" s="153">
        <f ca="1">OFFSET(card_type!$A$1,MATCH(card!B1663,card_type!B:B,0)-1,0)</f>
        <v>3004</v>
      </c>
      <c r="R1663" s="153">
        <v>1</v>
      </c>
      <c r="S1663" s="157">
        <f ca="1">ROUND(IF(R1663=0,0,IF(R1663=1,X1663*$S$1,IF(R1663=2,X1663*$S$1*buff的资质计算!$E$2,IF(R1663=3,X1663*$S$1*buff的资质计算!$E$3,0)))),0)*0</f>
        <v>0</v>
      </c>
      <c r="T1663" s="153">
        <v>3</v>
      </c>
      <c r="U1663" s="153">
        <f ca="1" t="shared" si="275"/>
        <v>11</v>
      </c>
      <c r="V1663" s="153">
        <f ca="1">ROUND((OFFSET(卡牌辅助配置表!$O$1,MATCH(U1663,卡牌辅助配置表!M:M,0)-1,0)+(N1663-1)*OFFSET(卡牌辅助配置表!$P$1,MATCH(U1663,卡牌辅助配置表!M:M,0)-1,0))*M1663,2)</f>
        <v>23.41</v>
      </c>
      <c r="W1663" s="157">
        <f ca="1">ROUND(IF(R1663=0,0,IF(R1663=1,X1663*$W$1,IF(R1663=2,X1663*$W$1*buff的资质计算!$E$2,IF(R1663=3,X1663*$W$1*buff的资质计算!$E$3,0)))),2)</f>
        <v>6.9</v>
      </c>
      <c r="X1663" s="157">
        <f ca="1" t="shared" si="281"/>
        <v>23</v>
      </c>
      <c r="Y1663" s="157">
        <f ca="1" t="shared" si="278"/>
        <v>23</v>
      </c>
      <c r="Z1663" s="304">
        <f ca="1" t="shared" si="282"/>
        <v>11.5</v>
      </c>
      <c r="AA1663" s="304">
        <f ca="1">OFFSET(卡牌辅助配置表!$AD$1,MATCH(AB1663,卡牌辅助配置表!AB:AB,0)-1,0)</f>
        <v>702</v>
      </c>
      <c r="AB1663" s="304">
        <f ca="1" t="shared" si="276"/>
        <v>1127</v>
      </c>
      <c r="AC1663" s="153">
        <v>12</v>
      </c>
      <c r="AF1663" s="153" t="str">
        <f ca="1" t="shared" si="279"/>
        <v>30040011|</v>
      </c>
      <c r="AJ1663" s="205" t="str">
        <f ca="1" t="shared" si="277"/>
        <v>400023|12700|;</v>
      </c>
      <c r="AK1663" s="205">
        <f ca="1">OFFSET([1]item_type!$A$1,MATCH(Q1663,[1]item_type!$G:$G,0)-1,0)</f>
        <v>303004</v>
      </c>
      <c r="AL1663" s="205"/>
      <c r="AM1663" s="205">
        <f ca="1">IF(B1663=B1664,OFFSET(卡牌辅助配置表!$AE$1,MATCH(AB1663,卡牌辅助配置表!AB:AB,0),0),0)</f>
        <v>12700</v>
      </c>
      <c r="AN1663" s="153">
        <f ca="1" t="shared" si="272"/>
        <v>3004028</v>
      </c>
      <c r="AP1663" s="153">
        <f ca="1">IF(AC1663=0,0,IF(AC1663=12,0,OFFSET(effect!$N$1,MATCH(K1663,effect!M:M,0)-1,0)))</f>
        <v>0</v>
      </c>
    </row>
    <row r="1664" spans="1:42">
      <c r="A1664" s="153">
        <f ca="1" t="shared" si="273"/>
        <v>3004028</v>
      </c>
      <c r="B1664" s="91" t="s">
        <v>851</v>
      </c>
      <c r="C1664" s="186">
        <v>3</v>
      </c>
      <c r="D1664" s="186">
        <v>4</v>
      </c>
      <c r="E1664" s="165" t="s">
        <v>1069</v>
      </c>
      <c r="F1664" s="298" t="s">
        <v>1054</v>
      </c>
      <c r="G1664" s="186">
        <f ca="1">OFFSET(卡牌辅助配置表!$C$1,MATCH(AC1664,卡牌辅助配置表!A:A,0)-1,0)</f>
        <v>0</v>
      </c>
      <c r="H1664" s="186">
        <f ca="1" t="shared" si="280"/>
        <v>0</v>
      </c>
      <c r="I1664" s="186"/>
      <c r="J1664" s="186">
        <f ca="1">OFFSET(card_type!$F$1,MATCH(Q1664,card_type!A:A,0)-1,0)</f>
        <v>1</v>
      </c>
      <c r="K1664" s="243">
        <f ca="1">OFFSET(card_type!$G$1,MATCH(Q1664,card_type!A:A,0)-1,0)</f>
        <v>1</v>
      </c>
      <c r="L1664" s="157">
        <v>2</v>
      </c>
      <c r="M1664" s="157">
        <v>2</v>
      </c>
      <c r="N1664" s="153">
        <f t="shared" si="274"/>
        <v>28</v>
      </c>
      <c r="O1664" s="157"/>
      <c r="P1664" s="157"/>
      <c r="Q1664" s="153">
        <f ca="1">OFFSET(card_type!$A$1,MATCH(card!B1664,card_type!B:B,0)-1,0)</f>
        <v>3004</v>
      </c>
      <c r="R1664" s="153">
        <v>1</v>
      </c>
      <c r="S1664" s="157">
        <f ca="1">ROUND(IF(R1664=0,0,IF(R1664=1,X1664*$S$1,IF(R1664=2,X1664*$S$1*buff的资质计算!$E$2,IF(R1664=3,X1664*$S$1*buff的资质计算!$E$3,0)))),0)*0</f>
        <v>0</v>
      </c>
      <c r="T1664" s="153">
        <v>3</v>
      </c>
      <c r="U1664" s="153">
        <f ca="1" t="shared" si="275"/>
        <v>11</v>
      </c>
      <c r="V1664" s="153">
        <f ca="1">ROUND((OFFSET(卡牌辅助配置表!$O$1,MATCH(U1664,卡牌辅助配置表!M:M,0)-1,0)+(N1664-1)*OFFSET(卡牌辅助配置表!$P$1,MATCH(U1664,卡牌辅助配置表!M:M,0)-1,0))*M1664,2)</f>
        <v>23.83</v>
      </c>
      <c r="W1664" s="157">
        <f ca="1">ROUND(IF(R1664=0,0,IF(R1664=1,X1664*$W$1,IF(R1664=2,X1664*$W$1*buff的资质计算!$E$2,IF(R1664=3,X1664*$W$1*buff的资质计算!$E$3,0)))),2)</f>
        <v>7.05</v>
      </c>
      <c r="X1664" s="157">
        <f ca="1" t="shared" si="281"/>
        <v>23.5</v>
      </c>
      <c r="Y1664" s="157">
        <f ca="1" t="shared" si="278"/>
        <v>23.5</v>
      </c>
      <c r="Z1664" s="304">
        <f ca="1" t="shared" si="282"/>
        <v>11.75</v>
      </c>
      <c r="AA1664" s="304">
        <f ca="1">OFFSET(卡牌辅助配置表!$AD$1,MATCH(AB1664,卡牌辅助配置表!AB:AB,0)-1,0)</f>
        <v>738</v>
      </c>
      <c r="AB1664" s="304">
        <f ca="1" t="shared" si="276"/>
        <v>1128</v>
      </c>
      <c r="AC1664" s="153">
        <v>12</v>
      </c>
      <c r="AF1664" s="153" t="str">
        <f ca="1" t="shared" si="279"/>
        <v>30040011|</v>
      </c>
      <c r="AJ1664" s="205" t="str">
        <f ca="1" t="shared" si="277"/>
        <v>400023|13500|;</v>
      </c>
      <c r="AK1664" s="205">
        <f ca="1">OFFSET([1]item_type!$A$1,MATCH(Q1664,[1]item_type!$G:$G,0)-1,0)</f>
        <v>303004</v>
      </c>
      <c r="AL1664" s="205"/>
      <c r="AM1664" s="205">
        <f ca="1">IF(B1664=B1665,OFFSET(卡牌辅助配置表!$AE$1,MATCH(AB1664,卡牌辅助配置表!AB:AB,0),0),0)</f>
        <v>13500</v>
      </c>
      <c r="AN1664" s="153">
        <f ca="1" t="shared" si="272"/>
        <v>3004029</v>
      </c>
      <c r="AP1664" s="153">
        <f ca="1">IF(AC1664=0,0,IF(AC1664=12,0,OFFSET(effect!$N$1,MATCH(K1664,effect!M:M,0)-1,0)))</f>
        <v>0</v>
      </c>
    </row>
    <row r="1665" spans="1:42">
      <c r="A1665" s="153">
        <f ca="1" t="shared" si="273"/>
        <v>3004029</v>
      </c>
      <c r="B1665" s="91" t="s">
        <v>851</v>
      </c>
      <c r="C1665" s="186">
        <v>3</v>
      </c>
      <c r="D1665" s="186">
        <v>4</v>
      </c>
      <c r="E1665" s="165" t="s">
        <v>1069</v>
      </c>
      <c r="F1665" s="298" t="s">
        <v>1054</v>
      </c>
      <c r="G1665" s="186">
        <f ca="1">OFFSET(卡牌辅助配置表!$C$1,MATCH(AC1665,卡牌辅助配置表!A:A,0)-1,0)</f>
        <v>0</v>
      </c>
      <c r="H1665" s="186">
        <f ca="1" t="shared" si="280"/>
        <v>0</v>
      </c>
      <c r="I1665" s="186"/>
      <c r="J1665" s="186">
        <f ca="1">OFFSET(card_type!$F$1,MATCH(Q1665,card_type!A:A,0)-1,0)</f>
        <v>1</v>
      </c>
      <c r="K1665" s="243">
        <f ca="1">OFFSET(card_type!$G$1,MATCH(Q1665,card_type!A:A,0)-1,0)</f>
        <v>1</v>
      </c>
      <c r="L1665" s="157">
        <v>2</v>
      </c>
      <c r="M1665" s="157">
        <v>2</v>
      </c>
      <c r="N1665" s="153">
        <f t="shared" si="274"/>
        <v>29</v>
      </c>
      <c r="O1665" s="157"/>
      <c r="P1665" s="157"/>
      <c r="Q1665" s="153">
        <f ca="1">OFFSET(card_type!$A$1,MATCH(card!B1665,card_type!B:B,0)-1,0)</f>
        <v>3004</v>
      </c>
      <c r="R1665" s="153">
        <v>1</v>
      </c>
      <c r="S1665" s="157">
        <f ca="1">ROUND(IF(R1665=0,0,IF(R1665=1,X1665*$S$1,IF(R1665=2,X1665*$S$1*buff的资质计算!$E$2,IF(R1665=3,X1665*$S$1*buff的资质计算!$E$3,0)))),0)*0</f>
        <v>0</v>
      </c>
      <c r="T1665" s="153">
        <v>3</v>
      </c>
      <c r="U1665" s="153">
        <f ca="1" t="shared" si="275"/>
        <v>11</v>
      </c>
      <c r="V1665" s="153">
        <f ca="1">ROUND((OFFSET(卡牌辅助配置表!$O$1,MATCH(U1665,卡牌辅助配置表!M:M,0)-1,0)+(N1665-1)*OFFSET(卡牌辅助配置表!$P$1,MATCH(U1665,卡牌辅助配置表!M:M,0)-1,0))*M1665,2)</f>
        <v>24.24</v>
      </c>
      <c r="W1665" s="157">
        <f ca="1">ROUND(IF(R1665=0,0,IF(R1665=1,X1665*$W$1,IF(R1665=2,X1665*$W$1*buff的资质计算!$E$2,IF(R1665=3,X1665*$W$1*buff的资质计算!$E$3,0)))),2)</f>
        <v>7.2</v>
      </c>
      <c r="X1665" s="157">
        <f ca="1" t="shared" si="281"/>
        <v>24</v>
      </c>
      <c r="Y1665" s="157">
        <f ca="1" t="shared" si="278"/>
        <v>24</v>
      </c>
      <c r="Z1665" s="304">
        <f ca="1" t="shared" si="282"/>
        <v>12</v>
      </c>
      <c r="AA1665" s="304">
        <f ca="1">OFFSET(卡牌辅助配置表!$AD$1,MATCH(AB1665,卡牌辅助配置表!AB:AB,0)-1,0)</f>
        <v>774</v>
      </c>
      <c r="AB1665" s="304">
        <f ca="1" t="shared" si="276"/>
        <v>1129</v>
      </c>
      <c r="AC1665" s="153">
        <v>12</v>
      </c>
      <c r="AF1665" s="153" t="str">
        <f ca="1" t="shared" si="279"/>
        <v>30040011|</v>
      </c>
      <c r="AJ1665" s="205" t="str">
        <f ca="1" t="shared" si="277"/>
        <v>303004|30|;400023|14300|;</v>
      </c>
      <c r="AK1665" s="205">
        <f ca="1">OFFSET([1]item_type!$A$1,MATCH(Q1665,[1]item_type!$G:$G,0)-1,0)</f>
        <v>303004</v>
      </c>
      <c r="AL1665" s="205">
        <v>30</v>
      </c>
      <c r="AM1665" s="205">
        <f ca="1">IF(B1665=B1666,OFFSET(卡牌辅助配置表!$AE$1,MATCH(AB1665,卡牌辅助配置表!AB:AB,0),0),0)</f>
        <v>14300</v>
      </c>
      <c r="AN1665" s="153">
        <f ca="1" t="shared" si="272"/>
        <v>3004030</v>
      </c>
      <c r="AP1665" s="153">
        <f ca="1">IF(AC1665=0,0,IF(AC1665=12,0,OFFSET(effect!$N$1,MATCH(K1665,effect!M:M,0)-1,0)))</f>
        <v>0</v>
      </c>
    </row>
    <row r="1666" spans="1:42">
      <c r="A1666" s="153">
        <f ca="1" t="shared" si="273"/>
        <v>3004030</v>
      </c>
      <c r="B1666" s="91" t="s">
        <v>851</v>
      </c>
      <c r="C1666" s="186">
        <v>3</v>
      </c>
      <c r="D1666" s="186">
        <v>4</v>
      </c>
      <c r="E1666" s="165" t="s">
        <v>1069</v>
      </c>
      <c r="F1666" s="298" t="s">
        <v>1054</v>
      </c>
      <c r="G1666" s="186">
        <f ca="1">OFFSET(卡牌辅助配置表!$C$1,MATCH(AC1666,卡牌辅助配置表!A:A,0)-1,0)</f>
        <v>0</v>
      </c>
      <c r="H1666" s="186">
        <f ca="1" t="shared" si="280"/>
        <v>0</v>
      </c>
      <c r="I1666" s="186"/>
      <c r="J1666" s="186">
        <f ca="1">OFFSET(card_type!$F$1,MATCH(Q1666,card_type!A:A,0)-1,0)</f>
        <v>1</v>
      </c>
      <c r="K1666" s="243">
        <f ca="1">OFFSET(card_type!$G$1,MATCH(Q1666,card_type!A:A,0)-1,0)</f>
        <v>1</v>
      </c>
      <c r="L1666" s="157">
        <v>2</v>
      </c>
      <c r="M1666" s="157">
        <v>2</v>
      </c>
      <c r="N1666" s="153">
        <f t="shared" si="274"/>
        <v>30</v>
      </c>
      <c r="O1666" s="157"/>
      <c r="P1666" s="157"/>
      <c r="Q1666" s="153">
        <f ca="1">OFFSET(card_type!$A$1,MATCH(card!B1666,card_type!B:B,0)-1,0)</f>
        <v>3004</v>
      </c>
      <c r="R1666" s="153">
        <v>1</v>
      </c>
      <c r="S1666" s="157">
        <f ca="1">ROUND(IF(R1666=0,0,IF(R1666=1,X1666*$S$1,IF(R1666=2,X1666*$S$1*buff的资质计算!$E$2,IF(R1666=3,X1666*$S$1*buff的资质计算!$E$3,0)))),0)*0</f>
        <v>0</v>
      </c>
      <c r="T1666" s="153">
        <v>3</v>
      </c>
      <c r="U1666" s="153">
        <f ca="1" t="shared" si="275"/>
        <v>11</v>
      </c>
      <c r="V1666" s="153">
        <f ca="1">ROUND((OFFSET(卡牌辅助配置表!$O$1,MATCH(U1666,卡牌辅助配置表!M:M,0)-1,0)+(N1666-1)*OFFSET(卡牌辅助配置表!$P$1,MATCH(U1666,卡牌辅助配置表!M:M,0)-1,0))*M1666,2)</f>
        <v>24.66</v>
      </c>
      <c r="W1666" s="157">
        <f ca="1">ROUND(IF(R1666=0,0,IF(R1666=1,X1666*$W$1,IF(R1666=2,X1666*$W$1*buff的资质计算!$E$2,IF(R1666=3,X1666*$W$1*buff的资质计算!$E$3,0)))),2)</f>
        <v>7.35</v>
      </c>
      <c r="X1666" s="157">
        <f ca="1" t="shared" si="281"/>
        <v>24.5</v>
      </c>
      <c r="Y1666" s="157">
        <f ca="1" t="shared" si="278"/>
        <v>24.5</v>
      </c>
      <c r="Z1666" s="304">
        <f ca="1" t="shared" si="282"/>
        <v>12.25</v>
      </c>
      <c r="AA1666" s="304">
        <f ca="1">OFFSET(卡牌辅助配置表!$AD$1,MATCH(AB1666,卡牌辅助配置表!AB:AB,0)-1,0)</f>
        <v>810</v>
      </c>
      <c r="AB1666" s="304">
        <f ca="1" t="shared" si="276"/>
        <v>1130</v>
      </c>
      <c r="AC1666" s="153">
        <v>12</v>
      </c>
      <c r="AF1666" s="153" t="str">
        <f ca="1" t="shared" si="279"/>
        <v>30040011|</v>
      </c>
      <c r="AJ1666" s="205">
        <f ca="1" t="shared" si="277"/>
        <v>0</v>
      </c>
      <c r="AK1666" s="205">
        <f ca="1">OFFSET([1]item_type!$A$1,MATCH(Q1666,[1]item_type!$G:$G,0)-1,0)</f>
        <v>303004</v>
      </c>
      <c r="AL1666" s="205"/>
      <c r="AM1666" s="205">
        <f ca="1">IF(B1666=B1667,OFFSET(卡牌辅助配置表!$AE$1,MATCH(AB1666,卡牌辅助配置表!AB:AB,0),0),0)</f>
        <v>0</v>
      </c>
      <c r="AN1666" s="153">
        <f ca="1" t="shared" si="272"/>
        <v>0</v>
      </c>
      <c r="AP1666" s="153">
        <f ca="1">IF(AC1666=0,0,IF(AC1666=12,0,OFFSET(effect!$N$1,MATCH(K1666,effect!M:M,0)-1,0)))</f>
        <v>0</v>
      </c>
    </row>
    <row r="1667" spans="1:42">
      <c r="A1667" s="153">
        <f ca="1" t="shared" si="273"/>
        <v>3005001</v>
      </c>
      <c r="B1667" s="91" t="s">
        <v>419</v>
      </c>
      <c r="C1667" s="186">
        <v>3</v>
      </c>
      <c r="D1667" s="186">
        <v>4</v>
      </c>
      <c r="E1667" s="165" t="s">
        <v>1069</v>
      </c>
      <c r="F1667" s="179" t="s">
        <v>1055</v>
      </c>
      <c r="G1667" s="186">
        <f ca="1">OFFSET(卡牌辅助配置表!$C$1,MATCH(AC1667,卡牌辅助配置表!A:A,0)-1,0)</f>
        <v>0</v>
      </c>
      <c r="H1667" s="186">
        <f ca="1">OFFSET(skill!$Q$1,MATCH(B1667,skill!B:B,0)-1,0)</f>
        <v>10</v>
      </c>
      <c r="I1667" s="186"/>
      <c r="J1667" s="186">
        <f ca="1">OFFSET(card_type!$F$1,MATCH(Q1667,card_type!A:A,0)-1,0)</f>
        <v>2</v>
      </c>
      <c r="K1667" s="243">
        <f ca="1">OFFSET(card_type!$G$1,MATCH(Q1667,card_type!A:A,0)-1,0)</f>
        <v>2</v>
      </c>
      <c r="L1667" s="157">
        <v>3</v>
      </c>
      <c r="M1667" s="157">
        <v>3</v>
      </c>
      <c r="N1667" s="153">
        <f t="shared" si="274"/>
        <v>1</v>
      </c>
      <c r="O1667" s="157"/>
      <c r="P1667" s="157"/>
      <c r="Q1667" s="153">
        <f ca="1">OFFSET(card_type!$A$1,MATCH(card!B1667,card_type!B:B,0)-1,0)</f>
        <v>3005</v>
      </c>
      <c r="R1667" s="153">
        <v>1</v>
      </c>
      <c r="S1667" s="157">
        <f ca="1">ROUND(IF(R1667=0,0,IF(R1667=1,X1667*$S$1,IF(R1667=2,X1667*$S$1*buff的资质计算!$E$2,IF(R1667=3,X1667*$S$1*buff的资质计算!$E$3,0)))),0)*0</f>
        <v>0</v>
      </c>
      <c r="T1667" s="153">
        <v>3</v>
      </c>
      <c r="U1667" s="153">
        <f ca="1" t="shared" si="275"/>
        <v>22</v>
      </c>
      <c r="V1667" s="153">
        <f ca="1">ROUND((OFFSET(卡牌辅助配置表!$O$1,MATCH(U1667,卡牌辅助配置表!M:M,0)-1,0)+(N1667-1)*OFFSET(卡牌辅助配置表!$P$1,MATCH(U1667,卡牌辅助配置表!M:M,0)-1,0))*M1667,2)</f>
        <v>31.5</v>
      </c>
      <c r="W1667" s="157">
        <f ca="1">ROUND(IF(R1667=0,0,IF(R1667=1,X1667*$W$1,IF(R1667=2,X1667*$W$1*buff的资质计算!$E$2,IF(R1667=3,X1667*$W$1*buff的资质计算!$E$3,0)))),2)</f>
        <v>12.6</v>
      </c>
      <c r="X1667" s="157">
        <f ca="1" t="shared" si="281"/>
        <v>42</v>
      </c>
      <c r="Y1667" s="157">
        <f ca="1" t="shared" si="278"/>
        <v>52</v>
      </c>
      <c r="Z1667" s="304">
        <f ca="1" t="shared" si="282"/>
        <v>17.3333333333333</v>
      </c>
      <c r="AA1667" s="304">
        <f ca="1">OFFSET(卡牌辅助配置表!$AD$1,MATCH(AB1667,卡牌辅助配置表!AB:AB,0)-1,0)</f>
        <v>127</v>
      </c>
      <c r="AB1667" s="304">
        <f ca="1" t="shared" si="276"/>
        <v>2201</v>
      </c>
      <c r="AC1667" s="153">
        <v>12</v>
      </c>
      <c r="AF1667" s="153" t="str">
        <f ca="1" t="shared" si="279"/>
        <v>30050011|</v>
      </c>
      <c r="AJ1667" s="205" t="str">
        <f ca="1" t="shared" si="277"/>
        <v>400023|1050|;</v>
      </c>
      <c r="AK1667" s="205">
        <f ca="1">OFFSET([1]item_type!$A$1,MATCH(Q1667,[1]item_type!$G:$G,0)-1,0)</f>
        <v>303005</v>
      </c>
      <c r="AL1667" s="205"/>
      <c r="AM1667" s="205">
        <f ca="1">IF(B1667=B1668,OFFSET(卡牌辅助配置表!$AE$1,MATCH(AB1667,卡牌辅助配置表!AB:AB,0),0),0)</f>
        <v>1050</v>
      </c>
      <c r="AN1667" s="153">
        <f ca="1" t="shared" si="272"/>
        <v>3005002</v>
      </c>
      <c r="AP1667" s="153">
        <f ca="1">IF(AC1667=0,0,IF(AC1667=12,0,OFFSET(effect!$N$1,MATCH(K1667,effect!M:M,0)-1,0)))</f>
        <v>0</v>
      </c>
    </row>
    <row r="1668" spans="1:42">
      <c r="A1668" s="153">
        <f ca="1" t="shared" si="273"/>
        <v>3005002</v>
      </c>
      <c r="B1668" s="91" t="s">
        <v>419</v>
      </c>
      <c r="C1668" s="186">
        <v>3</v>
      </c>
      <c r="D1668" s="186">
        <v>4</v>
      </c>
      <c r="E1668" s="165" t="s">
        <v>1069</v>
      </c>
      <c r="F1668" s="179" t="s">
        <v>1055</v>
      </c>
      <c r="G1668" s="186">
        <f ca="1">OFFSET(卡牌辅助配置表!$C$1,MATCH(AC1668,卡牌辅助配置表!A:A,0)-1,0)</f>
        <v>0</v>
      </c>
      <c r="H1668" s="186">
        <f ca="1">OFFSET(skill!$Q$1,MATCH(B1668,skill!B:B,0)-1,0)</f>
        <v>10</v>
      </c>
      <c r="I1668" s="186"/>
      <c r="J1668" s="186">
        <f ca="1">OFFSET(card_type!$F$1,MATCH(Q1668,card_type!A:A,0)-1,0)</f>
        <v>2</v>
      </c>
      <c r="K1668" s="243">
        <f ca="1">OFFSET(card_type!$G$1,MATCH(Q1668,card_type!A:A,0)-1,0)</f>
        <v>2</v>
      </c>
      <c r="L1668" s="157">
        <v>3</v>
      </c>
      <c r="M1668" s="157">
        <v>3</v>
      </c>
      <c r="N1668" s="153">
        <f t="shared" si="274"/>
        <v>2</v>
      </c>
      <c r="O1668" s="157"/>
      <c r="P1668" s="157"/>
      <c r="Q1668" s="153">
        <f ca="1">OFFSET(card_type!$A$1,MATCH(card!B1668,card_type!B:B,0)-1,0)</f>
        <v>3005</v>
      </c>
      <c r="R1668" s="153">
        <v>1</v>
      </c>
      <c r="S1668" s="157">
        <f ca="1">ROUND(IF(R1668=0,0,IF(R1668=1,X1668*$S$1,IF(R1668=2,X1668*$S$1*buff的资质计算!$E$2,IF(R1668=3,X1668*$S$1*buff的资质计算!$E$3,0)))),0)*0</f>
        <v>0</v>
      </c>
      <c r="T1668" s="153">
        <v>3</v>
      </c>
      <c r="U1668" s="153">
        <f ca="1" t="shared" si="275"/>
        <v>22</v>
      </c>
      <c r="V1668" s="153">
        <f ca="1">ROUND((OFFSET(卡牌辅助配置表!$O$1,MATCH(U1668,卡牌辅助配置表!M:M,0)-1,0)+(N1668-1)*OFFSET(卡牌辅助配置表!$P$1,MATCH(U1668,卡牌辅助配置表!M:M,0)-1,0))*M1668,2)</f>
        <v>34.05</v>
      </c>
      <c r="W1668" s="157">
        <f ca="1">ROUND(IF(R1668=0,0,IF(R1668=1,X1668*$W$1,IF(R1668=2,X1668*$W$1*buff的资质计算!$E$2,IF(R1668=3,X1668*$W$1*buff的资质计算!$E$3,0)))),2)</f>
        <v>12.75</v>
      </c>
      <c r="X1668" s="157">
        <f ca="1" t="shared" si="281"/>
        <v>42.5</v>
      </c>
      <c r="Y1668" s="157">
        <f ca="1" t="shared" si="278"/>
        <v>52.5</v>
      </c>
      <c r="Z1668" s="304">
        <f ca="1" t="shared" si="282"/>
        <v>17.5</v>
      </c>
      <c r="AA1668" s="304">
        <f ca="1">OFFSET(卡牌辅助配置表!$AD$1,MATCH(AB1668,卡牌辅助配置表!AB:AB,0)-1,0)</f>
        <v>254</v>
      </c>
      <c r="AB1668" s="304">
        <f ca="1" t="shared" si="276"/>
        <v>2202</v>
      </c>
      <c r="AC1668" s="153">
        <v>12</v>
      </c>
      <c r="AF1668" s="153" t="str">
        <f ca="1" t="shared" si="279"/>
        <v>30050011|</v>
      </c>
      <c r="AJ1668" s="205" t="str">
        <f ca="1" t="shared" si="277"/>
        <v>400023|1350|;</v>
      </c>
      <c r="AK1668" s="205">
        <f ca="1">OFFSET([1]item_type!$A$1,MATCH(Q1668,[1]item_type!$G:$G,0)-1,0)</f>
        <v>303005</v>
      </c>
      <c r="AL1668" s="205"/>
      <c r="AM1668" s="205">
        <f ca="1">IF(B1668=B1669,OFFSET(卡牌辅助配置表!$AE$1,MATCH(AB1668,卡牌辅助配置表!AB:AB,0),0),0)</f>
        <v>1350</v>
      </c>
      <c r="AN1668" s="153">
        <f ca="1" t="shared" si="272"/>
        <v>3005003</v>
      </c>
      <c r="AP1668" s="153">
        <f ca="1">IF(AC1668=0,0,IF(AC1668=12,0,OFFSET(effect!$N$1,MATCH(K1668,effect!M:M,0)-1,0)))</f>
        <v>0</v>
      </c>
    </row>
    <row r="1669" spans="1:42">
      <c r="A1669" s="153">
        <f ca="1" t="shared" si="273"/>
        <v>3005003</v>
      </c>
      <c r="B1669" s="91" t="s">
        <v>419</v>
      </c>
      <c r="C1669" s="186">
        <v>3</v>
      </c>
      <c r="D1669" s="186">
        <v>4</v>
      </c>
      <c r="E1669" s="165" t="s">
        <v>1069</v>
      </c>
      <c r="F1669" s="179" t="s">
        <v>1055</v>
      </c>
      <c r="G1669" s="186">
        <f ca="1">OFFSET(卡牌辅助配置表!$C$1,MATCH(AC1669,卡牌辅助配置表!A:A,0)-1,0)</f>
        <v>0</v>
      </c>
      <c r="H1669" s="186">
        <f ca="1">OFFSET(skill!$Q$1,MATCH(B1669,skill!B:B,0)-1,0)</f>
        <v>10</v>
      </c>
      <c r="I1669" s="186"/>
      <c r="J1669" s="186">
        <f ca="1">OFFSET(card_type!$F$1,MATCH(Q1669,card_type!A:A,0)-1,0)</f>
        <v>2</v>
      </c>
      <c r="K1669" s="243">
        <f ca="1">OFFSET(card_type!$G$1,MATCH(Q1669,card_type!A:A,0)-1,0)</f>
        <v>2</v>
      </c>
      <c r="L1669" s="157">
        <v>3</v>
      </c>
      <c r="M1669" s="157">
        <v>3</v>
      </c>
      <c r="N1669" s="153">
        <f t="shared" si="274"/>
        <v>3</v>
      </c>
      <c r="O1669" s="157"/>
      <c r="P1669" s="157"/>
      <c r="Q1669" s="153">
        <f ca="1">OFFSET(card_type!$A$1,MATCH(card!B1669,card_type!B:B,0)-1,0)</f>
        <v>3005</v>
      </c>
      <c r="R1669" s="153">
        <v>1</v>
      </c>
      <c r="S1669" s="157">
        <f ca="1">ROUND(IF(R1669=0,0,IF(R1669=1,X1669*$S$1,IF(R1669=2,X1669*$S$1*buff的资质计算!$E$2,IF(R1669=3,X1669*$S$1*buff的资质计算!$E$3,0)))),0)*0</f>
        <v>0</v>
      </c>
      <c r="T1669" s="153">
        <v>3</v>
      </c>
      <c r="U1669" s="153">
        <f ca="1" t="shared" si="275"/>
        <v>22</v>
      </c>
      <c r="V1669" s="153">
        <f ca="1">ROUND((OFFSET(卡牌辅助配置表!$O$1,MATCH(U1669,卡牌辅助配置表!M:M,0)-1,0)+(N1669-1)*OFFSET(卡牌辅助配置表!$P$1,MATCH(U1669,卡牌辅助配置表!M:M,0)-1,0))*M1669,2)</f>
        <v>36.6</v>
      </c>
      <c r="W1669" s="157">
        <f ca="1">ROUND(IF(R1669=0,0,IF(R1669=1,X1669*$W$1,IF(R1669=2,X1669*$W$1*buff的资质计算!$E$2,IF(R1669=3,X1669*$W$1*buff的资质计算!$E$3,0)))),2)</f>
        <v>12.9</v>
      </c>
      <c r="X1669" s="157">
        <f ca="1" t="shared" si="281"/>
        <v>43</v>
      </c>
      <c r="Y1669" s="157">
        <f ca="1" t="shared" si="278"/>
        <v>53</v>
      </c>
      <c r="Z1669" s="304">
        <f ca="1" t="shared" si="282"/>
        <v>17.6666666666667</v>
      </c>
      <c r="AA1669" s="304">
        <f ca="1">OFFSET(卡牌辅助配置表!$AD$1,MATCH(AB1669,卡牌辅助配置表!AB:AB,0)-1,0)</f>
        <v>381</v>
      </c>
      <c r="AB1669" s="304">
        <f ca="1" t="shared" si="276"/>
        <v>2203</v>
      </c>
      <c r="AC1669" s="153">
        <v>12</v>
      </c>
      <c r="AF1669" s="153" t="str">
        <f ca="1" t="shared" si="279"/>
        <v>30050011|</v>
      </c>
      <c r="AJ1669" s="205" t="str">
        <f ca="1" t="shared" si="277"/>
        <v>400023|1650|;</v>
      </c>
      <c r="AK1669" s="205">
        <f ca="1">OFFSET([1]item_type!$A$1,MATCH(Q1669,[1]item_type!$G:$G,0)-1,0)</f>
        <v>303005</v>
      </c>
      <c r="AL1669" s="205"/>
      <c r="AM1669" s="205">
        <f ca="1">IF(B1669=B1670,OFFSET(卡牌辅助配置表!$AE$1,MATCH(AB1669,卡牌辅助配置表!AB:AB,0),0),0)</f>
        <v>1650</v>
      </c>
      <c r="AN1669" s="153">
        <f ca="1" t="shared" ref="AN1669:AN1732" si="283">IF(B1669=B1670,A1669+1,0)</f>
        <v>3005004</v>
      </c>
      <c r="AP1669" s="153">
        <f ca="1">IF(AC1669=0,0,IF(AC1669=12,0,OFFSET(effect!$N$1,MATCH(K1669,effect!M:M,0)-1,0)))</f>
        <v>0</v>
      </c>
    </row>
    <row r="1670" spans="1:42">
      <c r="A1670" s="153">
        <f ca="1" t="shared" ref="A1670:A1733" si="284">Q1670*1000+N1670</f>
        <v>3005004</v>
      </c>
      <c r="B1670" s="91" t="s">
        <v>419</v>
      </c>
      <c r="C1670" s="186">
        <v>3</v>
      </c>
      <c r="D1670" s="186">
        <v>4</v>
      </c>
      <c r="E1670" s="165" t="s">
        <v>1069</v>
      </c>
      <c r="F1670" s="179" t="s">
        <v>1055</v>
      </c>
      <c r="G1670" s="186">
        <f ca="1">OFFSET(卡牌辅助配置表!$C$1,MATCH(AC1670,卡牌辅助配置表!A:A,0)-1,0)</f>
        <v>0</v>
      </c>
      <c r="H1670" s="186">
        <f ca="1">OFFSET(skill!$Q$1,MATCH(B1670,skill!B:B,0)-1,0)</f>
        <v>10</v>
      </c>
      <c r="I1670" s="186"/>
      <c r="J1670" s="186">
        <f ca="1">OFFSET(card_type!$F$1,MATCH(Q1670,card_type!A:A,0)-1,0)</f>
        <v>2</v>
      </c>
      <c r="K1670" s="243">
        <f ca="1">OFFSET(card_type!$G$1,MATCH(Q1670,card_type!A:A,0)-1,0)</f>
        <v>2</v>
      </c>
      <c r="L1670" s="157">
        <v>3</v>
      </c>
      <c r="M1670" s="157">
        <v>3</v>
      </c>
      <c r="N1670" s="153">
        <f t="shared" ref="N1670:N1733" si="285">IF(B1669=B1670,N1669+1,1)</f>
        <v>4</v>
      </c>
      <c r="O1670" s="157"/>
      <c r="P1670" s="157"/>
      <c r="Q1670" s="153">
        <f ca="1">OFFSET(card_type!$A$1,MATCH(card!B1670,card_type!B:B,0)-1,0)</f>
        <v>3005</v>
      </c>
      <c r="R1670" s="153">
        <v>1</v>
      </c>
      <c r="S1670" s="157">
        <f ca="1">ROUND(IF(R1670=0,0,IF(R1670=1,X1670*$S$1,IF(R1670=2,X1670*$S$1*buff的资质计算!$E$2,IF(R1670=3,X1670*$S$1*buff的资质计算!$E$3,0)))),0)*0</f>
        <v>0</v>
      </c>
      <c r="T1670" s="153">
        <v>3</v>
      </c>
      <c r="U1670" s="153">
        <f ca="1" t="shared" ref="U1670:U1733" si="286">J1670*10+K1670</f>
        <v>22</v>
      </c>
      <c r="V1670" s="153">
        <f ca="1">ROUND((OFFSET(卡牌辅助配置表!$O$1,MATCH(U1670,卡牌辅助配置表!M:M,0)-1,0)+(N1670-1)*OFFSET(卡牌辅助配置表!$P$1,MATCH(U1670,卡牌辅助配置表!M:M,0)-1,0))*M1670,2)</f>
        <v>39.15</v>
      </c>
      <c r="W1670" s="157">
        <f ca="1">ROUND(IF(R1670=0,0,IF(R1670=1,X1670*$W$1,IF(R1670=2,X1670*$W$1*buff的资质计算!$E$2,IF(R1670=3,X1670*$W$1*buff的资质计算!$E$3,0)))),2)</f>
        <v>13.05</v>
      </c>
      <c r="X1670" s="157">
        <f ca="1" t="shared" si="281"/>
        <v>43.5</v>
      </c>
      <c r="Y1670" s="157">
        <f ca="1" t="shared" si="278"/>
        <v>53.5</v>
      </c>
      <c r="Z1670" s="304">
        <f ca="1" t="shared" si="282"/>
        <v>17.8333333333333</v>
      </c>
      <c r="AA1670" s="304">
        <f ca="1">OFFSET(卡牌辅助配置表!$AD$1,MATCH(AB1670,卡牌辅助配置表!AB:AB,0)-1,0)</f>
        <v>508</v>
      </c>
      <c r="AB1670" s="304">
        <f ca="1" t="shared" ref="AB1670:AB1733" si="287">J1670*1000+K1670*100+N1670</f>
        <v>2204</v>
      </c>
      <c r="AC1670" s="153">
        <v>12</v>
      </c>
      <c r="AF1670" s="153" t="str">
        <f ca="1" t="shared" si="279"/>
        <v>30050011|</v>
      </c>
      <c r="AJ1670" s="205" t="str">
        <f ca="1" t="shared" ref="AJ1670:AJ1733" si="288">IF(AN1670=0,0,IF(AL1670=0,$AM$1&amp;$AF$1&amp;AM1670&amp;$AF$1&amp;$AJ$1,AK1670&amp;$AF$1&amp;AL1670&amp;$AF$1&amp;$AJ$1&amp;$AM$1&amp;$AF$1&amp;AM1670&amp;$AF$1&amp;$AJ$1))</f>
        <v>400023|1950|;</v>
      </c>
      <c r="AK1670" s="205">
        <f ca="1">OFFSET([1]item_type!$A$1,MATCH(Q1670,[1]item_type!$G:$G,0)-1,0)</f>
        <v>303005</v>
      </c>
      <c r="AL1670" s="205"/>
      <c r="AM1670" s="205">
        <f ca="1">IF(B1670=B1671,OFFSET(卡牌辅助配置表!$AE$1,MATCH(AB1670,卡牌辅助配置表!AB:AB,0),0),0)</f>
        <v>1950</v>
      </c>
      <c r="AN1670" s="153">
        <f ca="1" t="shared" si="283"/>
        <v>3005005</v>
      </c>
      <c r="AP1670" s="153">
        <f ca="1">IF(AC1670=0,0,IF(AC1670=12,0,OFFSET(effect!$N$1,MATCH(K1670,effect!M:M,0)-1,0)))</f>
        <v>0</v>
      </c>
    </row>
    <row r="1671" spans="1:42">
      <c r="A1671" s="153">
        <f ca="1" t="shared" si="284"/>
        <v>3005005</v>
      </c>
      <c r="B1671" s="91" t="s">
        <v>419</v>
      </c>
      <c r="C1671" s="186">
        <v>3</v>
      </c>
      <c r="D1671" s="186">
        <v>4</v>
      </c>
      <c r="E1671" s="165" t="s">
        <v>1069</v>
      </c>
      <c r="F1671" s="179" t="s">
        <v>1055</v>
      </c>
      <c r="G1671" s="186">
        <f ca="1">OFFSET(卡牌辅助配置表!$C$1,MATCH(AC1671,卡牌辅助配置表!A:A,0)-1,0)</f>
        <v>0</v>
      </c>
      <c r="H1671" s="186">
        <f ca="1">OFFSET(skill!$Q$1,MATCH(B1671,skill!B:B,0)-1,0)</f>
        <v>10</v>
      </c>
      <c r="I1671" s="186"/>
      <c r="J1671" s="186">
        <f ca="1">OFFSET(card_type!$F$1,MATCH(Q1671,card_type!A:A,0)-1,0)</f>
        <v>2</v>
      </c>
      <c r="K1671" s="243">
        <f ca="1">OFFSET(card_type!$G$1,MATCH(Q1671,card_type!A:A,0)-1,0)</f>
        <v>2</v>
      </c>
      <c r="L1671" s="157">
        <v>3</v>
      </c>
      <c r="M1671" s="157">
        <v>3</v>
      </c>
      <c r="N1671" s="153">
        <f t="shared" si="285"/>
        <v>5</v>
      </c>
      <c r="O1671" s="157"/>
      <c r="P1671" s="157"/>
      <c r="Q1671" s="153">
        <f ca="1">OFFSET(card_type!$A$1,MATCH(card!B1671,card_type!B:B,0)-1,0)</f>
        <v>3005</v>
      </c>
      <c r="R1671" s="153">
        <v>1</v>
      </c>
      <c r="S1671" s="157">
        <f ca="1">ROUND(IF(R1671=0,0,IF(R1671=1,X1671*$S$1,IF(R1671=2,X1671*$S$1*buff的资质计算!$E$2,IF(R1671=3,X1671*$S$1*buff的资质计算!$E$3,0)))),0)*0</f>
        <v>0</v>
      </c>
      <c r="T1671" s="153">
        <v>3</v>
      </c>
      <c r="U1671" s="153">
        <f ca="1" t="shared" si="286"/>
        <v>22</v>
      </c>
      <c r="V1671" s="153">
        <f ca="1">ROUND((OFFSET(卡牌辅助配置表!$O$1,MATCH(U1671,卡牌辅助配置表!M:M,0)-1,0)+(N1671-1)*OFFSET(卡牌辅助配置表!$P$1,MATCH(U1671,卡牌辅助配置表!M:M,0)-1,0))*M1671,2)</f>
        <v>41.7</v>
      </c>
      <c r="W1671" s="157">
        <f ca="1">ROUND(IF(R1671=0,0,IF(R1671=1,X1671*$W$1,IF(R1671=2,X1671*$W$1*buff的资质计算!$E$2,IF(R1671=3,X1671*$W$1*buff的资质计算!$E$3,0)))),2)</f>
        <v>13.2</v>
      </c>
      <c r="X1671" s="157">
        <f ca="1" t="shared" si="281"/>
        <v>44</v>
      </c>
      <c r="Y1671" s="157">
        <f ca="1" t="shared" si="278"/>
        <v>54</v>
      </c>
      <c r="Z1671" s="304">
        <f ca="1" t="shared" si="282"/>
        <v>18</v>
      </c>
      <c r="AA1671" s="304">
        <f ca="1">OFFSET(卡牌辅助配置表!$AD$1,MATCH(AB1671,卡牌辅助配置表!AB:AB,0)-1,0)</f>
        <v>635</v>
      </c>
      <c r="AB1671" s="304">
        <f ca="1" t="shared" si="287"/>
        <v>2205</v>
      </c>
      <c r="AC1671" s="153">
        <v>12</v>
      </c>
      <c r="AF1671" s="153" t="str">
        <f ca="1" t="shared" si="279"/>
        <v>30050011|</v>
      </c>
      <c r="AJ1671" s="205" t="str">
        <f ca="1" t="shared" si="288"/>
        <v>400023|2250|;</v>
      </c>
      <c r="AK1671" s="205">
        <f ca="1">OFFSET([1]item_type!$A$1,MATCH(Q1671,[1]item_type!$G:$G,0)-1,0)</f>
        <v>303005</v>
      </c>
      <c r="AL1671" s="205"/>
      <c r="AM1671" s="205">
        <f ca="1">IF(B1671=B1672,OFFSET(卡牌辅助配置表!$AE$1,MATCH(AB1671,卡牌辅助配置表!AB:AB,0),0),0)</f>
        <v>2250</v>
      </c>
      <c r="AN1671" s="153">
        <f ca="1" t="shared" si="283"/>
        <v>3005006</v>
      </c>
      <c r="AP1671" s="153">
        <f ca="1">IF(AC1671=0,0,IF(AC1671=12,0,OFFSET(effect!$N$1,MATCH(K1671,effect!M:M,0)-1,0)))</f>
        <v>0</v>
      </c>
    </row>
    <row r="1672" spans="1:42">
      <c r="A1672" s="153">
        <f ca="1" t="shared" si="284"/>
        <v>3005006</v>
      </c>
      <c r="B1672" s="91" t="s">
        <v>419</v>
      </c>
      <c r="C1672" s="186">
        <v>3</v>
      </c>
      <c r="D1672" s="186">
        <v>4</v>
      </c>
      <c r="E1672" s="165" t="s">
        <v>1069</v>
      </c>
      <c r="F1672" s="179" t="s">
        <v>1055</v>
      </c>
      <c r="G1672" s="186">
        <f ca="1">OFFSET(卡牌辅助配置表!$C$1,MATCH(AC1672,卡牌辅助配置表!A:A,0)-1,0)</f>
        <v>0</v>
      </c>
      <c r="H1672" s="186">
        <f ca="1">OFFSET(skill!$Q$1,MATCH(B1672,skill!B:B,0)-1,0)</f>
        <v>10</v>
      </c>
      <c r="I1672" s="186"/>
      <c r="J1672" s="186">
        <f ca="1">OFFSET(card_type!$F$1,MATCH(Q1672,card_type!A:A,0)-1,0)</f>
        <v>2</v>
      </c>
      <c r="K1672" s="243">
        <f ca="1">OFFSET(card_type!$G$1,MATCH(Q1672,card_type!A:A,0)-1,0)</f>
        <v>2</v>
      </c>
      <c r="L1672" s="157">
        <v>3</v>
      </c>
      <c r="M1672" s="157">
        <v>3</v>
      </c>
      <c r="N1672" s="153">
        <f t="shared" si="285"/>
        <v>6</v>
      </c>
      <c r="O1672" s="157"/>
      <c r="P1672" s="157"/>
      <c r="Q1672" s="153">
        <f ca="1">OFFSET(card_type!$A$1,MATCH(card!B1672,card_type!B:B,0)-1,0)</f>
        <v>3005</v>
      </c>
      <c r="R1672" s="153">
        <v>1</v>
      </c>
      <c r="S1672" s="157">
        <f ca="1">ROUND(IF(R1672=0,0,IF(R1672=1,X1672*$S$1,IF(R1672=2,X1672*$S$1*buff的资质计算!$E$2,IF(R1672=3,X1672*$S$1*buff的资质计算!$E$3,0)))),0)*0</f>
        <v>0</v>
      </c>
      <c r="T1672" s="153">
        <v>3</v>
      </c>
      <c r="U1672" s="153">
        <f ca="1" t="shared" si="286"/>
        <v>22</v>
      </c>
      <c r="V1672" s="153">
        <f ca="1">ROUND((OFFSET(卡牌辅助配置表!$O$1,MATCH(U1672,卡牌辅助配置表!M:M,0)-1,0)+(N1672-1)*OFFSET(卡牌辅助配置表!$P$1,MATCH(U1672,卡牌辅助配置表!M:M,0)-1,0))*M1672,2)</f>
        <v>44.25</v>
      </c>
      <c r="W1672" s="157">
        <f ca="1">ROUND(IF(R1672=0,0,IF(R1672=1,X1672*$W$1,IF(R1672=2,X1672*$W$1*buff的资质计算!$E$2,IF(R1672=3,X1672*$W$1*buff的资质计算!$E$3,0)))),2)</f>
        <v>13.35</v>
      </c>
      <c r="X1672" s="157">
        <f ca="1" t="shared" si="281"/>
        <v>44.5</v>
      </c>
      <c r="Y1672" s="157">
        <f ca="1" t="shared" si="278"/>
        <v>54.5</v>
      </c>
      <c r="Z1672" s="304">
        <f ca="1" t="shared" si="282"/>
        <v>18.1666666666667</v>
      </c>
      <c r="AA1672" s="304">
        <f ca="1">OFFSET(卡牌辅助配置表!$AD$1,MATCH(AB1672,卡牌辅助配置表!AB:AB,0)-1,0)</f>
        <v>762</v>
      </c>
      <c r="AB1672" s="304">
        <f ca="1" t="shared" si="287"/>
        <v>2206</v>
      </c>
      <c r="AC1672" s="153">
        <v>12</v>
      </c>
      <c r="AF1672" s="153" t="str">
        <f ca="1" t="shared" si="279"/>
        <v>30050011|</v>
      </c>
      <c r="AJ1672" s="205" t="str">
        <f ca="1" t="shared" si="288"/>
        <v>400023|2550|;</v>
      </c>
      <c r="AK1672" s="205">
        <f ca="1">OFFSET([1]item_type!$A$1,MATCH(Q1672,[1]item_type!$G:$G,0)-1,0)</f>
        <v>303005</v>
      </c>
      <c r="AL1672" s="205"/>
      <c r="AM1672" s="205">
        <f ca="1">IF(B1672=B1673,OFFSET(卡牌辅助配置表!$AE$1,MATCH(AB1672,卡牌辅助配置表!AB:AB,0),0),0)</f>
        <v>2550</v>
      </c>
      <c r="AN1672" s="153">
        <f ca="1" t="shared" si="283"/>
        <v>3005007</v>
      </c>
      <c r="AP1672" s="153">
        <f ca="1">IF(AC1672=0,0,IF(AC1672=12,0,OFFSET(effect!$N$1,MATCH(K1672,effect!M:M,0)-1,0)))</f>
        <v>0</v>
      </c>
    </row>
    <row r="1673" spans="1:42">
      <c r="A1673" s="153">
        <f ca="1" t="shared" si="284"/>
        <v>3005007</v>
      </c>
      <c r="B1673" s="91" t="s">
        <v>419</v>
      </c>
      <c r="C1673" s="186">
        <v>3</v>
      </c>
      <c r="D1673" s="186">
        <v>4</v>
      </c>
      <c r="E1673" s="165" t="s">
        <v>1069</v>
      </c>
      <c r="F1673" s="179" t="s">
        <v>1055</v>
      </c>
      <c r="G1673" s="186">
        <f ca="1">OFFSET(卡牌辅助配置表!$C$1,MATCH(AC1673,卡牌辅助配置表!A:A,0)-1,0)</f>
        <v>0</v>
      </c>
      <c r="H1673" s="186">
        <f ca="1">OFFSET(skill!$Q$1,MATCH(B1673,skill!B:B,0)-1,0)</f>
        <v>10</v>
      </c>
      <c r="I1673" s="186"/>
      <c r="J1673" s="186">
        <f ca="1">OFFSET(card_type!$F$1,MATCH(Q1673,card_type!A:A,0)-1,0)</f>
        <v>2</v>
      </c>
      <c r="K1673" s="243">
        <f ca="1">OFFSET(card_type!$G$1,MATCH(Q1673,card_type!A:A,0)-1,0)</f>
        <v>2</v>
      </c>
      <c r="L1673" s="157">
        <v>3</v>
      </c>
      <c r="M1673" s="157">
        <v>3</v>
      </c>
      <c r="N1673" s="153">
        <f t="shared" si="285"/>
        <v>7</v>
      </c>
      <c r="O1673" s="157"/>
      <c r="P1673" s="157"/>
      <c r="Q1673" s="153">
        <f ca="1">OFFSET(card_type!$A$1,MATCH(card!B1673,card_type!B:B,0)-1,0)</f>
        <v>3005</v>
      </c>
      <c r="R1673" s="153">
        <v>1</v>
      </c>
      <c r="S1673" s="157">
        <f ca="1">ROUND(IF(R1673=0,0,IF(R1673=1,X1673*$S$1,IF(R1673=2,X1673*$S$1*buff的资质计算!$E$2,IF(R1673=3,X1673*$S$1*buff的资质计算!$E$3,0)))),0)*0</f>
        <v>0</v>
      </c>
      <c r="T1673" s="153">
        <v>3</v>
      </c>
      <c r="U1673" s="153">
        <f ca="1" t="shared" si="286"/>
        <v>22</v>
      </c>
      <c r="V1673" s="153">
        <f ca="1">ROUND((OFFSET(卡牌辅助配置表!$O$1,MATCH(U1673,卡牌辅助配置表!M:M,0)-1,0)+(N1673-1)*OFFSET(卡牌辅助配置表!$P$1,MATCH(U1673,卡牌辅助配置表!M:M,0)-1,0))*M1673,2)</f>
        <v>46.8</v>
      </c>
      <c r="W1673" s="157">
        <f ca="1">ROUND(IF(R1673=0,0,IF(R1673=1,X1673*$W$1,IF(R1673=2,X1673*$W$1*buff的资质计算!$E$2,IF(R1673=3,X1673*$W$1*buff的资质计算!$E$3,0)))),2)</f>
        <v>13.5</v>
      </c>
      <c r="X1673" s="157">
        <f ca="1" t="shared" si="281"/>
        <v>45</v>
      </c>
      <c r="Y1673" s="157">
        <f ca="1" t="shared" si="278"/>
        <v>55</v>
      </c>
      <c r="Z1673" s="304">
        <f ca="1" t="shared" si="282"/>
        <v>18.3333333333333</v>
      </c>
      <c r="AA1673" s="304">
        <f ca="1">OFFSET(卡牌辅助配置表!$AD$1,MATCH(AB1673,卡牌辅助配置表!AB:AB,0)-1,0)</f>
        <v>889</v>
      </c>
      <c r="AB1673" s="304">
        <f ca="1" t="shared" si="287"/>
        <v>2207</v>
      </c>
      <c r="AC1673" s="153">
        <v>12</v>
      </c>
      <c r="AF1673" s="153" t="str">
        <f ca="1" t="shared" si="279"/>
        <v>30050011|</v>
      </c>
      <c r="AJ1673" s="205" t="str">
        <f ca="1" t="shared" si="288"/>
        <v>400023|2850|;</v>
      </c>
      <c r="AK1673" s="205">
        <f ca="1">OFFSET([1]item_type!$A$1,MATCH(Q1673,[1]item_type!$G:$G,0)-1,0)</f>
        <v>303005</v>
      </c>
      <c r="AL1673" s="205"/>
      <c r="AM1673" s="205">
        <f ca="1">IF(B1673=B1674,OFFSET(卡牌辅助配置表!$AE$1,MATCH(AB1673,卡牌辅助配置表!AB:AB,0),0),0)</f>
        <v>2850</v>
      </c>
      <c r="AN1673" s="153">
        <f ca="1" t="shared" si="283"/>
        <v>3005008</v>
      </c>
      <c r="AP1673" s="153">
        <f ca="1">IF(AC1673=0,0,IF(AC1673=12,0,OFFSET(effect!$N$1,MATCH(K1673,effect!M:M,0)-1,0)))</f>
        <v>0</v>
      </c>
    </row>
    <row r="1674" spans="1:42">
      <c r="A1674" s="153">
        <f ca="1" t="shared" si="284"/>
        <v>3005008</v>
      </c>
      <c r="B1674" s="91" t="s">
        <v>419</v>
      </c>
      <c r="C1674" s="186">
        <v>3</v>
      </c>
      <c r="D1674" s="186">
        <v>4</v>
      </c>
      <c r="E1674" s="165" t="s">
        <v>1069</v>
      </c>
      <c r="F1674" s="179" t="s">
        <v>1055</v>
      </c>
      <c r="G1674" s="186">
        <f ca="1">OFFSET(卡牌辅助配置表!$C$1,MATCH(AC1674,卡牌辅助配置表!A:A,0)-1,0)</f>
        <v>0</v>
      </c>
      <c r="H1674" s="186">
        <f ca="1">OFFSET(skill!$Q$1,MATCH(B1674,skill!B:B,0)-1,0)</f>
        <v>10</v>
      </c>
      <c r="I1674" s="186"/>
      <c r="J1674" s="186">
        <f ca="1">OFFSET(card_type!$F$1,MATCH(Q1674,card_type!A:A,0)-1,0)</f>
        <v>2</v>
      </c>
      <c r="K1674" s="243">
        <f ca="1">OFFSET(card_type!$G$1,MATCH(Q1674,card_type!A:A,0)-1,0)</f>
        <v>2</v>
      </c>
      <c r="L1674" s="157">
        <v>3</v>
      </c>
      <c r="M1674" s="157">
        <v>3</v>
      </c>
      <c r="N1674" s="153">
        <f t="shared" si="285"/>
        <v>8</v>
      </c>
      <c r="O1674" s="157"/>
      <c r="P1674" s="157"/>
      <c r="Q1674" s="153">
        <f ca="1">OFFSET(card_type!$A$1,MATCH(card!B1674,card_type!B:B,0)-1,0)</f>
        <v>3005</v>
      </c>
      <c r="R1674" s="153">
        <v>1</v>
      </c>
      <c r="S1674" s="157">
        <f ca="1">ROUND(IF(R1674=0,0,IF(R1674=1,X1674*$S$1,IF(R1674=2,X1674*$S$1*buff的资质计算!$E$2,IF(R1674=3,X1674*$S$1*buff的资质计算!$E$3,0)))),0)*0</f>
        <v>0</v>
      </c>
      <c r="T1674" s="153">
        <v>3</v>
      </c>
      <c r="U1674" s="153">
        <f ca="1" t="shared" si="286"/>
        <v>22</v>
      </c>
      <c r="V1674" s="153">
        <f ca="1">ROUND((OFFSET(卡牌辅助配置表!$O$1,MATCH(U1674,卡牌辅助配置表!M:M,0)-1,0)+(N1674-1)*OFFSET(卡牌辅助配置表!$P$1,MATCH(U1674,卡牌辅助配置表!M:M,0)-1,0))*M1674,2)</f>
        <v>49.35</v>
      </c>
      <c r="W1674" s="157">
        <f ca="1">ROUND(IF(R1674=0,0,IF(R1674=1,X1674*$W$1,IF(R1674=2,X1674*$W$1*buff的资质计算!$E$2,IF(R1674=3,X1674*$W$1*buff的资质计算!$E$3,0)))),2)</f>
        <v>13.65</v>
      </c>
      <c r="X1674" s="157">
        <f ca="1" t="shared" si="281"/>
        <v>45.5</v>
      </c>
      <c r="Y1674" s="157">
        <f ca="1" t="shared" ref="Y1674:Y1737" si="289">X1674+H1674</f>
        <v>55.5</v>
      </c>
      <c r="Z1674" s="304">
        <f ca="1" t="shared" si="282"/>
        <v>18.5</v>
      </c>
      <c r="AA1674" s="304">
        <f ca="1">OFFSET(卡牌辅助配置表!$AD$1,MATCH(AB1674,卡牌辅助配置表!AB:AB,0)-1,0)</f>
        <v>1016</v>
      </c>
      <c r="AB1674" s="304">
        <f ca="1" t="shared" si="287"/>
        <v>2208</v>
      </c>
      <c r="AC1674" s="153">
        <v>12</v>
      </c>
      <c r="AF1674" s="153" t="str">
        <f ca="1" t="shared" si="279"/>
        <v>30050011|</v>
      </c>
      <c r="AJ1674" s="205" t="str">
        <f ca="1" t="shared" si="288"/>
        <v>400023|3150|;</v>
      </c>
      <c r="AK1674" s="205">
        <f ca="1">OFFSET([1]item_type!$A$1,MATCH(Q1674,[1]item_type!$G:$G,0)-1,0)</f>
        <v>303005</v>
      </c>
      <c r="AL1674" s="205"/>
      <c r="AM1674" s="205">
        <f ca="1">IF(B1674=B1675,OFFSET(卡牌辅助配置表!$AE$1,MATCH(AB1674,卡牌辅助配置表!AB:AB,0),0),0)</f>
        <v>3150</v>
      </c>
      <c r="AN1674" s="153">
        <f ca="1" t="shared" si="283"/>
        <v>3005009</v>
      </c>
      <c r="AP1674" s="153">
        <f ca="1">IF(AC1674=0,0,IF(AC1674=12,0,OFFSET(effect!$N$1,MATCH(K1674,effect!M:M,0)-1,0)))</f>
        <v>0</v>
      </c>
    </row>
    <row r="1675" spans="1:42">
      <c r="A1675" s="153">
        <f ca="1" t="shared" si="284"/>
        <v>3005009</v>
      </c>
      <c r="B1675" s="91" t="s">
        <v>419</v>
      </c>
      <c r="C1675" s="186">
        <v>3</v>
      </c>
      <c r="D1675" s="186">
        <v>4</v>
      </c>
      <c r="E1675" s="165" t="s">
        <v>1069</v>
      </c>
      <c r="F1675" s="179" t="s">
        <v>1055</v>
      </c>
      <c r="G1675" s="186">
        <f ca="1">OFFSET(卡牌辅助配置表!$C$1,MATCH(AC1675,卡牌辅助配置表!A:A,0)-1,0)</f>
        <v>0</v>
      </c>
      <c r="H1675" s="186">
        <f ca="1">OFFSET(skill!$Q$1,MATCH(B1675,skill!B:B,0)-1,0)</f>
        <v>10</v>
      </c>
      <c r="I1675" s="186"/>
      <c r="J1675" s="186">
        <f ca="1">OFFSET(card_type!$F$1,MATCH(Q1675,card_type!A:A,0)-1,0)</f>
        <v>2</v>
      </c>
      <c r="K1675" s="243">
        <f ca="1">OFFSET(card_type!$G$1,MATCH(Q1675,card_type!A:A,0)-1,0)</f>
        <v>2</v>
      </c>
      <c r="L1675" s="157">
        <v>3</v>
      </c>
      <c r="M1675" s="157">
        <v>3</v>
      </c>
      <c r="N1675" s="153">
        <f t="shared" si="285"/>
        <v>9</v>
      </c>
      <c r="O1675" s="157"/>
      <c r="P1675" s="157"/>
      <c r="Q1675" s="153">
        <f ca="1">OFFSET(card_type!$A$1,MATCH(card!B1675,card_type!B:B,0)-1,0)</f>
        <v>3005</v>
      </c>
      <c r="R1675" s="153">
        <v>1</v>
      </c>
      <c r="S1675" s="157">
        <f ca="1">ROUND(IF(R1675=0,0,IF(R1675=1,X1675*$S$1,IF(R1675=2,X1675*$S$1*buff的资质计算!$E$2,IF(R1675=3,X1675*$S$1*buff的资质计算!$E$3,0)))),0)*0</f>
        <v>0</v>
      </c>
      <c r="T1675" s="153">
        <v>3</v>
      </c>
      <c r="U1675" s="153">
        <f ca="1" t="shared" si="286"/>
        <v>22</v>
      </c>
      <c r="V1675" s="153">
        <f ca="1">ROUND((OFFSET(卡牌辅助配置表!$O$1,MATCH(U1675,卡牌辅助配置表!M:M,0)-1,0)+(N1675-1)*OFFSET(卡牌辅助配置表!$P$1,MATCH(U1675,卡牌辅助配置表!M:M,0)-1,0))*M1675,2)</f>
        <v>51.9</v>
      </c>
      <c r="W1675" s="157">
        <f ca="1">ROUND(IF(R1675=0,0,IF(R1675=1,X1675*$W$1,IF(R1675=2,X1675*$W$1*buff的资质计算!$E$2,IF(R1675=3,X1675*$W$1*buff的资质计算!$E$3,0)))),2)</f>
        <v>13.8</v>
      </c>
      <c r="X1675" s="157">
        <f ca="1" t="shared" si="281"/>
        <v>46</v>
      </c>
      <c r="Y1675" s="157">
        <f ca="1" t="shared" si="289"/>
        <v>56</v>
      </c>
      <c r="Z1675" s="304">
        <f ca="1" t="shared" si="282"/>
        <v>18.6666666666667</v>
      </c>
      <c r="AA1675" s="304">
        <f ca="1">OFFSET(卡牌辅助配置表!$AD$1,MATCH(AB1675,卡牌辅助配置表!AB:AB,0)-1,0)</f>
        <v>1143</v>
      </c>
      <c r="AB1675" s="304">
        <f ca="1" t="shared" si="287"/>
        <v>2209</v>
      </c>
      <c r="AC1675" s="153">
        <v>12</v>
      </c>
      <c r="AF1675" s="153" t="str">
        <f ca="1" t="shared" si="279"/>
        <v>30050011|</v>
      </c>
      <c r="AJ1675" s="205" t="str">
        <f ca="1" t="shared" si="288"/>
        <v>303005|15|;400023|3450|;</v>
      </c>
      <c r="AK1675" s="205">
        <f ca="1">OFFSET([1]item_type!$A$1,MATCH(Q1675,[1]item_type!$G:$G,0)-1,0)</f>
        <v>303005</v>
      </c>
      <c r="AL1675" s="205">
        <v>15</v>
      </c>
      <c r="AM1675" s="205">
        <f ca="1">IF(B1675=B1676,OFFSET(卡牌辅助配置表!$AE$1,MATCH(AB1675,卡牌辅助配置表!AB:AB,0),0),0)</f>
        <v>3450</v>
      </c>
      <c r="AN1675" s="153">
        <f ca="1" t="shared" si="283"/>
        <v>3005010</v>
      </c>
      <c r="AP1675" s="153">
        <f ca="1">IF(AC1675=0,0,IF(AC1675=12,0,OFFSET(effect!$N$1,MATCH(K1675,effect!M:M,0)-1,0)))</f>
        <v>0</v>
      </c>
    </row>
    <row r="1676" spans="1:42">
      <c r="A1676" s="153">
        <f ca="1" t="shared" si="284"/>
        <v>3005010</v>
      </c>
      <c r="B1676" s="91" t="s">
        <v>419</v>
      </c>
      <c r="C1676" s="186">
        <v>3</v>
      </c>
      <c r="D1676" s="186">
        <v>4</v>
      </c>
      <c r="E1676" s="165" t="s">
        <v>1069</v>
      </c>
      <c r="F1676" s="179" t="s">
        <v>1055</v>
      </c>
      <c r="G1676" s="186">
        <f ca="1">OFFSET(卡牌辅助配置表!$C$1,MATCH(AC1676,卡牌辅助配置表!A:A,0)-1,0)</f>
        <v>0</v>
      </c>
      <c r="H1676" s="186">
        <f ca="1">OFFSET(skill!$Q$1,MATCH(B1676,skill!B:B,0)-1,0)</f>
        <v>10</v>
      </c>
      <c r="I1676" s="186"/>
      <c r="J1676" s="186">
        <f ca="1">OFFSET(card_type!$F$1,MATCH(Q1676,card_type!A:A,0)-1,0)</f>
        <v>2</v>
      </c>
      <c r="K1676" s="243">
        <f ca="1">OFFSET(card_type!$G$1,MATCH(Q1676,card_type!A:A,0)-1,0)</f>
        <v>2</v>
      </c>
      <c r="L1676" s="157">
        <v>3</v>
      </c>
      <c r="M1676" s="157">
        <v>3</v>
      </c>
      <c r="N1676" s="153">
        <f t="shared" si="285"/>
        <v>10</v>
      </c>
      <c r="O1676" s="157"/>
      <c r="P1676" s="157"/>
      <c r="Q1676" s="153">
        <f ca="1">OFFSET(card_type!$A$1,MATCH(card!B1676,card_type!B:B,0)-1,0)</f>
        <v>3005</v>
      </c>
      <c r="R1676" s="153">
        <v>1</v>
      </c>
      <c r="S1676" s="157">
        <f ca="1">ROUND(IF(R1676=0,0,IF(R1676=1,X1676*$S$1,IF(R1676=2,X1676*$S$1*buff的资质计算!$E$2,IF(R1676=3,X1676*$S$1*buff的资质计算!$E$3,0)))),0)*0</f>
        <v>0</v>
      </c>
      <c r="T1676" s="153">
        <v>3</v>
      </c>
      <c r="U1676" s="153">
        <f ca="1" t="shared" si="286"/>
        <v>22</v>
      </c>
      <c r="V1676" s="153">
        <f ca="1">ROUND((OFFSET(卡牌辅助配置表!$O$1,MATCH(U1676,卡牌辅助配置表!M:M,0)-1,0)+(N1676-1)*OFFSET(卡牌辅助配置表!$P$1,MATCH(U1676,卡牌辅助配置表!M:M,0)-1,0))*M1676,2)</f>
        <v>54.45</v>
      </c>
      <c r="W1676" s="157">
        <f ca="1">ROUND(IF(R1676=0,0,IF(R1676=1,X1676*$W$1,IF(R1676=2,X1676*$W$1*buff的资质计算!$E$2,IF(R1676=3,X1676*$W$1*buff的资质计算!$E$3,0)))),2)</f>
        <v>13.95</v>
      </c>
      <c r="X1676" s="157">
        <f ca="1" t="shared" si="281"/>
        <v>46.5</v>
      </c>
      <c r="Y1676" s="157">
        <f ca="1" t="shared" si="289"/>
        <v>56.5</v>
      </c>
      <c r="Z1676" s="304">
        <f ca="1" t="shared" si="282"/>
        <v>18.8333333333333</v>
      </c>
      <c r="AA1676" s="304">
        <f ca="1">OFFSET(卡牌辅助配置表!$AD$1,MATCH(AB1676,卡牌辅助配置表!AB:AB,0)-1,0)</f>
        <v>1270</v>
      </c>
      <c r="AB1676" s="304">
        <f ca="1" t="shared" si="287"/>
        <v>2210</v>
      </c>
      <c r="AC1676" s="153">
        <v>12</v>
      </c>
      <c r="AF1676" s="153" t="str">
        <f ca="1" t="shared" si="279"/>
        <v>30050011|</v>
      </c>
      <c r="AJ1676" s="205" t="str">
        <f ca="1" t="shared" si="288"/>
        <v>400023|4050|;</v>
      </c>
      <c r="AK1676" s="205">
        <f ca="1">OFFSET([1]item_type!$A$1,MATCH(Q1676,[1]item_type!$G:$G,0)-1,0)</f>
        <v>303005</v>
      </c>
      <c r="AL1676" s="205"/>
      <c r="AM1676" s="205">
        <f ca="1">IF(B1676=B1677,OFFSET(卡牌辅助配置表!$AE$1,MATCH(AB1676,卡牌辅助配置表!AB:AB,0),0),0)</f>
        <v>4050</v>
      </c>
      <c r="AN1676" s="153">
        <f ca="1" t="shared" si="283"/>
        <v>3005011</v>
      </c>
      <c r="AP1676" s="153">
        <f ca="1">IF(AC1676=0,0,IF(AC1676=12,0,OFFSET(effect!$N$1,MATCH(K1676,effect!M:M,0)-1,0)))</f>
        <v>0</v>
      </c>
    </row>
    <row r="1677" spans="1:42">
      <c r="A1677" s="153">
        <f ca="1" t="shared" si="284"/>
        <v>3005011</v>
      </c>
      <c r="B1677" s="91" t="s">
        <v>419</v>
      </c>
      <c r="C1677" s="186">
        <v>3</v>
      </c>
      <c r="D1677" s="186">
        <v>4</v>
      </c>
      <c r="E1677" s="165" t="s">
        <v>1069</v>
      </c>
      <c r="F1677" s="179" t="s">
        <v>1055</v>
      </c>
      <c r="G1677" s="186">
        <f ca="1">OFFSET(卡牌辅助配置表!$C$1,MATCH(AC1677,卡牌辅助配置表!A:A,0)-1,0)</f>
        <v>0</v>
      </c>
      <c r="H1677" s="186">
        <f ca="1">OFFSET(skill!$Q$1,MATCH(B1677,skill!B:B,0)-1,0)</f>
        <v>10</v>
      </c>
      <c r="I1677" s="186"/>
      <c r="J1677" s="186">
        <f ca="1">OFFSET(card_type!$F$1,MATCH(Q1677,card_type!A:A,0)-1,0)</f>
        <v>2</v>
      </c>
      <c r="K1677" s="243">
        <f ca="1">OFFSET(card_type!$G$1,MATCH(Q1677,card_type!A:A,0)-1,0)</f>
        <v>2</v>
      </c>
      <c r="L1677" s="157">
        <v>3</v>
      </c>
      <c r="M1677" s="157">
        <v>3</v>
      </c>
      <c r="N1677" s="153">
        <f t="shared" si="285"/>
        <v>11</v>
      </c>
      <c r="O1677" s="157"/>
      <c r="P1677" s="157"/>
      <c r="Q1677" s="153">
        <f ca="1">OFFSET(card_type!$A$1,MATCH(card!B1677,card_type!B:B,0)-1,0)</f>
        <v>3005</v>
      </c>
      <c r="R1677" s="153">
        <v>1</v>
      </c>
      <c r="S1677" s="157">
        <f ca="1">ROUND(IF(R1677=0,0,IF(R1677=1,X1677*$S$1,IF(R1677=2,X1677*$S$1*buff的资质计算!$E$2,IF(R1677=3,X1677*$S$1*buff的资质计算!$E$3,0)))),0)*0</f>
        <v>0</v>
      </c>
      <c r="T1677" s="153">
        <v>3</v>
      </c>
      <c r="U1677" s="153">
        <f ca="1" t="shared" si="286"/>
        <v>22</v>
      </c>
      <c r="V1677" s="153">
        <f ca="1">ROUND((OFFSET(卡牌辅助配置表!$O$1,MATCH(U1677,卡牌辅助配置表!M:M,0)-1,0)+(N1677-1)*OFFSET(卡牌辅助配置表!$P$1,MATCH(U1677,卡牌辅助配置表!M:M,0)-1,0))*M1677,2)</f>
        <v>57</v>
      </c>
      <c r="W1677" s="157">
        <f ca="1">ROUND(IF(R1677=0,0,IF(R1677=1,X1677*$W$1,IF(R1677=2,X1677*$W$1*buff的资质计算!$E$2,IF(R1677=3,X1677*$W$1*buff的资质计算!$E$3,0)))),2)</f>
        <v>14.1</v>
      </c>
      <c r="X1677" s="157">
        <f ca="1" t="shared" si="281"/>
        <v>47</v>
      </c>
      <c r="Y1677" s="157">
        <f ca="1" t="shared" si="289"/>
        <v>57</v>
      </c>
      <c r="Z1677" s="304">
        <f ca="1" t="shared" si="282"/>
        <v>19</v>
      </c>
      <c r="AA1677" s="304">
        <f ca="1">OFFSET(卡牌辅助配置表!$AD$1,MATCH(AB1677,卡牌辅助配置表!AB:AB,0)-1,0)</f>
        <v>1439</v>
      </c>
      <c r="AB1677" s="304">
        <f ca="1" t="shared" si="287"/>
        <v>2211</v>
      </c>
      <c r="AC1677" s="153">
        <v>12</v>
      </c>
      <c r="AF1677" s="153" t="str">
        <f ca="1" t="shared" si="279"/>
        <v>30050011|</v>
      </c>
      <c r="AJ1677" s="205" t="str">
        <f ca="1" t="shared" si="288"/>
        <v>400023|4650|;</v>
      </c>
      <c r="AK1677" s="205">
        <f ca="1">OFFSET([1]item_type!$A$1,MATCH(Q1677,[1]item_type!$G:$G,0)-1,0)</f>
        <v>303005</v>
      </c>
      <c r="AL1677" s="205"/>
      <c r="AM1677" s="205">
        <f ca="1">IF(B1677=B1678,OFFSET(卡牌辅助配置表!$AE$1,MATCH(AB1677,卡牌辅助配置表!AB:AB,0),0),0)</f>
        <v>4650</v>
      </c>
      <c r="AN1677" s="153">
        <f ca="1" t="shared" si="283"/>
        <v>3005012</v>
      </c>
      <c r="AP1677" s="153">
        <f ca="1">IF(AC1677=0,0,IF(AC1677=12,0,OFFSET(effect!$N$1,MATCH(K1677,effect!M:M,0)-1,0)))</f>
        <v>0</v>
      </c>
    </row>
    <row r="1678" spans="1:42">
      <c r="A1678" s="153">
        <f ca="1" t="shared" si="284"/>
        <v>3005012</v>
      </c>
      <c r="B1678" s="91" t="s">
        <v>419</v>
      </c>
      <c r="C1678" s="186">
        <v>3</v>
      </c>
      <c r="D1678" s="186">
        <v>4</v>
      </c>
      <c r="E1678" s="165" t="s">
        <v>1069</v>
      </c>
      <c r="F1678" s="179" t="s">
        <v>1055</v>
      </c>
      <c r="G1678" s="186">
        <f ca="1">OFFSET(卡牌辅助配置表!$C$1,MATCH(AC1678,卡牌辅助配置表!A:A,0)-1,0)</f>
        <v>0</v>
      </c>
      <c r="H1678" s="186">
        <f ca="1">OFFSET(skill!$Q$1,MATCH(B1678,skill!B:B,0)-1,0)</f>
        <v>10</v>
      </c>
      <c r="I1678" s="186"/>
      <c r="J1678" s="186">
        <f ca="1">OFFSET(card_type!$F$1,MATCH(Q1678,card_type!A:A,0)-1,0)</f>
        <v>2</v>
      </c>
      <c r="K1678" s="243">
        <f ca="1">OFFSET(card_type!$G$1,MATCH(Q1678,card_type!A:A,0)-1,0)</f>
        <v>2</v>
      </c>
      <c r="L1678" s="157">
        <v>3</v>
      </c>
      <c r="M1678" s="157">
        <v>3</v>
      </c>
      <c r="N1678" s="153">
        <f t="shared" si="285"/>
        <v>12</v>
      </c>
      <c r="O1678" s="157"/>
      <c r="P1678" s="157"/>
      <c r="Q1678" s="153">
        <f ca="1">OFFSET(card_type!$A$1,MATCH(card!B1678,card_type!B:B,0)-1,0)</f>
        <v>3005</v>
      </c>
      <c r="R1678" s="153">
        <v>1</v>
      </c>
      <c r="S1678" s="157">
        <f ca="1">ROUND(IF(R1678=0,0,IF(R1678=1,X1678*$S$1,IF(R1678=2,X1678*$S$1*buff的资质计算!$E$2,IF(R1678=3,X1678*$S$1*buff的资质计算!$E$3,0)))),0)*0</f>
        <v>0</v>
      </c>
      <c r="T1678" s="153">
        <v>3</v>
      </c>
      <c r="U1678" s="153">
        <f ca="1" t="shared" si="286"/>
        <v>22</v>
      </c>
      <c r="V1678" s="153">
        <f ca="1">ROUND((OFFSET(卡牌辅助配置表!$O$1,MATCH(U1678,卡牌辅助配置表!M:M,0)-1,0)+(N1678-1)*OFFSET(卡牌辅助配置表!$P$1,MATCH(U1678,卡牌辅助配置表!M:M,0)-1,0))*M1678,2)</f>
        <v>59.55</v>
      </c>
      <c r="W1678" s="157">
        <f ca="1">ROUND(IF(R1678=0,0,IF(R1678=1,X1678*$W$1,IF(R1678=2,X1678*$W$1*buff的资质计算!$E$2,IF(R1678=3,X1678*$W$1*buff的资质计算!$E$3,0)))),2)</f>
        <v>14.25</v>
      </c>
      <c r="X1678" s="157">
        <f ca="1" t="shared" si="281"/>
        <v>47.5</v>
      </c>
      <c r="Y1678" s="157">
        <f ca="1" t="shared" si="289"/>
        <v>57.5</v>
      </c>
      <c r="Z1678" s="304">
        <f ca="1" t="shared" si="282"/>
        <v>19.1666666666667</v>
      </c>
      <c r="AA1678" s="304">
        <f ca="1">OFFSET(卡牌辅助配置表!$AD$1,MATCH(AB1678,卡牌辅助配置表!AB:AB,0)-1,0)</f>
        <v>1608</v>
      </c>
      <c r="AB1678" s="304">
        <f ca="1" t="shared" si="287"/>
        <v>2212</v>
      </c>
      <c r="AC1678" s="153">
        <v>12</v>
      </c>
      <c r="AF1678" s="153" t="str">
        <f ca="1" t="shared" si="279"/>
        <v>30050011|</v>
      </c>
      <c r="AJ1678" s="205" t="str">
        <f ca="1" t="shared" si="288"/>
        <v>400023|5250|;</v>
      </c>
      <c r="AK1678" s="205">
        <f ca="1">OFFSET([1]item_type!$A$1,MATCH(Q1678,[1]item_type!$G:$G,0)-1,0)</f>
        <v>303005</v>
      </c>
      <c r="AL1678" s="205"/>
      <c r="AM1678" s="205">
        <f ca="1">IF(B1678=B1679,OFFSET(卡牌辅助配置表!$AE$1,MATCH(AB1678,卡牌辅助配置表!AB:AB,0),0),0)</f>
        <v>5250</v>
      </c>
      <c r="AN1678" s="153">
        <f ca="1" t="shared" si="283"/>
        <v>3005013</v>
      </c>
      <c r="AP1678" s="153">
        <f ca="1">IF(AC1678=0,0,IF(AC1678=12,0,OFFSET(effect!$N$1,MATCH(K1678,effect!M:M,0)-1,0)))</f>
        <v>0</v>
      </c>
    </row>
    <row r="1679" spans="1:42">
      <c r="A1679" s="153">
        <f ca="1" t="shared" si="284"/>
        <v>3005013</v>
      </c>
      <c r="B1679" s="91" t="s">
        <v>419</v>
      </c>
      <c r="C1679" s="186">
        <v>3</v>
      </c>
      <c r="D1679" s="186">
        <v>4</v>
      </c>
      <c r="E1679" s="165" t="s">
        <v>1069</v>
      </c>
      <c r="F1679" s="179" t="s">
        <v>1055</v>
      </c>
      <c r="G1679" s="186">
        <f ca="1">OFFSET(卡牌辅助配置表!$C$1,MATCH(AC1679,卡牌辅助配置表!A:A,0)-1,0)</f>
        <v>0</v>
      </c>
      <c r="H1679" s="186">
        <f ca="1">OFFSET(skill!$Q$1,MATCH(B1679,skill!B:B,0)-1,0)</f>
        <v>10</v>
      </c>
      <c r="I1679" s="186"/>
      <c r="J1679" s="186">
        <f ca="1">OFFSET(card_type!$F$1,MATCH(Q1679,card_type!A:A,0)-1,0)</f>
        <v>2</v>
      </c>
      <c r="K1679" s="243">
        <f ca="1">OFFSET(card_type!$G$1,MATCH(Q1679,card_type!A:A,0)-1,0)</f>
        <v>2</v>
      </c>
      <c r="L1679" s="157">
        <v>3</v>
      </c>
      <c r="M1679" s="157">
        <v>3</v>
      </c>
      <c r="N1679" s="153">
        <f t="shared" si="285"/>
        <v>13</v>
      </c>
      <c r="O1679" s="157"/>
      <c r="P1679" s="157"/>
      <c r="Q1679" s="153">
        <f ca="1">OFFSET(card_type!$A$1,MATCH(card!B1679,card_type!B:B,0)-1,0)</f>
        <v>3005</v>
      </c>
      <c r="R1679" s="153">
        <v>1</v>
      </c>
      <c r="S1679" s="157">
        <f ca="1">ROUND(IF(R1679=0,0,IF(R1679=1,X1679*$S$1,IF(R1679=2,X1679*$S$1*buff的资质计算!$E$2,IF(R1679=3,X1679*$S$1*buff的资质计算!$E$3,0)))),0)*0</f>
        <v>0</v>
      </c>
      <c r="T1679" s="153">
        <v>3</v>
      </c>
      <c r="U1679" s="153">
        <f ca="1" t="shared" si="286"/>
        <v>22</v>
      </c>
      <c r="V1679" s="153">
        <f ca="1">ROUND((OFFSET(卡牌辅助配置表!$O$1,MATCH(U1679,卡牌辅助配置表!M:M,0)-1,0)+(N1679-1)*OFFSET(卡牌辅助配置表!$P$1,MATCH(U1679,卡牌辅助配置表!M:M,0)-1,0))*M1679,2)</f>
        <v>62.1</v>
      </c>
      <c r="W1679" s="157">
        <f ca="1">ROUND(IF(R1679=0,0,IF(R1679=1,X1679*$W$1,IF(R1679=2,X1679*$W$1*buff的资质计算!$E$2,IF(R1679=3,X1679*$W$1*buff的资质计算!$E$3,0)))),2)</f>
        <v>14.4</v>
      </c>
      <c r="X1679" s="157">
        <f ca="1" t="shared" si="281"/>
        <v>48</v>
      </c>
      <c r="Y1679" s="157">
        <f ca="1" t="shared" si="289"/>
        <v>58</v>
      </c>
      <c r="Z1679" s="304">
        <f ca="1" t="shared" si="282"/>
        <v>19.3333333333333</v>
      </c>
      <c r="AA1679" s="304">
        <f ca="1">OFFSET(卡牌辅助配置表!$AD$1,MATCH(AB1679,卡牌辅助配置表!AB:AB,0)-1,0)</f>
        <v>1777</v>
      </c>
      <c r="AB1679" s="304">
        <f ca="1" t="shared" si="287"/>
        <v>2213</v>
      </c>
      <c r="AC1679" s="153">
        <v>12</v>
      </c>
      <c r="AF1679" s="153" t="str">
        <f ca="1" t="shared" si="279"/>
        <v>30050011|</v>
      </c>
      <c r="AJ1679" s="205" t="str">
        <f ca="1" t="shared" si="288"/>
        <v>400023|5850|;</v>
      </c>
      <c r="AK1679" s="205">
        <f ca="1">OFFSET([1]item_type!$A$1,MATCH(Q1679,[1]item_type!$G:$G,0)-1,0)</f>
        <v>303005</v>
      </c>
      <c r="AL1679" s="205"/>
      <c r="AM1679" s="205">
        <f ca="1">IF(B1679=B1680,OFFSET(卡牌辅助配置表!$AE$1,MATCH(AB1679,卡牌辅助配置表!AB:AB,0),0),0)</f>
        <v>5850</v>
      </c>
      <c r="AN1679" s="153">
        <f ca="1" t="shared" si="283"/>
        <v>3005014</v>
      </c>
      <c r="AP1679" s="153">
        <f ca="1">IF(AC1679=0,0,IF(AC1679=12,0,OFFSET(effect!$N$1,MATCH(K1679,effect!M:M,0)-1,0)))</f>
        <v>0</v>
      </c>
    </row>
    <row r="1680" spans="1:42">
      <c r="A1680" s="153">
        <f ca="1" t="shared" si="284"/>
        <v>3005014</v>
      </c>
      <c r="B1680" s="91" t="s">
        <v>419</v>
      </c>
      <c r="C1680" s="186">
        <v>3</v>
      </c>
      <c r="D1680" s="186">
        <v>4</v>
      </c>
      <c r="E1680" s="165" t="s">
        <v>1069</v>
      </c>
      <c r="F1680" s="179" t="s">
        <v>1055</v>
      </c>
      <c r="G1680" s="186">
        <f ca="1">OFFSET(卡牌辅助配置表!$C$1,MATCH(AC1680,卡牌辅助配置表!A:A,0)-1,0)</f>
        <v>0</v>
      </c>
      <c r="H1680" s="186">
        <f ca="1">OFFSET(skill!$Q$1,MATCH(B1680,skill!B:B,0)-1,0)</f>
        <v>10</v>
      </c>
      <c r="I1680" s="186"/>
      <c r="J1680" s="186">
        <f ca="1">OFFSET(card_type!$F$1,MATCH(Q1680,card_type!A:A,0)-1,0)</f>
        <v>2</v>
      </c>
      <c r="K1680" s="243">
        <f ca="1">OFFSET(card_type!$G$1,MATCH(Q1680,card_type!A:A,0)-1,0)</f>
        <v>2</v>
      </c>
      <c r="L1680" s="157">
        <v>3</v>
      </c>
      <c r="M1680" s="157">
        <v>3</v>
      </c>
      <c r="N1680" s="153">
        <f t="shared" si="285"/>
        <v>14</v>
      </c>
      <c r="O1680" s="157"/>
      <c r="P1680" s="157"/>
      <c r="Q1680" s="153">
        <f ca="1">OFFSET(card_type!$A$1,MATCH(card!B1680,card_type!B:B,0)-1,0)</f>
        <v>3005</v>
      </c>
      <c r="R1680" s="153">
        <v>1</v>
      </c>
      <c r="S1680" s="157">
        <f ca="1">ROUND(IF(R1680=0,0,IF(R1680=1,X1680*$S$1,IF(R1680=2,X1680*$S$1*buff的资质计算!$E$2,IF(R1680=3,X1680*$S$1*buff的资质计算!$E$3,0)))),0)*0</f>
        <v>0</v>
      </c>
      <c r="T1680" s="153">
        <v>3</v>
      </c>
      <c r="U1680" s="153">
        <f ca="1" t="shared" si="286"/>
        <v>22</v>
      </c>
      <c r="V1680" s="153">
        <f ca="1">ROUND((OFFSET(卡牌辅助配置表!$O$1,MATCH(U1680,卡牌辅助配置表!M:M,0)-1,0)+(N1680-1)*OFFSET(卡牌辅助配置表!$P$1,MATCH(U1680,卡牌辅助配置表!M:M,0)-1,0))*M1680,2)</f>
        <v>64.65</v>
      </c>
      <c r="W1680" s="157">
        <f ca="1">ROUND(IF(R1680=0,0,IF(R1680=1,X1680*$W$1,IF(R1680=2,X1680*$W$1*buff的资质计算!$E$2,IF(R1680=3,X1680*$W$1*buff的资质计算!$E$3,0)))),2)</f>
        <v>14.55</v>
      </c>
      <c r="X1680" s="157">
        <f ca="1" t="shared" si="281"/>
        <v>48.5</v>
      </c>
      <c r="Y1680" s="157">
        <f ca="1" t="shared" si="289"/>
        <v>58.5</v>
      </c>
      <c r="Z1680" s="304">
        <f ca="1" t="shared" si="282"/>
        <v>19.5</v>
      </c>
      <c r="AA1680" s="304">
        <f ca="1">OFFSET(卡牌辅助配置表!$AD$1,MATCH(AB1680,卡牌辅助配置表!AB:AB,0)-1,0)</f>
        <v>1946</v>
      </c>
      <c r="AB1680" s="304">
        <f ca="1" t="shared" si="287"/>
        <v>2214</v>
      </c>
      <c r="AC1680" s="153">
        <v>12</v>
      </c>
      <c r="AF1680" s="153" t="str">
        <f ca="1" t="shared" si="279"/>
        <v>30050011|</v>
      </c>
      <c r="AJ1680" s="205" t="str">
        <f ca="1" t="shared" si="288"/>
        <v>400023|6450|;</v>
      </c>
      <c r="AK1680" s="205">
        <f ca="1">OFFSET([1]item_type!$A$1,MATCH(Q1680,[1]item_type!$G:$G,0)-1,0)</f>
        <v>303005</v>
      </c>
      <c r="AL1680" s="205"/>
      <c r="AM1680" s="205">
        <f ca="1">IF(B1680=B1681,OFFSET(卡牌辅助配置表!$AE$1,MATCH(AB1680,卡牌辅助配置表!AB:AB,0),0),0)</f>
        <v>6450</v>
      </c>
      <c r="AN1680" s="153">
        <f ca="1" t="shared" si="283"/>
        <v>3005015</v>
      </c>
      <c r="AP1680" s="153">
        <f ca="1">IF(AC1680=0,0,IF(AC1680=12,0,OFFSET(effect!$N$1,MATCH(K1680,effect!M:M,0)-1,0)))</f>
        <v>0</v>
      </c>
    </row>
    <row r="1681" spans="1:42">
      <c r="A1681" s="153">
        <f ca="1" t="shared" si="284"/>
        <v>3005015</v>
      </c>
      <c r="B1681" s="91" t="s">
        <v>419</v>
      </c>
      <c r="C1681" s="186">
        <v>3</v>
      </c>
      <c r="D1681" s="186">
        <v>4</v>
      </c>
      <c r="E1681" s="165" t="s">
        <v>1069</v>
      </c>
      <c r="F1681" s="179" t="s">
        <v>1055</v>
      </c>
      <c r="G1681" s="186">
        <f ca="1">OFFSET(卡牌辅助配置表!$C$1,MATCH(AC1681,卡牌辅助配置表!A:A,0)-1,0)</f>
        <v>0</v>
      </c>
      <c r="H1681" s="186">
        <f ca="1">OFFSET(skill!$Q$1,MATCH(B1681,skill!B:B,0)-1,0)</f>
        <v>10</v>
      </c>
      <c r="I1681" s="186"/>
      <c r="J1681" s="186">
        <f ca="1">OFFSET(card_type!$F$1,MATCH(Q1681,card_type!A:A,0)-1,0)</f>
        <v>2</v>
      </c>
      <c r="K1681" s="243">
        <f ca="1">OFFSET(card_type!$G$1,MATCH(Q1681,card_type!A:A,0)-1,0)</f>
        <v>2</v>
      </c>
      <c r="L1681" s="157">
        <v>3</v>
      </c>
      <c r="M1681" s="157">
        <v>3</v>
      </c>
      <c r="N1681" s="153">
        <f t="shared" si="285"/>
        <v>15</v>
      </c>
      <c r="O1681" s="157"/>
      <c r="P1681" s="157"/>
      <c r="Q1681" s="153">
        <f ca="1">OFFSET(card_type!$A$1,MATCH(card!B1681,card_type!B:B,0)-1,0)</f>
        <v>3005</v>
      </c>
      <c r="R1681" s="153">
        <v>1</v>
      </c>
      <c r="S1681" s="157">
        <f ca="1">ROUND(IF(R1681=0,0,IF(R1681=1,X1681*$S$1,IF(R1681=2,X1681*$S$1*buff的资质计算!$E$2,IF(R1681=3,X1681*$S$1*buff的资质计算!$E$3,0)))),0)*0</f>
        <v>0</v>
      </c>
      <c r="T1681" s="153">
        <v>3</v>
      </c>
      <c r="U1681" s="153">
        <f ca="1" t="shared" si="286"/>
        <v>22</v>
      </c>
      <c r="V1681" s="153">
        <f ca="1">ROUND((OFFSET(卡牌辅助配置表!$O$1,MATCH(U1681,卡牌辅助配置表!M:M,0)-1,0)+(N1681-1)*OFFSET(卡牌辅助配置表!$P$1,MATCH(U1681,卡牌辅助配置表!M:M,0)-1,0))*M1681,2)</f>
        <v>67.2</v>
      </c>
      <c r="W1681" s="157">
        <f ca="1">ROUND(IF(R1681=0,0,IF(R1681=1,X1681*$W$1,IF(R1681=2,X1681*$W$1*buff的资质计算!$E$2,IF(R1681=3,X1681*$W$1*buff的资质计算!$E$3,0)))),2)</f>
        <v>14.7</v>
      </c>
      <c r="X1681" s="157">
        <f ca="1" t="shared" si="281"/>
        <v>49</v>
      </c>
      <c r="Y1681" s="157">
        <f ca="1" t="shared" si="289"/>
        <v>59</v>
      </c>
      <c r="Z1681" s="304">
        <f ca="1" t="shared" si="282"/>
        <v>19.6666666666667</v>
      </c>
      <c r="AA1681" s="304">
        <f ca="1">OFFSET(卡牌辅助配置表!$AD$1,MATCH(AB1681,卡牌辅助配置表!AB:AB,0)-1,0)</f>
        <v>2115</v>
      </c>
      <c r="AB1681" s="304">
        <f ca="1" t="shared" si="287"/>
        <v>2215</v>
      </c>
      <c r="AC1681" s="153">
        <v>12</v>
      </c>
      <c r="AF1681" s="153" t="str">
        <f ca="1" t="shared" si="279"/>
        <v>30050011|</v>
      </c>
      <c r="AJ1681" s="205" t="str">
        <f ca="1" t="shared" si="288"/>
        <v>400023|7050|;</v>
      </c>
      <c r="AK1681" s="205">
        <f ca="1">OFFSET([1]item_type!$A$1,MATCH(Q1681,[1]item_type!$G:$G,0)-1,0)</f>
        <v>303005</v>
      </c>
      <c r="AL1681" s="205"/>
      <c r="AM1681" s="205">
        <f ca="1">IF(B1681=B1682,OFFSET(卡牌辅助配置表!$AE$1,MATCH(AB1681,卡牌辅助配置表!AB:AB,0),0),0)</f>
        <v>7050</v>
      </c>
      <c r="AN1681" s="153">
        <f ca="1" t="shared" si="283"/>
        <v>3005016</v>
      </c>
      <c r="AP1681" s="153">
        <f ca="1">IF(AC1681=0,0,IF(AC1681=12,0,OFFSET(effect!$N$1,MATCH(K1681,effect!M:M,0)-1,0)))</f>
        <v>0</v>
      </c>
    </row>
    <row r="1682" spans="1:42">
      <c r="A1682" s="153">
        <f ca="1" t="shared" si="284"/>
        <v>3005016</v>
      </c>
      <c r="B1682" s="91" t="s">
        <v>419</v>
      </c>
      <c r="C1682" s="186">
        <v>3</v>
      </c>
      <c r="D1682" s="186">
        <v>4</v>
      </c>
      <c r="E1682" s="165" t="s">
        <v>1069</v>
      </c>
      <c r="F1682" s="179" t="s">
        <v>1055</v>
      </c>
      <c r="G1682" s="186">
        <f ca="1">OFFSET(卡牌辅助配置表!$C$1,MATCH(AC1682,卡牌辅助配置表!A:A,0)-1,0)</f>
        <v>0</v>
      </c>
      <c r="H1682" s="186">
        <f ca="1">OFFSET(skill!$Q$1,MATCH(B1682,skill!B:B,0)-1,0)</f>
        <v>10</v>
      </c>
      <c r="I1682" s="186"/>
      <c r="J1682" s="186">
        <f ca="1">OFFSET(card_type!$F$1,MATCH(Q1682,card_type!A:A,0)-1,0)</f>
        <v>2</v>
      </c>
      <c r="K1682" s="243">
        <f ca="1">OFFSET(card_type!$G$1,MATCH(Q1682,card_type!A:A,0)-1,0)</f>
        <v>2</v>
      </c>
      <c r="L1682" s="157">
        <v>3</v>
      </c>
      <c r="M1682" s="157">
        <v>3</v>
      </c>
      <c r="N1682" s="153">
        <f t="shared" si="285"/>
        <v>16</v>
      </c>
      <c r="O1682" s="157"/>
      <c r="P1682" s="157"/>
      <c r="Q1682" s="153">
        <f ca="1">OFFSET(card_type!$A$1,MATCH(card!B1682,card_type!B:B,0)-1,0)</f>
        <v>3005</v>
      </c>
      <c r="R1682" s="153">
        <v>1</v>
      </c>
      <c r="S1682" s="157">
        <f ca="1">ROUND(IF(R1682=0,0,IF(R1682=1,X1682*$S$1,IF(R1682=2,X1682*$S$1*buff的资质计算!$E$2,IF(R1682=3,X1682*$S$1*buff的资质计算!$E$3,0)))),0)*0</f>
        <v>0</v>
      </c>
      <c r="T1682" s="153">
        <v>3</v>
      </c>
      <c r="U1682" s="153">
        <f ca="1" t="shared" si="286"/>
        <v>22</v>
      </c>
      <c r="V1682" s="153">
        <f ca="1">ROUND((OFFSET(卡牌辅助配置表!$O$1,MATCH(U1682,卡牌辅助配置表!M:M,0)-1,0)+(N1682-1)*OFFSET(卡牌辅助配置表!$P$1,MATCH(U1682,卡牌辅助配置表!M:M,0)-1,0))*M1682,2)</f>
        <v>69.75</v>
      </c>
      <c r="W1682" s="157">
        <f ca="1">ROUND(IF(R1682=0,0,IF(R1682=1,X1682*$W$1,IF(R1682=2,X1682*$W$1*buff的资质计算!$E$2,IF(R1682=3,X1682*$W$1*buff的资质计算!$E$3,0)))),2)</f>
        <v>14.85</v>
      </c>
      <c r="X1682" s="157">
        <f ca="1" t="shared" si="281"/>
        <v>49.5</v>
      </c>
      <c r="Y1682" s="157">
        <f ca="1" t="shared" si="289"/>
        <v>59.5</v>
      </c>
      <c r="Z1682" s="304">
        <f ca="1" t="shared" si="282"/>
        <v>19.8333333333333</v>
      </c>
      <c r="AA1682" s="304">
        <f ca="1">OFFSET(卡牌辅助配置表!$AD$1,MATCH(AB1682,卡牌辅助配置表!AB:AB,0)-1,0)</f>
        <v>2284</v>
      </c>
      <c r="AB1682" s="304">
        <f ca="1" t="shared" si="287"/>
        <v>2216</v>
      </c>
      <c r="AC1682" s="153">
        <v>12</v>
      </c>
      <c r="AF1682" s="153" t="str">
        <f ca="1" t="shared" si="279"/>
        <v>30050011|</v>
      </c>
      <c r="AJ1682" s="205" t="str">
        <f ca="1" t="shared" si="288"/>
        <v>400023|7650|;</v>
      </c>
      <c r="AK1682" s="205">
        <f ca="1">OFFSET([1]item_type!$A$1,MATCH(Q1682,[1]item_type!$G:$G,0)-1,0)</f>
        <v>303005</v>
      </c>
      <c r="AL1682" s="205"/>
      <c r="AM1682" s="205">
        <f ca="1">IF(B1682=B1683,OFFSET(卡牌辅助配置表!$AE$1,MATCH(AB1682,卡牌辅助配置表!AB:AB,0),0),0)</f>
        <v>7650</v>
      </c>
      <c r="AN1682" s="153">
        <f ca="1" t="shared" si="283"/>
        <v>3005017</v>
      </c>
      <c r="AP1682" s="153">
        <f ca="1">IF(AC1682=0,0,IF(AC1682=12,0,OFFSET(effect!$N$1,MATCH(K1682,effect!M:M,0)-1,0)))</f>
        <v>0</v>
      </c>
    </row>
    <row r="1683" spans="1:42">
      <c r="A1683" s="153">
        <f ca="1" t="shared" si="284"/>
        <v>3005017</v>
      </c>
      <c r="B1683" s="91" t="s">
        <v>419</v>
      </c>
      <c r="C1683" s="186">
        <v>3</v>
      </c>
      <c r="D1683" s="186">
        <v>4</v>
      </c>
      <c r="E1683" s="165" t="s">
        <v>1069</v>
      </c>
      <c r="F1683" s="179" t="s">
        <v>1055</v>
      </c>
      <c r="G1683" s="186">
        <f ca="1">OFFSET(卡牌辅助配置表!$C$1,MATCH(AC1683,卡牌辅助配置表!A:A,0)-1,0)</f>
        <v>0</v>
      </c>
      <c r="H1683" s="186">
        <f ca="1">OFFSET(skill!$Q$1,MATCH(B1683,skill!B:B,0)-1,0)</f>
        <v>10</v>
      </c>
      <c r="I1683" s="186"/>
      <c r="J1683" s="186">
        <f ca="1">OFFSET(card_type!$F$1,MATCH(Q1683,card_type!A:A,0)-1,0)</f>
        <v>2</v>
      </c>
      <c r="K1683" s="243">
        <f ca="1">OFFSET(card_type!$G$1,MATCH(Q1683,card_type!A:A,0)-1,0)</f>
        <v>2</v>
      </c>
      <c r="L1683" s="157">
        <v>3</v>
      </c>
      <c r="M1683" s="157">
        <v>3</v>
      </c>
      <c r="N1683" s="153">
        <f t="shared" si="285"/>
        <v>17</v>
      </c>
      <c r="O1683" s="157"/>
      <c r="P1683" s="157"/>
      <c r="Q1683" s="153">
        <f ca="1">OFFSET(card_type!$A$1,MATCH(card!B1683,card_type!B:B,0)-1,0)</f>
        <v>3005</v>
      </c>
      <c r="R1683" s="153">
        <v>1</v>
      </c>
      <c r="S1683" s="157">
        <f ca="1">ROUND(IF(R1683=0,0,IF(R1683=1,X1683*$S$1,IF(R1683=2,X1683*$S$1*buff的资质计算!$E$2,IF(R1683=3,X1683*$S$1*buff的资质计算!$E$3,0)))),0)*0</f>
        <v>0</v>
      </c>
      <c r="T1683" s="153">
        <v>3</v>
      </c>
      <c r="U1683" s="153">
        <f ca="1" t="shared" si="286"/>
        <v>22</v>
      </c>
      <c r="V1683" s="153">
        <f ca="1">ROUND((OFFSET(卡牌辅助配置表!$O$1,MATCH(U1683,卡牌辅助配置表!M:M,0)-1,0)+(N1683-1)*OFFSET(卡牌辅助配置表!$P$1,MATCH(U1683,卡牌辅助配置表!M:M,0)-1,0))*M1683,2)</f>
        <v>72.3</v>
      </c>
      <c r="W1683" s="157">
        <f ca="1">ROUND(IF(R1683=0,0,IF(R1683=1,X1683*$W$1,IF(R1683=2,X1683*$W$1*buff的资质计算!$E$2,IF(R1683=3,X1683*$W$1*buff的资质计算!$E$3,0)))),2)</f>
        <v>15</v>
      </c>
      <c r="X1683" s="157">
        <f ca="1" t="shared" si="281"/>
        <v>50</v>
      </c>
      <c r="Y1683" s="157">
        <f ca="1" t="shared" si="289"/>
        <v>60</v>
      </c>
      <c r="Z1683" s="304">
        <f ca="1" t="shared" si="282"/>
        <v>20</v>
      </c>
      <c r="AA1683" s="304">
        <f ca="1">OFFSET(卡牌辅助配置表!$AD$1,MATCH(AB1683,卡牌辅助配置表!AB:AB,0)-1,0)</f>
        <v>2453</v>
      </c>
      <c r="AB1683" s="304">
        <f ca="1" t="shared" si="287"/>
        <v>2217</v>
      </c>
      <c r="AC1683" s="153">
        <v>12</v>
      </c>
      <c r="AF1683" s="153" t="str">
        <f ca="1" t="shared" si="279"/>
        <v>30050011|</v>
      </c>
      <c r="AJ1683" s="205" t="str">
        <f ca="1" t="shared" si="288"/>
        <v>400023|8250|;</v>
      </c>
      <c r="AK1683" s="205">
        <f ca="1">OFFSET([1]item_type!$A$1,MATCH(Q1683,[1]item_type!$G:$G,0)-1,0)</f>
        <v>303005</v>
      </c>
      <c r="AL1683" s="205"/>
      <c r="AM1683" s="205">
        <f ca="1">IF(B1683=B1684,OFFSET(卡牌辅助配置表!$AE$1,MATCH(AB1683,卡牌辅助配置表!AB:AB,0),0),0)</f>
        <v>8250</v>
      </c>
      <c r="AN1683" s="153">
        <f ca="1" t="shared" si="283"/>
        <v>3005018</v>
      </c>
      <c r="AP1683" s="153">
        <f ca="1">IF(AC1683=0,0,IF(AC1683=12,0,OFFSET(effect!$N$1,MATCH(K1683,effect!M:M,0)-1,0)))</f>
        <v>0</v>
      </c>
    </row>
    <row r="1684" spans="1:42">
      <c r="A1684" s="153">
        <f ca="1" t="shared" si="284"/>
        <v>3005018</v>
      </c>
      <c r="B1684" s="91" t="s">
        <v>419</v>
      </c>
      <c r="C1684" s="186">
        <v>3</v>
      </c>
      <c r="D1684" s="186">
        <v>4</v>
      </c>
      <c r="E1684" s="165" t="s">
        <v>1069</v>
      </c>
      <c r="F1684" s="179" t="s">
        <v>1055</v>
      </c>
      <c r="G1684" s="186">
        <f ca="1">OFFSET(卡牌辅助配置表!$C$1,MATCH(AC1684,卡牌辅助配置表!A:A,0)-1,0)</f>
        <v>0</v>
      </c>
      <c r="H1684" s="186">
        <f ca="1">OFFSET(skill!$Q$1,MATCH(B1684,skill!B:B,0)-1,0)</f>
        <v>10</v>
      </c>
      <c r="I1684" s="186"/>
      <c r="J1684" s="186">
        <f ca="1">OFFSET(card_type!$F$1,MATCH(Q1684,card_type!A:A,0)-1,0)</f>
        <v>2</v>
      </c>
      <c r="K1684" s="243">
        <f ca="1">OFFSET(card_type!$G$1,MATCH(Q1684,card_type!A:A,0)-1,0)</f>
        <v>2</v>
      </c>
      <c r="L1684" s="157">
        <v>3</v>
      </c>
      <c r="M1684" s="157">
        <v>3</v>
      </c>
      <c r="N1684" s="153">
        <f t="shared" si="285"/>
        <v>18</v>
      </c>
      <c r="O1684" s="157"/>
      <c r="P1684" s="157"/>
      <c r="Q1684" s="153">
        <f ca="1">OFFSET(card_type!$A$1,MATCH(card!B1684,card_type!B:B,0)-1,0)</f>
        <v>3005</v>
      </c>
      <c r="R1684" s="153">
        <v>1</v>
      </c>
      <c r="S1684" s="157">
        <f ca="1">ROUND(IF(R1684=0,0,IF(R1684=1,X1684*$S$1,IF(R1684=2,X1684*$S$1*buff的资质计算!$E$2,IF(R1684=3,X1684*$S$1*buff的资质计算!$E$3,0)))),0)*0</f>
        <v>0</v>
      </c>
      <c r="T1684" s="153">
        <v>3</v>
      </c>
      <c r="U1684" s="153">
        <f ca="1" t="shared" si="286"/>
        <v>22</v>
      </c>
      <c r="V1684" s="153">
        <f ca="1">ROUND((OFFSET(卡牌辅助配置表!$O$1,MATCH(U1684,卡牌辅助配置表!M:M,0)-1,0)+(N1684-1)*OFFSET(卡牌辅助配置表!$P$1,MATCH(U1684,卡牌辅助配置表!M:M,0)-1,0))*M1684,2)</f>
        <v>74.85</v>
      </c>
      <c r="W1684" s="157">
        <f ca="1">ROUND(IF(R1684=0,0,IF(R1684=1,X1684*$W$1,IF(R1684=2,X1684*$W$1*buff的资质计算!$E$2,IF(R1684=3,X1684*$W$1*buff的资质计算!$E$3,0)))),2)</f>
        <v>15.15</v>
      </c>
      <c r="X1684" s="157">
        <f ca="1" t="shared" si="281"/>
        <v>50.5</v>
      </c>
      <c r="Y1684" s="157">
        <f ca="1" t="shared" si="289"/>
        <v>60.5</v>
      </c>
      <c r="Z1684" s="304">
        <f ca="1" t="shared" si="282"/>
        <v>20.1666666666667</v>
      </c>
      <c r="AA1684" s="304">
        <f ca="1">OFFSET(卡牌辅助配置表!$AD$1,MATCH(AB1684,卡牌辅助配置表!AB:AB,0)-1,0)</f>
        <v>2622</v>
      </c>
      <c r="AB1684" s="304">
        <f ca="1" t="shared" si="287"/>
        <v>2218</v>
      </c>
      <c r="AC1684" s="153">
        <v>12</v>
      </c>
      <c r="AF1684" s="153" t="str">
        <f ca="1" t="shared" si="279"/>
        <v>30050011|</v>
      </c>
      <c r="AJ1684" s="205" t="str">
        <f ca="1" t="shared" si="288"/>
        <v>400023|8850|;</v>
      </c>
      <c r="AK1684" s="205">
        <f ca="1">OFFSET([1]item_type!$A$1,MATCH(Q1684,[1]item_type!$G:$G,0)-1,0)</f>
        <v>303005</v>
      </c>
      <c r="AL1684" s="205"/>
      <c r="AM1684" s="205">
        <f ca="1">IF(B1684=B1685,OFFSET(卡牌辅助配置表!$AE$1,MATCH(AB1684,卡牌辅助配置表!AB:AB,0),0),0)</f>
        <v>8850</v>
      </c>
      <c r="AN1684" s="153">
        <f ca="1" t="shared" si="283"/>
        <v>3005019</v>
      </c>
      <c r="AP1684" s="153">
        <f ca="1">IF(AC1684=0,0,IF(AC1684=12,0,OFFSET(effect!$N$1,MATCH(K1684,effect!M:M,0)-1,0)))</f>
        <v>0</v>
      </c>
    </row>
    <row r="1685" spans="1:42">
      <c r="A1685" s="153">
        <f ca="1" t="shared" si="284"/>
        <v>3005019</v>
      </c>
      <c r="B1685" s="91" t="s">
        <v>419</v>
      </c>
      <c r="C1685" s="186">
        <v>3</v>
      </c>
      <c r="D1685" s="186">
        <v>4</v>
      </c>
      <c r="E1685" s="165" t="s">
        <v>1069</v>
      </c>
      <c r="F1685" s="179" t="s">
        <v>1055</v>
      </c>
      <c r="G1685" s="186">
        <f ca="1">OFFSET(卡牌辅助配置表!$C$1,MATCH(AC1685,卡牌辅助配置表!A:A,0)-1,0)</f>
        <v>0</v>
      </c>
      <c r="H1685" s="186">
        <f ca="1">OFFSET(skill!$Q$1,MATCH(B1685,skill!B:B,0)-1,0)</f>
        <v>10</v>
      </c>
      <c r="I1685" s="186"/>
      <c r="J1685" s="186">
        <f ca="1">OFFSET(card_type!$F$1,MATCH(Q1685,card_type!A:A,0)-1,0)</f>
        <v>2</v>
      </c>
      <c r="K1685" s="243">
        <f ca="1">OFFSET(card_type!$G$1,MATCH(Q1685,card_type!A:A,0)-1,0)</f>
        <v>2</v>
      </c>
      <c r="L1685" s="157">
        <v>3</v>
      </c>
      <c r="M1685" s="157">
        <v>3</v>
      </c>
      <c r="N1685" s="153">
        <f t="shared" si="285"/>
        <v>19</v>
      </c>
      <c r="O1685" s="157"/>
      <c r="P1685" s="157"/>
      <c r="Q1685" s="153">
        <f ca="1">OFFSET(card_type!$A$1,MATCH(card!B1685,card_type!B:B,0)-1,0)</f>
        <v>3005</v>
      </c>
      <c r="R1685" s="153">
        <v>1</v>
      </c>
      <c r="S1685" s="157">
        <f ca="1">ROUND(IF(R1685=0,0,IF(R1685=1,X1685*$S$1,IF(R1685=2,X1685*$S$1*buff的资质计算!$E$2,IF(R1685=3,X1685*$S$1*buff的资质计算!$E$3,0)))),0)*0</f>
        <v>0</v>
      </c>
      <c r="T1685" s="153">
        <v>3</v>
      </c>
      <c r="U1685" s="153">
        <f ca="1" t="shared" si="286"/>
        <v>22</v>
      </c>
      <c r="V1685" s="153">
        <f ca="1">ROUND((OFFSET(卡牌辅助配置表!$O$1,MATCH(U1685,卡牌辅助配置表!M:M,0)-1,0)+(N1685-1)*OFFSET(卡牌辅助配置表!$P$1,MATCH(U1685,卡牌辅助配置表!M:M,0)-1,0))*M1685,2)</f>
        <v>77.4</v>
      </c>
      <c r="W1685" s="157">
        <f ca="1">ROUND(IF(R1685=0,0,IF(R1685=1,X1685*$W$1,IF(R1685=2,X1685*$W$1*buff的资质计算!$E$2,IF(R1685=3,X1685*$W$1*buff的资质计算!$E$3,0)))),2)</f>
        <v>15.3</v>
      </c>
      <c r="X1685" s="157">
        <f ca="1" t="shared" si="281"/>
        <v>51</v>
      </c>
      <c r="Y1685" s="157">
        <f ca="1" t="shared" si="289"/>
        <v>61</v>
      </c>
      <c r="Z1685" s="304">
        <f ca="1" t="shared" si="282"/>
        <v>20.3333333333333</v>
      </c>
      <c r="AA1685" s="304">
        <f ca="1">OFFSET(卡牌辅助配置表!$AD$1,MATCH(AB1685,卡牌辅助配置表!AB:AB,0)-1,0)</f>
        <v>2791</v>
      </c>
      <c r="AB1685" s="304">
        <f ca="1" t="shared" si="287"/>
        <v>2219</v>
      </c>
      <c r="AC1685" s="153">
        <v>12</v>
      </c>
      <c r="AF1685" s="153" t="str">
        <f ca="1" t="shared" si="279"/>
        <v>30050011|</v>
      </c>
      <c r="AJ1685" s="205" t="str">
        <f ca="1" t="shared" si="288"/>
        <v>303005|20|;400023|9450|;</v>
      </c>
      <c r="AK1685" s="205">
        <f ca="1">OFFSET([1]item_type!$A$1,MATCH(Q1685,[1]item_type!$G:$G,0)-1,0)</f>
        <v>303005</v>
      </c>
      <c r="AL1685" s="205">
        <v>20</v>
      </c>
      <c r="AM1685" s="205">
        <f ca="1">IF(B1685=B1686,OFFSET(卡牌辅助配置表!$AE$1,MATCH(AB1685,卡牌辅助配置表!AB:AB,0),0),0)</f>
        <v>9450</v>
      </c>
      <c r="AN1685" s="153">
        <f ca="1" t="shared" si="283"/>
        <v>3005020</v>
      </c>
      <c r="AP1685" s="153">
        <f ca="1">IF(AC1685=0,0,IF(AC1685=12,0,OFFSET(effect!$N$1,MATCH(K1685,effect!M:M,0)-1,0)))</f>
        <v>0</v>
      </c>
    </row>
    <row r="1686" spans="1:42">
      <c r="A1686" s="153">
        <f ca="1" t="shared" si="284"/>
        <v>3005020</v>
      </c>
      <c r="B1686" s="91" t="s">
        <v>419</v>
      </c>
      <c r="C1686" s="186">
        <v>3</v>
      </c>
      <c r="D1686" s="186">
        <v>4</v>
      </c>
      <c r="E1686" s="165" t="s">
        <v>1069</v>
      </c>
      <c r="F1686" s="179" t="s">
        <v>1055</v>
      </c>
      <c r="G1686" s="186">
        <f ca="1">OFFSET(卡牌辅助配置表!$C$1,MATCH(AC1686,卡牌辅助配置表!A:A,0)-1,0)</f>
        <v>0</v>
      </c>
      <c r="H1686" s="186">
        <f ca="1">OFFSET(skill!$Q$1,MATCH(B1686,skill!B:B,0)-1,0)</f>
        <v>10</v>
      </c>
      <c r="I1686" s="186"/>
      <c r="J1686" s="186">
        <f ca="1">OFFSET(card_type!$F$1,MATCH(Q1686,card_type!A:A,0)-1,0)</f>
        <v>2</v>
      </c>
      <c r="K1686" s="243">
        <f ca="1">OFFSET(card_type!$G$1,MATCH(Q1686,card_type!A:A,0)-1,0)</f>
        <v>2</v>
      </c>
      <c r="L1686" s="157">
        <v>3</v>
      </c>
      <c r="M1686" s="157">
        <v>3</v>
      </c>
      <c r="N1686" s="153">
        <f t="shared" si="285"/>
        <v>20</v>
      </c>
      <c r="O1686" s="157"/>
      <c r="P1686" s="157"/>
      <c r="Q1686" s="153">
        <f ca="1">OFFSET(card_type!$A$1,MATCH(card!B1686,card_type!B:B,0)-1,0)</f>
        <v>3005</v>
      </c>
      <c r="R1686" s="153">
        <v>1</v>
      </c>
      <c r="S1686" s="157">
        <f ca="1">ROUND(IF(R1686=0,0,IF(R1686=1,X1686*$S$1,IF(R1686=2,X1686*$S$1*buff的资质计算!$E$2,IF(R1686=3,X1686*$S$1*buff的资质计算!$E$3,0)))),0)*0</f>
        <v>0</v>
      </c>
      <c r="T1686" s="153">
        <v>3</v>
      </c>
      <c r="U1686" s="153">
        <f ca="1" t="shared" si="286"/>
        <v>22</v>
      </c>
      <c r="V1686" s="153">
        <f ca="1">ROUND((OFFSET(卡牌辅助配置表!$O$1,MATCH(U1686,卡牌辅助配置表!M:M,0)-1,0)+(N1686-1)*OFFSET(卡牌辅助配置表!$P$1,MATCH(U1686,卡牌辅助配置表!M:M,0)-1,0))*M1686,2)</f>
        <v>79.95</v>
      </c>
      <c r="W1686" s="157">
        <f ca="1">ROUND(IF(R1686=0,0,IF(R1686=1,X1686*$W$1,IF(R1686=2,X1686*$W$1*buff的资质计算!$E$2,IF(R1686=3,X1686*$W$1*buff的资质计算!$E$3,0)))),2)</f>
        <v>15.45</v>
      </c>
      <c r="X1686" s="157">
        <f ca="1" t="shared" si="281"/>
        <v>51.5</v>
      </c>
      <c r="Y1686" s="157">
        <f ca="1" t="shared" si="289"/>
        <v>61.5</v>
      </c>
      <c r="Z1686" s="304">
        <f ca="1" t="shared" si="282"/>
        <v>20.5</v>
      </c>
      <c r="AA1686" s="304">
        <f ca="1">OFFSET(卡牌辅助配置表!$AD$1,MATCH(AB1686,卡牌辅助配置表!AB:AB,0)-1,0)</f>
        <v>2960</v>
      </c>
      <c r="AB1686" s="304">
        <f ca="1" t="shared" si="287"/>
        <v>2220</v>
      </c>
      <c r="AC1686" s="153">
        <v>12</v>
      </c>
      <c r="AF1686" s="153" t="str">
        <f ca="1" t="shared" si="279"/>
        <v>30050011|</v>
      </c>
      <c r="AJ1686" s="205" t="str">
        <f ca="1" t="shared" si="288"/>
        <v>400023|10650|;</v>
      </c>
      <c r="AK1686" s="205">
        <f ca="1">OFFSET([1]item_type!$A$1,MATCH(Q1686,[1]item_type!$G:$G,0)-1,0)</f>
        <v>303005</v>
      </c>
      <c r="AL1686" s="205"/>
      <c r="AM1686" s="205">
        <f ca="1">IF(B1686=B1687,OFFSET(卡牌辅助配置表!$AE$1,MATCH(AB1686,卡牌辅助配置表!AB:AB,0),0),0)</f>
        <v>10650</v>
      </c>
      <c r="AN1686" s="153">
        <f ca="1" t="shared" si="283"/>
        <v>3005021</v>
      </c>
      <c r="AP1686" s="153">
        <f ca="1">IF(AC1686=0,0,IF(AC1686=12,0,OFFSET(effect!$N$1,MATCH(K1686,effect!M:M,0)-1,0)))</f>
        <v>0</v>
      </c>
    </row>
    <row r="1687" spans="1:42">
      <c r="A1687" s="153">
        <f ca="1" t="shared" si="284"/>
        <v>3005021</v>
      </c>
      <c r="B1687" s="91" t="s">
        <v>419</v>
      </c>
      <c r="C1687" s="186">
        <v>3</v>
      </c>
      <c r="D1687" s="186">
        <v>4</v>
      </c>
      <c r="E1687" s="165" t="s">
        <v>1069</v>
      </c>
      <c r="F1687" s="179" t="s">
        <v>1055</v>
      </c>
      <c r="G1687" s="186">
        <f ca="1">OFFSET(卡牌辅助配置表!$C$1,MATCH(AC1687,卡牌辅助配置表!A:A,0)-1,0)</f>
        <v>0</v>
      </c>
      <c r="H1687" s="186">
        <f ca="1">OFFSET(skill!$Q$1,MATCH(B1687,skill!B:B,0)-1,0)</f>
        <v>10</v>
      </c>
      <c r="I1687" s="186"/>
      <c r="J1687" s="186">
        <f ca="1">OFFSET(card_type!$F$1,MATCH(Q1687,card_type!A:A,0)-1,0)</f>
        <v>2</v>
      </c>
      <c r="K1687" s="243">
        <f ca="1">OFFSET(card_type!$G$1,MATCH(Q1687,card_type!A:A,0)-1,0)</f>
        <v>2</v>
      </c>
      <c r="L1687" s="157">
        <v>3</v>
      </c>
      <c r="M1687" s="157">
        <v>3</v>
      </c>
      <c r="N1687" s="153">
        <f t="shared" si="285"/>
        <v>21</v>
      </c>
      <c r="O1687" s="157"/>
      <c r="P1687" s="157"/>
      <c r="Q1687" s="153">
        <f ca="1">OFFSET(card_type!$A$1,MATCH(card!B1687,card_type!B:B,0)-1,0)</f>
        <v>3005</v>
      </c>
      <c r="R1687" s="153">
        <v>1</v>
      </c>
      <c r="S1687" s="157">
        <f ca="1">ROUND(IF(R1687=0,0,IF(R1687=1,X1687*$S$1,IF(R1687=2,X1687*$S$1*buff的资质计算!$E$2,IF(R1687=3,X1687*$S$1*buff的资质计算!$E$3,0)))),0)*0</f>
        <v>0</v>
      </c>
      <c r="T1687" s="153">
        <v>3</v>
      </c>
      <c r="U1687" s="153">
        <f ca="1" t="shared" si="286"/>
        <v>22</v>
      </c>
      <c r="V1687" s="153">
        <f ca="1">ROUND((OFFSET(卡牌辅助配置表!$O$1,MATCH(U1687,卡牌辅助配置表!M:M,0)-1,0)+(N1687-1)*OFFSET(卡牌辅助配置表!$P$1,MATCH(U1687,卡牌辅助配置表!M:M,0)-1,0))*M1687,2)</f>
        <v>82.5</v>
      </c>
      <c r="W1687" s="157">
        <f ca="1">ROUND(IF(R1687=0,0,IF(R1687=1,X1687*$W$1,IF(R1687=2,X1687*$W$1*buff的资质计算!$E$2,IF(R1687=3,X1687*$W$1*buff的资质计算!$E$3,0)))),2)</f>
        <v>15.6</v>
      </c>
      <c r="X1687" s="157">
        <f ca="1" t="shared" si="281"/>
        <v>52</v>
      </c>
      <c r="Y1687" s="157">
        <f ca="1" t="shared" si="289"/>
        <v>62</v>
      </c>
      <c r="Z1687" s="304">
        <f ca="1" t="shared" si="282"/>
        <v>20.6666666666667</v>
      </c>
      <c r="AA1687" s="304">
        <f ca="1">OFFSET(卡牌辅助配置表!$AD$1,MATCH(AB1687,卡牌辅助配置表!AB:AB,0)-1,0)</f>
        <v>3129</v>
      </c>
      <c r="AB1687" s="304">
        <f ca="1" t="shared" si="287"/>
        <v>2221</v>
      </c>
      <c r="AC1687" s="153">
        <v>12</v>
      </c>
      <c r="AF1687" s="153" t="str">
        <f ca="1" t="shared" si="279"/>
        <v>30050011|</v>
      </c>
      <c r="AJ1687" s="205" t="str">
        <f ca="1" t="shared" si="288"/>
        <v>400023|11850|;</v>
      </c>
      <c r="AK1687" s="205">
        <f ca="1">OFFSET([1]item_type!$A$1,MATCH(Q1687,[1]item_type!$G:$G,0)-1,0)</f>
        <v>303005</v>
      </c>
      <c r="AL1687" s="205"/>
      <c r="AM1687" s="205">
        <f ca="1">IF(B1687=B1688,OFFSET(卡牌辅助配置表!$AE$1,MATCH(AB1687,卡牌辅助配置表!AB:AB,0),0),0)</f>
        <v>11850</v>
      </c>
      <c r="AN1687" s="153">
        <f ca="1" t="shared" si="283"/>
        <v>3005022</v>
      </c>
      <c r="AP1687" s="153">
        <f ca="1">IF(AC1687=0,0,IF(AC1687=12,0,OFFSET(effect!$N$1,MATCH(K1687,effect!M:M,0)-1,0)))</f>
        <v>0</v>
      </c>
    </row>
    <row r="1688" spans="1:42">
      <c r="A1688" s="153">
        <f ca="1" t="shared" si="284"/>
        <v>3005022</v>
      </c>
      <c r="B1688" s="91" t="s">
        <v>419</v>
      </c>
      <c r="C1688" s="186">
        <v>3</v>
      </c>
      <c r="D1688" s="186">
        <v>4</v>
      </c>
      <c r="E1688" s="165" t="s">
        <v>1069</v>
      </c>
      <c r="F1688" s="179" t="s">
        <v>1055</v>
      </c>
      <c r="G1688" s="186">
        <f ca="1">OFFSET(卡牌辅助配置表!$C$1,MATCH(AC1688,卡牌辅助配置表!A:A,0)-1,0)</f>
        <v>0</v>
      </c>
      <c r="H1688" s="186">
        <f ca="1">OFFSET(skill!$Q$1,MATCH(B1688,skill!B:B,0)-1,0)</f>
        <v>10</v>
      </c>
      <c r="I1688" s="186"/>
      <c r="J1688" s="186">
        <f ca="1">OFFSET(card_type!$F$1,MATCH(Q1688,card_type!A:A,0)-1,0)</f>
        <v>2</v>
      </c>
      <c r="K1688" s="243">
        <f ca="1">OFFSET(card_type!$G$1,MATCH(Q1688,card_type!A:A,0)-1,0)</f>
        <v>2</v>
      </c>
      <c r="L1688" s="157">
        <v>3</v>
      </c>
      <c r="M1688" s="157">
        <v>3</v>
      </c>
      <c r="N1688" s="153">
        <f t="shared" si="285"/>
        <v>22</v>
      </c>
      <c r="O1688" s="157"/>
      <c r="P1688" s="157"/>
      <c r="Q1688" s="153">
        <f ca="1">OFFSET(card_type!$A$1,MATCH(card!B1688,card_type!B:B,0)-1,0)</f>
        <v>3005</v>
      </c>
      <c r="R1688" s="153">
        <v>1</v>
      </c>
      <c r="S1688" s="157">
        <f ca="1">ROUND(IF(R1688=0,0,IF(R1688=1,X1688*$S$1,IF(R1688=2,X1688*$S$1*buff的资质计算!$E$2,IF(R1688=3,X1688*$S$1*buff的资质计算!$E$3,0)))),0)*0</f>
        <v>0</v>
      </c>
      <c r="T1688" s="153">
        <v>3</v>
      </c>
      <c r="U1688" s="153">
        <f ca="1" t="shared" si="286"/>
        <v>22</v>
      </c>
      <c r="V1688" s="153">
        <f ca="1">ROUND((OFFSET(卡牌辅助配置表!$O$1,MATCH(U1688,卡牌辅助配置表!M:M,0)-1,0)+(N1688-1)*OFFSET(卡牌辅助配置表!$P$1,MATCH(U1688,卡牌辅助配置表!M:M,0)-1,0))*M1688,2)</f>
        <v>85.05</v>
      </c>
      <c r="W1688" s="157">
        <f ca="1">ROUND(IF(R1688=0,0,IF(R1688=1,X1688*$W$1,IF(R1688=2,X1688*$W$1*buff的资质计算!$E$2,IF(R1688=3,X1688*$W$1*buff的资质计算!$E$3,0)))),2)</f>
        <v>15.75</v>
      </c>
      <c r="X1688" s="157">
        <f ca="1" t="shared" si="281"/>
        <v>52.5</v>
      </c>
      <c r="Y1688" s="157">
        <f ca="1" t="shared" si="289"/>
        <v>62.5</v>
      </c>
      <c r="Z1688" s="304">
        <f ca="1" t="shared" si="282"/>
        <v>20.8333333333333</v>
      </c>
      <c r="AA1688" s="304">
        <f ca="1">OFFSET(卡牌辅助配置表!$AD$1,MATCH(AB1688,卡牌辅助配置表!AB:AB,0)-1,0)</f>
        <v>3298</v>
      </c>
      <c r="AB1688" s="304">
        <f ca="1" t="shared" si="287"/>
        <v>2222</v>
      </c>
      <c r="AC1688" s="153">
        <v>12</v>
      </c>
      <c r="AF1688" s="153" t="str">
        <f ca="1" t="shared" si="279"/>
        <v>30050011|</v>
      </c>
      <c r="AJ1688" s="205" t="str">
        <f ca="1" t="shared" si="288"/>
        <v>400023|13050|;</v>
      </c>
      <c r="AK1688" s="205">
        <f ca="1">OFFSET([1]item_type!$A$1,MATCH(Q1688,[1]item_type!$G:$G,0)-1,0)</f>
        <v>303005</v>
      </c>
      <c r="AL1688" s="205"/>
      <c r="AM1688" s="205">
        <f ca="1">IF(B1688=B1689,OFFSET(卡牌辅助配置表!$AE$1,MATCH(AB1688,卡牌辅助配置表!AB:AB,0),0),0)</f>
        <v>13050</v>
      </c>
      <c r="AN1688" s="153">
        <f ca="1" t="shared" si="283"/>
        <v>3005023</v>
      </c>
      <c r="AP1688" s="153">
        <f ca="1">IF(AC1688=0,0,IF(AC1688=12,0,OFFSET(effect!$N$1,MATCH(K1688,effect!M:M,0)-1,0)))</f>
        <v>0</v>
      </c>
    </row>
    <row r="1689" spans="1:42">
      <c r="A1689" s="153">
        <f ca="1" t="shared" si="284"/>
        <v>3005023</v>
      </c>
      <c r="B1689" s="91" t="s">
        <v>419</v>
      </c>
      <c r="C1689" s="186">
        <v>3</v>
      </c>
      <c r="D1689" s="186">
        <v>4</v>
      </c>
      <c r="E1689" s="165" t="s">
        <v>1069</v>
      </c>
      <c r="F1689" s="179" t="s">
        <v>1055</v>
      </c>
      <c r="G1689" s="186">
        <f ca="1">OFFSET(卡牌辅助配置表!$C$1,MATCH(AC1689,卡牌辅助配置表!A:A,0)-1,0)</f>
        <v>0</v>
      </c>
      <c r="H1689" s="186">
        <f ca="1">OFFSET(skill!$Q$1,MATCH(B1689,skill!B:B,0)-1,0)</f>
        <v>10</v>
      </c>
      <c r="I1689" s="186"/>
      <c r="J1689" s="186">
        <f ca="1">OFFSET(card_type!$F$1,MATCH(Q1689,card_type!A:A,0)-1,0)</f>
        <v>2</v>
      </c>
      <c r="K1689" s="243">
        <f ca="1">OFFSET(card_type!$G$1,MATCH(Q1689,card_type!A:A,0)-1,0)</f>
        <v>2</v>
      </c>
      <c r="L1689" s="157">
        <v>3</v>
      </c>
      <c r="M1689" s="157">
        <v>3</v>
      </c>
      <c r="N1689" s="153">
        <f t="shared" si="285"/>
        <v>23</v>
      </c>
      <c r="O1689" s="157"/>
      <c r="P1689" s="157"/>
      <c r="Q1689" s="153">
        <f ca="1">OFFSET(card_type!$A$1,MATCH(card!B1689,card_type!B:B,0)-1,0)</f>
        <v>3005</v>
      </c>
      <c r="R1689" s="153">
        <v>1</v>
      </c>
      <c r="S1689" s="157">
        <f ca="1">ROUND(IF(R1689=0,0,IF(R1689=1,X1689*$S$1,IF(R1689=2,X1689*$S$1*buff的资质计算!$E$2,IF(R1689=3,X1689*$S$1*buff的资质计算!$E$3,0)))),0)*0</f>
        <v>0</v>
      </c>
      <c r="T1689" s="153">
        <v>3</v>
      </c>
      <c r="U1689" s="153">
        <f ca="1" t="shared" si="286"/>
        <v>22</v>
      </c>
      <c r="V1689" s="153">
        <f ca="1">ROUND((OFFSET(卡牌辅助配置表!$O$1,MATCH(U1689,卡牌辅助配置表!M:M,0)-1,0)+(N1689-1)*OFFSET(卡牌辅助配置表!$P$1,MATCH(U1689,卡牌辅助配置表!M:M,0)-1,0))*M1689,2)</f>
        <v>87.6</v>
      </c>
      <c r="W1689" s="157">
        <f ca="1">ROUND(IF(R1689=0,0,IF(R1689=1,X1689*$W$1,IF(R1689=2,X1689*$W$1*buff的资质计算!$E$2,IF(R1689=3,X1689*$W$1*buff的资质计算!$E$3,0)))),2)</f>
        <v>15.9</v>
      </c>
      <c r="X1689" s="157">
        <f ca="1" t="shared" si="281"/>
        <v>53</v>
      </c>
      <c r="Y1689" s="157">
        <f ca="1" t="shared" si="289"/>
        <v>63</v>
      </c>
      <c r="Z1689" s="304">
        <f ca="1" t="shared" si="282"/>
        <v>21</v>
      </c>
      <c r="AA1689" s="304">
        <f ca="1">OFFSET(卡牌辅助配置表!$AD$1,MATCH(AB1689,卡牌辅助配置表!AB:AB,0)-1,0)</f>
        <v>3467</v>
      </c>
      <c r="AB1689" s="304">
        <f ca="1" t="shared" si="287"/>
        <v>2223</v>
      </c>
      <c r="AC1689" s="153">
        <v>12</v>
      </c>
      <c r="AF1689" s="153" t="str">
        <f ca="1" t="shared" ref="AF1689:AF1752" si="290">((Q1689*1000+1)*10+1)&amp;$AF$1</f>
        <v>30050011|</v>
      </c>
      <c r="AJ1689" s="205" t="str">
        <f ca="1" t="shared" si="288"/>
        <v>400023|14250|;</v>
      </c>
      <c r="AK1689" s="205">
        <f ca="1">OFFSET([1]item_type!$A$1,MATCH(Q1689,[1]item_type!$G:$G,0)-1,0)</f>
        <v>303005</v>
      </c>
      <c r="AL1689" s="205"/>
      <c r="AM1689" s="205">
        <f ca="1">IF(B1689=B1690,OFFSET(卡牌辅助配置表!$AE$1,MATCH(AB1689,卡牌辅助配置表!AB:AB,0),0),0)</f>
        <v>14250</v>
      </c>
      <c r="AN1689" s="153">
        <f ca="1" t="shared" si="283"/>
        <v>3005024</v>
      </c>
      <c r="AP1689" s="153">
        <f ca="1">IF(AC1689=0,0,IF(AC1689=12,0,OFFSET(effect!$N$1,MATCH(K1689,effect!M:M,0)-1,0)))</f>
        <v>0</v>
      </c>
    </row>
    <row r="1690" spans="1:42">
      <c r="A1690" s="153">
        <f ca="1" t="shared" si="284"/>
        <v>3005024</v>
      </c>
      <c r="B1690" s="91" t="s">
        <v>419</v>
      </c>
      <c r="C1690" s="186">
        <v>3</v>
      </c>
      <c r="D1690" s="186">
        <v>4</v>
      </c>
      <c r="E1690" s="165" t="s">
        <v>1069</v>
      </c>
      <c r="F1690" s="179" t="s">
        <v>1055</v>
      </c>
      <c r="G1690" s="186">
        <f ca="1">OFFSET(卡牌辅助配置表!$C$1,MATCH(AC1690,卡牌辅助配置表!A:A,0)-1,0)</f>
        <v>0</v>
      </c>
      <c r="H1690" s="186">
        <f ca="1">OFFSET(skill!$Q$1,MATCH(B1690,skill!B:B,0)-1,0)</f>
        <v>10</v>
      </c>
      <c r="I1690" s="186"/>
      <c r="J1690" s="186">
        <f ca="1">OFFSET(card_type!$F$1,MATCH(Q1690,card_type!A:A,0)-1,0)</f>
        <v>2</v>
      </c>
      <c r="K1690" s="243">
        <f ca="1">OFFSET(card_type!$G$1,MATCH(Q1690,card_type!A:A,0)-1,0)</f>
        <v>2</v>
      </c>
      <c r="L1690" s="157">
        <v>3</v>
      </c>
      <c r="M1690" s="157">
        <v>3</v>
      </c>
      <c r="N1690" s="153">
        <f t="shared" si="285"/>
        <v>24</v>
      </c>
      <c r="O1690" s="157"/>
      <c r="P1690" s="157"/>
      <c r="Q1690" s="153">
        <f ca="1">OFFSET(card_type!$A$1,MATCH(card!B1690,card_type!B:B,0)-1,0)</f>
        <v>3005</v>
      </c>
      <c r="R1690" s="153">
        <v>1</v>
      </c>
      <c r="S1690" s="157">
        <f ca="1">ROUND(IF(R1690=0,0,IF(R1690=1,X1690*$S$1,IF(R1690=2,X1690*$S$1*buff的资质计算!$E$2,IF(R1690=3,X1690*$S$1*buff的资质计算!$E$3,0)))),0)*0</f>
        <v>0</v>
      </c>
      <c r="T1690" s="153">
        <v>3</v>
      </c>
      <c r="U1690" s="153">
        <f ca="1" t="shared" si="286"/>
        <v>22</v>
      </c>
      <c r="V1690" s="153">
        <f ca="1">ROUND((OFFSET(卡牌辅助配置表!$O$1,MATCH(U1690,卡牌辅助配置表!M:M,0)-1,0)+(N1690-1)*OFFSET(卡牌辅助配置表!$P$1,MATCH(U1690,卡牌辅助配置表!M:M,0)-1,0))*M1690,2)</f>
        <v>90.15</v>
      </c>
      <c r="W1690" s="157">
        <f ca="1">ROUND(IF(R1690=0,0,IF(R1690=1,X1690*$W$1,IF(R1690=2,X1690*$W$1*buff的资质计算!$E$2,IF(R1690=3,X1690*$W$1*buff的资质计算!$E$3,0)))),2)</f>
        <v>16.05</v>
      </c>
      <c r="X1690" s="157">
        <f ca="1" t="shared" si="281"/>
        <v>53.5</v>
      </c>
      <c r="Y1690" s="157">
        <f ca="1" t="shared" si="289"/>
        <v>63.5</v>
      </c>
      <c r="Z1690" s="304">
        <f ca="1" t="shared" si="282"/>
        <v>21.1666666666667</v>
      </c>
      <c r="AA1690" s="304">
        <f ca="1">OFFSET(卡牌辅助配置表!$AD$1,MATCH(AB1690,卡牌辅助配置表!AB:AB,0)-1,0)</f>
        <v>3636</v>
      </c>
      <c r="AB1690" s="304">
        <f ca="1" t="shared" si="287"/>
        <v>2224</v>
      </c>
      <c r="AC1690" s="153">
        <v>12</v>
      </c>
      <c r="AF1690" s="153" t="str">
        <f ca="1" t="shared" si="290"/>
        <v>30050011|</v>
      </c>
      <c r="AJ1690" s="205" t="str">
        <f ca="1" t="shared" si="288"/>
        <v>400023|15450|;</v>
      </c>
      <c r="AK1690" s="205">
        <f ca="1">OFFSET([1]item_type!$A$1,MATCH(Q1690,[1]item_type!$G:$G,0)-1,0)</f>
        <v>303005</v>
      </c>
      <c r="AL1690" s="205"/>
      <c r="AM1690" s="205">
        <f ca="1">IF(B1690=B1691,OFFSET(卡牌辅助配置表!$AE$1,MATCH(AB1690,卡牌辅助配置表!AB:AB,0),0),0)</f>
        <v>15450</v>
      </c>
      <c r="AN1690" s="153">
        <f ca="1" t="shared" si="283"/>
        <v>3005025</v>
      </c>
      <c r="AP1690" s="153">
        <f ca="1">IF(AC1690=0,0,IF(AC1690=12,0,OFFSET(effect!$N$1,MATCH(K1690,effect!M:M,0)-1,0)))</f>
        <v>0</v>
      </c>
    </row>
    <row r="1691" spans="1:42">
      <c r="A1691" s="153">
        <f ca="1" t="shared" si="284"/>
        <v>3005025</v>
      </c>
      <c r="B1691" s="91" t="s">
        <v>419</v>
      </c>
      <c r="C1691" s="186">
        <v>3</v>
      </c>
      <c r="D1691" s="186">
        <v>4</v>
      </c>
      <c r="E1691" s="165" t="s">
        <v>1069</v>
      </c>
      <c r="F1691" s="179" t="s">
        <v>1055</v>
      </c>
      <c r="G1691" s="186">
        <f ca="1">OFFSET(卡牌辅助配置表!$C$1,MATCH(AC1691,卡牌辅助配置表!A:A,0)-1,0)</f>
        <v>0</v>
      </c>
      <c r="H1691" s="186">
        <f ca="1">OFFSET(skill!$Q$1,MATCH(B1691,skill!B:B,0)-1,0)</f>
        <v>10</v>
      </c>
      <c r="I1691" s="186"/>
      <c r="J1691" s="186">
        <f ca="1">OFFSET(card_type!$F$1,MATCH(Q1691,card_type!A:A,0)-1,0)</f>
        <v>2</v>
      </c>
      <c r="K1691" s="243">
        <f ca="1">OFFSET(card_type!$G$1,MATCH(Q1691,card_type!A:A,0)-1,0)</f>
        <v>2</v>
      </c>
      <c r="L1691" s="157">
        <v>3</v>
      </c>
      <c r="M1691" s="157">
        <v>3</v>
      </c>
      <c r="N1691" s="153">
        <f t="shared" si="285"/>
        <v>25</v>
      </c>
      <c r="O1691" s="157"/>
      <c r="P1691" s="157"/>
      <c r="Q1691" s="153">
        <f ca="1">OFFSET(card_type!$A$1,MATCH(card!B1691,card_type!B:B,0)-1,0)</f>
        <v>3005</v>
      </c>
      <c r="R1691" s="153">
        <v>1</v>
      </c>
      <c r="S1691" s="157">
        <f ca="1">ROUND(IF(R1691=0,0,IF(R1691=1,X1691*$S$1,IF(R1691=2,X1691*$S$1*buff的资质计算!$E$2,IF(R1691=3,X1691*$S$1*buff的资质计算!$E$3,0)))),0)*0</f>
        <v>0</v>
      </c>
      <c r="T1691" s="153">
        <v>3</v>
      </c>
      <c r="U1691" s="153">
        <f ca="1" t="shared" si="286"/>
        <v>22</v>
      </c>
      <c r="V1691" s="153">
        <f ca="1">ROUND((OFFSET(卡牌辅助配置表!$O$1,MATCH(U1691,卡牌辅助配置表!M:M,0)-1,0)+(N1691-1)*OFFSET(卡牌辅助配置表!$P$1,MATCH(U1691,卡牌辅助配置表!M:M,0)-1,0))*M1691,2)</f>
        <v>92.7</v>
      </c>
      <c r="W1691" s="157">
        <f ca="1">ROUND(IF(R1691=0,0,IF(R1691=1,X1691*$W$1,IF(R1691=2,X1691*$W$1*buff的资质计算!$E$2,IF(R1691=3,X1691*$W$1*buff的资质计算!$E$3,0)))),2)</f>
        <v>16.2</v>
      </c>
      <c r="X1691" s="157">
        <f ca="1" t="shared" si="281"/>
        <v>54</v>
      </c>
      <c r="Y1691" s="157">
        <f ca="1" t="shared" si="289"/>
        <v>64</v>
      </c>
      <c r="Z1691" s="304">
        <f ca="1" t="shared" si="282"/>
        <v>21.3333333333333</v>
      </c>
      <c r="AA1691" s="304">
        <f ca="1">OFFSET(卡牌辅助配置表!$AD$1,MATCH(AB1691,卡牌辅助配置表!AB:AB,0)-1,0)</f>
        <v>3805</v>
      </c>
      <c r="AB1691" s="304">
        <f ca="1" t="shared" si="287"/>
        <v>2225</v>
      </c>
      <c r="AC1691" s="153">
        <v>12</v>
      </c>
      <c r="AF1691" s="153" t="str">
        <f ca="1" t="shared" si="290"/>
        <v>30050011|</v>
      </c>
      <c r="AJ1691" s="205" t="str">
        <f ca="1" t="shared" si="288"/>
        <v>400023|16650|;</v>
      </c>
      <c r="AK1691" s="205">
        <f ca="1">OFFSET([1]item_type!$A$1,MATCH(Q1691,[1]item_type!$G:$G,0)-1,0)</f>
        <v>303005</v>
      </c>
      <c r="AL1691" s="205"/>
      <c r="AM1691" s="205">
        <f ca="1">IF(B1691=B1692,OFFSET(卡牌辅助配置表!$AE$1,MATCH(AB1691,卡牌辅助配置表!AB:AB,0),0),0)</f>
        <v>16650</v>
      </c>
      <c r="AN1691" s="153">
        <f ca="1" t="shared" si="283"/>
        <v>3005026</v>
      </c>
      <c r="AP1691" s="153">
        <f ca="1">IF(AC1691=0,0,IF(AC1691=12,0,OFFSET(effect!$N$1,MATCH(K1691,effect!M:M,0)-1,0)))</f>
        <v>0</v>
      </c>
    </row>
    <row r="1692" spans="1:42">
      <c r="A1692" s="153">
        <f ca="1" t="shared" si="284"/>
        <v>3005026</v>
      </c>
      <c r="B1692" s="91" t="s">
        <v>419</v>
      </c>
      <c r="C1692" s="186">
        <v>3</v>
      </c>
      <c r="D1692" s="186">
        <v>4</v>
      </c>
      <c r="E1692" s="165" t="s">
        <v>1069</v>
      </c>
      <c r="F1692" s="179" t="s">
        <v>1055</v>
      </c>
      <c r="G1692" s="186">
        <f ca="1">OFFSET(卡牌辅助配置表!$C$1,MATCH(AC1692,卡牌辅助配置表!A:A,0)-1,0)</f>
        <v>0</v>
      </c>
      <c r="H1692" s="186">
        <f ca="1">OFFSET(skill!$Q$1,MATCH(B1692,skill!B:B,0)-1,0)</f>
        <v>10</v>
      </c>
      <c r="I1692" s="186"/>
      <c r="J1692" s="186">
        <f ca="1">OFFSET(card_type!$F$1,MATCH(Q1692,card_type!A:A,0)-1,0)</f>
        <v>2</v>
      </c>
      <c r="K1692" s="243">
        <f ca="1">OFFSET(card_type!$G$1,MATCH(Q1692,card_type!A:A,0)-1,0)</f>
        <v>2</v>
      </c>
      <c r="L1692" s="157">
        <v>3</v>
      </c>
      <c r="M1692" s="157">
        <v>3</v>
      </c>
      <c r="N1692" s="153">
        <f t="shared" si="285"/>
        <v>26</v>
      </c>
      <c r="O1692" s="157"/>
      <c r="P1692" s="157"/>
      <c r="Q1692" s="153">
        <f ca="1">OFFSET(card_type!$A$1,MATCH(card!B1692,card_type!B:B,0)-1,0)</f>
        <v>3005</v>
      </c>
      <c r="R1692" s="153">
        <v>1</v>
      </c>
      <c r="S1692" s="157">
        <f ca="1">ROUND(IF(R1692=0,0,IF(R1692=1,X1692*$S$1,IF(R1692=2,X1692*$S$1*buff的资质计算!$E$2,IF(R1692=3,X1692*$S$1*buff的资质计算!$E$3,0)))),0)*0</f>
        <v>0</v>
      </c>
      <c r="T1692" s="153">
        <v>3</v>
      </c>
      <c r="U1692" s="153">
        <f ca="1" t="shared" si="286"/>
        <v>22</v>
      </c>
      <c r="V1692" s="153">
        <f ca="1">ROUND((OFFSET(卡牌辅助配置表!$O$1,MATCH(U1692,卡牌辅助配置表!M:M,0)-1,0)+(N1692-1)*OFFSET(卡牌辅助配置表!$P$1,MATCH(U1692,卡牌辅助配置表!M:M,0)-1,0))*M1692,2)</f>
        <v>95.25</v>
      </c>
      <c r="W1692" s="157">
        <f ca="1">ROUND(IF(R1692=0,0,IF(R1692=1,X1692*$W$1,IF(R1692=2,X1692*$W$1*buff的资质计算!$E$2,IF(R1692=3,X1692*$W$1*buff的资质计算!$E$3,0)))),2)</f>
        <v>16.35</v>
      </c>
      <c r="X1692" s="157">
        <f ca="1" t="shared" si="281"/>
        <v>54.5</v>
      </c>
      <c r="Y1692" s="157">
        <f ca="1" t="shared" si="289"/>
        <v>64.5</v>
      </c>
      <c r="Z1692" s="304">
        <f ca="1" t="shared" si="282"/>
        <v>21.5</v>
      </c>
      <c r="AA1692" s="304">
        <f ca="1">OFFSET(卡牌辅助配置表!$AD$1,MATCH(AB1692,卡牌辅助配置表!AB:AB,0)-1,0)</f>
        <v>3974</v>
      </c>
      <c r="AB1692" s="304">
        <f ca="1" t="shared" si="287"/>
        <v>2226</v>
      </c>
      <c r="AC1692" s="153">
        <v>12</v>
      </c>
      <c r="AF1692" s="153" t="str">
        <f ca="1" t="shared" si="290"/>
        <v>30050011|</v>
      </c>
      <c r="AJ1692" s="205" t="str">
        <f ca="1" t="shared" si="288"/>
        <v>400023|17850|;</v>
      </c>
      <c r="AK1692" s="205">
        <f ca="1">OFFSET([1]item_type!$A$1,MATCH(Q1692,[1]item_type!$G:$G,0)-1,0)</f>
        <v>303005</v>
      </c>
      <c r="AL1692" s="205"/>
      <c r="AM1692" s="205">
        <f ca="1">IF(B1692=B1693,OFFSET(卡牌辅助配置表!$AE$1,MATCH(AB1692,卡牌辅助配置表!AB:AB,0),0),0)</f>
        <v>17850</v>
      </c>
      <c r="AN1692" s="153">
        <f ca="1" t="shared" si="283"/>
        <v>3005027</v>
      </c>
      <c r="AP1692" s="153">
        <f ca="1">IF(AC1692=0,0,IF(AC1692=12,0,OFFSET(effect!$N$1,MATCH(K1692,effect!M:M,0)-1,0)))</f>
        <v>0</v>
      </c>
    </row>
    <row r="1693" spans="1:42">
      <c r="A1693" s="153">
        <f ca="1" t="shared" si="284"/>
        <v>3005027</v>
      </c>
      <c r="B1693" s="91" t="s">
        <v>419</v>
      </c>
      <c r="C1693" s="186">
        <v>3</v>
      </c>
      <c r="D1693" s="186">
        <v>4</v>
      </c>
      <c r="E1693" s="165" t="s">
        <v>1069</v>
      </c>
      <c r="F1693" s="179" t="s">
        <v>1055</v>
      </c>
      <c r="G1693" s="186">
        <f ca="1">OFFSET(卡牌辅助配置表!$C$1,MATCH(AC1693,卡牌辅助配置表!A:A,0)-1,0)</f>
        <v>0</v>
      </c>
      <c r="H1693" s="186">
        <f ca="1">OFFSET(skill!$Q$1,MATCH(B1693,skill!B:B,0)-1,0)</f>
        <v>10</v>
      </c>
      <c r="I1693" s="186"/>
      <c r="J1693" s="186">
        <f ca="1">OFFSET(card_type!$F$1,MATCH(Q1693,card_type!A:A,0)-1,0)</f>
        <v>2</v>
      </c>
      <c r="K1693" s="243">
        <f ca="1">OFFSET(card_type!$G$1,MATCH(Q1693,card_type!A:A,0)-1,0)</f>
        <v>2</v>
      </c>
      <c r="L1693" s="157">
        <v>3</v>
      </c>
      <c r="M1693" s="157">
        <v>3</v>
      </c>
      <c r="N1693" s="153">
        <f t="shared" si="285"/>
        <v>27</v>
      </c>
      <c r="O1693" s="157"/>
      <c r="P1693" s="157"/>
      <c r="Q1693" s="153">
        <f ca="1">OFFSET(card_type!$A$1,MATCH(card!B1693,card_type!B:B,0)-1,0)</f>
        <v>3005</v>
      </c>
      <c r="R1693" s="153">
        <v>1</v>
      </c>
      <c r="S1693" s="157">
        <f ca="1">ROUND(IF(R1693=0,0,IF(R1693=1,X1693*$S$1,IF(R1693=2,X1693*$S$1*buff的资质计算!$E$2,IF(R1693=3,X1693*$S$1*buff的资质计算!$E$3,0)))),0)*0</f>
        <v>0</v>
      </c>
      <c r="T1693" s="153">
        <v>3</v>
      </c>
      <c r="U1693" s="153">
        <f ca="1" t="shared" si="286"/>
        <v>22</v>
      </c>
      <c r="V1693" s="153">
        <f ca="1">ROUND((OFFSET(卡牌辅助配置表!$O$1,MATCH(U1693,卡牌辅助配置表!M:M,0)-1,0)+(N1693-1)*OFFSET(卡牌辅助配置表!$P$1,MATCH(U1693,卡牌辅助配置表!M:M,0)-1,0))*M1693,2)</f>
        <v>97.8</v>
      </c>
      <c r="W1693" s="157">
        <f ca="1">ROUND(IF(R1693=0,0,IF(R1693=1,X1693*$W$1,IF(R1693=2,X1693*$W$1*buff的资质计算!$E$2,IF(R1693=3,X1693*$W$1*buff的资质计算!$E$3,0)))),2)</f>
        <v>16.5</v>
      </c>
      <c r="X1693" s="157">
        <f ca="1" t="shared" si="281"/>
        <v>55</v>
      </c>
      <c r="Y1693" s="157">
        <f ca="1" t="shared" si="289"/>
        <v>65</v>
      </c>
      <c r="Z1693" s="304">
        <f ca="1" t="shared" si="282"/>
        <v>21.6666666666667</v>
      </c>
      <c r="AA1693" s="304">
        <f ca="1">OFFSET(卡牌辅助配置表!$AD$1,MATCH(AB1693,卡牌辅助配置表!AB:AB,0)-1,0)</f>
        <v>4143</v>
      </c>
      <c r="AB1693" s="304">
        <f ca="1" t="shared" si="287"/>
        <v>2227</v>
      </c>
      <c r="AC1693" s="153">
        <v>12</v>
      </c>
      <c r="AF1693" s="153" t="str">
        <f ca="1" t="shared" si="290"/>
        <v>30050011|</v>
      </c>
      <c r="AJ1693" s="205" t="str">
        <f ca="1" t="shared" si="288"/>
        <v>400023|19050|;</v>
      </c>
      <c r="AK1693" s="205">
        <f ca="1">OFFSET([1]item_type!$A$1,MATCH(Q1693,[1]item_type!$G:$G,0)-1,0)</f>
        <v>303005</v>
      </c>
      <c r="AL1693" s="205"/>
      <c r="AM1693" s="205">
        <f ca="1">IF(B1693=B1694,OFFSET(卡牌辅助配置表!$AE$1,MATCH(AB1693,卡牌辅助配置表!AB:AB,0),0),0)</f>
        <v>19050</v>
      </c>
      <c r="AN1693" s="153">
        <f ca="1" t="shared" si="283"/>
        <v>3005028</v>
      </c>
      <c r="AP1693" s="153">
        <f ca="1">IF(AC1693=0,0,IF(AC1693=12,0,OFFSET(effect!$N$1,MATCH(K1693,effect!M:M,0)-1,0)))</f>
        <v>0</v>
      </c>
    </row>
    <row r="1694" spans="1:42">
      <c r="A1694" s="153">
        <f ca="1" t="shared" si="284"/>
        <v>3005028</v>
      </c>
      <c r="B1694" s="91" t="s">
        <v>419</v>
      </c>
      <c r="C1694" s="186">
        <v>3</v>
      </c>
      <c r="D1694" s="186">
        <v>4</v>
      </c>
      <c r="E1694" s="165" t="s">
        <v>1069</v>
      </c>
      <c r="F1694" s="179" t="s">
        <v>1055</v>
      </c>
      <c r="G1694" s="186">
        <f ca="1">OFFSET(卡牌辅助配置表!$C$1,MATCH(AC1694,卡牌辅助配置表!A:A,0)-1,0)</f>
        <v>0</v>
      </c>
      <c r="H1694" s="186">
        <f ca="1">OFFSET(skill!$Q$1,MATCH(B1694,skill!B:B,0)-1,0)</f>
        <v>10</v>
      </c>
      <c r="I1694" s="186"/>
      <c r="J1694" s="186">
        <f ca="1">OFFSET(card_type!$F$1,MATCH(Q1694,card_type!A:A,0)-1,0)</f>
        <v>2</v>
      </c>
      <c r="K1694" s="243">
        <f ca="1">OFFSET(card_type!$G$1,MATCH(Q1694,card_type!A:A,0)-1,0)</f>
        <v>2</v>
      </c>
      <c r="L1694" s="157">
        <v>3</v>
      </c>
      <c r="M1694" s="157">
        <v>3</v>
      </c>
      <c r="N1694" s="153">
        <f t="shared" si="285"/>
        <v>28</v>
      </c>
      <c r="O1694" s="157"/>
      <c r="P1694" s="157"/>
      <c r="Q1694" s="153">
        <f ca="1">OFFSET(card_type!$A$1,MATCH(card!B1694,card_type!B:B,0)-1,0)</f>
        <v>3005</v>
      </c>
      <c r="R1694" s="153">
        <v>1</v>
      </c>
      <c r="S1694" s="157">
        <f ca="1">ROUND(IF(R1694=0,0,IF(R1694=1,X1694*$S$1,IF(R1694=2,X1694*$S$1*buff的资质计算!$E$2,IF(R1694=3,X1694*$S$1*buff的资质计算!$E$3,0)))),0)*0</f>
        <v>0</v>
      </c>
      <c r="T1694" s="153">
        <v>3</v>
      </c>
      <c r="U1694" s="153">
        <f ca="1" t="shared" si="286"/>
        <v>22</v>
      </c>
      <c r="V1694" s="153">
        <f ca="1">ROUND((OFFSET(卡牌辅助配置表!$O$1,MATCH(U1694,卡牌辅助配置表!M:M,0)-1,0)+(N1694-1)*OFFSET(卡牌辅助配置表!$P$1,MATCH(U1694,卡牌辅助配置表!M:M,0)-1,0))*M1694,2)</f>
        <v>100.35</v>
      </c>
      <c r="W1694" s="157">
        <f ca="1">ROUND(IF(R1694=0,0,IF(R1694=1,X1694*$W$1,IF(R1694=2,X1694*$W$1*buff的资质计算!$E$2,IF(R1694=3,X1694*$W$1*buff的资质计算!$E$3,0)))),2)</f>
        <v>16.65</v>
      </c>
      <c r="X1694" s="157">
        <f ca="1" t="shared" si="281"/>
        <v>55.5</v>
      </c>
      <c r="Y1694" s="157">
        <f ca="1" t="shared" si="289"/>
        <v>65.5</v>
      </c>
      <c r="Z1694" s="304">
        <f ca="1" t="shared" si="282"/>
        <v>21.8333333333333</v>
      </c>
      <c r="AA1694" s="304">
        <f ca="1">OFFSET(卡牌辅助配置表!$AD$1,MATCH(AB1694,卡牌辅助配置表!AB:AB,0)-1,0)</f>
        <v>4312</v>
      </c>
      <c r="AB1694" s="304">
        <f ca="1" t="shared" si="287"/>
        <v>2228</v>
      </c>
      <c r="AC1694" s="153">
        <v>12</v>
      </c>
      <c r="AF1694" s="153" t="str">
        <f ca="1" t="shared" si="290"/>
        <v>30050011|</v>
      </c>
      <c r="AJ1694" s="205" t="str">
        <f ca="1" t="shared" si="288"/>
        <v>400023|20250|;</v>
      </c>
      <c r="AK1694" s="205">
        <f ca="1">OFFSET([1]item_type!$A$1,MATCH(Q1694,[1]item_type!$G:$G,0)-1,0)</f>
        <v>303005</v>
      </c>
      <c r="AL1694" s="205"/>
      <c r="AM1694" s="205">
        <f ca="1">IF(B1694=B1695,OFFSET(卡牌辅助配置表!$AE$1,MATCH(AB1694,卡牌辅助配置表!AB:AB,0),0),0)</f>
        <v>20250</v>
      </c>
      <c r="AN1694" s="153">
        <f ca="1" t="shared" si="283"/>
        <v>3005029</v>
      </c>
      <c r="AP1694" s="153">
        <f ca="1">IF(AC1694=0,0,IF(AC1694=12,0,OFFSET(effect!$N$1,MATCH(K1694,effect!M:M,0)-1,0)))</f>
        <v>0</v>
      </c>
    </row>
    <row r="1695" spans="1:42">
      <c r="A1695" s="153">
        <f ca="1" t="shared" si="284"/>
        <v>3005029</v>
      </c>
      <c r="B1695" s="91" t="s">
        <v>419</v>
      </c>
      <c r="C1695" s="186">
        <v>3</v>
      </c>
      <c r="D1695" s="186">
        <v>4</v>
      </c>
      <c r="E1695" s="165" t="s">
        <v>1069</v>
      </c>
      <c r="F1695" s="179" t="s">
        <v>1055</v>
      </c>
      <c r="G1695" s="186">
        <f ca="1">OFFSET(卡牌辅助配置表!$C$1,MATCH(AC1695,卡牌辅助配置表!A:A,0)-1,0)</f>
        <v>0</v>
      </c>
      <c r="H1695" s="186">
        <f ca="1">OFFSET(skill!$Q$1,MATCH(B1695,skill!B:B,0)-1,0)</f>
        <v>10</v>
      </c>
      <c r="I1695" s="186"/>
      <c r="J1695" s="186">
        <f ca="1">OFFSET(card_type!$F$1,MATCH(Q1695,card_type!A:A,0)-1,0)</f>
        <v>2</v>
      </c>
      <c r="K1695" s="243">
        <f ca="1">OFFSET(card_type!$G$1,MATCH(Q1695,card_type!A:A,0)-1,0)</f>
        <v>2</v>
      </c>
      <c r="L1695" s="157">
        <v>3</v>
      </c>
      <c r="M1695" s="157">
        <v>3</v>
      </c>
      <c r="N1695" s="153">
        <f t="shared" si="285"/>
        <v>29</v>
      </c>
      <c r="O1695" s="157"/>
      <c r="P1695" s="157"/>
      <c r="Q1695" s="153">
        <f ca="1">OFFSET(card_type!$A$1,MATCH(card!B1695,card_type!B:B,0)-1,0)</f>
        <v>3005</v>
      </c>
      <c r="R1695" s="153">
        <v>1</v>
      </c>
      <c r="S1695" s="157">
        <f ca="1">ROUND(IF(R1695=0,0,IF(R1695=1,X1695*$S$1,IF(R1695=2,X1695*$S$1*buff的资质计算!$E$2,IF(R1695=3,X1695*$S$1*buff的资质计算!$E$3,0)))),0)*0</f>
        <v>0</v>
      </c>
      <c r="T1695" s="153">
        <v>3</v>
      </c>
      <c r="U1695" s="153">
        <f ca="1" t="shared" si="286"/>
        <v>22</v>
      </c>
      <c r="V1695" s="153">
        <f ca="1">ROUND((OFFSET(卡牌辅助配置表!$O$1,MATCH(U1695,卡牌辅助配置表!M:M,0)-1,0)+(N1695-1)*OFFSET(卡牌辅助配置表!$P$1,MATCH(U1695,卡牌辅助配置表!M:M,0)-1,0))*M1695,2)</f>
        <v>102.9</v>
      </c>
      <c r="W1695" s="157">
        <f ca="1">ROUND(IF(R1695=0,0,IF(R1695=1,X1695*$W$1,IF(R1695=2,X1695*$W$1*buff的资质计算!$E$2,IF(R1695=3,X1695*$W$1*buff的资质计算!$E$3,0)))),2)</f>
        <v>16.8</v>
      </c>
      <c r="X1695" s="157">
        <f ca="1" t="shared" si="281"/>
        <v>56</v>
      </c>
      <c r="Y1695" s="157">
        <f ca="1" t="shared" si="289"/>
        <v>66</v>
      </c>
      <c r="Z1695" s="304">
        <f ca="1" t="shared" si="282"/>
        <v>22</v>
      </c>
      <c r="AA1695" s="304">
        <f ca="1">OFFSET(卡牌辅助配置表!$AD$1,MATCH(AB1695,卡牌辅助配置表!AB:AB,0)-1,0)</f>
        <v>4481</v>
      </c>
      <c r="AB1695" s="304">
        <f ca="1" t="shared" si="287"/>
        <v>2229</v>
      </c>
      <c r="AC1695" s="153">
        <v>12</v>
      </c>
      <c r="AF1695" s="153" t="str">
        <f ca="1" t="shared" si="290"/>
        <v>30050011|</v>
      </c>
      <c r="AJ1695" s="205" t="str">
        <f ca="1" t="shared" si="288"/>
        <v>303005|30|;400023|21450|;</v>
      </c>
      <c r="AK1695" s="205">
        <f ca="1">OFFSET([1]item_type!$A$1,MATCH(Q1695,[1]item_type!$G:$G,0)-1,0)</f>
        <v>303005</v>
      </c>
      <c r="AL1695" s="205">
        <v>30</v>
      </c>
      <c r="AM1695" s="205">
        <f ca="1">IF(B1695=B1696,OFFSET(卡牌辅助配置表!$AE$1,MATCH(AB1695,卡牌辅助配置表!AB:AB,0),0),0)</f>
        <v>21450</v>
      </c>
      <c r="AN1695" s="153">
        <f ca="1" t="shared" si="283"/>
        <v>3005030</v>
      </c>
      <c r="AP1695" s="153">
        <f ca="1">IF(AC1695=0,0,IF(AC1695=12,0,OFFSET(effect!$N$1,MATCH(K1695,effect!M:M,0)-1,0)))</f>
        <v>0</v>
      </c>
    </row>
    <row r="1696" spans="1:42">
      <c r="A1696" s="153">
        <f ca="1" t="shared" si="284"/>
        <v>3005030</v>
      </c>
      <c r="B1696" s="91" t="s">
        <v>419</v>
      </c>
      <c r="C1696" s="186">
        <v>3</v>
      </c>
      <c r="D1696" s="186">
        <v>4</v>
      </c>
      <c r="E1696" s="165" t="s">
        <v>1069</v>
      </c>
      <c r="F1696" s="179" t="s">
        <v>1055</v>
      </c>
      <c r="G1696" s="186">
        <f ca="1">OFFSET(卡牌辅助配置表!$C$1,MATCH(AC1696,卡牌辅助配置表!A:A,0)-1,0)</f>
        <v>0</v>
      </c>
      <c r="H1696" s="186">
        <f ca="1">OFFSET(skill!$Q$1,MATCH(B1696,skill!B:B,0)-1,0)</f>
        <v>10</v>
      </c>
      <c r="I1696" s="186"/>
      <c r="J1696" s="186">
        <f ca="1">OFFSET(card_type!$F$1,MATCH(Q1696,card_type!A:A,0)-1,0)</f>
        <v>2</v>
      </c>
      <c r="K1696" s="243">
        <f ca="1">OFFSET(card_type!$G$1,MATCH(Q1696,card_type!A:A,0)-1,0)</f>
        <v>2</v>
      </c>
      <c r="L1696" s="157">
        <v>3</v>
      </c>
      <c r="M1696" s="157">
        <v>3</v>
      </c>
      <c r="N1696" s="153">
        <f t="shared" si="285"/>
        <v>30</v>
      </c>
      <c r="O1696" s="157"/>
      <c r="P1696" s="157"/>
      <c r="Q1696" s="153">
        <f ca="1">OFFSET(card_type!$A$1,MATCH(card!B1696,card_type!B:B,0)-1,0)</f>
        <v>3005</v>
      </c>
      <c r="R1696" s="153">
        <v>1</v>
      </c>
      <c r="S1696" s="157">
        <f ca="1">ROUND(IF(R1696=0,0,IF(R1696=1,X1696*$S$1,IF(R1696=2,X1696*$S$1*buff的资质计算!$E$2,IF(R1696=3,X1696*$S$1*buff的资质计算!$E$3,0)))),0)*0</f>
        <v>0</v>
      </c>
      <c r="T1696" s="153">
        <v>3</v>
      </c>
      <c r="U1696" s="153">
        <f ca="1" t="shared" si="286"/>
        <v>22</v>
      </c>
      <c r="V1696" s="153">
        <f ca="1">ROUND((OFFSET(卡牌辅助配置表!$O$1,MATCH(U1696,卡牌辅助配置表!M:M,0)-1,0)+(N1696-1)*OFFSET(卡牌辅助配置表!$P$1,MATCH(U1696,卡牌辅助配置表!M:M,0)-1,0))*M1696,2)</f>
        <v>105.45</v>
      </c>
      <c r="W1696" s="157">
        <f ca="1">ROUND(IF(R1696=0,0,IF(R1696=1,X1696*$W$1,IF(R1696=2,X1696*$W$1*buff的资质计算!$E$2,IF(R1696=3,X1696*$W$1*buff的资质计算!$E$3,0)))),2)</f>
        <v>16.95</v>
      </c>
      <c r="X1696" s="157">
        <f ca="1" t="shared" si="281"/>
        <v>56.5</v>
      </c>
      <c r="Y1696" s="157">
        <f ca="1" t="shared" si="289"/>
        <v>66.5</v>
      </c>
      <c r="Z1696" s="304">
        <f ca="1" t="shared" si="282"/>
        <v>22.1666666666667</v>
      </c>
      <c r="AA1696" s="304">
        <f ca="1">OFFSET(卡牌辅助配置表!$AD$1,MATCH(AB1696,卡牌辅助配置表!AB:AB,0)-1,0)</f>
        <v>4650</v>
      </c>
      <c r="AB1696" s="304">
        <f ca="1" t="shared" si="287"/>
        <v>2230</v>
      </c>
      <c r="AC1696" s="153">
        <v>12</v>
      </c>
      <c r="AF1696" s="153" t="str">
        <f ca="1" t="shared" si="290"/>
        <v>30050011|</v>
      </c>
      <c r="AJ1696" s="205">
        <f ca="1" t="shared" si="288"/>
        <v>0</v>
      </c>
      <c r="AK1696" s="205">
        <f ca="1">OFFSET([1]item_type!$A$1,MATCH(Q1696,[1]item_type!$G:$G,0)-1,0)</f>
        <v>303005</v>
      </c>
      <c r="AL1696" s="205"/>
      <c r="AM1696" s="205">
        <f ca="1">IF(B1696=B1697,OFFSET(卡牌辅助配置表!$AE$1,MATCH(AB1696,卡牌辅助配置表!AB:AB,0),0),0)</f>
        <v>0</v>
      </c>
      <c r="AN1696" s="153">
        <f ca="1" t="shared" si="283"/>
        <v>0</v>
      </c>
      <c r="AP1696" s="153">
        <f ca="1">IF(AC1696=0,0,IF(AC1696=12,0,OFFSET(effect!$N$1,MATCH(K1696,effect!M:M,0)-1,0)))</f>
        <v>0</v>
      </c>
    </row>
    <row r="1697" spans="1:42">
      <c r="A1697" s="153">
        <f ca="1" t="shared" si="284"/>
        <v>3006001</v>
      </c>
      <c r="B1697" s="91" t="s">
        <v>860</v>
      </c>
      <c r="C1697" s="186">
        <v>3</v>
      </c>
      <c r="D1697" s="186">
        <v>4</v>
      </c>
      <c r="E1697" s="165" t="s">
        <v>1069</v>
      </c>
      <c r="F1697" s="179" t="s">
        <v>1070</v>
      </c>
      <c r="G1697" s="186">
        <f ca="1">OFFSET(卡牌辅助配置表!$C$1,MATCH(AC1697,卡牌辅助配置表!A:A,0)-1,0)</f>
        <v>0</v>
      </c>
      <c r="H1697" s="186">
        <f ca="1">OFFSET(skill!$Q$1,MATCH(B1697,skill!B:B,0)-1,0)</f>
        <v>15</v>
      </c>
      <c r="I1697" s="186"/>
      <c r="J1697" s="186">
        <f ca="1">OFFSET(card_type!$F$1,MATCH(Q1697,card_type!A:A,0)-1,0)</f>
        <v>6</v>
      </c>
      <c r="K1697" s="243">
        <f ca="1">OFFSET(card_type!$G$1,MATCH(Q1697,card_type!A:A,0)-1,0)</f>
        <v>3</v>
      </c>
      <c r="L1697" s="157">
        <v>4</v>
      </c>
      <c r="M1697" s="157">
        <v>4</v>
      </c>
      <c r="N1697" s="153">
        <f t="shared" si="285"/>
        <v>1</v>
      </c>
      <c r="O1697" s="157"/>
      <c r="P1697" s="157"/>
      <c r="Q1697" s="153">
        <f ca="1">OFFSET(card_type!$A$1,MATCH(card!B1697,card_type!B:B,0)-1,0)</f>
        <v>3006</v>
      </c>
      <c r="R1697" s="153">
        <v>1</v>
      </c>
      <c r="S1697" s="157">
        <f ca="1">ROUND(IF(R1697=0,0,IF(R1697=1,X1697*$S$1,IF(R1697=2,X1697*$S$1*buff的资质计算!$E$2,IF(R1697=3,X1697*$S$1*buff的资质计算!$E$3,0)))),0)*0</f>
        <v>0</v>
      </c>
      <c r="T1697" s="153">
        <v>3</v>
      </c>
      <c r="U1697" s="153">
        <f ca="1" t="shared" si="286"/>
        <v>63</v>
      </c>
      <c r="V1697" s="153">
        <f ca="1">ROUND((OFFSET(卡牌辅助配置表!$O$1,MATCH(U1697,卡牌辅助配置表!M:M,0)-1,0)+(N1697-1)*OFFSET(卡牌辅助配置表!$P$1,MATCH(U1697,卡牌辅助配置表!M:M,0)-1,0))*M1697,2)</f>
        <v>458.88</v>
      </c>
      <c r="W1697" s="157">
        <f ca="1">ROUND(IF(R1697=0,0,IF(R1697=1,X1697*$W$1,IF(R1697=2,X1697*$W$1*buff的资质计算!$E$2,IF(R1697=3,X1697*$W$1*buff的资质计算!$E$3,0)))),2)</f>
        <v>45.6</v>
      </c>
      <c r="X1697" s="157">
        <f ca="1" t="shared" si="281"/>
        <v>152</v>
      </c>
      <c r="Y1697" s="157">
        <f ca="1" t="shared" si="289"/>
        <v>167</v>
      </c>
      <c r="Z1697" s="304">
        <f ca="1" t="shared" si="282"/>
        <v>41.75</v>
      </c>
      <c r="AA1697" s="304">
        <f ca="1">OFFSET(卡牌辅助配置表!$AD$1,MATCH(AB1697,卡牌辅助配置表!AB:AB,0)-1,0)</f>
        <v>3834</v>
      </c>
      <c r="AB1697" s="304">
        <f ca="1" t="shared" si="287"/>
        <v>6301</v>
      </c>
      <c r="AC1697" s="153">
        <v>12</v>
      </c>
      <c r="AF1697" s="153" t="str">
        <f ca="1" t="shared" si="290"/>
        <v>30060011|</v>
      </c>
      <c r="AJ1697" s="205" t="str">
        <f ca="1" t="shared" si="288"/>
        <v>400023|1400|;</v>
      </c>
      <c r="AK1697" s="205">
        <f ca="1">OFFSET([1]item_type!$A$1,MATCH(Q1697,[1]item_type!$G:$G,0)-1,0)</f>
        <v>303006</v>
      </c>
      <c r="AL1697" s="205"/>
      <c r="AM1697" s="205">
        <f ca="1">IF(B1697=B1698,OFFSET(卡牌辅助配置表!$AE$1,MATCH(AB1697,卡牌辅助配置表!AB:AB,0),0),0)</f>
        <v>1400</v>
      </c>
      <c r="AN1697" s="153">
        <f ca="1" t="shared" si="283"/>
        <v>3006002</v>
      </c>
      <c r="AP1697" s="153">
        <f ca="1">IF(AC1697=0,0,IF(AC1697=12,0,OFFSET(effect!$N$1,MATCH(K1697,effect!M:M,0)-1,0)))</f>
        <v>0</v>
      </c>
    </row>
    <row r="1698" spans="1:42">
      <c r="A1698" s="153">
        <f ca="1" t="shared" si="284"/>
        <v>3006002</v>
      </c>
      <c r="B1698" s="91" t="s">
        <v>860</v>
      </c>
      <c r="C1698" s="186">
        <v>3</v>
      </c>
      <c r="D1698" s="186">
        <v>4</v>
      </c>
      <c r="E1698" s="165" t="s">
        <v>1069</v>
      </c>
      <c r="F1698" s="179" t="s">
        <v>1070</v>
      </c>
      <c r="G1698" s="186">
        <f ca="1">OFFSET(卡牌辅助配置表!$C$1,MATCH(AC1698,卡牌辅助配置表!A:A,0)-1,0)</f>
        <v>0</v>
      </c>
      <c r="H1698" s="186">
        <f ca="1">OFFSET(skill!$Q$1,MATCH(B1698,skill!B:B,0)-1,0)</f>
        <v>15</v>
      </c>
      <c r="I1698" s="186"/>
      <c r="J1698" s="186">
        <f ca="1">OFFSET(card_type!$F$1,MATCH(Q1698,card_type!A:A,0)-1,0)</f>
        <v>6</v>
      </c>
      <c r="K1698" s="243">
        <f ca="1">OFFSET(card_type!$G$1,MATCH(Q1698,card_type!A:A,0)-1,0)</f>
        <v>3</v>
      </c>
      <c r="L1698" s="157">
        <v>4</v>
      </c>
      <c r="M1698" s="157">
        <v>4</v>
      </c>
      <c r="N1698" s="153">
        <f t="shared" si="285"/>
        <v>2</v>
      </c>
      <c r="O1698" s="157"/>
      <c r="P1698" s="157"/>
      <c r="Q1698" s="153">
        <f ca="1">OFFSET(card_type!$A$1,MATCH(card!B1698,card_type!B:B,0)-1,0)</f>
        <v>3006</v>
      </c>
      <c r="R1698" s="153">
        <v>1</v>
      </c>
      <c r="S1698" s="157">
        <f ca="1">ROUND(IF(R1698=0,0,IF(R1698=1,X1698*$S$1,IF(R1698=2,X1698*$S$1*buff的资质计算!$E$2,IF(R1698=3,X1698*$S$1*buff的资质计算!$E$3,0)))),0)*0</f>
        <v>0</v>
      </c>
      <c r="T1698" s="153">
        <v>3</v>
      </c>
      <c r="U1698" s="153">
        <f ca="1" t="shared" si="286"/>
        <v>63</v>
      </c>
      <c r="V1698" s="153">
        <f ca="1">ROUND((OFFSET(卡牌辅助配置表!$O$1,MATCH(U1698,卡牌辅助配置表!M:M,0)-1,0)+(N1698-1)*OFFSET(卡牌辅助配置表!$P$1,MATCH(U1698,卡牌辅助配置表!M:M,0)-1,0))*M1698,2)</f>
        <v>458.88</v>
      </c>
      <c r="W1698" s="157">
        <f ca="1">ROUND(IF(R1698=0,0,IF(R1698=1,X1698*$W$1,IF(R1698=2,X1698*$W$1*buff的资质计算!$E$2,IF(R1698=3,X1698*$W$1*buff的资质计算!$E$3,0)))),2)</f>
        <v>45.75</v>
      </c>
      <c r="X1698" s="157">
        <f ca="1" t="shared" si="281"/>
        <v>152.5</v>
      </c>
      <c r="Y1698" s="157">
        <f ca="1" t="shared" si="289"/>
        <v>167.5</v>
      </c>
      <c r="Z1698" s="304">
        <f ca="1" t="shared" si="282"/>
        <v>41.875</v>
      </c>
      <c r="AA1698" s="304">
        <f ca="1">OFFSET(卡牌辅助配置表!$AD$1,MATCH(AB1698,卡牌辅助配置表!AB:AB,0)-1,0)</f>
        <v>7668</v>
      </c>
      <c r="AB1698" s="304">
        <f ca="1" t="shared" si="287"/>
        <v>6302</v>
      </c>
      <c r="AC1698" s="153">
        <v>12</v>
      </c>
      <c r="AF1698" s="153" t="str">
        <f ca="1" t="shared" si="290"/>
        <v>30060011|</v>
      </c>
      <c r="AJ1698" s="205" t="str">
        <f ca="1" t="shared" si="288"/>
        <v>400023|1800|;</v>
      </c>
      <c r="AK1698" s="205">
        <f ca="1">OFFSET([1]item_type!$A$1,MATCH(Q1698,[1]item_type!$G:$G,0)-1,0)</f>
        <v>303006</v>
      </c>
      <c r="AL1698" s="205"/>
      <c r="AM1698" s="205">
        <f ca="1">IF(B1698=B1699,OFFSET(卡牌辅助配置表!$AE$1,MATCH(AB1698,卡牌辅助配置表!AB:AB,0),0),0)</f>
        <v>1800</v>
      </c>
      <c r="AN1698" s="153">
        <f ca="1" t="shared" si="283"/>
        <v>3006003</v>
      </c>
      <c r="AP1698" s="153">
        <f ca="1">IF(AC1698=0,0,IF(AC1698=12,0,OFFSET(effect!$N$1,MATCH(K1698,effect!M:M,0)-1,0)))</f>
        <v>0</v>
      </c>
    </row>
    <row r="1699" spans="1:42">
      <c r="A1699" s="153">
        <f ca="1" t="shared" si="284"/>
        <v>3006003</v>
      </c>
      <c r="B1699" s="91" t="s">
        <v>860</v>
      </c>
      <c r="C1699" s="186">
        <v>3</v>
      </c>
      <c r="D1699" s="186">
        <v>4</v>
      </c>
      <c r="E1699" s="165" t="s">
        <v>1069</v>
      </c>
      <c r="F1699" s="179" t="s">
        <v>1070</v>
      </c>
      <c r="G1699" s="186">
        <f ca="1">OFFSET(卡牌辅助配置表!$C$1,MATCH(AC1699,卡牌辅助配置表!A:A,0)-1,0)</f>
        <v>0</v>
      </c>
      <c r="H1699" s="186">
        <f ca="1">OFFSET(skill!$Q$1,MATCH(B1699,skill!B:B,0)-1,0)</f>
        <v>15</v>
      </c>
      <c r="I1699" s="186"/>
      <c r="J1699" s="186">
        <f ca="1">OFFSET(card_type!$F$1,MATCH(Q1699,card_type!A:A,0)-1,0)</f>
        <v>6</v>
      </c>
      <c r="K1699" s="243">
        <f ca="1">OFFSET(card_type!$G$1,MATCH(Q1699,card_type!A:A,0)-1,0)</f>
        <v>3</v>
      </c>
      <c r="L1699" s="157">
        <v>4</v>
      </c>
      <c r="M1699" s="157">
        <v>4</v>
      </c>
      <c r="N1699" s="153">
        <f t="shared" si="285"/>
        <v>3</v>
      </c>
      <c r="O1699" s="157"/>
      <c r="P1699" s="157"/>
      <c r="Q1699" s="153">
        <f ca="1">OFFSET(card_type!$A$1,MATCH(card!B1699,card_type!B:B,0)-1,0)</f>
        <v>3006</v>
      </c>
      <c r="R1699" s="153">
        <v>1</v>
      </c>
      <c r="S1699" s="157">
        <f ca="1">ROUND(IF(R1699=0,0,IF(R1699=1,X1699*$S$1,IF(R1699=2,X1699*$S$1*buff的资质计算!$E$2,IF(R1699=3,X1699*$S$1*buff的资质计算!$E$3,0)))),0)*0</f>
        <v>0</v>
      </c>
      <c r="T1699" s="153">
        <v>3</v>
      </c>
      <c r="U1699" s="153">
        <f ca="1" t="shared" si="286"/>
        <v>63</v>
      </c>
      <c r="V1699" s="153">
        <f ca="1">ROUND((OFFSET(卡牌辅助配置表!$O$1,MATCH(U1699,卡牌辅助配置表!M:M,0)-1,0)+(N1699-1)*OFFSET(卡牌辅助配置表!$P$1,MATCH(U1699,卡牌辅助配置表!M:M,0)-1,0))*M1699,2)</f>
        <v>458.88</v>
      </c>
      <c r="W1699" s="157">
        <f ca="1">ROUND(IF(R1699=0,0,IF(R1699=1,X1699*$W$1,IF(R1699=2,X1699*$W$1*buff的资质计算!$E$2,IF(R1699=3,X1699*$W$1*buff的资质计算!$E$3,0)))),2)</f>
        <v>45.9</v>
      </c>
      <c r="X1699" s="157">
        <f ca="1" t="shared" si="281"/>
        <v>153</v>
      </c>
      <c r="Y1699" s="157">
        <f ca="1" t="shared" si="289"/>
        <v>168</v>
      </c>
      <c r="Z1699" s="304">
        <f ca="1" t="shared" si="282"/>
        <v>42</v>
      </c>
      <c r="AA1699" s="304">
        <f ca="1">OFFSET(卡牌辅助配置表!$AD$1,MATCH(AB1699,卡牌辅助配置表!AB:AB,0)-1,0)</f>
        <v>11502</v>
      </c>
      <c r="AB1699" s="304">
        <f ca="1" t="shared" si="287"/>
        <v>6303</v>
      </c>
      <c r="AC1699" s="153">
        <v>12</v>
      </c>
      <c r="AF1699" s="153" t="str">
        <f ca="1" t="shared" si="290"/>
        <v>30060011|</v>
      </c>
      <c r="AJ1699" s="205" t="str">
        <f ca="1" t="shared" si="288"/>
        <v>400023|2200|;</v>
      </c>
      <c r="AK1699" s="205">
        <f ca="1">OFFSET([1]item_type!$A$1,MATCH(Q1699,[1]item_type!$G:$G,0)-1,0)</f>
        <v>303006</v>
      </c>
      <c r="AL1699" s="205"/>
      <c r="AM1699" s="205">
        <f ca="1">IF(B1699=B1700,OFFSET(卡牌辅助配置表!$AE$1,MATCH(AB1699,卡牌辅助配置表!AB:AB,0),0),0)</f>
        <v>2200</v>
      </c>
      <c r="AN1699" s="153">
        <f ca="1" t="shared" si="283"/>
        <v>3006004</v>
      </c>
      <c r="AP1699" s="153">
        <f ca="1">IF(AC1699=0,0,IF(AC1699=12,0,OFFSET(effect!$N$1,MATCH(K1699,effect!M:M,0)-1,0)))</f>
        <v>0</v>
      </c>
    </row>
    <row r="1700" spans="1:42">
      <c r="A1700" s="153">
        <f ca="1" t="shared" si="284"/>
        <v>3006004</v>
      </c>
      <c r="B1700" s="91" t="s">
        <v>860</v>
      </c>
      <c r="C1700" s="186">
        <v>3</v>
      </c>
      <c r="D1700" s="186">
        <v>4</v>
      </c>
      <c r="E1700" s="165" t="s">
        <v>1069</v>
      </c>
      <c r="F1700" s="179" t="s">
        <v>1070</v>
      </c>
      <c r="G1700" s="186">
        <f ca="1">OFFSET(卡牌辅助配置表!$C$1,MATCH(AC1700,卡牌辅助配置表!A:A,0)-1,0)</f>
        <v>0</v>
      </c>
      <c r="H1700" s="186">
        <f ca="1">OFFSET(skill!$Q$1,MATCH(B1700,skill!B:B,0)-1,0)</f>
        <v>15</v>
      </c>
      <c r="I1700" s="186"/>
      <c r="J1700" s="186">
        <f ca="1">OFFSET(card_type!$F$1,MATCH(Q1700,card_type!A:A,0)-1,0)</f>
        <v>6</v>
      </c>
      <c r="K1700" s="243">
        <f ca="1">OFFSET(card_type!$G$1,MATCH(Q1700,card_type!A:A,0)-1,0)</f>
        <v>3</v>
      </c>
      <c r="L1700" s="157">
        <v>4</v>
      </c>
      <c r="M1700" s="157">
        <v>4</v>
      </c>
      <c r="N1700" s="153">
        <f t="shared" si="285"/>
        <v>4</v>
      </c>
      <c r="O1700" s="157"/>
      <c r="P1700" s="157"/>
      <c r="Q1700" s="153">
        <f ca="1">OFFSET(card_type!$A$1,MATCH(card!B1700,card_type!B:B,0)-1,0)</f>
        <v>3006</v>
      </c>
      <c r="R1700" s="153">
        <v>1</v>
      </c>
      <c r="S1700" s="157">
        <f ca="1">ROUND(IF(R1700=0,0,IF(R1700=1,X1700*$S$1,IF(R1700=2,X1700*$S$1*buff的资质计算!$E$2,IF(R1700=3,X1700*$S$1*buff的资质计算!$E$3,0)))),0)*0</f>
        <v>0</v>
      </c>
      <c r="T1700" s="153">
        <v>3</v>
      </c>
      <c r="U1700" s="153">
        <f ca="1" t="shared" si="286"/>
        <v>63</v>
      </c>
      <c r="V1700" s="153">
        <f ca="1">ROUND((OFFSET(卡牌辅助配置表!$O$1,MATCH(U1700,卡牌辅助配置表!M:M,0)-1,0)+(N1700-1)*OFFSET(卡牌辅助配置表!$P$1,MATCH(U1700,卡牌辅助配置表!M:M,0)-1,0))*M1700,2)</f>
        <v>458.88</v>
      </c>
      <c r="W1700" s="157">
        <f ca="1">ROUND(IF(R1700=0,0,IF(R1700=1,X1700*$W$1,IF(R1700=2,X1700*$W$1*buff的资质计算!$E$2,IF(R1700=3,X1700*$W$1*buff的资质计算!$E$3,0)))),2)</f>
        <v>46.05</v>
      </c>
      <c r="X1700" s="157">
        <f ca="1" t="shared" si="281"/>
        <v>153.5</v>
      </c>
      <c r="Y1700" s="157">
        <f ca="1" t="shared" si="289"/>
        <v>168.5</v>
      </c>
      <c r="Z1700" s="304">
        <f ca="1" t="shared" si="282"/>
        <v>42.125</v>
      </c>
      <c r="AA1700" s="304">
        <f ca="1">OFFSET(卡牌辅助配置表!$AD$1,MATCH(AB1700,卡牌辅助配置表!AB:AB,0)-1,0)</f>
        <v>15336</v>
      </c>
      <c r="AB1700" s="304">
        <f ca="1" t="shared" si="287"/>
        <v>6304</v>
      </c>
      <c r="AC1700" s="153">
        <v>12</v>
      </c>
      <c r="AF1700" s="153" t="str">
        <f ca="1" t="shared" si="290"/>
        <v>30060011|</v>
      </c>
      <c r="AJ1700" s="205" t="str">
        <f ca="1" t="shared" si="288"/>
        <v>400023|2600|;</v>
      </c>
      <c r="AK1700" s="205">
        <f ca="1">OFFSET([1]item_type!$A$1,MATCH(Q1700,[1]item_type!$G:$G,0)-1,0)</f>
        <v>303006</v>
      </c>
      <c r="AL1700" s="205"/>
      <c r="AM1700" s="205">
        <f ca="1">IF(B1700=B1701,OFFSET(卡牌辅助配置表!$AE$1,MATCH(AB1700,卡牌辅助配置表!AB:AB,0),0),0)</f>
        <v>2600</v>
      </c>
      <c r="AN1700" s="153">
        <f ca="1" t="shared" si="283"/>
        <v>3006005</v>
      </c>
      <c r="AP1700" s="153">
        <f ca="1">IF(AC1700=0,0,IF(AC1700=12,0,OFFSET(effect!$N$1,MATCH(K1700,effect!M:M,0)-1,0)))</f>
        <v>0</v>
      </c>
    </row>
    <row r="1701" spans="1:42">
      <c r="A1701" s="153">
        <f ca="1" t="shared" si="284"/>
        <v>3006005</v>
      </c>
      <c r="B1701" s="91" t="s">
        <v>860</v>
      </c>
      <c r="C1701" s="186">
        <v>3</v>
      </c>
      <c r="D1701" s="186">
        <v>4</v>
      </c>
      <c r="E1701" s="165" t="s">
        <v>1069</v>
      </c>
      <c r="F1701" s="179" t="s">
        <v>1070</v>
      </c>
      <c r="G1701" s="186">
        <f ca="1">OFFSET(卡牌辅助配置表!$C$1,MATCH(AC1701,卡牌辅助配置表!A:A,0)-1,0)</f>
        <v>0</v>
      </c>
      <c r="H1701" s="186">
        <f ca="1">OFFSET(skill!$Q$1,MATCH(B1701,skill!B:B,0)-1,0)</f>
        <v>15</v>
      </c>
      <c r="I1701" s="186"/>
      <c r="J1701" s="186">
        <f ca="1">OFFSET(card_type!$F$1,MATCH(Q1701,card_type!A:A,0)-1,0)</f>
        <v>6</v>
      </c>
      <c r="K1701" s="243">
        <f ca="1">OFFSET(card_type!$G$1,MATCH(Q1701,card_type!A:A,0)-1,0)</f>
        <v>3</v>
      </c>
      <c r="L1701" s="157">
        <v>4</v>
      </c>
      <c r="M1701" s="157">
        <v>4</v>
      </c>
      <c r="N1701" s="153">
        <f t="shared" si="285"/>
        <v>5</v>
      </c>
      <c r="O1701" s="157"/>
      <c r="P1701" s="157"/>
      <c r="Q1701" s="153">
        <f ca="1">OFFSET(card_type!$A$1,MATCH(card!B1701,card_type!B:B,0)-1,0)</f>
        <v>3006</v>
      </c>
      <c r="R1701" s="153">
        <v>1</v>
      </c>
      <c r="S1701" s="157">
        <f ca="1">ROUND(IF(R1701=0,0,IF(R1701=1,X1701*$S$1,IF(R1701=2,X1701*$S$1*buff的资质计算!$E$2,IF(R1701=3,X1701*$S$1*buff的资质计算!$E$3,0)))),0)*0</f>
        <v>0</v>
      </c>
      <c r="T1701" s="153">
        <v>3</v>
      </c>
      <c r="U1701" s="153">
        <f ca="1" t="shared" si="286"/>
        <v>63</v>
      </c>
      <c r="V1701" s="153">
        <f ca="1">ROUND((OFFSET(卡牌辅助配置表!$O$1,MATCH(U1701,卡牌辅助配置表!M:M,0)-1,0)+(N1701-1)*OFFSET(卡牌辅助配置表!$P$1,MATCH(U1701,卡牌辅助配置表!M:M,0)-1,0))*M1701,2)</f>
        <v>458.88</v>
      </c>
      <c r="W1701" s="157">
        <f ca="1">ROUND(IF(R1701=0,0,IF(R1701=1,X1701*$W$1,IF(R1701=2,X1701*$W$1*buff的资质计算!$E$2,IF(R1701=3,X1701*$W$1*buff的资质计算!$E$3,0)))),2)</f>
        <v>46.2</v>
      </c>
      <c r="X1701" s="157">
        <f ca="1" t="shared" si="281"/>
        <v>154</v>
      </c>
      <c r="Y1701" s="157">
        <f ca="1" t="shared" si="289"/>
        <v>169</v>
      </c>
      <c r="Z1701" s="304">
        <f ca="1" t="shared" si="282"/>
        <v>42.25</v>
      </c>
      <c r="AA1701" s="304">
        <f ca="1">OFFSET(卡牌辅助配置表!$AD$1,MATCH(AB1701,卡牌辅助配置表!AB:AB,0)-1,0)</f>
        <v>19170</v>
      </c>
      <c r="AB1701" s="304">
        <f ca="1" t="shared" si="287"/>
        <v>6305</v>
      </c>
      <c r="AC1701" s="153">
        <v>12</v>
      </c>
      <c r="AF1701" s="153" t="str">
        <f ca="1" t="shared" si="290"/>
        <v>30060011|</v>
      </c>
      <c r="AJ1701" s="205" t="str">
        <f ca="1" t="shared" si="288"/>
        <v>400023|3000|;</v>
      </c>
      <c r="AK1701" s="205">
        <f ca="1">OFFSET([1]item_type!$A$1,MATCH(Q1701,[1]item_type!$G:$G,0)-1,0)</f>
        <v>303006</v>
      </c>
      <c r="AL1701" s="205"/>
      <c r="AM1701" s="205">
        <f ca="1">IF(B1701=B1702,OFFSET(卡牌辅助配置表!$AE$1,MATCH(AB1701,卡牌辅助配置表!AB:AB,0),0),0)</f>
        <v>3000</v>
      </c>
      <c r="AN1701" s="153">
        <f ca="1" t="shared" si="283"/>
        <v>3006006</v>
      </c>
      <c r="AP1701" s="153">
        <f ca="1">IF(AC1701=0,0,IF(AC1701=12,0,OFFSET(effect!$N$1,MATCH(K1701,effect!M:M,0)-1,0)))</f>
        <v>0</v>
      </c>
    </row>
    <row r="1702" spans="1:42">
      <c r="A1702" s="153">
        <f ca="1" t="shared" si="284"/>
        <v>3006006</v>
      </c>
      <c r="B1702" s="91" t="s">
        <v>860</v>
      </c>
      <c r="C1702" s="186">
        <v>3</v>
      </c>
      <c r="D1702" s="186">
        <v>4</v>
      </c>
      <c r="E1702" s="165" t="s">
        <v>1069</v>
      </c>
      <c r="F1702" s="179" t="s">
        <v>1070</v>
      </c>
      <c r="G1702" s="186">
        <f ca="1">OFFSET(卡牌辅助配置表!$C$1,MATCH(AC1702,卡牌辅助配置表!A:A,0)-1,0)</f>
        <v>0</v>
      </c>
      <c r="H1702" s="186">
        <f ca="1">OFFSET(skill!$Q$1,MATCH(B1702,skill!B:B,0)-1,0)</f>
        <v>15</v>
      </c>
      <c r="I1702" s="186"/>
      <c r="J1702" s="186">
        <f ca="1">OFFSET(card_type!$F$1,MATCH(Q1702,card_type!A:A,0)-1,0)</f>
        <v>6</v>
      </c>
      <c r="K1702" s="243">
        <f ca="1">OFFSET(card_type!$G$1,MATCH(Q1702,card_type!A:A,0)-1,0)</f>
        <v>3</v>
      </c>
      <c r="L1702" s="157">
        <v>4</v>
      </c>
      <c r="M1702" s="157">
        <v>4</v>
      </c>
      <c r="N1702" s="153">
        <f t="shared" si="285"/>
        <v>6</v>
      </c>
      <c r="O1702" s="157"/>
      <c r="P1702" s="157"/>
      <c r="Q1702" s="153">
        <f ca="1">OFFSET(card_type!$A$1,MATCH(card!B1702,card_type!B:B,0)-1,0)</f>
        <v>3006</v>
      </c>
      <c r="R1702" s="153">
        <v>1</v>
      </c>
      <c r="S1702" s="157">
        <f ca="1">ROUND(IF(R1702=0,0,IF(R1702=1,X1702*$S$1,IF(R1702=2,X1702*$S$1*buff的资质计算!$E$2,IF(R1702=3,X1702*$S$1*buff的资质计算!$E$3,0)))),0)*0</f>
        <v>0</v>
      </c>
      <c r="T1702" s="153">
        <v>3</v>
      </c>
      <c r="U1702" s="153">
        <f ca="1" t="shared" si="286"/>
        <v>63</v>
      </c>
      <c r="V1702" s="153">
        <f ca="1">ROUND((OFFSET(卡牌辅助配置表!$O$1,MATCH(U1702,卡牌辅助配置表!M:M,0)-1,0)+(N1702-1)*OFFSET(卡牌辅助配置表!$P$1,MATCH(U1702,卡牌辅助配置表!M:M,0)-1,0))*M1702,2)</f>
        <v>458.88</v>
      </c>
      <c r="W1702" s="157">
        <f ca="1">ROUND(IF(R1702=0,0,IF(R1702=1,X1702*$W$1,IF(R1702=2,X1702*$W$1*buff的资质计算!$E$2,IF(R1702=3,X1702*$W$1*buff的资质计算!$E$3,0)))),2)</f>
        <v>46.35</v>
      </c>
      <c r="X1702" s="157">
        <f ca="1" t="shared" si="281"/>
        <v>154.5</v>
      </c>
      <c r="Y1702" s="157">
        <f ca="1" t="shared" si="289"/>
        <v>169.5</v>
      </c>
      <c r="Z1702" s="304">
        <f ca="1" t="shared" si="282"/>
        <v>42.375</v>
      </c>
      <c r="AA1702" s="304">
        <f ca="1">OFFSET(卡牌辅助配置表!$AD$1,MATCH(AB1702,卡牌辅助配置表!AB:AB,0)-1,0)</f>
        <v>23004</v>
      </c>
      <c r="AB1702" s="304">
        <f ca="1" t="shared" si="287"/>
        <v>6306</v>
      </c>
      <c r="AC1702" s="153">
        <v>12</v>
      </c>
      <c r="AF1702" s="153" t="str">
        <f ca="1" t="shared" si="290"/>
        <v>30060011|</v>
      </c>
      <c r="AJ1702" s="205" t="str">
        <f ca="1" t="shared" si="288"/>
        <v>400023|3400|;</v>
      </c>
      <c r="AK1702" s="205">
        <f ca="1">OFFSET([1]item_type!$A$1,MATCH(Q1702,[1]item_type!$G:$G,0)-1,0)</f>
        <v>303006</v>
      </c>
      <c r="AL1702" s="205"/>
      <c r="AM1702" s="205">
        <f ca="1">IF(B1702=B1703,OFFSET(卡牌辅助配置表!$AE$1,MATCH(AB1702,卡牌辅助配置表!AB:AB,0),0),0)</f>
        <v>3400</v>
      </c>
      <c r="AN1702" s="153">
        <f ca="1" t="shared" si="283"/>
        <v>3006007</v>
      </c>
      <c r="AP1702" s="153">
        <f ca="1">IF(AC1702=0,0,IF(AC1702=12,0,OFFSET(effect!$N$1,MATCH(K1702,effect!M:M,0)-1,0)))</f>
        <v>0</v>
      </c>
    </row>
    <row r="1703" spans="1:42">
      <c r="A1703" s="153">
        <f ca="1" t="shared" si="284"/>
        <v>3006007</v>
      </c>
      <c r="B1703" s="91" t="s">
        <v>860</v>
      </c>
      <c r="C1703" s="186">
        <v>3</v>
      </c>
      <c r="D1703" s="186">
        <v>4</v>
      </c>
      <c r="E1703" s="165" t="s">
        <v>1069</v>
      </c>
      <c r="F1703" s="179" t="s">
        <v>1070</v>
      </c>
      <c r="G1703" s="186">
        <f ca="1">OFFSET(卡牌辅助配置表!$C$1,MATCH(AC1703,卡牌辅助配置表!A:A,0)-1,0)</f>
        <v>0</v>
      </c>
      <c r="H1703" s="186">
        <f ca="1">OFFSET(skill!$Q$1,MATCH(B1703,skill!B:B,0)-1,0)</f>
        <v>15</v>
      </c>
      <c r="I1703" s="186"/>
      <c r="J1703" s="186">
        <f ca="1">OFFSET(card_type!$F$1,MATCH(Q1703,card_type!A:A,0)-1,0)</f>
        <v>6</v>
      </c>
      <c r="K1703" s="243">
        <f ca="1">OFFSET(card_type!$G$1,MATCH(Q1703,card_type!A:A,0)-1,0)</f>
        <v>3</v>
      </c>
      <c r="L1703" s="157">
        <v>4</v>
      </c>
      <c r="M1703" s="157">
        <v>4</v>
      </c>
      <c r="N1703" s="153">
        <f t="shared" si="285"/>
        <v>7</v>
      </c>
      <c r="O1703" s="157"/>
      <c r="P1703" s="157"/>
      <c r="Q1703" s="153">
        <f ca="1">OFFSET(card_type!$A$1,MATCH(card!B1703,card_type!B:B,0)-1,0)</f>
        <v>3006</v>
      </c>
      <c r="R1703" s="153">
        <v>1</v>
      </c>
      <c r="S1703" s="157">
        <f ca="1">ROUND(IF(R1703=0,0,IF(R1703=1,X1703*$S$1,IF(R1703=2,X1703*$S$1*buff的资质计算!$E$2,IF(R1703=3,X1703*$S$1*buff的资质计算!$E$3,0)))),0)*0</f>
        <v>0</v>
      </c>
      <c r="T1703" s="153">
        <v>3</v>
      </c>
      <c r="U1703" s="153">
        <f ca="1" t="shared" si="286"/>
        <v>63</v>
      </c>
      <c r="V1703" s="153">
        <f ca="1">ROUND((OFFSET(卡牌辅助配置表!$O$1,MATCH(U1703,卡牌辅助配置表!M:M,0)-1,0)+(N1703-1)*OFFSET(卡牌辅助配置表!$P$1,MATCH(U1703,卡牌辅助配置表!M:M,0)-1,0))*M1703,2)</f>
        <v>458.88</v>
      </c>
      <c r="W1703" s="157">
        <f ca="1">ROUND(IF(R1703=0,0,IF(R1703=1,X1703*$W$1,IF(R1703=2,X1703*$W$1*buff的资质计算!$E$2,IF(R1703=3,X1703*$W$1*buff的资质计算!$E$3,0)))),2)</f>
        <v>46.5</v>
      </c>
      <c r="X1703" s="157">
        <f ca="1" t="shared" si="281"/>
        <v>155</v>
      </c>
      <c r="Y1703" s="157">
        <f ca="1" t="shared" si="289"/>
        <v>170</v>
      </c>
      <c r="Z1703" s="304">
        <f ca="1" t="shared" si="282"/>
        <v>42.5</v>
      </c>
      <c r="AA1703" s="304">
        <f ca="1">OFFSET(卡牌辅助配置表!$AD$1,MATCH(AB1703,卡牌辅助配置表!AB:AB,0)-1,0)</f>
        <v>26838</v>
      </c>
      <c r="AB1703" s="304">
        <f ca="1" t="shared" si="287"/>
        <v>6307</v>
      </c>
      <c r="AC1703" s="153">
        <v>12</v>
      </c>
      <c r="AF1703" s="153" t="str">
        <f ca="1" t="shared" si="290"/>
        <v>30060011|</v>
      </c>
      <c r="AJ1703" s="205" t="str">
        <f ca="1" t="shared" si="288"/>
        <v>400023|3800|;</v>
      </c>
      <c r="AK1703" s="205">
        <f ca="1">OFFSET([1]item_type!$A$1,MATCH(Q1703,[1]item_type!$G:$G,0)-1,0)</f>
        <v>303006</v>
      </c>
      <c r="AL1703" s="205"/>
      <c r="AM1703" s="205">
        <f ca="1">IF(B1703=B1704,OFFSET(卡牌辅助配置表!$AE$1,MATCH(AB1703,卡牌辅助配置表!AB:AB,0),0),0)</f>
        <v>3800</v>
      </c>
      <c r="AN1703" s="153">
        <f ca="1" t="shared" si="283"/>
        <v>3006008</v>
      </c>
      <c r="AP1703" s="153">
        <f ca="1">IF(AC1703=0,0,IF(AC1703=12,0,OFFSET(effect!$N$1,MATCH(K1703,effect!M:M,0)-1,0)))</f>
        <v>0</v>
      </c>
    </row>
    <row r="1704" spans="1:42">
      <c r="A1704" s="153">
        <f ca="1" t="shared" si="284"/>
        <v>3006008</v>
      </c>
      <c r="B1704" s="91" t="s">
        <v>860</v>
      </c>
      <c r="C1704" s="186">
        <v>3</v>
      </c>
      <c r="D1704" s="186">
        <v>4</v>
      </c>
      <c r="E1704" s="165" t="s">
        <v>1069</v>
      </c>
      <c r="F1704" s="179" t="s">
        <v>1070</v>
      </c>
      <c r="G1704" s="186">
        <f ca="1">OFFSET(卡牌辅助配置表!$C$1,MATCH(AC1704,卡牌辅助配置表!A:A,0)-1,0)</f>
        <v>0</v>
      </c>
      <c r="H1704" s="186">
        <f ca="1">OFFSET(skill!$Q$1,MATCH(B1704,skill!B:B,0)-1,0)</f>
        <v>15</v>
      </c>
      <c r="I1704" s="186"/>
      <c r="J1704" s="186">
        <f ca="1">OFFSET(card_type!$F$1,MATCH(Q1704,card_type!A:A,0)-1,0)</f>
        <v>6</v>
      </c>
      <c r="K1704" s="243">
        <f ca="1">OFFSET(card_type!$G$1,MATCH(Q1704,card_type!A:A,0)-1,0)</f>
        <v>3</v>
      </c>
      <c r="L1704" s="157">
        <v>4</v>
      </c>
      <c r="M1704" s="157">
        <v>4</v>
      </c>
      <c r="N1704" s="153">
        <f t="shared" si="285"/>
        <v>8</v>
      </c>
      <c r="O1704" s="157"/>
      <c r="P1704" s="157"/>
      <c r="Q1704" s="153">
        <f ca="1">OFFSET(card_type!$A$1,MATCH(card!B1704,card_type!B:B,0)-1,0)</f>
        <v>3006</v>
      </c>
      <c r="R1704" s="153">
        <v>1</v>
      </c>
      <c r="S1704" s="157">
        <f ca="1">ROUND(IF(R1704=0,0,IF(R1704=1,X1704*$S$1,IF(R1704=2,X1704*$S$1*buff的资质计算!$E$2,IF(R1704=3,X1704*$S$1*buff的资质计算!$E$3,0)))),0)*0</f>
        <v>0</v>
      </c>
      <c r="T1704" s="153">
        <v>3</v>
      </c>
      <c r="U1704" s="153">
        <f ca="1" t="shared" si="286"/>
        <v>63</v>
      </c>
      <c r="V1704" s="153">
        <f ca="1">ROUND((OFFSET(卡牌辅助配置表!$O$1,MATCH(U1704,卡牌辅助配置表!M:M,0)-1,0)+(N1704-1)*OFFSET(卡牌辅助配置表!$P$1,MATCH(U1704,卡牌辅助配置表!M:M,0)-1,0))*M1704,2)</f>
        <v>458.88</v>
      </c>
      <c r="W1704" s="157">
        <f ca="1">ROUND(IF(R1704=0,0,IF(R1704=1,X1704*$W$1,IF(R1704=2,X1704*$W$1*buff的资质计算!$E$2,IF(R1704=3,X1704*$W$1*buff的资质计算!$E$3,0)))),2)</f>
        <v>46.65</v>
      </c>
      <c r="X1704" s="157">
        <f ca="1" t="shared" si="281"/>
        <v>155.5</v>
      </c>
      <c r="Y1704" s="157">
        <f ca="1" t="shared" si="289"/>
        <v>170.5</v>
      </c>
      <c r="Z1704" s="304">
        <f ca="1" t="shared" si="282"/>
        <v>42.625</v>
      </c>
      <c r="AA1704" s="304">
        <f ca="1">OFFSET(卡牌辅助配置表!$AD$1,MATCH(AB1704,卡牌辅助配置表!AB:AB,0)-1,0)</f>
        <v>30672</v>
      </c>
      <c r="AB1704" s="304">
        <f ca="1" t="shared" si="287"/>
        <v>6308</v>
      </c>
      <c r="AC1704" s="153">
        <v>12</v>
      </c>
      <c r="AF1704" s="153" t="str">
        <f ca="1" t="shared" si="290"/>
        <v>30060011|</v>
      </c>
      <c r="AJ1704" s="205" t="str">
        <f ca="1" t="shared" si="288"/>
        <v>400023|4200|;</v>
      </c>
      <c r="AK1704" s="205">
        <f ca="1">OFFSET([1]item_type!$A$1,MATCH(Q1704,[1]item_type!$G:$G,0)-1,0)</f>
        <v>303006</v>
      </c>
      <c r="AL1704" s="205"/>
      <c r="AM1704" s="205">
        <f ca="1">IF(B1704=B1705,OFFSET(卡牌辅助配置表!$AE$1,MATCH(AB1704,卡牌辅助配置表!AB:AB,0),0),0)</f>
        <v>4200</v>
      </c>
      <c r="AN1704" s="153">
        <f ca="1" t="shared" si="283"/>
        <v>3006009</v>
      </c>
      <c r="AP1704" s="153">
        <f ca="1">IF(AC1704=0,0,IF(AC1704=12,0,OFFSET(effect!$N$1,MATCH(K1704,effect!M:M,0)-1,0)))</f>
        <v>0</v>
      </c>
    </row>
    <row r="1705" spans="1:42">
      <c r="A1705" s="153">
        <f ca="1" t="shared" si="284"/>
        <v>3006009</v>
      </c>
      <c r="B1705" s="91" t="s">
        <v>860</v>
      </c>
      <c r="C1705" s="186">
        <v>3</v>
      </c>
      <c r="D1705" s="186">
        <v>4</v>
      </c>
      <c r="E1705" s="165" t="s">
        <v>1069</v>
      </c>
      <c r="F1705" s="179" t="s">
        <v>1070</v>
      </c>
      <c r="G1705" s="186">
        <f ca="1">OFFSET(卡牌辅助配置表!$C$1,MATCH(AC1705,卡牌辅助配置表!A:A,0)-1,0)</f>
        <v>0</v>
      </c>
      <c r="H1705" s="186">
        <f ca="1">OFFSET(skill!$Q$1,MATCH(B1705,skill!B:B,0)-1,0)</f>
        <v>15</v>
      </c>
      <c r="I1705" s="186"/>
      <c r="J1705" s="186">
        <f ca="1">OFFSET(card_type!$F$1,MATCH(Q1705,card_type!A:A,0)-1,0)</f>
        <v>6</v>
      </c>
      <c r="K1705" s="243">
        <f ca="1">OFFSET(card_type!$G$1,MATCH(Q1705,card_type!A:A,0)-1,0)</f>
        <v>3</v>
      </c>
      <c r="L1705" s="157">
        <v>4</v>
      </c>
      <c r="M1705" s="157">
        <v>4</v>
      </c>
      <c r="N1705" s="153">
        <f t="shared" si="285"/>
        <v>9</v>
      </c>
      <c r="O1705" s="157"/>
      <c r="P1705" s="157"/>
      <c r="Q1705" s="153">
        <f ca="1">OFFSET(card_type!$A$1,MATCH(card!B1705,card_type!B:B,0)-1,0)</f>
        <v>3006</v>
      </c>
      <c r="R1705" s="153">
        <v>1</v>
      </c>
      <c r="S1705" s="157">
        <f ca="1">ROUND(IF(R1705=0,0,IF(R1705=1,X1705*$S$1,IF(R1705=2,X1705*$S$1*buff的资质计算!$E$2,IF(R1705=3,X1705*$S$1*buff的资质计算!$E$3,0)))),0)*0</f>
        <v>0</v>
      </c>
      <c r="T1705" s="153">
        <v>3</v>
      </c>
      <c r="U1705" s="153">
        <f ca="1" t="shared" si="286"/>
        <v>63</v>
      </c>
      <c r="V1705" s="153">
        <f ca="1">ROUND((OFFSET(卡牌辅助配置表!$O$1,MATCH(U1705,卡牌辅助配置表!M:M,0)-1,0)+(N1705-1)*OFFSET(卡牌辅助配置表!$P$1,MATCH(U1705,卡牌辅助配置表!M:M,0)-1,0))*M1705,2)</f>
        <v>458.88</v>
      </c>
      <c r="W1705" s="157">
        <f ca="1">ROUND(IF(R1705=0,0,IF(R1705=1,X1705*$W$1,IF(R1705=2,X1705*$W$1*buff的资质计算!$E$2,IF(R1705=3,X1705*$W$1*buff的资质计算!$E$3,0)))),2)</f>
        <v>46.8</v>
      </c>
      <c r="X1705" s="157">
        <f ca="1" t="shared" si="281"/>
        <v>156</v>
      </c>
      <c r="Y1705" s="157">
        <f ca="1" t="shared" si="289"/>
        <v>171</v>
      </c>
      <c r="Z1705" s="304">
        <f ca="1" t="shared" si="282"/>
        <v>42.75</v>
      </c>
      <c r="AA1705" s="304">
        <f ca="1">OFFSET(卡牌辅助配置表!$AD$1,MATCH(AB1705,卡牌辅助配置表!AB:AB,0)-1,0)</f>
        <v>34506</v>
      </c>
      <c r="AB1705" s="304">
        <f ca="1" t="shared" si="287"/>
        <v>6309</v>
      </c>
      <c r="AC1705" s="153">
        <v>12</v>
      </c>
      <c r="AF1705" s="153" t="str">
        <f ca="1" t="shared" si="290"/>
        <v>30060011|</v>
      </c>
      <c r="AJ1705" s="205" t="str">
        <f ca="1" t="shared" si="288"/>
        <v>303006|15|;400023|4600|;</v>
      </c>
      <c r="AK1705" s="205">
        <f ca="1">OFFSET([1]item_type!$A$1,MATCH(Q1705,[1]item_type!$G:$G,0)-1,0)</f>
        <v>303006</v>
      </c>
      <c r="AL1705" s="205">
        <v>15</v>
      </c>
      <c r="AM1705" s="205">
        <f ca="1">IF(B1705=B1706,OFFSET(卡牌辅助配置表!$AE$1,MATCH(AB1705,卡牌辅助配置表!AB:AB,0),0),0)</f>
        <v>4600</v>
      </c>
      <c r="AN1705" s="153">
        <f ca="1" t="shared" si="283"/>
        <v>3006010</v>
      </c>
      <c r="AP1705" s="153">
        <f ca="1">IF(AC1705=0,0,IF(AC1705=12,0,OFFSET(effect!$N$1,MATCH(K1705,effect!M:M,0)-1,0)))</f>
        <v>0</v>
      </c>
    </row>
    <row r="1706" spans="1:42">
      <c r="A1706" s="153">
        <f ca="1" t="shared" si="284"/>
        <v>3006010</v>
      </c>
      <c r="B1706" s="91" t="s">
        <v>860</v>
      </c>
      <c r="C1706" s="186">
        <v>3</v>
      </c>
      <c r="D1706" s="186">
        <v>4</v>
      </c>
      <c r="E1706" s="165" t="s">
        <v>1069</v>
      </c>
      <c r="F1706" s="179" t="s">
        <v>1070</v>
      </c>
      <c r="G1706" s="186">
        <f ca="1">OFFSET(卡牌辅助配置表!$C$1,MATCH(AC1706,卡牌辅助配置表!A:A,0)-1,0)</f>
        <v>0</v>
      </c>
      <c r="H1706" s="186">
        <f ca="1">OFFSET(skill!$Q$1,MATCH(B1706,skill!B:B,0)-1,0)</f>
        <v>15</v>
      </c>
      <c r="I1706" s="186"/>
      <c r="J1706" s="186">
        <f ca="1">OFFSET(card_type!$F$1,MATCH(Q1706,card_type!A:A,0)-1,0)</f>
        <v>6</v>
      </c>
      <c r="K1706" s="243">
        <f ca="1">OFFSET(card_type!$G$1,MATCH(Q1706,card_type!A:A,0)-1,0)</f>
        <v>3</v>
      </c>
      <c r="L1706" s="157">
        <v>4</v>
      </c>
      <c r="M1706" s="157">
        <v>4</v>
      </c>
      <c r="N1706" s="153">
        <f t="shared" si="285"/>
        <v>10</v>
      </c>
      <c r="O1706" s="157"/>
      <c r="P1706" s="157"/>
      <c r="Q1706" s="153">
        <f ca="1">OFFSET(card_type!$A$1,MATCH(card!B1706,card_type!B:B,0)-1,0)</f>
        <v>3006</v>
      </c>
      <c r="R1706" s="153">
        <v>1</v>
      </c>
      <c r="S1706" s="157">
        <f ca="1">ROUND(IF(R1706=0,0,IF(R1706=1,X1706*$S$1,IF(R1706=2,X1706*$S$1*buff的资质计算!$E$2,IF(R1706=3,X1706*$S$1*buff的资质计算!$E$3,0)))),0)*0</f>
        <v>0</v>
      </c>
      <c r="T1706" s="153">
        <v>3</v>
      </c>
      <c r="U1706" s="153">
        <f ca="1" t="shared" si="286"/>
        <v>63</v>
      </c>
      <c r="V1706" s="153">
        <f ca="1">ROUND((OFFSET(卡牌辅助配置表!$O$1,MATCH(U1706,卡牌辅助配置表!M:M,0)-1,0)+(N1706-1)*OFFSET(卡牌辅助配置表!$P$1,MATCH(U1706,卡牌辅助配置表!M:M,0)-1,0))*M1706,2)</f>
        <v>458.88</v>
      </c>
      <c r="W1706" s="157">
        <f ca="1">ROUND(IF(R1706=0,0,IF(R1706=1,X1706*$W$1,IF(R1706=2,X1706*$W$1*buff的资质计算!$E$2,IF(R1706=3,X1706*$W$1*buff的资质计算!$E$3,0)))),2)</f>
        <v>46.95</v>
      </c>
      <c r="X1706" s="157">
        <f ca="1" t="shared" si="281"/>
        <v>156.5</v>
      </c>
      <c r="Y1706" s="157">
        <f ca="1" t="shared" si="289"/>
        <v>171.5</v>
      </c>
      <c r="Z1706" s="304">
        <f ca="1" t="shared" si="282"/>
        <v>42.875</v>
      </c>
      <c r="AA1706" s="304">
        <f ca="1">OFFSET(卡牌辅助配置表!$AD$1,MATCH(AB1706,卡牌辅助配置表!AB:AB,0)-1,0)</f>
        <v>38340</v>
      </c>
      <c r="AB1706" s="304">
        <f ca="1" t="shared" si="287"/>
        <v>6310</v>
      </c>
      <c r="AC1706" s="153">
        <v>12</v>
      </c>
      <c r="AF1706" s="153" t="str">
        <f ca="1" t="shared" si="290"/>
        <v>30060011|</v>
      </c>
      <c r="AJ1706" s="205" t="str">
        <f ca="1" t="shared" si="288"/>
        <v>400023|5400|;</v>
      </c>
      <c r="AK1706" s="205">
        <f ca="1">OFFSET([1]item_type!$A$1,MATCH(Q1706,[1]item_type!$G:$G,0)-1,0)</f>
        <v>303006</v>
      </c>
      <c r="AL1706" s="205"/>
      <c r="AM1706" s="205">
        <f ca="1">IF(B1706=B1707,OFFSET(卡牌辅助配置表!$AE$1,MATCH(AB1706,卡牌辅助配置表!AB:AB,0),0),0)</f>
        <v>5400</v>
      </c>
      <c r="AN1706" s="153">
        <f ca="1" t="shared" si="283"/>
        <v>3006011</v>
      </c>
      <c r="AP1706" s="153">
        <f ca="1">IF(AC1706=0,0,IF(AC1706=12,0,OFFSET(effect!$N$1,MATCH(K1706,effect!M:M,0)-1,0)))</f>
        <v>0</v>
      </c>
    </row>
    <row r="1707" spans="1:42">
      <c r="A1707" s="153">
        <f ca="1" t="shared" si="284"/>
        <v>3006011</v>
      </c>
      <c r="B1707" s="91" t="s">
        <v>860</v>
      </c>
      <c r="C1707" s="186">
        <v>3</v>
      </c>
      <c r="D1707" s="186">
        <v>4</v>
      </c>
      <c r="E1707" s="165" t="s">
        <v>1069</v>
      </c>
      <c r="F1707" s="179" t="s">
        <v>1070</v>
      </c>
      <c r="G1707" s="186">
        <f ca="1">OFFSET(卡牌辅助配置表!$C$1,MATCH(AC1707,卡牌辅助配置表!A:A,0)-1,0)</f>
        <v>0</v>
      </c>
      <c r="H1707" s="186">
        <f ca="1">OFFSET(skill!$Q$1,MATCH(B1707,skill!B:B,0)-1,0)</f>
        <v>15</v>
      </c>
      <c r="I1707" s="186"/>
      <c r="J1707" s="186">
        <f ca="1">OFFSET(card_type!$F$1,MATCH(Q1707,card_type!A:A,0)-1,0)</f>
        <v>6</v>
      </c>
      <c r="K1707" s="243">
        <f ca="1">OFFSET(card_type!$G$1,MATCH(Q1707,card_type!A:A,0)-1,0)</f>
        <v>3</v>
      </c>
      <c r="L1707" s="157">
        <v>4</v>
      </c>
      <c r="M1707" s="157">
        <v>4</v>
      </c>
      <c r="N1707" s="153">
        <f t="shared" si="285"/>
        <v>11</v>
      </c>
      <c r="O1707" s="157"/>
      <c r="P1707" s="157"/>
      <c r="Q1707" s="153">
        <f ca="1">OFFSET(card_type!$A$1,MATCH(card!B1707,card_type!B:B,0)-1,0)</f>
        <v>3006</v>
      </c>
      <c r="R1707" s="153">
        <v>1</v>
      </c>
      <c r="S1707" s="157">
        <f ca="1">ROUND(IF(R1707=0,0,IF(R1707=1,X1707*$S$1,IF(R1707=2,X1707*$S$1*buff的资质计算!$E$2,IF(R1707=3,X1707*$S$1*buff的资质计算!$E$3,0)))),0)*0</f>
        <v>0</v>
      </c>
      <c r="T1707" s="153">
        <v>3</v>
      </c>
      <c r="U1707" s="153">
        <f ca="1" t="shared" si="286"/>
        <v>63</v>
      </c>
      <c r="V1707" s="153">
        <f ca="1">ROUND((OFFSET(卡牌辅助配置表!$O$1,MATCH(U1707,卡牌辅助配置表!M:M,0)-1,0)+(N1707-1)*OFFSET(卡牌辅助配置表!$P$1,MATCH(U1707,卡牌辅助配置表!M:M,0)-1,0))*M1707,2)</f>
        <v>458.88</v>
      </c>
      <c r="W1707" s="157">
        <f ca="1">ROUND(IF(R1707=0,0,IF(R1707=1,X1707*$W$1,IF(R1707=2,X1707*$W$1*buff的资质计算!$E$2,IF(R1707=3,X1707*$W$1*buff的资质计算!$E$3,0)))),2)</f>
        <v>47.1</v>
      </c>
      <c r="X1707" s="157">
        <f ca="1" t="shared" si="281"/>
        <v>157</v>
      </c>
      <c r="Y1707" s="157">
        <f ca="1" t="shared" si="289"/>
        <v>172</v>
      </c>
      <c r="Z1707" s="304">
        <f ca="1" t="shared" si="282"/>
        <v>43</v>
      </c>
      <c r="AA1707" s="304">
        <f ca="1">OFFSET(卡牌辅助配置表!$AD$1,MATCH(AB1707,卡牌辅助配置表!AB:AB,0)-1,0)</f>
        <v>42174</v>
      </c>
      <c r="AB1707" s="304">
        <f ca="1" t="shared" si="287"/>
        <v>6311</v>
      </c>
      <c r="AC1707" s="153">
        <v>12</v>
      </c>
      <c r="AF1707" s="153" t="str">
        <f ca="1" t="shared" si="290"/>
        <v>30060011|</v>
      </c>
      <c r="AJ1707" s="205" t="str">
        <f ca="1" t="shared" si="288"/>
        <v>400023|6200|;</v>
      </c>
      <c r="AK1707" s="205">
        <f ca="1">OFFSET([1]item_type!$A$1,MATCH(Q1707,[1]item_type!$G:$G,0)-1,0)</f>
        <v>303006</v>
      </c>
      <c r="AL1707" s="205"/>
      <c r="AM1707" s="205">
        <f ca="1">IF(B1707=B1708,OFFSET(卡牌辅助配置表!$AE$1,MATCH(AB1707,卡牌辅助配置表!AB:AB,0),0),0)</f>
        <v>6200</v>
      </c>
      <c r="AN1707" s="153">
        <f ca="1" t="shared" si="283"/>
        <v>3006012</v>
      </c>
      <c r="AP1707" s="153">
        <f ca="1">IF(AC1707=0,0,IF(AC1707=12,0,OFFSET(effect!$N$1,MATCH(K1707,effect!M:M,0)-1,0)))</f>
        <v>0</v>
      </c>
    </row>
    <row r="1708" spans="1:42">
      <c r="A1708" s="153">
        <f ca="1" t="shared" si="284"/>
        <v>3006012</v>
      </c>
      <c r="B1708" s="91" t="s">
        <v>860</v>
      </c>
      <c r="C1708" s="186">
        <v>3</v>
      </c>
      <c r="D1708" s="186">
        <v>4</v>
      </c>
      <c r="E1708" s="165" t="s">
        <v>1069</v>
      </c>
      <c r="F1708" s="179" t="s">
        <v>1070</v>
      </c>
      <c r="G1708" s="186">
        <f ca="1">OFFSET(卡牌辅助配置表!$C$1,MATCH(AC1708,卡牌辅助配置表!A:A,0)-1,0)</f>
        <v>0</v>
      </c>
      <c r="H1708" s="186">
        <f ca="1">OFFSET(skill!$Q$1,MATCH(B1708,skill!B:B,0)-1,0)</f>
        <v>15</v>
      </c>
      <c r="I1708" s="186"/>
      <c r="J1708" s="186">
        <f ca="1">OFFSET(card_type!$F$1,MATCH(Q1708,card_type!A:A,0)-1,0)</f>
        <v>6</v>
      </c>
      <c r="K1708" s="243">
        <f ca="1">OFFSET(card_type!$G$1,MATCH(Q1708,card_type!A:A,0)-1,0)</f>
        <v>3</v>
      </c>
      <c r="L1708" s="157">
        <v>4</v>
      </c>
      <c r="M1708" s="157">
        <v>4</v>
      </c>
      <c r="N1708" s="153">
        <f t="shared" si="285"/>
        <v>12</v>
      </c>
      <c r="O1708" s="157"/>
      <c r="P1708" s="157"/>
      <c r="Q1708" s="153">
        <f ca="1">OFFSET(card_type!$A$1,MATCH(card!B1708,card_type!B:B,0)-1,0)</f>
        <v>3006</v>
      </c>
      <c r="R1708" s="153">
        <v>1</v>
      </c>
      <c r="S1708" s="157">
        <f ca="1">ROUND(IF(R1708=0,0,IF(R1708=1,X1708*$S$1,IF(R1708=2,X1708*$S$1*buff的资质计算!$E$2,IF(R1708=3,X1708*$S$1*buff的资质计算!$E$3,0)))),0)*0</f>
        <v>0</v>
      </c>
      <c r="T1708" s="153">
        <v>3</v>
      </c>
      <c r="U1708" s="153">
        <f ca="1" t="shared" si="286"/>
        <v>63</v>
      </c>
      <c r="V1708" s="153">
        <f ca="1">ROUND((OFFSET(卡牌辅助配置表!$O$1,MATCH(U1708,卡牌辅助配置表!M:M,0)-1,0)+(N1708-1)*OFFSET(卡牌辅助配置表!$P$1,MATCH(U1708,卡牌辅助配置表!M:M,0)-1,0))*M1708,2)</f>
        <v>458.88</v>
      </c>
      <c r="W1708" s="157">
        <f ca="1">ROUND(IF(R1708=0,0,IF(R1708=1,X1708*$W$1,IF(R1708=2,X1708*$W$1*buff的资质计算!$E$2,IF(R1708=3,X1708*$W$1*buff的资质计算!$E$3,0)))),2)</f>
        <v>47.25</v>
      </c>
      <c r="X1708" s="157">
        <f ca="1" t="shared" si="281"/>
        <v>157.5</v>
      </c>
      <c r="Y1708" s="157">
        <f ca="1" t="shared" si="289"/>
        <v>172.5</v>
      </c>
      <c r="Z1708" s="304">
        <f ca="1" t="shared" si="282"/>
        <v>43.125</v>
      </c>
      <c r="AA1708" s="304">
        <f ca="1">OFFSET(卡牌辅助配置表!$AD$1,MATCH(AB1708,卡牌辅助配置表!AB:AB,0)-1,0)</f>
        <v>46008</v>
      </c>
      <c r="AB1708" s="304">
        <f ca="1" t="shared" si="287"/>
        <v>6312</v>
      </c>
      <c r="AC1708" s="153">
        <v>12</v>
      </c>
      <c r="AF1708" s="153" t="str">
        <f ca="1" t="shared" si="290"/>
        <v>30060011|</v>
      </c>
      <c r="AJ1708" s="205" t="str">
        <f ca="1" t="shared" si="288"/>
        <v>400023|7000|;</v>
      </c>
      <c r="AK1708" s="205">
        <f ca="1">OFFSET([1]item_type!$A$1,MATCH(Q1708,[1]item_type!$G:$G,0)-1,0)</f>
        <v>303006</v>
      </c>
      <c r="AL1708" s="205"/>
      <c r="AM1708" s="205">
        <f ca="1">IF(B1708=B1709,OFFSET(卡牌辅助配置表!$AE$1,MATCH(AB1708,卡牌辅助配置表!AB:AB,0),0),0)</f>
        <v>7000</v>
      </c>
      <c r="AN1708" s="153">
        <f ca="1" t="shared" si="283"/>
        <v>3006013</v>
      </c>
      <c r="AP1708" s="153">
        <f ca="1">IF(AC1708=0,0,IF(AC1708=12,0,OFFSET(effect!$N$1,MATCH(K1708,effect!M:M,0)-1,0)))</f>
        <v>0</v>
      </c>
    </row>
    <row r="1709" spans="1:42">
      <c r="A1709" s="153">
        <f ca="1" t="shared" si="284"/>
        <v>3006013</v>
      </c>
      <c r="B1709" s="91" t="s">
        <v>860</v>
      </c>
      <c r="C1709" s="186">
        <v>3</v>
      </c>
      <c r="D1709" s="186">
        <v>4</v>
      </c>
      <c r="E1709" s="165" t="s">
        <v>1069</v>
      </c>
      <c r="F1709" s="179" t="s">
        <v>1070</v>
      </c>
      <c r="G1709" s="186">
        <f ca="1">OFFSET(卡牌辅助配置表!$C$1,MATCH(AC1709,卡牌辅助配置表!A:A,0)-1,0)</f>
        <v>0</v>
      </c>
      <c r="H1709" s="186">
        <f ca="1">OFFSET(skill!$Q$1,MATCH(B1709,skill!B:B,0)-1,0)</f>
        <v>15</v>
      </c>
      <c r="I1709" s="186"/>
      <c r="J1709" s="186">
        <f ca="1">OFFSET(card_type!$F$1,MATCH(Q1709,card_type!A:A,0)-1,0)</f>
        <v>6</v>
      </c>
      <c r="K1709" s="243">
        <f ca="1">OFFSET(card_type!$G$1,MATCH(Q1709,card_type!A:A,0)-1,0)</f>
        <v>3</v>
      </c>
      <c r="L1709" s="157">
        <v>4</v>
      </c>
      <c r="M1709" s="157">
        <v>4</v>
      </c>
      <c r="N1709" s="153">
        <f t="shared" si="285"/>
        <v>13</v>
      </c>
      <c r="O1709" s="157"/>
      <c r="P1709" s="157"/>
      <c r="Q1709" s="153">
        <f ca="1">OFFSET(card_type!$A$1,MATCH(card!B1709,card_type!B:B,0)-1,0)</f>
        <v>3006</v>
      </c>
      <c r="R1709" s="153">
        <v>1</v>
      </c>
      <c r="S1709" s="157">
        <f ca="1">ROUND(IF(R1709=0,0,IF(R1709=1,X1709*$S$1,IF(R1709=2,X1709*$S$1*buff的资质计算!$E$2,IF(R1709=3,X1709*$S$1*buff的资质计算!$E$3,0)))),0)*0</f>
        <v>0</v>
      </c>
      <c r="T1709" s="153">
        <v>3</v>
      </c>
      <c r="U1709" s="153">
        <f ca="1" t="shared" si="286"/>
        <v>63</v>
      </c>
      <c r="V1709" s="153">
        <f ca="1">ROUND((OFFSET(卡牌辅助配置表!$O$1,MATCH(U1709,卡牌辅助配置表!M:M,0)-1,0)+(N1709-1)*OFFSET(卡牌辅助配置表!$P$1,MATCH(U1709,卡牌辅助配置表!M:M,0)-1,0))*M1709,2)</f>
        <v>458.88</v>
      </c>
      <c r="W1709" s="157">
        <f ca="1">ROUND(IF(R1709=0,0,IF(R1709=1,X1709*$W$1,IF(R1709=2,X1709*$W$1*buff的资质计算!$E$2,IF(R1709=3,X1709*$W$1*buff的资质计算!$E$3,0)))),2)</f>
        <v>47.4</v>
      </c>
      <c r="X1709" s="157">
        <f ca="1" t="shared" si="281"/>
        <v>158</v>
      </c>
      <c r="Y1709" s="157">
        <f ca="1" t="shared" si="289"/>
        <v>173</v>
      </c>
      <c r="Z1709" s="304">
        <f ca="1" t="shared" si="282"/>
        <v>43.25</v>
      </c>
      <c r="AA1709" s="304">
        <f ca="1">OFFSET(卡牌辅助配置表!$AD$1,MATCH(AB1709,卡牌辅助配置表!AB:AB,0)-1,0)</f>
        <v>49842</v>
      </c>
      <c r="AB1709" s="304">
        <f ca="1" t="shared" si="287"/>
        <v>6313</v>
      </c>
      <c r="AC1709" s="153">
        <v>12</v>
      </c>
      <c r="AF1709" s="153" t="str">
        <f ca="1" t="shared" si="290"/>
        <v>30060011|</v>
      </c>
      <c r="AJ1709" s="205" t="str">
        <f ca="1" t="shared" si="288"/>
        <v>400023|7800|;</v>
      </c>
      <c r="AK1709" s="205">
        <f ca="1">OFFSET([1]item_type!$A$1,MATCH(Q1709,[1]item_type!$G:$G,0)-1,0)</f>
        <v>303006</v>
      </c>
      <c r="AL1709" s="205"/>
      <c r="AM1709" s="205">
        <f ca="1">IF(B1709=B1710,OFFSET(卡牌辅助配置表!$AE$1,MATCH(AB1709,卡牌辅助配置表!AB:AB,0),0),0)</f>
        <v>7800</v>
      </c>
      <c r="AN1709" s="153">
        <f ca="1" t="shared" si="283"/>
        <v>3006014</v>
      </c>
      <c r="AP1709" s="153">
        <f ca="1">IF(AC1709=0,0,IF(AC1709=12,0,OFFSET(effect!$N$1,MATCH(K1709,effect!M:M,0)-1,0)))</f>
        <v>0</v>
      </c>
    </row>
    <row r="1710" spans="1:42">
      <c r="A1710" s="153">
        <f ca="1" t="shared" si="284"/>
        <v>3006014</v>
      </c>
      <c r="B1710" s="91" t="s">
        <v>860</v>
      </c>
      <c r="C1710" s="186">
        <v>3</v>
      </c>
      <c r="D1710" s="186">
        <v>4</v>
      </c>
      <c r="E1710" s="165" t="s">
        <v>1069</v>
      </c>
      <c r="F1710" s="179" t="s">
        <v>1070</v>
      </c>
      <c r="G1710" s="186">
        <f ca="1">OFFSET(卡牌辅助配置表!$C$1,MATCH(AC1710,卡牌辅助配置表!A:A,0)-1,0)</f>
        <v>0</v>
      </c>
      <c r="H1710" s="186">
        <f ca="1">OFFSET(skill!$Q$1,MATCH(B1710,skill!B:B,0)-1,0)</f>
        <v>15</v>
      </c>
      <c r="I1710" s="186"/>
      <c r="J1710" s="186">
        <f ca="1">OFFSET(card_type!$F$1,MATCH(Q1710,card_type!A:A,0)-1,0)</f>
        <v>6</v>
      </c>
      <c r="K1710" s="243">
        <f ca="1">OFFSET(card_type!$G$1,MATCH(Q1710,card_type!A:A,0)-1,0)</f>
        <v>3</v>
      </c>
      <c r="L1710" s="157">
        <v>4</v>
      </c>
      <c r="M1710" s="157">
        <v>4</v>
      </c>
      <c r="N1710" s="153">
        <f t="shared" si="285"/>
        <v>14</v>
      </c>
      <c r="O1710" s="157"/>
      <c r="P1710" s="157"/>
      <c r="Q1710" s="153">
        <f ca="1">OFFSET(card_type!$A$1,MATCH(card!B1710,card_type!B:B,0)-1,0)</f>
        <v>3006</v>
      </c>
      <c r="R1710" s="153">
        <v>1</v>
      </c>
      <c r="S1710" s="157">
        <f ca="1">ROUND(IF(R1710=0,0,IF(R1710=1,X1710*$S$1,IF(R1710=2,X1710*$S$1*buff的资质计算!$E$2,IF(R1710=3,X1710*$S$1*buff的资质计算!$E$3,0)))),0)*0</f>
        <v>0</v>
      </c>
      <c r="T1710" s="153">
        <v>3</v>
      </c>
      <c r="U1710" s="153">
        <f ca="1" t="shared" si="286"/>
        <v>63</v>
      </c>
      <c r="V1710" s="153">
        <f ca="1">ROUND((OFFSET(卡牌辅助配置表!$O$1,MATCH(U1710,卡牌辅助配置表!M:M,0)-1,0)+(N1710-1)*OFFSET(卡牌辅助配置表!$P$1,MATCH(U1710,卡牌辅助配置表!M:M,0)-1,0))*M1710,2)</f>
        <v>458.88</v>
      </c>
      <c r="W1710" s="157">
        <f ca="1">ROUND(IF(R1710=0,0,IF(R1710=1,X1710*$W$1,IF(R1710=2,X1710*$W$1*buff的资质计算!$E$2,IF(R1710=3,X1710*$W$1*buff的资质计算!$E$3,0)))),2)</f>
        <v>47.55</v>
      </c>
      <c r="X1710" s="157">
        <f ca="1" t="shared" si="281"/>
        <v>158.5</v>
      </c>
      <c r="Y1710" s="157">
        <f ca="1" t="shared" si="289"/>
        <v>173.5</v>
      </c>
      <c r="Z1710" s="304">
        <f ca="1" t="shared" si="282"/>
        <v>43.375</v>
      </c>
      <c r="AA1710" s="304">
        <f ca="1">OFFSET(卡牌辅助配置表!$AD$1,MATCH(AB1710,卡牌辅助配置表!AB:AB,0)-1,0)</f>
        <v>53676</v>
      </c>
      <c r="AB1710" s="304">
        <f ca="1" t="shared" si="287"/>
        <v>6314</v>
      </c>
      <c r="AC1710" s="153">
        <v>12</v>
      </c>
      <c r="AF1710" s="153" t="str">
        <f ca="1" t="shared" si="290"/>
        <v>30060011|</v>
      </c>
      <c r="AJ1710" s="205" t="str">
        <f ca="1" t="shared" si="288"/>
        <v>400023|8600|;</v>
      </c>
      <c r="AK1710" s="205">
        <f ca="1">OFFSET([1]item_type!$A$1,MATCH(Q1710,[1]item_type!$G:$G,0)-1,0)</f>
        <v>303006</v>
      </c>
      <c r="AL1710" s="205"/>
      <c r="AM1710" s="205">
        <f ca="1">IF(B1710=B1711,OFFSET(卡牌辅助配置表!$AE$1,MATCH(AB1710,卡牌辅助配置表!AB:AB,0),0),0)</f>
        <v>8600</v>
      </c>
      <c r="AN1710" s="153">
        <f ca="1" t="shared" si="283"/>
        <v>3006015</v>
      </c>
      <c r="AP1710" s="153">
        <f ca="1">IF(AC1710=0,0,IF(AC1710=12,0,OFFSET(effect!$N$1,MATCH(K1710,effect!M:M,0)-1,0)))</f>
        <v>0</v>
      </c>
    </row>
    <row r="1711" spans="1:42">
      <c r="A1711" s="153">
        <f ca="1" t="shared" si="284"/>
        <v>3006015</v>
      </c>
      <c r="B1711" s="91" t="s">
        <v>860</v>
      </c>
      <c r="C1711" s="186">
        <v>3</v>
      </c>
      <c r="D1711" s="186">
        <v>4</v>
      </c>
      <c r="E1711" s="165" t="s">
        <v>1069</v>
      </c>
      <c r="F1711" s="179" t="s">
        <v>1070</v>
      </c>
      <c r="G1711" s="186">
        <f ca="1">OFFSET(卡牌辅助配置表!$C$1,MATCH(AC1711,卡牌辅助配置表!A:A,0)-1,0)</f>
        <v>0</v>
      </c>
      <c r="H1711" s="186">
        <f ca="1">OFFSET(skill!$Q$1,MATCH(B1711,skill!B:B,0)-1,0)</f>
        <v>15</v>
      </c>
      <c r="I1711" s="186"/>
      <c r="J1711" s="186">
        <f ca="1">OFFSET(card_type!$F$1,MATCH(Q1711,card_type!A:A,0)-1,0)</f>
        <v>6</v>
      </c>
      <c r="K1711" s="243">
        <f ca="1">OFFSET(card_type!$G$1,MATCH(Q1711,card_type!A:A,0)-1,0)</f>
        <v>3</v>
      </c>
      <c r="L1711" s="157">
        <v>4</v>
      </c>
      <c r="M1711" s="157">
        <v>4</v>
      </c>
      <c r="N1711" s="153">
        <f t="shared" si="285"/>
        <v>15</v>
      </c>
      <c r="O1711" s="157"/>
      <c r="P1711" s="157"/>
      <c r="Q1711" s="153">
        <f ca="1">OFFSET(card_type!$A$1,MATCH(card!B1711,card_type!B:B,0)-1,0)</f>
        <v>3006</v>
      </c>
      <c r="R1711" s="153">
        <v>1</v>
      </c>
      <c r="S1711" s="157">
        <f ca="1">ROUND(IF(R1711=0,0,IF(R1711=1,X1711*$S$1,IF(R1711=2,X1711*$S$1*buff的资质计算!$E$2,IF(R1711=3,X1711*$S$1*buff的资质计算!$E$3,0)))),0)*0</f>
        <v>0</v>
      </c>
      <c r="T1711" s="153">
        <v>3</v>
      </c>
      <c r="U1711" s="153">
        <f ca="1" t="shared" si="286"/>
        <v>63</v>
      </c>
      <c r="V1711" s="153">
        <f ca="1">ROUND((OFFSET(卡牌辅助配置表!$O$1,MATCH(U1711,卡牌辅助配置表!M:M,0)-1,0)+(N1711-1)*OFFSET(卡牌辅助配置表!$P$1,MATCH(U1711,卡牌辅助配置表!M:M,0)-1,0))*M1711,2)</f>
        <v>458.88</v>
      </c>
      <c r="W1711" s="157">
        <f ca="1">ROUND(IF(R1711=0,0,IF(R1711=1,X1711*$W$1,IF(R1711=2,X1711*$W$1*buff的资质计算!$E$2,IF(R1711=3,X1711*$W$1*buff的资质计算!$E$3,0)))),2)</f>
        <v>47.7</v>
      </c>
      <c r="X1711" s="157">
        <f ca="1" t="shared" si="281"/>
        <v>159</v>
      </c>
      <c r="Y1711" s="157">
        <f ca="1" t="shared" si="289"/>
        <v>174</v>
      </c>
      <c r="Z1711" s="304">
        <f ca="1" t="shared" si="282"/>
        <v>43.5</v>
      </c>
      <c r="AA1711" s="304">
        <f ca="1">OFFSET(卡牌辅助配置表!$AD$1,MATCH(AB1711,卡牌辅助配置表!AB:AB,0)-1,0)</f>
        <v>57510</v>
      </c>
      <c r="AB1711" s="304">
        <f ca="1" t="shared" si="287"/>
        <v>6315</v>
      </c>
      <c r="AC1711" s="153">
        <v>12</v>
      </c>
      <c r="AF1711" s="153" t="str">
        <f ca="1" t="shared" si="290"/>
        <v>30060011|</v>
      </c>
      <c r="AJ1711" s="205" t="str">
        <f ca="1" t="shared" si="288"/>
        <v>400023|9400|;</v>
      </c>
      <c r="AK1711" s="205">
        <f ca="1">OFFSET([1]item_type!$A$1,MATCH(Q1711,[1]item_type!$G:$G,0)-1,0)</f>
        <v>303006</v>
      </c>
      <c r="AL1711" s="205"/>
      <c r="AM1711" s="205">
        <f ca="1">IF(B1711=B1712,OFFSET(卡牌辅助配置表!$AE$1,MATCH(AB1711,卡牌辅助配置表!AB:AB,0),0),0)</f>
        <v>9400</v>
      </c>
      <c r="AN1711" s="153">
        <f ca="1" t="shared" si="283"/>
        <v>3006016</v>
      </c>
      <c r="AP1711" s="153">
        <f ca="1">IF(AC1711=0,0,IF(AC1711=12,0,OFFSET(effect!$N$1,MATCH(K1711,effect!M:M,0)-1,0)))</f>
        <v>0</v>
      </c>
    </row>
    <row r="1712" spans="1:42">
      <c r="A1712" s="153">
        <f ca="1" t="shared" si="284"/>
        <v>3006016</v>
      </c>
      <c r="B1712" s="91" t="s">
        <v>860</v>
      </c>
      <c r="C1712" s="186">
        <v>3</v>
      </c>
      <c r="D1712" s="186">
        <v>4</v>
      </c>
      <c r="E1712" s="165" t="s">
        <v>1069</v>
      </c>
      <c r="F1712" s="179" t="s">
        <v>1070</v>
      </c>
      <c r="G1712" s="186">
        <f ca="1">OFFSET(卡牌辅助配置表!$C$1,MATCH(AC1712,卡牌辅助配置表!A:A,0)-1,0)</f>
        <v>0</v>
      </c>
      <c r="H1712" s="186">
        <f ca="1">OFFSET(skill!$Q$1,MATCH(B1712,skill!B:B,0)-1,0)</f>
        <v>15</v>
      </c>
      <c r="I1712" s="186"/>
      <c r="J1712" s="186">
        <f ca="1">OFFSET(card_type!$F$1,MATCH(Q1712,card_type!A:A,0)-1,0)</f>
        <v>6</v>
      </c>
      <c r="K1712" s="243">
        <f ca="1">OFFSET(card_type!$G$1,MATCH(Q1712,card_type!A:A,0)-1,0)</f>
        <v>3</v>
      </c>
      <c r="L1712" s="157">
        <v>4</v>
      </c>
      <c r="M1712" s="157">
        <v>4</v>
      </c>
      <c r="N1712" s="153">
        <f t="shared" si="285"/>
        <v>16</v>
      </c>
      <c r="O1712" s="157"/>
      <c r="P1712" s="157"/>
      <c r="Q1712" s="153">
        <f ca="1">OFFSET(card_type!$A$1,MATCH(card!B1712,card_type!B:B,0)-1,0)</f>
        <v>3006</v>
      </c>
      <c r="R1712" s="153">
        <v>1</v>
      </c>
      <c r="S1712" s="157">
        <f ca="1">ROUND(IF(R1712=0,0,IF(R1712=1,X1712*$S$1,IF(R1712=2,X1712*$S$1*buff的资质计算!$E$2,IF(R1712=3,X1712*$S$1*buff的资质计算!$E$3,0)))),0)*0</f>
        <v>0</v>
      </c>
      <c r="T1712" s="153">
        <v>3</v>
      </c>
      <c r="U1712" s="153">
        <f ca="1" t="shared" si="286"/>
        <v>63</v>
      </c>
      <c r="V1712" s="153">
        <f ca="1">ROUND((OFFSET(卡牌辅助配置表!$O$1,MATCH(U1712,卡牌辅助配置表!M:M,0)-1,0)+(N1712-1)*OFFSET(卡牌辅助配置表!$P$1,MATCH(U1712,卡牌辅助配置表!M:M,0)-1,0))*M1712,2)</f>
        <v>458.88</v>
      </c>
      <c r="W1712" s="157">
        <f ca="1">ROUND(IF(R1712=0,0,IF(R1712=1,X1712*$W$1,IF(R1712=2,X1712*$W$1*buff的资质计算!$E$2,IF(R1712=3,X1712*$W$1*buff的资质计算!$E$3,0)))),2)</f>
        <v>47.85</v>
      </c>
      <c r="X1712" s="157">
        <f ca="1" t="shared" si="281"/>
        <v>159.5</v>
      </c>
      <c r="Y1712" s="157">
        <f ca="1" t="shared" si="289"/>
        <v>174.5</v>
      </c>
      <c r="Z1712" s="304">
        <f ca="1" t="shared" si="282"/>
        <v>43.625</v>
      </c>
      <c r="AA1712" s="304">
        <f ca="1">OFFSET(卡牌辅助配置表!$AD$1,MATCH(AB1712,卡牌辅助配置表!AB:AB,0)-1,0)</f>
        <v>61344</v>
      </c>
      <c r="AB1712" s="304">
        <f ca="1" t="shared" si="287"/>
        <v>6316</v>
      </c>
      <c r="AC1712" s="153">
        <v>12</v>
      </c>
      <c r="AF1712" s="153" t="str">
        <f ca="1" t="shared" si="290"/>
        <v>30060011|</v>
      </c>
      <c r="AJ1712" s="205" t="str">
        <f ca="1" t="shared" si="288"/>
        <v>400023|10200|;</v>
      </c>
      <c r="AK1712" s="205">
        <f ca="1">OFFSET([1]item_type!$A$1,MATCH(Q1712,[1]item_type!$G:$G,0)-1,0)</f>
        <v>303006</v>
      </c>
      <c r="AL1712" s="205"/>
      <c r="AM1712" s="205">
        <f ca="1">IF(B1712=B1713,OFFSET(卡牌辅助配置表!$AE$1,MATCH(AB1712,卡牌辅助配置表!AB:AB,0),0),0)</f>
        <v>10200</v>
      </c>
      <c r="AN1712" s="153">
        <f ca="1" t="shared" si="283"/>
        <v>3006017</v>
      </c>
      <c r="AP1712" s="153">
        <f ca="1">IF(AC1712=0,0,IF(AC1712=12,0,OFFSET(effect!$N$1,MATCH(K1712,effect!M:M,0)-1,0)))</f>
        <v>0</v>
      </c>
    </row>
    <row r="1713" spans="1:42">
      <c r="A1713" s="153">
        <f ca="1" t="shared" si="284"/>
        <v>3006017</v>
      </c>
      <c r="B1713" s="91" t="s">
        <v>860</v>
      </c>
      <c r="C1713" s="186">
        <v>3</v>
      </c>
      <c r="D1713" s="186">
        <v>4</v>
      </c>
      <c r="E1713" s="165" t="s">
        <v>1069</v>
      </c>
      <c r="F1713" s="179" t="s">
        <v>1070</v>
      </c>
      <c r="G1713" s="186">
        <f ca="1">OFFSET(卡牌辅助配置表!$C$1,MATCH(AC1713,卡牌辅助配置表!A:A,0)-1,0)</f>
        <v>0</v>
      </c>
      <c r="H1713" s="186">
        <f ca="1">OFFSET(skill!$Q$1,MATCH(B1713,skill!B:B,0)-1,0)</f>
        <v>15</v>
      </c>
      <c r="I1713" s="186"/>
      <c r="J1713" s="186">
        <f ca="1">OFFSET(card_type!$F$1,MATCH(Q1713,card_type!A:A,0)-1,0)</f>
        <v>6</v>
      </c>
      <c r="K1713" s="243">
        <f ca="1">OFFSET(card_type!$G$1,MATCH(Q1713,card_type!A:A,0)-1,0)</f>
        <v>3</v>
      </c>
      <c r="L1713" s="157">
        <v>4</v>
      </c>
      <c r="M1713" s="157">
        <v>4</v>
      </c>
      <c r="N1713" s="153">
        <f t="shared" si="285"/>
        <v>17</v>
      </c>
      <c r="O1713" s="157"/>
      <c r="P1713" s="157"/>
      <c r="Q1713" s="153">
        <f ca="1">OFFSET(card_type!$A$1,MATCH(card!B1713,card_type!B:B,0)-1,0)</f>
        <v>3006</v>
      </c>
      <c r="R1713" s="153">
        <v>1</v>
      </c>
      <c r="S1713" s="157">
        <f ca="1">ROUND(IF(R1713=0,0,IF(R1713=1,X1713*$S$1,IF(R1713=2,X1713*$S$1*buff的资质计算!$E$2,IF(R1713=3,X1713*$S$1*buff的资质计算!$E$3,0)))),0)*0</f>
        <v>0</v>
      </c>
      <c r="T1713" s="153">
        <v>3</v>
      </c>
      <c r="U1713" s="153">
        <f ca="1" t="shared" si="286"/>
        <v>63</v>
      </c>
      <c r="V1713" s="153">
        <f ca="1">ROUND((OFFSET(卡牌辅助配置表!$O$1,MATCH(U1713,卡牌辅助配置表!M:M,0)-1,0)+(N1713-1)*OFFSET(卡牌辅助配置表!$P$1,MATCH(U1713,卡牌辅助配置表!M:M,0)-1,0))*M1713,2)</f>
        <v>458.88</v>
      </c>
      <c r="W1713" s="157">
        <f ca="1">ROUND(IF(R1713=0,0,IF(R1713=1,X1713*$W$1,IF(R1713=2,X1713*$W$1*buff的资质计算!$E$2,IF(R1713=3,X1713*$W$1*buff的资质计算!$E$3,0)))),2)</f>
        <v>48</v>
      </c>
      <c r="X1713" s="157">
        <f ca="1" t="shared" si="281"/>
        <v>160</v>
      </c>
      <c r="Y1713" s="157">
        <f ca="1" t="shared" si="289"/>
        <v>175</v>
      </c>
      <c r="Z1713" s="304">
        <f ca="1" t="shared" si="282"/>
        <v>43.75</v>
      </c>
      <c r="AA1713" s="304">
        <f ca="1">OFFSET(卡牌辅助配置表!$AD$1,MATCH(AB1713,卡牌辅助配置表!AB:AB,0)-1,0)</f>
        <v>65178</v>
      </c>
      <c r="AB1713" s="304">
        <f ca="1" t="shared" si="287"/>
        <v>6317</v>
      </c>
      <c r="AC1713" s="153">
        <v>12</v>
      </c>
      <c r="AF1713" s="153" t="str">
        <f ca="1" t="shared" si="290"/>
        <v>30060011|</v>
      </c>
      <c r="AJ1713" s="205" t="str">
        <f ca="1" t="shared" si="288"/>
        <v>400023|11000|;</v>
      </c>
      <c r="AK1713" s="205">
        <f ca="1">OFFSET([1]item_type!$A$1,MATCH(Q1713,[1]item_type!$G:$G,0)-1,0)</f>
        <v>303006</v>
      </c>
      <c r="AL1713" s="205"/>
      <c r="AM1713" s="205">
        <f ca="1">IF(B1713=B1714,OFFSET(卡牌辅助配置表!$AE$1,MATCH(AB1713,卡牌辅助配置表!AB:AB,0),0),0)</f>
        <v>11000</v>
      </c>
      <c r="AN1713" s="153">
        <f ca="1" t="shared" si="283"/>
        <v>3006018</v>
      </c>
      <c r="AP1713" s="153">
        <f ca="1">IF(AC1713=0,0,IF(AC1713=12,0,OFFSET(effect!$N$1,MATCH(K1713,effect!M:M,0)-1,0)))</f>
        <v>0</v>
      </c>
    </row>
    <row r="1714" spans="1:42">
      <c r="A1714" s="153">
        <f ca="1" t="shared" si="284"/>
        <v>3006018</v>
      </c>
      <c r="B1714" s="91" t="s">
        <v>860</v>
      </c>
      <c r="C1714" s="186">
        <v>3</v>
      </c>
      <c r="D1714" s="186">
        <v>4</v>
      </c>
      <c r="E1714" s="165" t="s">
        <v>1069</v>
      </c>
      <c r="F1714" s="179" t="s">
        <v>1070</v>
      </c>
      <c r="G1714" s="186">
        <f ca="1">OFFSET(卡牌辅助配置表!$C$1,MATCH(AC1714,卡牌辅助配置表!A:A,0)-1,0)</f>
        <v>0</v>
      </c>
      <c r="H1714" s="186">
        <f ca="1">OFFSET(skill!$Q$1,MATCH(B1714,skill!B:B,0)-1,0)</f>
        <v>15</v>
      </c>
      <c r="I1714" s="186"/>
      <c r="J1714" s="186">
        <f ca="1">OFFSET(card_type!$F$1,MATCH(Q1714,card_type!A:A,0)-1,0)</f>
        <v>6</v>
      </c>
      <c r="K1714" s="243">
        <f ca="1">OFFSET(card_type!$G$1,MATCH(Q1714,card_type!A:A,0)-1,0)</f>
        <v>3</v>
      </c>
      <c r="L1714" s="157">
        <v>4</v>
      </c>
      <c r="M1714" s="157">
        <v>4</v>
      </c>
      <c r="N1714" s="153">
        <f t="shared" si="285"/>
        <v>18</v>
      </c>
      <c r="O1714" s="157"/>
      <c r="P1714" s="157"/>
      <c r="Q1714" s="153">
        <f ca="1">OFFSET(card_type!$A$1,MATCH(card!B1714,card_type!B:B,0)-1,0)</f>
        <v>3006</v>
      </c>
      <c r="R1714" s="153">
        <v>1</v>
      </c>
      <c r="S1714" s="157">
        <f ca="1">ROUND(IF(R1714=0,0,IF(R1714=1,X1714*$S$1,IF(R1714=2,X1714*$S$1*buff的资质计算!$E$2,IF(R1714=3,X1714*$S$1*buff的资质计算!$E$3,0)))),0)*0</f>
        <v>0</v>
      </c>
      <c r="T1714" s="153">
        <v>3</v>
      </c>
      <c r="U1714" s="153">
        <f ca="1" t="shared" si="286"/>
        <v>63</v>
      </c>
      <c r="V1714" s="153">
        <f ca="1">ROUND((OFFSET(卡牌辅助配置表!$O$1,MATCH(U1714,卡牌辅助配置表!M:M,0)-1,0)+(N1714-1)*OFFSET(卡牌辅助配置表!$P$1,MATCH(U1714,卡牌辅助配置表!M:M,0)-1,0))*M1714,2)</f>
        <v>458.88</v>
      </c>
      <c r="W1714" s="157">
        <f ca="1">ROUND(IF(R1714=0,0,IF(R1714=1,X1714*$W$1,IF(R1714=2,X1714*$W$1*buff的资质计算!$E$2,IF(R1714=3,X1714*$W$1*buff的资质计算!$E$3,0)))),2)</f>
        <v>48.15</v>
      </c>
      <c r="X1714" s="157">
        <f ca="1" t="shared" si="281"/>
        <v>160.5</v>
      </c>
      <c r="Y1714" s="157">
        <f ca="1" t="shared" si="289"/>
        <v>175.5</v>
      </c>
      <c r="Z1714" s="304">
        <f ca="1" t="shared" si="282"/>
        <v>43.875</v>
      </c>
      <c r="AA1714" s="304">
        <f ca="1">OFFSET(卡牌辅助配置表!$AD$1,MATCH(AB1714,卡牌辅助配置表!AB:AB,0)-1,0)</f>
        <v>69012</v>
      </c>
      <c r="AB1714" s="304">
        <f ca="1" t="shared" si="287"/>
        <v>6318</v>
      </c>
      <c r="AC1714" s="153">
        <v>12</v>
      </c>
      <c r="AF1714" s="153" t="str">
        <f ca="1" t="shared" si="290"/>
        <v>30060011|</v>
      </c>
      <c r="AJ1714" s="205" t="str">
        <f ca="1" t="shared" si="288"/>
        <v>400023|11800|;</v>
      </c>
      <c r="AK1714" s="205">
        <f ca="1">OFFSET([1]item_type!$A$1,MATCH(Q1714,[1]item_type!$G:$G,0)-1,0)</f>
        <v>303006</v>
      </c>
      <c r="AL1714" s="205"/>
      <c r="AM1714" s="205">
        <f ca="1">IF(B1714=B1715,OFFSET(卡牌辅助配置表!$AE$1,MATCH(AB1714,卡牌辅助配置表!AB:AB,0),0),0)</f>
        <v>11800</v>
      </c>
      <c r="AN1714" s="153">
        <f ca="1" t="shared" si="283"/>
        <v>3006019</v>
      </c>
      <c r="AP1714" s="153">
        <f ca="1">IF(AC1714=0,0,IF(AC1714=12,0,OFFSET(effect!$N$1,MATCH(K1714,effect!M:M,0)-1,0)))</f>
        <v>0</v>
      </c>
    </row>
    <row r="1715" spans="1:42">
      <c r="A1715" s="153">
        <f ca="1" t="shared" si="284"/>
        <v>3006019</v>
      </c>
      <c r="B1715" s="91" t="s">
        <v>860</v>
      </c>
      <c r="C1715" s="186">
        <v>3</v>
      </c>
      <c r="D1715" s="186">
        <v>4</v>
      </c>
      <c r="E1715" s="165" t="s">
        <v>1069</v>
      </c>
      <c r="F1715" s="179" t="s">
        <v>1070</v>
      </c>
      <c r="G1715" s="186">
        <f ca="1">OFFSET(卡牌辅助配置表!$C$1,MATCH(AC1715,卡牌辅助配置表!A:A,0)-1,0)</f>
        <v>0</v>
      </c>
      <c r="H1715" s="186">
        <f ca="1">OFFSET(skill!$Q$1,MATCH(B1715,skill!B:B,0)-1,0)</f>
        <v>15</v>
      </c>
      <c r="I1715" s="186"/>
      <c r="J1715" s="186">
        <f ca="1">OFFSET(card_type!$F$1,MATCH(Q1715,card_type!A:A,0)-1,0)</f>
        <v>6</v>
      </c>
      <c r="K1715" s="243">
        <f ca="1">OFFSET(card_type!$G$1,MATCH(Q1715,card_type!A:A,0)-1,0)</f>
        <v>3</v>
      </c>
      <c r="L1715" s="157">
        <v>4</v>
      </c>
      <c r="M1715" s="157">
        <v>4</v>
      </c>
      <c r="N1715" s="153">
        <f t="shared" si="285"/>
        <v>19</v>
      </c>
      <c r="O1715" s="157"/>
      <c r="P1715" s="157"/>
      <c r="Q1715" s="153">
        <f ca="1">OFFSET(card_type!$A$1,MATCH(card!B1715,card_type!B:B,0)-1,0)</f>
        <v>3006</v>
      </c>
      <c r="R1715" s="153">
        <v>1</v>
      </c>
      <c r="S1715" s="157">
        <f ca="1">ROUND(IF(R1715=0,0,IF(R1715=1,X1715*$S$1,IF(R1715=2,X1715*$S$1*buff的资质计算!$E$2,IF(R1715=3,X1715*$S$1*buff的资质计算!$E$3,0)))),0)*0</f>
        <v>0</v>
      </c>
      <c r="T1715" s="153">
        <v>3</v>
      </c>
      <c r="U1715" s="153">
        <f ca="1" t="shared" si="286"/>
        <v>63</v>
      </c>
      <c r="V1715" s="153">
        <f ca="1">ROUND((OFFSET(卡牌辅助配置表!$O$1,MATCH(U1715,卡牌辅助配置表!M:M,0)-1,0)+(N1715-1)*OFFSET(卡牌辅助配置表!$P$1,MATCH(U1715,卡牌辅助配置表!M:M,0)-1,0))*M1715,2)</f>
        <v>458.88</v>
      </c>
      <c r="W1715" s="157">
        <f ca="1">ROUND(IF(R1715=0,0,IF(R1715=1,X1715*$W$1,IF(R1715=2,X1715*$W$1*buff的资质计算!$E$2,IF(R1715=3,X1715*$W$1*buff的资质计算!$E$3,0)))),2)</f>
        <v>48.3</v>
      </c>
      <c r="X1715" s="157">
        <f ca="1" t="shared" si="281"/>
        <v>161</v>
      </c>
      <c r="Y1715" s="157">
        <f ca="1" t="shared" si="289"/>
        <v>176</v>
      </c>
      <c r="Z1715" s="304">
        <f ca="1" t="shared" si="282"/>
        <v>44</v>
      </c>
      <c r="AA1715" s="304">
        <f ca="1">OFFSET(卡牌辅助配置表!$AD$1,MATCH(AB1715,卡牌辅助配置表!AB:AB,0)-1,0)</f>
        <v>72846</v>
      </c>
      <c r="AB1715" s="304">
        <f ca="1" t="shared" si="287"/>
        <v>6319</v>
      </c>
      <c r="AC1715" s="153">
        <v>12</v>
      </c>
      <c r="AF1715" s="153" t="str">
        <f ca="1" t="shared" si="290"/>
        <v>30060011|</v>
      </c>
      <c r="AJ1715" s="205" t="str">
        <f ca="1" t="shared" si="288"/>
        <v>303006|20|;400023|12600|;</v>
      </c>
      <c r="AK1715" s="205">
        <f ca="1">OFFSET([1]item_type!$A$1,MATCH(Q1715,[1]item_type!$G:$G,0)-1,0)</f>
        <v>303006</v>
      </c>
      <c r="AL1715" s="205">
        <v>20</v>
      </c>
      <c r="AM1715" s="205">
        <f ca="1">IF(B1715=B1716,OFFSET(卡牌辅助配置表!$AE$1,MATCH(AB1715,卡牌辅助配置表!AB:AB,0),0),0)</f>
        <v>12600</v>
      </c>
      <c r="AN1715" s="153">
        <f ca="1" t="shared" si="283"/>
        <v>3006020</v>
      </c>
      <c r="AP1715" s="153">
        <f ca="1">IF(AC1715=0,0,IF(AC1715=12,0,OFFSET(effect!$N$1,MATCH(K1715,effect!M:M,0)-1,0)))</f>
        <v>0</v>
      </c>
    </row>
    <row r="1716" spans="1:42">
      <c r="A1716" s="153">
        <f ca="1" t="shared" si="284"/>
        <v>3006020</v>
      </c>
      <c r="B1716" s="91" t="s">
        <v>860</v>
      </c>
      <c r="C1716" s="186">
        <v>3</v>
      </c>
      <c r="D1716" s="186">
        <v>4</v>
      </c>
      <c r="E1716" s="165" t="s">
        <v>1069</v>
      </c>
      <c r="F1716" s="179" t="s">
        <v>1070</v>
      </c>
      <c r="G1716" s="186">
        <f ca="1">OFFSET(卡牌辅助配置表!$C$1,MATCH(AC1716,卡牌辅助配置表!A:A,0)-1,0)</f>
        <v>0</v>
      </c>
      <c r="H1716" s="186">
        <f ca="1">OFFSET(skill!$Q$1,MATCH(B1716,skill!B:B,0)-1,0)</f>
        <v>15</v>
      </c>
      <c r="I1716" s="186"/>
      <c r="J1716" s="186">
        <f ca="1">OFFSET(card_type!$F$1,MATCH(Q1716,card_type!A:A,0)-1,0)</f>
        <v>6</v>
      </c>
      <c r="K1716" s="243">
        <f ca="1">OFFSET(card_type!$G$1,MATCH(Q1716,card_type!A:A,0)-1,0)</f>
        <v>3</v>
      </c>
      <c r="L1716" s="157">
        <v>4</v>
      </c>
      <c r="M1716" s="157">
        <v>4</v>
      </c>
      <c r="N1716" s="153">
        <f t="shared" si="285"/>
        <v>20</v>
      </c>
      <c r="O1716" s="157"/>
      <c r="P1716" s="157"/>
      <c r="Q1716" s="153">
        <f ca="1">OFFSET(card_type!$A$1,MATCH(card!B1716,card_type!B:B,0)-1,0)</f>
        <v>3006</v>
      </c>
      <c r="R1716" s="153">
        <v>1</v>
      </c>
      <c r="S1716" s="157">
        <f ca="1">ROUND(IF(R1716=0,0,IF(R1716=1,X1716*$S$1,IF(R1716=2,X1716*$S$1*buff的资质计算!$E$2,IF(R1716=3,X1716*$S$1*buff的资质计算!$E$3,0)))),0)*0</f>
        <v>0</v>
      </c>
      <c r="T1716" s="153">
        <v>3</v>
      </c>
      <c r="U1716" s="153">
        <f ca="1" t="shared" si="286"/>
        <v>63</v>
      </c>
      <c r="V1716" s="153">
        <f ca="1">ROUND((OFFSET(卡牌辅助配置表!$O$1,MATCH(U1716,卡牌辅助配置表!M:M,0)-1,0)+(N1716-1)*OFFSET(卡牌辅助配置表!$P$1,MATCH(U1716,卡牌辅助配置表!M:M,0)-1,0))*M1716,2)</f>
        <v>458.88</v>
      </c>
      <c r="W1716" s="157">
        <f ca="1">ROUND(IF(R1716=0,0,IF(R1716=1,X1716*$W$1,IF(R1716=2,X1716*$W$1*buff的资质计算!$E$2,IF(R1716=3,X1716*$W$1*buff的资质计算!$E$3,0)))),2)</f>
        <v>48.45</v>
      </c>
      <c r="X1716" s="157">
        <f ca="1" t="shared" ref="X1716:X1779" si="291">M1716*($M$1+(J1716-1)*$J$1+(K1716-1)*$K$1)+G1716+$J$1*(N1716-1)/$N$1</f>
        <v>161.5</v>
      </c>
      <c r="Y1716" s="157">
        <f ca="1" t="shared" si="289"/>
        <v>176.5</v>
      </c>
      <c r="Z1716" s="304">
        <f ca="1" t="shared" ref="Z1716:Z1779" si="292">Y1716/M1716</f>
        <v>44.125</v>
      </c>
      <c r="AA1716" s="304">
        <f ca="1">OFFSET(卡牌辅助配置表!$AD$1,MATCH(AB1716,卡牌辅助配置表!AB:AB,0)-1,0)</f>
        <v>76680</v>
      </c>
      <c r="AB1716" s="304">
        <f ca="1" t="shared" si="287"/>
        <v>6320</v>
      </c>
      <c r="AC1716" s="153">
        <v>12</v>
      </c>
      <c r="AF1716" s="153" t="str">
        <f ca="1" t="shared" si="290"/>
        <v>30060011|</v>
      </c>
      <c r="AJ1716" s="205" t="str">
        <f ca="1" t="shared" si="288"/>
        <v>400023|14200|;</v>
      </c>
      <c r="AK1716" s="205">
        <f ca="1">OFFSET([1]item_type!$A$1,MATCH(Q1716,[1]item_type!$G:$G,0)-1,0)</f>
        <v>303006</v>
      </c>
      <c r="AL1716" s="205"/>
      <c r="AM1716" s="205">
        <f ca="1">IF(B1716=B1717,OFFSET(卡牌辅助配置表!$AE$1,MATCH(AB1716,卡牌辅助配置表!AB:AB,0),0),0)</f>
        <v>14200</v>
      </c>
      <c r="AN1716" s="153">
        <f ca="1" t="shared" si="283"/>
        <v>3006021</v>
      </c>
      <c r="AP1716" s="153">
        <f ca="1">IF(AC1716=0,0,IF(AC1716=12,0,OFFSET(effect!$N$1,MATCH(K1716,effect!M:M,0)-1,0)))</f>
        <v>0</v>
      </c>
    </row>
    <row r="1717" spans="1:42">
      <c r="A1717" s="153">
        <f ca="1" t="shared" si="284"/>
        <v>3006021</v>
      </c>
      <c r="B1717" s="91" t="s">
        <v>860</v>
      </c>
      <c r="C1717" s="186">
        <v>3</v>
      </c>
      <c r="D1717" s="186">
        <v>4</v>
      </c>
      <c r="E1717" s="165" t="s">
        <v>1069</v>
      </c>
      <c r="F1717" s="179" t="s">
        <v>1070</v>
      </c>
      <c r="G1717" s="186">
        <f ca="1">OFFSET(卡牌辅助配置表!$C$1,MATCH(AC1717,卡牌辅助配置表!A:A,0)-1,0)</f>
        <v>0</v>
      </c>
      <c r="H1717" s="186">
        <f ca="1">OFFSET(skill!$Q$1,MATCH(B1717,skill!B:B,0)-1,0)</f>
        <v>15</v>
      </c>
      <c r="I1717" s="186"/>
      <c r="J1717" s="186">
        <f ca="1">OFFSET(card_type!$F$1,MATCH(Q1717,card_type!A:A,0)-1,0)</f>
        <v>6</v>
      </c>
      <c r="K1717" s="243">
        <f ca="1">OFFSET(card_type!$G$1,MATCH(Q1717,card_type!A:A,0)-1,0)</f>
        <v>3</v>
      </c>
      <c r="L1717" s="157">
        <v>4</v>
      </c>
      <c r="M1717" s="157">
        <v>4</v>
      </c>
      <c r="N1717" s="153">
        <f t="shared" si="285"/>
        <v>21</v>
      </c>
      <c r="O1717" s="157"/>
      <c r="P1717" s="157"/>
      <c r="Q1717" s="153">
        <f ca="1">OFFSET(card_type!$A$1,MATCH(card!B1717,card_type!B:B,0)-1,0)</f>
        <v>3006</v>
      </c>
      <c r="R1717" s="153">
        <v>1</v>
      </c>
      <c r="S1717" s="157">
        <f ca="1">ROUND(IF(R1717=0,0,IF(R1717=1,X1717*$S$1,IF(R1717=2,X1717*$S$1*buff的资质计算!$E$2,IF(R1717=3,X1717*$S$1*buff的资质计算!$E$3,0)))),0)*0</f>
        <v>0</v>
      </c>
      <c r="T1717" s="153">
        <v>3</v>
      </c>
      <c r="U1717" s="153">
        <f ca="1" t="shared" si="286"/>
        <v>63</v>
      </c>
      <c r="V1717" s="153">
        <f ca="1">ROUND((OFFSET(卡牌辅助配置表!$O$1,MATCH(U1717,卡牌辅助配置表!M:M,0)-1,0)+(N1717-1)*OFFSET(卡牌辅助配置表!$P$1,MATCH(U1717,卡牌辅助配置表!M:M,0)-1,0))*M1717,2)</f>
        <v>458.88</v>
      </c>
      <c r="W1717" s="157">
        <f ca="1">ROUND(IF(R1717=0,0,IF(R1717=1,X1717*$W$1,IF(R1717=2,X1717*$W$1*buff的资质计算!$E$2,IF(R1717=3,X1717*$W$1*buff的资质计算!$E$3,0)))),2)</f>
        <v>48.6</v>
      </c>
      <c r="X1717" s="157">
        <f ca="1" t="shared" si="291"/>
        <v>162</v>
      </c>
      <c r="Y1717" s="157">
        <f ca="1" t="shared" si="289"/>
        <v>177</v>
      </c>
      <c r="Z1717" s="304">
        <f ca="1" t="shared" si="292"/>
        <v>44.25</v>
      </c>
      <c r="AA1717" s="304">
        <f ca="1">OFFSET(卡牌辅助配置表!$AD$1,MATCH(AB1717,卡牌辅助配置表!AB:AB,0)-1,0)</f>
        <v>80514</v>
      </c>
      <c r="AB1717" s="304">
        <f ca="1" t="shared" si="287"/>
        <v>6321</v>
      </c>
      <c r="AC1717" s="153">
        <v>12</v>
      </c>
      <c r="AF1717" s="153" t="str">
        <f ca="1" t="shared" si="290"/>
        <v>30060011|</v>
      </c>
      <c r="AJ1717" s="205" t="str">
        <f ca="1" t="shared" si="288"/>
        <v>400023|15800|;</v>
      </c>
      <c r="AK1717" s="205">
        <f ca="1">OFFSET([1]item_type!$A$1,MATCH(Q1717,[1]item_type!$G:$G,0)-1,0)</f>
        <v>303006</v>
      </c>
      <c r="AL1717" s="205"/>
      <c r="AM1717" s="205">
        <f ca="1">IF(B1717=B1718,OFFSET(卡牌辅助配置表!$AE$1,MATCH(AB1717,卡牌辅助配置表!AB:AB,0),0),0)</f>
        <v>15800</v>
      </c>
      <c r="AN1717" s="153">
        <f ca="1" t="shared" si="283"/>
        <v>3006022</v>
      </c>
      <c r="AP1717" s="153">
        <f ca="1">IF(AC1717=0,0,IF(AC1717=12,0,OFFSET(effect!$N$1,MATCH(K1717,effect!M:M,0)-1,0)))</f>
        <v>0</v>
      </c>
    </row>
    <row r="1718" spans="1:42">
      <c r="A1718" s="153">
        <f ca="1" t="shared" si="284"/>
        <v>3006022</v>
      </c>
      <c r="B1718" s="91" t="s">
        <v>860</v>
      </c>
      <c r="C1718" s="186">
        <v>3</v>
      </c>
      <c r="D1718" s="186">
        <v>4</v>
      </c>
      <c r="E1718" s="165" t="s">
        <v>1069</v>
      </c>
      <c r="F1718" s="179" t="s">
        <v>1070</v>
      </c>
      <c r="G1718" s="186">
        <f ca="1">OFFSET(卡牌辅助配置表!$C$1,MATCH(AC1718,卡牌辅助配置表!A:A,0)-1,0)</f>
        <v>0</v>
      </c>
      <c r="H1718" s="186">
        <f ca="1">OFFSET(skill!$Q$1,MATCH(B1718,skill!B:B,0)-1,0)</f>
        <v>15</v>
      </c>
      <c r="I1718" s="186"/>
      <c r="J1718" s="186">
        <f ca="1">OFFSET(card_type!$F$1,MATCH(Q1718,card_type!A:A,0)-1,0)</f>
        <v>6</v>
      </c>
      <c r="K1718" s="243">
        <f ca="1">OFFSET(card_type!$G$1,MATCH(Q1718,card_type!A:A,0)-1,0)</f>
        <v>3</v>
      </c>
      <c r="L1718" s="157">
        <v>4</v>
      </c>
      <c r="M1718" s="157">
        <v>4</v>
      </c>
      <c r="N1718" s="153">
        <f t="shared" si="285"/>
        <v>22</v>
      </c>
      <c r="O1718" s="157"/>
      <c r="P1718" s="157"/>
      <c r="Q1718" s="153">
        <f ca="1">OFFSET(card_type!$A$1,MATCH(card!B1718,card_type!B:B,0)-1,0)</f>
        <v>3006</v>
      </c>
      <c r="R1718" s="153">
        <v>1</v>
      </c>
      <c r="S1718" s="157">
        <f ca="1">ROUND(IF(R1718=0,0,IF(R1718=1,X1718*$S$1,IF(R1718=2,X1718*$S$1*buff的资质计算!$E$2,IF(R1718=3,X1718*$S$1*buff的资质计算!$E$3,0)))),0)*0</f>
        <v>0</v>
      </c>
      <c r="T1718" s="153">
        <v>3</v>
      </c>
      <c r="U1718" s="153">
        <f ca="1" t="shared" si="286"/>
        <v>63</v>
      </c>
      <c r="V1718" s="153">
        <f ca="1">ROUND((OFFSET(卡牌辅助配置表!$O$1,MATCH(U1718,卡牌辅助配置表!M:M,0)-1,0)+(N1718-1)*OFFSET(卡牌辅助配置表!$P$1,MATCH(U1718,卡牌辅助配置表!M:M,0)-1,0))*M1718,2)</f>
        <v>458.88</v>
      </c>
      <c r="W1718" s="157">
        <f ca="1">ROUND(IF(R1718=0,0,IF(R1718=1,X1718*$W$1,IF(R1718=2,X1718*$W$1*buff的资质计算!$E$2,IF(R1718=3,X1718*$W$1*buff的资质计算!$E$3,0)))),2)</f>
        <v>48.75</v>
      </c>
      <c r="X1718" s="157">
        <f ca="1" t="shared" si="291"/>
        <v>162.5</v>
      </c>
      <c r="Y1718" s="157">
        <f ca="1" t="shared" si="289"/>
        <v>177.5</v>
      </c>
      <c r="Z1718" s="304">
        <f ca="1" t="shared" si="292"/>
        <v>44.375</v>
      </c>
      <c r="AA1718" s="304">
        <f ca="1">OFFSET(卡牌辅助配置表!$AD$1,MATCH(AB1718,卡牌辅助配置表!AB:AB,0)-1,0)</f>
        <v>84348</v>
      </c>
      <c r="AB1718" s="304">
        <f ca="1" t="shared" si="287"/>
        <v>6322</v>
      </c>
      <c r="AC1718" s="153">
        <v>12</v>
      </c>
      <c r="AF1718" s="153" t="str">
        <f ca="1" t="shared" si="290"/>
        <v>30060011|</v>
      </c>
      <c r="AJ1718" s="205" t="str">
        <f ca="1" t="shared" si="288"/>
        <v>400023|17400|;</v>
      </c>
      <c r="AK1718" s="205">
        <f ca="1">OFFSET([1]item_type!$A$1,MATCH(Q1718,[1]item_type!$G:$G,0)-1,0)</f>
        <v>303006</v>
      </c>
      <c r="AL1718" s="205"/>
      <c r="AM1718" s="205">
        <f ca="1">IF(B1718=B1719,OFFSET(卡牌辅助配置表!$AE$1,MATCH(AB1718,卡牌辅助配置表!AB:AB,0),0),0)</f>
        <v>17400</v>
      </c>
      <c r="AN1718" s="153">
        <f ca="1" t="shared" si="283"/>
        <v>3006023</v>
      </c>
      <c r="AP1718" s="153">
        <f ca="1">IF(AC1718=0,0,IF(AC1718=12,0,OFFSET(effect!$N$1,MATCH(K1718,effect!M:M,0)-1,0)))</f>
        <v>0</v>
      </c>
    </row>
    <row r="1719" spans="1:42">
      <c r="A1719" s="153">
        <f ca="1" t="shared" si="284"/>
        <v>3006023</v>
      </c>
      <c r="B1719" s="91" t="s">
        <v>860</v>
      </c>
      <c r="C1719" s="186">
        <v>3</v>
      </c>
      <c r="D1719" s="186">
        <v>4</v>
      </c>
      <c r="E1719" s="165" t="s">
        <v>1069</v>
      </c>
      <c r="F1719" s="179" t="s">
        <v>1070</v>
      </c>
      <c r="G1719" s="186">
        <f ca="1">OFFSET(卡牌辅助配置表!$C$1,MATCH(AC1719,卡牌辅助配置表!A:A,0)-1,0)</f>
        <v>0</v>
      </c>
      <c r="H1719" s="186">
        <f ca="1">OFFSET(skill!$Q$1,MATCH(B1719,skill!B:B,0)-1,0)</f>
        <v>15</v>
      </c>
      <c r="I1719" s="186"/>
      <c r="J1719" s="186">
        <f ca="1">OFFSET(card_type!$F$1,MATCH(Q1719,card_type!A:A,0)-1,0)</f>
        <v>6</v>
      </c>
      <c r="K1719" s="243">
        <f ca="1">OFFSET(card_type!$G$1,MATCH(Q1719,card_type!A:A,0)-1,0)</f>
        <v>3</v>
      </c>
      <c r="L1719" s="157">
        <v>4</v>
      </c>
      <c r="M1719" s="157">
        <v>4</v>
      </c>
      <c r="N1719" s="153">
        <f t="shared" si="285"/>
        <v>23</v>
      </c>
      <c r="O1719" s="157"/>
      <c r="P1719" s="157"/>
      <c r="Q1719" s="153">
        <f ca="1">OFFSET(card_type!$A$1,MATCH(card!B1719,card_type!B:B,0)-1,0)</f>
        <v>3006</v>
      </c>
      <c r="R1719" s="153">
        <v>1</v>
      </c>
      <c r="S1719" s="157">
        <f ca="1">ROUND(IF(R1719=0,0,IF(R1719=1,X1719*$S$1,IF(R1719=2,X1719*$S$1*buff的资质计算!$E$2,IF(R1719=3,X1719*$S$1*buff的资质计算!$E$3,0)))),0)*0</f>
        <v>0</v>
      </c>
      <c r="T1719" s="153">
        <v>3</v>
      </c>
      <c r="U1719" s="153">
        <f ca="1" t="shared" si="286"/>
        <v>63</v>
      </c>
      <c r="V1719" s="153">
        <f ca="1">ROUND((OFFSET(卡牌辅助配置表!$O$1,MATCH(U1719,卡牌辅助配置表!M:M,0)-1,0)+(N1719-1)*OFFSET(卡牌辅助配置表!$P$1,MATCH(U1719,卡牌辅助配置表!M:M,0)-1,0))*M1719,2)</f>
        <v>458.88</v>
      </c>
      <c r="W1719" s="157">
        <f ca="1">ROUND(IF(R1719=0,0,IF(R1719=1,X1719*$W$1,IF(R1719=2,X1719*$W$1*buff的资质计算!$E$2,IF(R1719=3,X1719*$W$1*buff的资质计算!$E$3,0)))),2)</f>
        <v>48.9</v>
      </c>
      <c r="X1719" s="157">
        <f ca="1" t="shared" si="291"/>
        <v>163</v>
      </c>
      <c r="Y1719" s="157">
        <f ca="1" t="shared" si="289"/>
        <v>178</v>
      </c>
      <c r="Z1719" s="304">
        <f ca="1" t="shared" si="292"/>
        <v>44.5</v>
      </c>
      <c r="AA1719" s="304">
        <f ca="1">OFFSET(卡牌辅助配置表!$AD$1,MATCH(AB1719,卡牌辅助配置表!AB:AB,0)-1,0)</f>
        <v>88182</v>
      </c>
      <c r="AB1719" s="304">
        <f ca="1" t="shared" si="287"/>
        <v>6323</v>
      </c>
      <c r="AC1719" s="153">
        <v>12</v>
      </c>
      <c r="AF1719" s="153" t="str">
        <f ca="1" t="shared" si="290"/>
        <v>30060011|</v>
      </c>
      <c r="AJ1719" s="205" t="str">
        <f ca="1" t="shared" si="288"/>
        <v>400023|19000|;</v>
      </c>
      <c r="AK1719" s="205">
        <f ca="1">OFFSET([1]item_type!$A$1,MATCH(Q1719,[1]item_type!$G:$G,0)-1,0)</f>
        <v>303006</v>
      </c>
      <c r="AL1719" s="205"/>
      <c r="AM1719" s="205">
        <f ca="1">IF(B1719=B1720,OFFSET(卡牌辅助配置表!$AE$1,MATCH(AB1719,卡牌辅助配置表!AB:AB,0),0),0)</f>
        <v>19000</v>
      </c>
      <c r="AN1719" s="153">
        <f ca="1" t="shared" si="283"/>
        <v>3006024</v>
      </c>
      <c r="AP1719" s="153">
        <f ca="1">IF(AC1719=0,0,IF(AC1719=12,0,OFFSET(effect!$N$1,MATCH(K1719,effect!M:M,0)-1,0)))</f>
        <v>0</v>
      </c>
    </row>
    <row r="1720" spans="1:42">
      <c r="A1720" s="153">
        <f ca="1" t="shared" si="284"/>
        <v>3006024</v>
      </c>
      <c r="B1720" s="91" t="s">
        <v>860</v>
      </c>
      <c r="C1720" s="186">
        <v>3</v>
      </c>
      <c r="D1720" s="186">
        <v>4</v>
      </c>
      <c r="E1720" s="165" t="s">
        <v>1069</v>
      </c>
      <c r="F1720" s="179" t="s">
        <v>1070</v>
      </c>
      <c r="G1720" s="186">
        <f ca="1">OFFSET(卡牌辅助配置表!$C$1,MATCH(AC1720,卡牌辅助配置表!A:A,0)-1,0)</f>
        <v>0</v>
      </c>
      <c r="H1720" s="186">
        <f ca="1">OFFSET(skill!$Q$1,MATCH(B1720,skill!B:B,0)-1,0)</f>
        <v>15</v>
      </c>
      <c r="I1720" s="186"/>
      <c r="J1720" s="186">
        <f ca="1">OFFSET(card_type!$F$1,MATCH(Q1720,card_type!A:A,0)-1,0)</f>
        <v>6</v>
      </c>
      <c r="K1720" s="243">
        <f ca="1">OFFSET(card_type!$G$1,MATCH(Q1720,card_type!A:A,0)-1,0)</f>
        <v>3</v>
      </c>
      <c r="L1720" s="157">
        <v>4</v>
      </c>
      <c r="M1720" s="157">
        <v>4</v>
      </c>
      <c r="N1720" s="153">
        <f t="shared" si="285"/>
        <v>24</v>
      </c>
      <c r="O1720" s="157"/>
      <c r="P1720" s="157"/>
      <c r="Q1720" s="153">
        <f ca="1">OFFSET(card_type!$A$1,MATCH(card!B1720,card_type!B:B,0)-1,0)</f>
        <v>3006</v>
      </c>
      <c r="R1720" s="153">
        <v>1</v>
      </c>
      <c r="S1720" s="157">
        <f ca="1">ROUND(IF(R1720=0,0,IF(R1720=1,X1720*$S$1,IF(R1720=2,X1720*$S$1*buff的资质计算!$E$2,IF(R1720=3,X1720*$S$1*buff的资质计算!$E$3,0)))),0)*0</f>
        <v>0</v>
      </c>
      <c r="T1720" s="153">
        <v>3</v>
      </c>
      <c r="U1720" s="153">
        <f ca="1" t="shared" si="286"/>
        <v>63</v>
      </c>
      <c r="V1720" s="153">
        <f ca="1">ROUND((OFFSET(卡牌辅助配置表!$O$1,MATCH(U1720,卡牌辅助配置表!M:M,0)-1,0)+(N1720-1)*OFFSET(卡牌辅助配置表!$P$1,MATCH(U1720,卡牌辅助配置表!M:M,0)-1,0))*M1720,2)</f>
        <v>458.88</v>
      </c>
      <c r="W1720" s="157">
        <f ca="1">ROUND(IF(R1720=0,0,IF(R1720=1,X1720*$W$1,IF(R1720=2,X1720*$W$1*buff的资质计算!$E$2,IF(R1720=3,X1720*$W$1*buff的资质计算!$E$3,0)))),2)</f>
        <v>49.05</v>
      </c>
      <c r="X1720" s="157">
        <f ca="1" t="shared" si="291"/>
        <v>163.5</v>
      </c>
      <c r="Y1720" s="157">
        <f ca="1" t="shared" si="289"/>
        <v>178.5</v>
      </c>
      <c r="Z1720" s="304">
        <f ca="1" t="shared" si="292"/>
        <v>44.625</v>
      </c>
      <c r="AA1720" s="304">
        <f ca="1">OFFSET(卡牌辅助配置表!$AD$1,MATCH(AB1720,卡牌辅助配置表!AB:AB,0)-1,0)</f>
        <v>92016</v>
      </c>
      <c r="AB1720" s="304">
        <f ca="1" t="shared" si="287"/>
        <v>6324</v>
      </c>
      <c r="AC1720" s="153">
        <v>12</v>
      </c>
      <c r="AF1720" s="153" t="str">
        <f ca="1" t="shared" si="290"/>
        <v>30060011|</v>
      </c>
      <c r="AJ1720" s="205" t="str">
        <f ca="1" t="shared" si="288"/>
        <v>400023|20600|;</v>
      </c>
      <c r="AK1720" s="205">
        <f ca="1">OFFSET([1]item_type!$A$1,MATCH(Q1720,[1]item_type!$G:$G,0)-1,0)</f>
        <v>303006</v>
      </c>
      <c r="AL1720" s="205"/>
      <c r="AM1720" s="205">
        <f ca="1">IF(B1720=B1721,OFFSET(卡牌辅助配置表!$AE$1,MATCH(AB1720,卡牌辅助配置表!AB:AB,0),0),0)</f>
        <v>20600</v>
      </c>
      <c r="AN1720" s="153">
        <f ca="1" t="shared" si="283"/>
        <v>3006025</v>
      </c>
      <c r="AP1720" s="153">
        <f ca="1">IF(AC1720=0,0,IF(AC1720=12,0,OFFSET(effect!$N$1,MATCH(K1720,effect!M:M,0)-1,0)))</f>
        <v>0</v>
      </c>
    </row>
    <row r="1721" spans="1:42">
      <c r="A1721" s="153">
        <f ca="1" t="shared" si="284"/>
        <v>3006025</v>
      </c>
      <c r="B1721" s="91" t="s">
        <v>860</v>
      </c>
      <c r="C1721" s="186">
        <v>3</v>
      </c>
      <c r="D1721" s="186">
        <v>4</v>
      </c>
      <c r="E1721" s="165" t="s">
        <v>1069</v>
      </c>
      <c r="F1721" s="179" t="s">
        <v>1070</v>
      </c>
      <c r="G1721" s="186">
        <f ca="1">OFFSET(卡牌辅助配置表!$C$1,MATCH(AC1721,卡牌辅助配置表!A:A,0)-1,0)</f>
        <v>0</v>
      </c>
      <c r="H1721" s="186">
        <f ca="1">OFFSET(skill!$Q$1,MATCH(B1721,skill!B:B,0)-1,0)</f>
        <v>15</v>
      </c>
      <c r="I1721" s="186"/>
      <c r="J1721" s="186">
        <f ca="1">OFFSET(card_type!$F$1,MATCH(Q1721,card_type!A:A,0)-1,0)</f>
        <v>6</v>
      </c>
      <c r="K1721" s="243">
        <f ca="1">OFFSET(card_type!$G$1,MATCH(Q1721,card_type!A:A,0)-1,0)</f>
        <v>3</v>
      </c>
      <c r="L1721" s="157">
        <v>4</v>
      </c>
      <c r="M1721" s="157">
        <v>4</v>
      </c>
      <c r="N1721" s="153">
        <f t="shared" si="285"/>
        <v>25</v>
      </c>
      <c r="O1721" s="157"/>
      <c r="P1721" s="157"/>
      <c r="Q1721" s="153">
        <f ca="1">OFFSET(card_type!$A$1,MATCH(card!B1721,card_type!B:B,0)-1,0)</f>
        <v>3006</v>
      </c>
      <c r="R1721" s="153">
        <v>1</v>
      </c>
      <c r="S1721" s="157">
        <f ca="1">ROUND(IF(R1721=0,0,IF(R1721=1,X1721*$S$1,IF(R1721=2,X1721*$S$1*buff的资质计算!$E$2,IF(R1721=3,X1721*$S$1*buff的资质计算!$E$3,0)))),0)*0</f>
        <v>0</v>
      </c>
      <c r="T1721" s="153">
        <v>3</v>
      </c>
      <c r="U1721" s="153">
        <f ca="1" t="shared" si="286"/>
        <v>63</v>
      </c>
      <c r="V1721" s="153">
        <f ca="1">ROUND((OFFSET(卡牌辅助配置表!$O$1,MATCH(U1721,卡牌辅助配置表!M:M,0)-1,0)+(N1721-1)*OFFSET(卡牌辅助配置表!$P$1,MATCH(U1721,卡牌辅助配置表!M:M,0)-1,0))*M1721,2)</f>
        <v>458.88</v>
      </c>
      <c r="W1721" s="157">
        <f ca="1">ROUND(IF(R1721=0,0,IF(R1721=1,X1721*$W$1,IF(R1721=2,X1721*$W$1*buff的资质计算!$E$2,IF(R1721=3,X1721*$W$1*buff的资质计算!$E$3,0)))),2)</f>
        <v>49.2</v>
      </c>
      <c r="X1721" s="157">
        <f ca="1" t="shared" si="291"/>
        <v>164</v>
      </c>
      <c r="Y1721" s="157">
        <f ca="1" t="shared" si="289"/>
        <v>179</v>
      </c>
      <c r="Z1721" s="304">
        <f ca="1" t="shared" si="292"/>
        <v>44.75</v>
      </c>
      <c r="AA1721" s="304">
        <f ca="1">OFFSET(卡牌辅助配置表!$AD$1,MATCH(AB1721,卡牌辅助配置表!AB:AB,0)-1,0)</f>
        <v>95850</v>
      </c>
      <c r="AB1721" s="304">
        <f ca="1" t="shared" si="287"/>
        <v>6325</v>
      </c>
      <c r="AC1721" s="153">
        <v>12</v>
      </c>
      <c r="AF1721" s="153" t="str">
        <f ca="1" t="shared" si="290"/>
        <v>30060011|</v>
      </c>
      <c r="AJ1721" s="205" t="str">
        <f ca="1" t="shared" si="288"/>
        <v>400023|22200|;</v>
      </c>
      <c r="AK1721" s="205">
        <f ca="1">OFFSET([1]item_type!$A$1,MATCH(Q1721,[1]item_type!$G:$G,0)-1,0)</f>
        <v>303006</v>
      </c>
      <c r="AL1721" s="205"/>
      <c r="AM1721" s="205">
        <f ca="1">IF(B1721=B1722,OFFSET(卡牌辅助配置表!$AE$1,MATCH(AB1721,卡牌辅助配置表!AB:AB,0),0),0)</f>
        <v>22200</v>
      </c>
      <c r="AN1721" s="153">
        <f ca="1" t="shared" si="283"/>
        <v>3006026</v>
      </c>
      <c r="AP1721" s="153">
        <f ca="1">IF(AC1721=0,0,IF(AC1721=12,0,OFFSET(effect!$N$1,MATCH(K1721,effect!M:M,0)-1,0)))</f>
        <v>0</v>
      </c>
    </row>
    <row r="1722" spans="1:42">
      <c r="A1722" s="153">
        <f ca="1" t="shared" si="284"/>
        <v>3006026</v>
      </c>
      <c r="B1722" s="91" t="s">
        <v>860</v>
      </c>
      <c r="C1722" s="186">
        <v>3</v>
      </c>
      <c r="D1722" s="186">
        <v>4</v>
      </c>
      <c r="E1722" s="165" t="s">
        <v>1069</v>
      </c>
      <c r="F1722" s="179" t="s">
        <v>1070</v>
      </c>
      <c r="G1722" s="186">
        <f ca="1">OFFSET(卡牌辅助配置表!$C$1,MATCH(AC1722,卡牌辅助配置表!A:A,0)-1,0)</f>
        <v>0</v>
      </c>
      <c r="H1722" s="186">
        <f ca="1">OFFSET(skill!$Q$1,MATCH(B1722,skill!B:B,0)-1,0)</f>
        <v>15</v>
      </c>
      <c r="I1722" s="186"/>
      <c r="J1722" s="186">
        <f ca="1">OFFSET(card_type!$F$1,MATCH(Q1722,card_type!A:A,0)-1,0)</f>
        <v>6</v>
      </c>
      <c r="K1722" s="243">
        <f ca="1">OFFSET(card_type!$G$1,MATCH(Q1722,card_type!A:A,0)-1,0)</f>
        <v>3</v>
      </c>
      <c r="L1722" s="157">
        <v>4</v>
      </c>
      <c r="M1722" s="157">
        <v>4</v>
      </c>
      <c r="N1722" s="153">
        <f t="shared" si="285"/>
        <v>26</v>
      </c>
      <c r="O1722" s="157"/>
      <c r="P1722" s="157"/>
      <c r="Q1722" s="153">
        <f ca="1">OFFSET(card_type!$A$1,MATCH(card!B1722,card_type!B:B,0)-1,0)</f>
        <v>3006</v>
      </c>
      <c r="R1722" s="153">
        <v>1</v>
      </c>
      <c r="S1722" s="157">
        <f ca="1">ROUND(IF(R1722=0,0,IF(R1722=1,X1722*$S$1,IF(R1722=2,X1722*$S$1*buff的资质计算!$E$2,IF(R1722=3,X1722*$S$1*buff的资质计算!$E$3,0)))),0)*0</f>
        <v>0</v>
      </c>
      <c r="T1722" s="153">
        <v>3</v>
      </c>
      <c r="U1722" s="153">
        <f ca="1" t="shared" si="286"/>
        <v>63</v>
      </c>
      <c r="V1722" s="153">
        <f ca="1">ROUND((OFFSET(卡牌辅助配置表!$O$1,MATCH(U1722,卡牌辅助配置表!M:M,0)-1,0)+(N1722-1)*OFFSET(卡牌辅助配置表!$P$1,MATCH(U1722,卡牌辅助配置表!M:M,0)-1,0))*M1722,2)</f>
        <v>458.88</v>
      </c>
      <c r="W1722" s="157">
        <f ca="1">ROUND(IF(R1722=0,0,IF(R1722=1,X1722*$W$1,IF(R1722=2,X1722*$W$1*buff的资质计算!$E$2,IF(R1722=3,X1722*$W$1*buff的资质计算!$E$3,0)))),2)</f>
        <v>49.35</v>
      </c>
      <c r="X1722" s="157">
        <f ca="1" t="shared" si="291"/>
        <v>164.5</v>
      </c>
      <c r="Y1722" s="157">
        <f ca="1" t="shared" si="289"/>
        <v>179.5</v>
      </c>
      <c r="Z1722" s="304">
        <f ca="1" t="shared" si="292"/>
        <v>44.875</v>
      </c>
      <c r="AA1722" s="304">
        <f ca="1">OFFSET(卡牌辅助配置表!$AD$1,MATCH(AB1722,卡牌辅助配置表!AB:AB,0)-1,0)</f>
        <v>99684</v>
      </c>
      <c r="AB1722" s="304">
        <f ca="1" t="shared" si="287"/>
        <v>6326</v>
      </c>
      <c r="AC1722" s="153">
        <v>12</v>
      </c>
      <c r="AF1722" s="153" t="str">
        <f ca="1" t="shared" si="290"/>
        <v>30060011|</v>
      </c>
      <c r="AJ1722" s="205" t="str">
        <f ca="1" t="shared" si="288"/>
        <v>400023|23800|;</v>
      </c>
      <c r="AK1722" s="205">
        <f ca="1">OFFSET([1]item_type!$A$1,MATCH(Q1722,[1]item_type!$G:$G,0)-1,0)</f>
        <v>303006</v>
      </c>
      <c r="AL1722" s="205"/>
      <c r="AM1722" s="205">
        <f ca="1">IF(B1722=B1723,OFFSET(卡牌辅助配置表!$AE$1,MATCH(AB1722,卡牌辅助配置表!AB:AB,0),0),0)</f>
        <v>23800</v>
      </c>
      <c r="AN1722" s="153">
        <f ca="1" t="shared" si="283"/>
        <v>3006027</v>
      </c>
      <c r="AP1722" s="153">
        <f ca="1">IF(AC1722=0,0,IF(AC1722=12,0,OFFSET(effect!$N$1,MATCH(K1722,effect!M:M,0)-1,0)))</f>
        <v>0</v>
      </c>
    </row>
    <row r="1723" spans="1:42">
      <c r="A1723" s="153">
        <f ca="1" t="shared" si="284"/>
        <v>3006027</v>
      </c>
      <c r="B1723" s="91" t="s">
        <v>860</v>
      </c>
      <c r="C1723" s="186">
        <v>3</v>
      </c>
      <c r="D1723" s="186">
        <v>4</v>
      </c>
      <c r="E1723" s="165" t="s">
        <v>1069</v>
      </c>
      <c r="F1723" s="179" t="s">
        <v>1070</v>
      </c>
      <c r="G1723" s="186">
        <f ca="1">OFFSET(卡牌辅助配置表!$C$1,MATCH(AC1723,卡牌辅助配置表!A:A,0)-1,0)</f>
        <v>0</v>
      </c>
      <c r="H1723" s="186">
        <f ca="1">OFFSET(skill!$Q$1,MATCH(B1723,skill!B:B,0)-1,0)</f>
        <v>15</v>
      </c>
      <c r="I1723" s="186"/>
      <c r="J1723" s="186">
        <f ca="1">OFFSET(card_type!$F$1,MATCH(Q1723,card_type!A:A,0)-1,0)</f>
        <v>6</v>
      </c>
      <c r="K1723" s="243">
        <f ca="1">OFFSET(card_type!$G$1,MATCH(Q1723,card_type!A:A,0)-1,0)</f>
        <v>3</v>
      </c>
      <c r="L1723" s="157">
        <v>4</v>
      </c>
      <c r="M1723" s="157">
        <v>4</v>
      </c>
      <c r="N1723" s="153">
        <f t="shared" si="285"/>
        <v>27</v>
      </c>
      <c r="O1723" s="157"/>
      <c r="P1723" s="157"/>
      <c r="Q1723" s="153">
        <f ca="1">OFFSET(card_type!$A$1,MATCH(card!B1723,card_type!B:B,0)-1,0)</f>
        <v>3006</v>
      </c>
      <c r="R1723" s="153">
        <v>1</v>
      </c>
      <c r="S1723" s="157">
        <f ca="1">ROUND(IF(R1723=0,0,IF(R1723=1,X1723*$S$1,IF(R1723=2,X1723*$S$1*buff的资质计算!$E$2,IF(R1723=3,X1723*$S$1*buff的资质计算!$E$3,0)))),0)*0</f>
        <v>0</v>
      </c>
      <c r="T1723" s="153">
        <v>3</v>
      </c>
      <c r="U1723" s="153">
        <f ca="1" t="shared" si="286"/>
        <v>63</v>
      </c>
      <c r="V1723" s="153">
        <f ca="1">ROUND((OFFSET(卡牌辅助配置表!$O$1,MATCH(U1723,卡牌辅助配置表!M:M,0)-1,0)+(N1723-1)*OFFSET(卡牌辅助配置表!$P$1,MATCH(U1723,卡牌辅助配置表!M:M,0)-1,0))*M1723,2)</f>
        <v>458.88</v>
      </c>
      <c r="W1723" s="157">
        <f ca="1">ROUND(IF(R1723=0,0,IF(R1723=1,X1723*$W$1,IF(R1723=2,X1723*$W$1*buff的资质计算!$E$2,IF(R1723=3,X1723*$W$1*buff的资质计算!$E$3,0)))),2)</f>
        <v>49.5</v>
      </c>
      <c r="X1723" s="157">
        <f ca="1" t="shared" si="291"/>
        <v>165</v>
      </c>
      <c r="Y1723" s="157">
        <f ca="1" t="shared" si="289"/>
        <v>180</v>
      </c>
      <c r="Z1723" s="304">
        <f ca="1" t="shared" si="292"/>
        <v>45</v>
      </c>
      <c r="AA1723" s="304">
        <f ca="1">OFFSET(卡牌辅助配置表!$AD$1,MATCH(AB1723,卡牌辅助配置表!AB:AB,0)-1,0)</f>
        <v>103518</v>
      </c>
      <c r="AB1723" s="304">
        <f ca="1" t="shared" si="287"/>
        <v>6327</v>
      </c>
      <c r="AC1723" s="153">
        <v>12</v>
      </c>
      <c r="AF1723" s="153" t="str">
        <f ca="1" t="shared" si="290"/>
        <v>30060011|</v>
      </c>
      <c r="AJ1723" s="205" t="str">
        <f ca="1" t="shared" si="288"/>
        <v>400023|25400|;</v>
      </c>
      <c r="AK1723" s="205">
        <f ca="1">OFFSET([1]item_type!$A$1,MATCH(Q1723,[1]item_type!$G:$G,0)-1,0)</f>
        <v>303006</v>
      </c>
      <c r="AL1723" s="205"/>
      <c r="AM1723" s="205">
        <f ca="1">IF(B1723=B1724,OFFSET(卡牌辅助配置表!$AE$1,MATCH(AB1723,卡牌辅助配置表!AB:AB,0),0),0)</f>
        <v>25400</v>
      </c>
      <c r="AN1723" s="153">
        <f ca="1" t="shared" si="283"/>
        <v>3006028</v>
      </c>
      <c r="AP1723" s="153">
        <f ca="1">IF(AC1723=0,0,IF(AC1723=12,0,OFFSET(effect!$N$1,MATCH(K1723,effect!M:M,0)-1,0)))</f>
        <v>0</v>
      </c>
    </row>
    <row r="1724" spans="1:42">
      <c r="A1724" s="153">
        <f ca="1" t="shared" si="284"/>
        <v>3006028</v>
      </c>
      <c r="B1724" s="91" t="s">
        <v>860</v>
      </c>
      <c r="C1724" s="186">
        <v>3</v>
      </c>
      <c r="D1724" s="186">
        <v>4</v>
      </c>
      <c r="E1724" s="165" t="s">
        <v>1069</v>
      </c>
      <c r="F1724" s="179" t="s">
        <v>1070</v>
      </c>
      <c r="G1724" s="186">
        <f ca="1">OFFSET(卡牌辅助配置表!$C$1,MATCH(AC1724,卡牌辅助配置表!A:A,0)-1,0)</f>
        <v>0</v>
      </c>
      <c r="H1724" s="186">
        <f ca="1">OFFSET(skill!$Q$1,MATCH(B1724,skill!B:B,0)-1,0)</f>
        <v>15</v>
      </c>
      <c r="I1724" s="186"/>
      <c r="J1724" s="186">
        <f ca="1">OFFSET(card_type!$F$1,MATCH(Q1724,card_type!A:A,0)-1,0)</f>
        <v>6</v>
      </c>
      <c r="K1724" s="243">
        <f ca="1">OFFSET(card_type!$G$1,MATCH(Q1724,card_type!A:A,0)-1,0)</f>
        <v>3</v>
      </c>
      <c r="L1724" s="157">
        <v>4</v>
      </c>
      <c r="M1724" s="157">
        <v>4</v>
      </c>
      <c r="N1724" s="153">
        <f t="shared" si="285"/>
        <v>28</v>
      </c>
      <c r="O1724" s="157"/>
      <c r="P1724" s="157"/>
      <c r="Q1724" s="153">
        <f ca="1">OFFSET(card_type!$A$1,MATCH(card!B1724,card_type!B:B,0)-1,0)</f>
        <v>3006</v>
      </c>
      <c r="R1724" s="153">
        <v>1</v>
      </c>
      <c r="S1724" s="157">
        <f ca="1">ROUND(IF(R1724=0,0,IF(R1724=1,X1724*$S$1,IF(R1724=2,X1724*$S$1*buff的资质计算!$E$2,IF(R1724=3,X1724*$S$1*buff的资质计算!$E$3,0)))),0)*0</f>
        <v>0</v>
      </c>
      <c r="T1724" s="153">
        <v>3</v>
      </c>
      <c r="U1724" s="153">
        <f ca="1" t="shared" si="286"/>
        <v>63</v>
      </c>
      <c r="V1724" s="153">
        <f ca="1">ROUND((OFFSET(卡牌辅助配置表!$O$1,MATCH(U1724,卡牌辅助配置表!M:M,0)-1,0)+(N1724-1)*OFFSET(卡牌辅助配置表!$P$1,MATCH(U1724,卡牌辅助配置表!M:M,0)-1,0))*M1724,2)</f>
        <v>458.88</v>
      </c>
      <c r="W1724" s="157">
        <f ca="1">ROUND(IF(R1724=0,0,IF(R1724=1,X1724*$W$1,IF(R1724=2,X1724*$W$1*buff的资质计算!$E$2,IF(R1724=3,X1724*$W$1*buff的资质计算!$E$3,0)))),2)</f>
        <v>49.65</v>
      </c>
      <c r="X1724" s="157">
        <f ca="1" t="shared" si="291"/>
        <v>165.5</v>
      </c>
      <c r="Y1724" s="157">
        <f ca="1" t="shared" si="289"/>
        <v>180.5</v>
      </c>
      <c r="Z1724" s="304">
        <f ca="1" t="shared" si="292"/>
        <v>45.125</v>
      </c>
      <c r="AA1724" s="304">
        <f ca="1">OFFSET(卡牌辅助配置表!$AD$1,MATCH(AB1724,卡牌辅助配置表!AB:AB,0)-1,0)</f>
        <v>107352</v>
      </c>
      <c r="AB1724" s="304">
        <f ca="1" t="shared" si="287"/>
        <v>6328</v>
      </c>
      <c r="AC1724" s="153">
        <v>12</v>
      </c>
      <c r="AF1724" s="153" t="str">
        <f ca="1" t="shared" si="290"/>
        <v>30060011|</v>
      </c>
      <c r="AJ1724" s="205" t="str">
        <f ca="1" t="shared" si="288"/>
        <v>400023|27000|;</v>
      </c>
      <c r="AK1724" s="205">
        <f ca="1">OFFSET([1]item_type!$A$1,MATCH(Q1724,[1]item_type!$G:$G,0)-1,0)</f>
        <v>303006</v>
      </c>
      <c r="AL1724" s="205"/>
      <c r="AM1724" s="205">
        <f ca="1">IF(B1724=B1725,OFFSET(卡牌辅助配置表!$AE$1,MATCH(AB1724,卡牌辅助配置表!AB:AB,0),0),0)</f>
        <v>27000</v>
      </c>
      <c r="AN1724" s="153">
        <f ca="1" t="shared" si="283"/>
        <v>3006029</v>
      </c>
      <c r="AP1724" s="153">
        <f ca="1">IF(AC1724=0,0,IF(AC1724=12,0,OFFSET(effect!$N$1,MATCH(K1724,effect!M:M,0)-1,0)))</f>
        <v>0</v>
      </c>
    </row>
    <row r="1725" spans="1:42">
      <c r="A1725" s="153">
        <f ca="1" t="shared" si="284"/>
        <v>3006029</v>
      </c>
      <c r="B1725" s="91" t="s">
        <v>860</v>
      </c>
      <c r="C1725" s="186">
        <v>3</v>
      </c>
      <c r="D1725" s="186">
        <v>4</v>
      </c>
      <c r="E1725" s="165" t="s">
        <v>1069</v>
      </c>
      <c r="F1725" s="179" t="s">
        <v>1070</v>
      </c>
      <c r="G1725" s="186">
        <f ca="1">OFFSET(卡牌辅助配置表!$C$1,MATCH(AC1725,卡牌辅助配置表!A:A,0)-1,0)</f>
        <v>0</v>
      </c>
      <c r="H1725" s="186">
        <f ca="1">OFFSET(skill!$Q$1,MATCH(B1725,skill!B:B,0)-1,0)</f>
        <v>15</v>
      </c>
      <c r="I1725" s="186"/>
      <c r="J1725" s="186">
        <f ca="1">OFFSET(card_type!$F$1,MATCH(Q1725,card_type!A:A,0)-1,0)</f>
        <v>6</v>
      </c>
      <c r="K1725" s="243">
        <f ca="1">OFFSET(card_type!$G$1,MATCH(Q1725,card_type!A:A,0)-1,0)</f>
        <v>3</v>
      </c>
      <c r="L1725" s="157">
        <v>4</v>
      </c>
      <c r="M1725" s="157">
        <v>4</v>
      </c>
      <c r="N1725" s="153">
        <f t="shared" si="285"/>
        <v>29</v>
      </c>
      <c r="O1725" s="157"/>
      <c r="P1725" s="157"/>
      <c r="Q1725" s="153">
        <f ca="1">OFFSET(card_type!$A$1,MATCH(card!B1725,card_type!B:B,0)-1,0)</f>
        <v>3006</v>
      </c>
      <c r="R1725" s="153">
        <v>1</v>
      </c>
      <c r="S1725" s="157">
        <f ca="1">ROUND(IF(R1725=0,0,IF(R1725=1,X1725*$S$1,IF(R1725=2,X1725*$S$1*buff的资质计算!$E$2,IF(R1725=3,X1725*$S$1*buff的资质计算!$E$3,0)))),0)*0</f>
        <v>0</v>
      </c>
      <c r="T1725" s="153">
        <v>3</v>
      </c>
      <c r="U1725" s="153">
        <f ca="1" t="shared" si="286"/>
        <v>63</v>
      </c>
      <c r="V1725" s="153">
        <f ca="1">ROUND((OFFSET(卡牌辅助配置表!$O$1,MATCH(U1725,卡牌辅助配置表!M:M,0)-1,0)+(N1725-1)*OFFSET(卡牌辅助配置表!$P$1,MATCH(U1725,卡牌辅助配置表!M:M,0)-1,0))*M1725,2)</f>
        <v>458.88</v>
      </c>
      <c r="W1725" s="157">
        <f ca="1">ROUND(IF(R1725=0,0,IF(R1725=1,X1725*$W$1,IF(R1725=2,X1725*$W$1*buff的资质计算!$E$2,IF(R1725=3,X1725*$W$1*buff的资质计算!$E$3,0)))),2)</f>
        <v>49.8</v>
      </c>
      <c r="X1725" s="157">
        <f ca="1" t="shared" si="291"/>
        <v>166</v>
      </c>
      <c r="Y1725" s="157">
        <f ca="1" t="shared" si="289"/>
        <v>181</v>
      </c>
      <c r="Z1725" s="304">
        <f ca="1" t="shared" si="292"/>
        <v>45.25</v>
      </c>
      <c r="AA1725" s="304">
        <f ca="1">OFFSET(卡牌辅助配置表!$AD$1,MATCH(AB1725,卡牌辅助配置表!AB:AB,0)-1,0)</f>
        <v>111186</v>
      </c>
      <c r="AB1725" s="304">
        <f ca="1" t="shared" si="287"/>
        <v>6329</v>
      </c>
      <c r="AC1725" s="153">
        <v>12</v>
      </c>
      <c r="AF1725" s="153" t="str">
        <f ca="1" t="shared" si="290"/>
        <v>30060011|</v>
      </c>
      <c r="AJ1725" s="205" t="str">
        <f ca="1" t="shared" si="288"/>
        <v>303006|30|;400023|28600|;</v>
      </c>
      <c r="AK1725" s="205">
        <f ca="1">OFFSET([1]item_type!$A$1,MATCH(Q1725,[1]item_type!$G:$G,0)-1,0)</f>
        <v>303006</v>
      </c>
      <c r="AL1725" s="205">
        <v>30</v>
      </c>
      <c r="AM1725" s="205">
        <f ca="1">IF(B1725=B1726,OFFSET(卡牌辅助配置表!$AE$1,MATCH(AB1725,卡牌辅助配置表!AB:AB,0),0),0)</f>
        <v>28600</v>
      </c>
      <c r="AN1725" s="153">
        <f ca="1" t="shared" si="283"/>
        <v>3006030</v>
      </c>
      <c r="AP1725" s="153">
        <f ca="1">IF(AC1725=0,0,IF(AC1725=12,0,OFFSET(effect!$N$1,MATCH(K1725,effect!M:M,0)-1,0)))</f>
        <v>0</v>
      </c>
    </row>
    <row r="1726" spans="1:42">
      <c r="A1726" s="153">
        <f ca="1" t="shared" si="284"/>
        <v>3006030</v>
      </c>
      <c r="B1726" s="91" t="s">
        <v>860</v>
      </c>
      <c r="C1726" s="186">
        <v>3</v>
      </c>
      <c r="D1726" s="186">
        <v>4</v>
      </c>
      <c r="E1726" s="165" t="s">
        <v>1069</v>
      </c>
      <c r="F1726" s="179" t="s">
        <v>1070</v>
      </c>
      <c r="G1726" s="186">
        <f ca="1">OFFSET(卡牌辅助配置表!$C$1,MATCH(AC1726,卡牌辅助配置表!A:A,0)-1,0)</f>
        <v>0</v>
      </c>
      <c r="H1726" s="186">
        <f ca="1">OFFSET(skill!$Q$1,MATCH(B1726,skill!B:B,0)-1,0)</f>
        <v>15</v>
      </c>
      <c r="I1726" s="186"/>
      <c r="J1726" s="186">
        <f ca="1">OFFSET(card_type!$F$1,MATCH(Q1726,card_type!A:A,0)-1,0)</f>
        <v>6</v>
      </c>
      <c r="K1726" s="243">
        <f ca="1">OFFSET(card_type!$G$1,MATCH(Q1726,card_type!A:A,0)-1,0)</f>
        <v>3</v>
      </c>
      <c r="L1726" s="157">
        <v>4</v>
      </c>
      <c r="M1726" s="157">
        <v>4</v>
      </c>
      <c r="N1726" s="153">
        <f t="shared" si="285"/>
        <v>30</v>
      </c>
      <c r="O1726" s="157"/>
      <c r="P1726" s="157"/>
      <c r="Q1726" s="153">
        <f ca="1">OFFSET(card_type!$A$1,MATCH(card!B1726,card_type!B:B,0)-1,0)</f>
        <v>3006</v>
      </c>
      <c r="R1726" s="153">
        <v>1</v>
      </c>
      <c r="S1726" s="157">
        <f ca="1">ROUND(IF(R1726=0,0,IF(R1726=1,X1726*$S$1,IF(R1726=2,X1726*$S$1*buff的资质计算!$E$2,IF(R1726=3,X1726*$S$1*buff的资质计算!$E$3,0)))),0)*0</f>
        <v>0</v>
      </c>
      <c r="T1726" s="153">
        <v>3</v>
      </c>
      <c r="U1726" s="153">
        <f ca="1" t="shared" si="286"/>
        <v>63</v>
      </c>
      <c r="V1726" s="153">
        <f ca="1">ROUND((OFFSET(卡牌辅助配置表!$O$1,MATCH(U1726,卡牌辅助配置表!M:M,0)-1,0)+(N1726-1)*OFFSET(卡牌辅助配置表!$P$1,MATCH(U1726,卡牌辅助配置表!M:M,0)-1,0))*M1726,2)</f>
        <v>458.88</v>
      </c>
      <c r="W1726" s="157">
        <f ca="1">ROUND(IF(R1726=0,0,IF(R1726=1,X1726*$W$1,IF(R1726=2,X1726*$W$1*buff的资质计算!$E$2,IF(R1726=3,X1726*$W$1*buff的资质计算!$E$3,0)))),2)</f>
        <v>49.95</v>
      </c>
      <c r="X1726" s="157">
        <f ca="1" t="shared" si="291"/>
        <v>166.5</v>
      </c>
      <c r="Y1726" s="157">
        <f ca="1" t="shared" si="289"/>
        <v>181.5</v>
      </c>
      <c r="Z1726" s="304">
        <f ca="1" t="shared" si="292"/>
        <v>45.375</v>
      </c>
      <c r="AA1726" s="304">
        <f ca="1">OFFSET(卡牌辅助配置表!$AD$1,MATCH(AB1726,卡牌辅助配置表!AB:AB,0)-1,0)</f>
        <v>115020</v>
      </c>
      <c r="AB1726" s="304">
        <f ca="1" t="shared" si="287"/>
        <v>6330</v>
      </c>
      <c r="AC1726" s="153">
        <v>12</v>
      </c>
      <c r="AF1726" s="153" t="str">
        <f ca="1" t="shared" si="290"/>
        <v>30060011|</v>
      </c>
      <c r="AJ1726" s="205">
        <f ca="1" t="shared" si="288"/>
        <v>0</v>
      </c>
      <c r="AK1726" s="205">
        <f ca="1">OFFSET([1]item_type!$A$1,MATCH(Q1726,[1]item_type!$G:$G,0)-1,0)</f>
        <v>303006</v>
      </c>
      <c r="AL1726" s="205"/>
      <c r="AM1726" s="205">
        <f ca="1">IF(B1726=B1727,OFFSET(卡牌辅助配置表!$AE$1,MATCH(AB1726,卡牌辅助配置表!AB:AB,0),0),0)</f>
        <v>0</v>
      </c>
      <c r="AN1726" s="153">
        <f ca="1" t="shared" si="283"/>
        <v>0</v>
      </c>
      <c r="AP1726" s="153">
        <f ca="1">IF(AC1726=0,0,IF(AC1726=12,0,OFFSET(effect!$N$1,MATCH(K1726,effect!M:M,0)-1,0)))</f>
        <v>0</v>
      </c>
    </row>
    <row r="1727" spans="1:42">
      <c r="A1727" s="153">
        <f ca="1" t="shared" si="284"/>
        <v>3007001</v>
      </c>
      <c r="B1727" s="91" t="s">
        <v>488</v>
      </c>
      <c r="C1727" s="186">
        <v>3</v>
      </c>
      <c r="D1727" s="186">
        <v>4</v>
      </c>
      <c r="E1727" s="165" t="s">
        <v>1069</v>
      </c>
      <c r="F1727" s="179" t="s">
        <v>864</v>
      </c>
      <c r="G1727" s="186">
        <f ca="1">OFFSET(卡牌辅助配置表!$C$1,MATCH(AC1727,卡牌辅助配置表!A:A,0)-1,0)</f>
        <v>0</v>
      </c>
      <c r="H1727" s="186">
        <f ca="1">OFFSET(skill!$Q$1,MATCH(B1727,skill!B:B,0)-1,0)</f>
        <v>10</v>
      </c>
      <c r="I1727" s="186"/>
      <c r="J1727" s="186">
        <f ca="1">OFFSET(card_type!$F$1,MATCH(Q1727,card_type!A:A,0)-1,0)</f>
        <v>3</v>
      </c>
      <c r="K1727" s="243">
        <f ca="1">OFFSET(card_type!$G$1,MATCH(Q1727,card_type!A:A,0)-1,0)</f>
        <v>1</v>
      </c>
      <c r="L1727" s="157">
        <v>2</v>
      </c>
      <c r="M1727" s="157">
        <v>2</v>
      </c>
      <c r="N1727" s="153">
        <f t="shared" si="285"/>
        <v>1</v>
      </c>
      <c r="O1727" s="157"/>
      <c r="P1727" s="157"/>
      <c r="Q1727" s="153">
        <f ca="1">OFFSET(card_type!$A$1,MATCH(card!B1727,card_type!B:B,0)-1,0)</f>
        <v>3007</v>
      </c>
      <c r="R1727" s="153">
        <v>1</v>
      </c>
      <c r="S1727" s="157">
        <f ca="1">ROUND(IF(R1727=0,0,IF(R1727=1,X1727*$S$1,IF(R1727=2,X1727*$S$1*buff的资质计算!$E$2,IF(R1727=3,X1727*$S$1*buff的资质计算!$E$3,0)))),0)*0</f>
        <v>0</v>
      </c>
      <c r="T1727" s="153">
        <v>3</v>
      </c>
      <c r="U1727" s="153">
        <f ca="1" t="shared" si="286"/>
        <v>31</v>
      </c>
      <c r="V1727" s="153">
        <f ca="1">ROUND((OFFSET(卡牌辅助配置表!$O$1,MATCH(U1727,卡牌辅助配置表!M:M,0)-1,0)+(N1727-1)*OFFSET(卡牌辅助配置表!$P$1,MATCH(U1727,卡牌辅助配置表!M:M,0)-1,0))*M1727,2)</f>
        <v>18.95</v>
      </c>
      <c r="W1727" s="157">
        <f ca="1">ROUND(IF(R1727=0,0,IF(R1727=1,X1727*$W$1,IF(R1727=2,X1727*$W$1*buff的资质计算!$E$2,IF(R1727=3,X1727*$W$1*buff的资质计算!$E$3,0)))),2)</f>
        <v>9</v>
      </c>
      <c r="X1727" s="157">
        <f ca="1" t="shared" si="291"/>
        <v>30</v>
      </c>
      <c r="Y1727" s="157">
        <f ca="1" t="shared" si="289"/>
        <v>40</v>
      </c>
      <c r="Z1727" s="304">
        <f ca="1" t="shared" si="292"/>
        <v>20</v>
      </c>
      <c r="AA1727" s="304">
        <f ca="1">OFFSET(卡牌辅助配置表!$AD$1,MATCH(AB1727,卡牌辅助配置表!AB:AB,0)-1,0)</f>
        <v>100</v>
      </c>
      <c r="AB1727" s="304">
        <f ca="1" t="shared" si="287"/>
        <v>3101</v>
      </c>
      <c r="AC1727" s="153">
        <v>12</v>
      </c>
      <c r="AF1727" s="153" t="str">
        <f ca="1" t="shared" si="290"/>
        <v>30070011|</v>
      </c>
      <c r="AJ1727" s="205" t="str">
        <f ca="1" t="shared" si="288"/>
        <v>400023|700|;</v>
      </c>
      <c r="AK1727" s="205">
        <f ca="1">OFFSET([1]item_type!$A$1,MATCH(Q1727,[1]item_type!$G:$G,0)-1,0)</f>
        <v>303007</v>
      </c>
      <c r="AL1727" s="205"/>
      <c r="AM1727" s="205">
        <f ca="1">IF(B1727=B1728,OFFSET(卡牌辅助配置表!$AE$1,MATCH(AB1727,卡牌辅助配置表!AB:AB,0),0),0)</f>
        <v>700</v>
      </c>
      <c r="AN1727" s="153">
        <f ca="1" t="shared" si="283"/>
        <v>3007002</v>
      </c>
      <c r="AP1727" s="153">
        <f ca="1">IF(AC1727=0,0,IF(AC1727=12,0,OFFSET(effect!$N$1,MATCH(K1727,effect!M:M,0)-1,0)))</f>
        <v>0</v>
      </c>
    </row>
    <row r="1728" spans="1:42">
      <c r="A1728" s="153">
        <f ca="1" t="shared" si="284"/>
        <v>3007002</v>
      </c>
      <c r="B1728" s="91" t="s">
        <v>488</v>
      </c>
      <c r="C1728" s="186">
        <v>3</v>
      </c>
      <c r="D1728" s="186">
        <v>4</v>
      </c>
      <c r="E1728" s="165" t="s">
        <v>1069</v>
      </c>
      <c r="F1728" s="179" t="s">
        <v>864</v>
      </c>
      <c r="G1728" s="186">
        <f ca="1">OFFSET(卡牌辅助配置表!$C$1,MATCH(AC1728,卡牌辅助配置表!A:A,0)-1,0)</f>
        <v>0</v>
      </c>
      <c r="H1728" s="186">
        <f ca="1">OFFSET(skill!$Q$1,MATCH(B1728,skill!B:B,0)-1,0)</f>
        <v>10</v>
      </c>
      <c r="I1728" s="186"/>
      <c r="J1728" s="186">
        <f ca="1">OFFSET(card_type!$F$1,MATCH(Q1728,card_type!A:A,0)-1,0)</f>
        <v>3</v>
      </c>
      <c r="K1728" s="243">
        <f ca="1">OFFSET(card_type!$G$1,MATCH(Q1728,card_type!A:A,0)-1,0)</f>
        <v>1</v>
      </c>
      <c r="L1728" s="157">
        <v>2</v>
      </c>
      <c r="M1728" s="157">
        <v>2</v>
      </c>
      <c r="N1728" s="153">
        <f t="shared" si="285"/>
        <v>2</v>
      </c>
      <c r="O1728" s="157"/>
      <c r="P1728" s="157"/>
      <c r="Q1728" s="153">
        <f ca="1">OFFSET(card_type!$A$1,MATCH(card!B1728,card_type!B:B,0)-1,0)</f>
        <v>3007</v>
      </c>
      <c r="R1728" s="153">
        <v>1</v>
      </c>
      <c r="S1728" s="157">
        <f ca="1">ROUND(IF(R1728=0,0,IF(R1728=1,X1728*$S$1,IF(R1728=2,X1728*$S$1*buff的资质计算!$E$2,IF(R1728=3,X1728*$S$1*buff的资质计算!$E$3,0)))),0)*0</f>
        <v>0</v>
      </c>
      <c r="T1728" s="153">
        <v>3</v>
      </c>
      <c r="U1728" s="153">
        <f ca="1" t="shared" si="286"/>
        <v>31</v>
      </c>
      <c r="V1728" s="153">
        <f ca="1">ROUND((OFFSET(卡牌辅助配置表!$O$1,MATCH(U1728,卡牌辅助配置表!M:M,0)-1,0)+(N1728-1)*OFFSET(卡牌辅助配置表!$P$1,MATCH(U1728,卡牌辅助配置表!M:M,0)-1,0))*M1728,2)</f>
        <v>21.3</v>
      </c>
      <c r="W1728" s="157">
        <f ca="1">ROUND(IF(R1728=0,0,IF(R1728=1,X1728*$W$1,IF(R1728=2,X1728*$W$1*buff的资质计算!$E$2,IF(R1728=3,X1728*$W$1*buff的资质计算!$E$3,0)))),2)</f>
        <v>9.15</v>
      </c>
      <c r="X1728" s="157">
        <f ca="1" t="shared" si="291"/>
        <v>30.5</v>
      </c>
      <c r="Y1728" s="157">
        <f ca="1" t="shared" si="289"/>
        <v>40.5</v>
      </c>
      <c r="Z1728" s="304">
        <f ca="1" t="shared" si="292"/>
        <v>20.25</v>
      </c>
      <c r="AA1728" s="304">
        <f ca="1">OFFSET(卡牌辅助配置表!$AD$1,MATCH(AB1728,卡牌辅助配置表!AB:AB,0)-1,0)</f>
        <v>200</v>
      </c>
      <c r="AB1728" s="304">
        <f ca="1" t="shared" si="287"/>
        <v>3102</v>
      </c>
      <c r="AC1728" s="153">
        <v>12</v>
      </c>
      <c r="AF1728" s="153" t="str">
        <f ca="1" t="shared" si="290"/>
        <v>30070011|</v>
      </c>
      <c r="AJ1728" s="205" t="str">
        <f ca="1" t="shared" si="288"/>
        <v>400023|900|;</v>
      </c>
      <c r="AK1728" s="205">
        <f ca="1">OFFSET([1]item_type!$A$1,MATCH(Q1728,[1]item_type!$G:$G,0)-1,0)</f>
        <v>303007</v>
      </c>
      <c r="AL1728" s="205"/>
      <c r="AM1728" s="205">
        <f ca="1">IF(B1728=B1729,OFFSET(卡牌辅助配置表!$AE$1,MATCH(AB1728,卡牌辅助配置表!AB:AB,0),0),0)</f>
        <v>900</v>
      </c>
      <c r="AN1728" s="153">
        <f ca="1" t="shared" si="283"/>
        <v>3007003</v>
      </c>
      <c r="AP1728" s="153">
        <f ca="1">IF(AC1728=0,0,IF(AC1728=12,0,OFFSET(effect!$N$1,MATCH(K1728,effect!M:M,0)-1,0)))</f>
        <v>0</v>
      </c>
    </row>
    <row r="1729" spans="1:42">
      <c r="A1729" s="153">
        <f ca="1" t="shared" si="284"/>
        <v>3007003</v>
      </c>
      <c r="B1729" s="91" t="s">
        <v>488</v>
      </c>
      <c r="C1729" s="186">
        <v>3</v>
      </c>
      <c r="D1729" s="186">
        <v>4</v>
      </c>
      <c r="E1729" s="165" t="s">
        <v>1069</v>
      </c>
      <c r="F1729" s="179" t="s">
        <v>864</v>
      </c>
      <c r="G1729" s="186">
        <f ca="1">OFFSET(卡牌辅助配置表!$C$1,MATCH(AC1729,卡牌辅助配置表!A:A,0)-1,0)</f>
        <v>0</v>
      </c>
      <c r="H1729" s="186">
        <f ca="1">OFFSET(skill!$Q$1,MATCH(B1729,skill!B:B,0)-1,0)</f>
        <v>10</v>
      </c>
      <c r="I1729" s="186"/>
      <c r="J1729" s="186">
        <f ca="1">OFFSET(card_type!$F$1,MATCH(Q1729,card_type!A:A,0)-1,0)</f>
        <v>3</v>
      </c>
      <c r="K1729" s="243">
        <f ca="1">OFFSET(card_type!$G$1,MATCH(Q1729,card_type!A:A,0)-1,0)</f>
        <v>1</v>
      </c>
      <c r="L1729" s="157">
        <v>2</v>
      </c>
      <c r="M1729" s="157">
        <v>2</v>
      </c>
      <c r="N1729" s="153">
        <f t="shared" si="285"/>
        <v>3</v>
      </c>
      <c r="O1729" s="157"/>
      <c r="P1729" s="157"/>
      <c r="Q1729" s="153">
        <f ca="1">OFFSET(card_type!$A$1,MATCH(card!B1729,card_type!B:B,0)-1,0)</f>
        <v>3007</v>
      </c>
      <c r="R1729" s="153">
        <v>1</v>
      </c>
      <c r="S1729" s="157">
        <f ca="1">ROUND(IF(R1729=0,0,IF(R1729=1,X1729*$S$1,IF(R1729=2,X1729*$S$1*buff的资质计算!$E$2,IF(R1729=3,X1729*$S$1*buff的资质计算!$E$3,0)))),0)*0</f>
        <v>0</v>
      </c>
      <c r="T1729" s="153">
        <v>3</v>
      </c>
      <c r="U1729" s="153">
        <f ca="1" t="shared" si="286"/>
        <v>31</v>
      </c>
      <c r="V1729" s="153">
        <f ca="1">ROUND((OFFSET(卡牌辅助配置表!$O$1,MATCH(U1729,卡牌辅助配置表!M:M,0)-1,0)+(N1729-1)*OFFSET(卡牌辅助配置表!$P$1,MATCH(U1729,卡牌辅助配置表!M:M,0)-1,0))*M1729,2)</f>
        <v>23.66</v>
      </c>
      <c r="W1729" s="157">
        <f ca="1">ROUND(IF(R1729=0,0,IF(R1729=1,X1729*$W$1,IF(R1729=2,X1729*$W$1*buff的资质计算!$E$2,IF(R1729=3,X1729*$W$1*buff的资质计算!$E$3,0)))),2)</f>
        <v>9.3</v>
      </c>
      <c r="X1729" s="157">
        <f ca="1" t="shared" si="291"/>
        <v>31</v>
      </c>
      <c r="Y1729" s="157">
        <f ca="1" t="shared" si="289"/>
        <v>41</v>
      </c>
      <c r="Z1729" s="304">
        <f ca="1" t="shared" si="292"/>
        <v>20.5</v>
      </c>
      <c r="AA1729" s="304">
        <f ca="1">OFFSET(卡牌辅助配置表!$AD$1,MATCH(AB1729,卡牌辅助配置表!AB:AB,0)-1,0)</f>
        <v>300</v>
      </c>
      <c r="AB1729" s="304">
        <f ca="1" t="shared" si="287"/>
        <v>3103</v>
      </c>
      <c r="AC1729" s="153">
        <v>12</v>
      </c>
      <c r="AF1729" s="153" t="str">
        <f ca="1" t="shared" si="290"/>
        <v>30070011|</v>
      </c>
      <c r="AJ1729" s="205" t="str">
        <f ca="1" t="shared" si="288"/>
        <v>400023|1100|;</v>
      </c>
      <c r="AK1729" s="205">
        <f ca="1">OFFSET([1]item_type!$A$1,MATCH(Q1729,[1]item_type!$G:$G,0)-1,0)</f>
        <v>303007</v>
      </c>
      <c r="AL1729" s="205"/>
      <c r="AM1729" s="205">
        <f ca="1">IF(B1729=B1730,OFFSET(卡牌辅助配置表!$AE$1,MATCH(AB1729,卡牌辅助配置表!AB:AB,0),0),0)</f>
        <v>1100</v>
      </c>
      <c r="AN1729" s="153">
        <f ca="1" t="shared" si="283"/>
        <v>3007004</v>
      </c>
      <c r="AP1729" s="153">
        <f ca="1">IF(AC1729=0,0,IF(AC1729=12,0,OFFSET(effect!$N$1,MATCH(K1729,effect!M:M,0)-1,0)))</f>
        <v>0</v>
      </c>
    </row>
    <row r="1730" spans="1:42">
      <c r="A1730" s="153">
        <f ca="1" t="shared" si="284"/>
        <v>3007004</v>
      </c>
      <c r="B1730" s="91" t="s">
        <v>488</v>
      </c>
      <c r="C1730" s="186">
        <v>3</v>
      </c>
      <c r="D1730" s="186">
        <v>4</v>
      </c>
      <c r="E1730" s="165" t="s">
        <v>1069</v>
      </c>
      <c r="F1730" s="179" t="s">
        <v>864</v>
      </c>
      <c r="G1730" s="186">
        <f ca="1">OFFSET(卡牌辅助配置表!$C$1,MATCH(AC1730,卡牌辅助配置表!A:A,0)-1,0)</f>
        <v>0</v>
      </c>
      <c r="H1730" s="186">
        <f ca="1">OFFSET(skill!$Q$1,MATCH(B1730,skill!B:B,0)-1,0)</f>
        <v>10</v>
      </c>
      <c r="I1730" s="186"/>
      <c r="J1730" s="186">
        <f ca="1">OFFSET(card_type!$F$1,MATCH(Q1730,card_type!A:A,0)-1,0)</f>
        <v>3</v>
      </c>
      <c r="K1730" s="243">
        <f ca="1">OFFSET(card_type!$G$1,MATCH(Q1730,card_type!A:A,0)-1,0)</f>
        <v>1</v>
      </c>
      <c r="L1730" s="157">
        <v>2</v>
      </c>
      <c r="M1730" s="157">
        <v>2</v>
      </c>
      <c r="N1730" s="153">
        <f t="shared" si="285"/>
        <v>4</v>
      </c>
      <c r="O1730" s="157"/>
      <c r="P1730" s="157"/>
      <c r="Q1730" s="153">
        <f ca="1">OFFSET(card_type!$A$1,MATCH(card!B1730,card_type!B:B,0)-1,0)</f>
        <v>3007</v>
      </c>
      <c r="R1730" s="153">
        <v>1</v>
      </c>
      <c r="S1730" s="157">
        <f ca="1">ROUND(IF(R1730=0,0,IF(R1730=1,X1730*$S$1,IF(R1730=2,X1730*$S$1*buff的资质计算!$E$2,IF(R1730=3,X1730*$S$1*buff的资质计算!$E$3,0)))),0)*0</f>
        <v>0</v>
      </c>
      <c r="T1730" s="153">
        <v>3</v>
      </c>
      <c r="U1730" s="153">
        <f ca="1" t="shared" si="286"/>
        <v>31</v>
      </c>
      <c r="V1730" s="153">
        <f ca="1">ROUND((OFFSET(卡牌辅助配置表!$O$1,MATCH(U1730,卡牌辅助配置表!M:M,0)-1,0)+(N1730-1)*OFFSET(卡牌辅助配置表!$P$1,MATCH(U1730,卡牌辅助配置表!M:M,0)-1,0))*M1730,2)</f>
        <v>26.01</v>
      </c>
      <c r="W1730" s="157">
        <f ca="1">ROUND(IF(R1730=0,0,IF(R1730=1,X1730*$W$1,IF(R1730=2,X1730*$W$1*buff的资质计算!$E$2,IF(R1730=3,X1730*$W$1*buff的资质计算!$E$3,0)))),2)</f>
        <v>9.45</v>
      </c>
      <c r="X1730" s="157">
        <f ca="1" t="shared" si="291"/>
        <v>31.5</v>
      </c>
      <c r="Y1730" s="157">
        <f ca="1" t="shared" si="289"/>
        <v>41.5</v>
      </c>
      <c r="Z1730" s="304">
        <f ca="1" t="shared" si="292"/>
        <v>20.75</v>
      </c>
      <c r="AA1730" s="304">
        <f ca="1">OFFSET(卡牌辅助配置表!$AD$1,MATCH(AB1730,卡牌辅助配置表!AB:AB,0)-1,0)</f>
        <v>400</v>
      </c>
      <c r="AB1730" s="304">
        <f ca="1" t="shared" si="287"/>
        <v>3104</v>
      </c>
      <c r="AC1730" s="153">
        <v>12</v>
      </c>
      <c r="AF1730" s="153" t="str">
        <f ca="1" t="shared" si="290"/>
        <v>30070011|</v>
      </c>
      <c r="AJ1730" s="205" t="str">
        <f ca="1" t="shared" si="288"/>
        <v>400023|1300|;</v>
      </c>
      <c r="AK1730" s="205">
        <f ca="1">OFFSET([1]item_type!$A$1,MATCH(Q1730,[1]item_type!$G:$G,0)-1,0)</f>
        <v>303007</v>
      </c>
      <c r="AL1730" s="205"/>
      <c r="AM1730" s="205">
        <f ca="1">IF(B1730=B1731,OFFSET(卡牌辅助配置表!$AE$1,MATCH(AB1730,卡牌辅助配置表!AB:AB,0),0),0)</f>
        <v>1300</v>
      </c>
      <c r="AN1730" s="153">
        <f ca="1" t="shared" si="283"/>
        <v>3007005</v>
      </c>
      <c r="AP1730" s="153">
        <f ca="1">IF(AC1730=0,0,IF(AC1730=12,0,OFFSET(effect!$N$1,MATCH(K1730,effect!M:M,0)-1,0)))</f>
        <v>0</v>
      </c>
    </row>
    <row r="1731" spans="1:42">
      <c r="A1731" s="153">
        <f ca="1" t="shared" si="284"/>
        <v>3007005</v>
      </c>
      <c r="B1731" s="91" t="s">
        <v>488</v>
      </c>
      <c r="C1731" s="186">
        <v>3</v>
      </c>
      <c r="D1731" s="186">
        <v>4</v>
      </c>
      <c r="E1731" s="165" t="s">
        <v>1069</v>
      </c>
      <c r="F1731" s="179" t="s">
        <v>864</v>
      </c>
      <c r="G1731" s="186">
        <f ca="1">OFFSET(卡牌辅助配置表!$C$1,MATCH(AC1731,卡牌辅助配置表!A:A,0)-1,0)</f>
        <v>0</v>
      </c>
      <c r="H1731" s="186">
        <f ca="1">OFFSET(skill!$Q$1,MATCH(B1731,skill!B:B,0)-1,0)</f>
        <v>10</v>
      </c>
      <c r="I1731" s="186"/>
      <c r="J1731" s="186">
        <f ca="1">OFFSET(card_type!$F$1,MATCH(Q1731,card_type!A:A,0)-1,0)</f>
        <v>3</v>
      </c>
      <c r="K1731" s="243">
        <f ca="1">OFFSET(card_type!$G$1,MATCH(Q1731,card_type!A:A,0)-1,0)</f>
        <v>1</v>
      </c>
      <c r="L1731" s="157">
        <v>2</v>
      </c>
      <c r="M1731" s="157">
        <v>2</v>
      </c>
      <c r="N1731" s="153">
        <f t="shared" si="285"/>
        <v>5</v>
      </c>
      <c r="O1731" s="157"/>
      <c r="P1731" s="157"/>
      <c r="Q1731" s="153">
        <f ca="1">OFFSET(card_type!$A$1,MATCH(card!B1731,card_type!B:B,0)-1,0)</f>
        <v>3007</v>
      </c>
      <c r="R1731" s="153">
        <v>1</v>
      </c>
      <c r="S1731" s="157">
        <f ca="1">ROUND(IF(R1731=0,0,IF(R1731=1,X1731*$S$1,IF(R1731=2,X1731*$S$1*buff的资质计算!$E$2,IF(R1731=3,X1731*$S$1*buff的资质计算!$E$3,0)))),0)*0</f>
        <v>0</v>
      </c>
      <c r="T1731" s="153">
        <v>3</v>
      </c>
      <c r="U1731" s="153">
        <f ca="1" t="shared" si="286"/>
        <v>31</v>
      </c>
      <c r="V1731" s="153">
        <f ca="1">ROUND((OFFSET(卡牌辅助配置表!$O$1,MATCH(U1731,卡牌辅助配置表!M:M,0)-1,0)+(N1731-1)*OFFSET(卡牌辅助配置表!$P$1,MATCH(U1731,卡牌辅助配置表!M:M,0)-1,0))*M1731,2)</f>
        <v>28.36</v>
      </c>
      <c r="W1731" s="157">
        <f ca="1">ROUND(IF(R1731=0,0,IF(R1731=1,X1731*$W$1,IF(R1731=2,X1731*$W$1*buff的资质计算!$E$2,IF(R1731=3,X1731*$W$1*buff的资质计算!$E$3,0)))),2)</f>
        <v>9.6</v>
      </c>
      <c r="X1731" s="157">
        <f ca="1" t="shared" si="291"/>
        <v>32</v>
      </c>
      <c r="Y1731" s="157">
        <f ca="1" t="shared" si="289"/>
        <v>42</v>
      </c>
      <c r="Z1731" s="304">
        <f ca="1" t="shared" si="292"/>
        <v>21</v>
      </c>
      <c r="AA1731" s="304">
        <f ca="1">OFFSET(卡牌辅助配置表!$AD$1,MATCH(AB1731,卡牌辅助配置表!AB:AB,0)-1,0)</f>
        <v>500</v>
      </c>
      <c r="AB1731" s="304">
        <f ca="1" t="shared" si="287"/>
        <v>3105</v>
      </c>
      <c r="AC1731" s="153">
        <v>12</v>
      </c>
      <c r="AF1731" s="153" t="str">
        <f ca="1" t="shared" si="290"/>
        <v>30070011|</v>
      </c>
      <c r="AJ1731" s="205" t="str">
        <f ca="1" t="shared" si="288"/>
        <v>400023|1500|;</v>
      </c>
      <c r="AK1731" s="205">
        <f ca="1">OFFSET([1]item_type!$A$1,MATCH(Q1731,[1]item_type!$G:$G,0)-1,0)</f>
        <v>303007</v>
      </c>
      <c r="AL1731" s="205"/>
      <c r="AM1731" s="205">
        <f ca="1">IF(B1731=B1732,OFFSET(卡牌辅助配置表!$AE$1,MATCH(AB1731,卡牌辅助配置表!AB:AB,0),0),0)</f>
        <v>1500</v>
      </c>
      <c r="AN1731" s="153">
        <f ca="1" t="shared" si="283"/>
        <v>3007006</v>
      </c>
      <c r="AP1731" s="153">
        <f ca="1">IF(AC1731=0,0,IF(AC1731=12,0,OFFSET(effect!$N$1,MATCH(K1731,effect!M:M,0)-1,0)))</f>
        <v>0</v>
      </c>
    </row>
    <row r="1732" spans="1:42">
      <c r="A1732" s="153">
        <f ca="1" t="shared" si="284"/>
        <v>3007006</v>
      </c>
      <c r="B1732" s="91" t="s">
        <v>488</v>
      </c>
      <c r="C1732" s="186">
        <v>3</v>
      </c>
      <c r="D1732" s="186">
        <v>4</v>
      </c>
      <c r="E1732" s="165" t="s">
        <v>1069</v>
      </c>
      <c r="F1732" s="179" t="s">
        <v>864</v>
      </c>
      <c r="G1732" s="186">
        <f ca="1">OFFSET(卡牌辅助配置表!$C$1,MATCH(AC1732,卡牌辅助配置表!A:A,0)-1,0)</f>
        <v>0</v>
      </c>
      <c r="H1732" s="186">
        <f ca="1">OFFSET(skill!$Q$1,MATCH(B1732,skill!B:B,0)-1,0)</f>
        <v>10</v>
      </c>
      <c r="I1732" s="186"/>
      <c r="J1732" s="186">
        <f ca="1">OFFSET(card_type!$F$1,MATCH(Q1732,card_type!A:A,0)-1,0)</f>
        <v>3</v>
      </c>
      <c r="K1732" s="243">
        <f ca="1">OFFSET(card_type!$G$1,MATCH(Q1732,card_type!A:A,0)-1,0)</f>
        <v>1</v>
      </c>
      <c r="L1732" s="157">
        <v>2</v>
      </c>
      <c r="M1732" s="157">
        <v>2</v>
      </c>
      <c r="N1732" s="153">
        <f t="shared" si="285"/>
        <v>6</v>
      </c>
      <c r="O1732" s="157"/>
      <c r="P1732" s="157"/>
      <c r="Q1732" s="153">
        <f ca="1">OFFSET(card_type!$A$1,MATCH(card!B1732,card_type!B:B,0)-1,0)</f>
        <v>3007</v>
      </c>
      <c r="R1732" s="153">
        <v>1</v>
      </c>
      <c r="S1732" s="157">
        <f ca="1">ROUND(IF(R1732=0,0,IF(R1732=1,X1732*$S$1,IF(R1732=2,X1732*$S$1*buff的资质计算!$E$2,IF(R1732=3,X1732*$S$1*buff的资质计算!$E$3,0)))),0)*0</f>
        <v>0</v>
      </c>
      <c r="T1732" s="153">
        <v>3</v>
      </c>
      <c r="U1732" s="153">
        <f ca="1" t="shared" si="286"/>
        <v>31</v>
      </c>
      <c r="V1732" s="153">
        <f ca="1">ROUND((OFFSET(卡牌辅助配置表!$O$1,MATCH(U1732,卡牌辅助配置表!M:M,0)-1,0)+(N1732-1)*OFFSET(卡牌辅助配置表!$P$1,MATCH(U1732,卡牌辅助配置表!M:M,0)-1,0))*M1732,2)</f>
        <v>30.72</v>
      </c>
      <c r="W1732" s="157">
        <f ca="1">ROUND(IF(R1732=0,0,IF(R1732=1,X1732*$W$1,IF(R1732=2,X1732*$W$1*buff的资质计算!$E$2,IF(R1732=3,X1732*$W$1*buff的资质计算!$E$3,0)))),2)</f>
        <v>9.75</v>
      </c>
      <c r="X1732" s="157">
        <f ca="1" t="shared" si="291"/>
        <v>32.5</v>
      </c>
      <c r="Y1732" s="157">
        <f ca="1" t="shared" si="289"/>
        <v>42.5</v>
      </c>
      <c r="Z1732" s="304">
        <f ca="1" t="shared" si="292"/>
        <v>21.25</v>
      </c>
      <c r="AA1732" s="304">
        <f ca="1">OFFSET(卡牌辅助配置表!$AD$1,MATCH(AB1732,卡牌辅助配置表!AB:AB,0)-1,0)</f>
        <v>600</v>
      </c>
      <c r="AB1732" s="304">
        <f ca="1" t="shared" si="287"/>
        <v>3106</v>
      </c>
      <c r="AC1732" s="153">
        <v>12</v>
      </c>
      <c r="AF1732" s="153" t="str">
        <f ca="1" t="shared" si="290"/>
        <v>30070011|</v>
      </c>
      <c r="AJ1732" s="205" t="str">
        <f ca="1" t="shared" si="288"/>
        <v>400023|1700|;</v>
      </c>
      <c r="AK1732" s="205">
        <f ca="1">OFFSET([1]item_type!$A$1,MATCH(Q1732,[1]item_type!$G:$G,0)-1,0)</f>
        <v>303007</v>
      </c>
      <c r="AL1732" s="205"/>
      <c r="AM1732" s="205">
        <f ca="1">IF(B1732=B1733,OFFSET(卡牌辅助配置表!$AE$1,MATCH(AB1732,卡牌辅助配置表!AB:AB,0),0),0)</f>
        <v>1700</v>
      </c>
      <c r="AN1732" s="153">
        <f ca="1" t="shared" si="283"/>
        <v>3007007</v>
      </c>
      <c r="AP1732" s="153">
        <f ca="1">IF(AC1732=0,0,IF(AC1732=12,0,OFFSET(effect!$N$1,MATCH(K1732,effect!M:M,0)-1,0)))</f>
        <v>0</v>
      </c>
    </row>
    <row r="1733" spans="1:42">
      <c r="A1733" s="153">
        <f ca="1" t="shared" si="284"/>
        <v>3007007</v>
      </c>
      <c r="B1733" s="91" t="s">
        <v>488</v>
      </c>
      <c r="C1733" s="186">
        <v>3</v>
      </c>
      <c r="D1733" s="186">
        <v>4</v>
      </c>
      <c r="E1733" s="165" t="s">
        <v>1069</v>
      </c>
      <c r="F1733" s="179" t="s">
        <v>864</v>
      </c>
      <c r="G1733" s="186">
        <f ca="1">OFFSET(卡牌辅助配置表!$C$1,MATCH(AC1733,卡牌辅助配置表!A:A,0)-1,0)</f>
        <v>0</v>
      </c>
      <c r="H1733" s="186">
        <f ca="1">OFFSET(skill!$Q$1,MATCH(B1733,skill!B:B,0)-1,0)</f>
        <v>10</v>
      </c>
      <c r="I1733" s="186"/>
      <c r="J1733" s="186">
        <f ca="1">OFFSET(card_type!$F$1,MATCH(Q1733,card_type!A:A,0)-1,0)</f>
        <v>3</v>
      </c>
      <c r="K1733" s="243">
        <f ca="1">OFFSET(card_type!$G$1,MATCH(Q1733,card_type!A:A,0)-1,0)</f>
        <v>1</v>
      </c>
      <c r="L1733" s="157">
        <v>2</v>
      </c>
      <c r="M1733" s="157">
        <v>2</v>
      </c>
      <c r="N1733" s="153">
        <f t="shared" si="285"/>
        <v>7</v>
      </c>
      <c r="O1733" s="157"/>
      <c r="P1733" s="157"/>
      <c r="Q1733" s="153">
        <f ca="1">OFFSET(card_type!$A$1,MATCH(card!B1733,card_type!B:B,0)-1,0)</f>
        <v>3007</v>
      </c>
      <c r="R1733" s="153">
        <v>1</v>
      </c>
      <c r="S1733" s="157">
        <f ca="1">ROUND(IF(R1733=0,0,IF(R1733=1,X1733*$S$1,IF(R1733=2,X1733*$S$1*buff的资质计算!$E$2,IF(R1733=3,X1733*$S$1*buff的资质计算!$E$3,0)))),0)*0</f>
        <v>0</v>
      </c>
      <c r="T1733" s="153">
        <v>3</v>
      </c>
      <c r="U1733" s="153">
        <f ca="1" t="shared" si="286"/>
        <v>31</v>
      </c>
      <c r="V1733" s="153">
        <f ca="1">ROUND((OFFSET(卡牌辅助配置表!$O$1,MATCH(U1733,卡牌辅助配置表!M:M,0)-1,0)+(N1733-1)*OFFSET(卡牌辅助配置表!$P$1,MATCH(U1733,卡牌辅助配置表!M:M,0)-1,0))*M1733,2)</f>
        <v>33.07</v>
      </c>
      <c r="W1733" s="157">
        <f ca="1">ROUND(IF(R1733=0,0,IF(R1733=1,X1733*$W$1,IF(R1733=2,X1733*$W$1*buff的资质计算!$E$2,IF(R1733=3,X1733*$W$1*buff的资质计算!$E$3,0)))),2)</f>
        <v>9.9</v>
      </c>
      <c r="X1733" s="157">
        <f ca="1" t="shared" si="291"/>
        <v>33</v>
      </c>
      <c r="Y1733" s="157">
        <f ca="1" t="shared" si="289"/>
        <v>43</v>
      </c>
      <c r="Z1733" s="304">
        <f ca="1" t="shared" si="292"/>
        <v>21.5</v>
      </c>
      <c r="AA1733" s="304">
        <f ca="1">OFFSET(卡牌辅助配置表!$AD$1,MATCH(AB1733,卡牌辅助配置表!AB:AB,0)-1,0)</f>
        <v>700</v>
      </c>
      <c r="AB1733" s="304">
        <f ca="1" t="shared" si="287"/>
        <v>3107</v>
      </c>
      <c r="AC1733" s="153">
        <v>12</v>
      </c>
      <c r="AF1733" s="153" t="str">
        <f ca="1" t="shared" si="290"/>
        <v>30070011|</v>
      </c>
      <c r="AJ1733" s="205" t="str">
        <f ca="1" t="shared" si="288"/>
        <v>400023|1900|;</v>
      </c>
      <c r="AK1733" s="205">
        <f ca="1">OFFSET([1]item_type!$A$1,MATCH(Q1733,[1]item_type!$G:$G,0)-1,0)</f>
        <v>303007</v>
      </c>
      <c r="AL1733" s="205"/>
      <c r="AM1733" s="205">
        <f ca="1">IF(B1733=B1734,OFFSET(卡牌辅助配置表!$AE$1,MATCH(AB1733,卡牌辅助配置表!AB:AB,0),0),0)</f>
        <v>1900</v>
      </c>
      <c r="AN1733" s="153">
        <f ca="1" t="shared" ref="AN1733:AN1796" si="293">IF(B1733=B1734,A1733+1,0)</f>
        <v>3007008</v>
      </c>
      <c r="AP1733" s="153">
        <f ca="1">IF(AC1733=0,0,IF(AC1733=12,0,OFFSET(effect!$N$1,MATCH(K1733,effect!M:M,0)-1,0)))</f>
        <v>0</v>
      </c>
    </row>
    <row r="1734" spans="1:42">
      <c r="A1734" s="153">
        <f ca="1" t="shared" ref="A1734:A1797" si="294">Q1734*1000+N1734</f>
        <v>3007008</v>
      </c>
      <c r="B1734" s="91" t="s">
        <v>488</v>
      </c>
      <c r="C1734" s="186">
        <v>3</v>
      </c>
      <c r="D1734" s="186">
        <v>4</v>
      </c>
      <c r="E1734" s="165" t="s">
        <v>1069</v>
      </c>
      <c r="F1734" s="179" t="s">
        <v>864</v>
      </c>
      <c r="G1734" s="186">
        <f ca="1">OFFSET(卡牌辅助配置表!$C$1,MATCH(AC1734,卡牌辅助配置表!A:A,0)-1,0)</f>
        <v>0</v>
      </c>
      <c r="H1734" s="186">
        <f ca="1">OFFSET(skill!$Q$1,MATCH(B1734,skill!B:B,0)-1,0)</f>
        <v>10</v>
      </c>
      <c r="I1734" s="186"/>
      <c r="J1734" s="186">
        <f ca="1">OFFSET(card_type!$F$1,MATCH(Q1734,card_type!A:A,0)-1,0)</f>
        <v>3</v>
      </c>
      <c r="K1734" s="243">
        <f ca="1">OFFSET(card_type!$G$1,MATCH(Q1734,card_type!A:A,0)-1,0)</f>
        <v>1</v>
      </c>
      <c r="L1734" s="157">
        <v>2</v>
      </c>
      <c r="M1734" s="157">
        <v>2</v>
      </c>
      <c r="N1734" s="153">
        <f t="shared" ref="N1734:N1797" si="295">IF(B1733=B1734,N1733+1,1)</f>
        <v>8</v>
      </c>
      <c r="O1734" s="157"/>
      <c r="P1734" s="157"/>
      <c r="Q1734" s="153">
        <f ca="1">OFFSET(card_type!$A$1,MATCH(card!B1734,card_type!B:B,0)-1,0)</f>
        <v>3007</v>
      </c>
      <c r="R1734" s="153">
        <v>1</v>
      </c>
      <c r="S1734" s="157">
        <f ca="1">ROUND(IF(R1734=0,0,IF(R1734=1,X1734*$S$1,IF(R1734=2,X1734*$S$1*buff的资质计算!$E$2,IF(R1734=3,X1734*$S$1*buff的资质计算!$E$3,0)))),0)*0</f>
        <v>0</v>
      </c>
      <c r="T1734" s="153">
        <v>3</v>
      </c>
      <c r="U1734" s="153">
        <f ca="1" t="shared" ref="U1734:U1797" si="296">J1734*10+K1734</f>
        <v>31</v>
      </c>
      <c r="V1734" s="153">
        <f ca="1">ROUND((OFFSET(卡牌辅助配置表!$O$1,MATCH(U1734,卡牌辅助配置表!M:M,0)-1,0)+(N1734-1)*OFFSET(卡牌辅助配置表!$P$1,MATCH(U1734,卡牌辅助配置表!M:M,0)-1,0))*M1734,2)</f>
        <v>35.43</v>
      </c>
      <c r="W1734" s="157">
        <f ca="1">ROUND(IF(R1734=0,0,IF(R1734=1,X1734*$W$1,IF(R1734=2,X1734*$W$1*buff的资质计算!$E$2,IF(R1734=3,X1734*$W$1*buff的资质计算!$E$3,0)))),2)</f>
        <v>10.05</v>
      </c>
      <c r="X1734" s="157">
        <f ca="1" t="shared" si="291"/>
        <v>33.5</v>
      </c>
      <c r="Y1734" s="157">
        <f ca="1" t="shared" si="289"/>
        <v>43.5</v>
      </c>
      <c r="Z1734" s="304">
        <f ca="1" t="shared" si="292"/>
        <v>21.75</v>
      </c>
      <c r="AA1734" s="304">
        <f ca="1">OFFSET(卡牌辅助配置表!$AD$1,MATCH(AB1734,卡牌辅助配置表!AB:AB,0)-1,0)</f>
        <v>800</v>
      </c>
      <c r="AB1734" s="304">
        <f ca="1" t="shared" ref="AB1734:AB1797" si="297">J1734*1000+K1734*100+N1734</f>
        <v>3108</v>
      </c>
      <c r="AC1734" s="153">
        <v>12</v>
      </c>
      <c r="AF1734" s="153" t="str">
        <f ca="1" t="shared" si="290"/>
        <v>30070011|</v>
      </c>
      <c r="AJ1734" s="205" t="str">
        <f ca="1" t="shared" ref="AJ1734:AJ1797" si="298">IF(AN1734=0,0,IF(AL1734=0,$AM$1&amp;$AF$1&amp;AM1734&amp;$AF$1&amp;$AJ$1,AK1734&amp;$AF$1&amp;AL1734&amp;$AF$1&amp;$AJ$1&amp;$AM$1&amp;$AF$1&amp;AM1734&amp;$AF$1&amp;$AJ$1))</f>
        <v>400023|2100|;</v>
      </c>
      <c r="AK1734" s="205">
        <f ca="1">OFFSET([1]item_type!$A$1,MATCH(Q1734,[1]item_type!$G:$G,0)-1,0)</f>
        <v>303007</v>
      </c>
      <c r="AL1734" s="205"/>
      <c r="AM1734" s="205">
        <f ca="1">IF(B1734=B1735,OFFSET(卡牌辅助配置表!$AE$1,MATCH(AB1734,卡牌辅助配置表!AB:AB,0),0),0)</f>
        <v>2100</v>
      </c>
      <c r="AN1734" s="153">
        <f ca="1" t="shared" si="293"/>
        <v>3007009</v>
      </c>
      <c r="AP1734" s="153">
        <f ca="1">IF(AC1734=0,0,IF(AC1734=12,0,OFFSET(effect!$N$1,MATCH(K1734,effect!M:M,0)-1,0)))</f>
        <v>0</v>
      </c>
    </row>
    <row r="1735" spans="1:42">
      <c r="A1735" s="153">
        <f ca="1" t="shared" si="294"/>
        <v>3007009</v>
      </c>
      <c r="B1735" s="91" t="s">
        <v>488</v>
      </c>
      <c r="C1735" s="186">
        <v>3</v>
      </c>
      <c r="D1735" s="186">
        <v>4</v>
      </c>
      <c r="E1735" s="165" t="s">
        <v>1069</v>
      </c>
      <c r="F1735" s="179" t="s">
        <v>864</v>
      </c>
      <c r="G1735" s="186">
        <f ca="1">OFFSET(卡牌辅助配置表!$C$1,MATCH(AC1735,卡牌辅助配置表!A:A,0)-1,0)</f>
        <v>0</v>
      </c>
      <c r="H1735" s="186">
        <f ca="1">OFFSET(skill!$Q$1,MATCH(B1735,skill!B:B,0)-1,0)</f>
        <v>10</v>
      </c>
      <c r="I1735" s="186"/>
      <c r="J1735" s="186">
        <f ca="1">OFFSET(card_type!$F$1,MATCH(Q1735,card_type!A:A,0)-1,0)</f>
        <v>3</v>
      </c>
      <c r="K1735" s="243">
        <f ca="1">OFFSET(card_type!$G$1,MATCH(Q1735,card_type!A:A,0)-1,0)</f>
        <v>1</v>
      </c>
      <c r="L1735" s="157">
        <v>2</v>
      </c>
      <c r="M1735" s="157">
        <v>2</v>
      </c>
      <c r="N1735" s="153">
        <f t="shared" si="295"/>
        <v>9</v>
      </c>
      <c r="O1735" s="157"/>
      <c r="P1735" s="157"/>
      <c r="Q1735" s="153">
        <f ca="1">OFFSET(card_type!$A$1,MATCH(card!B1735,card_type!B:B,0)-1,0)</f>
        <v>3007</v>
      </c>
      <c r="R1735" s="153">
        <v>1</v>
      </c>
      <c r="S1735" s="157">
        <f ca="1">ROUND(IF(R1735=0,0,IF(R1735=1,X1735*$S$1,IF(R1735=2,X1735*$S$1*buff的资质计算!$E$2,IF(R1735=3,X1735*$S$1*buff的资质计算!$E$3,0)))),0)*0</f>
        <v>0</v>
      </c>
      <c r="T1735" s="153">
        <v>3</v>
      </c>
      <c r="U1735" s="153">
        <f ca="1" t="shared" si="296"/>
        <v>31</v>
      </c>
      <c r="V1735" s="153">
        <f ca="1">ROUND((OFFSET(卡牌辅助配置表!$O$1,MATCH(U1735,卡牌辅助配置表!M:M,0)-1,0)+(N1735-1)*OFFSET(卡牌辅助配置表!$P$1,MATCH(U1735,卡牌辅助配置表!M:M,0)-1,0))*M1735,2)</f>
        <v>37.78</v>
      </c>
      <c r="W1735" s="157">
        <f ca="1">ROUND(IF(R1735=0,0,IF(R1735=1,X1735*$W$1,IF(R1735=2,X1735*$W$1*buff的资质计算!$E$2,IF(R1735=3,X1735*$W$1*buff的资质计算!$E$3,0)))),2)</f>
        <v>10.2</v>
      </c>
      <c r="X1735" s="157">
        <f ca="1" t="shared" si="291"/>
        <v>34</v>
      </c>
      <c r="Y1735" s="157">
        <f ca="1" t="shared" si="289"/>
        <v>44</v>
      </c>
      <c r="Z1735" s="304">
        <f ca="1" t="shared" si="292"/>
        <v>22</v>
      </c>
      <c r="AA1735" s="304">
        <f ca="1">OFFSET(卡牌辅助配置表!$AD$1,MATCH(AB1735,卡牌辅助配置表!AB:AB,0)-1,0)</f>
        <v>900</v>
      </c>
      <c r="AB1735" s="304">
        <f ca="1" t="shared" si="297"/>
        <v>3109</v>
      </c>
      <c r="AC1735" s="153">
        <v>12</v>
      </c>
      <c r="AF1735" s="153" t="str">
        <f ca="1" t="shared" si="290"/>
        <v>30070011|</v>
      </c>
      <c r="AJ1735" s="205" t="str">
        <f ca="1" t="shared" si="298"/>
        <v>303007|15|;400023|2300|;</v>
      </c>
      <c r="AK1735" s="205">
        <f ca="1">OFFSET([1]item_type!$A$1,MATCH(Q1735,[1]item_type!$G:$G,0)-1,0)</f>
        <v>303007</v>
      </c>
      <c r="AL1735" s="205">
        <v>15</v>
      </c>
      <c r="AM1735" s="205">
        <f ca="1">IF(B1735=B1736,OFFSET(卡牌辅助配置表!$AE$1,MATCH(AB1735,卡牌辅助配置表!AB:AB,0),0),0)</f>
        <v>2300</v>
      </c>
      <c r="AN1735" s="153">
        <f ca="1" t="shared" si="293"/>
        <v>3007010</v>
      </c>
      <c r="AP1735" s="153">
        <f ca="1">IF(AC1735=0,0,IF(AC1735=12,0,OFFSET(effect!$N$1,MATCH(K1735,effect!M:M,0)-1,0)))</f>
        <v>0</v>
      </c>
    </row>
    <row r="1736" spans="1:42">
      <c r="A1736" s="153">
        <f ca="1" t="shared" si="294"/>
        <v>3007010</v>
      </c>
      <c r="B1736" s="91" t="s">
        <v>488</v>
      </c>
      <c r="C1736" s="186">
        <v>3</v>
      </c>
      <c r="D1736" s="186">
        <v>4</v>
      </c>
      <c r="E1736" s="165" t="s">
        <v>1069</v>
      </c>
      <c r="F1736" s="179" t="s">
        <v>864</v>
      </c>
      <c r="G1736" s="186">
        <f ca="1">OFFSET(卡牌辅助配置表!$C$1,MATCH(AC1736,卡牌辅助配置表!A:A,0)-1,0)</f>
        <v>0</v>
      </c>
      <c r="H1736" s="186">
        <f ca="1">OFFSET(skill!$Q$1,MATCH(B1736,skill!B:B,0)-1,0)</f>
        <v>10</v>
      </c>
      <c r="I1736" s="186"/>
      <c r="J1736" s="186">
        <f ca="1">OFFSET(card_type!$F$1,MATCH(Q1736,card_type!A:A,0)-1,0)</f>
        <v>3</v>
      </c>
      <c r="K1736" s="243">
        <f ca="1">OFFSET(card_type!$G$1,MATCH(Q1736,card_type!A:A,0)-1,0)</f>
        <v>1</v>
      </c>
      <c r="L1736" s="157">
        <v>2</v>
      </c>
      <c r="M1736" s="157">
        <v>2</v>
      </c>
      <c r="N1736" s="153">
        <f t="shared" si="295"/>
        <v>10</v>
      </c>
      <c r="O1736" s="157"/>
      <c r="P1736" s="157"/>
      <c r="Q1736" s="153">
        <f ca="1">OFFSET(card_type!$A$1,MATCH(card!B1736,card_type!B:B,0)-1,0)</f>
        <v>3007</v>
      </c>
      <c r="R1736" s="153">
        <v>1</v>
      </c>
      <c r="S1736" s="157">
        <f ca="1">ROUND(IF(R1736=0,0,IF(R1736=1,X1736*$S$1,IF(R1736=2,X1736*$S$1*buff的资质计算!$E$2,IF(R1736=3,X1736*$S$1*buff的资质计算!$E$3,0)))),0)*0</f>
        <v>0</v>
      </c>
      <c r="T1736" s="153">
        <v>3</v>
      </c>
      <c r="U1736" s="153">
        <f ca="1" t="shared" si="296"/>
        <v>31</v>
      </c>
      <c r="V1736" s="153">
        <f ca="1">ROUND((OFFSET(卡牌辅助配置表!$O$1,MATCH(U1736,卡牌辅助配置表!M:M,0)-1,0)+(N1736-1)*OFFSET(卡牌辅助配置表!$P$1,MATCH(U1736,卡牌辅助配置表!M:M,0)-1,0))*M1736,2)</f>
        <v>40.13</v>
      </c>
      <c r="W1736" s="157">
        <f ca="1">ROUND(IF(R1736=0,0,IF(R1736=1,X1736*$W$1,IF(R1736=2,X1736*$W$1*buff的资质计算!$E$2,IF(R1736=3,X1736*$W$1*buff的资质计算!$E$3,0)))),2)</f>
        <v>10.35</v>
      </c>
      <c r="X1736" s="157">
        <f ca="1" t="shared" si="291"/>
        <v>34.5</v>
      </c>
      <c r="Y1736" s="157">
        <f ca="1" t="shared" si="289"/>
        <v>44.5</v>
      </c>
      <c r="Z1736" s="304">
        <f ca="1" t="shared" si="292"/>
        <v>22.25</v>
      </c>
      <c r="AA1736" s="304">
        <f ca="1">OFFSET(卡牌辅助配置表!$AD$1,MATCH(AB1736,卡牌辅助配置表!AB:AB,0)-1,0)</f>
        <v>1000</v>
      </c>
      <c r="AB1736" s="304">
        <f ca="1" t="shared" si="297"/>
        <v>3110</v>
      </c>
      <c r="AC1736" s="153">
        <v>12</v>
      </c>
      <c r="AF1736" s="153" t="str">
        <f ca="1" t="shared" si="290"/>
        <v>30070011|</v>
      </c>
      <c r="AJ1736" s="205" t="str">
        <f ca="1" t="shared" si="298"/>
        <v>400023|2700|;</v>
      </c>
      <c r="AK1736" s="205">
        <f ca="1">OFFSET([1]item_type!$A$1,MATCH(Q1736,[1]item_type!$G:$G,0)-1,0)</f>
        <v>303007</v>
      </c>
      <c r="AL1736" s="205"/>
      <c r="AM1736" s="205">
        <f ca="1">IF(B1736=B1737,OFFSET(卡牌辅助配置表!$AE$1,MATCH(AB1736,卡牌辅助配置表!AB:AB,0),0),0)</f>
        <v>2700</v>
      </c>
      <c r="AN1736" s="153">
        <f ca="1" t="shared" si="293"/>
        <v>3007011</v>
      </c>
      <c r="AP1736" s="153">
        <f ca="1">IF(AC1736=0,0,IF(AC1736=12,0,OFFSET(effect!$N$1,MATCH(K1736,effect!M:M,0)-1,0)))</f>
        <v>0</v>
      </c>
    </row>
    <row r="1737" spans="1:42">
      <c r="A1737" s="153">
        <f ca="1" t="shared" si="294"/>
        <v>3007011</v>
      </c>
      <c r="B1737" s="91" t="s">
        <v>488</v>
      </c>
      <c r="C1737" s="186">
        <v>3</v>
      </c>
      <c r="D1737" s="186">
        <v>4</v>
      </c>
      <c r="E1737" s="165" t="s">
        <v>1069</v>
      </c>
      <c r="F1737" s="179" t="s">
        <v>864</v>
      </c>
      <c r="G1737" s="186">
        <f ca="1">OFFSET(卡牌辅助配置表!$C$1,MATCH(AC1737,卡牌辅助配置表!A:A,0)-1,0)</f>
        <v>0</v>
      </c>
      <c r="H1737" s="186">
        <f ca="1">OFFSET(skill!$Q$1,MATCH(B1737,skill!B:B,0)-1,0)</f>
        <v>10</v>
      </c>
      <c r="I1737" s="186"/>
      <c r="J1737" s="186">
        <f ca="1">OFFSET(card_type!$F$1,MATCH(Q1737,card_type!A:A,0)-1,0)</f>
        <v>3</v>
      </c>
      <c r="K1737" s="243">
        <f ca="1">OFFSET(card_type!$G$1,MATCH(Q1737,card_type!A:A,0)-1,0)</f>
        <v>1</v>
      </c>
      <c r="L1737" s="157">
        <v>2</v>
      </c>
      <c r="M1737" s="157">
        <v>2</v>
      </c>
      <c r="N1737" s="153">
        <f t="shared" si="295"/>
        <v>11</v>
      </c>
      <c r="O1737" s="157"/>
      <c r="P1737" s="157"/>
      <c r="Q1737" s="153">
        <f ca="1">OFFSET(card_type!$A$1,MATCH(card!B1737,card_type!B:B,0)-1,0)</f>
        <v>3007</v>
      </c>
      <c r="R1737" s="153">
        <v>1</v>
      </c>
      <c r="S1737" s="157">
        <f ca="1">ROUND(IF(R1737=0,0,IF(R1737=1,X1737*$S$1,IF(R1737=2,X1737*$S$1*buff的资质计算!$E$2,IF(R1737=3,X1737*$S$1*buff的资质计算!$E$3,0)))),0)*0</f>
        <v>0</v>
      </c>
      <c r="T1737" s="153">
        <v>3</v>
      </c>
      <c r="U1737" s="153">
        <f ca="1" t="shared" si="296"/>
        <v>31</v>
      </c>
      <c r="V1737" s="153">
        <f ca="1">ROUND((OFFSET(卡牌辅助配置表!$O$1,MATCH(U1737,卡牌辅助配置表!M:M,0)-1,0)+(N1737-1)*OFFSET(卡牌辅助配置表!$P$1,MATCH(U1737,卡牌辅助配置表!M:M,0)-1,0))*M1737,2)</f>
        <v>42.49</v>
      </c>
      <c r="W1737" s="157">
        <f ca="1">ROUND(IF(R1737=0,0,IF(R1737=1,X1737*$W$1,IF(R1737=2,X1737*$W$1*buff的资质计算!$E$2,IF(R1737=3,X1737*$W$1*buff的资质计算!$E$3,0)))),2)</f>
        <v>10.5</v>
      </c>
      <c r="X1737" s="157">
        <f ca="1" t="shared" si="291"/>
        <v>35</v>
      </c>
      <c r="Y1737" s="157">
        <f ca="1" t="shared" si="289"/>
        <v>45</v>
      </c>
      <c r="Z1737" s="304">
        <f ca="1" t="shared" si="292"/>
        <v>22.5</v>
      </c>
      <c r="AA1737" s="304">
        <f ca="1">OFFSET(卡牌辅助配置表!$AD$1,MATCH(AB1737,卡牌辅助配置表!AB:AB,0)-1,0)</f>
        <v>1149</v>
      </c>
      <c r="AB1737" s="304">
        <f ca="1" t="shared" si="297"/>
        <v>3111</v>
      </c>
      <c r="AC1737" s="153">
        <v>12</v>
      </c>
      <c r="AF1737" s="153" t="str">
        <f ca="1" t="shared" si="290"/>
        <v>30070011|</v>
      </c>
      <c r="AJ1737" s="205" t="str">
        <f ca="1" t="shared" si="298"/>
        <v>400023|3100|;</v>
      </c>
      <c r="AK1737" s="205">
        <f ca="1">OFFSET([1]item_type!$A$1,MATCH(Q1737,[1]item_type!$G:$G,0)-1,0)</f>
        <v>303007</v>
      </c>
      <c r="AL1737" s="205"/>
      <c r="AM1737" s="205">
        <f ca="1">IF(B1737=B1738,OFFSET(卡牌辅助配置表!$AE$1,MATCH(AB1737,卡牌辅助配置表!AB:AB,0),0),0)</f>
        <v>3100</v>
      </c>
      <c r="AN1737" s="153">
        <f ca="1" t="shared" si="293"/>
        <v>3007012</v>
      </c>
      <c r="AP1737" s="153">
        <f ca="1">IF(AC1737=0,0,IF(AC1737=12,0,OFFSET(effect!$N$1,MATCH(K1737,effect!M:M,0)-1,0)))</f>
        <v>0</v>
      </c>
    </row>
    <row r="1738" spans="1:42">
      <c r="A1738" s="153">
        <f ca="1" t="shared" si="294"/>
        <v>3007012</v>
      </c>
      <c r="B1738" s="91" t="s">
        <v>488</v>
      </c>
      <c r="C1738" s="186">
        <v>3</v>
      </c>
      <c r="D1738" s="186">
        <v>4</v>
      </c>
      <c r="E1738" s="165" t="s">
        <v>1069</v>
      </c>
      <c r="F1738" s="179" t="s">
        <v>864</v>
      </c>
      <c r="G1738" s="186">
        <f ca="1">OFFSET(卡牌辅助配置表!$C$1,MATCH(AC1738,卡牌辅助配置表!A:A,0)-1,0)</f>
        <v>0</v>
      </c>
      <c r="H1738" s="186">
        <f ca="1">OFFSET(skill!$Q$1,MATCH(B1738,skill!B:B,0)-1,0)</f>
        <v>10</v>
      </c>
      <c r="I1738" s="186"/>
      <c r="J1738" s="186">
        <f ca="1">OFFSET(card_type!$F$1,MATCH(Q1738,card_type!A:A,0)-1,0)</f>
        <v>3</v>
      </c>
      <c r="K1738" s="243">
        <f ca="1">OFFSET(card_type!$G$1,MATCH(Q1738,card_type!A:A,0)-1,0)</f>
        <v>1</v>
      </c>
      <c r="L1738" s="157">
        <v>2</v>
      </c>
      <c r="M1738" s="157">
        <v>2</v>
      </c>
      <c r="N1738" s="153">
        <f t="shared" si="295"/>
        <v>12</v>
      </c>
      <c r="O1738" s="157"/>
      <c r="P1738" s="157"/>
      <c r="Q1738" s="153">
        <f ca="1">OFFSET(card_type!$A$1,MATCH(card!B1738,card_type!B:B,0)-1,0)</f>
        <v>3007</v>
      </c>
      <c r="R1738" s="153">
        <v>1</v>
      </c>
      <c r="S1738" s="157">
        <f ca="1">ROUND(IF(R1738=0,0,IF(R1738=1,X1738*$S$1,IF(R1738=2,X1738*$S$1*buff的资质计算!$E$2,IF(R1738=3,X1738*$S$1*buff的资质计算!$E$3,0)))),0)*0</f>
        <v>0</v>
      </c>
      <c r="T1738" s="153">
        <v>3</v>
      </c>
      <c r="U1738" s="153">
        <f ca="1" t="shared" si="296"/>
        <v>31</v>
      </c>
      <c r="V1738" s="153">
        <f ca="1">ROUND((OFFSET(卡牌辅助配置表!$O$1,MATCH(U1738,卡牌辅助配置表!M:M,0)-1,0)+(N1738-1)*OFFSET(卡牌辅助配置表!$P$1,MATCH(U1738,卡牌辅助配置表!M:M,0)-1,0))*M1738,2)</f>
        <v>44.84</v>
      </c>
      <c r="W1738" s="157">
        <f ca="1">ROUND(IF(R1738=0,0,IF(R1738=1,X1738*$W$1,IF(R1738=2,X1738*$W$1*buff的资质计算!$E$2,IF(R1738=3,X1738*$W$1*buff的资质计算!$E$3,0)))),2)</f>
        <v>10.65</v>
      </c>
      <c r="X1738" s="157">
        <f ca="1" t="shared" si="291"/>
        <v>35.5</v>
      </c>
      <c r="Y1738" s="157">
        <f ca="1" t="shared" ref="Y1738:Y1801" si="299">X1738+H1738</f>
        <v>45.5</v>
      </c>
      <c r="Z1738" s="304">
        <f ca="1" t="shared" si="292"/>
        <v>22.75</v>
      </c>
      <c r="AA1738" s="304">
        <f ca="1">OFFSET(卡牌辅助配置表!$AD$1,MATCH(AB1738,卡牌辅助配置表!AB:AB,0)-1,0)</f>
        <v>1298</v>
      </c>
      <c r="AB1738" s="304">
        <f ca="1" t="shared" si="297"/>
        <v>3112</v>
      </c>
      <c r="AC1738" s="153">
        <v>12</v>
      </c>
      <c r="AF1738" s="153" t="str">
        <f ca="1" t="shared" si="290"/>
        <v>30070011|</v>
      </c>
      <c r="AJ1738" s="205" t="str">
        <f ca="1" t="shared" si="298"/>
        <v>400023|3500|;</v>
      </c>
      <c r="AK1738" s="205">
        <f ca="1">OFFSET([1]item_type!$A$1,MATCH(Q1738,[1]item_type!$G:$G,0)-1,0)</f>
        <v>303007</v>
      </c>
      <c r="AL1738" s="205"/>
      <c r="AM1738" s="205">
        <f ca="1">IF(B1738=B1739,OFFSET(卡牌辅助配置表!$AE$1,MATCH(AB1738,卡牌辅助配置表!AB:AB,0),0),0)</f>
        <v>3500</v>
      </c>
      <c r="AN1738" s="153">
        <f ca="1" t="shared" si="293"/>
        <v>3007013</v>
      </c>
      <c r="AP1738" s="153">
        <f ca="1">IF(AC1738=0,0,IF(AC1738=12,0,OFFSET(effect!$N$1,MATCH(K1738,effect!M:M,0)-1,0)))</f>
        <v>0</v>
      </c>
    </row>
    <row r="1739" spans="1:42">
      <c r="A1739" s="153">
        <f ca="1" t="shared" si="294"/>
        <v>3007013</v>
      </c>
      <c r="B1739" s="91" t="s">
        <v>488</v>
      </c>
      <c r="C1739" s="186">
        <v>3</v>
      </c>
      <c r="D1739" s="186">
        <v>4</v>
      </c>
      <c r="E1739" s="165" t="s">
        <v>1069</v>
      </c>
      <c r="F1739" s="179" t="s">
        <v>864</v>
      </c>
      <c r="G1739" s="186">
        <f ca="1">OFFSET(卡牌辅助配置表!$C$1,MATCH(AC1739,卡牌辅助配置表!A:A,0)-1,0)</f>
        <v>0</v>
      </c>
      <c r="H1739" s="186">
        <f ca="1">OFFSET(skill!$Q$1,MATCH(B1739,skill!B:B,0)-1,0)</f>
        <v>10</v>
      </c>
      <c r="I1739" s="186"/>
      <c r="J1739" s="186">
        <f ca="1">OFFSET(card_type!$F$1,MATCH(Q1739,card_type!A:A,0)-1,0)</f>
        <v>3</v>
      </c>
      <c r="K1739" s="243">
        <f ca="1">OFFSET(card_type!$G$1,MATCH(Q1739,card_type!A:A,0)-1,0)</f>
        <v>1</v>
      </c>
      <c r="L1739" s="157">
        <v>2</v>
      </c>
      <c r="M1739" s="157">
        <v>2</v>
      </c>
      <c r="N1739" s="153">
        <f t="shared" si="295"/>
        <v>13</v>
      </c>
      <c r="O1739" s="157"/>
      <c r="P1739" s="157"/>
      <c r="Q1739" s="153">
        <f ca="1">OFFSET(card_type!$A$1,MATCH(card!B1739,card_type!B:B,0)-1,0)</f>
        <v>3007</v>
      </c>
      <c r="R1739" s="153">
        <v>1</v>
      </c>
      <c r="S1739" s="157">
        <f ca="1">ROUND(IF(R1739=0,0,IF(R1739=1,X1739*$S$1,IF(R1739=2,X1739*$S$1*buff的资质计算!$E$2,IF(R1739=3,X1739*$S$1*buff的资质计算!$E$3,0)))),0)*0</f>
        <v>0</v>
      </c>
      <c r="T1739" s="153">
        <v>3</v>
      </c>
      <c r="U1739" s="153">
        <f ca="1" t="shared" si="296"/>
        <v>31</v>
      </c>
      <c r="V1739" s="153">
        <f ca="1">ROUND((OFFSET(卡牌辅助配置表!$O$1,MATCH(U1739,卡牌辅助配置表!M:M,0)-1,0)+(N1739-1)*OFFSET(卡牌辅助配置表!$P$1,MATCH(U1739,卡牌辅助配置表!M:M,0)-1,0))*M1739,2)</f>
        <v>47.2</v>
      </c>
      <c r="W1739" s="157">
        <f ca="1">ROUND(IF(R1739=0,0,IF(R1739=1,X1739*$W$1,IF(R1739=2,X1739*$W$1*buff的资质计算!$E$2,IF(R1739=3,X1739*$W$1*buff的资质计算!$E$3,0)))),2)</f>
        <v>10.8</v>
      </c>
      <c r="X1739" s="157">
        <f ca="1" t="shared" si="291"/>
        <v>36</v>
      </c>
      <c r="Y1739" s="157">
        <f ca="1" t="shared" si="299"/>
        <v>46</v>
      </c>
      <c r="Z1739" s="304">
        <f ca="1" t="shared" si="292"/>
        <v>23</v>
      </c>
      <c r="AA1739" s="304">
        <f ca="1">OFFSET(卡牌辅助配置表!$AD$1,MATCH(AB1739,卡牌辅助配置表!AB:AB,0)-1,0)</f>
        <v>1447</v>
      </c>
      <c r="AB1739" s="304">
        <f ca="1" t="shared" si="297"/>
        <v>3113</v>
      </c>
      <c r="AC1739" s="153">
        <v>12</v>
      </c>
      <c r="AF1739" s="153" t="str">
        <f ca="1" t="shared" si="290"/>
        <v>30070011|</v>
      </c>
      <c r="AJ1739" s="205" t="str">
        <f ca="1" t="shared" si="298"/>
        <v>400023|3900|;</v>
      </c>
      <c r="AK1739" s="205">
        <f ca="1">OFFSET([1]item_type!$A$1,MATCH(Q1739,[1]item_type!$G:$G,0)-1,0)</f>
        <v>303007</v>
      </c>
      <c r="AL1739" s="205"/>
      <c r="AM1739" s="205">
        <f ca="1">IF(B1739=B1740,OFFSET(卡牌辅助配置表!$AE$1,MATCH(AB1739,卡牌辅助配置表!AB:AB,0),0),0)</f>
        <v>3900</v>
      </c>
      <c r="AN1739" s="153">
        <f ca="1" t="shared" si="293"/>
        <v>3007014</v>
      </c>
      <c r="AP1739" s="153">
        <f ca="1">IF(AC1739=0,0,IF(AC1739=12,0,OFFSET(effect!$N$1,MATCH(K1739,effect!M:M,0)-1,0)))</f>
        <v>0</v>
      </c>
    </row>
    <row r="1740" spans="1:42">
      <c r="A1740" s="153">
        <f ca="1" t="shared" si="294"/>
        <v>3007014</v>
      </c>
      <c r="B1740" s="91" t="s">
        <v>488</v>
      </c>
      <c r="C1740" s="186">
        <v>3</v>
      </c>
      <c r="D1740" s="186">
        <v>4</v>
      </c>
      <c r="E1740" s="165" t="s">
        <v>1069</v>
      </c>
      <c r="F1740" s="179" t="s">
        <v>864</v>
      </c>
      <c r="G1740" s="186">
        <f ca="1">OFFSET(卡牌辅助配置表!$C$1,MATCH(AC1740,卡牌辅助配置表!A:A,0)-1,0)</f>
        <v>0</v>
      </c>
      <c r="H1740" s="186">
        <f ca="1">OFFSET(skill!$Q$1,MATCH(B1740,skill!B:B,0)-1,0)</f>
        <v>10</v>
      </c>
      <c r="I1740" s="186"/>
      <c r="J1740" s="186">
        <f ca="1">OFFSET(card_type!$F$1,MATCH(Q1740,card_type!A:A,0)-1,0)</f>
        <v>3</v>
      </c>
      <c r="K1740" s="243">
        <f ca="1">OFFSET(card_type!$G$1,MATCH(Q1740,card_type!A:A,0)-1,0)</f>
        <v>1</v>
      </c>
      <c r="L1740" s="157">
        <v>2</v>
      </c>
      <c r="M1740" s="157">
        <v>2</v>
      </c>
      <c r="N1740" s="153">
        <f t="shared" si="295"/>
        <v>14</v>
      </c>
      <c r="O1740" s="157"/>
      <c r="P1740" s="157"/>
      <c r="Q1740" s="153">
        <f ca="1">OFFSET(card_type!$A$1,MATCH(card!B1740,card_type!B:B,0)-1,0)</f>
        <v>3007</v>
      </c>
      <c r="R1740" s="153">
        <v>1</v>
      </c>
      <c r="S1740" s="157">
        <f ca="1">ROUND(IF(R1740=0,0,IF(R1740=1,X1740*$S$1,IF(R1740=2,X1740*$S$1*buff的资质计算!$E$2,IF(R1740=3,X1740*$S$1*buff的资质计算!$E$3,0)))),0)*0</f>
        <v>0</v>
      </c>
      <c r="T1740" s="153">
        <v>3</v>
      </c>
      <c r="U1740" s="153">
        <f ca="1" t="shared" si="296"/>
        <v>31</v>
      </c>
      <c r="V1740" s="153">
        <f ca="1">ROUND((OFFSET(卡牌辅助配置表!$O$1,MATCH(U1740,卡牌辅助配置表!M:M,0)-1,0)+(N1740-1)*OFFSET(卡牌辅助配置表!$P$1,MATCH(U1740,卡牌辅助配置表!M:M,0)-1,0))*M1740,2)</f>
        <v>49.55</v>
      </c>
      <c r="W1740" s="157">
        <f ca="1">ROUND(IF(R1740=0,0,IF(R1740=1,X1740*$W$1,IF(R1740=2,X1740*$W$1*buff的资质计算!$E$2,IF(R1740=3,X1740*$W$1*buff的资质计算!$E$3,0)))),2)</f>
        <v>10.95</v>
      </c>
      <c r="X1740" s="157">
        <f ca="1" t="shared" si="291"/>
        <v>36.5</v>
      </c>
      <c r="Y1740" s="157">
        <f ca="1" t="shared" si="299"/>
        <v>46.5</v>
      </c>
      <c r="Z1740" s="304">
        <f ca="1" t="shared" si="292"/>
        <v>23.25</v>
      </c>
      <c r="AA1740" s="304">
        <f ca="1">OFFSET(卡牌辅助配置表!$AD$1,MATCH(AB1740,卡牌辅助配置表!AB:AB,0)-1,0)</f>
        <v>1596</v>
      </c>
      <c r="AB1740" s="304">
        <f ca="1" t="shared" si="297"/>
        <v>3114</v>
      </c>
      <c r="AC1740" s="153">
        <v>12</v>
      </c>
      <c r="AF1740" s="153" t="str">
        <f ca="1" t="shared" si="290"/>
        <v>30070011|</v>
      </c>
      <c r="AJ1740" s="205" t="str">
        <f ca="1" t="shared" si="298"/>
        <v>400023|4300|;</v>
      </c>
      <c r="AK1740" s="205">
        <f ca="1">OFFSET([1]item_type!$A$1,MATCH(Q1740,[1]item_type!$G:$G,0)-1,0)</f>
        <v>303007</v>
      </c>
      <c r="AL1740" s="205"/>
      <c r="AM1740" s="205">
        <f ca="1">IF(B1740=B1741,OFFSET(卡牌辅助配置表!$AE$1,MATCH(AB1740,卡牌辅助配置表!AB:AB,0),0),0)</f>
        <v>4300</v>
      </c>
      <c r="AN1740" s="153">
        <f ca="1" t="shared" si="293"/>
        <v>3007015</v>
      </c>
      <c r="AP1740" s="153">
        <f ca="1">IF(AC1740=0,0,IF(AC1740=12,0,OFFSET(effect!$N$1,MATCH(K1740,effect!M:M,0)-1,0)))</f>
        <v>0</v>
      </c>
    </row>
    <row r="1741" spans="1:42">
      <c r="A1741" s="153">
        <f ca="1" t="shared" si="294"/>
        <v>3007015</v>
      </c>
      <c r="B1741" s="91" t="s">
        <v>488</v>
      </c>
      <c r="C1741" s="186">
        <v>3</v>
      </c>
      <c r="D1741" s="186">
        <v>4</v>
      </c>
      <c r="E1741" s="165" t="s">
        <v>1069</v>
      </c>
      <c r="F1741" s="179" t="s">
        <v>864</v>
      </c>
      <c r="G1741" s="186">
        <f ca="1">OFFSET(卡牌辅助配置表!$C$1,MATCH(AC1741,卡牌辅助配置表!A:A,0)-1,0)</f>
        <v>0</v>
      </c>
      <c r="H1741" s="186">
        <f ca="1">OFFSET(skill!$Q$1,MATCH(B1741,skill!B:B,0)-1,0)</f>
        <v>10</v>
      </c>
      <c r="I1741" s="186"/>
      <c r="J1741" s="186">
        <f ca="1">OFFSET(card_type!$F$1,MATCH(Q1741,card_type!A:A,0)-1,0)</f>
        <v>3</v>
      </c>
      <c r="K1741" s="243">
        <f ca="1">OFFSET(card_type!$G$1,MATCH(Q1741,card_type!A:A,0)-1,0)</f>
        <v>1</v>
      </c>
      <c r="L1741" s="157">
        <v>2</v>
      </c>
      <c r="M1741" s="157">
        <v>2</v>
      </c>
      <c r="N1741" s="153">
        <f t="shared" si="295"/>
        <v>15</v>
      </c>
      <c r="O1741" s="157"/>
      <c r="P1741" s="157"/>
      <c r="Q1741" s="153">
        <f ca="1">OFFSET(card_type!$A$1,MATCH(card!B1741,card_type!B:B,0)-1,0)</f>
        <v>3007</v>
      </c>
      <c r="R1741" s="153">
        <v>1</v>
      </c>
      <c r="S1741" s="157">
        <f ca="1">ROUND(IF(R1741=0,0,IF(R1741=1,X1741*$S$1,IF(R1741=2,X1741*$S$1*buff的资质计算!$E$2,IF(R1741=3,X1741*$S$1*buff的资质计算!$E$3,0)))),0)*0</f>
        <v>0</v>
      </c>
      <c r="T1741" s="153">
        <v>3</v>
      </c>
      <c r="U1741" s="153">
        <f ca="1" t="shared" si="296"/>
        <v>31</v>
      </c>
      <c r="V1741" s="153">
        <f ca="1">ROUND((OFFSET(卡牌辅助配置表!$O$1,MATCH(U1741,卡牌辅助配置表!M:M,0)-1,0)+(N1741-1)*OFFSET(卡牌辅助配置表!$P$1,MATCH(U1741,卡牌辅助配置表!M:M,0)-1,0))*M1741,2)</f>
        <v>51.9</v>
      </c>
      <c r="W1741" s="157">
        <f ca="1">ROUND(IF(R1741=0,0,IF(R1741=1,X1741*$W$1,IF(R1741=2,X1741*$W$1*buff的资质计算!$E$2,IF(R1741=3,X1741*$W$1*buff的资质计算!$E$3,0)))),2)</f>
        <v>11.1</v>
      </c>
      <c r="X1741" s="157">
        <f ca="1" t="shared" si="291"/>
        <v>37</v>
      </c>
      <c r="Y1741" s="157">
        <f ca="1" t="shared" si="299"/>
        <v>47</v>
      </c>
      <c r="Z1741" s="304">
        <f ca="1" t="shared" si="292"/>
        <v>23.5</v>
      </c>
      <c r="AA1741" s="304">
        <f ca="1">OFFSET(卡牌辅助配置表!$AD$1,MATCH(AB1741,卡牌辅助配置表!AB:AB,0)-1,0)</f>
        <v>1745</v>
      </c>
      <c r="AB1741" s="304">
        <f ca="1" t="shared" si="297"/>
        <v>3115</v>
      </c>
      <c r="AC1741" s="153">
        <v>12</v>
      </c>
      <c r="AF1741" s="153" t="str">
        <f ca="1" t="shared" si="290"/>
        <v>30070011|</v>
      </c>
      <c r="AJ1741" s="205" t="str">
        <f ca="1" t="shared" si="298"/>
        <v>400023|4700|;</v>
      </c>
      <c r="AK1741" s="205">
        <f ca="1">OFFSET([1]item_type!$A$1,MATCH(Q1741,[1]item_type!$G:$G,0)-1,0)</f>
        <v>303007</v>
      </c>
      <c r="AL1741" s="205"/>
      <c r="AM1741" s="205">
        <f ca="1">IF(B1741=B1742,OFFSET(卡牌辅助配置表!$AE$1,MATCH(AB1741,卡牌辅助配置表!AB:AB,0),0),0)</f>
        <v>4700</v>
      </c>
      <c r="AN1741" s="153">
        <f ca="1" t="shared" si="293"/>
        <v>3007016</v>
      </c>
      <c r="AP1741" s="153">
        <f ca="1">IF(AC1741=0,0,IF(AC1741=12,0,OFFSET(effect!$N$1,MATCH(K1741,effect!M:M,0)-1,0)))</f>
        <v>0</v>
      </c>
    </row>
    <row r="1742" spans="1:42">
      <c r="A1742" s="153">
        <f ca="1" t="shared" si="294"/>
        <v>3007016</v>
      </c>
      <c r="B1742" s="91" t="s">
        <v>488</v>
      </c>
      <c r="C1742" s="186">
        <v>3</v>
      </c>
      <c r="D1742" s="186">
        <v>4</v>
      </c>
      <c r="E1742" s="165" t="s">
        <v>1069</v>
      </c>
      <c r="F1742" s="179" t="s">
        <v>864</v>
      </c>
      <c r="G1742" s="186">
        <f ca="1">OFFSET(卡牌辅助配置表!$C$1,MATCH(AC1742,卡牌辅助配置表!A:A,0)-1,0)</f>
        <v>0</v>
      </c>
      <c r="H1742" s="186">
        <f ca="1">OFFSET(skill!$Q$1,MATCH(B1742,skill!B:B,0)-1,0)</f>
        <v>10</v>
      </c>
      <c r="I1742" s="186"/>
      <c r="J1742" s="186">
        <f ca="1">OFFSET(card_type!$F$1,MATCH(Q1742,card_type!A:A,0)-1,0)</f>
        <v>3</v>
      </c>
      <c r="K1742" s="243">
        <f ca="1">OFFSET(card_type!$G$1,MATCH(Q1742,card_type!A:A,0)-1,0)</f>
        <v>1</v>
      </c>
      <c r="L1742" s="157">
        <v>2</v>
      </c>
      <c r="M1742" s="157">
        <v>2</v>
      </c>
      <c r="N1742" s="153">
        <f t="shared" si="295"/>
        <v>16</v>
      </c>
      <c r="O1742" s="157"/>
      <c r="P1742" s="157"/>
      <c r="Q1742" s="153">
        <f ca="1">OFFSET(card_type!$A$1,MATCH(card!B1742,card_type!B:B,0)-1,0)</f>
        <v>3007</v>
      </c>
      <c r="R1742" s="153">
        <v>1</v>
      </c>
      <c r="S1742" s="157">
        <f ca="1">ROUND(IF(R1742=0,0,IF(R1742=1,X1742*$S$1,IF(R1742=2,X1742*$S$1*buff的资质计算!$E$2,IF(R1742=3,X1742*$S$1*buff的资质计算!$E$3,0)))),0)*0</f>
        <v>0</v>
      </c>
      <c r="T1742" s="153">
        <v>3</v>
      </c>
      <c r="U1742" s="153">
        <f ca="1" t="shared" si="296"/>
        <v>31</v>
      </c>
      <c r="V1742" s="153">
        <f ca="1">ROUND((OFFSET(卡牌辅助配置表!$O$1,MATCH(U1742,卡牌辅助配置表!M:M,0)-1,0)+(N1742-1)*OFFSET(卡牌辅助配置表!$P$1,MATCH(U1742,卡牌辅助配置表!M:M,0)-1,0))*M1742,2)</f>
        <v>54.26</v>
      </c>
      <c r="W1742" s="157">
        <f ca="1">ROUND(IF(R1742=0,0,IF(R1742=1,X1742*$W$1,IF(R1742=2,X1742*$W$1*buff的资质计算!$E$2,IF(R1742=3,X1742*$W$1*buff的资质计算!$E$3,0)))),2)</f>
        <v>11.25</v>
      </c>
      <c r="X1742" s="157">
        <f ca="1" t="shared" si="291"/>
        <v>37.5</v>
      </c>
      <c r="Y1742" s="157">
        <f ca="1" t="shared" si="299"/>
        <v>47.5</v>
      </c>
      <c r="Z1742" s="304">
        <f ca="1" t="shared" si="292"/>
        <v>23.75</v>
      </c>
      <c r="AA1742" s="304">
        <f ca="1">OFFSET(卡牌辅助配置表!$AD$1,MATCH(AB1742,卡牌辅助配置表!AB:AB,0)-1,0)</f>
        <v>1894</v>
      </c>
      <c r="AB1742" s="304">
        <f ca="1" t="shared" si="297"/>
        <v>3116</v>
      </c>
      <c r="AC1742" s="153">
        <v>12</v>
      </c>
      <c r="AF1742" s="153" t="str">
        <f ca="1" t="shared" si="290"/>
        <v>30070011|</v>
      </c>
      <c r="AJ1742" s="205" t="str">
        <f ca="1" t="shared" si="298"/>
        <v>400023|5100|;</v>
      </c>
      <c r="AK1742" s="205">
        <f ca="1">OFFSET([1]item_type!$A$1,MATCH(Q1742,[1]item_type!$G:$G,0)-1,0)</f>
        <v>303007</v>
      </c>
      <c r="AL1742" s="205"/>
      <c r="AM1742" s="205">
        <f ca="1">IF(B1742=B1743,OFFSET(卡牌辅助配置表!$AE$1,MATCH(AB1742,卡牌辅助配置表!AB:AB,0),0),0)</f>
        <v>5100</v>
      </c>
      <c r="AN1742" s="153">
        <f ca="1" t="shared" si="293"/>
        <v>3007017</v>
      </c>
      <c r="AP1742" s="153">
        <f ca="1">IF(AC1742=0,0,IF(AC1742=12,0,OFFSET(effect!$N$1,MATCH(K1742,effect!M:M,0)-1,0)))</f>
        <v>0</v>
      </c>
    </row>
    <row r="1743" spans="1:42">
      <c r="A1743" s="153">
        <f ca="1" t="shared" si="294"/>
        <v>3007017</v>
      </c>
      <c r="B1743" s="91" t="s">
        <v>488</v>
      </c>
      <c r="C1743" s="186">
        <v>3</v>
      </c>
      <c r="D1743" s="186">
        <v>4</v>
      </c>
      <c r="E1743" s="165" t="s">
        <v>1069</v>
      </c>
      <c r="F1743" s="179" t="s">
        <v>864</v>
      </c>
      <c r="G1743" s="186">
        <f ca="1">OFFSET(卡牌辅助配置表!$C$1,MATCH(AC1743,卡牌辅助配置表!A:A,0)-1,0)</f>
        <v>0</v>
      </c>
      <c r="H1743" s="186">
        <f ca="1">OFFSET(skill!$Q$1,MATCH(B1743,skill!B:B,0)-1,0)</f>
        <v>10</v>
      </c>
      <c r="I1743" s="186"/>
      <c r="J1743" s="186">
        <f ca="1">OFFSET(card_type!$F$1,MATCH(Q1743,card_type!A:A,0)-1,0)</f>
        <v>3</v>
      </c>
      <c r="K1743" s="243">
        <f ca="1">OFFSET(card_type!$G$1,MATCH(Q1743,card_type!A:A,0)-1,0)</f>
        <v>1</v>
      </c>
      <c r="L1743" s="157">
        <v>2</v>
      </c>
      <c r="M1743" s="157">
        <v>2</v>
      </c>
      <c r="N1743" s="153">
        <f t="shared" si="295"/>
        <v>17</v>
      </c>
      <c r="O1743" s="157"/>
      <c r="P1743" s="157"/>
      <c r="Q1743" s="153">
        <f ca="1">OFFSET(card_type!$A$1,MATCH(card!B1743,card_type!B:B,0)-1,0)</f>
        <v>3007</v>
      </c>
      <c r="R1743" s="153">
        <v>1</v>
      </c>
      <c r="S1743" s="157">
        <f ca="1">ROUND(IF(R1743=0,0,IF(R1743=1,X1743*$S$1,IF(R1743=2,X1743*$S$1*buff的资质计算!$E$2,IF(R1743=3,X1743*$S$1*buff的资质计算!$E$3,0)))),0)*0</f>
        <v>0</v>
      </c>
      <c r="T1743" s="153">
        <v>3</v>
      </c>
      <c r="U1743" s="153">
        <f ca="1" t="shared" si="296"/>
        <v>31</v>
      </c>
      <c r="V1743" s="153">
        <f ca="1">ROUND((OFFSET(卡牌辅助配置表!$O$1,MATCH(U1743,卡牌辅助配置表!M:M,0)-1,0)+(N1743-1)*OFFSET(卡牌辅助配置表!$P$1,MATCH(U1743,卡牌辅助配置表!M:M,0)-1,0))*M1743,2)</f>
        <v>56.61</v>
      </c>
      <c r="W1743" s="157">
        <f ca="1">ROUND(IF(R1743=0,0,IF(R1743=1,X1743*$W$1,IF(R1743=2,X1743*$W$1*buff的资质计算!$E$2,IF(R1743=3,X1743*$W$1*buff的资质计算!$E$3,0)))),2)</f>
        <v>11.4</v>
      </c>
      <c r="X1743" s="157">
        <f ca="1" t="shared" si="291"/>
        <v>38</v>
      </c>
      <c r="Y1743" s="157">
        <f ca="1" t="shared" si="299"/>
        <v>48</v>
      </c>
      <c r="Z1743" s="304">
        <f ca="1" t="shared" si="292"/>
        <v>24</v>
      </c>
      <c r="AA1743" s="304">
        <f ca="1">OFFSET(卡牌辅助配置表!$AD$1,MATCH(AB1743,卡牌辅助配置表!AB:AB,0)-1,0)</f>
        <v>2043</v>
      </c>
      <c r="AB1743" s="304">
        <f ca="1" t="shared" si="297"/>
        <v>3117</v>
      </c>
      <c r="AC1743" s="153">
        <v>12</v>
      </c>
      <c r="AF1743" s="153" t="str">
        <f ca="1" t="shared" si="290"/>
        <v>30070011|</v>
      </c>
      <c r="AJ1743" s="205" t="str">
        <f ca="1" t="shared" si="298"/>
        <v>400023|5500|;</v>
      </c>
      <c r="AK1743" s="205">
        <f ca="1">OFFSET([1]item_type!$A$1,MATCH(Q1743,[1]item_type!$G:$G,0)-1,0)</f>
        <v>303007</v>
      </c>
      <c r="AL1743" s="205"/>
      <c r="AM1743" s="205">
        <f ca="1">IF(B1743=B1744,OFFSET(卡牌辅助配置表!$AE$1,MATCH(AB1743,卡牌辅助配置表!AB:AB,0),0),0)</f>
        <v>5500</v>
      </c>
      <c r="AN1743" s="153">
        <f ca="1" t="shared" si="293"/>
        <v>3007018</v>
      </c>
      <c r="AP1743" s="153">
        <f ca="1">IF(AC1743=0,0,IF(AC1743=12,0,OFFSET(effect!$N$1,MATCH(K1743,effect!M:M,0)-1,0)))</f>
        <v>0</v>
      </c>
    </row>
    <row r="1744" spans="1:42">
      <c r="A1744" s="153">
        <f ca="1" t="shared" si="294"/>
        <v>3007018</v>
      </c>
      <c r="B1744" s="91" t="s">
        <v>488</v>
      </c>
      <c r="C1744" s="186">
        <v>3</v>
      </c>
      <c r="D1744" s="186">
        <v>4</v>
      </c>
      <c r="E1744" s="165" t="s">
        <v>1069</v>
      </c>
      <c r="F1744" s="179" t="s">
        <v>864</v>
      </c>
      <c r="G1744" s="186">
        <f ca="1">OFFSET(卡牌辅助配置表!$C$1,MATCH(AC1744,卡牌辅助配置表!A:A,0)-1,0)</f>
        <v>0</v>
      </c>
      <c r="H1744" s="186">
        <f ca="1">OFFSET(skill!$Q$1,MATCH(B1744,skill!B:B,0)-1,0)</f>
        <v>10</v>
      </c>
      <c r="I1744" s="186"/>
      <c r="J1744" s="186">
        <f ca="1">OFFSET(card_type!$F$1,MATCH(Q1744,card_type!A:A,0)-1,0)</f>
        <v>3</v>
      </c>
      <c r="K1744" s="243">
        <f ca="1">OFFSET(card_type!$G$1,MATCH(Q1744,card_type!A:A,0)-1,0)</f>
        <v>1</v>
      </c>
      <c r="L1744" s="157">
        <v>2</v>
      </c>
      <c r="M1744" s="157">
        <v>2</v>
      </c>
      <c r="N1744" s="153">
        <f t="shared" si="295"/>
        <v>18</v>
      </c>
      <c r="O1744" s="157"/>
      <c r="P1744" s="157"/>
      <c r="Q1744" s="153">
        <f ca="1">OFFSET(card_type!$A$1,MATCH(card!B1744,card_type!B:B,0)-1,0)</f>
        <v>3007</v>
      </c>
      <c r="R1744" s="153">
        <v>1</v>
      </c>
      <c r="S1744" s="157">
        <f ca="1">ROUND(IF(R1744=0,0,IF(R1744=1,X1744*$S$1,IF(R1744=2,X1744*$S$1*buff的资质计算!$E$2,IF(R1744=3,X1744*$S$1*buff的资质计算!$E$3,0)))),0)*0</f>
        <v>0</v>
      </c>
      <c r="T1744" s="153">
        <v>3</v>
      </c>
      <c r="U1744" s="153">
        <f ca="1" t="shared" si="296"/>
        <v>31</v>
      </c>
      <c r="V1744" s="153">
        <f ca="1">ROUND((OFFSET(卡牌辅助配置表!$O$1,MATCH(U1744,卡牌辅助配置表!M:M,0)-1,0)+(N1744-1)*OFFSET(卡牌辅助配置表!$P$1,MATCH(U1744,卡牌辅助配置表!M:M,0)-1,0))*M1744,2)</f>
        <v>58.97</v>
      </c>
      <c r="W1744" s="157">
        <f ca="1">ROUND(IF(R1744=0,0,IF(R1744=1,X1744*$W$1,IF(R1744=2,X1744*$W$1*buff的资质计算!$E$2,IF(R1744=3,X1744*$W$1*buff的资质计算!$E$3,0)))),2)</f>
        <v>11.55</v>
      </c>
      <c r="X1744" s="157">
        <f ca="1" t="shared" si="291"/>
        <v>38.5</v>
      </c>
      <c r="Y1744" s="157">
        <f ca="1" t="shared" si="299"/>
        <v>48.5</v>
      </c>
      <c r="Z1744" s="304">
        <f ca="1" t="shared" si="292"/>
        <v>24.25</v>
      </c>
      <c r="AA1744" s="304">
        <f ca="1">OFFSET(卡牌辅助配置表!$AD$1,MATCH(AB1744,卡牌辅助配置表!AB:AB,0)-1,0)</f>
        <v>2192</v>
      </c>
      <c r="AB1744" s="304">
        <f ca="1" t="shared" si="297"/>
        <v>3118</v>
      </c>
      <c r="AC1744" s="153">
        <v>12</v>
      </c>
      <c r="AF1744" s="153" t="str">
        <f ca="1" t="shared" si="290"/>
        <v>30070011|</v>
      </c>
      <c r="AJ1744" s="205" t="str">
        <f ca="1" t="shared" si="298"/>
        <v>400023|5900|;</v>
      </c>
      <c r="AK1744" s="205">
        <f ca="1">OFFSET([1]item_type!$A$1,MATCH(Q1744,[1]item_type!$G:$G,0)-1,0)</f>
        <v>303007</v>
      </c>
      <c r="AL1744" s="205"/>
      <c r="AM1744" s="205">
        <f ca="1">IF(B1744=B1745,OFFSET(卡牌辅助配置表!$AE$1,MATCH(AB1744,卡牌辅助配置表!AB:AB,0),0),0)</f>
        <v>5900</v>
      </c>
      <c r="AN1744" s="153">
        <f ca="1" t="shared" si="293"/>
        <v>3007019</v>
      </c>
      <c r="AP1744" s="153">
        <f ca="1">IF(AC1744=0,0,IF(AC1744=12,0,OFFSET(effect!$N$1,MATCH(K1744,effect!M:M,0)-1,0)))</f>
        <v>0</v>
      </c>
    </row>
    <row r="1745" spans="1:42">
      <c r="A1745" s="153">
        <f ca="1" t="shared" si="294"/>
        <v>3007019</v>
      </c>
      <c r="B1745" s="91" t="s">
        <v>488</v>
      </c>
      <c r="C1745" s="186">
        <v>3</v>
      </c>
      <c r="D1745" s="186">
        <v>4</v>
      </c>
      <c r="E1745" s="165" t="s">
        <v>1069</v>
      </c>
      <c r="F1745" s="179" t="s">
        <v>864</v>
      </c>
      <c r="G1745" s="186">
        <f ca="1">OFFSET(卡牌辅助配置表!$C$1,MATCH(AC1745,卡牌辅助配置表!A:A,0)-1,0)</f>
        <v>0</v>
      </c>
      <c r="H1745" s="186">
        <f ca="1">OFFSET(skill!$Q$1,MATCH(B1745,skill!B:B,0)-1,0)</f>
        <v>10</v>
      </c>
      <c r="I1745" s="186"/>
      <c r="J1745" s="186">
        <f ca="1">OFFSET(card_type!$F$1,MATCH(Q1745,card_type!A:A,0)-1,0)</f>
        <v>3</v>
      </c>
      <c r="K1745" s="243">
        <f ca="1">OFFSET(card_type!$G$1,MATCH(Q1745,card_type!A:A,0)-1,0)</f>
        <v>1</v>
      </c>
      <c r="L1745" s="157">
        <v>2</v>
      </c>
      <c r="M1745" s="157">
        <v>2</v>
      </c>
      <c r="N1745" s="153">
        <f t="shared" si="295"/>
        <v>19</v>
      </c>
      <c r="O1745" s="157"/>
      <c r="P1745" s="157"/>
      <c r="Q1745" s="153">
        <f ca="1">OFFSET(card_type!$A$1,MATCH(card!B1745,card_type!B:B,0)-1,0)</f>
        <v>3007</v>
      </c>
      <c r="R1745" s="153">
        <v>1</v>
      </c>
      <c r="S1745" s="157">
        <f ca="1">ROUND(IF(R1745=0,0,IF(R1745=1,X1745*$S$1,IF(R1745=2,X1745*$S$1*buff的资质计算!$E$2,IF(R1745=3,X1745*$S$1*buff的资质计算!$E$3,0)))),0)*0</f>
        <v>0</v>
      </c>
      <c r="T1745" s="153">
        <v>3</v>
      </c>
      <c r="U1745" s="153">
        <f ca="1" t="shared" si="296"/>
        <v>31</v>
      </c>
      <c r="V1745" s="153">
        <f ca="1">ROUND((OFFSET(卡牌辅助配置表!$O$1,MATCH(U1745,卡牌辅助配置表!M:M,0)-1,0)+(N1745-1)*OFFSET(卡牌辅助配置表!$P$1,MATCH(U1745,卡牌辅助配置表!M:M,0)-1,0))*M1745,2)</f>
        <v>61.32</v>
      </c>
      <c r="W1745" s="157">
        <f ca="1">ROUND(IF(R1745=0,0,IF(R1745=1,X1745*$W$1,IF(R1745=2,X1745*$W$1*buff的资质计算!$E$2,IF(R1745=3,X1745*$W$1*buff的资质计算!$E$3,0)))),2)</f>
        <v>11.7</v>
      </c>
      <c r="X1745" s="157">
        <f ca="1" t="shared" si="291"/>
        <v>39</v>
      </c>
      <c r="Y1745" s="157">
        <f ca="1" t="shared" si="299"/>
        <v>49</v>
      </c>
      <c r="Z1745" s="304">
        <f ca="1" t="shared" si="292"/>
        <v>24.5</v>
      </c>
      <c r="AA1745" s="304">
        <f ca="1">OFFSET(卡牌辅助配置表!$AD$1,MATCH(AB1745,卡牌辅助配置表!AB:AB,0)-1,0)</f>
        <v>2341</v>
      </c>
      <c r="AB1745" s="304">
        <f ca="1" t="shared" si="297"/>
        <v>3119</v>
      </c>
      <c r="AC1745" s="153">
        <v>12</v>
      </c>
      <c r="AF1745" s="153" t="str">
        <f ca="1" t="shared" si="290"/>
        <v>30070011|</v>
      </c>
      <c r="AJ1745" s="205" t="str">
        <f ca="1" t="shared" si="298"/>
        <v>303007|20|;400023|6300|;</v>
      </c>
      <c r="AK1745" s="205">
        <f ca="1">OFFSET([1]item_type!$A$1,MATCH(Q1745,[1]item_type!$G:$G,0)-1,0)</f>
        <v>303007</v>
      </c>
      <c r="AL1745" s="205">
        <v>20</v>
      </c>
      <c r="AM1745" s="205">
        <f ca="1">IF(B1745=B1746,OFFSET(卡牌辅助配置表!$AE$1,MATCH(AB1745,卡牌辅助配置表!AB:AB,0),0),0)</f>
        <v>6300</v>
      </c>
      <c r="AN1745" s="153">
        <f ca="1" t="shared" si="293"/>
        <v>3007020</v>
      </c>
      <c r="AP1745" s="153">
        <f ca="1">IF(AC1745=0,0,IF(AC1745=12,0,OFFSET(effect!$N$1,MATCH(K1745,effect!M:M,0)-1,0)))</f>
        <v>0</v>
      </c>
    </row>
    <row r="1746" spans="1:42">
      <c r="A1746" s="153">
        <f ca="1" t="shared" si="294"/>
        <v>3007020</v>
      </c>
      <c r="B1746" s="91" t="s">
        <v>488</v>
      </c>
      <c r="C1746" s="186">
        <v>3</v>
      </c>
      <c r="D1746" s="186">
        <v>4</v>
      </c>
      <c r="E1746" s="165" t="s">
        <v>1069</v>
      </c>
      <c r="F1746" s="179" t="s">
        <v>864</v>
      </c>
      <c r="G1746" s="186">
        <f ca="1">OFFSET(卡牌辅助配置表!$C$1,MATCH(AC1746,卡牌辅助配置表!A:A,0)-1,0)</f>
        <v>0</v>
      </c>
      <c r="H1746" s="186">
        <f ca="1">OFFSET(skill!$Q$1,MATCH(B1746,skill!B:B,0)-1,0)</f>
        <v>10</v>
      </c>
      <c r="I1746" s="186"/>
      <c r="J1746" s="186">
        <f ca="1">OFFSET(card_type!$F$1,MATCH(Q1746,card_type!A:A,0)-1,0)</f>
        <v>3</v>
      </c>
      <c r="K1746" s="243">
        <f ca="1">OFFSET(card_type!$G$1,MATCH(Q1746,card_type!A:A,0)-1,0)</f>
        <v>1</v>
      </c>
      <c r="L1746" s="157">
        <v>2</v>
      </c>
      <c r="M1746" s="157">
        <v>2</v>
      </c>
      <c r="N1746" s="153">
        <f t="shared" si="295"/>
        <v>20</v>
      </c>
      <c r="O1746" s="157"/>
      <c r="P1746" s="157"/>
      <c r="Q1746" s="153">
        <f ca="1">OFFSET(card_type!$A$1,MATCH(card!B1746,card_type!B:B,0)-1,0)</f>
        <v>3007</v>
      </c>
      <c r="R1746" s="153">
        <v>1</v>
      </c>
      <c r="S1746" s="157">
        <f ca="1">ROUND(IF(R1746=0,0,IF(R1746=1,X1746*$S$1,IF(R1746=2,X1746*$S$1*buff的资质计算!$E$2,IF(R1746=3,X1746*$S$1*buff的资质计算!$E$3,0)))),0)*0</f>
        <v>0</v>
      </c>
      <c r="T1746" s="153">
        <v>3</v>
      </c>
      <c r="U1746" s="153">
        <f ca="1" t="shared" si="296"/>
        <v>31</v>
      </c>
      <c r="V1746" s="153">
        <f ca="1">ROUND((OFFSET(卡牌辅助配置表!$O$1,MATCH(U1746,卡牌辅助配置表!M:M,0)-1,0)+(N1746-1)*OFFSET(卡牌辅助配置表!$P$1,MATCH(U1746,卡牌辅助配置表!M:M,0)-1,0))*M1746,2)</f>
        <v>63.67</v>
      </c>
      <c r="W1746" s="157">
        <f ca="1">ROUND(IF(R1746=0,0,IF(R1746=1,X1746*$W$1,IF(R1746=2,X1746*$W$1*buff的资质计算!$E$2,IF(R1746=3,X1746*$W$1*buff的资质计算!$E$3,0)))),2)</f>
        <v>11.85</v>
      </c>
      <c r="X1746" s="157">
        <f ca="1" t="shared" si="291"/>
        <v>39.5</v>
      </c>
      <c r="Y1746" s="157">
        <f ca="1" t="shared" si="299"/>
        <v>49.5</v>
      </c>
      <c r="Z1746" s="304">
        <f ca="1" t="shared" si="292"/>
        <v>24.75</v>
      </c>
      <c r="AA1746" s="304">
        <f ca="1">OFFSET(卡牌辅助配置表!$AD$1,MATCH(AB1746,卡牌辅助配置表!AB:AB,0)-1,0)</f>
        <v>2490</v>
      </c>
      <c r="AB1746" s="304">
        <f ca="1" t="shared" si="297"/>
        <v>3120</v>
      </c>
      <c r="AC1746" s="153">
        <v>12</v>
      </c>
      <c r="AF1746" s="153" t="str">
        <f ca="1" t="shared" si="290"/>
        <v>30070011|</v>
      </c>
      <c r="AJ1746" s="205" t="str">
        <f ca="1" t="shared" si="298"/>
        <v>400023|7100|;</v>
      </c>
      <c r="AK1746" s="205">
        <f ca="1">OFFSET([1]item_type!$A$1,MATCH(Q1746,[1]item_type!$G:$G,0)-1,0)</f>
        <v>303007</v>
      </c>
      <c r="AL1746" s="205"/>
      <c r="AM1746" s="205">
        <f ca="1">IF(B1746=B1747,OFFSET(卡牌辅助配置表!$AE$1,MATCH(AB1746,卡牌辅助配置表!AB:AB,0),0),0)</f>
        <v>7100</v>
      </c>
      <c r="AN1746" s="153">
        <f ca="1" t="shared" si="293"/>
        <v>3007021</v>
      </c>
      <c r="AP1746" s="153">
        <f ca="1">IF(AC1746=0,0,IF(AC1746=12,0,OFFSET(effect!$N$1,MATCH(K1746,effect!M:M,0)-1,0)))</f>
        <v>0</v>
      </c>
    </row>
    <row r="1747" spans="1:42">
      <c r="A1747" s="153">
        <f ca="1" t="shared" si="294"/>
        <v>3007021</v>
      </c>
      <c r="B1747" s="91" t="s">
        <v>488</v>
      </c>
      <c r="C1747" s="186">
        <v>3</v>
      </c>
      <c r="D1747" s="186">
        <v>4</v>
      </c>
      <c r="E1747" s="165" t="s">
        <v>1069</v>
      </c>
      <c r="F1747" s="179" t="s">
        <v>864</v>
      </c>
      <c r="G1747" s="186">
        <f ca="1">OFFSET(卡牌辅助配置表!$C$1,MATCH(AC1747,卡牌辅助配置表!A:A,0)-1,0)</f>
        <v>0</v>
      </c>
      <c r="H1747" s="186">
        <f ca="1">OFFSET(skill!$Q$1,MATCH(B1747,skill!B:B,0)-1,0)</f>
        <v>10</v>
      </c>
      <c r="I1747" s="186"/>
      <c r="J1747" s="186">
        <f ca="1">OFFSET(card_type!$F$1,MATCH(Q1747,card_type!A:A,0)-1,0)</f>
        <v>3</v>
      </c>
      <c r="K1747" s="243">
        <f ca="1">OFFSET(card_type!$G$1,MATCH(Q1747,card_type!A:A,0)-1,0)</f>
        <v>1</v>
      </c>
      <c r="L1747" s="157">
        <v>2</v>
      </c>
      <c r="M1747" s="157">
        <v>2</v>
      </c>
      <c r="N1747" s="153">
        <f t="shared" si="295"/>
        <v>21</v>
      </c>
      <c r="O1747" s="157"/>
      <c r="P1747" s="157"/>
      <c r="Q1747" s="153">
        <f ca="1">OFFSET(card_type!$A$1,MATCH(card!B1747,card_type!B:B,0)-1,0)</f>
        <v>3007</v>
      </c>
      <c r="R1747" s="153">
        <v>1</v>
      </c>
      <c r="S1747" s="157">
        <f ca="1">ROUND(IF(R1747=0,0,IF(R1747=1,X1747*$S$1,IF(R1747=2,X1747*$S$1*buff的资质计算!$E$2,IF(R1747=3,X1747*$S$1*buff的资质计算!$E$3,0)))),0)*0</f>
        <v>0</v>
      </c>
      <c r="T1747" s="153">
        <v>3</v>
      </c>
      <c r="U1747" s="153">
        <f ca="1" t="shared" si="296"/>
        <v>31</v>
      </c>
      <c r="V1747" s="153">
        <f ca="1">ROUND((OFFSET(卡牌辅助配置表!$O$1,MATCH(U1747,卡牌辅助配置表!M:M,0)-1,0)+(N1747-1)*OFFSET(卡牌辅助配置表!$P$1,MATCH(U1747,卡牌辅助配置表!M:M,0)-1,0))*M1747,2)</f>
        <v>66.03</v>
      </c>
      <c r="W1747" s="157">
        <f ca="1">ROUND(IF(R1747=0,0,IF(R1747=1,X1747*$W$1,IF(R1747=2,X1747*$W$1*buff的资质计算!$E$2,IF(R1747=3,X1747*$W$1*buff的资质计算!$E$3,0)))),2)</f>
        <v>12</v>
      </c>
      <c r="X1747" s="157">
        <f ca="1" t="shared" si="291"/>
        <v>40</v>
      </c>
      <c r="Y1747" s="157">
        <f ca="1" t="shared" si="299"/>
        <v>50</v>
      </c>
      <c r="Z1747" s="304">
        <f ca="1" t="shared" si="292"/>
        <v>25</v>
      </c>
      <c r="AA1747" s="304">
        <f ca="1">OFFSET(卡牌辅助配置表!$AD$1,MATCH(AB1747,卡牌辅助配置表!AB:AB,0)-1,0)</f>
        <v>2689</v>
      </c>
      <c r="AB1747" s="304">
        <f ca="1" t="shared" si="297"/>
        <v>3121</v>
      </c>
      <c r="AC1747" s="153">
        <v>12</v>
      </c>
      <c r="AF1747" s="153" t="str">
        <f ca="1" t="shared" si="290"/>
        <v>30070011|</v>
      </c>
      <c r="AJ1747" s="205" t="str">
        <f ca="1" t="shared" si="298"/>
        <v>400023|7900|;</v>
      </c>
      <c r="AK1747" s="205">
        <f ca="1">OFFSET([1]item_type!$A$1,MATCH(Q1747,[1]item_type!$G:$G,0)-1,0)</f>
        <v>303007</v>
      </c>
      <c r="AL1747" s="205"/>
      <c r="AM1747" s="205">
        <f ca="1">IF(B1747=B1748,OFFSET(卡牌辅助配置表!$AE$1,MATCH(AB1747,卡牌辅助配置表!AB:AB,0),0),0)</f>
        <v>7900</v>
      </c>
      <c r="AN1747" s="153">
        <f ca="1" t="shared" si="293"/>
        <v>3007022</v>
      </c>
      <c r="AP1747" s="153">
        <f ca="1">IF(AC1747=0,0,IF(AC1747=12,0,OFFSET(effect!$N$1,MATCH(K1747,effect!M:M,0)-1,0)))</f>
        <v>0</v>
      </c>
    </row>
    <row r="1748" spans="1:42">
      <c r="A1748" s="153">
        <f ca="1" t="shared" si="294"/>
        <v>3007022</v>
      </c>
      <c r="B1748" s="91" t="s">
        <v>488</v>
      </c>
      <c r="C1748" s="186">
        <v>3</v>
      </c>
      <c r="D1748" s="186">
        <v>4</v>
      </c>
      <c r="E1748" s="165" t="s">
        <v>1069</v>
      </c>
      <c r="F1748" s="179" t="s">
        <v>864</v>
      </c>
      <c r="G1748" s="186">
        <f ca="1">OFFSET(卡牌辅助配置表!$C$1,MATCH(AC1748,卡牌辅助配置表!A:A,0)-1,0)</f>
        <v>0</v>
      </c>
      <c r="H1748" s="186">
        <f ca="1">OFFSET(skill!$Q$1,MATCH(B1748,skill!B:B,0)-1,0)</f>
        <v>10</v>
      </c>
      <c r="I1748" s="186"/>
      <c r="J1748" s="186">
        <f ca="1">OFFSET(card_type!$F$1,MATCH(Q1748,card_type!A:A,0)-1,0)</f>
        <v>3</v>
      </c>
      <c r="K1748" s="243">
        <f ca="1">OFFSET(card_type!$G$1,MATCH(Q1748,card_type!A:A,0)-1,0)</f>
        <v>1</v>
      </c>
      <c r="L1748" s="157">
        <v>2</v>
      </c>
      <c r="M1748" s="157">
        <v>2</v>
      </c>
      <c r="N1748" s="153">
        <f t="shared" si="295"/>
        <v>22</v>
      </c>
      <c r="O1748" s="157"/>
      <c r="P1748" s="157"/>
      <c r="Q1748" s="153">
        <f ca="1">OFFSET(card_type!$A$1,MATCH(card!B1748,card_type!B:B,0)-1,0)</f>
        <v>3007</v>
      </c>
      <c r="R1748" s="153">
        <v>1</v>
      </c>
      <c r="S1748" s="157">
        <f ca="1">ROUND(IF(R1748=0,0,IF(R1748=1,X1748*$S$1,IF(R1748=2,X1748*$S$1*buff的资质计算!$E$2,IF(R1748=3,X1748*$S$1*buff的资质计算!$E$3,0)))),0)*0</f>
        <v>0</v>
      </c>
      <c r="T1748" s="153">
        <v>3</v>
      </c>
      <c r="U1748" s="153">
        <f ca="1" t="shared" si="296"/>
        <v>31</v>
      </c>
      <c r="V1748" s="153">
        <f ca="1">ROUND((OFFSET(卡牌辅助配置表!$O$1,MATCH(U1748,卡牌辅助配置表!M:M,0)-1,0)+(N1748-1)*OFFSET(卡牌辅助配置表!$P$1,MATCH(U1748,卡牌辅助配置表!M:M,0)-1,0))*M1748,2)</f>
        <v>68.38</v>
      </c>
      <c r="W1748" s="157">
        <f ca="1">ROUND(IF(R1748=0,0,IF(R1748=1,X1748*$W$1,IF(R1748=2,X1748*$W$1*buff的资质计算!$E$2,IF(R1748=3,X1748*$W$1*buff的资质计算!$E$3,0)))),2)</f>
        <v>12.15</v>
      </c>
      <c r="X1748" s="157">
        <f ca="1" t="shared" si="291"/>
        <v>40.5</v>
      </c>
      <c r="Y1748" s="157">
        <f ca="1" t="shared" si="299"/>
        <v>50.5</v>
      </c>
      <c r="Z1748" s="304">
        <f ca="1" t="shared" si="292"/>
        <v>25.25</v>
      </c>
      <c r="AA1748" s="304">
        <f ca="1">OFFSET(卡牌辅助配置表!$AD$1,MATCH(AB1748,卡牌辅助配置表!AB:AB,0)-1,0)</f>
        <v>2888</v>
      </c>
      <c r="AB1748" s="304">
        <f ca="1" t="shared" si="297"/>
        <v>3122</v>
      </c>
      <c r="AC1748" s="153">
        <v>12</v>
      </c>
      <c r="AF1748" s="153" t="str">
        <f ca="1" t="shared" si="290"/>
        <v>30070011|</v>
      </c>
      <c r="AJ1748" s="205" t="str">
        <f ca="1" t="shared" si="298"/>
        <v>400023|8700|;</v>
      </c>
      <c r="AK1748" s="205">
        <f ca="1">OFFSET([1]item_type!$A$1,MATCH(Q1748,[1]item_type!$G:$G,0)-1,0)</f>
        <v>303007</v>
      </c>
      <c r="AL1748" s="205"/>
      <c r="AM1748" s="205">
        <f ca="1">IF(B1748=B1749,OFFSET(卡牌辅助配置表!$AE$1,MATCH(AB1748,卡牌辅助配置表!AB:AB,0),0),0)</f>
        <v>8700</v>
      </c>
      <c r="AN1748" s="153">
        <f ca="1" t="shared" si="293"/>
        <v>3007023</v>
      </c>
      <c r="AP1748" s="153">
        <f ca="1">IF(AC1748=0,0,IF(AC1748=12,0,OFFSET(effect!$N$1,MATCH(K1748,effect!M:M,0)-1,0)))</f>
        <v>0</v>
      </c>
    </row>
    <row r="1749" spans="1:42">
      <c r="A1749" s="153">
        <f ca="1" t="shared" si="294"/>
        <v>3007023</v>
      </c>
      <c r="B1749" s="91" t="s">
        <v>488</v>
      </c>
      <c r="C1749" s="186">
        <v>3</v>
      </c>
      <c r="D1749" s="186">
        <v>4</v>
      </c>
      <c r="E1749" s="165" t="s">
        <v>1069</v>
      </c>
      <c r="F1749" s="179" t="s">
        <v>864</v>
      </c>
      <c r="G1749" s="186">
        <f ca="1">OFFSET(卡牌辅助配置表!$C$1,MATCH(AC1749,卡牌辅助配置表!A:A,0)-1,0)</f>
        <v>0</v>
      </c>
      <c r="H1749" s="186">
        <f ca="1">OFFSET(skill!$Q$1,MATCH(B1749,skill!B:B,0)-1,0)</f>
        <v>10</v>
      </c>
      <c r="I1749" s="186"/>
      <c r="J1749" s="186">
        <f ca="1">OFFSET(card_type!$F$1,MATCH(Q1749,card_type!A:A,0)-1,0)</f>
        <v>3</v>
      </c>
      <c r="K1749" s="243">
        <f ca="1">OFFSET(card_type!$G$1,MATCH(Q1749,card_type!A:A,0)-1,0)</f>
        <v>1</v>
      </c>
      <c r="L1749" s="157">
        <v>2</v>
      </c>
      <c r="M1749" s="157">
        <v>2</v>
      </c>
      <c r="N1749" s="153">
        <f t="shared" si="295"/>
        <v>23</v>
      </c>
      <c r="O1749" s="157"/>
      <c r="P1749" s="157"/>
      <c r="Q1749" s="153">
        <f ca="1">OFFSET(card_type!$A$1,MATCH(card!B1749,card_type!B:B,0)-1,0)</f>
        <v>3007</v>
      </c>
      <c r="R1749" s="153">
        <v>1</v>
      </c>
      <c r="S1749" s="157">
        <f ca="1">ROUND(IF(R1749=0,0,IF(R1749=1,X1749*$S$1,IF(R1749=2,X1749*$S$1*buff的资质计算!$E$2,IF(R1749=3,X1749*$S$1*buff的资质计算!$E$3,0)))),0)*0</f>
        <v>0</v>
      </c>
      <c r="T1749" s="153">
        <v>3</v>
      </c>
      <c r="U1749" s="153">
        <f ca="1" t="shared" si="296"/>
        <v>31</v>
      </c>
      <c r="V1749" s="153">
        <f ca="1">ROUND((OFFSET(卡牌辅助配置表!$O$1,MATCH(U1749,卡牌辅助配置表!M:M,0)-1,0)+(N1749-1)*OFFSET(卡牌辅助配置表!$P$1,MATCH(U1749,卡牌辅助配置表!M:M,0)-1,0))*M1749,2)</f>
        <v>70.74</v>
      </c>
      <c r="W1749" s="157">
        <f ca="1">ROUND(IF(R1749=0,0,IF(R1749=1,X1749*$W$1,IF(R1749=2,X1749*$W$1*buff的资质计算!$E$2,IF(R1749=3,X1749*$W$1*buff的资质计算!$E$3,0)))),2)</f>
        <v>12.3</v>
      </c>
      <c r="X1749" s="157">
        <f ca="1" t="shared" si="291"/>
        <v>41</v>
      </c>
      <c r="Y1749" s="157">
        <f ca="1" t="shared" si="299"/>
        <v>51</v>
      </c>
      <c r="Z1749" s="304">
        <f ca="1" t="shared" si="292"/>
        <v>25.5</v>
      </c>
      <c r="AA1749" s="304">
        <f ca="1">OFFSET(卡牌辅助配置表!$AD$1,MATCH(AB1749,卡牌辅助配置表!AB:AB,0)-1,0)</f>
        <v>3087</v>
      </c>
      <c r="AB1749" s="304">
        <f ca="1" t="shared" si="297"/>
        <v>3123</v>
      </c>
      <c r="AC1749" s="153">
        <v>12</v>
      </c>
      <c r="AF1749" s="153" t="str">
        <f ca="1" t="shared" si="290"/>
        <v>30070011|</v>
      </c>
      <c r="AJ1749" s="205" t="str">
        <f ca="1" t="shared" si="298"/>
        <v>400023|9500|;</v>
      </c>
      <c r="AK1749" s="205">
        <f ca="1">OFFSET([1]item_type!$A$1,MATCH(Q1749,[1]item_type!$G:$G,0)-1,0)</f>
        <v>303007</v>
      </c>
      <c r="AL1749" s="205"/>
      <c r="AM1749" s="205">
        <f ca="1">IF(B1749=B1750,OFFSET(卡牌辅助配置表!$AE$1,MATCH(AB1749,卡牌辅助配置表!AB:AB,0),0),0)</f>
        <v>9500</v>
      </c>
      <c r="AN1749" s="153">
        <f ca="1" t="shared" si="293"/>
        <v>3007024</v>
      </c>
      <c r="AP1749" s="153">
        <f ca="1">IF(AC1749=0,0,IF(AC1749=12,0,OFFSET(effect!$N$1,MATCH(K1749,effect!M:M,0)-1,0)))</f>
        <v>0</v>
      </c>
    </row>
    <row r="1750" spans="1:42">
      <c r="A1750" s="153">
        <f ca="1" t="shared" si="294"/>
        <v>3007024</v>
      </c>
      <c r="B1750" s="91" t="s">
        <v>488</v>
      </c>
      <c r="C1750" s="186">
        <v>3</v>
      </c>
      <c r="D1750" s="186">
        <v>4</v>
      </c>
      <c r="E1750" s="165" t="s">
        <v>1069</v>
      </c>
      <c r="F1750" s="179" t="s">
        <v>864</v>
      </c>
      <c r="G1750" s="186">
        <f ca="1">OFFSET(卡牌辅助配置表!$C$1,MATCH(AC1750,卡牌辅助配置表!A:A,0)-1,0)</f>
        <v>0</v>
      </c>
      <c r="H1750" s="186">
        <f ca="1">OFFSET(skill!$Q$1,MATCH(B1750,skill!B:B,0)-1,0)</f>
        <v>10</v>
      </c>
      <c r="I1750" s="186"/>
      <c r="J1750" s="186">
        <f ca="1">OFFSET(card_type!$F$1,MATCH(Q1750,card_type!A:A,0)-1,0)</f>
        <v>3</v>
      </c>
      <c r="K1750" s="243">
        <f ca="1">OFFSET(card_type!$G$1,MATCH(Q1750,card_type!A:A,0)-1,0)</f>
        <v>1</v>
      </c>
      <c r="L1750" s="157">
        <v>2</v>
      </c>
      <c r="M1750" s="157">
        <v>2</v>
      </c>
      <c r="N1750" s="153">
        <f t="shared" si="295"/>
        <v>24</v>
      </c>
      <c r="O1750" s="157"/>
      <c r="P1750" s="157"/>
      <c r="Q1750" s="153">
        <f ca="1">OFFSET(card_type!$A$1,MATCH(card!B1750,card_type!B:B,0)-1,0)</f>
        <v>3007</v>
      </c>
      <c r="R1750" s="153">
        <v>1</v>
      </c>
      <c r="S1750" s="157">
        <f ca="1">ROUND(IF(R1750=0,0,IF(R1750=1,X1750*$S$1,IF(R1750=2,X1750*$S$1*buff的资质计算!$E$2,IF(R1750=3,X1750*$S$1*buff的资质计算!$E$3,0)))),0)*0</f>
        <v>0</v>
      </c>
      <c r="T1750" s="153">
        <v>3</v>
      </c>
      <c r="U1750" s="153">
        <f ca="1" t="shared" si="296"/>
        <v>31</v>
      </c>
      <c r="V1750" s="153">
        <f ca="1">ROUND((OFFSET(卡牌辅助配置表!$O$1,MATCH(U1750,卡牌辅助配置表!M:M,0)-1,0)+(N1750-1)*OFFSET(卡牌辅助配置表!$P$1,MATCH(U1750,卡牌辅助配置表!M:M,0)-1,0))*M1750,2)</f>
        <v>73.09</v>
      </c>
      <c r="W1750" s="157">
        <f ca="1">ROUND(IF(R1750=0,0,IF(R1750=1,X1750*$W$1,IF(R1750=2,X1750*$W$1*buff的资质计算!$E$2,IF(R1750=3,X1750*$W$1*buff的资质计算!$E$3,0)))),2)</f>
        <v>12.45</v>
      </c>
      <c r="X1750" s="157">
        <f ca="1" t="shared" si="291"/>
        <v>41.5</v>
      </c>
      <c r="Y1750" s="157">
        <f ca="1" t="shared" si="299"/>
        <v>51.5</v>
      </c>
      <c r="Z1750" s="304">
        <f ca="1" t="shared" si="292"/>
        <v>25.75</v>
      </c>
      <c r="AA1750" s="304">
        <f ca="1">OFFSET(卡牌辅助配置表!$AD$1,MATCH(AB1750,卡牌辅助配置表!AB:AB,0)-1,0)</f>
        <v>3286</v>
      </c>
      <c r="AB1750" s="304">
        <f ca="1" t="shared" si="297"/>
        <v>3124</v>
      </c>
      <c r="AC1750" s="153">
        <v>12</v>
      </c>
      <c r="AF1750" s="153" t="str">
        <f ca="1" t="shared" si="290"/>
        <v>30070011|</v>
      </c>
      <c r="AJ1750" s="205" t="str">
        <f ca="1" t="shared" si="298"/>
        <v>400023|10300|;</v>
      </c>
      <c r="AK1750" s="205">
        <f ca="1">OFFSET([1]item_type!$A$1,MATCH(Q1750,[1]item_type!$G:$G,0)-1,0)</f>
        <v>303007</v>
      </c>
      <c r="AL1750" s="205"/>
      <c r="AM1750" s="205">
        <f ca="1">IF(B1750=B1751,OFFSET(卡牌辅助配置表!$AE$1,MATCH(AB1750,卡牌辅助配置表!AB:AB,0),0),0)</f>
        <v>10300</v>
      </c>
      <c r="AN1750" s="153">
        <f ca="1" t="shared" si="293"/>
        <v>3007025</v>
      </c>
      <c r="AP1750" s="153">
        <f ca="1">IF(AC1750=0,0,IF(AC1750=12,0,OFFSET(effect!$N$1,MATCH(K1750,effect!M:M,0)-1,0)))</f>
        <v>0</v>
      </c>
    </row>
    <row r="1751" spans="1:42">
      <c r="A1751" s="153">
        <f ca="1" t="shared" si="294"/>
        <v>3007025</v>
      </c>
      <c r="B1751" s="91" t="s">
        <v>488</v>
      </c>
      <c r="C1751" s="186">
        <v>3</v>
      </c>
      <c r="D1751" s="186">
        <v>4</v>
      </c>
      <c r="E1751" s="165" t="s">
        <v>1069</v>
      </c>
      <c r="F1751" s="179" t="s">
        <v>864</v>
      </c>
      <c r="G1751" s="186">
        <f ca="1">OFFSET(卡牌辅助配置表!$C$1,MATCH(AC1751,卡牌辅助配置表!A:A,0)-1,0)</f>
        <v>0</v>
      </c>
      <c r="H1751" s="186">
        <f ca="1">OFFSET(skill!$Q$1,MATCH(B1751,skill!B:B,0)-1,0)</f>
        <v>10</v>
      </c>
      <c r="I1751" s="186"/>
      <c r="J1751" s="186">
        <f ca="1">OFFSET(card_type!$F$1,MATCH(Q1751,card_type!A:A,0)-1,0)</f>
        <v>3</v>
      </c>
      <c r="K1751" s="243">
        <f ca="1">OFFSET(card_type!$G$1,MATCH(Q1751,card_type!A:A,0)-1,0)</f>
        <v>1</v>
      </c>
      <c r="L1751" s="157">
        <v>2</v>
      </c>
      <c r="M1751" s="157">
        <v>2</v>
      </c>
      <c r="N1751" s="153">
        <f t="shared" si="295"/>
        <v>25</v>
      </c>
      <c r="O1751" s="157"/>
      <c r="P1751" s="157"/>
      <c r="Q1751" s="153">
        <f ca="1">OFFSET(card_type!$A$1,MATCH(card!B1751,card_type!B:B,0)-1,0)</f>
        <v>3007</v>
      </c>
      <c r="R1751" s="153">
        <v>1</v>
      </c>
      <c r="S1751" s="157">
        <f ca="1">ROUND(IF(R1751=0,0,IF(R1751=1,X1751*$S$1,IF(R1751=2,X1751*$S$1*buff的资质计算!$E$2,IF(R1751=3,X1751*$S$1*buff的资质计算!$E$3,0)))),0)*0</f>
        <v>0</v>
      </c>
      <c r="T1751" s="153">
        <v>3</v>
      </c>
      <c r="U1751" s="153">
        <f ca="1" t="shared" si="296"/>
        <v>31</v>
      </c>
      <c r="V1751" s="153">
        <f ca="1">ROUND((OFFSET(卡牌辅助配置表!$O$1,MATCH(U1751,卡牌辅助配置表!M:M,0)-1,0)+(N1751-1)*OFFSET(卡牌辅助配置表!$P$1,MATCH(U1751,卡牌辅助配置表!M:M,0)-1,0))*M1751,2)</f>
        <v>75.44</v>
      </c>
      <c r="W1751" s="157">
        <f ca="1">ROUND(IF(R1751=0,0,IF(R1751=1,X1751*$W$1,IF(R1751=2,X1751*$W$1*buff的资质计算!$E$2,IF(R1751=3,X1751*$W$1*buff的资质计算!$E$3,0)))),2)</f>
        <v>12.6</v>
      </c>
      <c r="X1751" s="157">
        <f ca="1" t="shared" si="291"/>
        <v>42</v>
      </c>
      <c r="Y1751" s="157">
        <f ca="1" t="shared" si="299"/>
        <v>52</v>
      </c>
      <c r="Z1751" s="304">
        <f ca="1" t="shared" si="292"/>
        <v>26</v>
      </c>
      <c r="AA1751" s="304">
        <f ca="1">OFFSET(卡牌辅助配置表!$AD$1,MATCH(AB1751,卡牌辅助配置表!AB:AB,0)-1,0)</f>
        <v>3485</v>
      </c>
      <c r="AB1751" s="304">
        <f ca="1" t="shared" si="297"/>
        <v>3125</v>
      </c>
      <c r="AC1751" s="153">
        <v>12</v>
      </c>
      <c r="AF1751" s="153" t="str">
        <f ca="1" t="shared" si="290"/>
        <v>30070011|</v>
      </c>
      <c r="AJ1751" s="205" t="str">
        <f ca="1" t="shared" si="298"/>
        <v>400023|11100|;</v>
      </c>
      <c r="AK1751" s="205">
        <f ca="1">OFFSET([1]item_type!$A$1,MATCH(Q1751,[1]item_type!$G:$G,0)-1,0)</f>
        <v>303007</v>
      </c>
      <c r="AL1751" s="205"/>
      <c r="AM1751" s="205">
        <f ca="1">IF(B1751=B1752,OFFSET(卡牌辅助配置表!$AE$1,MATCH(AB1751,卡牌辅助配置表!AB:AB,0),0),0)</f>
        <v>11100</v>
      </c>
      <c r="AN1751" s="153">
        <f ca="1" t="shared" si="293"/>
        <v>3007026</v>
      </c>
      <c r="AP1751" s="153">
        <f ca="1">IF(AC1751=0,0,IF(AC1751=12,0,OFFSET(effect!$N$1,MATCH(K1751,effect!M:M,0)-1,0)))</f>
        <v>0</v>
      </c>
    </row>
    <row r="1752" spans="1:42">
      <c r="A1752" s="153">
        <f ca="1" t="shared" si="294"/>
        <v>3007026</v>
      </c>
      <c r="B1752" s="91" t="s">
        <v>488</v>
      </c>
      <c r="C1752" s="186">
        <v>3</v>
      </c>
      <c r="D1752" s="186">
        <v>4</v>
      </c>
      <c r="E1752" s="165" t="s">
        <v>1069</v>
      </c>
      <c r="F1752" s="179" t="s">
        <v>864</v>
      </c>
      <c r="G1752" s="186">
        <f ca="1">OFFSET(卡牌辅助配置表!$C$1,MATCH(AC1752,卡牌辅助配置表!A:A,0)-1,0)</f>
        <v>0</v>
      </c>
      <c r="H1752" s="186">
        <f ca="1">OFFSET(skill!$Q$1,MATCH(B1752,skill!B:B,0)-1,0)</f>
        <v>10</v>
      </c>
      <c r="I1752" s="186"/>
      <c r="J1752" s="186">
        <f ca="1">OFFSET(card_type!$F$1,MATCH(Q1752,card_type!A:A,0)-1,0)</f>
        <v>3</v>
      </c>
      <c r="K1752" s="243">
        <f ca="1">OFFSET(card_type!$G$1,MATCH(Q1752,card_type!A:A,0)-1,0)</f>
        <v>1</v>
      </c>
      <c r="L1752" s="157">
        <v>2</v>
      </c>
      <c r="M1752" s="157">
        <v>2</v>
      </c>
      <c r="N1752" s="153">
        <f t="shared" si="295"/>
        <v>26</v>
      </c>
      <c r="O1752" s="157"/>
      <c r="P1752" s="157"/>
      <c r="Q1752" s="153">
        <f ca="1">OFFSET(card_type!$A$1,MATCH(card!B1752,card_type!B:B,0)-1,0)</f>
        <v>3007</v>
      </c>
      <c r="R1752" s="153">
        <v>1</v>
      </c>
      <c r="S1752" s="157">
        <f ca="1">ROUND(IF(R1752=0,0,IF(R1752=1,X1752*$S$1,IF(R1752=2,X1752*$S$1*buff的资质计算!$E$2,IF(R1752=3,X1752*$S$1*buff的资质计算!$E$3,0)))),0)*0</f>
        <v>0</v>
      </c>
      <c r="T1752" s="153">
        <v>3</v>
      </c>
      <c r="U1752" s="153">
        <f ca="1" t="shared" si="296"/>
        <v>31</v>
      </c>
      <c r="V1752" s="153">
        <f ca="1">ROUND((OFFSET(卡牌辅助配置表!$O$1,MATCH(U1752,卡牌辅助配置表!M:M,0)-1,0)+(N1752-1)*OFFSET(卡牌辅助配置表!$P$1,MATCH(U1752,卡牌辅助配置表!M:M,0)-1,0))*M1752,2)</f>
        <v>77.8</v>
      </c>
      <c r="W1752" s="157">
        <f ca="1">ROUND(IF(R1752=0,0,IF(R1752=1,X1752*$W$1,IF(R1752=2,X1752*$W$1*buff的资质计算!$E$2,IF(R1752=3,X1752*$W$1*buff的资质计算!$E$3,0)))),2)</f>
        <v>12.75</v>
      </c>
      <c r="X1752" s="157">
        <f ca="1" t="shared" si="291"/>
        <v>42.5</v>
      </c>
      <c r="Y1752" s="157">
        <f ca="1" t="shared" si="299"/>
        <v>52.5</v>
      </c>
      <c r="Z1752" s="304">
        <f ca="1" t="shared" si="292"/>
        <v>26.25</v>
      </c>
      <c r="AA1752" s="304">
        <f ca="1">OFFSET(卡牌辅助配置表!$AD$1,MATCH(AB1752,卡牌辅助配置表!AB:AB,0)-1,0)</f>
        <v>3684</v>
      </c>
      <c r="AB1752" s="304">
        <f ca="1" t="shared" si="297"/>
        <v>3126</v>
      </c>
      <c r="AC1752" s="153">
        <v>12</v>
      </c>
      <c r="AF1752" s="153" t="str">
        <f ca="1" t="shared" si="290"/>
        <v>30070011|</v>
      </c>
      <c r="AJ1752" s="205" t="str">
        <f ca="1" t="shared" si="298"/>
        <v>400023|11900|;</v>
      </c>
      <c r="AK1752" s="205">
        <f ca="1">OFFSET([1]item_type!$A$1,MATCH(Q1752,[1]item_type!$G:$G,0)-1,0)</f>
        <v>303007</v>
      </c>
      <c r="AL1752" s="205"/>
      <c r="AM1752" s="205">
        <f ca="1">IF(B1752=B1753,OFFSET(卡牌辅助配置表!$AE$1,MATCH(AB1752,卡牌辅助配置表!AB:AB,0),0),0)</f>
        <v>11900</v>
      </c>
      <c r="AN1752" s="153">
        <f ca="1" t="shared" si="293"/>
        <v>3007027</v>
      </c>
      <c r="AP1752" s="153">
        <f ca="1">IF(AC1752=0,0,IF(AC1752=12,0,OFFSET(effect!$N$1,MATCH(K1752,effect!M:M,0)-1,0)))</f>
        <v>0</v>
      </c>
    </row>
    <row r="1753" spans="1:42">
      <c r="A1753" s="153">
        <f ca="1" t="shared" si="294"/>
        <v>3007027</v>
      </c>
      <c r="B1753" s="91" t="s">
        <v>488</v>
      </c>
      <c r="C1753" s="186">
        <v>3</v>
      </c>
      <c r="D1753" s="186">
        <v>4</v>
      </c>
      <c r="E1753" s="165" t="s">
        <v>1069</v>
      </c>
      <c r="F1753" s="179" t="s">
        <v>864</v>
      </c>
      <c r="G1753" s="186">
        <f ca="1">OFFSET(卡牌辅助配置表!$C$1,MATCH(AC1753,卡牌辅助配置表!A:A,0)-1,0)</f>
        <v>0</v>
      </c>
      <c r="H1753" s="186">
        <f ca="1">OFFSET(skill!$Q$1,MATCH(B1753,skill!B:B,0)-1,0)</f>
        <v>10</v>
      </c>
      <c r="I1753" s="186"/>
      <c r="J1753" s="186">
        <f ca="1">OFFSET(card_type!$F$1,MATCH(Q1753,card_type!A:A,0)-1,0)</f>
        <v>3</v>
      </c>
      <c r="K1753" s="243">
        <f ca="1">OFFSET(card_type!$G$1,MATCH(Q1753,card_type!A:A,0)-1,0)</f>
        <v>1</v>
      </c>
      <c r="L1753" s="157">
        <v>2</v>
      </c>
      <c r="M1753" s="157">
        <v>2</v>
      </c>
      <c r="N1753" s="153">
        <f t="shared" si="295"/>
        <v>27</v>
      </c>
      <c r="O1753" s="157"/>
      <c r="P1753" s="157"/>
      <c r="Q1753" s="153">
        <f ca="1">OFFSET(card_type!$A$1,MATCH(card!B1753,card_type!B:B,0)-1,0)</f>
        <v>3007</v>
      </c>
      <c r="R1753" s="153">
        <v>1</v>
      </c>
      <c r="S1753" s="157">
        <f ca="1">ROUND(IF(R1753=0,0,IF(R1753=1,X1753*$S$1,IF(R1753=2,X1753*$S$1*buff的资质计算!$E$2,IF(R1753=3,X1753*$S$1*buff的资质计算!$E$3,0)))),0)*0</f>
        <v>0</v>
      </c>
      <c r="T1753" s="153">
        <v>3</v>
      </c>
      <c r="U1753" s="153">
        <f ca="1" t="shared" si="296"/>
        <v>31</v>
      </c>
      <c r="V1753" s="153">
        <f ca="1">ROUND((OFFSET(卡牌辅助配置表!$O$1,MATCH(U1753,卡牌辅助配置表!M:M,0)-1,0)+(N1753-1)*OFFSET(卡牌辅助配置表!$P$1,MATCH(U1753,卡牌辅助配置表!M:M,0)-1,0))*M1753,2)</f>
        <v>80.15</v>
      </c>
      <c r="W1753" s="157">
        <f ca="1">ROUND(IF(R1753=0,0,IF(R1753=1,X1753*$W$1,IF(R1753=2,X1753*$W$1*buff的资质计算!$E$2,IF(R1753=3,X1753*$W$1*buff的资质计算!$E$3,0)))),2)</f>
        <v>12.9</v>
      </c>
      <c r="X1753" s="157">
        <f ca="1" t="shared" si="291"/>
        <v>43</v>
      </c>
      <c r="Y1753" s="157">
        <f ca="1" t="shared" si="299"/>
        <v>53</v>
      </c>
      <c r="Z1753" s="304">
        <f ca="1" t="shared" si="292"/>
        <v>26.5</v>
      </c>
      <c r="AA1753" s="304">
        <f ca="1">OFFSET(卡牌辅助配置表!$AD$1,MATCH(AB1753,卡牌辅助配置表!AB:AB,0)-1,0)</f>
        <v>3883</v>
      </c>
      <c r="AB1753" s="304">
        <f ca="1" t="shared" si="297"/>
        <v>3127</v>
      </c>
      <c r="AC1753" s="153">
        <v>12</v>
      </c>
      <c r="AF1753" s="153" t="str">
        <f ca="1" t="shared" ref="AF1753:AF1816" si="300">((Q1753*1000+1)*10+1)&amp;$AF$1</f>
        <v>30070011|</v>
      </c>
      <c r="AJ1753" s="205" t="str">
        <f ca="1" t="shared" si="298"/>
        <v>400023|12700|;</v>
      </c>
      <c r="AK1753" s="205">
        <f ca="1">OFFSET([1]item_type!$A$1,MATCH(Q1753,[1]item_type!$G:$G,0)-1,0)</f>
        <v>303007</v>
      </c>
      <c r="AL1753" s="205"/>
      <c r="AM1753" s="205">
        <f ca="1">IF(B1753=B1754,OFFSET(卡牌辅助配置表!$AE$1,MATCH(AB1753,卡牌辅助配置表!AB:AB,0),0),0)</f>
        <v>12700</v>
      </c>
      <c r="AN1753" s="153">
        <f ca="1" t="shared" si="293"/>
        <v>3007028</v>
      </c>
      <c r="AP1753" s="153">
        <f ca="1">IF(AC1753=0,0,IF(AC1753=12,0,OFFSET(effect!$N$1,MATCH(K1753,effect!M:M,0)-1,0)))</f>
        <v>0</v>
      </c>
    </row>
    <row r="1754" spans="1:42">
      <c r="A1754" s="153">
        <f ca="1" t="shared" si="294"/>
        <v>3007028</v>
      </c>
      <c r="B1754" s="91" t="s">
        <v>488</v>
      </c>
      <c r="C1754" s="186">
        <v>3</v>
      </c>
      <c r="D1754" s="186">
        <v>4</v>
      </c>
      <c r="E1754" s="165" t="s">
        <v>1069</v>
      </c>
      <c r="F1754" s="179" t="s">
        <v>864</v>
      </c>
      <c r="G1754" s="186">
        <f ca="1">OFFSET(卡牌辅助配置表!$C$1,MATCH(AC1754,卡牌辅助配置表!A:A,0)-1,0)</f>
        <v>0</v>
      </c>
      <c r="H1754" s="186">
        <f ca="1">OFFSET(skill!$Q$1,MATCH(B1754,skill!B:B,0)-1,0)</f>
        <v>10</v>
      </c>
      <c r="I1754" s="186"/>
      <c r="J1754" s="186">
        <f ca="1">OFFSET(card_type!$F$1,MATCH(Q1754,card_type!A:A,0)-1,0)</f>
        <v>3</v>
      </c>
      <c r="K1754" s="243">
        <f ca="1">OFFSET(card_type!$G$1,MATCH(Q1754,card_type!A:A,0)-1,0)</f>
        <v>1</v>
      </c>
      <c r="L1754" s="157">
        <v>2</v>
      </c>
      <c r="M1754" s="157">
        <v>2</v>
      </c>
      <c r="N1754" s="153">
        <f t="shared" si="295"/>
        <v>28</v>
      </c>
      <c r="O1754" s="157"/>
      <c r="P1754" s="157"/>
      <c r="Q1754" s="153">
        <f ca="1">OFFSET(card_type!$A$1,MATCH(card!B1754,card_type!B:B,0)-1,0)</f>
        <v>3007</v>
      </c>
      <c r="R1754" s="153">
        <v>1</v>
      </c>
      <c r="S1754" s="157">
        <f ca="1">ROUND(IF(R1754=0,0,IF(R1754=1,X1754*$S$1,IF(R1754=2,X1754*$S$1*buff的资质计算!$E$2,IF(R1754=3,X1754*$S$1*buff的资质计算!$E$3,0)))),0)*0</f>
        <v>0</v>
      </c>
      <c r="T1754" s="153">
        <v>3</v>
      </c>
      <c r="U1754" s="153">
        <f ca="1" t="shared" si="296"/>
        <v>31</v>
      </c>
      <c r="V1754" s="153">
        <f ca="1">ROUND((OFFSET(卡牌辅助配置表!$O$1,MATCH(U1754,卡牌辅助配置表!M:M,0)-1,0)+(N1754-1)*OFFSET(卡牌辅助配置表!$P$1,MATCH(U1754,卡牌辅助配置表!M:M,0)-1,0))*M1754,2)</f>
        <v>82.51</v>
      </c>
      <c r="W1754" s="157">
        <f ca="1">ROUND(IF(R1754=0,0,IF(R1754=1,X1754*$W$1,IF(R1754=2,X1754*$W$1*buff的资质计算!$E$2,IF(R1754=3,X1754*$W$1*buff的资质计算!$E$3,0)))),2)</f>
        <v>13.05</v>
      </c>
      <c r="X1754" s="157">
        <f ca="1" t="shared" si="291"/>
        <v>43.5</v>
      </c>
      <c r="Y1754" s="157">
        <f ca="1" t="shared" si="299"/>
        <v>53.5</v>
      </c>
      <c r="Z1754" s="304">
        <f ca="1" t="shared" si="292"/>
        <v>26.75</v>
      </c>
      <c r="AA1754" s="304">
        <f ca="1">OFFSET(卡牌辅助配置表!$AD$1,MATCH(AB1754,卡牌辅助配置表!AB:AB,0)-1,0)</f>
        <v>4082</v>
      </c>
      <c r="AB1754" s="304">
        <f ca="1" t="shared" si="297"/>
        <v>3128</v>
      </c>
      <c r="AC1754" s="153">
        <v>12</v>
      </c>
      <c r="AF1754" s="153" t="str">
        <f ca="1" t="shared" si="300"/>
        <v>30070011|</v>
      </c>
      <c r="AJ1754" s="205" t="str">
        <f ca="1" t="shared" si="298"/>
        <v>400023|13500|;</v>
      </c>
      <c r="AK1754" s="205">
        <f ca="1">OFFSET([1]item_type!$A$1,MATCH(Q1754,[1]item_type!$G:$G,0)-1,0)</f>
        <v>303007</v>
      </c>
      <c r="AL1754" s="205"/>
      <c r="AM1754" s="205">
        <f ca="1">IF(B1754=B1755,OFFSET(卡牌辅助配置表!$AE$1,MATCH(AB1754,卡牌辅助配置表!AB:AB,0),0),0)</f>
        <v>13500</v>
      </c>
      <c r="AN1754" s="153">
        <f ca="1" t="shared" si="293"/>
        <v>3007029</v>
      </c>
      <c r="AP1754" s="153">
        <f ca="1">IF(AC1754=0,0,IF(AC1754=12,0,OFFSET(effect!$N$1,MATCH(K1754,effect!M:M,0)-1,0)))</f>
        <v>0</v>
      </c>
    </row>
    <row r="1755" spans="1:42">
      <c r="A1755" s="153">
        <f ca="1" t="shared" si="294"/>
        <v>3007029</v>
      </c>
      <c r="B1755" s="91" t="s">
        <v>488</v>
      </c>
      <c r="C1755" s="186">
        <v>3</v>
      </c>
      <c r="D1755" s="186">
        <v>4</v>
      </c>
      <c r="E1755" s="165" t="s">
        <v>1069</v>
      </c>
      <c r="F1755" s="179" t="s">
        <v>864</v>
      </c>
      <c r="G1755" s="186">
        <f ca="1">OFFSET(卡牌辅助配置表!$C$1,MATCH(AC1755,卡牌辅助配置表!A:A,0)-1,0)</f>
        <v>0</v>
      </c>
      <c r="H1755" s="186">
        <f ca="1">OFFSET(skill!$Q$1,MATCH(B1755,skill!B:B,0)-1,0)</f>
        <v>10</v>
      </c>
      <c r="I1755" s="186"/>
      <c r="J1755" s="186">
        <f ca="1">OFFSET(card_type!$F$1,MATCH(Q1755,card_type!A:A,0)-1,0)</f>
        <v>3</v>
      </c>
      <c r="K1755" s="243">
        <f ca="1">OFFSET(card_type!$G$1,MATCH(Q1755,card_type!A:A,0)-1,0)</f>
        <v>1</v>
      </c>
      <c r="L1755" s="157">
        <v>2</v>
      </c>
      <c r="M1755" s="157">
        <v>2</v>
      </c>
      <c r="N1755" s="153">
        <f t="shared" si="295"/>
        <v>29</v>
      </c>
      <c r="O1755" s="157"/>
      <c r="P1755" s="157"/>
      <c r="Q1755" s="153">
        <f ca="1">OFFSET(card_type!$A$1,MATCH(card!B1755,card_type!B:B,0)-1,0)</f>
        <v>3007</v>
      </c>
      <c r="R1755" s="153">
        <v>1</v>
      </c>
      <c r="S1755" s="157">
        <f ca="1">ROUND(IF(R1755=0,0,IF(R1755=1,X1755*$S$1,IF(R1755=2,X1755*$S$1*buff的资质计算!$E$2,IF(R1755=3,X1755*$S$1*buff的资质计算!$E$3,0)))),0)*0</f>
        <v>0</v>
      </c>
      <c r="T1755" s="153">
        <v>3</v>
      </c>
      <c r="U1755" s="153">
        <f ca="1" t="shared" si="296"/>
        <v>31</v>
      </c>
      <c r="V1755" s="153">
        <f ca="1">ROUND((OFFSET(卡牌辅助配置表!$O$1,MATCH(U1755,卡牌辅助配置表!M:M,0)-1,0)+(N1755-1)*OFFSET(卡牌辅助配置表!$P$1,MATCH(U1755,卡牌辅助配置表!M:M,0)-1,0))*M1755,2)</f>
        <v>84.86</v>
      </c>
      <c r="W1755" s="157">
        <f ca="1">ROUND(IF(R1755=0,0,IF(R1755=1,X1755*$W$1,IF(R1755=2,X1755*$W$1*buff的资质计算!$E$2,IF(R1755=3,X1755*$W$1*buff的资质计算!$E$3,0)))),2)</f>
        <v>13.2</v>
      </c>
      <c r="X1755" s="157">
        <f ca="1" t="shared" si="291"/>
        <v>44</v>
      </c>
      <c r="Y1755" s="157">
        <f ca="1" t="shared" si="299"/>
        <v>54</v>
      </c>
      <c r="Z1755" s="304">
        <f ca="1" t="shared" si="292"/>
        <v>27</v>
      </c>
      <c r="AA1755" s="304">
        <f ca="1">OFFSET(卡牌辅助配置表!$AD$1,MATCH(AB1755,卡牌辅助配置表!AB:AB,0)-1,0)</f>
        <v>4281</v>
      </c>
      <c r="AB1755" s="304">
        <f ca="1" t="shared" si="297"/>
        <v>3129</v>
      </c>
      <c r="AC1755" s="153">
        <v>12</v>
      </c>
      <c r="AF1755" s="153" t="str">
        <f ca="1" t="shared" si="300"/>
        <v>30070011|</v>
      </c>
      <c r="AJ1755" s="205" t="str">
        <f ca="1" t="shared" si="298"/>
        <v>303007|30|;400023|14300|;</v>
      </c>
      <c r="AK1755" s="205">
        <f ca="1">OFFSET([1]item_type!$A$1,MATCH(Q1755,[1]item_type!$G:$G,0)-1,0)</f>
        <v>303007</v>
      </c>
      <c r="AL1755" s="205">
        <v>30</v>
      </c>
      <c r="AM1755" s="205">
        <f ca="1">IF(B1755=B1756,OFFSET(卡牌辅助配置表!$AE$1,MATCH(AB1755,卡牌辅助配置表!AB:AB,0),0),0)</f>
        <v>14300</v>
      </c>
      <c r="AN1755" s="153">
        <f ca="1" t="shared" si="293"/>
        <v>3007030</v>
      </c>
      <c r="AP1755" s="153">
        <f ca="1">IF(AC1755=0,0,IF(AC1755=12,0,OFFSET(effect!$N$1,MATCH(K1755,effect!M:M,0)-1,0)))</f>
        <v>0</v>
      </c>
    </row>
    <row r="1756" spans="1:42">
      <c r="A1756" s="153">
        <f ca="1" t="shared" si="294"/>
        <v>3007030</v>
      </c>
      <c r="B1756" s="91" t="s">
        <v>488</v>
      </c>
      <c r="C1756" s="186">
        <v>3</v>
      </c>
      <c r="D1756" s="186">
        <v>4</v>
      </c>
      <c r="E1756" s="165" t="s">
        <v>1069</v>
      </c>
      <c r="F1756" s="179" t="s">
        <v>864</v>
      </c>
      <c r="G1756" s="186">
        <f ca="1">OFFSET(卡牌辅助配置表!$C$1,MATCH(AC1756,卡牌辅助配置表!A:A,0)-1,0)</f>
        <v>0</v>
      </c>
      <c r="H1756" s="186">
        <f ca="1">OFFSET(skill!$Q$1,MATCH(B1756,skill!B:B,0)-1,0)</f>
        <v>10</v>
      </c>
      <c r="I1756" s="186"/>
      <c r="J1756" s="186">
        <f ca="1">OFFSET(card_type!$F$1,MATCH(Q1756,card_type!A:A,0)-1,0)</f>
        <v>3</v>
      </c>
      <c r="K1756" s="243">
        <f ca="1">OFFSET(card_type!$G$1,MATCH(Q1756,card_type!A:A,0)-1,0)</f>
        <v>1</v>
      </c>
      <c r="L1756" s="157">
        <v>2</v>
      </c>
      <c r="M1756" s="157">
        <v>2</v>
      </c>
      <c r="N1756" s="153">
        <f t="shared" si="295"/>
        <v>30</v>
      </c>
      <c r="O1756" s="157"/>
      <c r="P1756" s="157"/>
      <c r="Q1756" s="153">
        <f ca="1">OFFSET(card_type!$A$1,MATCH(card!B1756,card_type!B:B,0)-1,0)</f>
        <v>3007</v>
      </c>
      <c r="R1756" s="153">
        <v>1</v>
      </c>
      <c r="S1756" s="157">
        <f ca="1">ROUND(IF(R1756=0,0,IF(R1756=1,X1756*$S$1,IF(R1756=2,X1756*$S$1*buff的资质计算!$E$2,IF(R1756=3,X1756*$S$1*buff的资质计算!$E$3,0)))),0)*0</f>
        <v>0</v>
      </c>
      <c r="T1756" s="153">
        <v>3</v>
      </c>
      <c r="U1756" s="153">
        <f ca="1" t="shared" si="296"/>
        <v>31</v>
      </c>
      <c r="V1756" s="153">
        <f ca="1">ROUND((OFFSET(卡牌辅助配置表!$O$1,MATCH(U1756,卡牌辅助配置表!M:M,0)-1,0)+(N1756-1)*OFFSET(卡牌辅助配置表!$P$1,MATCH(U1756,卡牌辅助配置表!M:M,0)-1,0))*M1756,2)</f>
        <v>87.21</v>
      </c>
      <c r="W1756" s="157">
        <f ca="1">ROUND(IF(R1756=0,0,IF(R1756=1,X1756*$W$1,IF(R1756=2,X1756*$W$1*buff的资质计算!$E$2,IF(R1756=3,X1756*$W$1*buff的资质计算!$E$3,0)))),2)</f>
        <v>13.35</v>
      </c>
      <c r="X1756" s="157">
        <f ca="1" t="shared" si="291"/>
        <v>44.5</v>
      </c>
      <c r="Y1756" s="157">
        <f ca="1" t="shared" si="299"/>
        <v>54.5</v>
      </c>
      <c r="Z1756" s="304">
        <f ca="1" t="shared" si="292"/>
        <v>27.25</v>
      </c>
      <c r="AA1756" s="304">
        <f ca="1">OFFSET(卡牌辅助配置表!$AD$1,MATCH(AB1756,卡牌辅助配置表!AB:AB,0)-1,0)</f>
        <v>4480</v>
      </c>
      <c r="AB1756" s="304">
        <f ca="1" t="shared" si="297"/>
        <v>3130</v>
      </c>
      <c r="AC1756" s="153">
        <v>12</v>
      </c>
      <c r="AF1756" s="153" t="str">
        <f ca="1" t="shared" si="300"/>
        <v>30070011|</v>
      </c>
      <c r="AJ1756" s="205">
        <f ca="1" t="shared" si="298"/>
        <v>0</v>
      </c>
      <c r="AK1756" s="205">
        <f ca="1">OFFSET([1]item_type!$A$1,MATCH(Q1756,[1]item_type!$G:$G,0)-1,0)</f>
        <v>303007</v>
      </c>
      <c r="AL1756" s="205"/>
      <c r="AM1756" s="205">
        <f ca="1">IF(B1756=B1757,OFFSET(卡牌辅助配置表!$AE$1,MATCH(AB1756,卡牌辅助配置表!AB:AB,0),0),0)</f>
        <v>0</v>
      </c>
      <c r="AN1756" s="153">
        <f ca="1" t="shared" si="293"/>
        <v>0</v>
      </c>
      <c r="AP1756" s="153">
        <f ca="1">IF(AC1756=0,0,IF(AC1756=12,0,OFFSET(effect!$N$1,MATCH(K1756,effect!M:M,0)-1,0)))</f>
        <v>0</v>
      </c>
    </row>
    <row r="1757" spans="1:42">
      <c r="A1757" s="153">
        <f ca="1" t="shared" si="294"/>
        <v>3008001</v>
      </c>
      <c r="B1757" s="283" t="s">
        <v>298</v>
      </c>
      <c r="C1757" s="186">
        <v>3</v>
      </c>
      <c r="D1757" s="186">
        <v>4</v>
      </c>
      <c r="E1757" s="165" t="s">
        <v>1069</v>
      </c>
      <c r="F1757" s="179" t="s">
        <v>1071</v>
      </c>
      <c r="G1757" s="186">
        <f ca="1">OFFSET(卡牌辅助配置表!$C$1,MATCH(AC1757,卡牌辅助配置表!A:A,0)-1,0)</f>
        <v>3</v>
      </c>
      <c r="H1757" s="186" t="e">
        <f ca="1">OFFSET(skill!$Q$1,MATCH(B1757,skill!B:B,0)-1,0)</f>
        <v>#VALUE!</v>
      </c>
      <c r="I1757" s="186"/>
      <c r="J1757" s="186">
        <f ca="1">OFFSET(card_type!$F$1,MATCH(Q1757,card_type!A:A,0)-1,0)</f>
        <v>1</v>
      </c>
      <c r="K1757" s="243">
        <f ca="1">OFFSET(card_type!$G$1,MATCH(Q1757,card_type!A:A,0)-1,0)</f>
        <v>2</v>
      </c>
      <c r="L1757" s="157">
        <v>3</v>
      </c>
      <c r="M1757" s="157">
        <v>3</v>
      </c>
      <c r="N1757" s="153">
        <f t="shared" si="295"/>
        <v>1</v>
      </c>
      <c r="O1757" s="157"/>
      <c r="P1757" s="157"/>
      <c r="Q1757" s="153">
        <f ca="1">OFFSET(card_type!$A$1,MATCH(card!B1757,card_type!B:B,0)-1,0)</f>
        <v>3008</v>
      </c>
      <c r="R1757" s="153">
        <v>1</v>
      </c>
      <c r="S1757" s="157">
        <f ca="1">ROUND(IF(R1757=0,0,IF(R1757=1,X1757*$S$1,IF(R1757=2,X1757*$S$1*buff的资质计算!$E$2,IF(R1757=3,X1757*$S$1*buff的资质计算!$E$3,0)))),0)*0</f>
        <v>0</v>
      </c>
      <c r="T1757" s="153">
        <v>5</v>
      </c>
      <c r="U1757" s="153">
        <f ca="1" t="shared" si="296"/>
        <v>12</v>
      </c>
      <c r="V1757" s="153">
        <f ca="1">ROUND((OFFSET(卡牌辅助配置表!$O$1,MATCH(U1757,卡牌辅助配置表!M:M,0)-1,0)+(N1757-1)*OFFSET(卡牌辅助配置表!$P$1,MATCH(U1757,卡牌辅助配置表!M:M,0)-1,0))*M1757,2)</f>
        <v>28.5</v>
      </c>
      <c r="W1757" s="157">
        <f ca="1">ROUND(IF(R1757=0,0,IF(R1757=1,X1757*$W$1,IF(R1757=2,X1757*$W$1*buff的资质计算!$E$2,IF(R1757=3,X1757*$W$1*buff的资质计算!$E$3,0)))),2)</f>
        <v>9</v>
      </c>
      <c r="X1757" s="157">
        <f ca="1" t="shared" si="291"/>
        <v>30</v>
      </c>
      <c r="Y1757" s="157" t="e">
        <f ca="1" t="shared" si="299"/>
        <v>#VALUE!</v>
      </c>
      <c r="Z1757" s="304" t="e">
        <f ca="1" t="shared" si="292"/>
        <v>#VALUE!</v>
      </c>
      <c r="AA1757" s="304">
        <f ca="1">OFFSET(卡牌辅助配置表!$AD$1,MATCH(AB1757,卡牌辅助配置表!AB:AB,0)-1,0)</f>
        <v>36</v>
      </c>
      <c r="AB1757" s="304">
        <f ca="1" t="shared" si="297"/>
        <v>1201</v>
      </c>
      <c r="AC1757" s="153">
        <v>10</v>
      </c>
      <c r="AD1757" s="153">
        <v>1</v>
      </c>
      <c r="AE1757" s="153">
        <v>1</v>
      </c>
      <c r="AF1757" s="153" t="str">
        <f ca="1" t="shared" si="300"/>
        <v>30080011|</v>
      </c>
      <c r="AI1757" s="153">
        <v>1</v>
      </c>
      <c r="AJ1757" s="205" t="str">
        <f ca="1" t="shared" si="298"/>
        <v>400023|1050|;</v>
      </c>
      <c r="AK1757" s="205">
        <f ca="1">OFFSET([1]item_type!$A$1,MATCH(Q1757,[1]item_type!$G:$G,0)-1,0)</f>
        <v>303008</v>
      </c>
      <c r="AL1757" s="205"/>
      <c r="AM1757" s="205">
        <f ca="1">IF(B1757=B1758,OFFSET(卡牌辅助配置表!$AE$1,MATCH(AB1757,卡牌辅助配置表!AB:AB,0),0),0)</f>
        <v>1050</v>
      </c>
      <c r="AN1757" s="153">
        <f ca="1" t="shared" si="293"/>
        <v>3008002</v>
      </c>
      <c r="AP1757" s="153" t="str">
        <f ca="1">IF(AC1757=0,0,IF(AC1757=12,0,OFFSET(effect!$N$1,MATCH(K1757,effect!M:M,0)-1,0)))</f>
        <v>kpsx_pt</v>
      </c>
    </row>
    <row r="1758" spans="1:42">
      <c r="A1758" s="153">
        <f ca="1" t="shared" si="294"/>
        <v>3008002</v>
      </c>
      <c r="B1758" s="283" t="s">
        <v>298</v>
      </c>
      <c r="C1758" s="186">
        <v>3</v>
      </c>
      <c r="D1758" s="186">
        <v>4</v>
      </c>
      <c r="E1758" s="165" t="s">
        <v>1069</v>
      </c>
      <c r="F1758" s="179" t="s">
        <v>1071</v>
      </c>
      <c r="G1758" s="186">
        <f ca="1">OFFSET(卡牌辅助配置表!$C$1,MATCH(AC1758,卡牌辅助配置表!A:A,0)-1,0)</f>
        <v>3</v>
      </c>
      <c r="H1758" s="186" t="e">
        <f ca="1">OFFSET(skill!$Q$1,MATCH(B1758,skill!B:B,0)-1,0)</f>
        <v>#VALUE!</v>
      </c>
      <c r="I1758" s="186"/>
      <c r="J1758" s="186">
        <f ca="1">OFFSET(card_type!$F$1,MATCH(Q1758,card_type!A:A,0)-1,0)</f>
        <v>1</v>
      </c>
      <c r="K1758" s="243">
        <f ca="1">OFFSET(card_type!$G$1,MATCH(Q1758,card_type!A:A,0)-1,0)</f>
        <v>2</v>
      </c>
      <c r="L1758" s="157">
        <v>3</v>
      </c>
      <c r="M1758" s="157">
        <v>3</v>
      </c>
      <c r="N1758" s="153">
        <f t="shared" si="295"/>
        <v>2</v>
      </c>
      <c r="O1758" s="157"/>
      <c r="P1758" s="157"/>
      <c r="Q1758" s="153">
        <f ca="1">OFFSET(card_type!$A$1,MATCH(card!B1758,card_type!B:B,0)-1,0)</f>
        <v>3008</v>
      </c>
      <c r="R1758" s="153">
        <v>1</v>
      </c>
      <c r="S1758" s="157">
        <f ca="1">ROUND(IF(R1758=0,0,IF(R1758=1,X1758*$S$1,IF(R1758=2,X1758*$S$1*buff的资质计算!$E$2,IF(R1758=3,X1758*$S$1*buff的资质计算!$E$3,0)))),0)*0</f>
        <v>0</v>
      </c>
      <c r="T1758" s="153">
        <v>5</v>
      </c>
      <c r="U1758" s="153">
        <f ca="1" t="shared" si="296"/>
        <v>12</v>
      </c>
      <c r="V1758" s="153">
        <f ca="1">ROUND((OFFSET(卡牌辅助配置表!$O$1,MATCH(U1758,卡牌辅助配置表!M:M,0)-1,0)+(N1758-1)*OFFSET(卡牌辅助配置表!$P$1,MATCH(U1758,卡牌辅助配置表!M:M,0)-1,0))*M1758,2)</f>
        <v>29.45</v>
      </c>
      <c r="W1758" s="157">
        <f ca="1">ROUND(IF(R1758=0,0,IF(R1758=1,X1758*$W$1,IF(R1758=2,X1758*$W$1*buff的资质计算!$E$2,IF(R1758=3,X1758*$W$1*buff的资质计算!$E$3,0)))),2)</f>
        <v>9.15</v>
      </c>
      <c r="X1758" s="157">
        <f ca="1" t="shared" si="291"/>
        <v>30.5</v>
      </c>
      <c r="Y1758" s="157" t="e">
        <f ca="1" t="shared" si="299"/>
        <v>#VALUE!</v>
      </c>
      <c r="Z1758" s="304" t="e">
        <f ca="1" t="shared" si="292"/>
        <v>#VALUE!</v>
      </c>
      <c r="AA1758" s="304">
        <f ca="1">OFFSET(卡牌辅助配置表!$AD$1,MATCH(AB1758,卡牌辅助配置表!AB:AB,0)-1,0)</f>
        <v>72</v>
      </c>
      <c r="AB1758" s="304">
        <f ca="1" t="shared" si="297"/>
        <v>1202</v>
      </c>
      <c r="AC1758" s="153">
        <v>10</v>
      </c>
      <c r="AD1758" s="153">
        <v>1</v>
      </c>
      <c r="AE1758" s="153">
        <v>1</v>
      </c>
      <c r="AF1758" s="153" t="str">
        <f ca="1" t="shared" si="300"/>
        <v>30080011|</v>
      </c>
      <c r="AI1758" s="153">
        <v>1</v>
      </c>
      <c r="AJ1758" s="205" t="str">
        <f ca="1" t="shared" si="298"/>
        <v>400023|1350|;</v>
      </c>
      <c r="AK1758" s="205">
        <f ca="1">OFFSET([1]item_type!$A$1,MATCH(Q1758,[1]item_type!$G:$G,0)-1,0)</f>
        <v>303008</v>
      </c>
      <c r="AL1758" s="205"/>
      <c r="AM1758" s="205">
        <f ca="1">IF(B1758=B1759,OFFSET(卡牌辅助配置表!$AE$1,MATCH(AB1758,卡牌辅助配置表!AB:AB,0),0),0)</f>
        <v>1350</v>
      </c>
      <c r="AN1758" s="153">
        <f ca="1" t="shared" si="293"/>
        <v>3008003</v>
      </c>
      <c r="AP1758" s="153" t="str">
        <f ca="1">IF(AC1758=0,0,IF(AC1758=12,0,OFFSET(effect!$N$1,MATCH(K1758,effect!M:M,0)-1,0)))</f>
        <v>kpsx_pt</v>
      </c>
    </row>
    <row r="1759" spans="1:42">
      <c r="A1759" s="153">
        <f ca="1" t="shared" si="294"/>
        <v>3008003</v>
      </c>
      <c r="B1759" s="283" t="s">
        <v>298</v>
      </c>
      <c r="C1759" s="186">
        <v>3</v>
      </c>
      <c r="D1759" s="186">
        <v>4</v>
      </c>
      <c r="E1759" s="165" t="s">
        <v>1069</v>
      </c>
      <c r="F1759" s="179" t="s">
        <v>1071</v>
      </c>
      <c r="G1759" s="186">
        <f ca="1">OFFSET(卡牌辅助配置表!$C$1,MATCH(AC1759,卡牌辅助配置表!A:A,0)-1,0)</f>
        <v>3</v>
      </c>
      <c r="H1759" s="186" t="e">
        <f ca="1">OFFSET(skill!$Q$1,MATCH(B1759,skill!B:B,0)-1,0)</f>
        <v>#VALUE!</v>
      </c>
      <c r="I1759" s="186"/>
      <c r="J1759" s="186">
        <f ca="1">OFFSET(card_type!$F$1,MATCH(Q1759,card_type!A:A,0)-1,0)</f>
        <v>1</v>
      </c>
      <c r="K1759" s="243">
        <f ca="1">OFFSET(card_type!$G$1,MATCH(Q1759,card_type!A:A,0)-1,0)</f>
        <v>2</v>
      </c>
      <c r="L1759" s="157">
        <v>3</v>
      </c>
      <c r="M1759" s="157">
        <v>3</v>
      </c>
      <c r="N1759" s="153">
        <f t="shared" si="295"/>
        <v>3</v>
      </c>
      <c r="O1759" s="157"/>
      <c r="P1759" s="157"/>
      <c r="Q1759" s="153">
        <f ca="1">OFFSET(card_type!$A$1,MATCH(card!B1759,card_type!B:B,0)-1,0)</f>
        <v>3008</v>
      </c>
      <c r="R1759" s="153">
        <v>1</v>
      </c>
      <c r="S1759" s="157">
        <f ca="1">ROUND(IF(R1759=0,0,IF(R1759=1,X1759*$S$1,IF(R1759=2,X1759*$S$1*buff的资质计算!$E$2,IF(R1759=3,X1759*$S$1*buff的资质计算!$E$3,0)))),0)*0</f>
        <v>0</v>
      </c>
      <c r="T1759" s="153">
        <v>5</v>
      </c>
      <c r="U1759" s="153">
        <f ca="1" t="shared" si="296"/>
        <v>12</v>
      </c>
      <c r="V1759" s="153">
        <f ca="1">ROUND((OFFSET(卡牌辅助配置表!$O$1,MATCH(U1759,卡牌辅助配置表!M:M,0)-1,0)+(N1759-1)*OFFSET(卡牌辅助配置表!$P$1,MATCH(U1759,卡牌辅助配置表!M:M,0)-1,0))*M1759,2)</f>
        <v>30.4</v>
      </c>
      <c r="W1759" s="157">
        <f ca="1">ROUND(IF(R1759=0,0,IF(R1759=1,X1759*$W$1,IF(R1759=2,X1759*$W$1*buff的资质计算!$E$2,IF(R1759=3,X1759*$W$1*buff的资质计算!$E$3,0)))),2)</f>
        <v>9.3</v>
      </c>
      <c r="X1759" s="157">
        <f ca="1" t="shared" si="291"/>
        <v>31</v>
      </c>
      <c r="Y1759" s="157" t="e">
        <f ca="1" t="shared" si="299"/>
        <v>#VALUE!</v>
      </c>
      <c r="Z1759" s="304" t="e">
        <f ca="1" t="shared" si="292"/>
        <v>#VALUE!</v>
      </c>
      <c r="AA1759" s="304">
        <f ca="1">OFFSET(卡牌辅助配置表!$AD$1,MATCH(AB1759,卡牌辅助配置表!AB:AB,0)-1,0)</f>
        <v>108</v>
      </c>
      <c r="AB1759" s="304">
        <f ca="1" t="shared" si="297"/>
        <v>1203</v>
      </c>
      <c r="AC1759" s="153">
        <v>10</v>
      </c>
      <c r="AD1759" s="153">
        <v>1</v>
      </c>
      <c r="AE1759" s="153">
        <v>1</v>
      </c>
      <c r="AF1759" s="153" t="str">
        <f ca="1" t="shared" si="300"/>
        <v>30080011|</v>
      </c>
      <c r="AI1759" s="153">
        <v>1</v>
      </c>
      <c r="AJ1759" s="205" t="str">
        <f ca="1" t="shared" si="298"/>
        <v>400023|1650|;</v>
      </c>
      <c r="AK1759" s="205">
        <f ca="1">OFFSET([1]item_type!$A$1,MATCH(Q1759,[1]item_type!$G:$G,0)-1,0)</f>
        <v>303008</v>
      </c>
      <c r="AL1759" s="205"/>
      <c r="AM1759" s="205">
        <f ca="1">IF(B1759=B1760,OFFSET(卡牌辅助配置表!$AE$1,MATCH(AB1759,卡牌辅助配置表!AB:AB,0),0),0)</f>
        <v>1650</v>
      </c>
      <c r="AN1759" s="153">
        <f ca="1" t="shared" si="293"/>
        <v>3008004</v>
      </c>
      <c r="AP1759" s="153" t="str">
        <f ca="1">IF(AC1759=0,0,IF(AC1759=12,0,OFFSET(effect!$N$1,MATCH(K1759,effect!M:M,0)-1,0)))</f>
        <v>kpsx_pt</v>
      </c>
    </row>
    <row r="1760" spans="1:42">
      <c r="A1760" s="153">
        <f ca="1" t="shared" si="294"/>
        <v>3008004</v>
      </c>
      <c r="B1760" s="283" t="s">
        <v>298</v>
      </c>
      <c r="C1760" s="186">
        <v>3</v>
      </c>
      <c r="D1760" s="186">
        <v>4</v>
      </c>
      <c r="E1760" s="165" t="s">
        <v>1069</v>
      </c>
      <c r="F1760" s="179" t="s">
        <v>1071</v>
      </c>
      <c r="G1760" s="186">
        <f ca="1">OFFSET(卡牌辅助配置表!$C$1,MATCH(AC1760,卡牌辅助配置表!A:A,0)-1,0)</f>
        <v>3</v>
      </c>
      <c r="H1760" s="186" t="e">
        <f ca="1">OFFSET(skill!$Q$1,MATCH(B1760,skill!B:B,0)-1,0)</f>
        <v>#VALUE!</v>
      </c>
      <c r="I1760" s="186"/>
      <c r="J1760" s="186">
        <f ca="1">OFFSET(card_type!$F$1,MATCH(Q1760,card_type!A:A,0)-1,0)</f>
        <v>1</v>
      </c>
      <c r="K1760" s="243">
        <f ca="1">OFFSET(card_type!$G$1,MATCH(Q1760,card_type!A:A,0)-1,0)</f>
        <v>2</v>
      </c>
      <c r="L1760" s="157">
        <v>3</v>
      </c>
      <c r="M1760" s="157">
        <v>3</v>
      </c>
      <c r="N1760" s="153">
        <f t="shared" si="295"/>
        <v>4</v>
      </c>
      <c r="O1760" s="157"/>
      <c r="P1760" s="157"/>
      <c r="Q1760" s="153">
        <f ca="1">OFFSET(card_type!$A$1,MATCH(card!B1760,card_type!B:B,0)-1,0)</f>
        <v>3008</v>
      </c>
      <c r="R1760" s="153">
        <v>1</v>
      </c>
      <c r="S1760" s="157">
        <f ca="1">ROUND(IF(R1760=0,0,IF(R1760=1,X1760*$S$1,IF(R1760=2,X1760*$S$1*buff的资质计算!$E$2,IF(R1760=3,X1760*$S$1*buff的资质计算!$E$3,0)))),0)*0</f>
        <v>0</v>
      </c>
      <c r="T1760" s="153">
        <v>5</v>
      </c>
      <c r="U1760" s="153">
        <f ca="1" t="shared" si="296"/>
        <v>12</v>
      </c>
      <c r="V1760" s="153">
        <f ca="1">ROUND((OFFSET(卡牌辅助配置表!$O$1,MATCH(U1760,卡牌辅助配置表!M:M,0)-1,0)+(N1760-1)*OFFSET(卡牌辅助配置表!$P$1,MATCH(U1760,卡牌辅助配置表!M:M,0)-1,0))*M1760,2)</f>
        <v>31.35</v>
      </c>
      <c r="W1760" s="157">
        <f ca="1">ROUND(IF(R1760=0,0,IF(R1760=1,X1760*$W$1,IF(R1760=2,X1760*$W$1*buff的资质计算!$E$2,IF(R1760=3,X1760*$W$1*buff的资质计算!$E$3,0)))),2)</f>
        <v>9.45</v>
      </c>
      <c r="X1760" s="157">
        <f ca="1" t="shared" si="291"/>
        <v>31.5</v>
      </c>
      <c r="Y1760" s="157" t="e">
        <f ca="1" t="shared" si="299"/>
        <v>#VALUE!</v>
      </c>
      <c r="Z1760" s="304" t="e">
        <f ca="1" t="shared" si="292"/>
        <v>#VALUE!</v>
      </c>
      <c r="AA1760" s="304">
        <f ca="1">OFFSET(卡牌辅助配置表!$AD$1,MATCH(AB1760,卡牌辅助配置表!AB:AB,0)-1,0)</f>
        <v>144</v>
      </c>
      <c r="AB1760" s="304">
        <f ca="1" t="shared" si="297"/>
        <v>1204</v>
      </c>
      <c r="AC1760" s="153">
        <v>10</v>
      </c>
      <c r="AD1760" s="153">
        <v>1</v>
      </c>
      <c r="AE1760" s="153">
        <v>1</v>
      </c>
      <c r="AF1760" s="153" t="str">
        <f ca="1" t="shared" si="300"/>
        <v>30080011|</v>
      </c>
      <c r="AI1760" s="153">
        <v>1</v>
      </c>
      <c r="AJ1760" s="205" t="str">
        <f ca="1" t="shared" si="298"/>
        <v>400023|1950|;</v>
      </c>
      <c r="AK1760" s="205">
        <f ca="1">OFFSET([1]item_type!$A$1,MATCH(Q1760,[1]item_type!$G:$G,0)-1,0)</f>
        <v>303008</v>
      </c>
      <c r="AL1760" s="205"/>
      <c r="AM1760" s="205">
        <f ca="1">IF(B1760=B1761,OFFSET(卡牌辅助配置表!$AE$1,MATCH(AB1760,卡牌辅助配置表!AB:AB,0),0),0)</f>
        <v>1950</v>
      </c>
      <c r="AN1760" s="153">
        <f ca="1" t="shared" si="293"/>
        <v>3008005</v>
      </c>
      <c r="AP1760" s="153" t="str">
        <f ca="1">IF(AC1760=0,0,IF(AC1760=12,0,OFFSET(effect!$N$1,MATCH(K1760,effect!M:M,0)-1,0)))</f>
        <v>kpsx_pt</v>
      </c>
    </row>
    <row r="1761" spans="1:42">
      <c r="A1761" s="153">
        <f ca="1" t="shared" si="294"/>
        <v>3008005</v>
      </c>
      <c r="B1761" s="283" t="s">
        <v>298</v>
      </c>
      <c r="C1761" s="186">
        <v>3</v>
      </c>
      <c r="D1761" s="186">
        <v>4</v>
      </c>
      <c r="E1761" s="165" t="s">
        <v>1069</v>
      </c>
      <c r="F1761" s="179" t="s">
        <v>1071</v>
      </c>
      <c r="G1761" s="186">
        <f ca="1">OFFSET(卡牌辅助配置表!$C$1,MATCH(AC1761,卡牌辅助配置表!A:A,0)-1,0)</f>
        <v>3</v>
      </c>
      <c r="H1761" s="186" t="e">
        <f ca="1">OFFSET(skill!$Q$1,MATCH(B1761,skill!B:B,0)-1,0)</f>
        <v>#VALUE!</v>
      </c>
      <c r="I1761" s="186"/>
      <c r="J1761" s="186">
        <f ca="1">OFFSET(card_type!$F$1,MATCH(Q1761,card_type!A:A,0)-1,0)</f>
        <v>1</v>
      </c>
      <c r="K1761" s="243">
        <f ca="1">OFFSET(card_type!$G$1,MATCH(Q1761,card_type!A:A,0)-1,0)</f>
        <v>2</v>
      </c>
      <c r="L1761" s="157">
        <v>3</v>
      </c>
      <c r="M1761" s="157">
        <v>3</v>
      </c>
      <c r="N1761" s="153">
        <f t="shared" si="295"/>
        <v>5</v>
      </c>
      <c r="O1761" s="157"/>
      <c r="P1761" s="157"/>
      <c r="Q1761" s="153">
        <f ca="1">OFFSET(card_type!$A$1,MATCH(card!B1761,card_type!B:B,0)-1,0)</f>
        <v>3008</v>
      </c>
      <c r="R1761" s="153">
        <v>1</v>
      </c>
      <c r="S1761" s="157">
        <f ca="1">ROUND(IF(R1761=0,0,IF(R1761=1,X1761*$S$1,IF(R1761=2,X1761*$S$1*buff的资质计算!$E$2,IF(R1761=3,X1761*$S$1*buff的资质计算!$E$3,0)))),0)*0</f>
        <v>0</v>
      </c>
      <c r="T1761" s="153">
        <v>5</v>
      </c>
      <c r="U1761" s="153">
        <f ca="1" t="shared" si="296"/>
        <v>12</v>
      </c>
      <c r="V1761" s="153">
        <f ca="1">ROUND((OFFSET(卡牌辅助配置表!$O$1,MATCH(U1761,卡牌辅助配置表!M:M,0)-1,0)+(N1761-1)*OFFSET(卡牌辅助配置表!$P$1,MATCH(U1761,卡牌辅助配置表!M:M,0)-1,0))*M1761,2)</f>
        <v>32.3</v>
      </c>
      <c r="W1761" s="157">
        <f ca="1">ROUND(IF(R1761=0,0,IF(R1761=1,X1761*$W$1,IF(R1761=2,X1761*$W$1*buff的资质计算!$E$2,IF(R1761=3,X1761*$W$1*buff的资质计算!$E$3,0)))),2)</f>
        <v>9.6</v>
      </c>
      <c r="X1761" s="157">
        <f ca="1" t="shared" si="291"/>
        <v>32</v>
      </c>
      <c r="Y1761" s="157" t="e">
        <f ca="1" t="shared" si="299"/>
        <v>#VALUE!</v>
      </c>
      <c r="Z1761" s="304" t="e">
        <f ca="1" t="shared" si="292"/>
        <v>#VALUE!</v>
      </c>
      <c r="AA1761" s="304">
        <f ca="1">OFFSET(卡牌辅助配置表!$AD$1,MATCH(AB1761,卡牌辅助配置表!AB:AB,0)-1,0)</f>
        <v>180</v>
      </c>
      <c r="AB1761" s="304">
        <f ca="1" t="shared" si="297"/>
        <v>1205</v>
      </c>
      <c r="AC1761" s="153">
        <v>10</v>
      </c>
      <c r="AD1761" s="153">
        <v>1</v>
      </c>
      <c r="AE1761" s="153">
        <v>1</v>
      </c>
      <c r="AF1761" s="153" t="str">
        <f ca="1" t="shared" si="300"/>
        <v>30080011|</v>
      </c>
      <c r="AI1761" s="153">
        <v>1</v>
      </c>
      <c r="AJ1761" s="205" t="str">
        <f ca="1" t="shared" si="298"/>
        <v>400023|2250|;</v>
      </c>
      <c r="AK1761" s="205">
        <f ca="1">OFFSET([1]item_type!$A$1,MATCH(Q1761,[1]item_type!$G:$G,0)-1,0)</f>
        <v>303008</v>
      </c>
      <c r="AL1761" s="205"/>
      <c r="AM1761" s="205">
        <f ca="1">IF(B1761=B1762,OFFSET(卡牌辅助配置表!$AE$1,MATCH(AB1761,卡牌辅助配置表!AB:AB,0),0),0)</f>
        <v>2250</v>
      </c>
      <c r="AN1761" s="153">
        <f ca="1" t="shared" si="293"/>
        <v>3008006</v>
      </c>
      <c r="AP1761" s="153" t="str">
        <f ca="1">IF(AC1761=0,0,IF(AC1761=12,0,OFFSET(effect!$N$1,MATCH(K1761,effect!M:M,0)-1,0)))</f>
        <v>kpsx_pt</v>
      </c>
    </row>
    <row r="1762" spans="1:42">
      <c r="A1762" s="153">
        <f ca="1" t="shared" si="294"/>
        <v>3008006</v>
      </c>
      <c r="B1762" s="283" t="s">
        <v>298</v>
      </c>
      <c r="C1762" s="186">
        <v>3</v>
      </c>
      <c r="D1762" s="186">
        <v>4</v>
      </c>
      <c r="E1762" s="165" t="s">
        <v>1069</v>
      </c>
      <c r="F1762" s="179" t="s">
        <v>1071</v>
      </c>
      <c r="G1762" s="186">
        <f ca="1">OFFSET(卡牌辅助配置表!$C$1,MATCH(AC1762,卡牌辅助配置表!A:A,0)-1,0)</f>
        <v>3</v>
      </c>
      <c r="H1762" s="186" t="e">
        <f ca="1">OFFSET(skill!$Q$1,MATCH(B1762,skill!B:B,0)-1,0)</f>
        <v>#VALUE!</v>
      </c>
      <c r="I1762" s="186"/>
      <c r="J1762" s="186">
        <f ca="1">OFFSET(card_type!$F$1,MATCH(Q1762,card_type!A:A,0)-1,0)</f>
        <v>1</v>
      </c>
      <c r="K1762" s="243">
        <f ca="1">OFFSET(card_type!$G$1,MATCH(Q1762,card_type!A:A,0)-1,0)</f>
        <v>2</v>
      </c>
      <c r="L1762" s="157">
        <v>3</v>
      </c>
      <c r="M1762" s="157">
        <v>3</v>
      </c>
      <c r="N1762" s="153">
        <f t="shared" si="295"/>
        <v>6</v>
      </c>
      <c r="O1762" s="157"/>
      <c r="P1762" s="157"/>
      <c r="Q1762" s="153">
        <f ca="1">OFFSET(card_type!$A$1,MATCH(card!B1762,card_type!B:B,0)-1,0)</f>
        <v>3008</v>
      </c>
      <c r="R1762" s="153">
        <v>1</v>
      </c>
      <c r="S1762" s="157">
        <f ca="1">ROUND(IF(R1762=0,0,IF(R1762=1,X1762*$S$1,IF(R1762=2,X1762*$S$1*buff的资质计算!$E$2,IF(R1762=3,X1762*$S$1*buff的资质计算!$E$3,0)))),0)*0</f>
        <v>0</v>
      </c>
      <c r="T1762" s="153">
        <v>5</v>
      </c>
      <c r="U1762" s="153">
        <f ca="1" t="shared" si="296"/>
        <v>12</v>
      </c>
      <c r="V1762" s="153">
        <f ca="1">ROUND((OFFSET(卡牌辅助配置表!$O$1,MATCH(U1762,卡牌辅助配置表!M:M,0)-1,0)+(N1762-1)*OFFSET(卡牌辅助配置表!$P$1,MATCH(U1762,卡牌辅助配置表!M:M,0)-1,0))*M1762,2)</f>
        <v>33.25</v>
      </c>
      <c r="W1762" s="157">
        <f ca="1">ROUND(IF(R1762=0,0,IF(R1762=1,X1762*$W$1,IF(R1762=2,X1762*$W$1*buff的资质计算!$E$2,IF(R1762=3,X1762*$W$1*buff的资质计算!$E$3,0)))),2)</f>
        <v>9.75</v>
      </c>
      <c r="X1762" s="157">
        <f ca="1" t="shared" si="291"/>
        <v>32.5</v>
      </c>
      <c r="Y1762" s="157" t="e">
        <f ca="1" t="shared" si="299"/>
        <v>#VALUE!</v>
      </c>
      <c r="Z1762" s="304" t="e">
        <f ca="1" t="shared" si="292"/>
        <v>#VALUE!</v>
      </c>
      <c r="AA1762" s="304">
        <f ca="1">OFFSET(卡牌辅助配置表!$AD$1,MATCH(AB1762,卡牌辅助配置表!AB:AB,0)-1,0)</f>
        <v>216</v>
      </c>
      <c r="AB1762" s="304">
        <f ca="1" t="shared" si="297"/>
        <v>1206</v>
      </c>
      <c r="AC1762" s="153">
        <v>10</v>
      </c>
      <c r="AD1762" s="153">
        <v>1</v>
      </c>
      <c r="AE1762" s="153">
        <v>1</v>
      </c>
      <c r="AF1762" s="153" t="str">
        <f ca="1" t="shared" si="300"/>
        <v>30080011|</v>
      </c>
      <c r="AI1762" s="153">
        <v>1</v>
      </c>
      <c r="AJ1762" s="205" t="str">
        <f ca="1" t="shared" si="298"/>
        <v>400023|2550|;</v>
      </c>
      <c r="AK1762" s="205">
        <f ca="1">OFFSET([1]item_type!$A$1,MATCH(Q1762,[1]item_type!$G:$G,0)-1,0)</f>
        <v>303008</v>
      </c>
      <c r="AL1762" s="205"/>
      <c r="AM1762" s="205">
        <f ca="1">IF(B1762=B1763,OFFSET(卡牌辅助配置表!$AE$1,MATCH(AB1762,卡牌辅助配置表!AB:AB,0),0),0)</f>
        <v>2550</v>
      </c>
      <c r="AN1762" s="153">
        <f ca="1" t="shared" si="293"/>
        <v>3008007</v>
      </c>
      <c r="AP1762" s="153" t="str">
        <f ca="1">IF(AC1762=0,0,IF(AC1762=12,0,OFFSET(effect!$N$1,MATCH(K1762,effect!M:M,0)-1,0)))</f>
        <v>kpsx_pt</v>
      </c>
    </row>
    <row r="1763" spans="1:42">
      <c r="A1763" s="153">
        <f ca="1" t="shared" si="294"/>
        <v>3008007</v>
      </c>
      <c r="B1763" s="283" t="s">
        <v>298</v>
      </c>
      <c r="C1763" s="186">
        <v>3</v>
      </c>
      <c r="D1763" s="186">
        <v>4</v>
      </c>
      <c r="E1763" s="165" t="s">
        <v>1069</v>
      </c>
      <c r="F1763" s="179" t="s">
        <v>1071</v>
      </c>
      <c r="G1763" s="186">
        <f ca="1">OFFSET(卡牌辅助配置表!$C$1,MATCH(AC1763,卡牌辅助配置表!A:A,0)-1,0)</f>
        <v>3</v>
      </c>
      <c r="H1763" s="186" t="e">
        <f ca="1">OFFSET(skill!$Q$1,MATCH(B1763,skill!B:B,0)-1,0)</f>
        <v>#VALUE!</v>
      </c>
      <c r="I1763" s="186"/>
      <c r="J1763" s="186">
        <f ca="1">OFFSET(card_type!$F$1,MATCH(Q1763,card_type!A:A,0)-1,0)</f>
        <v>1</v>
      </c>
      <c r="K1763" s="243">
        <f ca="1">OFFSET(card_type!$G$1,MATCH(Q1763,card_type!A:A,0)-1,0)</f>
        <v>2</v>
      </c>
      <c r="L1763" s="157">
        <v>3</v>
      </c>
      <c r="M1763" s="157">
        <v>3</v>
      </c>
      <c r="N1763" s="153">
        <f t="shared" si="295"/>
        <v>7</v>
      </c>
      <c r="O1763" s="157"/>
      <c r="P1763" s="157"/>
      <c r="Q1763" s="153">
        <f ca="1">OFFSET(card_type!$A$1,MATCH(card!B1763,card_type!B:B,0)-1,0)</f>
        <v>3008</v>
      </c>
      <c r="R1763" s="153">
        <v>1</v>
      </c>
      <c r="S1763" s="157">
        <f ca="1">ROUND(IF(R1763=0,0,IF(R1763=1,X1763*$S$1,IF(R1763=2,X1763*$S$1*buff的资质计算!$E$2,IF(R1763=3,X1763*$S$1*buff的资质计算!$E$3,0)))),0)*0</f>
        <v>0</v>
      </c>
      <c r="T1763" s="153">
        <v>5</v>
      </c>
      <c r="U1763" s="153">
        <f ca="1" t="shared" si="296"/>
        <v>12</v>
      </c>
      <c r="V1763" s="153">
        <f ca="1">ROUND((OFFSET(卡牌辅助配置表!$O$1,MATCH(U1763,卡牌辅助配置表!M:M,0)-1,0)+(N1763-1)*OFFSET(卡牌辅助配置表!$P$1,MATCH(U1763,卡牌辅助配置表!M:M,0)-1,0))*M1763,2)</f>
        <v>34.2</v>
      </c>
      <c r="W1763" s="157">
        <f ca="1">ROUND(IF(R1763=0,0,IF(R1763=1,X1763*$W$1,IF(R1763=2,X1763*$W$1*buff的资质计算!$E$2,IF(R1763=3,X1763*$W$1*buff的资质计算!$E$3,0)))),2)</f>
        <v>9.9</v>
      </c>
      <c r="X1763" s="157">
        <f ca="1" t="shared" si="291"/>
        <v>33</v>
      </c>
      <c r="Y1763" s="157" t="e">
        <f ca="1" t="shared" si="299"/>
        <v>#VALUE!</v>
      </c>
      <c r="Z1763" s="304" t="e">
        <f ca="1" t="shared" si="292"/>
        <v>#VALUE!</v>
      </c>
      <c r="AA1763" s="304">
        <f ca="1">OFFSET(卡牌辅助配置表!$AD$1,MATCH(AB1763,卡牌辅助配置表!AB:AB,0)-1,0)</f>
        <v>252</v>
      </c>
      <c r="AB1763" s="304">
        <f ca="1" t="shared" si="297"/>
        <v>1207</v>
      </c>
      <c r="AC1763" s="153">
        <v>10</v>
      </c>
      <c r="AD1763" s="153">
        <v>1</v>
      </c>
      <c r="AE1763" s="153">
        <v>1</v>
      </c>
      <c r="AF1763" s="153" t="str">
        <f ca="1" t="shared" si="300"/>
        <v>30080011|</v>
      </c>
      <c r="AI1763" s="153">
        <v>1</v>
      </c>
      <c r="AJ1763" s="205" t="str">
        <f ca="1" t="shared" si="298"/>
        <v>400023|2850|;</v>
      </c>
      <c r="AK1763" s="205">
        <f ca="1">OFFSET([1]item_type!$A$1,MATCH(Q1763,[1]item_type!$G:$G,0)-1,0)</f>
        <v>303008</v>
      </c>
      <c r="AL1763" s="205"/>
      <c r="AM1763" s="205">
        <f ca="1">IF(B1763=B1764,OFFSET(卡牌辅助配置表!$AE$1,MATCH(AB1763,卡牌辅助配置表!AB:AB,0),0),0)</f>
        <v>2850</v>
      </c>
      <c r="AN1763" s="153">
        <f ca="1" t="shared" si="293"/>
        <v>3008008</v>
      </c>
      <c r="AP1763" s="153" t="str">
        <f ca="1">IF(AC1763=0,0,IF(AC1763=12,0,OFFSET(effect!$N$1,MATCH(K1763,effect!M:M,0)-1,0)))</f>
        <v>kpsx_pt</v>
      </c>
    </row>
    <row r="1764" spans="1:42">
      <c r="A1764" s="153">
        <f ca="1" t="shared" si="294"/>
        <v>3008008</v>
      </c>
      <c r="B1764" s="283" t="s">
        <v>298</v>
      </c>
      <c r="C1764" s="186">
        <v>3</v>
      </c>
      <c r="D1764" s="186">
        <v>4</v>
      </c>
      <c r="E1764" s="165" t="s">
        <v>1069</v>
      </c>
      <c r="F1764" s="179" t="s">
        <v>1071</v>
      </c>
      <c r="G1764" s="186">
        <f ca="1">OFFSET(卡牌辅助配置表!$C$1,MATCH(AC1764,卡牌辅助配置表!A:A,0)-1,0)</f>
        <v>3</v>
      </c>
      <c r="H1764" s="186" t="e">
        <f ca="1">OFFSET(skill!$Q$1,MATCH(B1764,skill!B:B,0)-1,0)</f>
        <v>#VALUE!</v>
      </c>
      <c r="I1764" s="186"/>
      <c r="J1764" s="186">
        <f ca="1">OFFSET(card_type!$F$1,MATCH(Q1764,card_type!A:A,0)-1,0)</f>
        <v>1</v>
      </c>
      <c r="K1764" s="243">
        <f ca="1">OFFSET(card_type!$G$1,MATCH(Q1764,card_type!A:A,0)-1,0)</f>
        <v>2</v>
      </c>
      <c r="L1764" s="157">
        <v>3</v>
      </c>
      <c r="M1764" s="157">
        <v>3</v>
      </c>
      <c r="N1764" s="153">
        <f t="shared" si="295"/>
        <v>8</v>
      </c>
      <c r="O1764" s="157"/>
      <c r="P1764" s="157"/>
      <c r="Q1764" s="153">
        <f ca="1">OFFSET(card_type!$A$1,MATCH(card!B1764,card_type!B:B,0)-1,0)</f>
        <v>3008</v>
      </c>
      <c r="R1764" s="153">
        <v>1</v>
      </c>
      <c r="S1764" s="157">
        <f ca="1">ROUND(IF(R1764=0,0,IF(R1764=1,X1764*$S$1,IF(R1764=2,X1764*$S$1*buff的资质计算!$E$2,IF(R1764=3,X1764*$S$1*buff的资质计算!$E$3,0)))),0)*0</f>
        <v>0</v>
      </c>
      <c r="T1764" s="153">
        <v>5</v>
      </c>
      <c r="U1764" s="153">
        <f ca="1" t="shared" si="296"/>
        <v>12</v>
      </c>
      <c r="V1764" s="153">
        <f ca="1">ROUND((OFFSET(卡牌辅助配置表!$O$1,MATCH(U1764,卡牌辅助配置表!M:M,0)-1,0)+(N1764-1)*OFFSET(卡牌辅助配置表!$P$1,MATCH(U1764,卡牌辅助配置表!M:M,0)-1,0))*M1764,2)</f>
        <v>35.15</v>
      </c>
      <c r="W1764" s="157">
        <f ca="1">ROUND(IF(R1764=0,0,IF(R1764=1,X1764*$W$1,IF(R1764=2,X1764*$W$1*buff的资质计算!$E$2,IF(R1764=3,X1764*$W$1*buff的资质计算!$E$3,0)))),2)</f>
        <v>10.05</v>
      </c>
      <c r="X1764" s="157">
        <f ca="1" t="shared" si="291"/>
        <v>33.5</v>
      </c>
      <c r="Y1764" s="157" t="e">
        <f ca="1" t="shared" si="299"/>
        <v>#VALUE!</v>
      </c>
      <c r="Z1764" s="304" t="e">
        <f ca="1" t="shared" si="292"/>
        <v>#VALUE!</v>
      </c>
      <c r="AA1764" s="304">
        <f ca="1">OFFSET(卡牌辅助配置表!$AD$1,MATCH(AB1764,卡牌辅助配置表!AB:AB,0)-1,0)</f>
        <v>288</v>
      </c>
      <c r="AB1764" s="304">
        <f ca="1" t="shared" si="297"/>
        <v>1208</v>
      </c>
      <c r="AC1764" s="153">
        <v>10</v>
      </c>
      <c r="AD1764" s="153">
        <v>1</v>
      </c>
      <c r="AE1764" s="153">
        <v>1</v>
      </c>
      <c r="AF1764" s="153" t="str">
        <f ca="1" t="shared" si="300"/>
        <v>30080011|</v>
      </c>
      <c r="AI1764" s="153">
        <v>1</v>
      </c>
      <c r="AJ1764" s="205" t="str">
        <f ca="1" t="shared" si="298"/>
        <v>400023|3150|;</v>
      </c>
      <c r="AK1764" s="205">
        <f ca="1">OFFSET([1]item_type!$A$1,MATCH(Q1764,[1]item_type!$G:$G,0)-1,0)</f>
        <v>303008</v>
      </c>
      <c r="AL1764" s="205"/>
      <c r="AM1764" s="205">
        <f ca="1">IF(B1764=B1765,OFFSET(卡牌辅助配置表!$AE$1,MATCH(AB1764,卡牌辅助配置表!AB:AB,0),0),0)</f>
        <v>3150</v>
      </c>
      <c r="AN1764" s="153">
        <f ca="1" t="shared" si="293"/>
        <v>3008009</v>
      </c>
      <c r="AP1764" s="153" t="str">
        <f ca="1">IF(AC1764=0,0,IF(AC1764=12,0,OFFSET(effect!$N$1,MATCH(K1764,effect!M:M,0)-1,0)))</f>
        <v>kpsx_pt</v>
      </c>
    </row>
    <row r="1765" spans="1:42">
      <c r="A1765" s="153">
        <f ca="1" t="shared" si="294"/>
        <v>3008009</v>
      </c>
      <c r="B1765" s="283" t="s">
        <v>298</v>
      </c>
      <c r="C1765" s="186">
        <v>3</v>
      </c>
      <c r="D1765" s="186">
        <v>4</v>
      </c>
      <c r="E1765" s="165" t="s">
        <v>1069</v>
      </c>
      <c r="F1765" s="179" t="s">
        <v>1071</v>
      </c>
      <c r="G1765" s="186">
        <f ca="1">OFFSET(卡牌辅助配置表!$C$1,MATCH(AC1765,卡牌辅助配置表!A:A,0)-1,0)</f>
        <v>3</v>
      </c>
      <c r="H1765" s="186" t="e">
        <f ca="1">OFFSET(skill!$Q$1,MATCH(B1765,skill!B:B,0)-1,0)</f>
        <v>#VALUE!</v>
      </c>
      <c r="I1765" s="186"/>
      <c r="J1765" s="186">
        <f ca="1">OFFSET(card_type!$F$1,MATCH(Q1765,card_type!A:A,0)-1,0)</f>
        <v>1</v>
      </c>
      <c r="K1765" s="243">
        <f ca="1">OFFSET(card_type!$G$1,MATCH(Q1765,card_type!A:A,0)-1,0)</f>
        <v>2</v>
      </c>
      <c r="L1765" s="157">
        <v>3</v>
      </c>
      <c r="M1765" s="157">
        <v>3</v>
      </c>
      <c r="N1765" s="153">
        <f t="shared" si="295"/>
        <v>9</v>
      </c>
      <c r="O1765" s="157"/>
      <c r="P1765" s="157"/>
      <c r="Q1765" s="153">
        <f ca="1">OFFSET(card_type!$A$1,MATCH(card!B1765,card_type!B:B,0)-1,0)</f>
        <v>3008</v>
      </c>
      <c r="R1765" s="153">
        <v>1</v>
      </c>
      <c r="S1765" s="157">
        <f ca="1">ROUND(IF(R1765=0,0,IF(R1765=1,X1765*$S$1,IF(R1765=2,X1765*$S$1*buff的资质计算!$E$2,IF(R1765=3,X1765*$S$1*buff的资质计算!$E$3,0)))),0)*0</f>
        <v>0</v>
      </c>
      <c r="T1765" s="153">
        <v>5</v>
      </c>
      <c r="U1765" s="153">
        <f ca="1" t="shared" si="296"/>
        <v>12</v>
      </c>
      <c r="V1765" s="153">
        <f ca="1">ROUND((OFFSET(卡牌辅助配置表!$O$1,MATCH(U1765,卡牌辅助配置表!M:M,0)-1,0)+(N1765-1)*OFFSET(卡牌辅助配置表!$P$1,MATCH(U1765,卡牌辅助配置表!M:M,0)-1,0))*M1765,2)</f>
        <v>36.1</v>
      </c>
      <c r="W1765" s="157">
        <f ca="1">ROUND(IF(R1765=0,0,IF(R1765=1,X1765*$W$1,IF(R1765=2,X1765*$W$1*buff的资质计算!$E$2,IF(R1765=3,X1765*$W$1*buff的资质计算!$E$3,0)))),2)</f>
        <v>10.2</v>
      </c>
      <c r="X1765" s="157">
        <f ca="1" t="shared" si="291"/>
        <v>34</v>
      </c>
      <c r="Y1765" s="157" t="e">
        <f ca="1" t="shared" si="299"/>
        <v>#VALUE!</v>
      </c>
      <c r="Z1765" s="304" t="e">
        <f ca="1" t="shared" si="292"/>
        <v>#VALUE!</v>
      </c>
      <c r="AA1765" s="304">
        <f ca="1">OFFSET(卡牌辅助配置表!$AD$1,MATCH(AB1765,卡牌辅助配置表!AB:AB,0)-1,0)</f>
        <v>324</v>
      </c>
      <c r="AB1765" s="304">
        <f ca="1" t="shared" si="297"/>
        <v>1209</v>
      </c>
      <c r="AC1765" s="153">
        <v>10</v>
      </c>
      <c r="AD1765" s="153">
        <v>1</v>
      </c>
      <c r="AE1765" s="153">
        <v>1</v>
      </c>
      <c r="AF1765" s="153" t="str">
        <f ca="1" t="shared" si="300"/>
        <v>30080011|</v>
      </c>
      <c r="AI1765" s="153">
        <v>1</v>
      </c>
      <c r="AJ1765" s="205" t="str">
        <f ca="1" t="shared" si="298"/>
        <v>303008|15|;400023|3450|;</v>
      </c>
      <c r="AK1765" s="205">
        <f ca="1">OFFSET([1]item_type!$A$1,MATCH(Q1765,[1]item_type!$G:$G,0)-1,0)</f>
        <v>303008</v>
      </c>
      <c r="AL1765" s="205">
        <v>15</v>
      </c>
      <c r="AM1765" s="205">
        <f ca="1">IF(B1765=B1766,OFFSET(卡牌辅助配置表!$AE$1,MATCH(AB1765,卡牌辅助配置表!AB:AB,0),0),0)</f>
        <v>3450</v>
      </c>
      <c r="AN1765" s="153">
        <f ca="1" t="shared" si="293"/>
        <v>3008010</v>
      </c>
      <c r="AP1765" s="153" t="str">
        <f ca="1">IF(AC1765=0,0,IF(AC1765=12,0,OFFSET(effect!$N$1,MATCH(K1765,effect!M:M,0)-1,0)))</f>
        <v>kpsx_pt</v>
      </c>
    </row>
    <row r="1766" spans="1:42">
      <c r="A1766" s="153">
        <f ca="1" t="shared" si="294"/>
        <v>3008010</v>
      </c>
      <c r="B1766" s="283" t="s">
        <v>298</v>
      </c>
      <c r="C1766" s="186">
        <v>3</v>
      </c>
      <c r="D1766" s="186">
        <v>4</v>
      </c>
      <c r="E1766" s="165" t="s">
        <v>1069</v>
      </c>
      <c r="F1766" s="179" t="s">
        <v>1071</v>
      </c>
      <c r="G1766" s="186">
        <f ca="1">OFFSET(卡牌辅助配置表!$C$1,MATCH(AC1766,卡牌辅助配置表!A:A,0)-1,0)</f>
        <v>3</v>
      </c>
      <c r="H1766" s="186" t="e">
        <f ca="1">OFFSET(skill!$Q$1,MATCH(B1766,skill!B:B,0)-1,0)</f>
        <v>#VALUE!</v>
      </c>
      <c r="I1766" s="186"/>
      <c r="J1766" s="186">
        <f ca="1">OFFSET(card_type!$F$1,MATCH(Q1766,card_type!A:A,0)-1,0)</f>
        <v>1</v>
      </c>
      <c r="K1766" s="243">
        <f ca="1">OFFSET(card_type!$G$1,MATCH(Q1766,card_type!A:A,0)-1,0)</f>
        <v>2</v>
      </c>
      <c r="L1766" s="157">
        <v>3</v>
      </c>
      <c r="M1766" s="157">
        <v>3</v>
      </c>
      <c r="N1766" s="153">
        <f t="shared" si="295"/>
        <v>10</v>
      </c>
      <c r="O1766" s="157"/>
      <c r="P1766" s="157"/>
      <c r="Q1766" s="153">
        <f ca="1">OFFSET(card_type!$A$1,MATCH(card!B1766,card_type!B:B,0)-1,0)</f>
        <v>3008</v>
      </c>
      <c r="R1766" s="153">
        <v>1</v>
      </c>
      <c r="S1766" s="157">
        <f ca="1">ROUND(IF(R1766=0,0,IF(R1766=1,X1766*$S$1,IF(R1766=2,X1766*$S$1*buff的资质计算!$E$2,IF(R1766=3,X1766*$S$1*buff的资质计算!$E$3,0)))),0)*0</f>
        <v>0</v>
      </c>
      <c r="T1766" s="153">
        <v>5</v>
      </c>
      <c r="U1766" s="153">
        <f ca="1" t="shared" si="296"/>
        <v>12</v>
      </c>
      <c r="V1766" s="153">
        <f ca="1">ROUND((OFFSET(卡牌辅助配置表!$O$1,MATCH(U1766,卡牌辅助配置表!M:M,0)-1,0)+(N1766-1)*OFFSET(卡牌辅助配置表!$P$1,MATCH(U1766,卡牌辅助配置表!M:M,0)-1,0))*M1766,2)</f>
        <v>37.05</v>
      </c>
      <c r="W1766" s="157">
        <f ca="1">ROUND(IF(R1766=0,0,IF(R1766=1,X1766*$W$1,IF(R1766=2,X1766*$W$1*buff的资质计算!$E$2,IF(R1766=3,X1766*$W$1*buff的资质计算!$E$3,0)))),2)</f>
        <v>10.35</v>
      </c>
      <c r="X1766" s="157">
        <f ca="1" t="shared" si="291"/>
        <v>34.5</v>
      </c>
      <c r="Y1766" s="157" t="e">
        <f ca="1" t="shared" si="299"/>
        <v>#VALUE!</v>
      </c>
      <c r="Z1766" s="304" t="e">
        <f ca="1" t="shared" si="292"/>
        <v>#VALUE!</v>
      </c>
      <c r="AA1766" s="304">
        <f ca="1">OFFSET(卡牌辅助配置表!$AD$1,MATCH(AB1766,卡牌辅助配置表!AB:AB,0)-1,0)</f>
        <v>360</v>
      </c>
      <c r="AB1766" s="304">
        <f ca="1" t="shared" si="297"/>
        <v>1210</v>
      </c>
      <c r="AC1766" s="153">
        <v>10</v>
      </c>
      <c r="AD1766" s="153">
        <v>1</v>
      </c>
      <c r="AE1766" s="153">
        <v>1</v>
      </c>
      <c r="AF1766" s="153" t="str">
        <f ca="1" t="shared" si="300"/>
        <v>30080011|</v>
      </c>
      <c r="AI1766" s="153">
        <v>1</v>
      </c>
      <c r="AJ1766" s="205" t="str">
        <f ca="1" t="shared" si="298"/>
        <v>400023|4050|;</v>
      </c>
      <c r="AK1766" s="205">
        <f ca="1">OFFSET([1]item_type!$A$1,MATCH(Q1766,[1]item_type!$G:$G,0)-1,0)</f>
        <v>303008</v>
      </c>
      <c r="AL1766" s="205"/>
      <c r="AM1766" s="205">
        <f ca="1">IF(B1766=B1767,OFFSET(卡牌辅助配置表!$AE$1,MATCH(AB1766,卡牌辅助配置表!AB:AB,0),0),0)</f>
        <v>4050</v>
      </c>
      <c r="AN1766" s="153">
        <f ca="1" t="shared" si="293"/>
        <v>3008011</v>
      </c>
      <c r="AP1766" s="153" t="str">
        <f ca="1">IF(AC1766=0,0,IF(AC1766=12,0,OFFSET(effect!$N$1,MATCH(K1766,effect!M:M,0)-1,0)))</f>
        <v>kpsx_pt</v>
      </c>
    </row>
    <row r="1767" spans="1:42">
      <c r="A1767" s="153">
        <f ca="1" t="shared" si="294"/>
        <v>3008011</v>
      </c>
      <c r="B1767" s="283" t="s">
        <v>298</v>
      </c>
      <c r="C1767" s="186">
        <v>3</v>
      </c>
      <c r="D1767" s="186">
        <v>4</v>
      </c>
      <c r="E1767" s="165" t="s">
        <v>1069</v>
      </c>
      <c r="F1767" s="179" t="s">
        <v>1071</v>
      </c>
      <c r="G1767" s="186">
        <f ca="1">OFFSET(卡牌辅助配置表!$C$1,MATCH(AC1767,卡牌辅助配置表!A:A,0)-1,0)</f>
        <v>3</v>
      </c>
      <c r="H1767" s="186" t="e">
        <f ca="1">OFFSET(skill!$Q$1,MATCH(B1767,skill!B:B,0)-1,0)</f>
        <v>#VALUE!</v>
      </c>
      <c r="I1767" s="186"/>
      <c r="J1767" s="186">
        <f ca="1">OFFSET(card_type!$F$1,MATCH(Q1767,card_type!A:A,0)-1,0)</f>
        <v>1</v>
      </c>
      <c r="K1767" s="243">
        <f ca="1">OFFSET(card_type!$G$1,MATCH(Q1767,card_type!A:A,0)-1,0)</f>
        <v>2</v>
      </c>
      <c r="L1767" s="157">
        <v>3</v>
      </c>
      <c r="M1767" s="157">
        <v>3</v>
      </c>
      <c r="N1767" s="153">
        <f t="shared" si="295"/>
        <v>11</v>
      </c>
      <c r="O1767" s="157"/>
      <c r="P1767" s="157"/>
      <c r="Q1767" s="153">
        <f ca="1">OFFSET(card_type!$A$1,MATCH(card!B1767,card_type!B:B,0)-1,0)</f>
        <v>3008</v>
      </c>
      <c r="R1767" s="153">
        <v>1</v>
      </c>
      <c r="S1767" s="157">
        <f ca="1">ROUND(IF(R1767=0,0,IF(R1767=1,X1767*$S$1,IF(R1767=2,X1767*$S$1*buff的资质计算!$E$2,IF(R1767=3,X1767*$S$1*buff的资质计算!$E$3,0)))),0)*0</f>
        <v>0</v>
      </c>
      <c r="T1767" s="153">
        <v>5</v>
      </c>
      <c r="U1767" s="153">
        <f ca="1" t="shared" si="296"/>
        <v>12</v>
      </c>
      <c r="V1767" s="153">
        <f ca="1">ROUND((OFFSET(卡牌辅助配置表!$O$1,MATCH(U1767,卡牌辅助配置表!M:M,0)-1,0)+(N1767-1)*OFFSET(卡牌辅助配置表!$P$1,MATCH(U1767,卡牌辅助配置表!M:M,0)-1,0))*M1767,2)</f>
        <v>38</v>
      </c>
      <c r="W1767" s="157">
        <f ca="1">ROUND(IF(R1767=0,0,IF(R1767=1,X1767*$W$1,IF(R1767=2,X1767*$W$1*buff的资质计算!$E$2,IF(R1767=3,X1767*$W$1*buff的资质计算!$E$3,0)))),2)</f>
        <v>10.5</v>
      </c>
      <c r="X1767" s="157">
        <f ca="1" t="shared" si="291"/>
        <v>35</v>
      </c>
      <c r="Y1767" s="157" t="e">
        <f ca="1" t="shared" si="299"/>
        <v>#VALUE!</v>
      </c>
      <c r="Z1767" s="304" t="e">
        <f ca="1" t="shared" si="292"/>
        <v>#VALUE!</v>
      </c>
      <c r="AA1767" s="304">
        <f ca="1">OFFSET(卡牌辅助配置表!$AD$1,MATCH(AB1767,卡牌辅助配置表!AB:AB,0)-1,0)</f>
        <v>415</v>
      </c>
      <c r="AB1767" s="304">
        <f ca="1" t="shared" si="297"/>
        <v>1211</v>
      </c>
      <c r="AC1767" s="153">
        <v>10</v>
      </c>
      <c r="AD1767" s="153">
        <v>1</v>
      </c>
      <c r="AE1767" s="153">
        <v>1</v>
      </c>
      <c r="AF1767" s="153" t="str">
        <f ca="1" t="shared" si="300"/>
        <v>30080011|</v>
      </c>
      <c r="AI1767" s="153">
        <v>1</v>
      </c>
      <c r="AJ1767" s="205" t="str">
        <f ca="1" t="shared" si="298"/>
        <v>400023|4650|;</v>
      </c>
      <c r="AK1767" s="205">
        <f ca="1">OFFSET([1]item_type!$A$1,MATCH(Q1767,[1]item_type!$G:$G,0)-1,0)</f>
        <v>303008</v>
      </c>
      <c r="AL1767" s="205"/>
      <c r="AM1767" s="205">
        <f ca="1">IF(B1767=B1768,OFFSET(卡牌辅助配置表!$AE$1,MATCH(AB1767,卡牌辅助配置表!AB:AB,0),0),0)</f>
        <v>4650</v>
      </c>
      <c r="AN1767" s="153">
        <f ca="1" t="shared" si="293"/>
        <v>3008012</v>
      </c>
      <c r="AP1767" s="153" t="str">
        <f ca="1">IF(AC1767=0,0,IF(AC1767=12,0,OFFSET(effect!$N$1,MATCH(K1767,effect!M:M,0)-1,0)))</f>
        <v>kpsx_pt</v>
      </c>
    </row>
    <row r="1768" spans="1:42">
      <c r="A1768" s="153">
        <f ca="1" t="shared" si="294"/>
        <v>3008012</v>
      </c>
      <c r="B1768" s="283" t="s">
        <v>298</v>
      </c>
      <c r="C1768" s="186">
        <v>3</v>
      </c>
      <c r="D1768" s="186">
        <v>4</v>
      </c>
      <c r="E1768" s="165" t="s">
        <v>1069</v>
      </c>
      <c r="F1768" s="179" t="s">
        <v>1071</v>
      </c>
      <c r="G1768" s="186">
        <f ca="1">OFFSET(卡牌辅助配置表!$C$1,MATCH(AC1768,卡牌辅助配置表!A:A,0)-1,0)</f>
        <v>3</v>
      </c>
      <c r="H1768" s="186" t="e">
        <f ca="1">OFFSET(skill!$Q$1,MATCH(B1768,skill!B:B,0)-1,0)</f>
        <v>#VALUE!</v>
      </c>
      <c r="I1768" s="186"/>
      <c r="J1768" s="186">
        <f ca="1">OFFSET(card_type!$F$1,MATCH(Q1768,card_type!A:A,0)-1,0)</f>
        <v>1</v>
      </c>
      <c r="K1768" s="243">
        <f ca="1">OFFSET(card_type!$G$1,MATCH(Q1768,card_type!A:A,0)-1,0)</f>
        <v>2</v>
      </c>
      <c r="L1768" s="157">
        <v>3</v>
      </c>
      <c r="M1768" s="157">
        <v>3</v>
      </c>
      <c r="N1768" s="153">
        <f t="shared" si="295"/>
        <v>12</v>
      </c>
      <c r="O1768" s="157"/>
      <c r="P1768" s="157"/>
      <c r="Q1768" s="153">
        <f ca="1">OFFSET(card_type!$A$1,MATCH(card!B1768,card_type!B:B,0)-1,0)</f>
        <v>3008</v>
      </c>
      <c r="R1768" s="153">
        <v>1</v>
      </c>
      <c r="S1768" s="157">
        <f ca="1">ROUND(IF(R1768=0,0,IF(R1768=1,X1768*$S$1,IF(R1768=2,X1768*$S$1*buff的资质计算!$E$2,IF(R1768=3,X1768*$S$1*buff的资质计算!$E$3,0)))),0)*0</f>
        <v>0</v>
      </c>
      <c r="T1768" s="153">
        <v>5</v>
      </c>
      <c r="U1768" s="153">
        <f ca="1" t="shared" si="296"/>
        <v>12</v>
      </c>
      <c r="V1768" s="153">
        <f ca="1">ROUND((OFFSET(卡牌辅助配置表!$O$1,MATCH(U1768,卡牌辅助配置表!M:M,0)-1,0)+(N1768-1)*OFFSET(卡牌辅助配置表!$P$1,MATCH(U1768,卡牌辅助配置表!M:M,0)-1,0))*M1768,2)</f>
        <v>38.95</v>
      </c>
      <c r="W1768" s="157">
        <f ca="1">ROUND(IF(R1768=0,0,IF(R1768=1,X1768*$W$1,IF(R1768=2,X1768*$W$1*buff的资质计算!$E$2,IF(R1768=3,X1768*$W$1*buff的资质计算!$E$3,0)))),2)</f>
        <v>10.65</v>
      </c>
      <c r="X1768" s="157">
        <f ca="1" t="shared" si="291"/>
        <v>35.5</v>
      </c>
      <c r="Y1768" s="157" t="e">
        <f ca="1" t="shared" si="299"/>
        <v>#VALUE!</v>
      </c>
      <c r="Z1768" s="304" t="e">
        <f ca="1" t="shared" si="292"/>
        <v>#VALUE!</v>
      </c>
      <c r="AA1768" s="304">
        <f ca="1">OFFSET(卡牌辅助配置表!$AD$1,MATCH(AB1768,卡牌辅助配置表!AB:AB,0)-1,0)</f>
        <v>470</v>
      </c>
      <c r="AB1768" s="304">
        <f ca="1" t="shared" si="297"/>
        <v>1212</v>
      </c>
      <c r="AC1768" s="153">
        <v>10</v>
      </c>
      <c r="AD1768" s="153">
        <v>1</v>
      </c>
      <c r="AE1768" s="153">
        <v>1</v>
      </c>
      <c r="AF1768" s="153" t="str">
        <f ca="1" t="shared" si="300"/>
        <v>30080011|</v>
      </c>
      <c r="AI1768" s="153">
        <v>1</v>
      </c>
      <c r="AJ1768" s="205" t="str">
        <f ca="1" t="shared" si="298"/>
        <v>400023|5250|;</v>
      </c>
      <c r="AK1768" s="205">
        <f ca="1">OFFSET([1]item_type!$A$1,MATCH(Q1768,[1]item_type!$G:$G,0)-1,0)</f>
        <v>303008</v>
      </c>
      <c r="AL1768" s="205"/>
      <c r="AM1768" s="205">
        <f ca="1">IF(B1768=B1769,OFFSET(卡牌辅助配置表!$AE$1,MATCH(AB1768,卡牌辅助配置表!AB:AB,0),0),0)</f>
        <v>5250</v>
      </c>
      <c r="AN1768" s="153">
        <f ca="1" t="shared" si="293"/>
        <v>3008013</v>
      </c>
      <c r="AP1768" s="153" t="str">
        <f ca="1">IF(AC1768=0,0,IF(AC1768=12,0,OFFSET(effect!$N$1,MATCH(K1768,effect!M:M,0)-1,0)))</f>
        <v>kpsx_pt</v>
      </c>
    </row>
    <row r="1769" spans="1:42">
      <c r="A1769" s="153">
        <f ca="1" t="shared" si="294"/>
        <v>3008013</v>
      </c>
      <c r="B1769" s="283" t="s">
        <v>298</v>
      </c>
      <c r="C1769" s="186">
        <v>3</v>
      </c>
      <c r="D1769" s="186">
        <v>4</v>
      </c>
      <c r="E1769" s="165" t="s">
        <v>1069</v>
      </c>
      <c r="F1769" s="179" t="s">
        <v>1071</v>
      </c>
      <c r="G1769" s="186">
        <f ca="1">OFFSET(卡牌辅助配置表!$C$1,MATCH(AC1769,卡牌辅助配置表!A:A,0)-1,0)</f>
        <v>3</v>
      </c>
      <c r="H1769" s="186" t="e">
        <f ca="1">OFFSET(skill!$Q$1,MATCH(B1769,skill!B:B,0)-1,0)</f>
        <v>#VALUE!</v>
      </c>
      <c r="I1769" s="186"/>
      <c r="J1769" s="186">
        <f ca="1">OFFSET(card_type!$F$1,MATCH(Q1769,card_type!A:A,0)-1,0)</f>
        <v>1</v>
      </c>
      <c r="K1769" s="243">
        <f ca="1">OFFSET(card_type!$G$1,MATCH(Q1769,card_type!A:A,0)-1,0)</f>
        <v>2</v>
      </c>
      <c r="L1769" s="157">
        <v>3</v>
      </c>
      <c r="M1769" s="157">
        <v>3</v>
      </c>
      <c r="N1769" s="153">
        <f t="shared" si="295"/>
        <v>13</v>
      </c>
      <c r="O1769" s="157"/>
      <c r="P1769" s="157"/>
      <c r="Q1769" s="153">
        <f ca="1">OFFSET(card_type!$A$1,MATCH(card!B1769,card_type!B:B,0)-1,0)</f>
        <v>3008</v>
      </c>
      <c r="R1769" s="153">
        <v>1</v>
      </c>
      <c r="S1769" s="157">
        <f ca="1">ROUND(IF(R1769=0,0,IF(R1769=1,X1769*$S$1,IF(R1769=2,X1769*$S$1*buff的资质计算!$E$2,IF(R1769=3,X1769*$S$1*buff的资质计算!$E$3,0)))),0)*0</f>
        <v>0</v>
      </c>
      <c r="T1769" s="153">
        <v>5</v>
      </c>
      <c r="U1769" s="153">
        <f ca="1" t="shared" si="296"/>
        <v>12</v>
      </c>
      <c r="V1769" s="153">
        <f ca="1">ROUND((OFFSET(卡牌辅助配置表!$O$1,MATCH(U1769,卡牌辅助配置表!M:M,0)-1,0)+(N1769-1)*OFFSET(卡牌辅助配置表!$P$1,MATCH(U1769,卡牌辅助配置表!M:M,0)-1,0))*M1769,2)</f>
        <v>39.9</v>
      </c>
      <c r="W1769" s="157">
        <f ca="1">ROUND(IF(R1769=0,0,IF(R1769=1,X1769*$W$1,IF(R1769=2,X1769*$W$1*buff的资质计算!$E$2,IF(R1769=3,X1769*$W$1*buff的资质计算!$E$3,0)))),2)</f>
        <v>10.8</v>
      </c>
      <c r="X1769" s="157">
        <f ca="1" t="shared" si="291"/>
        <v>36</v>
      </c>
      <c r="Y1769" s="157" t="e">
        <f ca="1" t="shared" si="299"/>
        <v>#VALUE!</v>
      </c>
      <c r="Z1769" s="304" t="e">
        <f ca="1" t="shared" si="292"/>
        <v>#VALUE!</v>
      </c>
      <c r="AA1769" s="304">
        <f ca="1">OFFSET(卡牌辅助配置表!$AD$1,MATCH(AB1769,卡牌辅助配置表!AB:AB,0)-1,0)</f>
        <v>525</v>
      </c>
      <c r="AB1769" s="304">
        <f ca="1" t="shared" si="297"/>
        <v>1213</v>
      </c>
      <c r="AC1769" s="153">
        <v>10</v>
      </c>
      <c r="AD1769" s="153">
        <v>1</v>
      </c>
      <c r="AE1769" s="153">
        <v>1</v>
      </c>
      <c r="AF1769" s="153" t="str">
        <f ca="1" t="shared" si="300"/>
        <v>30080011|</v>
      </c>
      <c r="AI1769" s="153">
        <v>1</v>
      </c>
      <c r="AJ1769" s="205" t="str">
        <f ca="1" t="shared" si="298"/>
        <v>400023|5850|;</v>
      </c>
      <c r="AK1769" s="205">
        <f ca="1">OFFSET([1]item_type!$A$1,MATCH(Q1769,[1]item_type!$G:$G,0)-1,0)</f>
        <v>303008</v>
      </c>
      <c r="AL1769" s="205"/>
      <c r="AM1769" s="205">
        <f ca="1">IF(B1769=B1770,OFFSET(卡牌辅助配置表!$AE$1,MATCH(AB1769,卡牌辅助配置表!AB:AB,0),0),0)</f>
        <v>5850</v>
      </c>
      <c r="AN1769" s="153">
        <f ca="1" t="shared" si="293"/>
        <v>3008014</v>
      </c>
      <c r="AP1769" s="153" t="str">
        <f ca="1">IF(AC1769=0,0,IF(AC1769=12,0,OFFSET(effect!$N$1,MATCH(K1769,effect!M:M,0)-1,0)))</f>
        <v>kpsx_pt</v>
      </c>
    </row>
    <row r="1770" spans="1:42">
      <c r="A1770" s="153">
        <f ca="1" t="shared" si="294"/>
        <v>3008014</v>
      </c>
      <c r="B1770" s="283" t="s">
        <v>298</v>
      </c>
      <c r="C1770" s="186">
        <v>3</v>
      </c>
      <c r="D1770" s="186">
        <v>4</v>
      </c>
      <c r="E1770" s="165" t="s">
        <v>1069</v>
      </c>
      <c r="F1770" s="179" t="s">
        <v>1071</v>
      </c>
      <c r="G1770" s="186">
        <f ca="1">OFFSET(卡牌辅助配置表!$C$1,MATCH(AC1770,卡牌辅助配置表!A:A,0)-1,0)</f>
        <v>3</v>
      </c>
      <c r="H1770" s="186" t="e">
        <f ca="1">OFFSET(skill!$Q$1,MATCH(B1770,skill!B:B,0)-1,0)</f>
        <v>#VALUE!</v>
      </c>
      <c r="I1770" s="186"/>
      <c r="J1770" s="186">
        <f ca="1">OFFSET(card_type!$F$1,MATCH(Q1770,card_type!A:A,0)-1,0)</f>
        <v>1</v>
      </c>
      <c r="K1770" s="243">
        <f ca="1">OFFSET(card_type!$G$1,MATCH(Q1770,card_type!A:A,0)-1,0)</f>
        <v>2</v>
      </c>
      <c r="L1770" s="157">
        <v>3</v>
      </c>
      <c r="M1770" s="157">
        <v>3</v>
      </c>
      <c r="N1770" s="153">
        <f t="shared" si="295"/>
        <v>14</v>
      </c>
      <c r="O1770" s="157"/>
      <c r="P1770" s="157"/>
      <c r="Q1770" s="153">
        <f ca="1">OFFSET(card_type!$A$1,MATCH(card!B1770,card_type!B:B,0)-1,0)</f>
        <v>3008</v>
      </c>
      <c r="R1770" s="153">
        <v>1</v>
      </c>
      <c r="S1770" s="157">
        <f ca="1">ROUND(IF(R1770=0,0,IF(R1770=1,X1770*$S$1,IF(R1770=2,X1770*$S$1*buff的资质计算!$E$2,IF(R1770=3,X1770*$S$1*buff的资质计算!$E$3,0)))),0)*0</f>
        <v>0</v>
      </c>
      <c r="T1770" s="153">
        <v>5</v>
      </c>
      <c r="U1770" s="153">
        <f ca="1" t="shared" si="296"/>
        <v>12</v>
      </c>
      <c r="V1770" s="153">
        <f ca="1">ROUND((OFFSET(卡牌辅助配置表!$O$1,MATCH(U1770,卡牌辅助配置表!M:M,0)-1,0)+(N1770-1)*OFFSET(卡牌辅助配置表!$P$1,MATCH(U1770,卡牌辅助配置表!M:M,0)-1,0))*M1770,2)</f>
        <v>40.85</v>
      </c>
      <c r="W1770" s="157">
        <f ca="1">ROUND(IF(R1770=0,0,IF(R1770=1,X1770*$W$1,IF(R1770=2,X1770*$W$1*buff的资质计算!$E$2,IF(R1770=3,X1770*$W$1*buff的资质计算!$E$3,0)))),2)</f>
        <v>10.95</v>
      </c>
      <c r="X1770" s="157">
        <f ca="1" t="shared" si="291"/>
        <v>36.5</v>
      </c>
      <c r="Y1770" s="157" t="e">
        <f ca="1" t="shared" si="299"/>
        <v>#VALUE!</v>
      </c>
      <c r="Z1770" s="304" t="e">
        <f ca="1" t="shared" si="292"/>
        <v>#VALUE!</v>
      </c>
      <c r="AA1770" s="304">
        <f ca="1">OFFSET(卡牌辅助配置表!$AD$1,MATCH(AB1770,卡牌辅助配置表!AB:AB,0)-1,0)</f>
        <v>580</v>
      </c>
      <c r="AB1770" s="304">
        <f ca="1" t="shared" si="297"/>
        <v>1214</v>
      </c>
      <c r="AC1770" s="153">
        <v>10</v>
      </c>
      <c r="AD1770" s="153">
        <v>1</v>
      </c>
      <c r="AE1770" s="153">
        <v>1</v>
      </c>
      <c r="AF1770" s="153" t="str">
        <f ca="1" t="shared" si="300"/>
        <v>30080011|</v>
      </c>
      <c r="AI1770" s="153">
        <v>1</v>
      </c>
      <c r="AJ1770" s="205" t="str">
        <f ca="1" t="shared" si="298"/>
        <v>400023|6450|;</v>
      </c>
      <c r="AK1770" s="205">
        <f ca="1">OFFSET([1]item_type!$A$1,MATCH(Q1770,[1]item_type!$G:$G,0)-1,0)</f>
        <v>303008</v>
      </c>
      <c r="AL1770" s="205"/>
      <c r="AM1770" s="205">
        <f ca="1">IF(B1770=B1771,OFFSET(卡牌辅助配置表!$AE$1,MATCH(AB1770,卡牌辅助配置表!AB:AB,0),0),0)</f>
        <v>6450</v>
      </c>
      <c r="AN1770" s="153">
        <f ca="1" t="shared" si="293"/>
        <v>3008015</v>
      </c>
      <c r="AP1770" s="153" t="str">
        <f ca="1">IF(AC1770=0,0,IF(AC1770=12,0,OFFSET(effect!$N$1,MATCH(K1770,effect!M:M,0)-1,0)))</f>
        <v>kpsx_pt</v>
      </c>
    </row>
    <row r="1771" spans="1:42">
      <c r="A1771" s="153">
        <f ca="1" t="shared" si="294"/>
        <v>3008015</v>
      </c>
      <c r="B1771" s="283" t="s">
        <v>298</v>
      </c>
      <c r="C1771" s="186">
        <v>3</v>
      </c>
      <c r="D1771" s="186">
        <v>4</v>
      </c>
      <c r="E1771" s="165" t="s">
        <v>1069</v>
      </c>
      <c r="F1771" s="179" t="s">
        <v>1071</v>
      </c>
      <c r="G1771" s="186">
        <f ca="1">OFFSET(卡牌辅助配置表!$C$1,MATCH(AC1771,卡牌辅助配置表!A:A,0)-1,0)</f>
        <v>3</v>
      </c>
      <c r="H1771" s="186" t="e">
        <f ca="1">OFFSET(skill!$Q$1,MATCH(B1771,skill!B:B,0)-1,0)</f>
        <v>#VALUE!</v>
      </c>
      <c r="I1771" s="186"/>
      <c r="J1771" s="186">
        <f ca="1">OFFSET(card_type!$F$1,MATCH(Q1771,card_type!A:A,0)-1,0)</f>
        <v>1</v>
      </c>
      <c r="K1771" s="243">
        <f ca="1">OFFSET(card_type!$G$1,MATCH(Q1771,card_type!A:A,0)-1,0)</f>
        <v>2</v>
      </c>
      <c r="L1771" s="157">
        <v>3</v>
      </c>
      <c r="M1771" s="157">
        <v>3</v>
      </c>
      <c r="N1771" s="153">
        <f t="shared" si="295"/>
        <v>15</v>
      </c>
      <c r="O1771" s="157"/>
      <c r="P1771" s="157"/>
      <c r="Q1771" s="153">
        <f ca="1">OFFSET(card_type!$A$1,MATCH(card!B1771,card_type!B:B,0)-1,0)</f>
        <v>3008</v>
      </c>
      <c r="R1771" s="153">
        <v>1</v>
      </c>
      <c r="S1771" s="157">
        <f ca="1">ROUND(IF(R1771=0,0,IF(R1771=1,X1771*$S$1,IF(R1771=2,X1771*$S$1*buff的资质计算!$E$2,IF(R1771=3,X1771*$S$1*buff的资质计算!$E$3,0)))),0)*0</f>
        <v>0</v>
      </c>
      <c r="T1771" s="153">
        <v>5</v>
      </c>
      <c r="U1771" s="153">
        <f ca="1" t="shared" si="296"/>
        <v>12</v>
      </c>
      <c r="V1771" s="153">
        <f ca="1">ROUND((OFFSET(卡牌辅助配置表!$O$1,MATCH(U1771,卡牌辅助配置表!M:M,0)-1,0)+(N1771-1)*OFFSET(卡牌辅助配置表!$P$1,MATCH(U1771,卡牌辅助配置表!M:M,0)-1,0))*M1771,2)</f>
        <v>41.8</v>
      </c>
      <c r="W1771" s="157">
        <f ca="1">ROUND(IF(R1771=0,0,IF(R1771=1,X1771*$W$1,IF(R1771=2,X1771*$W$1*buff的资质计算!$E$2,IF(R1771=3,X1771*$W$1*buff的资质计算!$E$3,0)))),2)</f>
        <v>11.1</v>
      </c>
      <c r="X1771" s="157">
        <f ca="1" t="shared" si="291"/>
        <v>37</v>
      </c>
      <c r="Y1771" s="157" t="e">
        <f ca="1" t="shared" si="299"/>
        <v>#VALUE!</v>
      </c>
      <c r="Z1771" s="304" t="e">
        <f ca="1" t="shared" si="292"/>
        <v>#VALUE!</v>
      </c>
      <c r="AA1771" s="304">
        <f ca="1">OFFSET(卡牌辅助配置表!$AD$1,MATCH(AB1771,卡牌辅助配置表!AB:AB,0)-1,0)</f>
        <v>635</v>
      </c>
      <c r="AB1771" s="304">
        <f ca="1" t="shared" si="297"/>
        <v>1215</v>
      </c>
      <c r="AC1771" s="153">
        <v>10</v>
      </c>
      <c r="AD1771" s="153">
        <v>1</v>
      </c>
      <c r="AE1771" s="153">
        <v>1</v>
      </c>
      <c r="AF1771" s="153" t="str">
        <f ca="1" t="shared" si="300"/>
        <v>30080011|</v>
      </c>
      <c r="AI1771" s="153">
        <v>1</v>
      </c>
      <c r="AJ1771" s="205" t="str">
        <f ca="1" t="shared" si="298"/>
        <v>400023|7050|;</v>
      </c>
      <c r="AK1771" s="205">
        <f ca="1">OFFSET([1]item_type!$A$1,MATCH(Q1771,[1]item_type!$G:$G,0)-1,0)</f>
        <v>303008</v>
      </c>
      <c r="AL1771" s="205"/>
      <c r="AM1771" s="205">
        <f ca="1">IF(B1771=B1772,OFFSET(卡牌辅助配置表!$AE$1,MATCH(AB1771,卡牌辅助配置表!AB:AB,0),0),0)</f>
        <v>7050</v>
      </c>
      <c r="AN1771" s="153">
        <f ca="1" t="shared" si="293"/>
        <v>3008016</v>
      </c>
      <c r="AP1771" s="153" t="str">
        <f ca="1">IF(AC1771=0,0,IF(AC1771=12,0,OFFSET(effect!$N$1,MATCH(K1771,effect!M:M,0)-1,0)))</f>
        <v>kpsx_pt</v>
      </c>
    </row>
    <row r="1772" spans="1:42">
      <c r="A1772" s="153">
        <f ca="1" t="shared" si="294"/>
        <v>3008016</v>
      </c>
      <c r="B1772" s="283" t="s">
        <v>298</v>
      </c>
      <c r="C1772" s="186">
        <v>3</v>
      </c>
      <c r="D1772" s="186">
        <v>4</v>
      </c>
      <c r="E1772" s="165" t="s">
        <v>1069</v>
      </c>
      <c r="F1772" s="179" t="s">
        <v>1071</v>
      </c>
      <c r="G1772" s="186">
        <f ca="1">OFFSET(卡牌辅助配置表!$C$1,MATCH(AC1772,卡牌辅助配置表!A:A,0)-1,0)</f>
        <v>3</v>
      </c>
      <c r="H1772" s="186" t="e">
        <f ca="1">OFFSET(skill!$Q$1,MATCH(B1772,skill!B:B,0)-1,0)</f>
        <v>#VALUE!</v>
      </c>
      <c r="I1772" s="186"/>
      <c r="J1772" s="186">
        <f ca="1">OFFSET(card_type!$F$1,MATCH(Q1772,card_type!A:A,0)-1,0)</f>
        <v>1</v>
      </c>
      <c r="K1772" s="243">
        <f ca="1">OFFSET(card_type!$G$1,MATCH(Q1772,card_type!A:A,0)-1,0)</f>
        <v>2</v>
      </c>
      <c r="L1772" s="157">
        <v>3</v>
      </c>
      <c r="M1772" s="157">
        <v>3</v>
      </c>
      <c r="N1772" s="153">
        <f t="shared" si="295"/>
        <v>16</v>
      </c>
      <c r="O1772" s="157"/>
      <c r="P1772" s="157"/>
      <c r="Q1772" s="153">
        <f ca="1">OFFSET(card_type!$A$1,MATCH(card!B1772,card_type!B:B,0)-1,0)</f>
        <v>3008</v>
      </c>
      <c r="R1772" s="153">
        <v>1</v>
      </c>
      <c r="S1772" s="157">
        <f ca="1">ROUND(IF(R1772=0,0,IF(R1772=1,X1772*$S$1,IF(R1772=2,X1772*$S$1*buff的资质计算!$E$2,IF(R1772=3,X1772*$S$1*buff的资质计算!$E$3,0)))),0)*0</f>
        <v>0</v>
      </c>
      <c r="T1772" s="153">
        <v>5</v>
      </c>
      <c r="U1772" s="153">
        <f ca="1" t="shared" si="296"/>
        <v>12</v>
      </c>
      <c r="V1772" s="153">
        <f ca="1">ROUND((OFFSET(卡牌辅助配置表!$O$1,MATCH(U1772,卡牌辅助配置表!M:M,0)-1,0)+(N1772-1)*OFFSET(卡牌辅助配置表!$P$1,MATCH(U1772,卡牌辅助配置表!M:M,0)-1,0))*M1772,2)</f>
        <v>42.75</v>
      </c>
      <c r="W1772" s="157">
        <f ca="1">ROUND(IF(R1772=0,0,IF(R1772=1,X1772*$W$1,IF(R1772=2,X1772*$W$1*buff的资质计算!$E$2,IF(R1772=3,X1772*$W$1*buff的资质计算!$E$3,0)))),2)</f>
        <v>11.25</v>
      </c>
      <c r="X1772" s="157">
        <f ca="1" t="shared" si="291"/>
        <v>37.5</v>
      </c>
      <c r="Y1772" s="157" t="e">
        <f ca="1" t="shared" si="299"/>
        <v>#VALUE!</v>
      </c>
      <c r="Z1772" s="304" t="e">
        <f ca="1" t="shared" si="292"/>
        <v>#VALUE!</v>
      </c>
      <c r="AA1772" s="304">
        <f ca="1">OFFSET(卡牌辅助配置表!$AD$1,MATCH(AB1772,卡牌辅助配置表!AB:AB,0)-1,0)</f>
        <v>690</v>
      </c>
      <c r="AB1772" s="304">
        <f ca="1" t="shared" si="297"/>
        <v>1216</v>
      </c>
      <c r="AC1772" s="153">
        <v>10</v>
      </c>
      <c r="AD1772" s="153">
        <v>1</v>
      </c>
      <c r="AE1772" s="153">
        <v>1</v>
      </c>
      <c r="AF1772" s="153" t="str">
        <f ca="1" t="shared" si="300"/>
        <v>30080011|</v>
      </c>
      <c r="AI1772" s="153">
        <v>1</v>
      </c>
      <c r="AJ1772" s="205" t="str">
        <f ca="1" t="shared" si="298"/>
        <v>400023|7650|;</v>
      </c>
      <c r="AK1772" s="205">
        <f ca="1">OFFSET([1]item_type!$A$1,MATCH(Q1772,[1]item_type!$G:$G,0)-1,0)</f>
        <v>303008</v>
      </c>
      <c r="AL1772" s="205"/>
      <c r="AM1772" s="205">
        <f ca="1">IF(B1772=B1773,OFFSET(卡牌辅助配置表!$AE$1,MATCH(AB1772,卡牌辅助配置表!AB:AB,0),0),0)</f>
        <v>7650</v>
      </c>
      <c r="AN1772" s="153">
        <f ca="1" t="shared" si="293"/>
        <v>3008017</v>
      </c>
      <c r="AP1772" s="153" t="str">
        <f ca="1">IF(AC1772=0,0,IF(AC1772=12,0,OFFSET(effect!$N$1,MATCH(K1772,effect!M:M,0)-1,0)))</f>
        <v>kpsx_pt</v>
      </c>
    </row>
    <row r="1773" spans="1:42">
      <c r="A1773" s="153">
        <f ca="1" t="shared" si="294"/>
        <v>3008017</v>
      </c>
      <c r="B1773" s="283" t="s">
        <v>298</v>
      </c>
      <c r="C1773" s="186">
        <v>3</v>
      </c>
      <c r="D1773" s="186">
        <v>4</v>
      </c>
      <c r="E1773" s="165" t="s">
        <v>1069</v>
      </c>
      <c r="F1773" s="179" t="s">
        <v>1071</v>
      </c>
      <c r="G1773" s="186">
        <f ca="1">OFFSET(卡牌辅助配置表!$C$1,MATCH(AC1773,卡牌辅助配置表!A:A,0)-1,0)</f>
        <v>3</v>
      </c>
      <c r="H1773" s="186" t="e">
        <f ca="1">OFFSET(skill!$Q$1,MATCH(B1773,skill!B:B,0)-1,0)</f>
        <v>#VALUE!</v>
      </c>
      <c r="I1773" s="186"/>
      <c r="J1773" s="186">
        <f ca="1">OFFSET(card_type!$F$1,MATCH(Q1773,card_type!A:A,0)-1,0)</f>
        <v>1</v>
      </c>
      <c r="K1773" s="243">
        <f ca="1">OFFSET(card_type!$G$1,MATCH(Q1773,card_type!A:A,0)-1,0)</f>
        <v>2</v>
      </c>
      <c r="L1773" s="157">
        <v>3</v>
      </c>
      <c r="M1773" s="157">
        <v>3</v>
      </c>
      <c r="N1773" s="153">
        <f t="shared" si="295"/>
        <v>17</v>
      </c>
      <c r="O1773" s="157"/>
      <c r="P1773" s="157"/>
      <c r="Q1773" s="153">
        <f ca="1">OFFSET(card_type!$A$1,MATCH(card!B1773,card_type!B:B,0)-1,0)</f>
        <v>3008</v>
      </c>
      <c r="R1773" s="153">
        <v>1</v>
      </c>
      <c r="S1773" s="157">
        <f ca="1">ROUND(IF(R1773=0,0,IF(R1773=1,X1773*$S$1,IF(R1773=2,X1773*$S$1*buff的资质计算!$E$2,IF(R1773=3,X1773*$S$1*buff的资质计算!$E$3,0)))),0)*0</f>
        <v>0</v>
      </c>
      <c r="T1773" s="153">
        <v>5</v>
      </c>
      <c r="U1773" s="153">
        <f ca="1" t="shared" si="296"/>
        <v>12</v>
      </c>
      <c r="V1773" s="153">
        <f ca="1">ROUND((OFFSET(卡牌辅助配置表!$O$1,MATCH(U1773,卡牌辅助配置表!M:M,0)-1,0)+(N1773-1)*OFFSET(卡牌辅助配置表!$P$1,MATCH(U1773,卡牌辅助配置表!M:M,0)-1,0))*M1773,2)</f>
        <v>43.7</v>
      </c>
      <c r="W1773" s="157">
        <f ca="1">ROUND(IF(R1773=0,0,IF(R1773=1,X1773*$W$1,IF(R1773=2,X1773*$W$1*buff的资质计算!$E$2,IF(R1773=3,X1773*$W$1*buff的资质计算!$E$3,0)))),2)</f>
        <v>11.4</v>
      </c>
      <c r="X1773" s="157">
        <f ca="1" t="shared" si="291"/>
        <v>38</v>
      </c>
      <c r="Y1773" s="157" t="e">
        <f ca="1" t="shared" si="299"/>
        <v>#VALUE!</v>
      </c>
      <c r="Z1773" s="304" t="e">
        <f ca="1" t="shared" si="292"/>
        <v>#VALUE!</v>
      </c>
      <c r="AA1773" s="304">
        <f ca="1">OFFSET(卡牌辅助配置表!$AD$1,MATCH(AB1773,卡牌辅助配置表!AB:AB,0)-1,0)</f>
        <v>745</v>
      </c>
      <c r="AB1773" s="304">
        <f ca="1" t="shared" si="297"/>
        <v>1217</v>
      </c>
      <c r="AC1773" s="153">
        <v>10</v>
      </c>
      <c r="AD1773" s="153">
        <v>1</v>
      </c>
      <c r="AE1773" s="153">
        <v>1</v>
      </c>
      <c r="AF1773" s="153" t="str">
        <f ca="1" t="shared" si="300"/>
        <v>30080011|</v>
      </c>
      <c r="AI1773" s="153">
        <v>1</v>
      </c>
      <c r="AJ1773" s="205" t="str">
        <f ca="1" t="shared" si="298"/>
        <v>400023|8250|;</v>
      </c>
      <c r="AK1773" s="205">
        <f ca="1">OFFSET([1]item_type!$A$1,MATCH(Q1773,[1]item_type!$G:$G,0)-1,0)</f>
        <v>303008</v>
      </c>
      <c r="AL1773" s="205"/>
      <c r="AM1773" s="205">
        <f ca="1">IF(B1773=B1774,OFFSET(卡牌辅助配置表!$AE$1,MATCH(AB1773,卡牌辅助配置表!AB:AB,0),0),0)</f>
        <v>8250</v>
      </c>
      <c r="AN1773" s="153">
        <f ca="1" t="shared" si="293"/>
        <v>3008018</v>
      </c>
      <c r="AP1773" s="153" t="str">
        <f ca="1">IF(AC1773=0,0,IF(AC1773=12,0,OFFSET(effect!$N$1,MATCH(K1773,effect!M:M,0)-1,0)))</f>
        <v>kpsx_pt</v>
      </c>
    </row>
    <row r="1774" spans="1:42">
      <c r="A1774" s="153">
        <f ca="1" t="shared" si="294"/>
        <v>3008018</v>
      </c>
      <c r="B1774" s="283" t="s">
        <v>298</v>
      </c>
      <c r="C1774" s="186">
        <v>3</v>
      </c>
      <c r="D1774" s="186">
        <v>4</v>
      </c>
      <c r="E1774" s="165" t="s">
        <v>1069</v>
      </c>
      <c r="F1774" s="179" t="s">
        <v>1071</v>
      </c>
      <c r="G1774" s="186">
        <f ca="1">OFFSET(卡牌辅助配置表!$C$1,MATCH(AC1774,卡牌辅助配置表!A:A,0)-1,0)</f>
        <v>3</v>
      </c>
      <c r="H1774" s="186" t="e">
        <f ca="1">OFFSET(skill!$Q$1,MATCH(B1774,skill!B:B,0)-1,0)</f>
        <v>#VALUE!</v>
      </c>
      <c r="I1774" s="186"/>
      <c r="J1774" s="186">
        <f ca="1">OFFSET(card_type!$F$1,MATCH(Q1774,card_type!A:A,0)-1,0)</f>
        <v>1</v>
      </c>
      <c r="K1774" s="243">
        <f ca="1">OFFSET(card_type!$G$1,MATCH(Q1774,card_type!A:A,0)-1,0)</f>
        <v>2</v>
      </c>
      <c r="L1774" s="157">
        <v>3</v>
      </c>
      <c r="M1774" s="157">
        <v>3</v>
      </c>
      <c r="N1774" s="153">
        <f t="shared" si="295"/>
        <v>18</v>
      </c>
      <c r="O1774" s="157"/>
      <c r="P1774" s="157"/>
      <c r="Q1774" s="153">
        <f ca="1">OFFSET(card_type!$A$1,MATCH(card!B1774,card_type!B:B,0)-1,0)</f>
        <v>3008</v>
      </c>
      <c r="R1774" s="153">
        <v>1</v>
      </c>
      <c r="S1774" s="157">
        <f ca="1">ROUND(IF(R1774=0,0,IF(R1774=1,X1774*$S$1,IF(R1774=2,X1774*$S$1*buff的资质计算!$E$2,IF(R1774=3,X1774*$S$1*buff的资质计算!$E$3,0)))),0)*0</f>
        <v>0</v>
      </c>
      <c r="T1774" s="153">
        <v>5</v>
      </c>
      <c r="U1774" s="153">
        <f ca="1" t="shared" si="296"/>
        <v>12</v>
      </c>
      <c r="V1774" s="153">
        <f ca="1">ROUND((OFFSET(卡牌辅助配置表!$O$1,MATCH(U1774,卡牌辅助配置表!M:M,0)-1,0)+(N1774-1)*OFFSET(卡牌辅助配置表!$P$1,MATCH(U1774,卡牌辅助配置表!M:M,0)-1,0))*M1774,2)</f>
        <v>44.65</v>
      </c>
      <c r="W1774" s="157">
        <f ca="1">ROUND(IF(R1774=0,0,IF(R1774=1,X1774*$W$1,IF(R1774=2,X1774*$W$1*buff的资质计算!$E$2,IF(R1774=3,X1774*$W$1*buff的资质计算!$E$3,0)))),2)</f>
        <v>11.55</v>
      </c>
      <c r="X1774" s="157">
        <f ca="1" t="shared" si="291"/>
        <v>38.5</v>
      </c>
      <c r="Y1774" s="157" t="e">
        <f ca="1" t="shared" si="299"/>
        <v>#VALUE!</v>
      </c>
      <c r="Z1774" s="304" t="e">
        <f ca="1" t="shared" si="292"/>
        <v>#VALUE!</v>
      </c>
      <c r="AA1774" s="304">
        <f ca="1">OFFSET(卡牌辅助配置表!$AD$1,MATCH(AB1774,卡牌辅助配置表!AB:AB,0)-1,0)</f>
        <v>800</v>
      </c>
      <c r="AB1774" s="304">
        <f ca="1" t="shared" si="297"/>
        <v>1218</v>
      </c>
      <c r="AC1774" s="153">
        <v>10</v>
      </c>
      <c r="AD1774" s="153">
        <v>1</v>
      </c>
      <c r="AE1774" s="153">
        <v>1</v>
      </c>
      <c r="AF1774" s="153" t="str">
        <f ca="1" t="shared" si="300"/>
        <v>30080011|</v>
      </c>
      <c r="AI1774" s="153">
        <v>1</v>
      </c>
      <c r="AJ1774" s="205" t="str">
        <f ca="1" t="shared" si="298"/>
        <v>400023|8850|;</v>
      </c>
      <c r="AK1774" s="205">
        <f ca="1">OFFSET([1]item_type!$A$1,MATCH(Q1774,[1]item_type!$G:$G,0)-1,0)</f>
        <v>303008</v>
      </c>
      <c r="AL1774" s="205"/>
      <c r="AM1774" s="205">
        <f ca="1">IF(B1774=B1775,OFFSET(卡牌辅助配置表!$AE$1,MATCH(AB1774,卡牌辅助配置表!AB:AB,0),0),0)</f>
        <v>8850</v>
      </c>
      <c r="AN1774" s="153">
        <f ca="1" t="shared" si="293"/>
        <v>3008019</v>
      </c>
      <c r="AP1774" s="153" t="str">
        <f ca="1">IF(AC1774=0,0,IF(AC1774=12,0,OFFSET(effect!$N$1,MATCH(K1774,effect!M:M,0)-1,0)))</f>
        <v>kpsx_pt</v>
      </c>
    </row>
    <row r="1775" spans="1:42">
      <c r="A1775" s="153">
        <f ca="1" t="shared" si="294"/>
        <v>3008019</v>
      </c>
      <c r="B1775" s="283" t="s">
        <v>298</v>
      </c>
      <c r="C1775" s="186">
        <v>3</v>
      </c>
      <c r="D1775" s="186">
        <v>4</v>
      </c>
      <c r="E1775" s="165" t="s">
        <v>1069</v>
      </c>
      <c r="F1775" s="179" t="s">
        <v>1071</v>
      </c>
      <c r="G1775" s="186">
        <f ca="1">OFFSET(卡牌辅助配置表!$C$1,MATCH(AC1775,卡牌辅助配置表!A:A,0)-1,0)</f>
        <v>3</v>
      </c>
      <c r="H1775" s="186" t="e">
        <f ca="1">OFFSET(skill!$Q$1,MATCH(B1775,skill!B:B,0)-1,0)</f>
        <v>#VALUE!</v>
      </c>
      <c r="I1775" s="186"/>
      <c r="J1775" s="186">
        <f ca="1">OFFSET(card_type!$F$1,MATCH(Q1775,card_type!A:A,0)-1,0)</f>
        <v>1</v>
      </c>
      <c r="K1775" s="243">
        <f ca="1">OFFSET(card_type!$G$1,MATCH(Q1775,card_type!A:A,0)-1,0)</f>
        <v>2</v>
      </c>
      <c r="L1775" s="157">
        <v>3</v>
      </c>
      <c r="M1775" s="157">
        <v>3</v>
      </c>
      <c r="N1775" s="153">
        <f t="shared" si="295"/>
        <v>19</v>
      </c>
      <c r="O1775" s="157"/>
      <c r="P1775" s="157"/>
      <c r="Q1775" s="153">
        <f ca="1">OFFSET(card_type!$A$1,MATCH(card!B1775,card_type!B:B,0)-1,0)</f>
        <v>3008</v>
      </c>
      <c r="R1775" s="153">
        <v>1</v>
      </c>
      <c r="S1775" s="157">
        <f ca="1">ROUND(IF(R1775=0,0,IF(R1775=1,X1775*$S$1,IF(R1775=2,X1775*$S$1*buff的资质计算!$E$2,IF(R1775=3,X1775*$S$1*buff的资质计算!$E$3,0)))),0)*0</f>
        <v>0</v>
      </c>
      <c r="T1775" s="153">
        <v>5</v>
      </c>
      <c r="U1775" s="153">
        <f ca="1" t="shared" si="296"/>
        <v>12</v>
      </c>
      <c r="V1775" s="153">
        <f ca="1">ROUND((OFFSET(卡牌辅助配置表!$O$1,MATCH(U1775,卡牌辅助配置表!M:M,0)-1,0)+(N1775-1)*OFFSET(卡牌辅助配置表!$P$1,MATCH(U1775,卡牌辅助配置表!M:M,0)-1,0))*M1775,2)</f>
        <v>45.6</v>
      </c>
      <c r="W1775" s="157">
        <f ca="1">ROUND(IF(R1775=0,0,IF(R1775=1,X1775*$W$1,IF(R1775=2,X1775*$W$1*buff的资质计算!$E$2,IF(R1775=3,X1775*$W$1*buff的资质计算!$E$3,0)))),2)</f>
        <v>11.7</v>
      </c>
      <c r="X1775" s="157">
        <f ca="1" t="shared" si="291"/>
        <v>39</v>
      </c>
      <c r="Y1775" s="157" t="e">
        <f ca="1" t="shared" si="299"/>
        <v>#VALUE!</v>
      </c>
      <c r="Z1775" s="304" t="e">
        <f ca="1" t="shared" si="292"/>
        <v>#VALUE!</v>
      </c>
      <c r="AA1775" s="304">
        <f ca="1">OFFSET(卡牌辅助配置表!$AD$1,MATCH(AB1775,卡牌辅助配置表!AB:AB,0)-1,0)</f>
        <v>855</v>
      </c>
      <c r="AB1775" s="304">
        <f ca="1" t="shared" si="297"/>
        <v>1219</v>
      </c>
      <c r="AC1775" s="153">
        <v>10</v>
      </c>
      <c r="AD1775" s="153">
        <v>1</v>
      </c>
      <c r="AE1775" s="153">
        <v>1</v>
      </c>
      <c r="AF1775" s="153" t="str">
        <f ca="1" t="shared" si="300"/>
        <v>30080011|</v>
      </c>
      <c r="AI1775" s="153">
        <v>1</v>
      </c>
      <c r="AJ1775" s="205" t="str">
        <f ca="1" t="shared" si="298"/>
        <v>303008|20|;400023|9450|;</v>
      </c>
      <c r="AK1775" s="205">
        <f ca="1">OFFSET([1]item_type!$A$1,MATCH(Q1775,[1]item_type!$G:$G,0)-1,0)</f>
        <v>303008</v>
      </c>
      <c r="AL1775" s="205">
        <v>20</v>
      </c>
      <c r="AM1775" s="205">
        <f ca="1">IF(B1775=B1776,OFFSET(卡牌辅助配置表!$AE$1,MATCH(AB1775,卡牌辅助配置表!AB:AB,0),0),0)</f>
        <v>9450</v>
      </c>
      <c r="AN1775" s="153">
        <f ca="1" t="shared" si="293"/>
        <v>3008020</v>
      </c>
      <c r="AP1775" s="153" t="str">
        <f ca="1">IF(AC1775=0,0,IF(AC1775=12,0,OFFSET(effect!$N$1,MATCH(K1775,effect!M:M,0)-1,0)))</f>
        <v>kpsx_pt</v>
      </c>
    </row>
    <row r="1776" spans="1:42">
      <c r="A1776" s="153">
        <f ca="1" t="shared" si="294"/>
        <v>3008020</v>
      </c>
      <c r="B1776" s="283" t="s">
        <v>298</v>
      </c>
      <c r="C1776" s="186">
        <v>3</v>
      </c>
      <c r="D1776" s="186">
        <v>4</v>
      </c>
      <c r="E1776" s="165" t="s">
        <v>1069</v>
      </c>
      <c r="F1776" s="179" t="s">
        <v>1071</v>
      </c>
      <c r="G1776" s="186">
        <f ca="1">OFFSET(卡牌辅助配置表!$C$1,MATCH(AC1776,卡牌辅助配置表!A:A,0)-1,0)</f>
        <v>3</v>
      </c>
      <c r="H1776" s="186" t="e">
        <f ca="1">OFFSET(skill!$Q$1,MATCH(B1776,skill!B:B,0)-1,0)</f>
        <v>#VALUE!</v>
      </c>
      <c r="I1776" s="186"/>
      <c r="J1776" s="186">
        <f ca="1">OFFSET(card_type!$F$1,MATCH(Q1776,card_type!A:A,0)-1,0)</f>
        <v>1</v>
      </c>
      <c r="K1776" s="243">
        <f ca="1">OFFSET(card_type!$G$1,MATCH(Q1776,card_type!A:A,0)-1,0)</f>
        <v>2</v>
      </c>
      <c r="L1776" s="157">
        <v>3</v>
      </c>
      <c r="M1776" s="157">
        <v>3</v>
      </c>
      <c r="N1776" s="153">
        <f t="shared" si="295"/>
        <v>20</v>
      </c>
      <c r="O1776" s="157"/>
      <c r="P1776" s="157"/>
      <c r="Q1776" s="153">
        <f ca="1">OFFSET(card_type!$A$1,MATCH(card!B1776,card_type!B:B,0)-1,0)</f>
        <v>3008</v>
      </c>
      <c r="R1776" s="153">
        <v>1</v>
      </c>
      <c r="S1776" s="157">
        <f ca="1">ROUND(IF(R1776=0,0,IF(R1776=1,X1776*$S$1,IF(R1776=2,X1776*$S$1*buff的资质计算!$E$2,IF(R1776=3,X1776*$S$1*buff的资质计算!$E$3,0)))),0)*0</f>
        <v>0</v>
      </c>
      <c r="T1776" s="153">
        <v>5</v>
      </c>
      <c r="U1776" s="153">
        <f ca="1" t="shared" si="296"/>
        <v>12</v>
      </c>
      <c r="V1776" s="153">
        <f ca="1">ROUND((OFFSET(卡牌辅助配置表!$O$1,MATCH(U1776,卡牌辅助配置表!M:M,0)-1,0)+(N1776-1)*OFFSET(卡牌辅助配置表!$P$1,MATCH(U1776,卡牌辅助配置表!M:M,0)-1,0))*M1776,2)</f>
        <v>46.55</v>
      </c>
      <c r="W1776" s="157">
        <f ca="1">ROUND(IF(R1776=0,0,IF(R1776=1,X1776*$W$1,IF(R1776=2,X1776*$W$1*buff的资质计算!$E$2,IF(R1776=3,X1776*$W$1*buff的资质计算!$E$3,0)))),2)</f>
        <v>11.85</v>
      </c>
      <c r="X1776" s="157">
        <f ca="1" t="shared" si="291"/>
        <v>39.5</v>
      </c>
      <c r="Y1776" s="157" t="e">
        <f ca="1" t="shared" si="299"/>
        <v>#VALUE!</v>
      </c>
      <c r="Z1776" s="304" t="e">
        <f ca="1" t="shared" si="292"/>
        <v>#VALUE!</v>
      </c>
      <c r="AA1776" s="304">
        <f ca="1">OFFSET(卡牌辅助配置表!$AD$1,MATCH(AB1776,卡牌辅助配置表!AB:AB,0)-1,0)</f>
        <v>910</v>
      </c>
      <c r="AB1776" s="304">
        <f ca="1" t="shared" si="297"/>
        <v>1220</v>
      </c>
      <c r="AC1776" s="153">
        <v>10</v>
      </c>
      <c r="AD1776" s="153">
        <v>1</v>
      </c>
      <c r="AE1776" s="153">
        <v>1</v>
      </c>
      <c r="AF1776" s="153" t="str">
        <f ca="1" t="shared" si="300"/>
        <v>30080011|</v>
      </c>
      <c r="AI1776" s="153">
        <v>1</v>
      </c>
      <c r="AJ1776" s="205" t="str">
        <f ca="1" t="shared" si="298"/>
        <v>400023|10650|;</v>
      </c>
      <c r="AK1776" s="205">
        <f ca="1">OFFSET([1]item_type!$A$1,MATCH(Q1776,[1]item_type!$G:$G,0)-1,0)</f>
        <v>303008</v>
      </c>
      <c r="AL1776" s="205"/>
      <c r="AM1776" s="205">
        <f ca="1">IF(B1776=B1777,OFFSET(卡牌辅助配置表!$AE$1,MATCH(AB1776,卡牌辅助配置表!AB:AB,0),0),0)</f>
        <v>10650</v>
      </c>
      <c r="AN1776" s="153">
        <f ca="1" t="shared" si="293"/>
        <v>3008021</v>
      </c>
      <c r="AP1776" s="153" t="str">
        <f ca="1">IF(AC1776=0,0,IF(AC1776=12,0,OFFSET(effect!$N$1,MATCH(K1776,effect!M:M,0)-1,0)))</f>
        <v>kpsx_pt</v>
      </c>
    </row>
    <row r="1777" spans="1:42">
      <c r="A1777" s="153">
        <f ca="1" t="shared" si="294"/>
        <v>3008021</v>
      </c>
      <c r="B1777" s="283" t="s">
        <v>298</v>
      </c>
      <c r="C1777" s="186">
        <v>3</v>
      </c>
      <c r="D1777" s="186">
        <v>4</v>
      </c>
      <c r="E1777" s="165" t="s">
        <v>1069</v>
      </c>
      <c r="F1777" s="179" t="s">
        <v>1071</v>
      </c>
      <c r="G1777" s="186">
        <f ca="1">OFFSET(卡牌辅助配置表!$C$1,MATCH(AC1777,卡牌辅助配置表!A:A,0)-1,0)</f>
        <v>3</v>
      </c>
      <c r="H1777" s="186" t="e">
        <f ca="1">OFFSET(skill!$Q$1,MATCH(B1777,skill!B:B,0)-1,0)</f>
        <v>#VALUE!</v>
      </c>
      <c r="I1777" s="186"/>
      <c r="J1777" s="186">
        <f ca="1">OFFSET(card_type!$F$1,MATCH(Q1777,card_type!A:A,0)-1,0)</f>
        <v>1</v>
      </c>
      <c r="K1777" s="243">
        <f ca="1">OFFSET(card_type!$G$1,MATCH(Q1777,card_type!A:A,0)-1,0)</f>
        <v>2</v>
      </c>
      <c r="L1777" s="157">
        <v>3</v>
      </c>
      <c r="M1777" s="157">
        <v>3</v>
      </c>
      <c r="N1777" s="153">
        <f t="shared" si="295"/>
        <v>21</v>
      </c>
      <c r="O1777" s="157"/>
      <c r="P1777" s="157"/>
      <c r="Q1777" s="153">
        <f ca="1">OFFSET(card_type!$A$1,MATCH(card!B1777,card_type!B:B,0)-1,0)</f>
        <v>3008</v>
      </c>
      <c r="R1777" s="153">
        <v>1</v>
      </c>
      <c r="S1777" s="157">
        <f ca="1">ROUND(IF(R1777=0,0,IF(R1777=1,X1777*$S$1,IF(R1777=2,X1777*$S$1*buff的资质计算!$E$2,IF(R1777=3,X1777*$S$1*buff的资质计算!$E$3,0)))),0)*0</f>
        <v>0</v>
      </c>
      <c r="T1777" s="153">
        <v>5</v>
      </c>
      <c r="U1777" s="153">
        <f ca="1" t="shared" si="296"/>
        <v>12</v>
      </c>
      <c r="V1777" s="153">
        <f ca="1">ROUND((OFFSET(卡牌辅助配置表!$O$1,MATCH(U1777,卡牌辅助配置表!M:M,0)-1,0)+(N1777-1)*OFFSET(卡牌辅助配置表!$P$1,MATCH(U1777,卡牌辅助配置表!M:M,0)-1,0))*M1777,2)</f>
        <v>47.5</v>
      </c>
      <c r="W1777" s="157">
        <f ca="1">ROUND(IF(R1777=0,0,IF(R1777=1,X1777*$W$1,IF(R1777=2,X1777*$W$1*buff的资质计算!$E$2,IF(R1777=3,X1777*$W$1*buff的资质计算!$E$3,0)))),2)</f>
        <v>12</v>
      </c>
      <c r="X1777" s="157">
        <f ca="1" t="shared" si="291"/>
        <v>40</v>
      </c>
      <c r="Y1777" s="157" t="e">
        <f ca="1" t="shared" si="299"/>
        <v>#VALUE!</v>
      </c>
      <c r="Z1777" s="304" t="e">
        <f ca="1" t="shared" si="292"/>
        <v>#VALUE!</v>
      </c>
      <c r="AA1777" s="304">
        <f ca="1">OFFSET(卡牌辅助配置表!$AD$1,MATCH(AB1777,卡牌辅助配置表!AB:AB,0)-1,0)</f>
        <v>983</v>
      </c>
      <c r="AB1777" s="304">
        <f ca="1" t="shared" si="297"/>
        <v>1221</v>
      </c>
      <c r="AC1777" s="153">
        <v>10</v>
      </c>
      <c r="AD1777" s="153">
        <v>1</v>
      </c>
      <c r="AE1777" s="153">
        <v>1</v>
      </c>
      <c r="AF1777" s="153" t="str">
        <f ca="1" t="shared" si="300"/>
        <v>30080011|</v>
      </c>
      <c r="AI1777" s="153">
        <v>1</v>
      </c>
      <c r="AJ1777" s="205" t="str">
        <f ca="1" t="shared" si="298"/>
        <v>400023|11850|;</v>
      </c>
      <c r="AK1777" s="205">
        <f ca="1">OFFSET([1]item_type!$A$1,MATCH(Q1777,[1]item_type!$G:$G,0)-1,0)</f>
        <v>303008</v>
      </c>
      <c r="AL1777" s="205"/>
      <c r="AM1777" s="205">
        <f ca="1">IF(B1777=B1778,OFFSET(卡牌辅助配置表!$AE$1,MATCH(AB1777,卡牌辅助配置表!AB:AB,0),0),0)</f>
        <v>11850</v>
      </c>
      <c r="AN1777" s="153">
        <f ca="1" t="shared" si="293"/>
        <v>3008022</v>
      </c>
      <c r="AP1777" s="153" t="str">
        <f ca="1">IF(AC1777=0,0,IF(AC1777=12,0,OFFSET(effect!$N$1,MATCH(K1777,effect!M:M,0)-1,0)))</f>
        <v>kpsx_pt</v>
      </c>
    </row>
    <row r="1778" spans="1:42">
      <c r="A1778" s="153">
        <f ca="1" t="shared" si="294"/>
        <v>3008022</v>
      </c>
      <c r="B1778" s="283" t="s">
        <v>298</v>
      </c>
      <c r="C1778" s="186">
        <v>3</v>
      </c>
      <c r="D1778" s="186">
        <v>4</v>
      </c>
      <c r="E1778" s="165" t="s">
        <v>1069</v>
      </c>
      <c r="F1778" s="179" t="s">
        <v>1071</v>
      </c>
      <c r="G1778" s="186">
        <f ca="1">OFFSET(卡牌辅助配置表!$C$1,MATCH(AC1778,卡牌辅助配置表!A:A,0)-1,0)</f>
        <v>3</v>
      </c>
      <c r="H1778" s="186" t="e">
        <f ca="1">OFFSET(skill!$Q$1,MATCH(B1778,skill!B:B,0)-1,0)</f>
        <v>#VALUE!</v>
      </c>
      <c r="I1778" s="186"/>
      <c r="J1778" s="186">
        <f ca="1">OFFSET(card_type!$F$1,MATCH(Q1778,card_type!A:A,0)-1,0)</f>
        <v>1</v>
      </c>
      <c r="K1778" s="243">
        <f ca="1">OFFSET(card_type!$G$1,MATCH(Q1778,card_type!A:A,0)-1,0)</f>
        <v>2</v>
      </c>
      <c r="L1778" s="157">
        <v>3</v>
      </c>
      <c r="M1778" s="157">
        <v>3</v>
      </c>
      <c r="N1778" s="153">
        <f t="shared" si="295"/>
        <v>22</v>
      </c>
      <c r="O1778" s="157"/>
      <c r="P1778" s="157"/>
      <c r="Q1778" s="153">
        <f ca="1">OFFSET(card_type!$A$1,MATCH(card!B1778,card_type!B:B,0)-1,0)</f>
        <v>3008</v>
      </c>
      <c r="R1778" s="153">
        <v>1</v>
      </c>
      <c r="S1778" s="157">
        <f ca="1">ROUND(IF(R1778=0,0,IF(R1778=1,X1778*$S$1,IF(R1778=2,X1778*$S$1*buff的资质计算!$E$2,IF(R1778=3,X1778*$S$1*buff的资质计算!$E$3,0)))),0)*0</f>
        <v>0</v>
      </c>
      <c r="T1778" s="153">
        <v>5</v>
      </c>
      <c r="U1778" s="153">
        <f ca="1" t="shared" si="296"/>
        <v>12</v>
      </c>
      <c r="V1778" s="153">
        <f ca="1">ROUND((OFFSET(卡牌辅助配置表!$O$1,MATCH(U1778,卡牌辅助配置表!M:M,0)-1,0)+(N1778-1)*OFFSET(卡牌辅助配置表!$P$1,MATCH(U1778,卡牌辅助配置表!M:M,0)-1,0))*M1778,2)</f>
        <v>48.45</v>
      </c>
      <c r="W1778" s="157">
        <f ca="1">ROUND(IF(R1778=0,0,IF(R1778=1,X1778*$W$1,IF(R1778=2,X1778*$W$1*buff的资质计算!$E$2,IF(R1778=3,X1778*$W$1*buff的资质计算!$E$3,0)))),2)</f>
        <v>12.15</v>
      </c>
      <c r="X1778" s="157">
        <f ca="1" t="shared" si="291"/>
        <v>40.5</v>
      </c>
      <c r="Y1778" s="157" t="e">
        <f ca="1" t="shared" si="299"/>
        <v>#VALUE!</v>
      </c>
      <c r="Z1778" s="304" t="e">
        <f ca="1" t="shared" si="292"/>
        <v>#VALUE!</v>
      </c>
      <c r="AA1778" s="304">
        <f ca="1">OFFSET(卡牌辅助配置表!$AD$1,MATCH(AB1778,卡牌辅助配置表!AB:AB,0)-1,0)</f>
        <v>1056</v>
      </c>
      <c r="AB1778" s="304">
        <f ca="1" t="shared" si="297"/>
        <v>1222</v>
      </c>
      <c r="AC1778" s="153">
        <v>10</v>
      </c>
      <c r="AD1778" s="153">
        <v>1</v>
      </c>
      <c r="AE1778" s="153">
        <v>1</v>
      </c>
      <c r="AF1778" s="153" t="str">
        <f ca="1" t="shared" si="300"/>
        <v>30080011|</v>
      </c>
      <c r="AI1778" s="153">
        <v>1</v>
      </c>
      <c r="AJ1778" s="205" t="str">
        <f ca="1" t="shared" si="298"/>
        <v>400023|13050|;</v>
      </c>
      <c r="AK1778" s="205">
        <f ca="1">OFFSET([1]item_type!$A$1,MATCH(Q1778,[1]item_type!$G:$G,0)-1,0)</f>
        <v>303008</v>
      </c>
      <c r="AL1778" s="205"/>
      <c r="AM1778" s="205">
        <f ca="1">IF(B1778=B1779,OFFSET(卡牌辅助配置表!$AE$1,MATCH(AB1778,卡牌辅助配置表!AB:AB,0),0),0)</f>
        <v>13050</v>
      </c>
      <c r="AN1778" s="153">
        <f ca="1" t="shared" si="293"/>
        <v>3008023</v>
      </c>
      <c r="AP1778" s="153" t="str">
        <f ca="1">IF(AC1778=0,0,IF(AC1778=12,0,OFFSET(effect!$N$1,MATCH(K1778,effect!M:M,0)-1,0)))</f>
        <v>kpsx_pt</v>
      </c>
    </row>
    <row r="1779" spans="1:42">
      <c r="A1779" s="153">
        <f ca="1" t="shared" si="294"/>
        <v>3008023</v>
      </c>
      <c r="B1779" s="283" t="s">
        <v>298</v>
      </c>
      <c r="C1779" s="186">
        <v>3</v>
      </c>
      <c r="D1779" s="186">
        <v>4</v>
      </c>
      <c r="E1779" s="165" t="s">
        <v>1069</v>
      </c>
      <c r="F1779" s="179" t="s">
        <v>1071</v>
      </c>
      <c r="G1779" s="186">
        <f ca="1">OFFSET(卡牌辅助配置表!$C$1,MATCH(AC1779,卡牌辅助配置表!A:A,0)-1,0)</f>
        <v>3</v>
      </c>
      <c r="H1779" s="186" t="e">
        <f ca="1">OFFSET(skill!$Q$1,MATCH(B1779,skill!B:B,0)-1,0)</f>
        <v>#VALUE!</v>
      </c>
      <c r="I1779" s="186"/>
      <c r="J1779" s="186">
        <f ca="1">OFFSET(card_type!$F$1,MATCH(Q1779,card_type!A:A,0)-1,0)</f>
        <v>1</v>
      </c>
      <c r="K1779" s="243">
        <f ca="1">OFFSET(card_type!$G$1,MATCH(Q1779,card_type!A:A,0)-1,0)</f>
        <v>2</v>
      </c>
      <c r="L1779" s="157">
        <v>3</v>
      </c>
      <c r="M1779" s="157">
        <v>3</v>
      </c>
      <c r="N1779" s="153">
        <f t="shared" si="295"/>
        <v>23</v>
      </c>
      <c r="O1779" s="157"/>
      <c r="P1779" s="157"/>
      <c r="Q1779" s="153">
        <f ca="1">OFFSET(card_type!$A$1,MATCH(card!B1779,card_type!B:B,0)-1,0)</f>
        <v>3008</v>
      </c>
      <c r="R1779" s="153">
        <v>1</v>
      </c>
      <c r="S1779" s="157">
        <f ca="1">ROUND(IF(R1779=0,0,IF(R1779=1,X1779*$S$1,IF(R1779=2,X1779*$S$1*buff的资质计算!$E$2,IF(R1779=3,X1779*$S$1*buff的资质计算!$E$3,0)))),0)*0</f>
        <v>0</v>
      </c>
      <c r="T1779" s="153">
        <v>5</v>
      </c>
      <c r="U1779" s="153">
        <f ca="1" t="shared" si="296"/>
        <v>12</v>
      </c>
      <c r="V1779" s="153">
        <f ca="1">ROUND((OFFSET(卡牌辅助配置表!$O$1,MATCH(U1779,卡牌辅助配置表!M:M,0)-1,0)+(N1779-1)*OFFSET(卡牌辅助配置表!$P$1,MATCH(U1779,卡牌辅助配置表!M:M,0)-1,0))*M1779,2)</f>
        <v>49.4</v>
      </c>
      <c r="W1779" s="157">
        <f ca="1">ROUND(IF(R1779=0,0,IF(R1779=1,X1779*$W$1,IF(R1779=2,X1779*$W$1*buff的资质计算!$E$2,IF(R1779=3,X1779*$W$1*buff的资质计算!$E$3,0)))),2)</f>
        <v>12.3</v>
      </c>
      <c r="X1779" s="157">
        <f ca="1" t="shared" si="291"/>
        <v>41</v>
      </c>
      <c r="Y1779" s="157" t="e">
        <f ca="1" t="shared" si="299"/>
        <v>#VALUE!</v>
      </c>
      <c r="Z1779" s="304" t="e">
        <f ca="1" t="shared" si="292"/>
        <v>#VALUE!</v>
      </c>
      <c r="AA1779" s="304">
        <f ca="1">OFFSET(卡牌辅助配置表!$AD$1,MATCH(AB1779,卡牌辅助配置表!AB:AB,0)-1,0)</f>
        <v>1129</v>
      </c>
      <c r="AB1779" s="304">
        <f ca="1" t="shared" si="297"/>
        <v>1223</v>
      </c>
      <c r="AC1779" s="153">
        <v>10</v>
      </c>
      <c r="AD1779" s="153">
        <v>1</v>
      </c>
      <c r="AE1779" s="153">
        <v>1</v>
      </c>
      <c r="AF1779" s="153" t="str">
        <f ca="1" t="shared" si="300"/>
        <v>30080011|</v>
      </c>
      <c r="AI1779" s="153">
        <v>1</v>
      </c>
      <c r="AJ1779" s="205" t="str">
        <f ca="1" t="shared" si="298"/>
        <v>400023|14250|;</v>
      </c>
      <c r="AK1779" s="205">
        <f ca="1">OFFSET([1]item_type!$A$1,MATCH(Q1779,[1]item_type!$G:$G,0)-1,0)</f>
        <v>303008</v>
      </c>
      <c r="AL1779" s="205"/>
      <c r="AM1779" s="205">
        <f ca="1">IF(B1779=B1780,OFFSET(卡牌辅助配置表!$AE$1,MATCH(AB1779,卡牌辅助配置表!AB:AB,0),0),0)</f>
        <v>14250</v>
      </c>
      <c r="AN1779" s="153">
        <f ca="1" t="shared" si="293"/>
        <v>3008024</v>
      </c>
      <c r="AP1779" s="153" t="str">
        <f ca="1">IF(AC1779=0,0,IF(AC1779=12,0,OFFSET(effect!$N$1,MATCH(K1779,effect!M:M,0)-1,0)))</f>
        <v>kpsx_pt</v>
      </c>
    </row>
    <row r="1780" spans="1:42">
      <c r="A1780" s="153">
        <f ca="1" t="shared" si="294"/>
        <v>3008024</v>
      </c>
      <c r="B1780" s="283" t="s">
        <v>298</v>
      </c>
      <c r="C1780" s="186">
        <v>3</v>
      </c>
      <c r="D1780" s="186">
        <v>4</v>
      </c>
      <c r="E1780" s="165" t="s">
        <v>1069</v>
      </c>
      <c r="F1780" s="179" t="s">
        <v>1071</v>
      </c>
      <c r="G1780" s="186">
        <f ca="1">OFFSET(卡牌辅助配置表!$C$1,MATCH(AC1780,卡牌辅助配置表!A:A,0)-1,0)</f>
        <v>3</v>
      </c>
      <c r="H1780" s="186" t="e">
        <f ca="1">OFFSET(skill!$Q$1,MATCH(B1780,skill!B:B,0)-1,0)</f>
        <v>#VALUE!</v>
      </c>
      <c r="I1780" s="186"/>
      <c r="J1780" s="186">
        <f ca="1">OFFSET(card_type!$F$1,MATCH(Q1780,card_type!A:A,0)-1,0)</f>
        <v>1</v>
      </c>
      <c r="K1780" s="243">
        <f ca="1">OFFSET(card_type!$G$1,MATCH(Q1780,card_type!A:A,0)-1,0)</f>
        <v>2</v>
      </c>
      <c r="L1780" s="157">
        <v>3</v>
      </c>
      <c r="M1780" s="157">
        <v>3</v>
      </c>
      <c r="N1780" s="153">
        <f t="shared" si="295"/>
        <v>24</v>
      </c>
      <c r="O1780" s="157"/>
      <c r="P1780" s="157"/>
      <c r="Q1780" s="153">
        <f ca="1">OFFSET(card_type!$A$1,MATCH(card!B1780,card_type!B:B,0)-1,0)</f>
        <v>3008</v>
      </c>
      <c r="R1780" s="153">
        <v>1</v>
      </c>
      <c r="S1780" s="157">
        <f ca="1">ROUND(IF(R1780=0,0,IF(R1780=1,X1780*$S$1,IF(R1780=2,X1780*$S$1*buff的资质计算!$E$2,IF(R1780=3,X1780*$S$1*buff的资质计算!$E$3,0)))),0)*0</f>
        <v>0</v>
      </c>
      <c r="T1780" s="153">
        <v>5</v>
      </c>
      <c r="U1780" s="153">
        <f ca="1" t="shared" si="296"/>
        <v>12</v>
      </c>
      <c r="V1780" s="153">
        <f ca="1">ROUND((OFFSET(卡牌辅助配置表!$O$1,MATCH(U1780,卡牌辅助配置表!M:M,0)-1,0)+(N1780-1)*OFFSET(卡牌辅助配置表!$P$1,MATCH(U1780,卡牌辅助配置表!M:M,0)-1,0))*M1780,2)</f>
        <v>50.35</v>
      </c>
      <c r="W1780" s="157">
        <f ca="1">ROUND(IF(R1780=0,0,IF(R1780=1,X1780*$W$1,IF(R1780=2,X1780*$W$1*buff的资质计算!$E$2,IF(R1780=3,X1780*$W$1*buff的资质计算!$E$3,0)))),2)</f>
        <v>12.45</v>
      </c>
      <c r="X1780" s="157">
        <f ca="1" t="shared" ref="X1780:X1843" si="301">M1780*($M$1+(J1780-1)*$J$1+(K1780-1)*$K$1)+G1780+$J$1*(N1780-1)/$N$1</f>
        <v>41.5</v>
      </c>
      <c r="Y1780" s="157" t="e">
        <f ca="1" t="shared" si="299"/>
        <v>#VALUE!</v>
      </c>
      <c r="Z1780" s="304" t="e">
        <f ca="1" t="shared" ref="Z1780:Z1843" si="302">Y1780/M1780</f>
        <v>#VALUE!</v>
      </c>
      <c r="AA1780" s="304">
        <f ca="1">OFFSET(卡牌辅助配置表!$AD$1,MATCH(AB1780,卡牌辅助配置表!AB:AB,0)-1,0)</f>
        <v>1202</v>
      </c>
      <c r="AB1780" s="304">
        <f ca="1" t="shared" si="297"/>
        <v>1224</v>
      </c>
      <c r="AC1780" s="153">
        <v>10</v>
      </c>
      <c r="AD1780" s="153">
        <v>1</v>
      </c>
      <c r="AE1780" s="153">
        <v>1</v>
      </c>
      <c r="AF1780" s="153" t="str">
        <f ca="1" t="shared" si="300"/>
        <v>30080011|</v>
      </c>
      <c r="AI1780" s="153">
        <v>1</v>
      </c>
      <c r="AJ1780" s="205" t="str">
        <f ca="1" t="shared" si="298"/>
        <v>400023|15450|;</v>
      </c>
      <c r="AK1780" s="205">
        <f ca="1">OFFSET([1]item_type!$A$1,MATCH(Q1780,[1]item_type!$G:$G,0)-1,0)</f>
        <v>303008</v>
      </c>
      <c r="AL1780" s="205"/>
      <c r="AM1780" s="205">
        <f ca="1">IF(B1780=B1781,OFFSET(卡牌辅助配置表!$AE$1,MATCH(AB1780,卡牌辅助配置表!AB:AB,0),0),0)</f>
        <v>15450</v>
      </c>
      <c r="AN1780" s="153">
        <f ca="1" t="shared" si="293"/>
        <v>3008025</v>
      </c>
      <c r="AP1780" s="153" t="str">
        <f ca="1">IF(AC1780=0,0,IF(AC1780=12,0,OFFSET(effect!$N$1,MATCH(K1780,effect!M:M,0)-1,0)))</f>
        <v>kpsx_pt</v>
      </c>
    </row>
    <row r="1781" spans="1:42">
      <c r="A1781" s="153">
        <f ca="1" t="shared" si="294"/>
        <v>3008025</v>
      </c>
      <c r="B1781" s="283" t="s">
        <v>298</v>
      </c>
      <c r="C1781" s="186">
        <v>3</v>
      </c>
      <c r="D1781" s="186">
        <v>4</v>
      </c>
      <c r="E1781" s="165" t="s">
        <v>1069</v>
      </c>
      <c r="F1781" s="179" t="s">
        <v>1071</v>
      </c>
      <c r="G1781" s="186">
        <f ca="1">OFFSET(卡牌辅助配置表!$C$1,MATCH(AC1781,卡牌辅助配置表!A:A,0)-1,0)</f>
        <v>3</v>
      </c>
      <c r="H1781" s="186" t="e">
        <f ca="1">OFFSET(skill!$Q$1,MATCH(B1781,skill!B:B,0)-1,0)</f>
        <v>#VALUE!</v>
      </c>
      <c r="I1781" s="186"/>
      <c r="J1781" s="186">
        <f ca="1">OFFSET(card_type!$F$1,MATCH(Q1781,card_type!A:A,0)-1,0)</f>
        <v>1</v>
      </c>
      <c r="K1781" s="243">
        <f ca="1">OFFSET(card_type!$G$1,MATCH(Q1781,card_type!A:A,0)-1,0)</f>
        <v>2</v>
      </c>
      <c r="L1781" s="157">
        <v>3</v>
      </c>
      <c r="M1781" s="157">
        <v>3</v>
      </c>
      <c r="N1781" s="153">
        <f t="shared" si="295"/>
        <v>25</v>
      </c>
      <c r="O1781" s="157"/>
      <c r="P1781" s="157"/>
      <c r="Q1781" s="153">
        <f ca="1">OFFSET(card_type!$A$1,MATCH(card!B1781,card_type!B:B,0)-1,0)</f>
        <v>3008</v>
      </c>
      <c r="R1781" s="153">
        <v>1</v>
      </c>
      <c r="S1781" s="157">
        <f ca="1">ROUND(IF(R1781=0,0,IF(R1781=1,X1781*$S$1,IF(R1781=2,X1781*$S$1*buff的资质计算!$E$2,IF(R1781=3,X1781*$S$1*buff的资质计算!$E$3,0)))),0)*0</f>
        <v>0</v>
      </c>
      <c r="T1781" s="153">
        <v>5</v>
      </c>
      <c r="U1781" s="153">
        <f ca="1" t="shared" si="296"/>
        <v>12</v>
      </c>
      <c r="V1781" s="153">
        <f ca="1">ROUND((OFFSET(卡牌辅助配置表!$O$1,MATCH(U1781,卡牌辅助配置表!M:M,0)-1,0)+(N1781-1)*OFFSET(卡牌辅助配置表!$P$1,MATCH(U1781,卡牌辅助配置表!M:M,0)-1,0))*M1781,2)</f>
        <v>51.3</v>
      </c>
      <c r="W1781" s="157">
        <f ca="1">ROUND(IF(R1781=0,0,IF(R1781=1,X1781*$W$1,IF(R1781=2,X1781*$W$1*buff的资质计算!$E$2,IF(R1781=3,X1781*$W$1*buff的资质计算!$E$3,0)))),2)</f>
        <v>12.6</v>
      </c>
      <c r="X1781" s="157">
        <f ca="1" t="shared" si="301"/>
        <v>42</v>
      </c>
      <c r="Y1781" s="157" t="e">
        <f ca="1" t="shared" si="299"/>
        <v>#VALUE!</v>
      </c>
      <c r="Z1781" s="304" t="e">
        <f ca="1" t="shared" si="302"/>
        <v>#VALUE!</v>
      </c>
      <c r="AA1781" s="304">
        <f ca="1">OFFSET(卡牌辅助配置表!$AD$1,MATCH(AB1781,卡牌辅助配置表!AB:AB,0)-1,0)</f>
        <v>1275</v>
      </c>
      <c r="AB1781" s="304">
        <f ca="1" t="shared" si="297"/>
        <v>1225</v>
      </c>
      <c r="AC1781" s="153">
        <v>10</v>
      </c>
      <c r="AD1781" s="153">
        <v>1</v>
      </c>
      <c r="AE1781" s="153">
        <v>1</v>
      </c>
      <c r="AF1781" s="153" t="str">
        <f ca="1" t="shared" si="300"/>
        <v>30080011|</v>
      </c>
      <c r="AI1781" s="153">
        <v>1</v>
      </c>
      <c r="AJ1781" s="205" t="str">
        <f ca="1" t="shared" si="298"/>
        <v>400023|16650|;</v>
      </c>
      <c r="AK1781" s="205">
        <f ca="1">OFFSET([1]item_type!$A$1,MATCH(Q1781,[1]item_type!$G:$G,0)-1,0)</f>
        <v>303008</v>
      </c>
      <c r="AL1781" s="205"/>
      <c r="AM1781" s="205">
        <f ca="1">IF(B1781=B1782,OFFSET(卡牌辅助配置表!$AE$1,MATCH(AB1781,卡牌辅助配置表!AB:AB,0),0),0)</f>
        <v>16650</v>
      </c>
      <c r="AN1781" s="153">
        <f ca="1" t="shared" si="293"/>
        <v>3008026</v>
      </c>
      <c r="AP1781" s="153" t="str">
        <f ca="1">IF(AC1781=0,0,IF(AC1781=12,0,OFFSET(effect!$N$1,MATCH(K1781,effect!M:M,0)-1,0)))</f>
        <v>kpsx_pt</v>
      </c>
    </row>
    <row r="1782" spans="1:42">
      <c r="A1782" s="153">
        <f ca="1" t="shared" si="294"/>
        <v>3008026</v>
      </c>
      <c r="B1782" s="283" t="s">
        <v>298</v>
      </c>
      <c r="C1782" s="186">
        <v>3</v>
      </c>
      <c r="D1782" s="186">
        <v>4</v>
      </c>
      <c r="E1782" s="165" t="s">
        <v>1069</v>
      </c>
      <c r="F1782" s="179" t="s">
        <v>1071</v>
      </c>
      <c r="G1782" s="186">
        <f ca="1">OFFSET(卡牌辅助配置表!$C$1,MATCH(AC1782,卡牌辅助配置表!A:A,0)-1,0)</f>
        <v>3</v>
      </c>
      <c r="H1782" s="186" t="e">
        <f ca="1">OFFSET(skill!$Q$1,MATCH(B1782,skill!B:B,0)-1,0)</f>
        <v>#VALUE!</v>
      </c>
      <c r="I1782" s="186"/>
      <c r="J1782" s="186">
        <f ca="1">OFFSET(card_type!$F$1,MATCH(Q1782,card_type!A:A,0)-1,0)</f>
        <v>1</v>
      </c>
      <c r="K1782" s="243">
        <f ca="1">OFFSET(card_type!$G$1,MATCH(Q1782,card_type!A:A,0)-1,0)</f>
        <v>2</v>
      </c>
      <c r="L1782" s="157">
        <v>3</v>
      </c>
      <c r="M1782" s="157">
        <v>3</v>
      </c>
      <c r="N1782" s="153">
        <f t="shared" si="295"/>
        <v>26</v>
      </c>
      <c r="O1782" s="157"/>
      <c r="P1782" s="157"/>
      <c r="Q1782" s="153">
        <f ca="1">OFFSET(card_type!$A$1,MATCH(card!B1782,card_type!B:B,0)-1,0)</f>
        <v>3008</v>
      </c>
      <c r="R1782" s="153">
        <v>1</v>
      </c>
      <c r="S1782" s="157">
        <f ca="1">ROUND(IF(R1782=0,0,IF(R1782=1,X1782*$S$1,IF(R1782=2,X1782*$S$1*buff的资质计算!$E$2,IF(R1782=3,X1782*$S$1*buff的资质计算!$E$3,0)))),0)*0</f>
        <v>0</v>
      </c>
      <c r="T1782" s="153">
        <v>5</v>
      </c>
      <c r="U1782" s="153">
        <f ca="1" t="shared" si="296"/>
        <v>12</v>
      </c>
      <c r="V1782" s="153">
        <f ca="1">ROUND((OFFSET(卡牌辅助配置表!$O$1,MATCH(U1782,卡牌辅助配置表!M:M,0)-1,0)+(N1782-1)*OFFSET(卡牌辅助配置表!$P$1,MATCH(U1782,卡牌辅助配置表!M:M,0)-1,0))*M1782,2)</f>
        <v>52.25</v>
      </c>
      <c r="W1782" s="157">
        <f ca="1">ROUND(IF(R1782=0,0,IF(R1782=1,X1782*$W$1,IF(R1782=2,X1782*$W$1*buff的资质计算!$E$2,IF(R1782=3,X1782*$W$1*buff的资质计算!$E$3,0)))),2)</f>
        <v>12.75</v>
      </c>
      <c r="X1782" s="157">
        <f ca="1" t="shared" si="301"/>
        <v>42.5</v>
      </c>
      <c r="Y1782" s="157" t="e">
        <f ca="1" t="shared" si="299"/>
        <v>#VALUE!</v>
      </c>
      <c r="Z1782" s="304" t="e">
        <f ca="1" t="shared" si="302"/>
        <v>#VALUE!</v>
      </c>
      <c r="AA1782" s="304">
        <f ca="1">OFFSET(卡牌辅助配置表!$AD$1,MATCH(AB1782,卡牌辅助配置表!AB:AB,0)-1,0)</f>
        <v>1348</v>
      </c>
      <c r="AB1782" s="304">
        <f ca="1" t="shared" si="297"/>
        <v>1226</v>
      </c>
      <c r="AC1782" s="153">
        <v>10</v>
      </c>
      <c r="AD1782" s="153">
        <v>1</v>
      </c>
      <c r="AE1782" s="153">
        <v>1</v>
      </c>
      <c r="AF1782" s="153" t="str">
        <f ca="1" t="shared" si="300"/>
        <v>30080011|</v>
      </c>
      <c r="AI1782" s="153">
        <v>1</v>
      </c>
      <c r="AJ1782" s="205" t="str">
        <f ca="1" t="shared" si="298"/>
        <v>400023|17850|;</v>
      </c>
      <c r="AK1782" s="205">
        <f ca="1">OFFSET([1]item_type!$A$1,MATCH(Q1782,[1]item_type!$G:$G,0)-1,0)</f>
        <v>303008</v>
      </c>
      <c r="AL1782" s="205"/>
      <c r="AM1782" s="205">
        <f ca="1">IF(B1782=B1783,OFFSET(卡牌辅助配置表!$AE$1,MATCH(AB1782,卡牌辅助配置表!AB:AB,0),0),0)</f>
        <v>17850</v>
      </c>
      <c r="AN1782" s="153">
        <f ca="1" t="shared" si="293"/>
        <v>3008027</v>
      </c>
      <c r="AP1782" s="153" t="str">
        <f ca="1">IF(AC1782=0,0,IF(AC1782=12,0,OFFSET(effect!$N$1,MATCH(K1782,effect!M:M,0)-1,0)))</f>
        <v>kpsx_pt</v>
      </c>
    </row>
    <row r="1783" spans="1:42">
      <c r="A1783" s="153">
        <f ca="1" t="shared" si="294"/>
        <v>3008027</v>
      </c>
      <c r="B1783" s="283" t="s">
        <v>298</v>
      </c>
      <c r="C1783" s="186">
        <v>3</v>
      </c>
      <c r="D1783" s="186">
        <v>4</v>
      </c>
      <c r="E1783" s="165" t="s">
        <v>1069</v>
      </c>
      <c r="F1783" s="179" t="s">
        <v>1071</v>
      </c>
      <c r="G1783" s="186">
        <f ca="1">OFFSET(卡牌辅助配置表!$C$1,MATCH(AC1783,卡牌辅助配置表!A:A,0)-1,0)</f>
        <v>3</v>
      </c>
      <c r="H1783" s="186" t="e">
        <f ca="1">OFFSET(skill!$Q$1,MATCH(B1783,skill!B:B,0)-1,0)</f>
        <v>#VALUE!</v>
      </c>
      <c r="I1783" s="186"/>
      <c r="J1783" s="186">
        <f ca="1">OFFSET(card_type!$F$1,MATCH(Q1783,card_type!A:A,0)-1,0)</f>
        <v>1</v>
      </c>
      <c r="K1783" s="243">
        <f ca="1">OFFSET(card_type!$G$1,MATCH(Q1783,card_type!A:A,0)-1,0)</f>
        <v>2</v>
      </c>
      <c r="L1783" s="157">
        <v>3</v>
      </c>
      <c r="M1783" s="157">
        <v>3</v>
      </c>
      <c r="N1783" s="153">
        <f t="shared" si="295"/>
        <v>27</v>
      </c>
      <c r="O1783" s="157"/>
      <c r="P1783" s="157"/>
      <c r="Q1783" s="153">
        <f ca="1">OFFSET(card_type!$A$1,MATCH(card!B1783,card_type!B:B,0)-1,0)</f>
        <v>3008</v>
      </c>
      <c r="R1783" s="153">
        <v>1</v>
      </c>
      <c r="S1783" s="157">
        <f ca="1">ROUND(IF(R1783=0,0,IF(R1783=1,X1783*$S$1,IF(R1783=2,X1783*$S$1*buff的资质计算!$E$2,IF(R1783=3,X1783*$S$1*buff的资质计算!$E$3,0)))),0)*0</f>
        <v>0</v>
      </c>
      <c r="T1783" s="153">
        <v>5</v>
      </c>
      <c r="U1783" s="153">
        <f ca="1" t="shared" si="296"/>
        <v>12</v>
      </c>
      <c r="V1783" s="153">
        <f ca="1">ROUND((OFFSET(卡牌辅助配置表!$O$1,MATCH(U1783,卡牌辅助配置表!M:M,0)-1,0)+(N1783-1)*OFFSET(卡牌辅助配置表!$P$1,MATCH(U1783,卡牌辅助配置表!M:M,0)-1,0))*M1783,2)</f>
        <v>53.2</v>
      </c>
      <c r="W1783" s="157">
        <f ca="1">ROUND(IF(R1783=0,0,IF(R1783=1,X1783*$W$1,IF(R1783=2,X1783*$W$1*buff的资质计算!$E$2,IF(R1783=3,X1783*$W$1*buff的资质计算!$E$3,0)))),2)</f>
        <v>12.9</v>
      </c>
      <c r="X1783" s="157">
        <f ca="1" t="shared" si="301"/>
        <v>43</v>
      </c>
      <c r="Y1783" s="157" t="e">
        <f ca="1" t="shared" si="299"/>
        <v>#VALUE!</v>
      </c>
      <c r="Z1783" s="304" t="e">
        <f ca="1" t="shared" si="302"/>
        <v>#VALUE!</v>
      </c>
      <c r="AA1783" s="304">
        <f ca="1">OFFSET(卡牌辅助配置表!$AD$1,MATCH(AB1783,卡牌辅助配置表!AB:AB,0)-1,0)</f>
        <v>1421</v>
      </c>
      <c r="AB1783" s="304">
        <f ca="1" t="shared" si="297"/>
        <v>1227</v>
      </c>
      <c r="AC1783" s="153">
        <v>10</v>
      </c>
      <c r="AD1783" s="153">
        <v>1</v>
      </c>
      <c r="AE1783" s="153">
        <v>1</v>
      </c>
      <c r="AF1783" s="153" t="str">
        <f ca="1" t="shared" si="300"/>
        <v>30080011|</v>
      </c>
      <c r="AI1783" s="153">
        <v>1</v>
      </c>
      <c r="AJ1783" s="205" t="str">
        <f ca="1" t="shared" si="298"/>
        <v>400023|19050|;</v>
      </c>
      <c r="AK1783" s="205">
        <f ca="1">OFFSET([1]item_type!$A$1,MATCH(Q1783,[1]item_type!$G:$G,0)-1,0)</f>
        <v>303008</v>
      </c>
      <c r="AL1783" s="205"/>
      <c r="AM1783" s="205">
        <f ca="1">IF(B1783=B1784,OFFSET(卡牌辅助配置表!$AE$1,MATCH(AB1783,卡牌辅助配置表!AB:AB,0),0),0)</f>
        <v>19050</v>
      </c>
      <c r="AN1783" s="153">
        <f ca="1" t="shared" si="293"/>
        <v>3008028</v>
      </c>
      <c r="AP1783" s="153" t="str">
        <f ca="1">IF(AC1783=0,0,IF(AC1783=12,0,OFFSET(effect!$N$1,MATCH(K1783,effect!M:M,0)-1,0)))</f>
        <v>kpsx_pt</v>
      </c>
    </row>
    <row r="1784" spans="1:42">
      <c r="A1784" s="153">
        <f ca="1" t="shared" si="294"/>
        <v>3008028</v>
      </c>
      <c r="B1784" s="283" t="s">
        <v>298</v>
      </c>
      <c r="C1784" s="186">
        <v>3</v>
      </c>
      <c r="D1784" s="186">
        <v>4</v>
      </c>
      <c r="E1784" s="165" t="s">
        <v>1069</v>
      </c>
      <c r="F1784" s="179" t="s">
        <v>1071</v>
      </c>
      <c r="G1784" s="186">
        <f ca="1">OFFSET(卡牌辅助配置表!$C$1,MATCH(AC1784,卡牌辅助配置表!A:A,0)-1,0)</f>
        <v>3</v>
      </c>
      <c r="H1784" s="186" t="e">
        <f ca="1">OFFSET(skill!$Q$1,MATCH(B1784,skill!B:B,0)-1,0)</f>
        <v>#VALUE!</v>
      </c>
      <c r="I1784" s="186"/>
      <c r="J1784" s="186">
        <f ca="1">OFFSET(card_type!$F$1,MATCH(Q1784,card_type!A:A,0)-1,0)</f>
        <v>1</v>
      </c>
      <c r="K1784" s="243">
        <f ca="1">OFFSET(card_type!$G$1,MATCH(Q1784,card_type!A:A,0)-1,0)</f>
        <v>2</v>
      </c>
      <c r="L1784" s="157">
        <v>3</v>
      </c>
      <c r="M1784" s="157">
        <v>3</v>
      </c>
      <c r="N1784" s="153">
        <f t="shared" si="295"/>
        <v>28</v>
      </c>
      <c r="O1784" s="157"/>
      <c r="P1784" s="157"/>
      <c r="Q1784" s="153">
        <f ca="1">OFFSET(card_type!$A$1,MATCH(card!B1784,card_type!B:B,0)-1,0)</f>
        <v>3008</v>
      </c>
      <c r="R1784" s="153">
        <v>1</v>
      </c>
      <c r="S1784" s="157">
        <f ca="1">ROUND(IF(R1784=0,0,IF(R1784=1,X1784*$S$1,IF(R1784=2,X1784*$S$1*buff的资质计算!$E$2,IF(R1784=3,X1784*$S$1*buff的资质计算!$E$3,0)))),0)*0</f>
        <v>0</v>
      </c>
      <c r="T1784" s="153">
        <v>5</v>
      </c>
      <c r="U1784" s="153">
        <f ca="1" t="shared" si="296"/>
        <v>12</v>
      </c>
      <c r="V1784" s="153">
        <f ca="1">ROUND((OFFSET(卡牌辅助配置表!$O$1,MATCH(U1784,卡牌辅助配置表!M:M,0)-1,0)+(N1784-1)*OFFSET(卡牌辅助配置表!$P$1,MATCH(U1784,卡牌辅助配置表!M:M,0)-1,0))*M1784,2)</f>
        <v>54.15</v>
      </c>
      <c r="W1784" s="157">
        <f ca="1">ROUND(IF(R1784=0,0,IF(R1784=1,X1784*$W$1,IF(R1784=2,X1784*$W$1*buff的资质计算!$E$2,IF(R1784=3,X1784*$W$1*buff的资质计算!$E$3,0)))),2)</f>
        <v>13.05</v>
      </c>
      <c r="X1784" s="157">
        <f ca="1" t="shared" si="301"/>
        <v>43.5</v>
      </c>
      <c r="Y1784" s="157" t="e">
        <f ca="1" t="shared" si="299"/>
        <v>#VALUE!</v>
      </c>
      <c r="Z1784" s="304" t="e">
        <f ca="1" t="shared" si="302"/>
        <v>#VALUE!</v>
      </c>
      <c r="AA1784" s="304">
        <f ca="1">OFFSET(卡牌辅助配置表!$AD$1,MATCH(AB1784,卡牌辅助配置表!AB:AB,0)-1,0)</f>
        <v>1494</v>
      </c>
      <c r="AB1784" s="304">
        <f ca="1" t="shared" si="297"/>
        <v>1228</v>
      </c>
      <c r="AC1784" s="153">
        <v>10</v>
      </c>
      <c r="AD1784" s="153">
        <v>1</v>
      </c>
      <c r="AE1784" s="153">
        <v>1</v>
      </c>
      <c r="AF1784" s="153" t="str">
        <f ca="1" t="shared" si="300"/>
        <v>30080011|</v>
      </c>
      <c r="AI1784" s="153">
        <v>1</v>
      </c>
      <c r="AJ1784" s="205" t="str">
        <f ca="1" t="shared" si="298"/>
        <v>400023|20250|;</v>
      </c>
      <c r="AK1784" s="205">
        <f ca="1">OFFSET([1]item_type!$A$1,MATCH(Q1784,[1]item_type!$G:$G,0)-1,0)</f>
        <v>303008</v>
      </c>
      <c r="AL1784" s="205"/>
      <c r="AM1784" s="205">
        <f ca="1">IF(B1784=B1785,OFFSET(卡牌辅助配置表!$AE$1,MATCH(AB1784,卡牌辅助配置表!AB:AB,0),0),0)</f>
        <v>20250</v>
      </c>
      <c r="AN1784" s="153">
        <f ca="1" t="shared" si="293"/>
        <v>3008029</v>
      </c>
      <c r="AP1784" s="153" t="str">
        <f ca="1">IF(AC1784=0,0,IF(AC1784=12,0,OFFSET(effect!$N$1,MATCH(K1784,effect!M:M,0)-1,0)))</f>
        <v>kpsx_pt</v>
      </c>
    </row>
    <row r="1785" spans="1:42">
      <c r="A1785" s="153">
        <f ca="1" t="shared" si="294"/>
        <v>3008029</v>
      </c>
      <c r="B1785" s="283" t="s">
        <v>298</v>
      </c>
      <c r="C1785" s="186">
        <v>3</v>
      </c>
      <c r="D1785" s="186">
        <v>4</v>
      </c>
      <c r="E1785" s="165" t="s">
        <v>1069</v>
      </c>
      <c r="F1785" s="179" t="s">
        <v>1071</v>
      </c>
      <c r="G1785" s="186">
        <f ca="1">OFFSET(卡牌辅助配置表!$C$1,MATCH(AC1785,卡牌辅助配置表!A:A,0)-1,0)</f>
        <v>3</v>
      </c>
      <c r="H1785" s="186" t="e">
        <f ca="1">OFFSET(skill!$Q$1,MATCH(B1785,skill!B:B,0)-1,0)</f>
        <v>#VALUE!</v>
      </c>
      <c r="I1785" s="186"/>
      <c r="J1785" s="186">
        <f ca="1">OFFSET(card_type!$F$1,MATCH(Q1785,card_type!A:A,0)-1,0)</f>
        <v>1</v>
      </c>
      <c r="K1785" s="243">
        <f ca="1">OFFSET(card_type!$G$1,MATCH(Q1785,card_type!A:A,0)-1,0)</f>
        <v>2</v>
      </c>
      <c r="L1785" s="157">
        <v>3</v>
      </c>
      <c r="M1785" s="157">
        <v>3</v>
      </c>
      <c r="N1785" s="153">
        <f t="shared" si="295"/>
        <v>29</v>
      </c>
      <c r="O1785" s="157"/>
      <c r="P1785" s="157"/>
      <c r="Q1785" s="153">
        <f ca="1">OFFSET(card_type!$A$1,MATCH(card!B1785,card_type!B:B,0)-1,0)</f>
        <v>3008</v>
      </c>
      <c r="R1785" s="153">
        <v>1</v>
      </c>
      <c r="S1785" s="157">
        <f ca="1">ROUND(IF(R1785=0,0,IF(R1785=1,X1785*$S$1,IF(R1785=2,X1785*$S$1*buff的资质计算!$E$2,IF(R1785=3,X1785*$S$1*buff的资质计算!$E$3,0)))),0)*0</f>
        <v>0</v>
      </c>
      <c r="T1785" s="153">
        <v>5</v>
      </c>
      <c r="U1785" s="153">
        <f ca="1" t="shared" si="296"/>
        <v>12</v>
      </c>
      <c r="V1785" s="153">
        <f ca="1">ROUND((OFFSET(卡牌辅助配置表!$O$1,MATCH(U1785,卡牌辅助配置表!M:M,0)-1,0)+(N1785-1)*OFFSET(卡牌辅助配置表!$P$1,MATCH(U1785,卡牌辅助配置表!M:M,0)-1,0))*M1785,2)</f>
        <v>55.1</v>
      </c>
      <c r="W1785" s="157">
        <f ca="1">ROUND(IF(R1785=0,0,IF(R1785=1,X1785*$W$1,IF(R1785=2,X1785*$W$1*buff的资质计算!$E$2,IF(R1785=3,X1785*$W$1*buff的资质计算!$E$3,0)))),2)</f>
        <v>13.2</v>
      </c>
      <c r="X1785" s="157">
        <f ca="1" t="shared" si="301"/>
        <v>44</v>
      </c>
      <c r="Y1785" s="157" t="e">
        <f ca="1" t="shared" si="299"/>
        <v>#VALUE!</v>
      </c>
      <c r="Z1785" s="304" t="e">
        <f ca="1" t="shared" si="302"/>
        <v>#VALUE!</v>
      </c>
      <c r="AA1785" s="304">
        <f ca="1">OFFSET(卡牌辅助配置表!$AD$1,MATCH(AB1785,卡牌辅助配置表!AB:AB,0)-1,0)</f>
        <v>1567</v>
      </c>
      <c r="AB1785" s="304">
        <f ca="1" t="shared" si="297"/>
        <v>1229</v>
      </c>
      <c r="AC1785" s="153">
        <v>10</v>
      </c>
      <c r="AD1785" s="153">
        <v>1</v>
      </c>
      <c r="AE1785" s="153">
        <v>1</v>
      </c>
      <c r="AF1785" s="153" t="str">
        <f ca="1" t="shared" si="300"/>
        <v>30080011|</v>
      </c>
      <c r="AI1785" s="153">
        <v>1</v>
      </c>
      <c r="AJ1785" s="205" t="str">
        <f ca="1" t="shared" si="298"/>
        <v>303008|30|;400023|21450|;</v>
      </c>
      <c r="AK1785" s="205">
        <f ca="1">OFFSET([1]item_type!$A$1,MATCH(Q1785,[1]item_type!$G:$G,0)-1,0)</f>
        <v>303008</v>
      </c>
      <c r="AL1785" s="205">
        <v>30</v>
      </c>
      <c r="AM1785" s="205">
        <f ca="1">IF(B1785=B1786,OFFSET(卡牌辅助配置表!$AE$1,MATCH(AB1785,卡牌辅助配置表!AB:AB,0),0),0)</f>
        <v>21450</v>
      </c>
      <c r="AN1785" s="153">
        <f ca="1" t="shared" si="293"/>
        <v>3008030</v>
      </c>
      <c r="AP1785" s="153" t="str">
        <f ca="1">IF(AC1785=0,0,IF(AC1785=12,0,OFFSET(effect!$N$1,MATCH(K1785,effect!M:M,0)-1,0)))</f>
        <v>kpsx_pt</v>
      </c>
    </row>
    <row r="1786" spans="1:42">
      <c r="A1786" s="153">
        <f ca="1" t="shared" si="294"/>
        <v>3008030</v>
      </c>
      <c r="B1786" s="283" t="s">
        <v>298</v>
      </c>
      <c r="C1786" s="186">
        <v>3</v>
      </c>
      <c r="D1786" s="186">
        <v>4</v>
      </c>
      <c r="E1786" s="165" t="s">
        <v>1069</v>
      </c>
      <c r="F1786" s="179" t="s">
        <v>1071</v>
      </c>
      <c r="G1786" s="186">
        <f ca="1">OFFSET(卡牌辅助配置表!$C$1,MATCH(AC1786,卡牌辅助配置表!A:A,0)-1,0)</f>
        <v>3</v>
      </c>
      <c r="H1786" s="186" t="e">
        <f ca="1">OFFSET(skill!$Q$1,MATCH(B1786,skill!B:B,0)-1,0)</f>
        <v>#VALUE!</v>
      </c>
      <c r="I1786" s="186"/>
      <c r="J1786" s="186">
        <f ca="1">OFFSET(card_type!$F$1,MATCH(Q1786,card_type!A:A,0)-1,0)</f>
        <v>1</v>
      </c>
      <c r="K1786" s="243">
        <f ca="1">OFFSET(card_type!$G$1,MATCH(Q1786,card_type!A:A,0)-1,0)</f>
        <v>2</v>
      </c>
      <c r="L1786" s="157">
        <v>3</v>
      </c>
      <c r="M1786" s="157">
        <v>3</v>
      </c>
      <c r="N1786" s="153">
        <f t="shared" si="295"/>
        <v>30</v>
      </c>
      <c r="O1786" s="157"/>
      <c r="P1786" s="157"/>
      <c r="Q1786" s="153">
        <f ca="1">OFFSET(card_type!$A$1,MATCH(card!B1786,card_type!B:B,0)-1,0)</f>
        <v>3008</v>
      </c>
      <c r="R1786" s="153">
        <v>1</v>
      </c>
      <c r="S1786" s="157">
        <f ca="1">ROUND(IF(R1786=0,0,IF(R1786=1,X1786*$S$1,IF(R1786=2,X1786*$S$1*buff的资质计算!$E$2,IF(R1786=3,X1786*$S$1*buff的资质计算!$E$3,0)))),0)*0</f>
        <v>0</v>
      </c>
      <c r="T1786" s="153">
        <v>5</v>
      </c>
      <c r="U1786" s="153">
        <f ca="1" t="shared" si="296"/>
        <v>12</v>
      </c>
      <c r="V1786" s="153">
        <f ca="1">ROUND((OFFSET(卡牌辅助配置表!$O$1,MATCH(U1786,卡牌辅助配置表!M:M,0)-1,0)+(N1786-1)*OFFSET(卡牌辅助配置表!$P$1,MATCH(U1786,卡牌辅助配置表!M:M,0)-1,0))*M1786,2)</f>
        <v>56.05</v>
      </c>
      <c r="W1786" s="157">
        <f ca="1">ROUND(IF(R1786=0,0,IF(R1786=1,X1786*$W$1,IF(R1786=2,X1786*$W$1*buff的资质计算!$E$2,IF(R1786=3,X1786*$W$1*buff的资质计算!$E$3,0)))),2)</f>
        <v>13.35</v>
      </c>
      <c r="X1786" s="157">
        <f ca="1" t="shared" si="301"/>
        <v>44.5</v>
      </c>
      <c r="Y1786" s="157" t="e">
        <f ca="1" t="shared" si="299"/>
        <v>#VALUE!</v>
      </c>
      <c r="Z1786" s="304" t="e">
        <f ca="1" t="shared" si="302"/>
        <v>#VALUE!</v>
      </c>
      <c r="AA1786" s="304">
        <f ca="1">OFFSET(卡牌辅助配置表!$AD$1,MATCH(AB1786,卡牌辅助配置表!AB:AB,0)-1,0)</f>
        <v>1640</v>
      </c>
      <c r="AB1786" s="304">
        <f ca="1" t="shared" si="297"/>
        <v>1230</v>
      </c>
      <c r="AC1786" s="153">
        <v>10</v>
      </c>
      <c r="AD1786" s="153">
        <v>1</v>
      </c>
      <c r="AE1786" s="153">
        <v>1</v>
      </c>
      <c r="AF1786" s="153" t="str">
        <f ca="1" t="shared" si="300"/>
        <v>30080011|</v>
      </c>
      <c r="AI1786" s="153">
        <v>1</v>
      </c>
      <c r="AJ1786" s="205">
        <f ca="1" t="shared" si="298"/>
        <v>0</v>
      </c>
      <c r="AK1786" s="205">
        <f ca="1">OFFSET([1]item_type!$A$1,MATCH(Q1786,[1]item_type!$G:$G,0)-1,0)</f>
        <v>303008</v>
      </c>
      <c r="AL1786" s="205"/>
      <c r="AM1786" s="205">
        <f ca="1">IF(B1786=B1787,OFFSET(卡牌辅助配置表!$AE$1,MATCH(AB1786,卡牌辅助配置表!AB:AB,0),0),0)</f>
        <v>0</v>
      </c>
      <c r="AN1786" s="153">
        <f ca="1" t="shared" si="293"/>
        <v>0</v>
      </c>
      <c r="AP1786" s="153" t="str">
        <f ca="1">IF(AC1786=0,0,IF(AC1786=12,0,OFFSET(effect!$N$1,MATCH(K1786,effect!M:M,0)-1,0)))</f>
        <v>kpsx_pt</v>
      </c>
    </row>
    <row r="1787" spans="1:42">
      <c r="A1787" s="153">
        <f ca="1" t="shared" si="294"/>
        <v>3009001</v>
      </c>
      <c r="B1787" s="91" t="s">
        <v>502</v>
      </c>
      <c r="C1787" s="186">
        <v>3</v>
      </c>
      <c r="D1787" s="186">
        <v>4</v>
      </c>
      <c r="E1787" s="165" t="s">
        <v>1069</v>
      </c>
      <c r="F1787" s="165" t="str">
        <f>"若自身处在炎息中，伤害增加炎息层数*"&amp;skill!$O$134/100&amp;"%"</f>
        <v>若自身处在炎息中，伤害增加炎息层数*30%</v>
      </c>
      <c r="G1787" s="186">
        <f ca="1">OFFSET(卡牌辅助配置表!$C$1,MATCH(AC1787,卡牌辅助配置表!A:A,0)-1,0)</f>
        <v>3</v>
      </c>
      <c r="H1787" s="186" t="e">
        <f ca="1">OFFSET(skill!$Q$1,MATCH(B1847,skill!B:B,0)-1,0)</f>
        <v>#VALUE!</v>
      </c>
      <c r="I1787" s="186"/>
      <c r="J1787" s="186">
        <f ca="1">OFFSET(card_type!$F$1,MATCH(Q1787,card_type!A:A,0)-1,0)</f>
        <v>1</v>
      </c>
      <c r="K1787" s="243">
        <f ca="1">OFFSET(card_type!$G$1,MATCH(Q1787,card_type!A:A,0)-1,0)</f>
        <v>3</v>
      </c>
      <c r="L1787" s="157">
        <v>3</v>
      </c>
      <c r="M1787" s="157">
        <v>3</v>
      </c>
      <c r="N1787" s="153">
        <f t="shared" si="295"/>
        <v>1</v>
      </c>
      <c r="O1787" s="157"/>
      <c r="P1787" s="157"/>
      <c r="Q1787" s="153">
        <f ca="1">OFFSET(card_type!$A$1,MATCH(card!B1787,card_type!B:B,0)-1,0)</f>
        <v>3009</v>
      </c>
      <c r="R1787" s="153">
        <v>1</v>
      </c>
      <c r="S1787" s="157">
        <f ca="1">ROUND(IF(R1787=0,0,IF(R1787=1,X1787*$S$1,IF(R1787=2,X1787*$S$1*buff的资质计算!$E$2,IF(R1787=3,X1787*$S$1*buff的资质计算!$E$3,0)))),0)*0</f>
        <v>0</v>
      </c>
      <c r="T1787" s="153">
        <v>3</v>
      </c>
      <c r="U1787" s="153">
        <f ca="1" t="shared" si="296"/>
        <v>13</v>
      </c>
      <c r="V1787" s="153">
        <f ca="1">ROUND((OFFSET(卡牌辅助配置表!$O$1,MATCH(U1787,卡牌辅助配置表!M:M,0)-1,0)+(N1787-1)*OFFSET(卡牌辅助配置表!$P$1,MATCH(U1787,卡牌辅助配置表!M:M,0)-1,0))*M1787,2)</f>
        <v>45.6</v>
      </c>
      <c r="W1787" s="157">
        <f ca="1">ROUND(IF(R1787=0,0,IF(R1787=1,X1787*$W$1,IF(R1787=2,X1787*$W$1*buff的资质计算!$E$2,IF(R1787=3,X1787*$W$1*buff的资质计算!$E$3,0)))),2)</f>
        <v>12.6</v>
      </c>
      <c r="X1787" s="157">
        <f ca="1" t="shared" si="301"/>
        <v>42</v>
      </c>
      <c r="Y1787" s="157" t="e">
        <f ca="1" t="shared" si="299"/>
        <v>#VALUE!</v>
      </c>
      <c r="Z1787" s="304" t="e">
        <f ca="1" t="shared" si="302"/>
        <v>#VALUE!</v>
      </c>
      <c r="AA1787" s="304">
        <f ca="1">OFFSET(卡牌辅助配置表!$AD$1,MATCH(AB1787,卡牌辅助配置表!AB:AB,0)-1,0)</f>
        <v>91</v>
      </c>
      <c r="AB1787" s="304">
        <f ca="1" t="shared" si="297"/>
        <v>1301</v>
      </c>
      <c r="AC1787" s="153">
        <v>10</v>
      </c>
      <c r="AD1787" s="153">
        <v>1</v>
      </c>
      <c r="AE1787" s="153">
        <v>1</v>
      </c>
      <c r="AF1787" s="153" t="str">
        <f ca="1" t="shared" si="300"/>
        <v>30090011|</v>
      </c>
      <c r="AJ1787" s="205" t="str">
        <f ca="1" t="shared" si="298"/>
        <v>400023|1400|;</v>
      </c>
      <c r="AK1787" s="205">
        <f ca="1">OFFSET([1]item_type!$A$1,MATCH(Q1787,[1]item_type!$G:$G,0)-1,0)</f>
        <v>303009</v>
      </c>
      <c r="AL1787" s="205"/>
      <c r="AM1787" s="205">
        <f ca="1">IF(B1787=B1788,OFFSET(卡牌辅助配置表!$AE$1,MATCH(AB1787,卡牌辅助配置表!AB:AB,0),0),0)</f>
        <v>1400</v>
      </c>
      <c r="AN1787" s="153">
        <f ca="1" t="shared" si="293"/>
        <v>3009002</v>
      </c>
      <c r="AP1787" s="153" t="str">
        <f ca="1">IF(AC1787=0,0,IF(AC1787=12,0,OFFSET(effect!$N$1,MATCH(K1787,effect!M:M,0)-1,0)))</f>
        <v>kpsx_zise</v>
      </c>
    </row>
    <row r="1788" spans="1:42">
      <c r="A1788" s="153">
        <f ca="1" t="shared" si="294"/>
        <v>3009002</v>
      </c>
      <c r="B1788" s="91" t="s">
        <v>502</v>
      </c>
      <c r="C1788" s="186">
        <v>3</v>
      </c>
      <c r="D1788" s="186">
        <v>4</v>
      </c>
      <c r="E1788" s="165" t="s">
        <v>1069</v>
      </c>
      <c r="F1788" s="165" t="str">
        <f>"若自身处在炎息中，伤害增加炎息层数*"&amp;skill!$O$134/100&amp;"%"</f>
        <v>若自身处在炎息中，伤害增加炎息层数*30%</v>
      </c>
      <c r="G1788" s="186">
        <f ca="1">OFFSET(卡牌辅助配置表!$C$1,MATCH(AC1788,卡牌辅助配置表!A:A,0)-1,0)</f>
        <v>3</v>
      </c>
      <c r="H1788" s="186">
        <f ca="1">OFFSET(skill!$Q$1,MATCH(B1877,skill!B:B,0)-1,0)</f>
        <v>15</v>
      </c>
      <c r="I1788" s="186"/>
      <c r="J1788" s="186">
        <f ca="1">OFFSET(card_type!$F$1,MATCH(Q1788,card_type!A:A,0)-1,0)</f>
        <v>1</v>
      </c>
      <c r="K1788" s="243">
        <f ca="1">OFFSET(card_type!$G$1,MATCH(Q1788,card_type!A:A,0)-1,0)</f>
        <v>3</v>
      </c>
      <c r="L1788" s="157">
        <v>3</v>
      </c>
      <c r="M1788" s="157">
        <v>3</v>
      </c>
      <c r="N1788" s="153">
        <f t="shared" si="295"/>
        <v>2</v>
      </c>
      <c r="O1788" s="157"/>
      <c r="P1788" s="157"/>
      <c r="Q1788" s="153">
        <f ca="1">OFFSET(card_type!$A$1,MATCH(card!B1788,card_type!B:B,0)-1,0)</f>
        <v>3009</v>
      </c>
      <c r="R1788" s="153">
        <v>1</v>
      </c>
      <c r="S1788" s="157">
        <f ca="1">ROUND(IF(R1788=0,0,IF(R1788=1,X1788*$S$1,IF(R1788=2,X1788*$S$1*buff的资质计算!$E$2,IF(R1788=3,X1788*$S$1*buff的资质计算!$E$3,0)))),0)*0</f>
        <v>0</v>
      </c>
      <c r="T1788" s="153">
        <v>3</v>
      </c>
      <c r="U1788" s="153">
        <f ca="1" t="shared" si="296"/>
        <v>13</v>
      </c>
      <c r="V1788" s="153">
        <f ca="1">ROUND((OFFSET(卡牌辅助配置表!$O$1,MATCH(U1788,卡牌辅助配置表!M:M,0)-1,0)+(N1788-1)*OFFSET(卡牌辅助配置表!$P$1,MATCH(U1788,卡牌辅助配置表!M:M,0)-1,0))*M1788,2)</f>
        <v>47.12</v>
      </c>
      <c r="W1788" s="157">
        <f ca="1">ROUND(IF(R1788=0,0,IF(R1788=1,X1788*$W$1,IF(R1788=2,X1788*$W$1*buff的资质计算!$E$2,IF(R1788=3,X1788*$W$1*buff的资质计算!$E$3,0)))),2)</f>
        <v>12.75</v>
      </c>
      <c r="X1788" s="157">
        <f ca="1" t="shared" si="301"/>
        <v>42.5</v>
      </c>
      <c r="Y1788" s="157">
        <f ca="1" t="shared" si="299"/>
        <v>57.5</v>
      </c>
      <c r="Z1788" s="304">
        <f ca="1" t="shared" si="302"/>
        <v>19.1666666666667</v>
      </c>
      <c r="AA1788" s="304">
        <f ca="1">OFFSET(卡牌辅助配置表!$AD$1,MATCH(AB1788,卡牌辅助配置表!AB:AB,0)-1,0)</f>
        <v>182</v>
      </c>
      <c r="AB1788" s="304">
        <f ca="1" t="shared" si="297"/>
        <v>1302</v>
      </c>
      <c r="AC1788" s="153">
        <v>10</v>
      </c>
      <c r="AD1788" s="153">
        <v>1</v>
      </c>
      <c r="AE1788" s="153">
        <v>1</v>
      </c>
      <c r="AF1788" s="153" t="str">
        <f ca="1" t="shared" si="300"/>
        <v>30090011|</v>
      </c>
      <c r="AJ1788" s="205" t="str">
        <f ca="1" t="shared" si="298"/>
        <v>400023|1800|;</v>
      </c>
      <c r="AK1788" s="205">
        <f ca="1">OFFSET([1]item_type!$A$1,MATCH(Q1788,[1]item_type!$G:$G,0)-1,0)</f>
        <v>303009</v>
      </c>
      <c r="AL1788" s="205"/>
      <c r="AM1788" s="205">
        <f ca="1">IF(B1788=B1789,OFFSET(卡牌辅助配置表!$AE$1,MATCH(AB1788,卡牌辅助配置表!AB:AB,0),0),0)</f>
        <v>1800</v>
      </c>
      <c r="AN1788" s="153">
        <f ca="1" t="shared" si="293"/>
        <v>3009003</v>
      </c>
      <c r="AP1788" s="153" t="str">
        <f ca="1">IF(AC1788=0,0,IF(AC1788=12,0,OFFSET(effect!$N$1,MATCH(K1788,effect!M:M,0)-1,0)))</f>
        <v>kpsx_zise</v>
      </c>
    </row>
    <row r="1789" spans="1:42">
      <c r="A1789" s="153">
        <f ca="1" t="shared" si="294"/>
        <v>3009003</v>
      </c>
      <c r="B1789" s="91" t="s">
        <v>502</v>
      </c>
      <c r="C1789" s="186">
        <v>3</v>
      </c>
      <c r="D1789" s="186">
        <v>4</v>
      </c>
      <c r="E1789" s="165" t="s">
        <v>1069</v>
      </c>
      <c r="F1789" s="165" t="str">
        <f>"若自身处在炎息中，伤害增加炎息层数*"&amp;skill!$O$134/100&amp;"%"</f>
        <v>若自身处在炎息中，伤害增加炎息层数*30%</v>
      </c>
      <c r="G1789" s="186">
        <f ca="1">OFFSET(卡牌辅助配置表!$C$1,MATCH(AC1789,卡牌辅助配置表!A:A,0)-1,0)</f>
        <v>3</v>
      </c>
      <c r="H1789" s="186">
        <f ca="1">OFFSET(skill!$Q$1,MATCH(B1907,skill!B:B,0)-1,0)</f>
        <v>5</v>
      </c>
      <c r="I1789" s="186"/>
      <c r="J1789" s="186">
        <f ca="1">OFFSET(card_type!$F$1,MATCH(Q1789,card_type!A:A,0)-1,0)</f>
        <v>1</v>
      </c>
      <c r="K1789" s="243">
        <f ca="1">OFFSET(card_type!$G$1,MATCH(Q1789,card_type!A:A,0)-1,0)</f>
        <v>3</v>
      </c>
      <c r="L1789" s="157">
        <v>3</v>
      </c>
      <c r="M1789" s="157">
        <v>3</v>
      </c>
      <c r="N1789" s="153">
        <f t="shared" si="295"/>
        <v>3</v>
      </c>
      <c r="O1789" s="157"/>
      <c r="P1789" s="157"/>
      <c r="Q1789" s="153">
        <f ca="1">OFFSET(card_type!$A$1,MATCH(card!B1789,card_type!B:B,0)-1,0)</f>
        <v>3009</v>
      </c>
      <c r="R1789" s="153">
        <v>1</v>
      </c>
      <c r="S1789" s="157">
        <f ca="1">ROUND(IF(R1789=0,0,IF(R1789=1,X1789*$S$1,IF(R1789=2,X1789*$S$1*buff的资质计算!$E$2,IF(R1789=3,X1789*$S$1*buff的资质计算!$E$3,0)))),0)*0</f>
        <v>0</v>
      </c>
      <c r="T1789" s="153">
        <v>3</v>
      </c>
      <c r="U1789" s="153">
        <f ca="1" t="shared" si="296"/>
        <v>13</v>
      </c>
      <c r="V1789" s="153">
        <f ca="1">ROUND((OFFSET(卡牌辅助配置表!$O$1,MATCH(U1789,卡牌辅助配置表!M:M,0)-1,0)+(N1789-1)*OFFSET(卡牌辅助配置表!$P$1,MATCH(U1789,卡牌辅助配置表!M:M,0)-1,0))*M1789,2)</f>
        <v>48.64</v>
      </c>
      <c r="W1789" s="157">
        <f ca="1">ROUND(IF(R1789=0,0,IF(R1789=1,X1789*$W$1,IF(R1789=2,X1789*$W$1*buff的资质计算!$E$2,IF(R1789=3,X1789*$W$1*buff的资质计算!$E$3,0)))),2)</f>
        <v>12.9</v>
      </c>
      <c r="X1789" s="157">
        <f ca="1" t="shared" si="301"/>
        <v>43</v>
      </c>
      <c r="Y1789" s="157">
        <f ca="1" t="shared" si="299"/>
        <v>48</v>
      </c>
      <c r="Z1789" s="304">
        <f ca="1" t="shared" si="302"/>
        <v>16</v>
      </c>
      <c r="AA1789" s="304">
        <f ca="1">OFFSET(卡牌辅助配置表!$AD$1,MATCH(AB1789,卡牌辅助配置表!AB:AB,0)-1,0)</f>
        <v>273</v>
      </c>
      <c r="AB1789" s="304">
        <f ca="1" t="shared" si="297"/>
        <v>1303</v>
      </c>
      <c r="AC1789" s="153">
        <v>10</v>
      </c>
      <c r="AD1789" s="153">
        <v>1</v>
      </c>
      <c r="AE1789" s="153">
        <v>1</v>
      </c>
      <c r="AF1789" s="153" t="str">
        <f ca="1" t="shared" si="300"/>
        <v>30090011|</v>
      </c>
      <c r="AJ1789" s="205" t="str">
        <f ca="1" t="shared" si="298"/>
        <v>400023|2200|;</v>
      </c>
      <c r="AK1789" s="205">
        <f ca="1">OFFSET([1]item_type!$A$1,MATCH(Q1789,[1]item_type!$G:$G,0)-1,0)</f>
        <v>303009</v>
      </c>
      <c r="AL1789" s="205"/>
      <c r="AM1789" s="205">
        <f ca="1">IF(B1789=B1790,OFFSET(卡牌辅助配置表!$AE$1,MATCH(AB1789,卡牌辅助配置表!AB:AB,0),0),0)</f>
        <v>2200</v>
      </c>
      <c r="AN1789" s="153">
        <f ca="1" t="shared" si="293"/>
        <v>3009004</v>
      </c>
      <c r="AP1789" s="153" t="str">
        <f ca="1">IF(AC1789=0,0,IF(AC1789=12,0,OFFSET(effect!$N$1,MATCH(K1789,effect!M:M,0)-1,0)))</f>
        <v>kpsx_zise</v>
      </c>
    </row>
    <row r="1790" spans="1:42">
      <c r="A1790" s="153">
        <f ca="1" t="shared" si="294"/>
        <v>3009004</v>
      </c>
      <c r="B1790" s="91" t="s">
        <v>502</v>
      </c>
      <c r="C1790" s="186">
        <v>3</v>
      </c>
      <c r="D1790" s="186">
        <v>4</v>
      </c>
      <c r="E1790" s="165" t="s">
        <v>1069</v>
      </c>
      <c r="F1790" s="165" t="str">
        <f>"若自身处在炎息中，伤害增加炎息层数*"&amp;skill!$O$134/100&amp;"%"</f>
        <v>若自身处在炎息中，伤害增加炎息层数*30%</v>
      </c>
      <c r="G1790" s="186">
        <f ca="1">OFFSET(卡牌辅助配置表!$C$1,MATCH(AC1790,卡牌辅助配置表!A:A,0)-1,0)</f>
        <v>3</v>
      </c>
      <c r="H1790" s="186">
        <f ca="1">OFFSET(skill!$Q$1,MATCH(B1937,skill!B:B,0)-1,0)</f>
        <v>10</v>
      </c>
      <c r="I1790" s="186"/>
      <c r="J1790" s="186">
        <f ca="1">OFFSET(card_type!$F$1,MATCH(Q1790,card_type!A:A,0)-1,0)</f>
        <v>1</v>
      </c>
      <c r="K1790" s="243">
        <f ca="1">OFFSET(card_type!$G$1,MATCH(Q1790,card_type!A:A,0)-1,0)</f>
        <v>3</v>
      </c>
      <c r="L1790" s="157">
        <v>3</v>
      </c>
      <c r="M1790" s="157">
        <v>3</v>
      </c>
      <c r="N1790" s="153">
        <f t="shared" si="295"/>
        <v>4</v>
      </c>
      <c r="O1790" s="157"/>
      <c r="P1790" s="157"/>
      <c r="Q1790" s="153">
        <f ca="1">OFFSET(card_type!$A$1,MATCH(card!B1790,card_type!B:B,0)-1,0)</f>
        <v>3009</v>
      </c>
      <c r="R1790" s="153">
        <v>1</v>
      </c>
      <c r="S1790" s="157">
        <f ca="1">ROUND(IF(R1790=0,0,IF(R1790=1,X1790*$S$1,IF(R1790=2,X1790*$S$1*buff的资质计算!$E$2,IF(R1790=3,X1790*$S$1*buff的资质计算!$E$3,0)))),0)*0</f>
        <v>0</v>
      </c>
      <c r="T1790" s="153">
        <v>3</v>
      </c>
      <c r="U1790" s="153">
        <f ca="1" t="shared" si="296"/>
        <v>13</v>
      </c>
      <c r="V1790" s="153">
        <f ca="1">ROUND((OFFSET(卡牌辅助配置表!$O$1,MATCH(U1790,卡牌辅助配置表!M:M,0)-1,0)+(N1790-1)*OFFSET(卡牌辅助配置表!$P$1,MATCH(U1790,卡牌辅助配置表!M:M,0)-1,0))*M1790,2)</f>
        <v>50.16</v>
      </c>
      <c r="W1790" s="157">
        <f ca="1">ROUND(IF(R1790=0,0,IF(R1790=1,X1790*$W$1,IF(R1790=2,X1790*$W$1*buff的资质计算!$E$2,IF(R1790=3,X1790*$W$1*buff的资质计算!$E$3,0)))),2)</f>
        <v>13.05</v>
      </c>
      <c r="X1790" s="157">
        <f ca="1" t="shared" si="301"/>
        <v>43.5</v>
      </c>
      <c r="Y1790" s="157">
        <f ca="1" t="shared" si="299"/>
        <v>53.5</v>
      </c>
      <c r="Z1790" s="304">
        <f ca="1" t="shared" si="302"/>
        <v>17.8333333333333</v>
      </c>
      <c r="AA1790" s="304">
        <f ca="1">OFFSET(卡牌辅助配置表!$AD$1,MATCH(AB1790,卡牌辅助配置表!AB:AB,0)-1,0)</f>
        <v>364</v>
      </c>
      <c r="AB1790" s="304">
        <f ca="1" t="shared" si="297"/>
        <v>1304</v>
      </c>
      <c r="AC1790" s="153">
        <v>10</v>
      </c>
      <c r="AD1790" s="153">
        <v>1</v>
      </c>
      <c r="AE1790" s="153">
        <v>1</v>
      </c>
      <c r="AF1790" s="153" t="str">
        <f ca="1" t="shared" si="300"/>
        <v>30090011|</v>
      </c>
      <c r="AJ1790" s="205" t="str">
        <f ca="1" t="shared" si="298"/>
        <v>400023|2600|;</v>
      </c>
      <c r="AK1790" s="205">
        <f ca="1">OFFSET([1]item_type!$A$1,MATCH(Q1790,[1]item_type!$G:$G,0)-1,0)</f>
        <v>303009</v>
      </c>
      <c r="AL1790" s="205"/>
      <c r="AM1790" s="205">
        <f ca="1">IF(B1790=B1791,OFFSET(卡牌辅助配置表!$AE$1,MATCH(AB1790,卡牌辅助配置表!AB:AB,0),0),0)</f>
        <v>2600</v>
      </c>
      <c r="AN1790" s="153">
        <f ca="1" t="shared" si="293"/>
        <v>3009005</v>
      </c>
      <c r="AP1790" s="153" t="str">
        <f ca="1">IF(AC1790=0,0,IF(AC1790=12,0,OFFSET(effect!$N$1,MATCH(K1790,effect!M:M,0)-1,0)))</f>
        <v>kpsx_zise</v>
      </c>
    </row>
    <row r="1791" spans="1:42">
      <c r="A1791" s="153">
        <f ca="1" t="shared" si="294"/>
        <v>3009005</v>
      </c>
      <c r="B1791" s="91" t="s">
        <v>502</v>
      </c>
      <c r="C1791" s="186">
        <v>3</v>
      </c>
      <c r="D1791" s="186">
        <v>4</v>
      </c>
      <c r="E1791" s="165" t="s">
        <v>1069</v>
      </c>
      <c r="F1791" s="165" t="str">
        <f>"若自身处在炎息中，伤害增加炎息层数*"&amp;skill!$O$134/100&amp;"%"</f>
        <v>若自身处在炎息中，伤害增加炎息层数*30%</v>
      </c>
      <c r="G1791" s="186">
        <f ca="1">OFFSET(卡牌辅助配置表!$C$1,MATCH(AC1791,卡牌辅助配置表!A:A,0)-1,0)</f>
        <v>3</v>
      </c>
      <c r="H1791" s="186" t="e">
        <f ca="1">OFFSET(skill!$Q$1,MATCH(B1967,skill!B:B,0)-1,0)</f>
        <v>#VALUE!</v>
      </c>
      <c r="I1791" s="186"/>
      <c r="J1791" s="186">
        <f ca="1">OFFSET(card_type!$F$1,MATCH(Q1791,card_type!A:A,0)-1,0)</f>
        <v>1</v>
      </c>
      <c r="K1791" s="243">
        <f ca="1">OFFSET(card_type!$G$1,MATCH(Q1791,card_type!A:A,0)-1,0)</f>
        <v>3</v>
      </c>
      <c r="L1791" s="157">
        <v>3</v>
      </c>
      <c r="M1791" s="157">
        <v>3</v>
      </c>
      <c r="N1791" s="153">
        <f t="shared" si="295"/>
        <v>5</v>
      </c>
      <c r="O1791" s="157"/>
      <c r="P1791" s="157"/>
      <c r="Q1791" s="153">
        <f ca="1">OFFSET(card_type!$A$1,MATCH(card!B1791,card_type!B:B,0)-1,0)</f>
        <v>3009</v>
      </c>
      <c r="R1791" s="153">
        <v>1</v>
      </c>
      <c r="S1791" s="157">
        <f ca="1">ROUND(IF(R1791=0,0,IF(R1791=1,X1791*$S$1,IF(R1791=2,X1791*$S$1*buff的资质计算!$E$2,IF(R1791=3,X1791*$S$1*buff的资质计算!$E$3,0)))),0)*0</f>
        <v>0</v>
      </c>
      <c r="T1791" s="153">
        <v>3</v>
      </c>
      <c r="U1791" s="153">
        <f ca="1" t="shared" si="296"/>
        <v>13</v>
      </c>
      <c r="V1791" s="153">
        <f ca="1">ROUND((OFFSET(卡牌辅助配置表!$O$1,MATCH(U1791,卡牌辅助配置表!M:M,0)-1,0)+(N1791-1)*OFFSET(卡牌辅助配置表!$P$1,MATCH(U1791,卡牌辅助配置表!M:M,0)-1,0))*M1791,2)</f>
        <v>51.68</v>
      </c>
      <c r="W1791" s="157">
        <f ca="1">ROUND(IF(R1791=0,0,IF(R1791=1,X1791*$W$1,IF(R1791=2,X1791*$W$1*buff的资质计算!$E$2,IF(R1791=3,X1791*$W$1*buff的资质计算!$E$3,0)))),2)</f>
        <v>13.2</v>
      </c>
      <c r="X1791" s="157">
        <f ca="1" t="shared" si="301"/>
        <v>44</v>
      </c>
      <c r="Y1791" s="157" t="e">
        <f ca="1" t="shared" si="299"/>
        <v>#VALUE!</v>
      </c>
      <c r="Z1791" s="304" t="e">
        <f ca="1" t="shared" si="302"/>
        <v>#VALUE!</v>
      </c>
      <c r="AA1791" s="304">
        <f ca="1">OFFSET(卡牌辅助配置表!$AD$1,MATCH(AB1791,卡牌辅助配置表!AB:AB,0)-1,0)</f>
        <v>455</v>
      </c>
      <c r="AB1791" s="304">
        <f ca="1" t="shared" si="297"/>
        <v>1305</v>
      </c>
      <c r="AC1791" s="153">
        <v>10</v>
      </c>
      <c r="AD1791" s="153">
        <v>1</v>
      </c>
      <c r="AE1791" s="153">
        <v>1</v>
      </c>
      <c r="AF1791" s="153" t="str">
        <f ca="1" t="shared" si="300"/>
        <v>30090011|</v>
      </c>
      <c r="AJ1791" s="205" t="str">
        <f ca="1" t="shared" si="298"/>
        <v>400023|3000|;</v>
      </c>
      <c r="AK1791" s="205">
        <f ca="1">OFFSET([1]item_type!$A$1,MATCH(Q1791,[1]item_type!$G:$G,0)-1,0)</f>
        <v>303009</v>
      </c>
      <c r="AL1791" s="205"/>
      <c r="AM1791" s="205">
        <f ca="1">IF(B1791=B1792,OFFSET(卡牌辅助配置表!$AE$1,MATCH(AB1791,卡牌辅助配置表!AB:AB,0),0),0)</f>
        <v>3000</v>
      </c>
      <c r="AN1791" s="153">
        <f ca="1" t="shared" si="293"/>
        <v>3009006</v>
      </c>
      <c r="AP1791" s="153" t="str">
        <f ca="1">IF(AC1791=0,0,IF(AC1791=12,0,OFFSET(effect!$N$1,MATCH(K1791,effect!M:M,0)-1,0)))</f>
        <v>kpsx_zise</v>
      </c>
    </row>
    <row r="1792" spans="1:42">
      <c r="A1792" s="153">
        <f ca="1" t="shared" si="294"/>
        <v>3009006</v>
      </c>
      <c r="B1792" s="91" t="s">
        <v>502</v>
      </c>
      <c r="C1792" s="186">
        <v>3</v>
      </c>
      <c r="D1792" s="186">
        <v>4</v>
      </c>
      <c r="E1792" s="165" t="s">
        <v>1069</v>
      </c>
      <c r="F1792" s="165" t="str">
        <f>"若自身处在炎息中，伤害增加炎息层数*"&amp;skill!$O$134/100&amp;"%"</f>
        <v>若自身处在炎息中，伤害增加炎息层数*30%</v>
      </c>
      <c r="G1792" s="186">
        <f ca="1">OFFSET(卡牌辅助配置表!$C$1,MATCH(AC1792,卡牌辅助配置表!A:A,0)-1,0)</f>
        <v>3</v>
      </c>
      <c r="H1792" s="186">
        <f ca="1">OFFSET(skill!$Q$1,MATCH(B1997,skill!B:B,0)-1,0)</f>
        <v>0.518518518518518</v>
      </c>
      <c r="I1792" s="186"/>
      <c r="J1792" s="186">
        <f ca="1">OFFSET(card_type!$F$1,MATCH(Q1792,card_type!A:A,0)-1,0)</f>
        <v>1</v>
      </c>
      <c r="K1792" s="243">
        <f ca="1">OFFSET(card_type!$G$1,MATCH(Q1792,card_type!A:A,0)-1,0)</f>
        <v>3</v>
      </c>
      <c r="L1792" s="157">
        <v>3</v>
      </c>
      <c r="M1792" s="157">
        <v>3</v>
      </c>
      <c r="N1792" s="153">
        <f t="shared" si="295"/>
        <v>6</v>
      </c>
      <c r="O1792" s="157"/>
      <c r="P1792" s="157"/>
      <c r="Q1792" s="153">
        <f ca="1">OFFSET(card_type!$A$1,MATCH(card!B1792,card_type!B:B,0)-1,0)</f>
        <v>3009</v>
      </c>
      <c r="R1792" s="153">
        <v>1</v>
      </c>
      <c r="S1792" s="157">
        <f ca="1">ROUND(IF(R1792=0,0,IF(R1792=1,X1792*$S$1,IF(R1792=2,X1792*$S$1*buff的资质计算!$E$2,IF(R1792=3,X1792*$S$1*buff的资质计算!$E$3,0)))),0)*0</f>
        <v>0</v>
      </c>
      <c r="T1792" s="153">
        <v>3</v>
      </c>
      <c r="U1792" s="153">
        <f ca="1" t="shared" si="296"/>
        <v>13</v>
      </c>
      <c r="V1792" s="153">
        <f ca="1">ROUND((OFFSET(卡牌辅助配置表!$O$1,MATCH(U1792,卡牌辅助配置表!M:M,0)-1,0)+(N1792-1)*OFFSET(卡牌辅助配置表!$P$1,MATCH(U1792,卡牌辅助配置表!M:M,0)-1,0))*M1792,2)</f>
        <v>53.2</v>
      </c>
      <c r="W1792" s="157">
        <f ca="1">ROUND(IF(R1792=0,0,IF(R1792=1,X1792*$W$1,IF(R1792=2,X1792*$W$1*buff的资质计算!$E$2,IF(R1792=3,X1792*$W$1*buff的资质计算!$E$3,0)))),2)</f>
        <v>13.35</v>
      </c>
      <c r="X1792" s="157">
        <f ca="1" t="shared" si="301"/>
        <v>44.5</v>
      </c>
      <c r="Y1792" s="157">
        <f ca="1" t="shared" si="299"/>
        <v>45.0185185185185</v>
      </c>
      <c r="Z1792" s="304">
        <f ca="1" t="shared" si="302"/>
        <v>15.0061728395062</v>
      </c>
      <c r="AA1792" s="304">
        <f ca="1">OFFSET(卡牌辅助配置表!$AD$1,MATCH(AB1792,卡牌辅助配置表!AB:AB,0)-1,0)</f>
        <v>546</v>
      </c>
      <c r="AB1792" s="304">
        <f ca="1" t="shared" si="297"/>
        <v>1306</v>
      </c>
      <c r="AC1792" s="153">
        <v>10</v>
      </c>
      <c r="AD1792" s="153">
        <v>1</v>
      </c>
      <c r="AE1792" s="153">
        <v>1</v>
      </c>
      <c r="AF1792" s="153" t="str">
        <f ca="1" t="shared" si="300"/>
        <v>30090011|</v>
      </c>
      <c r="AJ1792" s="205" t="str">
        <f ca="1" t="shared" si="298"/>
        <v>400023|3400|;</v>
      </c>
      <c r="AK1792" s="205">
        <f ca="1">OFFSET([1]item_type!$A$1,MATCH(Q1792,[1]item_type!$G:$G,0)-1,0)</f>
        <v>303009</v>
      </c>
      <c r="AL1792" s="205"/>
      <c r="AM1792" s="205">
        <f ca="1">IF(B1792=B1793,OFFSET(卡牌辅助配置表!$AE$1,MATCH(AB1792,卡牌辅助配置表!AB:AB,0),0),0)</f>
        <v>3400</v>
      </c>
      <c r="AN1792" s="153">
        <f ca="1" t="shared" si="293"/>
        <v>3009007</v>
      </c>
      <c r="AP1792" s="153" t="str">
        <f ca="1">IF(AC1792=0,0,IF(AC1792=12,0,OFFSET(effect!$N$1,MATCH(K1792,effect!M:M,0)-1,0)))</f>
        <v>kpsx_zise</v>
      </c>
    </row>
    <row r="1793" spans="1:42">
      <c r="A1793" s="153">
        <f ca="1" t="shared" si="294"/>
        <v>3009007</v>
      </c>
      <c r="B1793" s="91" t="s">
        <v>502</v>
      </c>
      <c r="C1793" s="186">
        <v>3</v>
      </c>
      <c r="D1793" s="186">
        <v>4</v>
      </c>
      <c r="E1793" s="165" t="s">
        <v>1069</v>
      </c>
      <c r="F1793" s="165" t="str">
        <f>"若自身处在炎息中，伤害增加炎息层数*"&amp;skill!$O$134/100&amp;"%"</f>
        <v>若自身处在炎息中，伤害增加炎息层数*30%</v>
      </c>
      <c r="G1793" s="186">
        <f ca="1">OFFSET(卡牌辅助配置表!$C$1,MATCH(AC1793,卡牌辅助配置表!A:A,0)-1,0)</f>
        <v>3</v>
      </c>
      <c r="H1793" s="186">
        <f ca="1">OFFSET(skill!$Q$1,MATCH(B2027,skill!B:B,0)-1,0)</f>
        <v>15</v>
      </c>
      <c r="I1793" s="186"/>
      <c r="J1793" s="186">
        <f ca="1">OFFSET(card_type!$F$1,MATCH(Q1793,card_type!A:A,0)-1,0)</f>
        <v>1</v>
      </c>
      <c r="K1793" s="243">
        <f ca="1">OFFSET(card_type!$G$1,MATCH(Q1793,card_type!A:A,0)-1,0)</f>
        <v>3</v>
      </c>
      <c r="L1793" s="157">
        <v>3</v>
      </c>
      <c r="M1793" s="157">
        <v>3</v>
      </c>
      <c r="N1793" s="153">
        <f t="shared" si="295"/>
        <v>7</v>
      </c>
      <c r="O1793" s="157"/>
      <c r="P1793" s="157"/>
      <c r="Q1793" s="153">
        <f ca="1">OFFSET(card_type!$A$1,MATCH(card!B1793,card_type!B:B,0)-1,0)</f>
        <v>3009</v>
      </c>
      <c r="R1793" s="153">
        <v>1</v>
      </c>
      <c r="S1793" s="157">
        <f ca="1">ROUND(IF(R1793=0,0,IF(R1793=1,X1793*$S$1,IF(R1793=2,X1793*$S$1*buff的资质计算!$E$2,IF(R1793=3,X1793*$S$1*buff的资质计算!$E$3,0)))),0)*0</f>
        <v>0</v>
      </c>
      <c r="T1793" s="153">
        <v>3</v>
      </c>
      <c r="U1793" s="153">
        <f ca="1" t="shared" si="296"/>
        <v>13</v>
      </c>
      <c r="V1793" s="153">
        <f ca="1">ROUND((OFFSET(卡牌辅助配置表!$O$1,MATCH(U1793,卡牌辅助配置表!M:M,0)-1,0)+(N1793-1)*OFFSET(卡牌辅助配置表!$P$1,MATCH(U1793,卡牌辅助配置表!M:M,0)-1,0))*M1793,2)</f>
        <v>54.72</v>
      </c>
      <c r="W1793" s="157">
        <f ca="1">ROUND(IF(R1793=0,0,IF(R1793=1,X1793*$W$1,IF(R1793=2,X1793*$W$1*buff的资质计算!$E$2,IF(R1793=3,X1793*$W$1*buff的资质计算!$E$3,0)))),2)</f>
        <v>13.5</v>
      </c>
      <c r="X1793" s="157">
        <f ca="1" t="shared" si="301"/>
        <v>45</v>
      </c>
      <c r="Y1793" s="157">
        <f ca="1" t="shared" si="299"/>
        <v>60</v>
      </c>
      <c r="Z1793" s="304">
        <f ca="1" t="shared" si="302"/>
        <v>20</v>
      </c>
      <c r="AA1793" s="304">
        <f ca="1">OFFSET(卡牌辅助配置表!$AD$1,MATCH(AB1793,卡牌辅助配置表!AB:AB,0)-1,0)</f>
        <v>637</v>
      </c>
      <c r="AB1793" s="304">
        <f ca="1" t="shared" si="297"/>
        <v>1307</v>
      </c>
      <c r="AC1793" s="153">
        <v>10</v>
      </c>
      <c r="AD1793" s="153">
        <v>1</v>
      </c>
      <c r="AE1793" s="153">
        <v>1</v>
      </c>
      <c r="AF1793" s="153" t="str">
        <f ca="1" t="shared" si="300"/>
        <v>30090011|</v>
      </c>
      <c r="AJ1793" s="205" t="str">
        <f ca="1" t="shared" si="298"/>
        <v>400023|3800|;</v>
      </c>
      <c r="AK1793" s="205">
        <f ca="1">OFFSET([1]item_type!$A$1,MATCH(Q1793,[1]item_type!$G:$G,0)-1,0)</f>
        <v>303009</v>
      </c>
      <c r="AL1793" s="205"/>
      <c r="AM1793" s="205">
        <f ca="1">IF(B1793=B1794,OFFSET(卡牌辅助配置表!$AE$1,MATCH(AB1793,卡牌辅助配置表!AB:AB,0),0),0)</f>
        <v>3800</v>
      </c>
      <c r="AN1793" s="153">
        <f ca="1" t="shared" si="293"/>
        <v>3009008</v>
      </c>
      <c r="AP1793" s="153" t="str">
        <f ca="1">IF(AC1793=0,0,IF(AC1793=12,0,OFFSET(effect!$N$1,MATCH(K1793,effect!M:M,0)-1,0)))</f>
        <v>kpsx_zise</v>
      </c>
    </row>
    <row r="1794" spans="1:42">
      <c r="A1794" s="153">
        <f ca="1" t="shared" si="294"/>
        <v>3009008</v>
      </c>
      <c r="B1794" s="91" t="s">
        <v>502</v>
      </c>
      <c r="C1794" s="186">
        <v>3</v>
      </c>
      <c r="D1794" s="186">
        <v>4</v>
      </c>
      <c r="E1794" s="165" t="s">
        <v>1069</v>
      </c>
      <c r="F1794" s="165" t="str">
        <f>"若自身处在炎息中，伤害增加炎息层数*"&amp;skill!$O$134/100&amp;"%"</f>
        <v>若自身处在炎息中，伤害增加炎息层数*30%</v>
      </c>
      <c r="G1794" s="186">
        <f ca="1">OFFSET(卡牌辅助配置表!$C$1,MATCH(AC1794,卡牌辅助配置表!A:A,0)-1,0)</f>
        <v>3</v>
      </c>
      <c r="H1794" s="186" t="e">
        <f ca="1">OFFSET(skill!$Q$1,MATCH(B2057,skill!B:B,0)-1,0)</f>
        <v>#VALUE!</v>
      </c>
      <c r="I1794" s="186"/>
      <c r="J1794" s="186">
        <f ca="1">OFFSET(card_type!$F$1,MATCH(Q1794,card_type!A:A,0)-1,0)</f>
        <v>1</v>
      </c>
      <c r="K1794" s="243">
        <f ca="1">OFFSET(card_type!$G$1,MATCH(Q1794,card_type!A:A,0)-1,0)</f>
        <v>3</v>
      </c>
      <c r="L1794" s="157">
        <v>3</v>
      </c>
      <c r="M1794" s="157">
        <v>3</v>
      </c>
      <c r="N1794" s="153">
        <f t="shared" si="295"/>
        <v>8</v>
      </c>
      <c r="O1794" s="157"/>
      <c r="P1794" s="157"/>
      <c r="Q1794" s="153">
        <f ca="1">OFFSET(card_type!$A$1,MATCH(card!B1794,card_type!B:B,0)-1,0)</f>
        <v>3009</v>
      </c>
      <c r="R1794" s="153">
        <v>1</v>
      </c>
      <c r="S1794" s="157">
        <f ca="1">ROUND(IF(R1794=0,0,IF(R1794=1,X1794*$S$1,IF(R1794=2,X1794*$S$1*buff的资质计算!$E$2,IF(R1794=3,X1794*$S$1*buff的资质计算!$E$3,0)))),0)*0</f>
        <v>0</v>
      </c>
      <c r="T1794" s="153">
        <v>3</v>
      </c>
      <c r="U1794" s="153">
        <f ca="1" t="shared" si="296"/>
        <v>13</v>
      </c>
      <c r="V1794" s="153">
        <f ca="1">ROUND((OFFSET(卡牌辅助配置表!$O$1,MATCH(U1794,卡牌辅助配置表!M:M,0)-1,0)+(N1794-1)*OFFSET(卡牌辅助配置表!$P$1,MATCH(U1794,卡牌辅助配置表!M:M,0)-1,0))*M1794,2)</f>
        <v>56.24</v>
      </c>
      <c r="W1794" s="157">
        <f ca="1">ROUND(IF(R1794=0,0,IF(R1794=1,X1794*$W$1,IF(R1794=2,X1794*$W$1*buff的资质计算!$E$2,IF(R1794=3,X1794*$W$1*buff的资质计算!$E$3,0)))),2)</f>
        <v>13.65</v>
      </c>
      <c r="X1794" s="157">
        <f ca="1" t="shared" si="301"/>
        <v>45.5</v>
      </c>
      <c r="Y1794" s="157" t="e">
        <f ca="1" t="shared" si="299"/>
        <v>#VALUE!</v>
      </c>
      <c r="Z1794" s="304" t="e">
        <f ca="1" t="shared" si="302"/>
        <v>#VALUE!</v>
      </c>
      <c r="AA1794" s="304">
        <f ca="1">OFFSET(卡牌辅助配置表!$AD$1,MATCH(AB1794,卡牌辅助配置表!AB:AB,0)-1,0)</f>
        <v>728</v>
      </c>
      <c r="AB1794" s="304">
        <f ca="1" t="shared" si="297"/>
        <v>1308</v>
      </c>
      <c r="AC1794" s="153">
        <v>10</v>
      </c>
      <c r="AD1794" s="153">
        <v>1</v>
      </c>
      <c r="AE1794" s="153">
        <v>1</v>
      </c>
      <c r="AF1794" s="153" t="str">
        <f ca="1" t="shared" si="300"/>
        <v>30090011|</v>
      </c>
      <c r="AJ1794" s="205" t="str">
        <f ca="1" t="shared" si="298"/>
        <v>400023|4200|;</v>
      </c>
      <c r="AK1794" s="205">
        <f ca="1">OFFSET([1]item_type!$A$1,MATCH(Q1794,[1]item_type!$G:$G,0)-1,0)</f>
        <v>303009</v>
      </c>
      <c r="AL1794" s="205"/>
      <c r="AM1794" s="205">
        <f ca="1">IF(B1794=B1795,OFFSET(卡牌辅助配置表!$AE$1,MATCH(AB1794,卡牌辅助配置表!AB:AB,0),0),0)</f>
        <v>4200</v>
      </c>
      <c r="AN1794" s="153">
        <f ca="1" t="shared" si="293"/>
        <v>3009009</v>
      </c>
      <c r="AP1794" s="153" t="str">
        <f ca="1">IF(AC1794=0,0,IF(AC1794=12,0,OFFSET(effect!$N$1,MATCH(K1794,effect!M:M,0)-1,0)))</f>
        <v>kpsx_zise</v>
      </c>
    </row>
    <row r="1795" spans="1:42">
      <c r="A1795" s="153">
        <f ca="1" t="shared" si="294"/>
        <v>3009009</v>
      </c>
      <c r="B1795" s="91" t="s">
        <v>502</v>
      </c>
      <c r="C1795" s="186">
        <v>3</v>
      </c>
      <c r="D1795" s="186">
        <v>4</v>
      </c>
      <c r="E1795" s="165" t="s">
        <v>1069</v>
      </c>
      <c r="F1795" s="165" t="str">
        <f>"若自身处在炎息中，伤害增加炎息层数*"&amp;skill!$O$134/100&amp;"%"</f>
        <v>若自身处在炎息中，伤害增加炎息层数*30%</v>
      </c>
      <c r="G1795" s="186">
        <f ca="1">OFFSET(卡牌辅助配置表!$C$1,MATCH(AC1795,卡牌辅助配置表!A:A,0)-1,0)</f>
        <v>3</v>
      </c>
      <c r="H1795" s="186">
        <f ca="1">OFFSET(skill!$Q$1,MATCH(B2147,skill!B:B,0)-1,0)</f>
        <v>15</v>
      </c>
      <c r="I1795" s="186"/>
      <c r="J1795" s="186">
        <f ca="1">OFFSET(card_type!$F$1,MATCH(Q1795,card_type!A:A,0)-1,0)</f>
        <v>1</v>
      </c>
      <c r="K1795" s="243">
        <f ca="1">OFFSET(card_type!$G$1,MATCH(Q1795,card_type!A:A,0)-1,0)</f>
        <v>3</v>
      </c>
      <c r="L1795" s="157">
        <v>3</v>
      </c>
      <c r="M1795" s="157">
        <v>3</v>
      </c>
      <c r="N1795" s="153">
        <f t="shared" si="295"/>
        <v>9</v>
      </c>
      <c r="O1795" s="157"/>
      <c r="P1795" s="157"/>
      <c r="Q1795" s="153">
        <f ca="1">OFFSET(card_type!$A$1,MATCH(card!B1795,card_type!B:B,0)-1,0)</f>
        <v>3009</v>
      </c>
      <c r="R1795" s="153">
        <v>1</v>
      </c>
      <c r="S1795" s="157">
        <f ca="1">ROUND(IF(R1795=0,0,IF(R1795=1,X1795*$S$1,IF(R1795=2,X1795*$S$1*buff的资质计算!$E$2,IF(R1795=3,X1795*$S$1*buff的资质计算!$E$3,0)))),0)*0</f>
        <v>0</v>
      </c>
      <c r="T1795" s="153">
        <v>3</v>
      </c>
      <c r="U1795" s="153">
        <f ca="1" t="shared" si="296"/>
        <v>13</v>
      </c>
      <c r="V1795" s="153">
        <f ca="1">ROUND((OFFSET(卡牌辅助配置表!$O$1,MATCH(U1795,卡牌辅助配置表!M:M,0)-1,0)+(N1795-1)*OFFSET(卡牌辅助配置表!$P$1,MATCH(U1795,卡牌辅助配置表!M:M,0)-1,0))*M1795,2)</f>
        <v>57.76</v>
      </c>
      <c r="W1795" s="157">
        <f ca="1">ROUND(IF(R1795=0,0,IF(R1795=1,X1795*$W$1,IF(R1795=2,X1795*$W$1*buff的资质计算!$E$2,IF(R1795=3,X1795*$W$1*buff的资质计算!$E$3,0)))),2)</f>
        <v>13.8</v>
      </c>
      <c r="X1795" s="157">
        <f ca="1" t="shared" si="301"/>
        <v>46</v>
      </c>
      <c r="Y1795" s="157">
        <f ca="1" t="shared" si="299"/>
        <v>61</v>
      </c>
      <c r="Z1795" s="304">
        <f ca="1" t="shared" si="302"/>
        <v>20.3333333333333</v>
      </c>
      <c r="AA1795" s="304">
        <f ca="1">OFFSET(卡牌辅助配置表!$AD$1,MATCH(AB1795,卡牌辅助配置表!AB:AB,0)-1,0)</f>
        <v>819</v>
      </c>
      <c r="AB1795" s="304">
        <f ca="1" t="shared" si="297"/>
        <v>1309</v>
      </c>
      <c r="AC1795" s="153">
        <v>10</v>
      </c>
      <c r="AD1795" s="153">
        <v>1</v>
      </c>
      <c r="AE1795" s="153">
        <v>1</v>
      </c>
      <c r="AF1795" s="153" t="str">
        <f ca="1" t="shared" si="300"/>
        <v>30090011|</v>
      </c>
      <c r="AJ1795" s="205" t="str">
        <f ca="1" t="shared" si="298"/>
        <v>303009|15|;400023|4600|;</v>
      </c>
      <c r="AK1795" s="205">
        <f ca="1">OFFSET([1]item_type!$A$1,MATCH(Q1795,[1]item_type!$G:$G,0)-1,0)</f>
        <v>303009</v>
      </c>
      <c r="AL1795" s="205">
        <v>15</v>
      </c>
      <c r="AM1795" s="205">
        <f ca="1">IF(B1795=B1796,OFFSET(卡牌辅助配置表!$AE$1,MATCH(AB1795,卡牌辅助配置表!AB:AB,0),0),0)</f>
        <v>4600</v>
      </c>
      <c r="AN1795" s="153">
        <f ca="1" t="shared" si="293"/>
        <v>3009010</v>
      </c>
      <c r="AP1795" s="153" t="str">
        <f ca="1">IF(AC1795=0,0,IF(AC1795=12,0,OFFSET(effect!$N$1,MATCH(K1795,effect!M:M,0)-1,0)))</f>
        <v>kpsx_zise</v>
      </c>
    </row>
    <row r="1796" spans="1:42">
      <c r="A1796" s="153">
        <f ca="1" t="shared" si="294"/>
        <v>3009010</v>
      </c>
      <c r="B1796" s="91" t="s">
        <v>502</v>
      </c>
      <c r="C1796" s="186">
        <v>3</v>
      </c>
      <c r="D1796" s="186">
        <v>4</v>
      </c>
      <c r="E1796" s="165" t="s">
        <v>1069</v>
      </c>
      <c r="F1796" s="165" t="str">
        <f>"若自身处在炎息中，伤害增加炎息层数*"&amp;skill!$O$134/100&amp;"%"</f>
        <v>若自身处在炎息中，伤害增加炎息层数*30%</v>
      </c>
      <c r="G1796" s="186">
        <f ca="1">OFFSET(卡牌辅助配置表!$C$1,MATCH(AC1796,卡牌辅助配置表!A:A,0)-1,0)</f>
        <v>3</v>
      </c>
      <c r="H1796" s="186" t="e">
        <f ca="1">OFFSET(skill!$Q$1,MATCH(B2177,skill!B:B,0)-1,0)</f>
        <v>#VALUE!</v>
      </c>
      <c r="I1796" s="186"/>
      <c r="J1796" s="186">
        <f ca="1">OFFSET(card_type!$F$1,MATCH(Q1796,card_type!A:A,0)-1,0)</f>
        <v>1</v>
      </c>
      <c r="K1796" s="243">
        <f ca="1">OFFSET(card_type!$G$1,MATCH(Q1796,card_type!A:A,0)-1,0)</f>
        <v>3</v>
      </c>
      <c r="L1796" s="157">
        <v>3</v>
      </c>
      <c r="M1796" s="157">
        <v>3</v>
      </c>
      <c r="N1796" s="153">
        <f t="shared" si="295"/>
        <v>10</v>
      </c>
      <c r="O1796" s="157"/>
      <c r="P1796" s="157"/>
      <c r="Q1796" s="153">
        <f ca="1">OFFSET(card_type!$A$1,MATCH(card!B1796,card_type!B:B,0)-1,0)</f>
        <v>3009</v>
      </c>
      <c r="R1796" s="153">
        <v>1</v>
      </c>
      <c r="S1796" s="157">
        <f ca="1">ROUND(IF(R1796=0,0,IF(R1796=1,X1796*$S$1,IF(R1796=2,X1796*$S$1*buff的资质计算!$E$2,IF(R1796=3,X1796*$S$1*buff的资质计算!$E$3,0)))),0)*0</f>
        <v>0</v>
      </c>
      <c r="T1796" s="153">
        <v>3</v>
      </c>
      <c r="U1796" s="153">
        <f ca="1" t="shared" si="296"/>
        <v>13</v>
      </c>
      <c r="V1796" s="153">
        <f ca="1">ROUND((OFFSET(卡牌辅助配置表!$O$1,MATCH(U1796,卡牌辅助配置表!M:M,0)-1,0)+(N1796-1)*OFFSET(卡牌辅助配置表!$P$1,MATCH(U1796,卡牌辅助配置表!M:M,0)-1,0))*M1796,2)</f>
        <v>59.28</v>
      </c>
      <c r="W1796" s="157">
        <f ca="1">ROUND(IF(R1796=0,0,IF(R1796=1,X1796*$W$1,IF(R1796=2,X1796*$W$1*buff的资质计算!$E$2,IF(R1796=3,X1796*$W$1*buff的资质计算!$E$3,0)))),2)</f>
        <v>13.95</v>
      </c>
      <c r="X1796" s="157">
        <f ca="1" t="shared" si="301"/>
        <v>46.5</v>
      </c>
      <c r="Y1796" s="157" t="e">
        <f ca="1" t="shared" si="299"/>
        <v>#VALUE!</v>
      </c>
      <c r="Z1796" s="304" t="e">
        <f ca="1" t="shared" si="302"/>
        <v>#VALUE!</v>
      </c>
      <c r="AA1796" s="304">
        <f ca="1">OFFSET(卡牌辅助配置表!$AD$1,MATCH(AB1796,卡牌辅助配置表!AB:AB,0)-1,0)</f>
        <v>910</v>
      </c>
      <c r="AB1796" s="304">
        <f ca="1" t="shared" si="297"/>
        <v>1310</v>
      </c>
      <c r="AC1796" s="153">
        <v>10</v>
      </c>
      <c r="AD1796" s="153">
        <v>1</v>
      </c>
      <c r="AE1796" s="153">
        <v>1</v>
      </c>
      <c r="AF1796" s="153" t="str">
        <f ca="1" t="shared" si="300"/>
        <v>30090011|</v>
      </c>
      <c r="AJ1796" s="205" t="str">
        <f ca="1" t="shared" si="298"/>
        <v>400023|5400|;</v>
      </c>
      <c r="AK1796" s="205">
        <f ca="1">OFFSET([1]item_type!$A$1,MATCH(Q1796,[1]item_type!$G:$G,0)-1,0)</f>
        <v>303009</v>
      </c>
      <c r="AL1796" s="205"/>
      <c r="AM1796" s="205">
        <f ca="1">IF(B1796=B1797,OFFSET(卡牌辅助配置表!$AE$1,MATCH(AB1796,卡牌辅助配置表!AB:AB,0),0),0)</f>
        <v>5400</v>
      </c>
      <c r="AN1796" s="153">
        <f ca="1" t="shared" si="293"/>
        <v>3009011</v>
      </c>
      <c r="AP1796" s="153" t="str">
        <f ca="1">IF(AC1796=0,0,IF(AC1796=12,0,OFFSET(effect!$N$1,MATCH(K1796,effect!M:M,0)-1,0)))</f>
        <v>kpsx_zise</v>
      </c>
    </row>
    <row r="1797" spans="1:42">
      <c r="A1797" s="153">
        <f ca="1" t="shared" si="294"/>
        <v>3009011</v>
      </c>
      <c r="B1797" s="91" t="s">
        <v>502</v>
      </c>
      <c r="C1797" s="186">
        <v>3</v>
      </c>
      <c r="D1797" s="186">
        <v>4</v>
      </c>
      <c r="E1797" s="165" t="s">
        <v>1069</v>
      </c>
      <c r="F1797" s="165" t="str">
        <f>"若自身处在炎息中，伤害增加炎息层数*"&amp;skill!$O$134/100&amp;"%"</f>
        <v>若自身处在炎息中，伤害增加炎息层数*30%</v>
      </c>
      <c r="G1797" s="186">
        <f ca="1">OFFSET(卡牌辅助配置表!$C$1,MATCH(AC1797,卡牌辅助配置表!A:A,0)-1,0)</f>
        <v>3</v>
      </c>
      <c r="H1797" s="186" t="e">
        <f ca="1">OFFSET(skill!$Q$1,MATCH(B2207,skill!B:B,0)-1,0)</f>
        <v>#VALUE!</v>
      </c>
      <c r="I1797" s="186"/>
      <c r="J1797" s="186">
        <f ca="1">OFFSET(card_type!$F$1,MATCH(Q1797,card_type!A:A,0)-1,0)</f>
        <v>1</v>
      </c>
      <c r="K1797" s="243">
        <f ca="1">OFFSET(card_type!$G$1,MATCH(Q1797,card_type!A:A,0)-1,0)</f>
        <v>3</v>
      </c>
      <c r="L1797" s="157">
        <v>3</v>
      </c>
      <c r="M1797" s="157">
        <v>3</v>
      </c>
      <c r="N1797" s="153">
        <f t="shared" si="295"/>
        <v>11</v>
      </c>
      <c r="O1797" s="157"/>
      <c r="P1797" s="157"/>
      <c r="Q1797" s="153">
        <f ca="1">OFFSET(card_type!$A$1,MATCH(card!B1797,card_type!B:B,0)-1,0)</f>
        <v>3009</v>
      </c>
      <c r="R1797" s="153">
        <v>1</v>
      </c>
      <c r="S1797" s="157">
        <f ca="1">ROUND(IF(R1797=0,0,IF(R1797=1,X1797*$S$1,IF(R1797=2,X1797*$S$1*buff的资质计算!$E$2,IF(R1797=3,X1797*$S$1*buff的资质计算!$E$3,0)))),0)*0</f>
        <v>0</v>
      </c>
      <c r="T1797" s="153">
        <v>3</v>
      </c>
      <c r="U1797" s="153">
        <f ca="1" t="shared" si="296"/>
        <v>13</v>
      </c>
      <c r="V1797" s="153">
        <f ca="1">ROUND((OFFSET(卡牌辅助配置表!$O$1,MATCH(U1797,卡牌辅助配置表!M:M,0)-1,0)+(N1797-1)*OFFSET(卡牌辅助配置表!$P$1,MATCH(U1797,卡牌辅助配置表!M:M,0)-1,0))*M1797,2)</f>
        <v>60.8</v>
      </c>
      <c r="W1797" s="157">
        <f ca="1">ROUND(IF(R1797=0,0,IF(R1797=1,X1797*$W$1,IF(R1797=2,X1797*$W$1*buff的资质计算!$E$2,IF(R1797=3,X1797*$W$1*buff的资质计算!$E$3,0)))),2)</f>
        <v>14.1</v>
      </c>
      <c r="X1797" s="157">
        <f ca="1" t="shared" si="301"/>
        <v>47</v>
      </c>
      <c r="Y1797" s="157" t="e">
        <f ca="1" t="shared" si="299"/>
        <v>#VALUE!</v>
      </c>
      <c r="Z1797" s="304" t="e">
        <f ca="1" t="shared" si="302"/>
        <v>#VALUE!</v>
      </c>
      <c r="AA1797" s="304">
        <f ca="1">OFFSET(卡牌辅助配置表!$AD$1,MATCH(AB1797,卡牌辅助配置表!AB:AB,0)-1,0)</f>
        <v>1047</v>
      </c>
      <c r="AB1797" s="304">
        <f ca="1" t="shared" si="297"/>
        <v>1311</v>
      </c>
      <c r="AC1797" s="153">
        <v>10</v>
      </c>
      <c r="AD1797" s="153">
        <v>1</v>
      </c>
      <c r="AE1797" s="153">
        <v>1</v>
      </c>
      <c r="AF1797" s="153" t="str">
        <f ca="1" t="shared" si="300"/>
        <v>30090011|</v>
      </c>
      <c r="AJ1797" s="205" t="str">
        <f ca="1" t="shared" si="298"/>
        <v>400023|6200|;</v>
      </c>
      <c r="AK1797" s="205">
        <f ca="1">OFFSET([1]item_type!$A$1,MATCH(Q1797,[1]item_type!$G:$G,0)-1,0)</f>
        <v>303009</v>
      </c>
      <c r="AL1797" s="205"/>
      <c r="AM1797" s="205">
        <f ca="1">IF(B1797=B1798,OFFSET(卡牌辅助配置表!$AE$1,MATCH(AB1797,卡牌辅助配置表!AB:AB,0),0),0)</f>
        <v>6200</v>
      </c>
      <c r="AN1797" s="153">
        <f ca="1" t="shared" ref="AN1797:AN1860" si="303">IF(B1797=B1798,A1797+1,0)</f>
        <v>3009012</v>
      </c>
      <c r="AP1797" s="153" t="str">
        <f ca="1">IF(AC1797=0,0,IF(AC1797=12,0,OFFSET(effect!$N$1,MATCH(K1797,effect!M:M,0)-1,0)))</f>
        <v>kpsx_zise</v>
      </c>
    </row>
    <row r="1798" spans="1:42">
      <c r="A1798" s="153">
        <f ca="1" t="shared" ref="A1798:A1861" si="304">Q1798*1000+N1798</f>
        <v>3009012</v>
      </c>
      <c r="B1798" s="91" t="s">
        <v>502</v>
      </c>
      <c r="C1798" s="186">
        <v>3</v>
      </c>
      <c r="D1798" s="186">
        <v>4</v>
      </c>
      <c r="E1798" s="165" t="s">
        <v>1069</v>
      </c>
      <c r="F1798" s="165" t="str">
        <f>"若自身处在炎息中，伤害增加炎息层数*"&amp;skill!$O$134/100&amp;"%"</f>
        <v>若自身处在炎息中，伤害增加炎息层数*30%</v>
      </c>
      <c r="G1798" s="186">
        <f ca="1">OFFSET(卡牌辅助配置表!$C$1,MATCH(AC1798,卡牌辅助配置表!A:A,0)-1,0)</f>
        <v>3</v>
      </c>
      <c r="H1798" s="186">
        <f ca="1">OFFSET(skill!$Q$1,MATCH(B2237,skill!B:B,0)-1,0)</f>
        <v>3.75</v>
      </c>
      <c r="I1798" s="186"/>
      <c r="J1798" s="186">
        <f ca="1">OFFSET(card_type!$F$1,MATCH(Q1798,card_type!A:A,0)-1,0)</f>
        <v>1</v>
      </c>
      <c r="K1798" s="243">
        <f ca="1">OFFSET(card_type!$G$1,MATCH(Q1798,card_type!A:A,0)-1,0)</f>
        <v>3</v>
      </c>
      <c r="L1798" s="157">
        <v>3</v>
      </c>
      <c r="M1798" s="157">
        <v>3</v>
      </c>
      <c r="N1798" s="153">
        <f t="shared" ref="N1798:N1861" si="305">IF(B1797=B1798,N1797+1,1)</f>
        <v>12</v>
      </c>
      <c r="O1798" s="157"/>
      <c r="P1798" s="157"/>
      <c r="Q1798" s="153">
        <f ca="1">OFFSET(card_type!$A$1,MATCH(card!B1798,card_type!B:B,0)-1,0)</f>
        <v>3009</v>
      </c>
      <c r="R1798" s="153">
        <v>1</v>
      </c>
      <c r="S1798" s="157">
        <f ca="1">ROUND(IF(R1798=0,0,IF(R1798=1,X1798*$S$1,IF(R1798=2,X1798*$S$1*buff的资质计算!$E$2,IF(R1798=3,X1798*$S$1*buff的资质计算!$E$3,0)))),0)*0</f>
        <v>0</v>
      </c>
      <c r="T1798" s="153">
        <v>3</v>
      </c>
      <c r="U1798" s="153">
        <f ca="1" t="shared" ref="U1798:U1861" si="306">J1798*10+K1798</f>
        <v>13</v>
      </c>
      <c r="V1798" s="153">
        <f ca="1">ROUND((OFFSET(卡牌辅助配置表!$O$1,MATCH(U1798,卡牌辅助配置表!M:M,0)-1,0)+(N1798-1)*OFFSET(卡牌辅助配置表!$P$1,MATCH(U1798,卡牌辅助配置表!M:M,0)-1,0))*M1798,2)</f>
        <v>62.32</v>
      </c>
      <c r="W1798" s="157">
        <f ca="1">ROUND(IF(R1798=0,0,IF(R1798=1,X1798*$W$1,IF(R1798=2,X1798*$W$1*buff的资质计算!$E$2,IF(R1798=3,X1798*$W$1*buff的资质计算!$E$3,0)))),2)</f>
        <v>14.25</v>
      </c>
      <c r="X1798" s="157">
        <f ca="1" t="shared" si="301"/>
        <v>47.5</v>
      </c>
      <c r="Y1798" s="157">
        <f ca="1" t="shared" si="299"/>
        <v>51.25</v>
      </c>
      <c r="Z1798" s="304">
        <f ca="1" t="shared" si="302"/>
        <v>17.0833333333333</v>
      </c>
      <c r="AA1798" s="304">
        <f ca="1">OFFSET(卡牌辅助配置表!$AD$1,MATCH(AB1798,卡牌辅助配置表!AB:AB,0)-1,0)</f>
        <v>1184</v>
      </c>
      <c r="AB1798" s="304">
        <f ca="1" t="shared" ref="AB1798:AB1861" si="307">J1798*1000+K1798*100+N1798</f>
        <v>1312</v>
      </c>
      <c r="AC1798" s="153">
        <v>10</v>
      </c>
      <c r="AD1798" s="153">
        <v>1</v>
      </c>
      <c r="AE1798" s="153">
        <v>1</v>
      </c>
      <c r="AF1798" s="153" t="str">
        <f ca="1" t="shared" si="300"/>
        <v>30090011|</v>
      </c>
      <c r="AJ1798" s="205" t="str">
        <f ca="1" t="shared" ref="AJ1798:AJ1861" si="308">IF(AN1798=0,0,IF(AL1798=0,$AM$1&amp;$AF$1&amp;AM1798&amp;$AF$1&amp;$AJ$1,AK1798&amp;$AF$1&amp;AL1798&amp;$AF$1&amp;$AJ$1&amp;$AM$1&amp;$AF$1&amp;AM1798&amp;$AF$1&amp;$AJ$1))</f>
        <v>400023|7000|;</v>
      </c>
      <c r="AK1798" s="205">
        <f ca="1">OFFSET([1]item_type!$A$1,MATCH(Q1798,[1]item_type!$G:$G,0)-1,0)</f>
        <v>303009</v>
      </c>
      <c r="AL1798" s="205"/>
      <c r="AM1798" s="205">
        <f ca="1">IF(B1798=B1799,OFFSET(卡牌辅助配置表!$AE$1,MATCH(AB1798,卡牌辅助配置表!AB:AB,0),0),0)</f>
        <v>7000</v>
      </c>
      <c r="AN1798" s="153">
        <f ca="1" t="shared" si="303"/>
        <v>3009013</v>
      </c>
      <c r="AP1798" s="153" t="str">
        <f ca="1">IF(AC1798=0,0,IF(AC1798=12,0,OFFSET(effect!$N$1,MATCH(K1798,effect!M:M,0)-1,0)))</f>
        <v>kpsx_zise</v>
      </c>
    </row>
    <row r="1799" spans="1:42">
      <c r="A1799" s="153">
        <f ca="1" t="shared" si="304"/>
        <v>3009013</v>
      </c>
      <c r="B1799" s="91" t="s">
        <v>502</v>
      </c>
      <c r="C1799" s="186">
        <v>3</v>
      </c>
      <c r="D1799" s="186">
        <v>4</v>
      </c>
      <c r="E1799" s="165" t="s">
        <v>1069</v>
      </c>
      <c r="F1799" s="165" t="str">
        <f>"若自身处在炎息中，伤害增加炎息层数*"&amp;skill!$O$134/100&amp;"%"</f>
        <v>若自身处在炎息中，伤害增加炎息层数*30%</v>
      </c>
      <c r="G1799" s="186">
        <f ca="1">OFFSET(卡牌辅助配置表!$C$1,MATCH(AC1799,卡牌辅助配置表!A:A,0)-1,0)</f>
        <v>3</v>
      </c>
      <c r="H1799" s="186">
        <f ca="1">OFFSET(skill!$Q$1,MATCH(B2267,skill!B:B,0)-1,0)</f>
        <v>7.5</v>
      </c>
      <c r="I1799" s="186"/>
      <c r="J1799" s="186">
        <f ca="1">OFFSET(card_type!$F$1,MATCH(Q1799,card_type!A:A,0)-1,0)</f>
        <v>1</v>
      </c>
      <c r="K1799" s="243">
        <f ca="1">OFFSET(card_type!$G$1,MATCH(Q1799,card_type!A:A,0)-1,0)</f>
        <v>3</v>
      </c>
      <c r="L1799" s="157">
        <v>3</v>
      </c>
      <c r="M1799" s="157">
        <v>3</v>
      </c>
      <c r="N1799" s="153">
        <f t="shared" si="305"/>
        <v>13</v>
      </c>
      <c r="O1799" s="157"/>
      <c r="P1799" s="157"/>
      <c r="Q1799" s="153">
        <f ca="1">OFFSET(card_type!$A$1,MATCH(card!B1799,card_type!B:B,0)-1,0)</f>
        <v>3009</v>
      </c>
      <c r="R1799" s="153">
        <v>1</v>
      </c>
      <c r="S1799" s="157">
        <f ca="1">ROUND(IF(R1799=0,0,IF(R1799=1,X1799*$S$1,IF(R1799=2,X1799*$S$1*buff的资质计算!$E$2,IF(R1799=3,X1799*$S$1*buff的资质计算!$E$3,0)))),0)*0</f>
        <v>0</v>
      </c>
      <c r="T1799" s="153">
        <v>3</v>
      </c>
      <c r="U1799" s="153">
        <f ca="1" t="shared" si="306"/>
        <v>13</v>
      </c>
      <c r="V1799" s="153">
        <f ca="1">ROUND((OFFSET(卡牌辅助配置表!$O$1,MATCH(U1799,卡牌辅助配置表!M:M,0)-1,0)+(N1799-1)*OFFSET(卡牌辅助配置表!$P$1,MATCH(U1799,卡牌辅助配置表!M:M,0)-1,0))*M1799,2)</f>
        <v>63.84</v>
      </c>
      <c r="W1799" s="157">
        <f ca="1">ROUND(IF(R1799=0,0,IF(R1799=1,X1799*$W$1,IF(R1799=2,X1799*$W$1*buff的资质计算!$E$2,IF(R1799=3,X1799*$W$1*buff的资质计算!$E$3,0)))),2)</f>
        <v>14.4</v>
      </c>
      <c r="X1799" s="157">
        <f ca="1" t="shared" si="301"/>
        <v>48</v>
      </c>
      <c r="Y1799" s="157">
        <f ca="1" t="shared" si="299"/>
        <v>55.5</v>
      </c>
      <c r="Z1799" s="304">
        <f ca="1" t="shared" si="302"/>
        <v>18.5</v>
      </c>
      <c r="AA1799" s="304">
        <f ca="1">OFFSET(卡牌辅助配置表!$AD$1,MATCH(AB1799,卡牌辅助配置表!AB:AB,0)-1,0)</f>
        <v>1321</v>
      </c>
      <c r="AB1799" s="304">
        <f ca="1" t="shared" si="307"/>
        <v>1313</v>
      </c>
      <c r="AC1799" s="153">
        <v>10</v>
      </c>
      <c r="AD1799" s="153">
        <v>1</v>
      </c>
      <c r="AE1799" s="153">
        <v>1</v>
      </c>
      <c r="AF1799" s="153" t="str">
        <f ca="1" t="shared" si="300"/>
        <v>30090011|</v>
      </c>
      <c r="AJ1799" s="205" t="str">
        <f ca="1" t="shared" si="308"/>
        <v>400023|7800|;</v>
      </c>
      <c r="AK1799" s="205">
        <f ca="1">OFFSET([1]item_type!$A$1,MATCH(Q1799,[1]item_type!$G:$G,0)-1,0)</f>
        <v>303009</v>
      </c>
      <c r="AL1799" s="205"/>
      <c r="AM1799" s="205">
        <f ca="1">IF(B1799=B1800,OFFSET(卡牌辅助配置表!$AE$1,MATCH(AB1799,卡牌辅助配置表!AB:AB,0),0),0)</f>
        <v>7800</v>
      </c>
      <c r="AN1799" s="153">
        <f ca="1" t="shared" si="303"/>
        <v>3009014</v>
      </c>
      <c r="AP1799" s="153" t="str">
        <f ca="1">IF(AC1799=0,0,IF(AC1799=12,0,OFFSET(effect!$N$1,MATCH(K1799,effect!M:M,0)-1,0)))</f>
        <v>kpsx_zise</v>
      </c>
    </row>
    <row r="1800" spans="1:42">
      <c r="A1800" s="153">
        <f ca="1" t="shared" si="304"/>
        <v>3009014</v>
      </c>
      <c r="B1800" s="91" t="s">
        <v>502</v>
      </c>
      <c r="C1800" s="186">
        <v>3</v>
      </c>
      <c r="D1800" s="186">
        <v>4</v>
      </c>
      <c r="E1800" s="165" t="s">
        <v>1069</v>
      </c>
      <c r="F1800" s="165" t="str">
        <f>"若自身处在炎息中，伤害增加炎息层数*"&amp;skill!$O$134/100&amp;"%"</f>
        <v>若自身处在炎息中，伤害增加炎息层数*30%</v>
      </c>
      <c r="G1800" s="186">
        <f ca="1">OFFSET(卡牌辅助配置表!$C$1,MATCH(AC1800,卡牌辅助配置表!A:A,0)-1,0)</f>
        <v>3</v>
      </c>
      <c r="H1800" s="186">
        <f ca="1">OFFSET(skill!$Q$1,MATCH(B2297,skill!B:B,0)-1,0)</f>
        <v>7.5</v>
      </c>
      <c r="I1800" s="186"/>
      <c r="J1800" s="186">
        <f ca="1">OFFSET(card_type!$F$1,MATCH(Q1800,card_type!A:A,0)-1,0)</f>
        <v>1</v>
      </c>
      <c r="K1800" s="243">
        <f ca="1">OFFSET(card_type!$G$1,MATCH(Q1800,card_type!A:A,0)-1,0)</f>
        <v>3</v>
      </c>
      <c r="L1800" s="157">
        <v>3</v>
      </c>
      <c r="M1800" s="157">
        <v>3</v>
      </c>
      <c r="N1800" s="153">
        <f t="shared" si="305"/>
        <v>14</v>
      </c>
      <c r="O1800" s="157"/>
      <c r="P1800" s="157"/>
      <c r="Q1800" s="153">
        <f ca="1">OFFSET(card_type!$A$1,MATCH(card!B1800,card_type!B:B,0)-1,0)</f>
        <v>3009</v>
      </c>
      <c r="R1800" s="153">
        <v>1</v>
      </c>
      <c r="S1800" s="157">
        <f ca="1">ROUND(IF(R1800=0,0,IF(R1800=1,X1800*$S$1,IF(R1800=2,X1800*$S$1*buff的资质计算!$E$2,IF(R1800=3,X1800*$S$1*buff的资质计算!$E$3,0)))),0)*0</f>
        <v>0</v>
      </c>
      <c r="T1800" s="153">
        <v>3</v>
      </c>
      <c r="U1800" s="153">
        <f ca="1" t="shared" si="306"/>
        <v>13</v>
      </c>
      <c r="V1800" s="153">
        <f ca="1">ROUND((OFFSET(卡牌辅助配置表!$O$1,MATCH(U1800,卡牌辅助配置表!M:M,0)-1,0)+(N1800-1)*OFFSET(卡牌辅助配置表!$P$1,MATCH(U1800,卡牌辅助配置表!M:M,0)-1,0))*M1800,2)</f>
        <v>65.36</v>
      </c>
      <c r="W1800" s="157">
        <f ca="1">ROUND(IF(R1800=0,0,IF(R1800=1,X1800*$W$1,IF(R1800=2,X1800*$W$1*buff的资质计算!$E$2,IF(R1800=3,X1800*$W$1*buff的资质计算!$E$3,0)))),2)</f>
        <v>14.55</v>
      </c>
      <c r="X1800" s="157">
        <f ca="1" t="shared" si="301"/>
        <v>48.5</v>
      </c>
      <c r="Y1800" s="157">
        <f ca="1" t="shared" si="299"/>
        <v>56</v>
      </c>
      <c r="Z1800" s="304">
        <f ca="1" t="shared" si="302"/>
        <v>18.6666666666667</v>
      </c>
      <c r="AA1800" s="304">
        <f ca="1">OFFSET(卡牌辅助配置表!$AD$1,MATCH(AB1800,卡牌辅助配置表!AB:AB,0)-1,0)</f>
        <v>1458</v>
      </c>
      <c r="AB1800" s="304">
        <f ca="1" t="shared" si="307"/>
        <v>1314</v>
      </c>
      <c r="AC1800" s="153">
        <v>10</v>
      </c>
      <c r="AD1800" s="153">
        <v>1</v>
      </c>
      <c r="AE1800" s="153">
        <v>1</v>
      </c>
      <c r="AF1800" s="153" t="str">
        <f ca="1" t="shared" si="300"/>
        <v>30090011|</v>
      </c>
      <c r="AJ1800" s="205" t="str">
        <f ca="1" t="shared" si="308"/>
        <v>400023|8600|;</v>
      </c>
      <c r="AK1800" s="205">
        <f ca="1">OFFSET([1]item_type!$A$1,MATCH(Q1800,[1]item_type!$G:$G,0)-1,0)</f>
        <v>303009</v>
      </c>
      <c r="AL1800" s="205"/>
      <c r="AM1800" s="205">
        <f ca="1">IF(B1800=B1801,OFFSET(卡牌辅助配置表!$AE$1,MATCH(AB1800,卡牌辅助配置表!AB:AB,0),0),0)</f>
        <v>8600</v>
      </c>
      <c r="AN1800" s="153">
        <f ca="1" t="shared" si="303"/>
        <v>3009015</v>
      </c>
      <c r="AP1800" s="153" t="str">
        <f ca="1">IF(AC1800=0,0,IF(AC1800=12,0,OFFSET(effect!$N$1,MATCH(K1800,effect!M:M,0)-1,0)))</f>
        <v>kpsx_zise</v>
      </c>
    </row>
    <row r="1801" spans="1:42">
      <c r="A1801" s="153">
        <f ca="1" t="shared" si="304"/>
        <v>3009015</v>
      </c>
      <c r="B1801" s="91" t="s">
        <v>502</v>
      </c>
      <c r="C1801" s="186">
        <v>3</v>
      </c>
      <c r="D1801" s="186">
        <v>4</v>
      </c>
      <c r="E1801" s="165" t="s">
        <v>1069</v>
      </c>
      <c r="F1801" s="165" t="str">
        <f>"若自身处在炎息中，伤害增加炎息层数*"&amp;skill!$O$134/100&amp;"%"</f>
        <v>若自身处在炎息中，伤害增加炎息层数*30%</v>
      </c>
      <c r="G1801" s="186">
        <f ca="1">OFFSET(卡牌辅助配置表!$C$1,MATCH(AC1801,卡牌辅助配置表!A:A,0)-1,0)</f>
        <v>3</v>
      </c>
      <c r="H1801" s="186">
        <f ca="1">OFFSET(skill!$Q$1,MATCH(B2327,skill!B:B,0)-1,0)</f>
        <v>0.666666666666667</v>
      </c>
      <c r="I1801" s="186"/>
      <c r="J1801" s="186">
        <f ca="1">OFFSET(card_type!$F$1,MATCH(Q1801,card_type!A:A,0)-1,0)</f>
        <v>1</v>
      </c>
      <c r="K1801" s="243">
        <f ca="1">OFFSET(card_type!$G$1,MATCH(Q1801,card_type!A:A,0)-1,0)</f>
        <v>3</v>
      </c>
      <c r="L1801" s="157">
        <v>3</v>
      </c>
      <c r="M1801" s="157">
        <v>3</v>
      </c>
      <c r="N1801" s="153">
        <f t="shared" si="305"/>
        <v>15</v>
      </c>
      <c r="O1801" s="157"/>
      <c r="P1801" s="157"/>
      <c r="Q1801" s="153">
        <f ca="1">OFFSET(card_type!$A$1,MATCH(card!B1801,card_type!B:B,0)-1,0)</f>
        <v>3009</v>
      </c>
      <c r="R1801" s="153">
        <v>1</v>
      </c>
      <c r="S1801" s="157">
        <f ca="1">ROUND(IF(R1801=0,0,IF(R1801=1,X1801*$S$1,IF(R1801=2,X1801*$S$1*buff的资质计算!$E$2,IF(R1801=3,X1801*$S$1*buff的资质计算!$E$3,0)))),0)*0</f>
        <v>0</v>
      </c>
      <c r="T1801" s="153">
        <v>3</v>
      </c>
      <c r="U1801" s="153">
        <f ca="1" t="shared" si="306"/>
        <v>13</v>
      </c>
      <c r="V1801" s="153">
        <f ca="1">ROUND((OFFSET(卡牌辅助配置表!$O$1,MATCH(U1801,卡牌辅助配置表!M:M,0)-1,0)+(N1801-1)*OFFSET(卡牌辅助配置表!$P$1,MATCH(U1801,卡牌辅助配置表!M:M,0)-1,0))*M1801,2)</f>
        <v>66.88</v>
      </c>
      <c r="W1801" s="157">
        <f ca="1">ROUND(IF(R1801=0,0,IF(R1801=1,X1801*$W$1,IF(R1801=2,X1801*$W$1*buff的资质计算!$E$2,IF(R1801=3,X1801*$W$1*buff的资质计算!$E$3,0)))),2)</f>
        <v>14.7</v>
      </c>
      <c r="X1801" s="157">
        <f ca="1" t="shared" si="301"/>
        <v>49</v>
      </c>
      <c r="Y1801" s="157">
        <f ca="1" t="shared" si="299"/>
        <v>49.6666666666667</v>
      </c>
      <c r="Z1801" s="304">
        <f ca="1" t="shared" si="302"/>
        <v>16.5555555555556</v>
      </c>
      <c r="AA1801" s="304">
        <f ca="1">OFFSET(卡牌辅助配置表!$AD$1,MATCH(AB1801,卡牌辅助配置表!AB:AB,0)-1,0)</f>
        <v>1595</v>
      </c>
      <c r="AB1801" s="304">
        <f ca="1" t="shared" si="307"/>
        <v>1315</v>
      </c>
      <c r="AC1801" s="153">
        <v>10</v>
      </c>
      <c r="AD1801" s="153">
        <v>1</v>
      </c>
      <c r="AE1801" s="153">
        <v>1</v>
      </c>
      <c r="AF1801" s="153" t="str">
        <f ca="1" t="shared" si="300"/>
        <v>30090011|</v>
      </c>
      <c r="AJ1801" s="205" t="str">
        <f ca="1" t="shared" si="308"/>
        <v>400023|9400|;</v>
      </c>
      <c r="AK1801" s="205">
        <f ca="1">OFFSET([1]item_type!$A$1,MATCH(Q1801,[1]item_type!$G:$G,0)-1,0)</f>
        <v>303009</v>
      </c>
      <c r="AL1801" s="205"/>
      <c r="AM1801" s="205">
        <f ca="1">IF(B1801=B1802,OFFSET(卡牌辅助配置表!$AE$1,MATCH(AB1801,卡牌辅助配置表!AB:AB,0),0),0)</f>
        <v>9400</v>
      </c>
      <c r="AN1801" s="153">
        <f ca="1" t="shared" si="303"/>
        <v>3009016</v>
      </c>
      <c r="AP1801" s="153" t="str">
        <f ca="1">IF(AC1801=0,0,IF(AC1801=12,0,OFFSET(effect!$N$1,MATCH(K1801,effect!M:M,0)-1,0)))</f>
        <v>kpsx_zise</v>
      </c>
    </row>
    <row r="1802" spans="1:42">
      <c r="A1802" s="153">
        <f ca="1" t="shared" si="304"/>
        <v>3009016</v>
      </c>
      <c r="B1802" s="91" t="s">
        <v>502</v>
      </c>
      <c r="C1802" s="186">
        <v>3</v>
      </c>
      <c r="D1802" s="186">
        <v>4</v>
      </c>
      <c r="E1802" s="165" t="s">
        <v>1069</v>
      </c>
      <c r="F1802" s="165" t="str">
        <f>"若自身处在炎息中，伤害增加炎息层数*"&amp;skill!$O$134/100&amp;"%"</f>
        <v>若自身处在炎息中，伤害增加炎息层数*30%</v>
      </c>
      <c r="G1802" s="186">
        <f ca="1">OFFSET(卡牌辅助配置表!$C$1,MATCH(AC1802,卡牌辅助配置表!A:A,0)-1,0)</f>
        <v>3</v>
      </c>
      <c r="H1802" s="186">
        <f ca="1">OFFSET(skill!$Q$1,MATCH(B2357,skill!B:B,0)-1,0)</f>
        <v>0.857142857142857</v>
      </c>
      <c r="I1802" s="186"/>
      <c r="J1802" s="186">
        <f ca="1">OFFSET(card_type!$F$1,MATCH(Q1802,card_type!A:A,0)-1,0)</f>
        <v>1</v>
      </c>
      <c r="K1802" s="243">
        <f ca="1">OFFSET(card_type!$G$1,MATCH(Q1802,card_type!A:A,0)-1,0)</f>
        <v>3</v>
      </c>
      <c r="L1802" s="157">
        <v>3</v>
      </c>
      <c r="M1802" s="157">
        <v>3</v>
      </c>
      <c r="N1802" s="153">
        <f t="shared" si="305"/>
        <v>16</v>
      </c>
      <c r="O1802" s="157"/>
      <c r="P1802" s="157"/>
      <c r="Q1802" s="153">
        <f ca="1">OFFSET(card_type!$A$1,MATCH(card!B1802,card_type!B:B,0)-1,0)</f>
        <v>3009</v>
      </c>
      <c r="R1802" s="153">
        <v>1</v>
      </c>
      <c r="S1802" s="157">
        <f ca="1">ROUND(IF(R1802=0,0,IF(R1802=1,X1802*$S$1,IF(R1802=2,X1802*$S$1*buff的资质计算!$E$2,IF(R1802=3,X1802*$S$1*buff的资质计算!$E$3,0)))),0)*0</f>
        <v>0</v>
      </c>
      <c r="T1802" s="153">
        <v>3</v>
      </c>
      <c r="U1802" s="153">
        <f ca="1" t="shared" si="306"/>
        <v>13</v>
      </c>
      <c r="V1802" s="153">
        <f ca="1">ROUND((OFFSET(卡牌辅助配置表!$O$1,MATCH(U1802,卡牌辅助配置表!M:M,0)-1,0)+(N1802-1)*OFFSET(卡牌辅助配置表!$P$1,MATCH(U1802,卡牌辅助配置表!M:M,0)-1,0))*M1802,2)</f>
        <v>68.4</v>
      </c>
      <c r="W1802" s="157">
        <f ca="1">ROUND(IF(R1802=0,0,IF(R1802=1,X1802*$W$1,IF(R1802=2,X1802*$W$1*buff的资质计算!$E$2,IF(R1802=3,X1802*$W$1*buff的资质计算!$E$3,0)))),2)</f>
        <v>14.85</v>
      </c>
      <c r="X1802" s="157">
        <f ca="1" t="shared" si="301"/>
        <v>49.5</v>
      </c>
      <c r="Y1802" s="157">
        <f ca="1" t="shared" ref="Y1802:Y1865" si="309">X1802+H1802</f>
        <v>50.3571428571429</v>
      </c>
      <c r="Z1802" s="304">
        <f ca="1" t="shared" si="302"/>
        <v>16.7857142857143</v>
      </c>
      <c r="AA1802" s="304">
        <f ca="1">OFFSET(卡牌辅助配置表!$AD$1,MATCH(AB1802,卡牌辅助配置表!AB:AB,0)-1,0)</f>
        <v>1732</v>
      </c>
      <c r="AB1802" s="304">
        <f ca="1" t="shared" si="307"/>
        <v>1316</v>
      </c>
      <c r="AC1802" s="153">
        <v>10</v>
      </c>
      <c r="AD1802" s="153">
        <v>1</v>
      </c>
      <c r="AE1802" s="153">
        <v>1</v>
      </c>
      <c r="AF1802" s="153" t="str">
        <f ca="1" t="shared" si="300"/>
        <v>30090011|</v>
      </c>
      <c r="AJ1802" s="205" t="str">
        <f ca="1" t="shared" si="308"/>
        <v>400023|10200|;</v>
      </c>
      <c r="AK1802" s="205">
        <f ca="1">OFFSET([1]item_type!$A$1,MATCH(Q1802,[1]item_type!$G:$G,0)-1,0)</f>
        <v>303009</v>
      </c>
      <c r="AL1802" s="205"/>
      <c r="AM1802" s="205">
        <f ca="1">IF(B1802=B1803,OFFSET(卡牌辅助配置表!$AE$1,MATCH(AB1802,卡牌辅助配置表!AB:AB,0),0),0)</f>
        <v>10200</v>
      </c>
      <c r="AN1802" s="153">
        <f ca="1" t="shared" si="303"/>
        <v>3009017</v>
      </c>
      <c r="AP1802" s="153" t="str">
        <f ca="1">IF(AC1802=0,0,IF(AC1802=12,0,OFFSET(effect!$N$1,MATCH(K1802,effect!M:M,0)-1,0)))</f>
        <v>kpsx_zise</v>
      </c>
    </row>
    <row r="1803" spans="1:42">
      <c r="A1803" s="153">
        <f ca="1" t="shared" si="304"/>
        <v>3009017</v>
      </c>
      <c r="B1803" s="91" t="s">
        <v>502</v>
      </c>
      <c r="C1803" s="186">
        <v>3</v>
      </c>
      <c r="D1803" s="186">
        <v>4</v>
      </c>
      <c r="E1803" s="165" t="s">
        <v>1069</v>
      </c>
      <c r="F1803" s="165" t="str">
        <f>"若自身处在炎息中，伤害增加炎息层数*"&amp;skill!$O$134/100&amp;"%"</f>
        <v>若自身处在炎息中，伤害增加炎息层数*30%</v>
      </c>
      <c r="G1803" s="186">
        <f ca="1">OFFSET(卡牌辅助配置表!$C$1,MATCH(AC1803,卡牌辅助配置表!A:A,0)-1,0)</f>
        <v>3</v>
      </c>
      <c r="H1803" s="186">
        <f ca="1">OFFSET(skill!$Q$1,MATCH(B2417,skill!B:B,0)-1,0)</f>
        <v>18.75</v>
      </c>
      <c r="I1803" s="186"/>
      <c r="J1803" s="186">
        <f ca="1">OFFSET(card_type!$F$1,MATCH(Q1803,card_type!A:A,0)-1,0)</f>
        <v>1</v>
      </c>
      <c r="K1803" s="243">
        <f ca="1">OFFSET(card_type!$G$1,MATCH(Q1803,card_type!A:A,0)-1,0)</f>
        <v>3</v>
      </c>
      <c r="L1803" s="157">
        <v>3</v>
      </c>
      <c r="M1803" s="157">
        <v>3</v>
      </c>
      <c r="N1803" s="153">
        <f t="shared" si="305"/>
        <v>17</v>
      </c>
      <c r="O1803" s="157"/>
      <c r="P1803" s="157"/>
      <c r="Q1803" s="153">
        <f ca="1">OFFSET(card_type!$A$1,MATCH(card!B1803,card_type!B:B,0)-1,0)</f>
        <v>3009</v>
      </c>
      <c r="R1803" s="153">
        <v>1</v>
      </c>
      <c r="S1803" s="157">
        <f ca="1">ROUND(IF(R1803=0,0,IF(R1803=1,X1803*$S$1,IF(R1803=2,X1803*$S$1*buff的资质计算!$E$2,IF(R1803=3,X1803*$S$1*buff的资质计算!$E$3,0)))),0)*0</f>
        <v>0</v>
      </c>
      <c r="T1803" s="153">
        <v>3</v>
      </c>
      <c r="U1803" s="153">
        <f ca="1" t="shared" si="306"/>
        <v>13</v>
      </c>
      <c r="V1803" s="153">
        <f ca="1">ROUND((OFFSET(卡牌辅助配置表!$O$1,MATCH(U1803,卡牌辅助配置表!M:M,0)-1,0)+(N1803-1)*OFFSET(卡牌辅助配置表!$P$1,MATCH(U1803,卡牌辅助配置表!M:M,0)-1,0))*M1803,2)</f>
        <v>69.92</v>
      </c>
      <c r="W1803" s="157">
        <f ca="1">ROUND(IF(R1803=0,0,IF(R1803=1,X1803*$W$1,IF(R1803=2,X1803*$W$1*buff的资质计算!$E$2,IF(R1803=3,X1803*$W$1*buff的资质计算!$E$3,0)))),2)</f>
        <v>15</v>
      </c>
      <c r="X1803" s="157">
        <f ca="1" t="shared" si="301"/>
        <v>50</v>
      </c>
      <c r="Y1803" s="157">
        <f ca="1" t="shared" si="309"/>
        <v>68.75</v>
      </c>
      <c r="Z1803" s="304">
        <f ca="1" t="shared" si="302"/>
        <v>22.9166666666667</v>
      </c>
      <c r="AA1803" s="304">
        <f ca="1">OFFSET(卡牌辅助配置表!$AD$1,MATCH(AB1803,卡牌辅助配置表!AB:AB,0)-1,0)</f>
        <v>1869</v>
      </c>
      <c r="AB1803" s="304">
        <f ca="1" t="shared" si="307"/>
        <v>1317</v>
      </c>
      <c r="AC1803" s="153">
        <v>10</v>
      </c>
      <c r="AD1803" s="153">
        <v>1</v>
      </c>
      <c r="AE1803" s="153">
        <v>1</v>
      </c>
      <c r="AF1803" s="153" t="str">
        <f ca="1" t="shared" si="300"/>
        <v>30090011|</v>
      </c>
      <c r="AJ1803" s="205" t="str">
        <f ca="1" t="shared" si="308"/>
        <v>400023|11000|;</v>
      </c>
      <c r="AK1803" s="205">
        <f ca="1">OFFSET([1]item_type!$A$1,MATCH(Q1803,[1]item_type!$G:$G,0)-1,0)</f>
        <v>303009</v>
      </c>
      <c r="AL1803" s="205"/>
      <c r="AM1803" s="205">
        <f ca="1">IF(B1803=B1804,OFFSET(卡牌辅助配置表!$AE$1,MATCH(AB1803,卡牌辅助配置表!AB:AB,0),0),0)</f>
        <v>11000</v>
      </c>
      <c r="AN1803" s="153">
        <f ca="1" t="shared" si="303"/>
        <v>3009018</v>
      </c>
      <c r="AP1803" s="153" t="str">
        <f ca="1">IF(AC1803=0,0,IF(AC1803=12,0,OFFSET(effect!$N$1,MATCH(K1803,effect!M:M,0)-1,0)))</f>
        <v>kpsx_zise</v>
      </c>
    </row>
    <row r="1804" spans="1:42">
      <c r="A1804" s="153">
        <f ca="1" t="shared" si="304"/>
        <v>3009018</v>
      </c>
      <c r="B1804" s="91" t="s">
        <v>502</v>
      </c>
      <c r="C1804" s="186">
        <v>3</v>
      </c>
      <c r="D1804" s="186">
        <v>4</v>
      </c>
      <c r="E1804" s="165" t="s">
        <v>1069</v>
      </c>
      <c r="F1804" s="165" t="str">
        <f>"若自身处在炎息中，伤害增加炎息层数*"&amp;skill!$O$134/100&amp;"%"</f>
        <v>若自身处在炎息中，伤害增加炎息层数*30%</v>
      </c>
      <c r="G1804" s="186">
        <f ca="1">OFFSET(卡牌辅助配置表!$C$1,MATCH(AC1804,卡牌辅助配置表!A:A,0)-1,0)</f>
        <v>3</v>
      </c>
      <c r="H1804" s="186">
        <f ca="1">OFFSET(skill!$Q$1,MATCH(B2387,skill!B:B,0)-1,0)</f>
        <v>11.25</v>
      </c>
      <c r="I1804" s="186"/>
      <c r="J1804" s="186">
        <f ca="1">OFFSET(card_type!$F$1,MATCH(Q1804,card_type!A:A,0)-1,0)</f>
        <v>1</v>
      </c>
      <c r="K1804" s="243">
        <f ca="1">OFFSET(card_type!$G$1,MATCH(Q1804,card_type!A:A,0)-1,0)</f>
        <v>3</v>
      </c>
      <c r="L1804" s="157">
        <v>3</v>
      </c>
      <c r="M1804" s="157">
        <v>3</v>
      </c>
      <c r="N1804" s="153">
        <f t="shared" si="305"/>
        <v>18</v>
      </c>
      <c r="O1804" s="157"/>
      <c r="P1804" s="157"/>
      <c r="Q1804" s="153">
        <f ca="1">OFFSET(card_type!$A$1,MATCH(card!B1804,card_type!B:B,0)-1,0)</f>
        <v>3009</v>
      </c>
      <c r="R1804" s="153">
        <v>1</v>
      </c>
      <c r="S1804" s="157">
        <f ca="1">ROUND(IF(R1804=0,0,IF(R1804=1,X1804*$S$1,IF(R1804=2,X1804*$S$1*buff的资质计算!$E$2,IF(R1804=3,X1804*$S$1*buff的资质计算!$E$3,0)))),0)*0</f>
        <v>0</v>
      </c>
      <c r="T1804" s="153">
        <v>3</v>
      </c>
      <c r="U1804" s="153">
        <f ca="1" t="shared" si="306"/>
        <v>13</v>
      </c>
      <c r="V1804" s="153">
        <f ca="1">ROUND((OFFSET(卡牌辅助配置表!$O$1,MATCH(U1804,卡牌辅助配置表!M:M,0)-1,0)+(N1804-1)*OFFSET(卡牌辅助配置表!$P$1,MATCH(U1804,卡牌辅助配置表!M:M,0)-1,0))*M1804,2)</f>
        <v>71.44</v>
      </c>
      <c r="W1804" s="157">
        <f ca="1">ROUND(IF(R1804=0,0,IF(R1804=1,X1804*$W$1,IF(R1804=2,X1804*$W$1*buff的资质计算!$E$2,IF(R1804=3,X1804*$W$1*buff的资质计算!$E$3,0)))),2)</f>
        <v>15.15</v>
      </c>
      <c r="X1804" s="157">
        <f ca="1" t="shared" si="301"/>
        <v>50.5</v>
      </c>
      <c r="Y1804" s="157">
        <f ca="1" t="shared" si="309"/>
        <v>61.75</v>
      </c>
      <c r="Z1804" s="304">
        <f ca="1" t="shared" si="302"/>
        <v>20.5833333333333</v>
      </c>
      <c r="AA1804" s="304">
        <f ca="1">OFFSET(卡牌辅助配置表!$AD$1,MATCH(AB1804,卡牌辅助配置表!AB:AB,0)-1,0)</f>
        <v>2006</v>
      </c>
      <c r="AB1804" s="304">
        <f ca="1" t="shared" si="307"/>
        <v>1318</v>
      </c>
      <c r="AC1804" s="153">
        <v>10</v>
      </c>
      <c r="AD1804" s="153">
        <v>1</v>
      </c>
      <c r="AE1804" s="153">
        <v>1</v>
      </c>
      <c r="AF1804" s="153" t="str">
        <f ca="1" t="shared" si="300"/>
        <v>30090011|</v>
      </c>
      <c r="AJ1804" s="205" t="str">
        <f ca="1" t="shared" si="308"/>
        <v>400023|11800|;</v>
      </c>
      <c r="AK1804" s="205">
        <f ca="1">OFFSET([1]item_type!$A$1,MATCH(Q1804,[1]item_type!$G:$G,0)-1,0)</f>
        <v>303009</v>
      </c>
      <c r="AL1804" s="205"/>
      <c r="AM1804" s="205">
        <f ca="1">IF(B1804=B1805,OFFSET(卡牌辅助配置表!$AE$1,MATCH(AB1804,卡牌辅助配置表!AB:AB,0),0),0)</f>
        <v>11800</v>
      </c>
      <c r="AN1804" s="153">
        <f ca="1" t="shared" si="303"/>
        <v>3009019</v>
      </c>
      <c r="AP1804" s="153" t="str">
        <f ca="1">IF(AC1804=0,0,IF(AC1804=12,0,OFFSET(effect!$N$1,MATCH(K1804,effect!M:M,0)-1,0)))</f>
        <v>kpsx_zise</v>
      </c>
    </row>
    <row r="1805" spans="1:42">
      <c r="A1805" s="153">
        <f ca="1" t="shared" si="304"/>
        <v>3009019</v>
      </c>
      <c r="B1805" s="91" t="s">
        <v>502</v>
      </c>
      <c r="C1805" s="186">
        <v>3</v>
      </c>
      <c r="D1805" s="186">
        <v>4</v>
      </c>
      <c r="E1805" s="165" t="s">
        <v>1069</v>
      </c>
      <c r="F1805" s="165" t="str">
        <f>"若自身处在炎息中，伤害增加炎息层数*"&amp;skill!$O$134/100&amp;"%"</f>
        <v>若自身处在炎息中，伤害增加炎息层数*30%</v>
      </c>
      <c r="G1805" s="186">
        <f ca="1">OFFSET(卡牌辅助配置表!$C$1,MATCH(AC1805,卡牌辅助配置表!A:A,0)-1,0)</f>
        <v>3</v>
      </c>
      <c r="H1805" s="186">
        <f ca="1">OFFSET(skill!$Q$1,MATCH(B2447,skill!B:B,0)-1,0)</f>
        <v>0</v>
      </c>
      <c r="I1805" s="186"/>
      <c r="J1805" s="186">
        <f ca="1">OFFSET(card_type!$F$1,MATCH(Q1805,card_type!A:A,0)-1,0)</f>
        <v>1</v>
      </c>
      <c r="K1805" s="243">
        <f ca="1">OFFSET(card_type!$G$1,MATCH(Q1805,card_type!A:A,0)-1,0)</f>
        <v>3</v>
      </c>
      <c r="L1805" s="157">
        <v>3</v>
      </c>
      <c r="M1805" s="157">
        <v>3</v>
      </c>
      <c r="N1805" s="153">
        <f t="shared" si="305"/>
        <v>19</v>
      </c>
      <c r="O1805" s="157"/>
      <c r="P1805" s="157"/>
      <c r="Q1805" s="153">
        <f ca="1">OFFSET(card_type!$A$1,MATCH(card!B1805,card_type!B:B,0)-1,0)</f>
        <v>3009</v>
      </c>
      <c r="R1805" s="153">
        <v>1</v>
      </c>
      <c r="S1805" s="157">
        <f ca="1">ROUND(IF(R1805=0,0,IF(R1805=1,X1805*$S$1,IF(R1805=2,X1805*$S$1*buff的资质计算!$E$2,IF(R1805=3,X1805*$S$1*buff的资质计算!$E$3,0)))),0)*0</f>
        <v>0</v>
      </c>
      <c r="T1805" s="153">
        <v>3</v>
      </c>
      <c r="U1805" s="153">
        <f ca="1" t="shared" si="306"/>
        <v>13</v>
      </c>
      <c r="V1805" s="153">
        <f ca="1">ROUND((OFFSET(卡牌辅助配置表!$O$1,MATCH(U1805,卡牌辅助配置表!M:M,0)-1,0)+(N1805-1)*OFFSET(卡牌辅助配置表!$P$1,MATCH(U1805,卡牌辅助配置表!M:M,0)-1,0))*M1805,2)</f>
        <v>72.96</v>
      </c>
      <c r="W1805" s="157">
        <f ca="1">ROUND(IF(R1805=0,0,IF(R1805=1,X1805*$W$1,IF(R1805=2,X1805*$W$1*buff的资质计算!$E$2,IF(R1805=3,X1805*$W$1*buff的资质计算!$E$3,0)))),2)</f>
        <v>15.3</v>
      </c>
      <c r="X1805" s="157">
        <f ca="1" t="shared" si="301"/>
        <v>51</v>
      </c>
      <c r="Y1805" s="157">
        <f ca="1" t="shared" si="309"/>
        <v>51</v>
      </c>
      <c r="Z1805" s="304">
        <f ca="1" t="shared" si="302"/>
        <v>17</v>
      </c>
      <c r="AA1805" s="304">
        <f ca="1">OFFSET(卡牌辅助配置表!$AD$1,MATCH(AB1805,卡牌辅助配置表!AB:AB,0)-1,0)</f>
        <v>2143</v>
      </c>
      <c r="AB1805" s="304">
        <f ca="1" t="shared" si="307"/>
        <v>1319</v>
      </c>
      <c r="AC1805" s="153">
        <v>10</v>
      </c>
      <c r="AD1805" s="153">
        <v>1</v>
      </c>
      <c r="AE1805" s="153">
        <v>1</v>
      </c>
      <c r="AF1805" s="153" t="str">
        <f ca="1" t="shared" si="300"/>
        <v>30090011|</v>
      </c>
      <c r="AJ1805" s="205" t="str">
        <f ca="1" t="shared" si="308"/>
        <v>303009|20|;400023|12600|;</v>
      </c>
      <c r="AK1805" s="205">
        <f ca="1">OFFSET([1]item_type!$A$1,MATCH(Q1805,[1]item_type!$G:$G,0)-1,0)</f>
        <v>303009</v>
      </c>
      <c r="AL1805" s="205">
        <v>20</v>
      </c>
      <c r="AM1805" s="205">
        <f ca="1">IF(B1805=B1806,OFFSET(卡牌辅助配置表!$AE$1,MATCH(AB1805,卡牌辅助配置表!AB:AB,0),0),0)</f>
        <v>12600</v>
      </c>
      <c r="AN1805" s="153">
        <f ca="1" t="shared" si="303"/>
        <v>3009020</v>
      </c>
      <c r="AP1805" s="153" t="str">
        <f ca="1">IF(AC1805=0,0,IF(AC1805=12,0,OFFSET(effect!$N$1,MATCH(K1805,effect!M:M,0)-1,0)))</f>
        <v>kpsx_zise</v>
      </c>
    </row>
    <row r="1806" spans="1:42">
      <c r="A1806" s="153">
        <f ca="1" t="shared" si="304"/>
        <v>3009020</v>
      </c>
      <c r="B1806" s="91" t="s">
        <v>502</v>
      </c>
      <c r="C1806" s="186">
        <v>3</v>
      </c>
      <c r="D1806" s="186">
        <v>4</v>
      </c>
      <c r="E1806" s="165" t="s">
        <v>1069</v>
      </c>
      <c r="F1806" s="165" t="str">
        <f>"若自身处在炎息中，伤害增加炎息层数*"&amp;skill!$O$134/100&amp;"%"</f>
        <v>若自身处在炎息中，伤害增加炎息层数*30%</v>
      </c>
      <c r="G1806" s="186">
        <f ca="1">OFFSET(卡牌辅助配置表!$C$1,MATCH(AC1806,卡牌辅助配置表!A:A,0)-1,0)</f>
        <v>3</v>
      </c>
      <c r="H1806" s="186">
        <f ca="1">OFFSET(skill!$Q$1,MATCH(B2448,skill!B:B,0)-1,0)</f>
        <v>0</v>
      </c>
      <c r="I1806" s="186"/>
      <c r="J1806" s="186">
        <f ca="1">OFFSET(card_type!$F$1,MATCH(Q1806,card_type!A:A,0)-1,0)</f>
        <v>1</v>
      </c>
      <c r="K1806" s="243">
        <f ca="1">OFFSET(card_type!$G$1,MATCH(Q1806,card_type!A:A,0)-1,0)</f>
        <v>3</v>
      </c>
      <c r="L1806" s="157">
        <v>3</v>
      </c>
      <c r="M1806" s="157">
        <v>3</v>
      </c>
      <c r="N1806" s="153">
        <f t="shared" si="305"/>
        <v>20</v>
      </c>
      <c r="O1806" s="157"/>
      <c r="P1806" s="157"/>
      <c r="Q1806" s="153">
        <f ca="1">OFFSET(card_type!$A$1,MATCH(card!B1806,card_type!B:B,0)-1,0)</f>
        <v>3009</v>
      </c>
      <c r="R1806" s="153">
        <v>1</v>
      </c>
      <c r="S1806" s="157">
        <f ca="1">ROUND(IF(R1806=0,0,IF(R1806=1,X1806*$S$1,IF(R1806=2,X1806*$S$1*buff的资质计算!$E$2,IF(R1806=3,X1806*$S$1*buff的资质计算!$E$3,0)))),0)*0</f>
        <v>0</v>
      </c>
      <c r="T1806" s="153">
        <v>3</v>
      </c>
      <c r="U1806" s="153">
        <f ca="1" t="shared" si="306"/>
        <v>13</v>
      </c>
      <c r="V1806" s="153">
        <f ca="1">ROUND((OFFSET(卡牌辅助配置表!$O$1,MATCH(U1806,卡牌辅助配置表!M:M,0)-1,0)+(N1806-1)*OFFSET(卡牌辅助配置表!$P$1,MATCH(U1806,卡牌辅助配置表!M:M,0)-1,0))*M1806,2)</f>
        <v>74.48</v>
      </c>
      <c r="W1806" s="157">
        <f ca="1">ROUND(IF(R1806=0,0,IF(R1806=1,X1806*$W$1,IF(R1806=2,X1806*$W$1*buff的资质计算!$E$2,IF(R1806=3,X1806*$W$1*buff的资质计算!$E$3,0)))),2)</f>
        <v>15.45</v>
      </c>
      <c r="X1806" s="157">
        <f ca="1" t="shared" si="301"/>
        <v>51.5</v>
      </c>
      <c r="Y1806" s="157">
        <f ca="1" t="shared" si="309"/>
        <v>51.5</v>
      </c>
      <c r="Z1806" s="304">
        <f ca="1" t="shared" si="302"/>
        <v>17.1666666666667</v>
      </c>
      <c r="AA1806" s="304">
        <f ca="1">OFFSET(卡牌辅助配置表!$AD$1,MATCH(AB1806,卡牌辅助配置表!AB:AB,0)-1,0)</f>
        <v>2280</v>
      </c>
      <c r="AB1806" s="304">
        <f ca="1" t="shared" si="307"/>
        <v>1320</v>
      </c>
      <c r="AC1806" s="153">
        <v>10</v>
      </c>
      <c r="AD1806" s="153">
        <v>1</v>
      </c>
      <c r="AE1806" s="153">
        <v>1</v>
      </c>
      <c r="AF1806" s="153" t="str">
        <f ca="1" t="shared" si="300"/>
        <v>30090011|</v>
      </c>
      <c r="AJ1806" s="205" t="str">
        <f ca="1" t="shared" si="308"/>
        <v>400023|14200|;</v>
      </c>
      <c r="AK1806" s="205">
        <f ca="1">OFFSET([1]item_type!$A$1,MATCH(Q1806,[1]item_type!$G:$G,0)-1,0)</f>
        <v>303009</v>
      </c>
      <c r="AL1806" s="205"/>
      <c r="AM1806" s="205">
        <f ca="1">IF(B1806=B1807,OFFSET(卡牌辅助配置表!$AE$1,MATCH(AB1806,卡牌辅助配置表!AB:AB,0),0),0)</f>
        <v>14200</v>
      </c>
      <c r="AN1806" s="153">
        <f ca="1" t="shared" si="303"/>
        <v>3009021</v>
      </c>
      <c r="AP1806" s="153" t="str">
        <f ca="1">IF(AC1806=0,0,IF(AC1806=12,0,OFFSET(effect!$N$1,MATCH(K1806,effect!M:M,0)-1,0)))</f>
        <v>kpsx_zise</v>
      </c>
    </row>
    <row r="1807" spans="1:42">
      <c r="A1807" s="153">
        <f ca="1" t="shared" si="304"/>
        <v>3009021</v>
      </c>
      <c r="B1807" s="91" t="s">
        <v>502</v>
      </c>
      <c r="C1807" s="186">
        <v>3</v>
      </c>
      <c r="D1807" s="186">
        <v>4</v>
      </c>
      <c r="E1807" s="165" t="s">
        <v>1069</v>
      </c>
      <c r="F1807" s="165" t="str">
        <f>"若自身处在炎息中，伤害增加炎息层数*"&amp;skill!$O$134/100&amp;"%"</f>
        <v>若自身处在炎息中，伤害增加炎息层数*30%</v>
      </c>
      <c r="G1807" s="186">
        <f ca="1">OFFSET(卡牌辅助配置表!$C$1,MATCH(AC1807,卡牌辅助配置表!A:A,0)-1,0)</f>
        <v>3</v>
      </c>
      <c r="H1807" s="186">
        <f ca="1">OFFSET(skill!$Q$1,MATCH(B2449,skill!B:B,0)-1,0)</f>
        <v>0</v>
      </c>
      <c r="I1807" s="186"/>
      <c r="J1807" s="186">
        <f ca="1">OFFSET(card_type!$F$1,MATCH(Q1807,card_type!A:A,0)-1,0)</f>
        <v>1</v>
      </c>
      <c r="K1807" s="243">
        <f ca="1">OFFSET(card_type!$G$1,MATCH(Q1807,card_type!A:A,0)-1,0)</f>
        <v>3</v>
      </c>
      <c r="L1807" s="157">
        <v>3</v>
      </c>
      <c r="M1807" s="157">
        <v>3</v>
      </c>
      <c r="N1807" s="153">
        <f t="shared" si="305"/>
        <v>21</v>
      </c>
      <c r="O1807" s="157"/>
      <c r="P1807" s="157"/>
      <c r="Q1807" s="153">
        <f ca="1">OFFSET(card_type!$A$1,MATCH(card!B1807,card_type!B:B,0)-1,0)</f>
        <v>3009</v>
      </c>
      <c r="R1807" s="153">
        <v>1</v>
      </c>
      <c r="S1807" s="157">
        <f ca="1">ROUND(IF(R1807=0,0,IF(R1807=1,X1807*$S$1,IF(R1807=2,X1807*$S$1*buff的资质计算!$E$2,IF(R1807=3,X1807*$S$1*buff的资质计算!$E$3,0)))),0)*0</f>
        <v>0</v>
      </c>
      <c r="T1807" s="153">
        <v>3</v>
      </c>
      <c r="U1807" s="153">
        <f ca="1" t="shared" si="306"/>
        <v>13</v>
      </c>
      <c r="V1807" s="153">
        <f ca="1">ROUND((OFFSET(卡牌辅助配置表!$O$1,MATCH(U1807,卡牌辅助配置表!M:M,0)-1,0)+(N1807-1)*OFFSET(卡牌辅助配置表!$P$1,MATCH(U1807,卡牌辅助配置表!M:M,0)-1,0))*M1807,2)</f>
        <v>76</v>
      </c>
      <c r="W1807" s="157">
        <f ca="1">ROUND(IF(R1807=0,0,IF(R1807=1,X1807*$W$1,IF(R1807=2,X1807*$W$1*buff的资质计算!$E$2,IF(R1807=3,X1807*$W$1*buff的资质计算!$E$3,0)))),2)</f>
        <v>15.6</v>
      </c>
      <c r="X1807" s="157">
        <f ca="1" t="shared" si="301"/>
        <v>52</v>
      </c>
      <c r="Y1807" s="157">
        <f ca="1" t="shared" si="309"/>
        <v>52</v>
      </c>
      <c r="Z1807" s="304">
        <f ca="1" t="shared" si="302"/>
        <v>17.3333333333333</v>
      </c>
      <c r="AA1807" s="304">
        <f ca="1">OFFSET(卡牌辅助配置表!$AD$1,MATCH(AB1807,卡牌辅助配置表!AB:AB,0)-1,0)</f>
        <v>2462</v>
      </c>
      <c r="AB1807" s="304">
        <f ca="1" t="shared" si="307"/>
        <v>1321</v>
      </c>
      <c r="AC1807" s="153">
        <v>10</v>
      </c>
      <c r="AD1807" s="153">
        <v>1</v>
      </c>
      <c r="AE1807" s="153">
        <v>1</v>
      </c>
      <c r="AF1807" s="153" t="str">
        <f ca="1" t="shared" si="300"/>
        <v>30090011|</v>
      </c>
      <c r="AJ1807" s="205" t="str">
        <f ca="1" t="shared" si="308"/>
        <v>400023|15800|;</v>
      </c>
      <c r="AK1807" s="205">
        <f ca="1">OFFSET([1]item_type!$A$1,MATCH(Q1807,[1]item_type!$G:$G,0)-1,0)</f>
        <v>303009</v>
      </c>
      <c r="AL1807" s="205"/>
      <c r="AM1807" s="205">
        <f ca="1">IF(B1807=B1808,OFFSET(卡牌辅助配置表!$AE$1,MATCH(AB1807,卡牌辅助配置表!AB:AB,0),0),0)</f>
        <v>15800</v>
      </c>
      <c r="AN1807" s="153">
        <f ca="1" t="shared" si="303"/>
        <v>3009022</v>
      </c>
      <c r="AP1807" s="153" t="str">
        <f ca="1">IF(AC1807=0,0,IF(AC1807=12,0,OFFSET(effect!$N$1,MATCH(K1807,effect!M:M,0)-1,0)))</f>
        <v>kpsx_zise</v>
      </c>
    </row>
    <row r="1808" spans="1:42">
      <c r="A1808" s="153">
        <f ca="1" t="shared" si="304"/>
        <v>3009022</v>
      </c>
      <c r="B1808" s="91" t="s">
        <v>502</v>
      </c>
      <c r="C1808" s="186">
        <v>3</v>
      </c>
      <c r="D1808" s="186">
        <v>4</v>
      </c>
      <c r="E1808" s="165" t="s">
        <v>1069</v>
      </c>
      <c r="F1808" s="165" t="str">
        <f>"若自身处在炎息中，伤害增加炎息层数*"&amp;skill!$O$134/100&amp;"%"</f>
        <v>若自身处在炎息中，伤害增加炎息层数*30%</v>
      </c>
      <c r="G1808" s="186">
        <f ca="1">OFFSET(卡牌辅助配置表!$C$1,MATCH(AC1808,卡牌辅助配置表!A:A,0)-1,0)</f>
        <v>3</v>
      </c>
      <c r="H1808" s="186">
        <f ca="1">OFFSET(skill!$Q$1,MATCH(B2450,skill!B:B,0)-1,0)</f>
        <v>2.14285714285714</v>
      </c>
      <c r="I1808" s="186"/>
      <c r="J1808" s="186">
        <f ca="1">OFFSET(card_type!$F$1,MATCH(Q1808,card_type!A:A,0)-1,0)</f>
        <v>1</v>
      </c>
      <c r="K1808" s="243">
        <f ca="1">OFFSET(card_type!$G$1,MATCH(Q1808,card_type!A:A,0)-1,0)</f>
        <v>3</v>
      </c>
      <c r="L1808" s="157">
        <v>3</v>
      </c>
      <c r="M1808" s="157">
        <v>3</v>
      </c>
      <c r="N1808" s="153">
        <f t="shared" si="305"/>
        <v>22</v>
      </c>
      <c r="O1808" s="157"/>
      <c r="P1808" s="157"/>
      <c r="Q1808" s="153">
        <f ca="1">OFFSET(card_type!$A$1,MATCH(card!B1808,card_type!B:B,0)-1,0)</f>
        <v>3009</v>
      </c>
      <c r="R1808" s="153">
        <v>1</v>
      </c>
      <c r="S1808" s="157">
        <f ca="1">ROUND(IF(R1808=0,0,IF(R1808=1,X1808*$S$1,IF(R1808=2,X1808*$S$1*buff的资质计算!$E$2,IF(R1808=3,X1808*$S$1*buff的资质计算!$E$3,0)))),0)*0</f>
        <v>0</v>
      </c>
      <c r="T1808" s="153">
        <v>3</v>
      </c>
      <c r="U1808" s="153">
        <f ca="1" t="shared" si="306"/>
        <v>13</v>
      </c>
      <c r="V1808" s="153">
        <f ca="1">ROUND((OFFSET(卡牌辅助配置表!$O$1,MATCH(U1808,卡牌辅助配置表!M:M,0)-1,0)+(N1808-1)*OFFSET(卡牌辅助配置表!$P$1,MATCH(U1808,卡牌辅助配置表!M:M,0)-1,0))*M1808,2)</f>
        <v>77.52</v>
      </c>
      <c r="W1808" s="157">
        <f ca="1">ROUND(IF(R1808=0,0,IF(R1808=1,X1808*$W$1,IF(R1808=2,X1808*$W$1*buff的资质计算!$E$2,IF(R1808=3,X1808*$W$1*buff的资质计算!$E$3,0)))),2)</f>
        <v>15.75</v>
      </c>
      <c r="X1808" s="157">
        <f ca="1" t="shared" si="301"/>
        <v>52.5</v>
      </c>
      <c r="Y1808" s="157">
        <f ca="1" t="shared" si="309"/>
        <v>54.6428571428571</v>
      </c>
      <c r="Z1808" s="304">
        <f ca="1" t="shared" si="302"/>
        <v>18.2142857142857</v>
      </c>
      <c r="AA1808" s="304">
        <f ca="1">OFFSET(卡牌辅助配置表!$AD$1,MATCH(AB1808,卡牌辅助配置表!AB:AB,0)-1,0)</f>
        <v>2644</v>
      </c>
      <c r="AB1808" s="304">
        <f ca="1" t="shared" si="307"/>
        <v>1322</v>
      </c>
      <c r="AC1808" s="153">
        <v>10</v>
      </c>
      <c r="AD1808" s="153">
        <v>1</v>
      </c>
      <c r="AE1808" s="153">
        <v>1</v>
      </c>
      <c r="AF1808" s="153" t="str">
        <f ca="1" t="shared" si="300"/>
        <v>30090011|</v>
      </c>
      <c r="AJ1808" s="205" t="str">
        <f ca="1" t="shared" si="308"/>
        <v>400023|17400|;</v>
      </c>
      <c r="AK1808" s="205">
        <f ca="1">OFFSET([1]item_type!$A$1,MATCH(Q1808,[1]item_type!$G:$G,0)-1,0)</f>
        <v>303009</v>
      </c>
      <c r="AL1808" s="205"/>
      <c r="AM1808" s="205">
        <f ca="1">IF(B1808=B1809,OFFSET(卡牌辅助配置表!$AE$1,MATCH(AB1808,卡牌辅助配置表!AB:AB,0),0),0)</f>
        <v>17400</v>
      </c>
      <c r="AN1808" s="153">
        <f ca="1" t="shared" si="303"/>
        <v>3009023</v>
      </c>
      <c r="AP1808" s="153" t="str">
        <f ca="1">IF(AC1808=0,0,IF(AC1808=12,0,OFFSET(effect!$N$1,MATCH(K1808,effect!M:M,0)-1,0)))</f>
        <v>kpsx_zise</v>
      </c>
    </row>
    <row r="1809" spans="1:42">
      <c r="A1809" s="153">
        <f ca="1" t="shared" si="304"/>
        <v>3009023</v>
      </c>
      <c r="B1809" s="91" t="s">
        <v>502</v>
      </c>
      <c r="C1809" s="186">
        <v>3</v>
      </c>
      <c r="D1809" s="186">
        <v>4</v>
      </c>
      <c r="E1809" s="165" t="s">
        <v>1069</v>
      </c>
      <c r="F1809" s="165" t="str">
        <f>"若自身处在炎息中，伤害增加炎息层数*"&amp;skill!$O$134/100&amp;"%"</f>
        <v>若自身处在炎息中，伤害增加炎息层数*30%</v>
      </c>
      <c r="G1809" s="186">
        <f ca="1">OFFSET(卡牌辅助配置表!$C$1,MATCH(AC1809,卡牌辅助配置表!A:A,0)-1,0)</f>
        <v>3</v>
      </c>
      <c r="H1809" s="186">
        <f ca="1">OFFSET(skill!$Q$1,MATCH(B2451,skill!B:B,0)-1,0)</f>
        <v>0.230769230769231</v>
      </c>
      <c r="I1809" s="186"/>
      <c r="J1809" s="186">
        <f ca="1">OFFSET(card_type!$F$1,MATCH(Q1809,card_type!A:A,0)-1,0)</f>
        <v>1</v>
      </c>
      <c r="K1809" s="243">
        <f ca="1">OFFSET(card_type!$G$1,MATCH(Q1809,card_type!A:A,0)-1,0)</f>
        <v>3</v>
      </c>
      <c r="L1809" s="157">
        <v>3</v>
      </c>
      <c r="M1809" s="157">
        <v>3</v>
      </c>
      <c r="N1809" s="153">
        <f t="shared" si="305"/>
        <v>23</v>
      </c>
      <c r="O1809" s="157"/>
      <c r="P1809" s="157"/>
      <c r="Q1809" s="153">
        <f ca="1">OFFSET(card_type!$A$1,MATCH(card!B1809,card_type!B:B,0)-1,0)</f>
        <v>3009</v>
      </c>
      <c r="R1809" s="153">
        <v>1</v>
      </c>
      <c r="S1809" s="157">
        <f ca="1">ROUND(IF(R1809=0,0,IF(R1809=1,X1809*$S$1,IF(R1809=2,X1809*$S$1*buff的资质计算!$E$2,IF(R1809=3,X1809*$S$1*buff的资质计算!$E$3,0)))),0)*0</f>
        <v>0</v>
      </c>
      <c r="T1809" s="153">
        <v>3</v>
      </c>
      <c r="U1809" s="153">
        <f ca="1" t="shared" si="306"/>
        <v>13</v>
      </c>
      <c r="V1809" s="153">
        <f ca="1">ROUND((OFFSET(卡牌辅助配置表!$O$1,MATCH(U1809,卡牌辅助配置表!M:M,0)-1,0)+(N1809-1)*OFFSET(卡牌辅助配置表!$P$1,MATCH(U1809,卡牌辅助配置表!M:M,0)-1,0))*M1809,2)</f>
        <v>79.04</v>
      </c>
      <c r="W1809" s="157">
        <f ca="1">ROUND(IF(R1809=0,0,IF(R1809=1,X1809*$W$1,IF(R1809=2,X1809*$W$1*buff的资质计算!$E$2,IF(R1809=3,X1809*$W$1*buff的资质计算!$E$3,0)))),2)</f>
        <v>15.9</v>
      </c>
      <c r="X1809" s="157">
        <f ca="1" t="shared" si="301"/>
        <v>53</v>
      </c>
      <c r="Y1809" s="157">
        <f ca="1" t="shared" si="309"/>
        <v>53.2307692307692</v>
      </c>
      <c r="Z1809" s="304">
        <f ca="1" t="shared" si="302"/>
        <v>17.7435897435897</v>
      </c>
      <c r="AA1809" s="304">
        <f ca="1">OFFSET(卡牌辅助配置表!$AD$1,MATCH(AB1809,卡牌辅助配置表!AB:AB,0)-1,0)</f>
        <v>2826</v>
      </c>
      <c r="AB1809" s="304">
        <f ca="1" t="shared" si="307"/>
        <v>1323</v>
      </c>
      <c r="AC1809" s="153">
        <v>10</v>
      </c>
      <c r="AD1809" s="153">
        <v>1</v>
      </c>
      <c r="AE1809" s="153">
        <v>1</v>
      </c>
      <c r="AF1809" s="153" t="str">
        <f ca="1" t="shared" si="300"/>
        <v>30090011|</v>
      </c>
      <c r="AJ1809" s="205" t="str">
        <f ca="1" t="shared" si="308"/>
        <v>400023|19000|;</v>
      </c>
      <c r="AK1809" s="205">
        <f ca="1">OFFSET([1]item_type!$A$1,MATCH(Q1809,[1]item_type!$G:$G,0)-1,0)</f>
        <v>303009</v>
      </c>
      <c r="AL1809" s="205"/>
      <c r="AM1809" s="205">
        <f ca="1">IF(B1809=B1810,OFFSET(卡牌辅助配置表!$AE$1,MATCH(AB1809,卡牌辅助配置表!AB:AB,0),0),0)</f>
        <v>19000</v>
      </c>
      <c r="AN1809" s="153">
        <f ca="1" t="shared" si="303"/>
        <v>3009024</v>
      </c>
      <c r="AP1809" s="153" t="str">
        <f ca="1">IF(AC1809=0,0,IF(AC1809=12,0,OFFSET(effect!$N$1,MATCH(K1809,effect!M:M,0)-1,0)))</f>
        <v>kpsx_zise</v>
      </c>
    </row>
    <row r="1810" spans="1:42">
      <c r="A1810" s="153">
        <f ca="1" t="shared" si="304"/>
        <v>3009024</v>
      </c>
      <c r="B1810" s="91" t="s">
        <v>502</v>
      </c>
      <c r="C1810" s="186">
        <v>3</v>
      </c>
      <c r="D1810" s="186">
        <v>4</v>
      </c>
      <c r="E1810" s="165" t="s">
        <v>1069</v>
      </c>
      <c r="F1810" s="165" t="str">
        <f>"若自身处在炎息中，伤害增加炎息层数*"&amp;skill!$O$134/100&amp;"%"</f>
        <v>若自身处在炎息中，伤害增加炎息层数*30%</v>
      </c>
      <c r="G1810" s="186">
        <f ca="1">OFFSET(卡牌辅助配置表!$C$1,MATCH(AC1810,卡牌辅助配置表!A:A,0)-1,0)</f>
        <v>3</v>
      </c>
      <c r="H1810" s="186" t="e">
        <f ca="1">OFFSET(skill!$Q$1,MATCH(B2452,skill!B:B,0)-1,0)</f>
        <v>#VALUE!</v>
      </c>
      <c r="I1810" s="186"/>
      <c r="J1810" s="186">
        <f ca="1">OFFSET(card_type!$F$1,MATCH(Q1810,card_type!A:A,0)-1,0)</f>
        <v>1</v>
      </c>
      <c r="K1810" s="243">
        <f ca="1">OFFSET(card_type!$G$1,MATCH(Q1810,card_type!A:A,0)-1,0)</f>
        <v>3</v>
      </c>
      <c r="L1810" s="157">
        <v>3</v>
      </c>
      <c r="M1810" s="157">
        <v>3</v>
      </c>
      <c r="N1810" s="153">
        <f t="shared" si="305"/>
        <v>24</v>
      </c>
      <c r="O1810" s="157"/>
      <c r="P1810" s="157"/>
      <c r="Q1810" s="153">
        <f ca="1">OFFSET(card_type!$A$1,MATCH(card!B1810,card_type!B:B,0)-1,0)</f>
        <v>3009</v>
      </c>
      <c r="R1810" s="153">
        <v>1</v>
      </c>
      <c r="S1810" s="157">
        <f ca="1">ROUND(IF(R1810=0,0,IF(R1810=1,X1810*$S$1,IF(R1810=2,X1810*$S$1*buff的资质计算!$E$2,IF(R1810=3,X1810*$S$1*buff的资质计算!$E$3,0)))),0)*0</f>
        <v>0</v>
      </c>
      <c r="T1810" s="153">
        <v>3</v>
      </c>
      <c r="U1810" s="153">
        <f ca="1" t="shared" si="306"/>
        <v>13</v>
      </c>
      <c r="V1810" s="153">
        <f ca="1">ROUND((OFFSET(卡牌辅助配置表!$O$1,MATCH(U1810,卡牌辅助配置表!M:M,0)-1,0)+(N1810-1)*OFFSET(卡牌辅助配置表!$P$1,MATCH(U1810,卡牌辅助配置表!M:M,0)-1,0))*M1810,2)</f>
        <v>80.56</v>
      </c>
      <c r="W1810" s="157">
        <f ca="1">ROUND(IF(R1810=0,0,IF(R1810=1,X1810*$W$1,IF(R1810=2,X1810*$W$1*buff的资质计算!$E$2,IF(R1810=3,X1810*$W$1*buff的资质计算!$E$3,0)))),2)</f>
        <v>16.05</v>
      </c>
      <c r="X1810" s="157">
        <f ca="1" t="shared" si="301"/>
        <v>53.5</v>
      </c>
      <c r="Y1810" s="157" t="e">
        <f ca="1" t="shared" si="309"/>
        <v>#VALUE!</v>
      </c>
      <c r="Z1810" s="304" t="e">
        <f ca="1" t="shared" si="302"/>
        <v>#VALUE!</v>
      </c>
      <c r="AA1810" s="304">
        <f ca="1">OFFSET(卡牌辅助配置表!$AD$1,MATCH(AB1810,卡牌辅助配置表!AB:AB,0)-1,0)</f>
        <v>3008</v>
      </c>
      <c r="AB1810" s="304">
        <f ca="1" t="shared" si="307"/>
        <v>1324</v>
      </c>
      <c r="AC1810" s="153">
        <v>10</v>
      </c>
      <c r="AD1810" s="153">
        <v>1</v>
      </c>
      <c r="AE1810" s="153">
        <v>1</v>
      </c>
      <c r="AF1810" s="153" t="str">
        <f ca="1" t="shared" si="300"/>
        <v>30090011|</v>
      </c>
      <c r="AJ1810" s="205" t="str">
        <f ca="1" t="shared" si="308"/>
        <v>400023|20600|;</v>
      </c>
      <c r="AK1810" s="205">
        <f ca="1">OFFSET([1]item_type!$A$1,MATCH(Q1810,[1]item_type!$G:$G,0)-1,0)</f>
        <v>303009</v>
      </c>
      <c r="AL1810" s="205"/>
      <c r="AM1810" s="205">
        <f ca="1">IF(B1810=B1811,OFFSET(卡牌辅助配置表!$AE$1,MATCH(AB1810,卡牌辅助配置表!AB:AB,0),0),0)</f>
        <v>20600</v>
      </c>
      <c r="AN1810" s="153">
        <f ca="1" t="shared" si="303"/>
        <v>3009025</v>
      </c>
      <c r="AP1810" s="153" t="str">
        <f ca="1">IF(AC1810=0,0,IF(AC1810=12,0,OFFSET(effect!$N$1,MATCH(K1810,effect!M:M,0)-1,0)))</f>
        <v>kpsx_zise</v>
      </c>
    </row>
    <row r="1811" spans="1:42">
      <c r="A1811" s="153">
        <f ca="1" t="shared" si="304"/>
        <v>3009025</v>
      </c>
      <c r="B1811" s="91" t="s">
        <v>502</v>
      </c>
      <c r="C1811" s="186">
        <v>3</v>
      </c>
      <c r="D1811" s="186">
        <v>4</v>
      </c>
      <c r="E1811" s="165" t="s">
        <v>1069</v>
      </c>
      <c r="F1811" s="165" t="str">
        <f>"若自身处在炎息中，伤害增加炎息层数*"&amp;skill!$O$134/100&amp;"%"</f>
        <v>若自身处在炎息中，伤害增加炎息层数*30%</v>
      </c>
      <c r="G1811" s="186">
        <f ca="1">OFFSET(卡牌辅助配置表!$C$1,MATCH(AC1811,卡牌辅助配置表!A:A,0)-1,0)</f>
        <v>3</v>
      </c>
      <c r="H1811" s="186">
        <f ca="1">OFFSET(skill!$Q$1,MATCH(B2453,skill!B:B,0)-1,0)</f>
        <v>0</v>
      </c>
      <c r="I1811" s="186"/>
      <c r="J1811" s="186">
        <f ca="1">OFFSET(card_type!$F$1,MATCH(Q1811,card_type!A:A,0)-1,0)</f>
        <v>1</v>
      </c>
      <c r="K1811" s="243">
        <f ca="1">OFFSET(card_type!$G$1,MATCH(Q1811,card_type!A:A,0)-1,0)</f>
        <v>3</v>
      </c>
      <c r="L1811" s="157">
        <v>3</v>
      </c>
      <c r="M1811" s="157">
        <v>3</v>
      </c>
      <c r="N1811" s="153">
        <f t="shared" si="305"/>
        <v>25</v>
      </c>
      <c r="O1811" s="157"/>
      <c r="P1811" s="157"/>
      <c r="Q1811" s="153">
        <f ca="1">OFFSET(card_type!$A$1,MATCH(card!B1811,card_type!B:B,0)-1,0)</f>
        <v>3009</v>
      </c>
      <c r="R1811" s="153">
        <v>1</v>
      </c>
      <c r="S1811" s="157">
        <f ca="1">ROUND(IF(R1811=0,0,IF(R1811=1,X1811*$S$1,IF(R1811=2,X1811*$S$1*buff的资质计算!$E$2,IF(R1811=3,X1811*$S$1*buff的资质计算!$E$3,0)))),0)*0</f>
        <v>0</v>
      </c>
      <c r="T1811" s="153">
        <v>3</v>
      </c>
      <c r="U1811" s="153">
        <f ca="1" t="shared" si="306"/>
        <v>13</v>
      </c>
      <c r="V1811" s="153">
        <f ca="1">ROUND((OFFSET(卡牌辅助配置表!$O$1,MATCH(U1811,卡牌辅助配置表!M:M,0)-1,0)+(N1811-1)*OFFSET(卡牌辅助配置表!$P$1,MATCH(U1811,卡牌辅助配置表!M:M,0)-1,0))*M1811,2)</f>
        <v>82.08</v>
      </c>
      <c r="W1811" s="157">
        <f ca="1">ROUND(IF(R1811=0,0,IF(R1811=1,X1811*$W$1,IF(R1811=2,X1811*$W$1*buff的资质计算!$E$2,IF(R1811=3,X1811*$W$1*buff的资质计算!$E$3,0)))),2)</f>
        <v>16.2</v>
      </c>
      <c r="X1811" s="157">
        <f ca="1" t="shared" si="301"/>
        <v>54</v>
      </c>
      <c r="Y1811" s="157">
        <f ca="1" t="shared" si="309"/>
        <v>54</v>
      </c>
      <c r="Z1811" s="304">
        <f ca="1" t="shared" si="302"/>
        <v>18</v>
      </c>
      <c r="AA1811" s="304">
        <f ca="1">OFFSET(卡牌辅助配置表!$AD$1,MATCH(AB1811,卡牌辅助配置表!AB:AB,0)-1,0)</f>
        <v>3190</v>
      </c>
      <c r="AB1811" s="304">
        <f ca="1" t="shared" si="307"/>
        <v>1325</v>
      </c>
      <c r="AC1811" s="153">
        <v>10</v>
      </c>
      <c r="AD1811" s="153">
        <v>1</v>
      </c>
      <c r="AE1811" s="153">
        <v>1</v>
      </c>
      <c r="AF1811" s="153" t="str">
        <f ca="1" t="shared" si="300"/>
        <v>30090011|</v>
      </c>
      <c r="AJ1811" s="205" t="str">
        <f ca="1" t="shared" si="308"/>
        <v>400023|22200|;</v>
      </c>
      <c r="AK1811" s="205">
        <f ca="1">OFFSET([1]item_type!$A$1,MATCH(Q1811,[1]item_type!$G:$G,0)-1,0)</f>
        <v>303009</v>
      </c>
      <c r="AL1811" s="205"/>
      <c r="AM1811" s="205">
        <f ca="1">IF(B1811=B1812,OFFSET(卡牌辅助配置表!$AE$1,MATCH(AB1811,卡牌辅助配置表!AB:AB,0),0),0)</f>
        <v>22200</v>
      </c>
      <c r="AN1811" s="153">
        <f ca="1" t="shared" si="303"/>
        <v>3009026</v>
      </c>
      <c r="AP1811" s="153" t="str">
        <f ca="1">IF(AC1811=0,0,IF(AC1811=12,0,OFFSET(effect!$N$1,MATCH(K1811,effect!M:M,0)-1,0)))</f>
        <v>kpsx_zise</v>
      </c>
    </row>
    <row r="1812" spans="1:42">
      <c r="A1812" s="153">
        <f ca="1" t="shared" si="304"/>
        <v>3009026</v>
      </c>
      <c r="B1812" s="91" t="s">
        <v>502</v>
      </c>
      <c r="C1812" s="186">
        <v>3</v>
      </c>
      <c r="D1812" s="186">
        <v>4</v>
      </c>
      <c r="E1812" s="165" t="s">
        <v>1069</v>
      </c>
      <c r="F1812" s="165" t="str">
        <f>"若自身处在炎息中，伤害增加炎息层数*"&amp;skill!$O$134/100&amp;"%"</f>
        <v>若自身处在炎息中，伤害增加炎息层数*30%</v>
      </c>
      <c r="G1812" s="186">
        <f ca="1">OFFSET(卡牌辅助配置表!$C$1,MATCH(AC1812,卡牌辅助配置表!A:A,0)-1,0)</f>
        <v>3</v>
      </c>
      <c r="H1812" s="186">
        <f ca="1">OFFSET(skill!$Q$1,MATCH(B2454,skill!B:B,0)-1,0)</f>
        <v>0</v>
      </c>
      <c r="I1812" s="186"/>
      <c r="J1812" s="186">
        <f ca="1">OFFSET(card_type!$F$1,MATCH(Q1812,card_type!A:A,0)-1,0)</f>
        <v>1</v>
      </c>
      <c r="K1812" s="243">
        <f ca="1">OFFSET(card_type!$G$1,MATCH(Q1812,card_type!A:A,0)-1,0)</f>
        <v>3</v>
      </c>
      <c r="L1812" s="157">
        <v>3</v>
      </c>
      <c r="M1812" s="157">
        <v>3</v>
      </c>
      <c r="N1812" s="153">
        <f t="shared" si="305"/>
        <v>26</v>
      </c>
      <c r="O1812" s="157"/>
      <c r="P1812" s="157"/>
      <c r="Q1812" s="153">
        <f ca="1">OFFSET(card_type!$A$1,MATCH(card!B1812,card_type!B:B,0)-1,0)</f>
        <v>3009</v>
      </c>
      <c r="R1812" s="153">
        <v>1</v>
      </c>
      <c r="S1812" s="157">
        <f ca="1">ROUND(IF(R1812=0,0,IF(R1812=1,X1812*$S$1,IF(R1812=2,X1812*$S$1*buff的资质计算!$E$2,IF(R1812=3,X1812*$S$1*buff的资质计算!$E$3,0)))),0)*0</f>
        <v>0</v>
      </c>
      <c r="T1812" s="153">
        <v>3</v>
      </c>
      <c r="U1812" s="153">
        <f ca="1" t="shared" si="306"/>
        <v>13</v>
      </c>
      <c r="V1812" s="153">
        <f ca="1">ROUND((OFFSET(卡牌辅助配置表!$O$1,MATCH(U1812,卡牌辅助配置表!M:M,0)-1,0)+(N1812-1)*OFFSET(卡牌辅助配置表!$P$1,MATCH(U1812,卡牌辅助配置表!M:M,0)-1,0))*M1812,2)</f>
        <v>83.6</v>
      </c>
      <c r="W1812" s="157">
        <f ca="1">ROUND(IF(R1812=0,0,IF(R1812=1,X1812*$W$1,IF(R1812=2,X1812*$W$1*buff的资质计算!$E$2,IF(R1812=3,X1812*$W$1*buff的资质计算!$E$3,0)))),2)</f>
        <v>16.35</v>
      </c>
      <c r="X1812" s="157">
        <f ca="1" t="shared" si="301"/>
        <v>54.5</v>
      </c>
      <c r="Y1812" s="157">
        <f ca="1" t="shared" si="309"/>
        <v>54.5</v>
      </c>
      <c r="Z1812" s="304">
        <f ca="1" t="shared" si="302"/>
        <v>18.1666666666667</v>
      </c>
      <c r="AA1812" s="304">
        <f ca="1">OFFSET(卡牌辅助配置表!$AD$1,MATCH(AB1812,卡牌辅助配置表!AB:AB,0)-1,0)</f>
        <v>3372</v>
      </c>
      <c r="AB1812" s="304">
        <f ca="1" t="shared" si="307"/>
        <v>1326</v>
      </c>
      <c r="AC1812" s="153">
        <v>10</v>
      </c>
      <c r="AD1812" s="153">
        <v>1</v>
      </c>
      <c r="AE1812" s="153">
        <v>1</v>
      </c>
      <c r="AF1812" s="153" t="str">
        <f ca="1" t="shared" si="300"/>
        <v>30090011|</v>
      </c>
      <c r="AJ1812" s="205" t="str">
        <f ca="1" t="shared" si="308"/>
        <v>400023|23800|;</v>
      </c>
      <c r="AK1812" s="205">
        <f ca="1">OFFSET([1]item_type!$A$1,MATCH(Q1812,[1]item_type!$G:$G,0)-1,0)</f>
        <v>303009</v>
      </c>
      <c r="AL1812" s="205"/>
      <c r="AM1812" s="205">
        <f ca="1">IF(B1812=B1813,OFFSET(卡牌辅助配置表!$AE$1,MATCH(AB1812,卡牌辅助配置表!AB:AB,0),0),0)</f>
        <v>23800</v>
      </c>
      <c r="AN1812" s="153">
        <f ca="1" t="shared" si="303"/>
        <v>3009027</v>
      </c>
      <c r="AP1812" s="153" t="str">
        <f ca="1">IF(AC1812=0,0,IF(AC1812=12,0,OFFSET(effect!$N$1,MATCH(K1812,effect!M:M,0)-1,0)))</f>
        <v>kpsx_zise</v>
      </c>
    </row>
    <row r="1813" spans="1:42">
      <c r="A1813" s="153">
        <f ca="1" t="shared" si="304"/>
        <v>3009027</v>
      </c>
      <c r="B1813" s="91" t="s">
        <v>502</v>
      </c>
      <c r="C1813" s="186">
        <v>3</v>
      </c>
      <c r="D1813" s="186">
        <v>4</v>
      </c>
      <c r="E1813" s="165" t="s">
        <v>1069</v>
      </c>
      <c r="F1813" s="165" t="str">
        <f>"若自身处在炎息中，伤害增加炎息层数*"&amp;skill!$O$134/100&amp;"%"</f>
        <v>若自身处在炎息中，伤害增加炎息层数*30%</v>
      </c>
      <c r="G1813" s="186">
        <f ca="1">OFFSET(卡牌辅助配置表!$C$1,MATCH(AC1813,卡牌辅助配置表!A:A,0)-1,0)</f>
        <v>3</v>
      </c>
      <c r="H1813" s="186" t="e">
        <f ca="1">OFFSET(skill!$Q$1,MATCH(B2455,skill!B:B,0)-1,0)</f>
        <v>#VALUE!</v>
      </c>
      <c r="I1813" s="186"/>
      <c r="J1813" s="186">
        <f ca="1">OFFSET(card_type!$F$1,MATCH(Q1813,card_type!A:A,0)-1,0)</f>
        <v>1</v>
      </c>
      <c r="K1813" s="243">
        <f ca="1">OFFSET(card_type!$G$1,MATCH(Q1813,card_type!A:A,0)-1,0)</f>
        <v>3</v>
      </c>
      <c r="L1813" s="157">
        <v>3</v>
      </c>
      <c r="M1813" s="157">
        <v>3</v>
      </c>
      <c r="N1813" s="153">
        <f t="shared" si="305"/>
        <v>27</v>
      </c>
      <c r="O1813" s="157"/>
      <c r="P1813" s="157"/>
      <c r="Q1813" s="153">
        <f ca="1">OFFSET(card_type!$A$1,MATCH(card!B1813,card_type!B:B,0)-1,0)</f>
        <v>3009</v>
      </c>
      <c r="R1813" s="153">
        <v>1</v>
      </c>
      <c r="S1813" s="157">
        <f ca="1">ROUND(IF(R1813=0,0,IF(R1813=1,X1813*$S$1,IF(R1813=2,X1813*$S$1*buff的资质计算!$E$2,IF(R1813=3,X1813*$S$1*buff的资质计算!$E$3,0)))),0)*0</f>
        <v>0</v>
      </c>
      <c r="T1813" s="153">
        <v>3</v>
      </c>
      <c r="U1813" s="153">
        <f ca="1" t="shared" si="306"/>
        <v>13</v>
      </c>
      <c r="V1813" s="153">
        <f ca="1">ROUND((OFFSET(卡牌辅助配置表!$O$1,MATCH(U1813,卡牌辅助配置表!M:M,0)-1,0)+(N1813-1)*OFFSET(卡牌辅助配置表!$P$1,MATCH(U1813,卡牌辅助配置表!M:M,0)-1,0))*M1813,2)</f>
        <v>85.12</v>
      </c>
      <c r="W1813" s="157">
        <f ca="1">ROUND(IF(R1813=0,0,IF(R1813=1,X1813*$W$1,IF(R1813=2,X1813*$W$1*buff的资质计算!$E$2,IF(R1813=3,X1813*$W$1*buff的资质计算!$E$3,0)))),2)</f>
        <v>16.5</v>
      </c>
      <c r="X1813" s="157">
        <f ca="1" t="shared" si="301"/>
        <v>55</v>
      </c>
      <c r="Y1813" s="157" t="e">
        <f ca="1" t="shared" si="309"/>
        <v>#VALUE!</v>
      </c>
      <c r="Z1813" s="304" t="e">
        <f ca="1" t="shared" si="302"/>
        <v>#VALUE!</v>
      </c>
      <c r="AA1813" s="304">
        <f ca="1">OFFSET(卡牌辅助配置表!$AD$1,MATCH(AB1813,卡牌辅助配置表!AB:AB,0)-1,0)</f>
        <v>3554</v>
      </c>
      <c r="AB1813" s="304">
        <f ca="1" t="shared" si="307"/>
        <v>1327</v>
      </c>
      <c r="AC1813" s="153">
        <v>10</v>
      </c>
      <c r="AD1813" s="153">
        <v>1</v>
      </c>
      <c r="AE1813" s="153">
        <v>1</v>
      </c>
      <c r="AF1813" s="153" t="str">
        <f ca="1" t="shared" si="300"/>
        <v>30090011|</v>
      </c>
      <c r="AJ1813" s="205" t="str">
        <f ca="1" t="shared" si="308"/>
        <v>400023|25400|;</v>
      </c>
      <c r="AK1813" s="205">
        <f ca="1">OFFSET([1]item_type!$A$1,MATCH(Q1813,[1]item_type!$G:$G,0)-1,0)</f>
        <v>303009</v>
      </c>
      <c r="AL1813" s="205"/>
      <c r="AM1813" s="205">
        <f ca="1">IF(B1813=B1814,OFFSET(卡牌辅助配置表!$AE$1,MATCH(AB1813,卡牌辅助配置表!AB:AB,0),0),0)</f>
        <v>25400</v>
      </c>
      <c r="AN1813" s="153">
        <f ca="1" t="shared" si="303"/>
        <v>3009028</v>
      </c>
      <c r="AP1813" s="153" t="str">
        <f ca="1">IF(AC1813=0,0,IF(AC1813=12,0,OFFSET(effect!$N$1,MATCH(K1813,effect!M:M,0)-1,0)))</f>
        <v>kpsx_zise</v>
      </c>
    </row>
    <row r="1814" spans="1:42">
      <c r="A1814" s="153">
        <f ca="1" t="shared" si="304"/>
        <v>3009028</v>
      </c>
      <c r="B1814" s="91" t="s">
        <v>502</v>
      </c>
      <c r="C1814" s="186">
        <v>3</v>
      </c>
      <c r="D1814" s="186">
        <v>4</v>
      </c>
      <c r="E1814" s="165" t="s">
        <v>1069</v>
      </c>
      <c r="F1814" s="165" t="str">
        <f>"若自身处在炎息中，伤害增加炎息层数*"&amp;skill!$O$134/100&amp;"%"</f>
        <v>若自身处在炎息中，伤害增加炎息层数*30%</v>
      </c>
      <c r="G1814" s="186">
        <f ca="1">OFFSET(卡牌辅助配置表!$C$1,MATCH(AC1814,卡牌辅助配置表!A:A,0)-1,0)</f>
        <v>3</v>
      </c>
      <c r="H1814" s="186">
        <f ca="1">OFFSET(skill!$Q$1,MATCH(B2456,skill!B:B,0)-1,0)</f>
        <v>0</v>
      </c>
      <c r="I1814" s="186"/>
      <c r="J1814" s="186">
        <f ca="1">OFFSET(card_type!$F$1,MATCH(Q1814,card_type!A:A,0)-1,0)</f>
        <v>1</v>
      </c>
      <c r="K1814" s="243">
        <f ca="1">OFFSET(card_type!$G$1,MATCH(Q1814,card_type!A:A,0)-1,0)</f>
        <v>3</v>
      </c>
      <c r="L1814" s="157">
        <v>3</v>
      </c>
      <c r="M1814" s="157">
        <v>3</v>
      </c>
      <c r="N1814" s="153">
        <f t="shared" si="305"/>
        <v>28</v>
      </c>
      <c r="O1814" s="157"/>
      <c r="P1814" s="157"/>
      <c r="Q1814" s="153">
        <f ca="1">OFFSET(card_type!$A$1,MATCH(card!B1814,card_type!B:B,0)-1,0)</f>
        <v>3009</v>
      </c>
      <c r="R1814" s="153">
        <v>1</v>
      </c>
      <c r="S1814" s="157">
        <f ca="1">ROUND(IF(R1814=0,0,IF(R1814=1,X1814*$S$1,IF(R1814=2,X1814*$S$1*buff的资质计算!$E$2,IF(R1814=3,X1814*$S$1*buff的资质计算!$E$3,0)))),0)*0</f>
        <v>0</v>
      </c>
      <c r="T1814" s="153">
        <v>3</v>
      </c>
      <c r="U1814" s="153">
        <f ca="1" t="shared" si="306"/>
        <v>13</v>
      </c>
      <c r="V1814" s="153">
        <f ca="1">ROUND((OFFSET(卡牌辅助配置表!$O$1,MATCH(U1814,卡牌辅助配置表!M:M,0)-1,0)+(N1814-1)*OFFSET(卡牌辅助配置表!$P$1,MATCH(U1814,卡牌辅助配置表!M:M,0)-1,0))*M1814,2)</f>
        <v>86.64</v>
      </c>
      <c r="W1814" s="157">
        <f ca="1">ROUND(IF(R1814=0,0,IF(R1814=1,X1814*$W$1,IF(R1814=2,X1814*$W$1*buff的资质计算!$E$2,IF(R1814=3,X1814*$W$1*buff的资质计算!$E$3,0)))),2)</f>
        <v>16.65</v>
      </c>
      <c r="X1814" s="157">
        <f ca="1" t="shared" si="301"/>
        <v>55.5</v>
      </c>
      <c r="Y1814" s="157">
        <f ca="1" t="shared" si="309"/>
        <v>55.5</v>
      </c>
      <c r="Z1814" s="304">
        <f ca="1" t="shared" si="302"/>
        <v>18.5</v>
      </c>
      <c r="AA1814" s="304">
        <f ca="1">OFFSET(卡牌辅助配置表!$AD$1,MATCH(AB1814,卡牌辅助配置表!AB:AB,0)-1,0)</f>
        <v>3736</v>
      </c>
      <c r="AB1814" s="304">
        <f ca="1" t="shared" si="307"/>
        <v>1328</v>
      </c>
      <c r="AC1814" s="153">
        <v>10</v>
      </c>
      <c r="AD1814" s="153">
        <v>1</v>
      </c>
      <c r="AE1814" s="153">
        <v>1</v>
      </c>
      <c r="AF1814" s="153" t="str">
        <f ca="1" t="shared" si="300"/>
        <v>30090011|</v>
      </c>
      <c r="AJ1814" s="205" t="str">
        <f ca="1" t="shared" si="308"/>
        <v>400023|27000|;</v>
      </c>
      <c r="AK1814" s="205">
        <f ca="1">OFFSET([1]item_type!$A$1,MATCH(Q1814,[1]item_type!$G:$G,0)-1,0)</f>
        <v>303009</v>
      </c>
      <c r="AL1814" s="205"/>
      <c r="AM1814" s="205">
        <f ca="1">IF(B1814=B1815,OFFSET(卡牌辅助配置表!$AE$1,MATCH(AB1814,卡牌辅助配置表!AB:AB,0),0),0)</f>
        <v>27000</v>
      </c>
      <c r="AN1814" s="153">
        <f ca="1" t="shared" si="303"/>
        <v>3009029</v>
      </c>
      <c r="AP1814" s="153" t="str">
        <f ca="1">IF(AC1814=0,0,IF(AC1814=12,0,OFFSET(effect!$N$1,MATCH(K1814,effect!M:M,0)-1,0)))</f>
        <v>kpsx_zise</v>
      </c>
    </row>
    <row r="1815" spans="1:42">
      <c r="A1815" s="153">
        <f ca="1" t="shared" si="304"/>
        <v>3009029</v>
      </c>
      <c r="B1815" s="91" t="s">
        <v>502</v>
      </c>
      <c r="C1815" s="186">
        <v>3</v>
      </c>
      <c r="D1815" s="186">
        <v>4</v>
      </c>
      <c r="E1815" s="165" t="s">
        <v>1069</v>
      </c>
      <c r="F1815" s="165" t="str">
        <f>"若自身处在炎息中，伤害增加炎息层数*"&amp;skill!$O$134/100&amp;"%"</f>
        <v>若自身处在炎息中，伤害增加炎息层数*30%</v>
      </c>
      <c r="G1815" s="186">
        <f ca="1">OFFSET(卡牌辅助配置表!$C$1,MATCH(AC1815,卡牌辅助配置表!A:A,0)-1,0)</f>
        <v>3</v>
      </c>
      <c r="H1815" s="186">
        <f ca="1">OFFSET(skill!$Q$1,MATCH(B2457,skill!B:B,0)-1,0)</f>
        <v>0</v>
      </c>
      <c r="I1815" s="186"/>
      <c r="J1815" s="186">
        <f ca="1">OFFSET(card_type!$F$1,MATCH(Q1815,card_type!A:A,0)-1,0)</f>
        <v>1</v>
      </c>
      <c r="K1815" s="243">
        <f ca="1">OFFSET(card_type!$G$1,MATCH(Q1815,card_type!A:A,0)-1,0)</f>
        <v>3</v>
      </c>
      <c r="L1815" s="157">
        <v>3</v>
      </c>
      <c r="M1815" s="157">
        <v>3</v>
      </c>
      <c r="N1815" s="153">
        <f t="shared" si="305"/>
        <v>29</v>
      </c>
      <c r="O1815" s="157"/>
      <c r="P1815" s="157"/>
      <c r="Q1815" s="153">
        <f ca="1">OFFSET(card_type!$A$1,MATCH(card!B1815,card_type!B:B,0)-1,0)</f>
        <v>3009</v>
      </c>
      <c r="R1815" s="153">
        <v>1</v>
      </c>
      <c r="S1815" s="157">
        <f ca="1">ROUND(IF(R1815=0,0,IF(R1815=1,X1815*$S$1,IF(R1815=2,X1815*$S$1*buff的资质计算!$E$2,IF(R1815=3,X1815*$S$1*buff的资质计算!$E$3,0)))),0)*0</f>
        <v>0</v>
      </c>
      <c r="T1815" s="153">
        <v>3</v>
      </c>
      <c r="U1815" s="153">
        <f ca="1" t="shared" si="306"/>
        <v>13</v>
      </c>
      <c r="V1815" s="153">
        <f ca="1">ROUND((OFFSET(卡牌辅助配置表!$O$1,MATCH(U1815,卡牌辅助配置表!M:M,0)-1,0)+(N1815-1)*OFFSET(卡牌辅助配置表!$P$1,MATCH(U1815,卡牌辅助配置表!M:M,0)-1,0))*M1815,2)</f>
        <v>88.16</v>
      </c>
      <c r="W1815" s="157">
        <f ca="1">ROUND(IF(R1815=0,0,IF(R1815=1,X1815*$W$1,IF(R1815=2,X1815*$W$1*buff的资质计算!$E$2,IF(R1815=3,X1815*$W$1*buff的资质计算!$E$3,0)))),2)</f>
        <v>16.8</v>
      </c>
      <c r="X1815" s="157">
        <f ca="1" t="shared" si="301"/>
        <v>56</v>
      </c>
      <c r="Y1815" s="157">
        <f ca="1" t="shared" si="309"/>
        <v>56</v>
      </c>
      <c r="Z1815" s="304">
        <f ca="1" t="shared" si="302"/>
        <v>18.6666666666667</v>
      </c>
      <c r="AA1815" s="304">
        <f ca="1">OFFSET(卡牌辅助配置表!$AD$1,MATCH(AB1815,卡牌辅助配置表!AB:AB,0)-1,0)</f>
        <v>3918</v>
      </c>
      <c r="AB1815" s="304">
        <f ca="1" t="shared" si="307"/>
        <v>1329</v>
      </c>
      <c r="AC1815" s="153">
        <v>10</v>
      </c>
      <c r="AD1815" s="153">
        <v>1</v>
      </c>
      <c r="AE1815" s="153">
        <v>1</v>
      </c>
      <c r="AF1815" s="153" t="str">
        <f ca="1" t="shared" si="300"/>
        <v>30090011|</v>
      </c>
      <c r="AJ1815" s="205" t="str">
        <f ca="1" t="shared" si="308"/>
        <v>303009|30|;400023|28600|;</v>
      </c>
      <c r="AK1815" s="205">
        <f ca="1">OFFSET([1]item_type!$A$1,MATCH(Q1815,[1]item_type!$G:$G,0)-1,0)</f>
        <v>303009</v>
      </c>
      <c r="AL1815" s="205">
        <v>30</v>
      </c>
      <c r="AM1815" s="205">
        <f ca="1">IF(B1815=B1816,OFFSET(卡牌辅助配置表!$AE$1,MATCH(AB1815,卡牌辅助配置表!AB:AB,0),0),0)</f>
        <v>28600</v>
      </c>
      <c r="AN1815" s="153">
        <f ca="1" t="shared" si="303"/>
        <v>3009030</v>
      </c>
      <c r="AP1815" s="153" t="str">
        <f ca="1">IF(AC1815=0,0,IF(AC1815=12,0,OFFSET(effect!$N$1,MATCH(K1815,effect!M:M,0)-1,0)))</f>
        <v>kpsx_zise</v>
      </c>
    </row>
    <row r="1816" spans="1:42">
      <c r="A1816" s="153">
        <f ca="1" t="shared" si="304"/>
        <v>3009030</v>
      </c>
      <c r="B1816" s="91" t="s">
        <v>502</v>
      </c>
      <c r="C1816" s="186">
        <v>3</v>
      </c>
      <c r="D1816" s="186">
        <v>4</v>
      </c>
      <c r="E1816" s="165" t="s">
        <v>1069</v>
      </c>
      <c r="F1816" s="165" t="str">
        <f>"若自身处在炎息中，伤害增加炎息层数*"&amp;skill!$O$134/100&amp;"%"</f>
        <v>若自身处在炎息中，伤害增加炎息层数*30%</v>
      </c>
      <c r="G1816" s="186">
        <f ca="1">OFFSET(卡牌辅助配置表!$C$1,MATCH(AC1816,卡牌辅助配置表!A:A,0)-1,0)</f>
        <v>3</v>
      </c>
      <c r="H1816" s="186">
        <f ca="1">OFFSET(skill!$Q$1,MATCH(B2458,skill!B:B,0)-1,0)</f>
        <v>0</v>
      </c>
      <c r="I1816" s="186"/>
      <c r="J1816" s="186">
        <f ca="1">OFFSET(card_type!$F$1,MATCH(Q1816,card_type!A:A,0)-1,0)</f>
        <v>1</v>
      </c>
      <c r="K1816" s="243">
        <f ca="1">OFFSET(card_type!$G$1,MATCH(Q1816,card_type!A:A,0)-1,0)</f>
        <v>3</v>
      </c>
      <c r="L1816" s="157">
        <v>3</v>
      </c>
      <c r="M1816" s="157">
        <v>3</v>
      </c>
      <c r="N1816" s="153">
        <f t="shared" si="305"/>
        <v>30</v>
      </c>
      <c r="O1816" s="157"/>
      <c r="P1816" s="157"/>
      <c r="Q1816" s="153">
        <f ca="1">OFFSET(card_type!$A$1,MATCH(card!B1816,card_type!B:B,0)-1,0)</f>
        <v>3009</v>
      </c>
      <c r="R1816" s="153">
        <v>1</v>
      </c>
      <c r="S1816" s="157">
        <f ca="1">ROUND(IF(R1816=0,0,IF(R1816=1,X1816*$S$1,IF(R1816=2,X1816*$S$1*buff的资质计算!$E$2,IF(R1816=3,X1816*$S$1*buff的资质计算!$E$3,0)))),0)*0</f>
        <v>0</v>
      </c>
      <c r="T1816" s="153">
        <v>3</v>
      </c>
      <c r="U1816" s="153">
        <f ca="1" t="shared" si="306"/>
        <v>13</v>
      </c>
      <c r="V1816" s="153">
        <f ca="1">ROUND((OFFSET(卡牌辅助配置表!$O$1,MATCH(U1816,卡牌辅助配置表!M:M,0)-1,0)+(N1816-1)*OFFSET(卡牌辅助配置表!$P$1,MATCH(U1816,卡牌辅助配置表!M:M,0)-1,0))*M1816,2)</f>
        <v>89.68</v>
      </c>
      <c r="W1816" s="157">
        <f ca="1">ROUND(IF(R1816=0,0,IF(R1816=1,X1816*$W$1,IF(R1816=2,X1816*$W$1*buff的资质计算!$E$2,IF(R1816=3,X1816*$W$1*buff的资质计算!$E$3,0)))),2)</f>
        <v>16.95</v>
      </c>
      <c r="X1816" s="157">
        <f ca="1" t="shared" si="301"/>
        <v>56.5</v>
      </c>
      <c r="Y1816" s="157">
        <f ca="1" t="shared" si="309"/>
        <v>56.5</v>
      </c>
      <c r="Z1816" s="304">
        <f ca="1" t="shared" si="302"/>
        <v>18.8333333333333</v>
      </c>
      <c r="AA1816" s="304">
        <f ca="1">OFFSET(卡牌辅助配置表!$AD$1,MATCH(AB1816,卡牌辅助配置表!AB:AB,0)-1,0)</f>
        <v>4100</v>
      </c>
      <c r="AB1816" s="304">
        <f ca="1" t="shared" si="307"/>
        <v>1330</v>
      </c>
      <c r="AC1816" s="153">
        <v>10</v>
      </c>
      <c r="AD1816" s="153">
        <v>1</v>
      </c>
      <c r="AE1816" s="153">
        <v>1</v>
      </c>
      <c r="AF1816" s="153" t="str">
        <f ca="1" t="shared" si="300"/>
        <v>30090011|</v>
      </c>
      <c r="AJ1816" s="205">
        <f ca="1" t="shared" si="308"/>
        <v>0</v>
      </c>
      <c r="AK1816" s="205">
        <f ca="1">OFFSET([1]item_type!$A$1,MATCH(Q1816,[1]item_type!$G:$G,0)-1,0)</f>
        <v>303009</v>
      </c>
      <c r="AL1816" s="205"/>
      <c r="AM1816" s="205">
        <f ca="1">IF(B1816=B1817,OFFSET(卡牌辅助配置表!$AE$1,MATCH(AB1816,卡牌辅助配置表!AB:AB,0),0),0)</f>
        <v>0</v>
      </c>
      <c r="AN1816" s="153">
        <f ca="1" t="shared" si="303"/>
        <v>0</v>
      </c>
      <c r="AP1816" s="153" t="str">
        <f ca="1">IF(AC1816=0,0,IF(AC1816=12,0,OFFSET(effect!$N$1,MATCH(K1816,effect!M:M,0)-1,0)))</f>
        <v>kpsx_zise</v>
      </c>
    </row>
    <row r="1817" spans="1:42">
      <c r="A1817" s="153">
        <f ca="1" t="shared" si="304"/>
        <v>3010001</v>
      </c>
      <c r="B1817" s="153" t="s">
        <v>506</v>
      </c>
      <c r="C1817" s="186">
        <v>3</v>
      </c>
      <c r="D1817" s="186">
        <v>4</v>
      </c>
      <c r="E1817" s="165" t="s">
        <v>1069</v>
      </c>
      <c r="F1817" s="186" t="s">
        <v>876</v>
      </c>
      <c r="G1817" s="186">
        <f ca="1">OFFSET(卡牌辅助配置表!$C$1,MATCH(AC1817,卡牌辅助配置表!A:A,0)-1,0)</f>
        <v>0</v>
      </c>
      <c r="H1817" s="186">
        <f ca="1" t="shared" ref="H1817:H1846" si="310">IF(R1817=0,Y1817,0)</f>
        <v>0</v>
      </c>
      <c r="I1817" s="186"/>
      <c r="J1817" s="186">
        <f ca="1">OFFSET(card_type!$F$1,MATCH(Q1817,card_type!A:A,0)-1,0)</f>
        <v>1</v>
      </c>
      <c r="K1817" s="243">
        <f ca="1">OFFSET(card_type!$G$1,MATCH(Q1817,card_type!A:A,0)-1,0)</f>
        <v>2</v>
      </c>
      <c r="L1817" s="157">
        <v>1</v>
      </c>
      <c r="M1817" s="157">
        <v>1</v>
      </c>
      <c r="N1817" s="153">
        <f t="shared" si="305"/>
        <v>1</v>
      </c>
      <c r="O1817" s="157"/>
      <c r="P1817" s="157"/>
      <c r="Q1817" s="153">
        <f ca="1">OFFSET(card_type!$A$1,MATCH(card!B1817,card_type!B:B,0)-1,0)</f>
        <v>3010</v>
      </c>
      <c r="R1817" s="153">
        <v>1</v>
      </c>
      <c r="S1817" s="157">
        <f ca="1">ROUND(IF(R1817=0,0,IF(R1817=1,X1817*$S$1,IF(R1817=2,X1817*$S$1*buff的资质计算!$E$2,IF(R1817=3,X1817*$S$1*buff的资质计算!$E$3,0)))),0)*0</f>
        <v>0</v>
      </c>
      <c r="T1817" s="153">
        <v>2</v>
      </c>
      <c r="U1817" s="153">
        <f ca="1" t="shared" si="306"/>
        <v>12</v>
      </c>
      <c r="V1817" s="153">
        <f ca="1">ROUND((OFFSET(卡牌辅助配置表!$O$1,MATCH(U1817,卡牌辅助配置表!M:M,0)-1,0)+(N1817-1)*OFFSET(卡牌辅助配置表!$P$1,MATCH(U1817,卡牌辅助配置表!M:M,0)-1,0))*M1817,2)</f>
        <v>9.5</v>
      </c>
      <c r="W1817" s="157">
        <f ca="1">ROUND(IF(R1817=0,0,IF(R1817=1,X1817*$W$1,IF(R1817=2,X1817*$W$1*buff的资质计算!$E$2,IF(R1817=3,X1817*$W$1*buff的资质计算!$E$3,0)))),2)</f>
        <v>2.7</v>
      </c>
      <c r="X1817" s="157">
        <f ca="1" t="shared" si="301"/>
        <v>9</v>
      </c>
      <c r="Y1817" s="157">
        <f ca="1" t="shared" si="309"/>
        <v>9</v>
      </c>
      <c r="Z1817" s="304">
        <f ca="1" t="shared" si="302"/>
        <v>9</v>
      </c>
      <c r="AA1817" s="304">
        <f ca="1">OFFSET(卡牌辅助配置表!$AD$1,MATCH(AB1817,卡牌辅助配置表!AB:AB,0)-1,0)</f>
        <v>36</v>
      </c>
      <c r="AB1817" s="304">
        <f ca="1" t="shared" si="307"/>
        <v>1201</v>
      </c>
      <c r="AC1817" s="153">
        <v>12</v>
      </c>
      <c r="AF1817" s="153" t="str">
        <f ca="1" t="shared" ref="AF1817:AF1876" si="311">((Q1817*1000+1)*10+1)&amp;$AF$1</f>
        <v>30100011|</v>
      </c>
      <c r="AJ1817" s="205" t="str">
        <f ca="1" t="shared" si="308"/>
        <v>400023|1050|;</v>
      </c>
      <c r="AK1817" s="205">
        <f ca="1">OFFSET([1]item_type!$A$1,MATCH(Q1817,[1]item_type!$G:$G,0)-1,0)</f>
        <v>303010</v>
      </c>
      <c r="AL1817" s="205"/>
      <c r="AM1817" s="205">
        <f ca="1">IF(B1817=B1818,OFFSET(卡牌辅助配置表!$AE$1,MATCH(AB1817,卡牌辅助配置表!AB:AB,0),0),0)</f>
        <v>1050</v>
      </c>
      <c r="AN1817" s="153">
        <f ca="1" t="shared" si="303"/>
        <v>3010002</v>
      </c>
      <c r="AP1817" s="153">
        <f ca="1">IF(AC1817=0,0,IF(AC1817=12,0,OFFSET(effect!$N$1,MATCH(K1817,effect!M:M,0)-1,0)))</f>
        <v>0</v>
      </c>
    </row>
    <row r="1818" spans="1:42">
      <c r="A1818" s="153">
        <f ca="1" t="shared" si="304"/>
        <v>3010002</v>
      </c>
      <c r="B1818" s="153" t="s">
        <v>506</v>
      </c>
      <c r="C1818" s="186">
        <v>3</v>
      </c>
      <c r="D1818" s="186">
        <v>4</v>
      </c>
      <c r="E1818" s="165" t="s">
        <v>1069</v>
      </c>
      <c r="F1818" s="186" t="s">
        <v>876</v>
      </c>
      <c r="G1818" s="186">
        <f ca="1">OFFSET(卡牌辅助配置表!$C$1,MATCH(AC1818,卡牌辅助配置表!A:A,0)-1,0)</f>
        <v>0</v>
      </c>
      <c r="H1818" s="186">
        <f ca="1" t="shared" si="310"/>
        <v>0</v>
      </c>
      <c r="I1818" s="186"/>
      <c r="J1818" s="186">
        <f ca="1">OFFSET(card_type!$F$1,MATCH(Q1818,card_type!A:A,0)-1,0)</f>
        <v>1</v>
      </c>
      <c r="K1818" s="243">
        <f ca="1">OFFSET(card_type!$G$1,MATCH(Q1818,card_type!A:A,0)-1,0)</f>
        <v>2</v>
      </c>
      <c r="L1818" s="157">
        <v>1</v>
      </c>
      <c r="M1818" s="157">
        <v>1</v>
      </c>
      <c r="N1818" s="153">
        <f t="shared" si="305"/>
        <v>2</v>
      </c>
      <c r="O1818" s="157"/>
      <c r="P1818" s="157"/>
      <c r="Q1818" s="153">
        <f ca="1">OFFSET(card_type!$A$1,MATCH(card!B1818,card_type!B:B,0)-1,0)</f>
        <v>3010</v>
      </c>
      <c r="R1818" s="153">
        <v>1</v>
      </c>
      <c r="S1818" s="157">
        <f ca="1">ROUND(IF(R1818=0,0,IF(R1818=1,X1818*$S$1,IF(R1818=2,X1818*$S$1*buff的资质计算!$E$2,IF(R1818=3,X1818*$S$1*buff的资质计算!$E$3,0)))),0)*0</f>
        <v>0</v>
      </c>
      <c r="T1818" s="153">
        <v>2</v>
      </c>
      <c r="U1818" s="153">
        <f ca="1" t="shared" si="306"/>
        <v>12</v>
      </c>
      <c r="V1818" s="153">
        <f ca="1">ROUND((OFFSET(卡牌辅助配置表!$O$1,MATCH(U1818,卡牌辅助配置表!M:M,0)-1,0)+(N1818-1)*OFFSET(卡牌辅助配置表!$P$1,MATCH(U1818,卡牌辅助配置表!M:M,0)-1,0))*M1818,2)</f>
        <v>9.82</v>
      </c>
      <c r="W1818" s="157">
        <f ca="1">ROUND(IF(R1818=0,0,IF(R1818=1,X1818*$W$1,IF(R1818=2,X1818*$W$1*buff的资质计算!$E$2,IF(R1818=3,X1818*$W$1*buff的资质计算!$E$3,0)))),2)</f>
        <v>2.85</v>
      </c>
      <c r="X1818" s="157">
        <f ca="1" t="shared" si="301"/>
        <v>9.5</v>
      </c>
      <c r="Y1818" s="157">
        <f ca="1" t="shared" si="309"/>
        <v>9.5</v>
      </c>
      <c r="Z1818" s="304">
        <f ca="1" t="shared" si="302"/>
        <v>9.5</v>
      </c>
      <c r="AA1818" s="304">
        <f ca="1">OFFSET(卡牌辅助配置表!$AD$1,MATCH(AB1818,卡牌辅助配置表!AB:AB,0)-1,0)</f>
        <v>72</v>
      </c>
      <c r="AB1818" s="304">
        <f ca="1" t="shared" si="307"/>
        <v>1202</v>
      </c>
      <c r="AC1818" s="153">
        <v>12</v>
      </c>
      <c r="AF1818" s="153" t="str">
        <f ca="1" t="shared" si="311"/>
        <v>30100011|</v>
      </c>
      <c r="AJ1818" s="205" t="str">
        <f ca="1" t="shared" si="308"/>
        <v>400023|1350|;</v>
      </c>
      <c r="AK1818" s="205">
        <f ca="1">OFFSET([1]item_type!$A$1,MATCH(Q1818,[1]item_type!$G:$G,0)-1,0)</f>
        <v>303010</v>
      </c>
      <c r="AL1818" s="205"/>
      <c r="AM1818" s="205">
        <f ca="1">IF(B1818=B1819,OFFSET(卡牌辅助配置表!$AE$1,MATCH(AB1818,卡牌辅助配置表!AB:AB,0),0),0)</f>
        <v>1350</v>
      </c>
      <c r="AN1818" s="153">
        <f ca="1" t="shared" si="303"/>
        <v>3010003</v>
      </c>
      <c r="AP1818" s="153">
        <f ca="1">IF(AC1818=0,0,IF(AC1818=12,0,OFFSET(effect!$N$1,MATCH(K1818,effect!M:M,0)-1,0)))</f>
        <v>0</v>
      </c>
    </row>
    <row r="1819" spans="1:42">
      <c r="A1819" s="153">
        <f ca="1" t="shared" si="304"/>
        <v>3010003</v>
      </c>
      <c r="B1819" s="153" t="s">
        <v>506</v>
      </c>
      <c r="C1819" s="186">
        <v>3</v>
      </c>
      <c r="D1819" s="186">
        <v>4</v>
      </c>
      <c r="E1819" s="165" t="s">
        <v>1069</v>
      </c>
      <c r="F1819" s="186" t="s">
        <v>876</v>
      </c>
      <c r="G1819" s="186">
        <f ca="1">OFFSET(卡牌辅助配置表!$C$1,MATCH(AC1819,卡牌辅助配置表!A:A,0)-1,0)</f>
        <v>0</v>
      </c>
      <c r="H1819" s="186">
        <f ca="1" t="shared" si="310"/>
        <v>0</v>
      </c>
      <c r="I1819" s="186"/>
      <c r="J1819" s="186">
        <f ca="1">OFFSET(card_type!$F$1,MATCH(Q1819,card_type!A:A,0)-1,0)</f>
        <v>1</v>
      </c>
      <c r="K1819" s="243">
        <f ca="1">OFFSET(card_type!$G$1,MATCH(Q1819,card_type!A:A,0)-1,0)</f>
        <v>2</v>
      </c>
      <c r="L1819" s="157">
        <v>1</v>
      </c>
      <c r="M1819" s="157">
        <v>1</v>
      </c>
      <c r="N1819" s="153">
        <f t="shared" si="305"/>
        <v>3</v>
      </c>
      <c r="O1819" s="157"/>
      <c r="P1819" s="157"/>
      <c r="Q1819" s="153">
        <f ca="1">OFFSET(card_type!$A$1,MATCH(card!B1819,card_type!B:B,0)-1,0)</f>
        <v>3010</v>
      </c>
      <c r="R1819" s="153">
        <v>1</v>
      </c>
      <c r="S1819" s="157">
        <f ca="1">ROUND(IF(R1819=0,0,IF(R1819=1,X1819*$S$1,IF(R1819=2,X1819*$S$1*buff的资质计算!$E$2,IF(R1819=3,X1819*$S$1*buff的资质计算!$E$3,0)))),0)*0</f>
        <v>0</v>
      </c>
      <c r="T1819" s="153">
        <v>2</v>
      </c>
      <c r="U1819" s="153">
        <f ca="1" t="shared" si="306"/>
        <v>12</v>
      </c>
      <c r="V1819" s="153">
        <f ca="1">ROUND((OFFSET(卡牌辅助配置表!$O$1,MATCH(U1819,卡牌辅助配置表!M:M,0)-1,0)+(N1819-1)*OFFSET(卡牌辅助配置表!$P$1,MATCH(U1819,卡牌辅助配置表!M:M,0)-1,0))*M1819,2)</f>
        <v>10.13</v>
      </c>
      <c r="W1819" s="157">
        <f ca="1">ROUND(IF(R1819=0,0,IF(R1819=1,X1819*$W$1,IF(R1819=2,X1819*$W$1*buff的资质计算!$E$2,IF(R1819=3,X1819*$W$1*buff的资质计算!$E$3,0)))),2)</f>
        <v>3</v>
      </c>
      <c r="X1819" s="157">
        <f ca="1" t="shared" si="301"/>
        <v>10</v>
      </c>
      <c r="Y1819" s="157">
        <f ca="1" t="shared" si="309"/>
        <v>10</v>
      </c>
      <c r="Z1819" s="304">
        <f ca="1" t="shared" si="302"/>
        <v>10</v>
      </c>
      <c r="AA1819" s="304">
        <f ca="1">OFFSET(卡牌辅助配置表!$AD$1,MATCH(AB1819,卡牌辅助配置表!AB:AB,0)-1,0)</f>
        <v>108</v>
      </c>
      <c r="AB1819" s="304">
        <f ca="1" t="shared" si="307"/>
        <v>1203</v>
      </c>
      <c r="AC1819" s="153">
        <v>12</v>
      </c>
      <c r="AF1819" s="153" t="str">
        <f ca="1" t="shared" si="311"/>
        <v>30100011|</v>
      </c>
      <c r="AJ1819" s="205" t="str">
        <f ca="1" t="shared" si="308"/>
        <v>400023|1650|;</v>
      </c>
      <c r="AK1819" s="205">
        <f ca="1">OFFSET([1]item_type!$A$1,MATCH(Q1819,[1]item_type!$G:$G,0)-1,0)</f>
        <v>303010</v>
      </c>
      <c r="AL1819" s="205"/>
      <c r="AM1819" s="205">
        <f ca="1">IF(B1819=B1820,OFFSET(卡牌辅助配置表!$AE$1,MATCH(AB1819,卡牌辅助配置表!AB:AB,0),0),0)</f>
        <v>1650</v>
      </c>
      <c r="AN1819" s="153">
        <f ca="1" t="shared" si="303"/>
        <v>3010004</v>
      </c>
      <c r="AP1819" s="153">
        <f ca="1">IF(AC1819=0,0,IF(AC1819=12,0,OFFSET(effect!$N$1,MATCH(K1819,effect!M:M,0)-1,0)))</f>
        <v>0</v>
      </c>
    </row>
    <row r="1820" spans="1:42">
      <c r="A1820" s="153">
        <f ca="1" t="shared" si="304"/>
        <v>3010004</v>
      </c>
      <c r="B1820" s="153" t="s">
        <v>506</v>
      </c>
      <c r="C1820" s="186">
        <v>3</v>
      </c>
      <c r="D1820" s="186">
        <v>4</v>
      </c>
      <c r="E1820" s="165" t="s">
        <v>1069</v>
      </c>
      <c r="F1820" s="186" t="s">
        <v>876</v>
      </c>
      <c r="G1820" s="186">
        <f ca="1">OFFSET(卡牌辅助配置表!$C$1,MATCH(AC1820,卡牌辅助配置表!A:A,0)-1,0)</f>
        <v>0</v>
      </c>
      <c r="H1820" s="186">
        <f ca="1" t="shared" si="310"/>
        <v>0</v>
      </c>
      <c r="I1820" s="186"/>
      <c r="J1820" s="186">
        <f ca="1">OFFSET(card_type!$F$1,MATCH(Q1820,card_type!A:A,0)-1,0)</f>
        <v>1</v>
      </c>
      <c r="K1820" s="243">
        <f ca="1">OFFSET(card_type!$G$1,MATCH(Q1820,card_type!A:A,0)-1,0)</f>
        <v>2</v>
      </c>
      <c r="L1820" s="157">
        <v>1</v>
      </c>
      <c r="M1820" s="157">
        <v>1</v>
      </c>
      <c r="N1820" s="153">
        <f t="shared" si="305"/>
        <v>4</v>
      </c>
      <c r="O1820" s="157"/>
      <c r="P1820" s="157"/>
      <c r="Q1820" s="153">
        <f ca="1">OFFSET(card_type!$A$1,MATCH(card!B1820,card_type!B:B,0)-1,0)</f>
        <v>3010</v>
      </c>
      <c r="R1820" s="153">
        <v>1</v>
      </c>
      <c r="S1820" s="157">
        <f ca="1">ROUND(IF(R1820=0,0,IF(R1820=1,X1820*$S$1,IF(R1820=2,X1820*$S$1*buff的资质计算!$E$2,IF(R1820=3,X1820*$S$1*buff的资质计算!$E$3,0)))),0)*0</f>
        <v>0</v>
      </c>
      <c r="T1820" s="153">
        <v>2</v>
      </c>
      <c r="U1820" s="153">
        <f ca="1" t="shared" si="306"/>
        <v>12</v>
      </c>
      <c r="V1820" s="153">
        <f ca="1">ROUND((OFFSET(卡牌辅助配置表!$O$1,MATCH(U1820,卡牌辅助配置表!M:M,0)-1,0)+(N1820-1)*OFFSET(卡牌辅助配置表!$P$1,MATCH(U1820,卡牌辅助配置表!M:M,0)-1,0))*M1820,2)</f>
        <v>10.45</v>
      </c>
      <c r="W1820" s="157">
        <f ca="1">ROUND(IF(R1820=0,0,IF(R1820=1,X1820*$W$1,IF(R1820=2,X1820*$W$1*buff的资质计算!$E$2,IF(R1820=3,X1820*$W$1*buff的资质计算!$E$3,0)))),2)</f>
        <v>3.15</v>
      </c>
      <c r="X1820" s="157">
        <f ca="1" t="shared" si="301"/>
        <v>10.5</v>
      </c>
      <c r="Y1820" s="157">
        <f ca="1" t="shared" si="309"/>
        <v>10.5</v>
      </c>
      <c r="Z1820" s="304">
        <f ca="1" t="shared" si="302"/>
        <v>10.5</v>
      </c>
      <c r="AA1820" s="304">
        <f ca="1">OFFSET(卡牌辅助配置表!$AD$1,MATCH(AB1820,卡牌辅助配置表!AB:AB,0)-1,0)</f>
        <v>144</v>
      </c>
      <c r="AB1820" s="304">
        <f ca="1" t="shared" si="307"/>
        <v>1204</v>
      </c>
      <c r="AC1820" s="153">
        <v>12</v>
      </c>
      <c r="AF1820" s="153" t="str">
        <f ca="1" t="shared" si="311"/>
        <v>30100011|</v>
      </c>
      <c r="AJ1820" s="205" t="str">
        <f ca="1" t="shared" si="308"/>
        <v>400023|1950|;</v>
      </c>
      <c r="AK1820" s="205">
        <f ca="1">OFFSET([1]item_type!$A$1,MATCH(Q1820,[1]item_type!$G:$G,0)-1,0)</f>
        <v>303010</v>
      </c>
      <c r="AL1820" s="205"/>
      <c r="AM1820" s="205">
        <f ca="1">IF(B1820=B1821,OFFSET(卡牌辅助配置表!$AE$1,MATCH(AB1820,卡牌辅助配置表!AB:AB,0),0),0)</f>
        <v>1950</v>
      </c>
      <c r="AN1820" s="153">
        <f ca="1" t="shared" si="303"/>
        <v>3010005</v>
      </c>
      <c r="AP1820" s="153">
        <f ca="1">IF(AC1820=0,0,IF(AC1820=12,0,OFFSET(effect!$N$1,MATCH(K1820,effect!M:M,0)-1,0)))</f>
        <v>0</v>
      </c>
    </row>
    <row r="1821" spans="1:42">
      <c r="A1821" s="153">
        <f ca="1" t="shared" si="304"/>
        <v>3010005</v>
      </c>
      <c r="B1821" s="153" t="s">
        <v>506</v>
      </c>
      <c r="C1821" s="186">
        <v>3</v>
      </c>
      <c r="D1821" s="186">
        <v>4</v>
      </c>
      <c r="E1821" s="165" t="s">
        <v>1069</v>
      </c>
      <c r="F1821" s="186" t="s">
        <v>876</v>
      </c>
      <c r="G1821" s="186">
        <f ca="1">OFFSET(卡牌辅助配置表!$C$1,MATCH(AC1821,卡牌辅助配置表!A:A,0)-1,0)</f>
        <v>0</v>
      </c>
      <c r="H1821" s="186">
        <f ca="1" t="shared" si="310"/>
        <v>0</v>
      </c>
      <c r="I1821" s="186"/>
      <c r="J1821" s="186">
        <f ca="1">OFFSET(card_type!$F$1,MATCH(Q1821,card_type!A:A,0)-1,0)</f>
        <v>1</v>
      </c>
      <c r="K1821" s="243">
        <f ca="1">OFFSET(card_type!$G$1,MATCH(Q1821,card_type!A:A,0)-1,0)</f>
        <v>2</v>
      </c>
      <c r="L1821" s="157">
        <v>1</v>
      </c>
      <c r="M1821" s="157">
        <v>1</v>
      </c>
      <c r="N1821" s="153">
        <f t="shared" si="305"/>
        <v>5</v>
      </c>
      <c r="O1821" s="157"/>
      <c r="P1821" s="157"/>
      <c r="Q1821" s="153">
        <f ca="1">OFFSET(card_type!$A$1,MATCH(card!B1821,card_type!B:B,0)-1,0)</f>
        <v>3010</v>
      </c>
      <c r="R1821" s="153">
        <v>1</v>
      </c>
      <c r="S1821" s="157">
        <f ca="1">ROUND(IF(R1821=0,0,IF(R1821=1,X1821*$S$1,IF(R1821=2,X1821*$S$1*buff的资质计算!$E$2,IF(R1821=3,X1821*$S$1*buff的资质计算!$E$3,0)))),0)*0</f>
        <v>0</v>
      </c>
      <c r="T1821" s="153">
        <v>2</v>
      </c>
      <c r="U1821" s="153">
        <f ca="1" t="shared" si="306"/>
        <v>12</v>
      </c>
      <c r="V1821" s="153">
        <f ca="1">ROUND((OFFSET(卡牌辅助配置表!$O$1,MATCH(U1821,卡牌辅助配置表!M:M,0)-1,0)+(N1821-1)*OFFSET(卡牌辅助配置表!$P$1,MATCH(U1821,卡牌辅助配置表!M:M,0)-1,0))*M1821,2)</f>
        <v>10.77</v>
      </c>
      <c r="W1821" s="157">
        <f ca="1">ROUND(IF(R1821=0,0,IF(R1821=1,X1821*$W$1,IF(R1821=2,X1821*$W$1*buff的资质计算!$E$2,IF(R1821=3,X1821*$W$1*buff的资质计算!$E$3,0)))),2)</f>
        <v>3.3</v>
      </c>
      <c r="X1821" s="157">
        <f ca="1" t="shared" si="301"/>
        <v>11</v>
      </c>
      <c r="Y1821" s="157">
        <f ca="1" t="shared" si="309"/>
        <v>11</v>
      </c>
      <c r="Z1821" s="304">
        <f ca="1" t="shared" si="302"/>
        <v>11</v>
      </c>
      <c r="AA1821" s="304">
        <f ca="1">OFFSET(卡牌辅助配置表!$AD$1,MATCH(AB1821,卡牌辅助配置表!AB:AB,0)-1,0)</f>
        <v>180</v>
      </c>
      <c r="AB1821" s="304">
        <f ca="1" t="shared" si="307"/>
        <v>1205</v>
      </c>
      <c r="AC1821" s="153">
        <v>12</v>
      </c>
      <c r="AF1821" s="153" t="str">
        <f ca="1" t="shared" si="311"/>
        <v>30100011|</v>
      </c>
      <c r="AJ1821" s="205" t="str">
        <f ca="1" t="shared" si="308"/>
        <v>400023|2250|;</v>
      </c>
      <c r="AK1821" s="205">
        <f ca="1">OFFSET([1]item_type!$A$1,MATCH(Q1821,[1]item_type!$G:$G,0)-1,0)</f>
        <v>303010</v>
      </c>
      <c r="AL1821" s="205"/>
      <c r="AM1821" s="205">
        <f ca="1">IF(B1821=B1822,OFFSET(卡牌辅助配置表!$AE$1,MATCH(AB1821,卡牌辅助配置表!AB:AB,0),0),0)</f>
        <v>2250</v>
      </c>
      <c r="AN1821" s="153">
        <f ca="1" t="shared" si="303"/>
        <v>3010006</v>
      </c>
      <c r="AP1821" s="153">
        <f ca="1">IF(AC1821=0,0,IF(AC1821=12,0,OFFSET(effect!$N$1,MATCH(K1821,effect!M:M,0)-1,0)))</f>
        <v>0</v>
      </c>
    </row>
    <row r="1822" spans="1:42">
      <c r="A1822" s="153">
        <f ca="1" t="shared" si="304"/>
        <v>3010006</v>
      </c>
      <c r="B1822" s="153" t="s">
        <v>506</v>
      </c>
      <c r="C1822" s="186">
        <v>3</v>
      </c>
      <c r="D1822" s="186">
        <v>4</v>
      </c>
      <c r="E1822" s="165" t="s">
        <v>1069</v>
      </c>
      <c r="F1822" s="186" t="s">
        <v>876</v>
      </c>
      <c r="G1822" s="186">
        <f ca="1">OFFSET(卡牌辅助配置表!$C$1,MATCH(AC1822,卡牌辅助配置表!A:A,0)-1,0)</f>
        <v>0</v>
      </c>
      <c r="H1822" s="186">
        <f ca="1" t="shared" si="310"/>
        <v>0</v>
      </c>
      <c r="I1822" s="186"/>
      <c r="J1822" s="186">
        <f ca="1">OFFSET(card_type!$F$1,MATCH(Q1822,card_type!A:A,0)-1,0)</f>
        <v>1</v>
      </c>
      <c r="K1822" s="243">
        <f ca="1">OFFSET(card_type!$G$1,MATCH(Q1822,card_type!A:A,0)-1,0)</f>
        <v>2</v>
      </c>
      <c r="L1822" s="157">
        <v>1</v>
      </c>
      <c r="M1822" s="157">
        <v>1</v>
      </c>
      <c r="N1822" s="153">
        <f t="shared" si="305"/>
        <v>6</v>
      </c>
      <c r="O1822" s="157"/>
      <c r="P1822" s="157"/>
      <c r="Q1822" s="153">
        <f ca="1">OFFSET(card_type!$A$1,MATCH(card!B1822,card_type!B:B,0)-1,0)</f>
        <v>3010</v>
      </c>
      <c r="R1822" s="153">
        <v>1</v>
      </c>
      <c r="S1822" s="157">
        <f ca="1">ROUND(IF(R1822=0,0,IF(R1822=1,X1822*$S$1,IF(R1822=2,X1822*$S$1*buff的资质计算!$E$2,IF(R1822=3,X1822*$S$1*buff的资质计算!$E$3,0)))),0)*0</f>
        <v>0</v>
      </c>
      <c r="T1822" s="153">
        <v>2</v>
      </c>
      <c r="U1822" s="153">
        <f ca="1" t="shared" si="306"/>
        <v>12</v>
      </c>
      <c r="V1822" s="153">
        <f ca="1">ROUND((OFFSET(卡牌辅助配置表!$O$1,MATCH(U1822,卡牌辅助配置表!M:M,0)-1,0)+(N1822-1)*OFFSET(卡牌辅助配置表!$P$1,MATCH(U1822,卡牌辅助配置表!M:M,0)-1,0))*M1822,2)</f>
        <v>11.08</v>
      </c>
      <c r="W1822" s="157">
        <f ca="1">ROUND(IF(R1822=0,0,IF(R1822=1,X1822*$W$1,IF(R1822=2,X1822*$W$1*buff的资质计算!$E$2,IF(R1822=3,X1822*$W$1*buff的资质计算!$E$3,0)))),2)</f>
        <v>3.45</v>
      </c>
      <c r="X1822" s="157">
        <f ca="1" t="shared" si="301"/>
        <v>11.5</v>
      </c>
      <c r="Y1822" s="157">
        <f ca="1" t="shared" si="309"/>
        <v>11.5</v>
      </c>
      <c r="Z1822" s="304">
        <f ca="1" t="shared" si="302"/>
        <v>11.5</v>
      </c>
      <c r="AA1822" s="304">
        <f ca="1">OFFSET(卡牌辅助配置表!$AD$1,MATCH(AB1822,卡牌辅助配置表!AB:AB,0)-1,0)</f>
        <v>216</v>
      </c>
      <c r="AB1822" s="304">
        <f ca="1" t="shared" si="307"/>
        <v>1206</v>
      </c>
      <c r="AC1822" s="153">
        <v>12</v>
      </c>
      <c r="AF1822" s="153" t="str">
        <f ca="1" t="shared" si="311"/>
        <v>30100011|</v>
      </c>
      <c r="AJ1822" s="205" t="str">
        <f ca="1" t="shared" si="308"/>
        <v>400023|2550|;</v>
      </c>
      <c r="AK1822" s="205">
        <f ca="1">OFFSET([1]item_type!$A$1,MATCH(Q1822,[1]item_type!$G:$G,0)-1,0)</f>
        <v>303010</v>
      </c>
      <c r="AL1822" s="205"/>
      <c r="AM1822" s="205">
        <f ca="1">IF(B1822=B1823,OFFSET(卡牌辅助配置表!$AE$1,MATCH(AB1822,卡牌辅助配置表!AB:AB,0),0),0)</f>
        <v>2550</v>
      </c>
      <c r="AN1822" s="153">
        <f ca="1" t="shared" si="303"/>
        <v>3010007</v>
      </c>
      <c r="AP1822" s="153">
        <f ca="1">IF(AC1822=0,0,IF(AC1822=12,0,OFFSET(effect!$N$1,MATCH(K1822,effect!M:M,0)-1,0)))</f>
        <v>0</v>
      </c>
    </row>
    <row r="1823" spans="1:42">
      <c r="A1823" s="153">
        <f ca="1" t="shared" si="304"/>
        <v>3010007</v>
      </c>
      <c r="B1823" s="153" t="s">
        <v>506</v>
      </c>
      <c r="C1823" s="186">
        <v>3</v>
      </c>
      <c r="D1823" s="186">
        <v>4</v>
      </c>
      <c r="E1823" s="165" t="s">
        <v>1069</v>
      </c>
      <c r="F1823" s="186" t="s">
        <v>876</v>
      </c>
      <c r="G1823" s="186">
        <f ca="1">OFFSET(卡牌辅助配置表!$C$1,MATCH(AC1823,卡牌辅助配置表!A:A,0)-1,0)</f>
        <v>0</v>
      </c>
      <c r="H1823" s="186">
        <f ca="1" t="shared" si="310"/>
        <v>0</v>
      </c>
      <c r="I1823" s="186"/>
      <c r="J1823" s="186">
        <f ca="1">OFFSET(card_type!$F$1,MATCH(Q1823,card_type!A:A,0)-1,0)</f>
        <v>1</v>
      </c>
      <c r="K1823" s="243">
        <f ca="1">OFFSET(card_type!$G$1,MATCH(Q1823,card_type!A:A,0)-1,0)</f>
        <v>2</v>
      </c>
      <c r="L1823" s="157">
        <v>1</v>
      </c>
      <c r="M1823" s="157">
        <v>1</v>
      </c>
      <c r="N1823" s="153">
        <f t="shared" si="305"/>
        <v>7</v>
      </c>
      <c r="O1823" s="157"/>
      <c r="P1823" s="157"/>
      <c r="Q1823" s="153">
        <f ca="1">OFFSET(card_type!$A$1,MATCH(card!B1823,card_type!B:B,0)-1,0)</f>
        <v>3010</v>
      </c>
      <c r="R1823" s="153">
        <v>1</v>
      </c>
      <c r="S1823" s="157">
        <f ca="1">ROUND(IF(R1823=0,0,IF(R1823=1,X1823*$S$1,IF(R1823=2,X1823*$S$1*buff的资质计算!$E$2,IF(R1823=3,X1823*$S$1*buff的资质计算!$E$3,0)))),0)*0</f>
        <v>0</v>
      </c>
      <c r="T1823" s="153">
        <v>2</v>
      </c>
      <c r="U1823" s="153">
        <f ca="1" t="shared" si="306"/>
        <v>12</v>
      </c>
      <c r="V1823" s="153">
        <f ca="1">ROUND((OFFSET(卡牌辅助配置表!$O$1,MATCH(U1823,卡牌辅助配置表!M:M,0)-1,0)+(N1823-1)*OFFSET(卡牌辅助配置表!$P$1,MATCH(U1823,卡牌辅助配置表!M:M,0)-1,0))*M1823,2)</f>
        <v>11.4</v>
      </c>
      <c r="W1823" s="157">
        <f ca="1">ROUND(IF(R1823=0,0,IF(R1823=1,X1823*$W$1,IF(R1823=2,X1823*$W$1*buff的资质计算!$E$2,IF(R1823=3,X1823*$W$1*buff的资质计算!$E$3,0)))),2)</f>
        <v>3.6</v>
      </c>
      <c r="X1823" s="157">
        <f ca="1" t="shared" si="301"/>
        <v>12</v>
      </c>
      <c r="Y1823" s="157">
        <f ca="1" t="shared" si="309"/>
        <v>12</v>
      </c>
      <c r="Z1823" s="304">
        <f ca="1" t="shared" si="302"/>
        <v>12</v>
      </c>
      <c r="AA1823" s="304">
        <f ca="1">OFFSET(卡牌辅助配置表!$AD$1,MATCH(AB1823,卡牌辅助配置表!AB:AB,0)-1,0)</f>
        <v>252</v>
      </c>
      <c r="AB1823" s="304">
        <f ca="1" t="shared" si="307"/>
        <v>1207</v>
      </c>
      <c r="AC1823" s="153">
        <v>12</v>
      </c>
      <c r="AF1823" s="153" t="str">
        <f ca="1" t="shared" si="311"/>
        <v>30100011|</v>
      </c>
      <c r="AJ1823" s="205" t="str">
        <f ca="1" t="shared" si="308"/>
        <v>400023|2850|;</v>
      </c>
      <c r="AK1823" s="205">
        <f ca="1">OFFSET([1]item_type!$A$1,MATCH(Q1823,[1]item_type!$G:$G,0)-1,0)</f>
        <v>303010</v>
      </c>
      <c r="AL1823" s="205"/>
      <c r="AM1823" s="205">
        <f ca="1">IF(B1823=B1824,OFFSET(卡牌辅助配置表!$AE$1,MATCH(AB1823,卡牌辅助配置表!AB:AB,0),0),0)</f>
        <v>2850</v>
      </c>
      <c r="AN1823" s="153">
        <f ca="1" t="shared" si="303"/>
        <v>3010008</v>
      </c>
      <c r="AP1823" s="153">
        <f ca="1">IF(AC1823=0,0,IF(AC1823=12,0,OFFSET(effect!$N$1,MATCH(K1823,effect!M:M,0)-1,0)))</f>
        <v>0</v>
      </c>
    </row>
    <row r="1824" spans="1:42">
      <c r="A1824" s="153">
        <f ca="1" t="shared" si="304"/>
        <v>3010008</v>
      </c>
      <c r="B1824" s="153" t="s">
        <v>506</v>
      </c>
      <c r="C1824" s="186">
        <v>3</v>
      </c>
      <c r="D1824" s="186">
        <v>4</v>
      </c>
      <c r="E1824" s="165" t="s">
        <v>1069</v>
      </c>
      <c r="F1824" s="186" t="s">
        <v>876</v>
      </c>
      <c r="G1824" s="186">
        <f ca="1">OFFSET(卡牌辅助配置表!$C$1,MATCH(AC1824,卡牌辅助配置表!A:A,0)-1,0)</f>
        <v>0</v>
      </c>
      <c r="H1824" s="186">
        <f ca="1" t="shared" si="310"/>
        <v>0</v>
      </c>
      <c r="I1824" s="186"/>
      <c r="J1824" s="186">
        <f ca="1">OFFSET(card_type!$F$1,MATCH(Q1824,card_type!A:A,0)-1,0)</f>
        <v>1</v>
      </c>
      <c r="K1824" s="243">
        <f ca="1">OFFSET(card_type!$G$1,MATCH(Q1824,card_type!A:A,0)-1,0)</f>
        <v>2</v>
      </c>
      <c r="L1824" s="157">
        <v>1</v>
      </c>
      <c r="M1824" s="157">
        <v>1</v>
      </c>
      <c r="N1824" s="153">
        <f t="shared" si="305"/>
        <v>8</v>
      </c>
      <c r="O1824" s="157"/>
      <c r="P1824" s="157"/>
      <c r="Q1824" s="153">
        <f ca="1">OFFSET(card_type!$A$1,MATCH(card!B1824,card_type!B:B,0)-1,0)</f>
        <v>3010</v>
      </c>
      <c r="R1824" s="153">
        <v>1</v>
      </c>
      <c r="S1824" s="157">
        <f ca="1">ROUND(IF(R1824=0,0,IF(R1824=1,X1824*$S$1,IF(R1824=2,X1824*$S$1*buff的资质计算!$E$2,IF(R1824=3,X1824*$S$1*buff的资质计算!$E$3,0)))),0)*0</f>
        <v>0</v>
      </c>
      <c r="T1824" s="153">
        <v>2</v>
      </c>
      <c r="U1824" s="153">
        <f ca="1" t="shared" si="306"/>
        <v>12</v>
      </c>
      <c r="V1824" s="153">
        <f ca="1">ROUND((OFFSET(卡牌辅助配置表!$O$1,MATCH(U1824,卡牌辅助配置表!M:M,0)-1,0)+(N1824-1)*OFFSET(卡牌辅助配置表!$P$1,MATCH(U1824,卡牌辅助配置表!M:M,0)-1,0))*M1824,2)</f>
        <v>11.72</v>
      </c>
      <c r="W1824" s="157">
        <f ca="1">ROUND(IF(R1824=0,0,IF(R1824=1,X1824*$W$1,IF(R1824=2,X1824*$W$1*buff的资质计算!$E$2,IF(R1824=3,X1824*$W$1*buff的资质计算!$E$3,0)))),2)</f>
        <v>3.75</v>
      </c>
      <c r="X1824" s="157">
        <f ca="1" t="shared" si="301"/>
        <v>12.5</v>
      </c>
      <c r="Y1824" s="157">
        <f ca="1" t="shared" si="309"/>
        <v>12.5</v>
      </c>
      <c r="Z1824" s="304">
        <f ca="1" t="shared" si="302"/>
        <v>12.5</v>
      </c>
      <c r="AA1824" s="304">
        <f ca="1">OFFSET(卡牌辅助配置表!$AD$1,MATCH(AB1824,卡牌辅助配置表!AB:AB,0)-1,0)</f>
        <v>288</v>
      </c>
      <c r="AB1824" s="304">
        <f ca="1" t="shared" si="307"/>
        <v>1208</v>
      </c>
      <c r="AC1824" s="153">
        <v>12</v>
      </c>
      <c r="AF1824" s="153" t="str">
        <f ca="1" t="shared" si="311"/>
        <v>30100011|</v>
      </c>
      <c r="AJ1824" s="205" t="str">
        <f ca="1" t="shared" si="308"/>
        <v>400023|3150|;</v>
      </c>
      <c r="AK1824" s="205">
        <f ca="1">OFFSET([1]item_type!$A$1,MATCH(Q1824,[1]item_type!$G:$G,0)-1,0)</f>
        <v>303010</v>
      </c>
      <c r="AL1824" s="205"/>
      <c r="AM1824" s="205">
        <f ca="1">IF(B1824=B1825,OFFSET(卡牌辅助配置表!$AE$1,MATCH(AB1824,卡牌辅助配置表!AB:AB,0),0),0)</f>
        <v>3150</v>
      </c>
      <c r="AN1824" s="153">
        <f ca="1" t="shared" si="303"/>
        <v>3010009</v>
      </c>
      <c r="AP1824" s="153">
        <f ca="1">IF(AC1824=0,0,IF(AC1824=12,0,OFFSET(effect!$N$1,MATCH(K1824,effect!M:M,0)-1,0)))</f>
        <v>0</v>
      </c>
    </row>
    <row r="1825" spans="1:42">
      <c r="A1825" s="153">
        <f ca="1" t="shared" si="304"/>
        <v>3010009</v>
      </c>
      <c r="B1825" s="153" t="s">
        <v>506</v>
      </c>
      <c r="C1825" s="186">
        <v>3</v>
      </c>
      <c r="D1825" s="186">
        <v>4</v>
      </c>
      <c r="E1825" s="165" t="s">
        <v>1069</v>
      </c>
      <c r="F1825" s="186" t="s">
        <v>876</v>
      </c>
      <c r="G1825" s="186">
        <f ca="1">OFFSET(卡牌辅助配置表!$C$1,MATCH(AC1825,卡牌辅助配置表!A:A,0)-1,0)</f>
        <v>0</v>
      </c>
      <c r="H1825" s="186">
        <f ca="1" t="shared" si="310"/>
        <v>0</v>
      </c>
      <c r="I1825" s="186"/>
      <c r="J1825" s="186">
        <f ca="1">OFFSET(card_type!$F$1,MATCH(Q1825,card_type!A:A,0)-1,0)</f>
        <v>1</v>
      </c>
      <c r="K1825" s="243">
        <f ca="1">OFFSET(card_type!$G$1,MATCH(Q1825,card_type!A:A,0)-1,0)</f>
        <v>2</v>
      </c>
      <c r="L1825" s="157">
        <v>1</v>
      </c>
      <c r="M1825" s="157">
        <v>1</v>
      </c>
      <c r="N1825" s="153">
        <f t="shared" si="305"/>
        <v>9</v>
      </c>
      <c r="O1825" s="157"/>
      <c r="P1825" s="157"/>
      <c r="Q1825" s="153">
        <f ca="1">OFFSET(card_type!$A$1,MATCH(card!B1825,card_type!B:B,0)-1,0)</f>
        <v>3010</v>
      </c>
      <c r="R1825" s="153">
        <v>1</v>
      </c>
      <c r="S1825" s="157">
        <f ca="1">ROUND(IF(R1825=0,0,IF(R1825=1,X1825*$S$1,IF(R1825=2,X1825*$S$1*buff的资质计算!$E$2,IF(R1825=3,X1825*$S$1*buff的资质计算!$E$3,0)))),0)*0</f>
        <v>0</v>
      </c>
      <c r="T1825" s="153">
        <v>2</v>
      </c>
      <c r="U1825" s="153">
        <f ca="1" t="shared" si="306"/>
        <v>12</v>
      </c>
      <c r="V1825" s="153">
        <f ca="1">ROUND((OFFSET(卡牌辅助配置表!$O$1,MATCH(U1825,卡牌辅助配置表!M:M,0)-1,0)+(N1825-1)*OFFSET(卡牌辅助配置表!$P$1,MATCH(U1825,卡牌辅助配置表!M:M,0)-1,0))*M1825,2)</f>
        <v>12.03</v>
      </c>
      <c r="W1825" s="157">
        <f ca="1">ROUND(IF(R1825=0,0,IF(R1825=1,X1825*$W$1,IF(R1825=2,X1825*$W$1*buff的资质计算!$E$2,IF(R1825=3,X1825*$W$1*buff的资质计算!$E$3,0)))),2)</f>
        <v>3.9</v>
      </c>
      <c r="X1825" s="157">
        <f ca="1" t="shared" si="301"/>
        <v>13</v>
      </c>
      <c r="Y1825" s="157">
        <f ca="1" t="shared" si="309"/>
        <v>13</v>
      </c>
      <c r="Z1825" s="304">
        <f ca="1" t="shared" si="302"/>
        <v>13</v>
      </c>
      <c r="AA1825" s="304">
        <f ca="1">OFFSET(卡牌辅助配置表!$AD$1,MATCH(AB1825,卡牌辅助配置表!AB:AB,0)-1,0)</f>
        <v>324</v>
      </c>
      <c r="AB1825" s="304">
        <f ca="1" t="shared" si="307"/>
        <v>1209</v>
      </c>
      <c r="AC1825" s="153">
        <v>12</v>
      </c>
      <c r="AF1825" s="153" t="str">
        <f ca="1" t="shared" si="311"/>
        <v>30100011|</v>
      </c>
      <c r="AJ1825" s="205" t="str">
        <f ca="1" t="shared" si="308"/>
        <v>303010|15|;400023|3450|;</v>
      </c>
      <c r="AK1825" s="205">
        <f ca="1">OFFSET([1]item_type!$A$1,MATCH(Q1825,[1]item_type!$G:$G,0)-1,0)</f>
        <v>303010</v>
      </c>
      <c r="AL1825" s="205">
        <v>15</v>
      </c>
      <c r="AM1825" s="205">
        <f ca="1">IF(B1825=B1826,OFFSET(卡牌辅助配置表!$AE$1,MATCH(AB1825,卡牌辅助配置表!AB:AB,0),0),0)</f>
        <v>3450</v>
      </c>
      <c r="AN1825" s="153">
        <f ca="1" t="shared" si="303"/>
        <v>3010010</v>
      </c>
      <c r="AP1825" s="153">
        <f ca="1">IF(AC1825=0,0,IF(AC1825=12,0,OFFSET(effect!$N$1,MATCH(K1825,effect!M:M,0)-1,0)))</f>
        <v>0</v>
      </c>
    </row>
    <row r="1826" spans="1:42">
      <c r="A1826" s="153">
        <f ca="1" t="shared" si="304"/>
        <v>3010010</v>
      </c>
      <c r="B1826" s="153" t="s">
        <v>506</v>
      </c>
      <c r="C1826" s="186">
        <v>3</v>
      </c>
      <c r="D1826" s="186">
        <v>4</v>
      </c>
      <c r="E1826" s="165" t="s">
        <v>1069</v>
      </c>
      <c r="F1826" s="186" t="s">
        <v>876</v>
      </c>
      <c r="G1826" s="186">
        <f ca="1">OFFSET(卡牌辅助配置表!$C$1,MATCH(AC1826,卡牌辅助配置表!A:A,0)-1,0)</f>
        <v>0</v>
      </c>
      <c r="H1826" s="186">
        <f ca="1" t="shared" si="310"/>
        <v>0</v>
      </c>
      <c r="I1826" s="186"/>
      <c r="J1826" s="186">
        <f ca="1">OFFSET(card_type!$F$1,MATCH(Q1826,card_type!A:A,0)-1,0)</f>
        <v>1</v>
      </c>
      <c r="K1826" s="243">
        <f ca="1">OFFSET(card_type!$G$1,MATCH(Q1826,card_type!A:A,0)-1,0)</f>
        <v>2</v>
      </c>
      <c r="L1826" s="157">
        <v>1</v>
      </c>
      <c r="M1826" s="157">
        <v>1</v>
      </c>
      <c r="N1826" s="153">
        <f t="shared" si="305"/>
        <v>10</v>
      </c>
      <c r="O1826" s="157"/>
      <c r="P1826" s="157"/>
      <c r="Q1826" s="153">
        <f ca="1">OFFSET(card_type!$A$1,MATCH(card!B1826,card_type!B:B,0)-1,0)</f>
        <v>3010</v>
      </c>
      <c r="R1826" s="153">
        <v>1</v>
      </c>
      <c r="S1826" s="157">
        <f ca="1">ROUND(IF(R1826=0,0,IF(R1826=1,X1826*$S$1,IF(R1826=2,X1826*$S$1*buff的资质计算!$E$2,IF(R1826=3,X1826*$S$1*buff的资质计算!$E$3,0)))),0)*0</f>
        <v>0</v>
      </c>
      <c r="T1826" s="153">
        <v>2</v>
      </c>
      <c r="U1826" s="153">
        <f ca="1" t="shared" si="306"/>
        <v>12</v>
      </c>
      <c r="V1826" s="153">
        <f ca="1">ROUND((OFFSET(卡牌辅助配置表!$O$1,MATCH(U1826,卡牌辅助配置表!M:M,0)-1,0)+(N1826-1)*OFFSET(卡牌辅助配置表!$P$1,MATCH(U1826,卡牌辅助配置表!M:M,0)-1,0))*M1826,2)</f>
        <v>12.35</v>
      </c>
      <c r="W1826" s="157">
        <f ca="1">ROUND(IF(R1826=0,0,IF(R1826=1,X1826*$W$1,IF(R1826=2,X1826*$W$1*buff的资质计算!$E$2,IF(R1826=3,X1826*$W$1*buff的资质计算!$E$3,0)))),2)</f>
        <v>4.05</v>
      </c>
      <c r="X1826" s="157">
        <f ca="1" t="shared" si="301"/>
        <v>13.5</v>
      </c>
      <c r="Y1826" s="157">
        <f ca="1" t="shared" si="309"/>
        <v>13.5</v>
      </c>
      <c r="Z1826" s="304">
        <f ca="1" t="shared" si="302"/>
        <v>13.5</v>
      </c>
      <c r="AA1826" s="304">
        <f ca="1">OFFSET(卡牌辅助配置表!$AD$1,MATCH(AB1826,卡牌辅助配置表!AB:AB,0)-1,0)</f>
        <v>360</v>
      </c>
      <c r="AB1826" s="304">
        <f ca="1" t="shared" si="307"/>
        <v>1210</v>
      </c>
      <c r="AC1826" s="153">
        <v>12</v>
      </c>
      <c r="AF1826" s="153" t="str">
        <f ca="1" t="shared" si="311"/>
        <v>30100011|</v>
      </c>
      <c r="AJ1826" s="205" t="str">
        <f ca="1" t="shared" si="308"/>
        <v>400023|4050|;</v>
      </c>
      <c r="AK1826" s="205">
        <f ca="1">OFFSET([1]item_type!$A$1,MATCH(Q1826,[1]item_type!$G:$G,0)-1,0)</f>
        <v>303010</v>
      </c>
      <c r="AL1826" s="205"/>
      <c r="AM1826" s="205">
        <f ca="1">IF(B1826=B1827,OFFSET(卡牌辅助配置表!$AE$1,MATCH(AB1826,卡牌辅助配置表!AB:AB,0),0),0)</f>
        <v>4050</v>
      </c>
      <c r="AN1826" s="153">
        <f ca="1" t="shared" si="303"/>
        <v>3010011</v>
      </c>
      <c r="AP1826" s="153">
        <f ca="1">IF(AC1826=0,0,IF(AC1826=12,0,OFFSET(effect!$N$1,MATCH(K1826,effect!M:M,0)-1,0)))</f>
        <v>0</v>
      </c>
    </row>
    <row r="1827" spans="1:42">
      <c r="A1827" s="153">
        <f ca="1" t="shared" si="304"/>
        <v>3010011</v>
      </c>
      <c r="B1827" s="153" t="s">
        <v>506</v>
      </c>
      <c r="C1827" s="186">
        <v>3</v>
      </c>
      <c r="D1827" s="186">
        <v>4</v>
      </c>
      <c r="E1827" s="165" t="s">
        <v>1069</v>
      </c>
      <c r="F1827" s="186" t="s">
        <v>876</v>
      </c>
      <c r="G1827" s="186">
        <f ca="1">OFFSET(卡牌辅助配置表!$C$1,MATCH(AC1827,卡牌辅助配置表!A:A,0)-1,0)</f>
        <v>0</v>
      </c>
      <c r="H1827" s="186">
        <f ca="1" t="shared" si="310"/>
        <v>0</v>
      </c>
      <c r="I1827" s="186"/>
      <c r="J1827" s="186">
        <f ca="1">OFFSET(card_type!$F$1,MATCH(Q1827,card_type!A:A,0)-1,0)</f>
        <v>1</v>
      </c>
      <c r="K1827" s="243">
        <f ca="1">OFFSET(card_type!$G$1,MATCH(Q1827,card_type!A:A,0)-1,0)</f>
        <v>2</v>
      </c>
      <c r="L1827" s="157">
        <v>1</v>
      </c>
      <c r="M1827" s="157">
        <v>1</v>
      </c>
      <c r="N1827" s="153">
        <f t="shared" si="305"/>
        <v>11</v>
      </c>
      <c r="O1827" s="157"/>
      <c r="P1827" s="157"/>
      <c r="Q1827" s="153">
        <f ca="1">OFFSET(card_type!$A$1,MATCH(card!B1827,card_type!B:B,0)-1,0)</f>
        <v>3010</v>
      </c>
      <c r="R1827" s="153">
        <v>1</v>
      </c>
      <c r="S1827" s="157">
        <f ca="1">ROUND(IF(R1827=0,0,IF(R1827=1,X1827*$S$1,IF(R1827=2,X1827*$S$1*buff的资质计算!$E$2,IF(R1827=3,X1827*$S$1*buff的资质计算!$E$3,0)))),0)*0</f>
        <v>0</v>
      </c>
      <c r="T1827" s="153">
        <v>2</v>
      </c>
      <c r="U1827" s="153">
        <f ca="1" t="shared" si="306"/>
        <v>12</v>
      </c>
      <c r="V1827" s="153">
        <f ca="1">ROUND((OFFSET(卡牌辅助配置表!$O$1,MATCH(U1827,卡牌辅助配置表!M:M,0)-1,0)+(N1827-1)*OFFSET(卡牌辅助配置表!$P$1,MATCH(U1827,卡牌辅助配置表!M:M,0)-1,0))*M1827,2)</f>
        <v>12.67</v>
      </c>
      <c r="W1827" s="157">
        <f ca="1">ROUND(IF(R1827=0,0,IF(R1827=1,X1827*$W$1,IF(R1827=2,X1827*$W$1*buff的资质计算!$E$2,IF(R1827=3,X1827*$W$1*buff的资质计算!$E$3,0)))),2)</f>
        <v>4.2</v>
      </c>
      <c r="X1827" s="157">
        <f ca="1" t="shared" si="301"/>
        <v>14</v>
      </c>
      <c r="Y1827" s="157">
        <f ca="1" t="shared" si="309"/>
        <v>14</v>
      </c>
      <c r="Z1827" s="304">
        <f ca="1" t="shared" si="302"/>
        <v>14</v>
      </c>
      <c r="AA1827" s="304">
        <f ca="1">OFFSET(卡牌辅助配置表!$AD$1,MATCH(AB1827,卡牌辅助配置表!AB:AB,0)-1,0)</f>
        <v>415</v>
      </c>
      <c r="AB1827" s="304">
        <f ca="1" t="shared" si="307"/>
        <v>1211</v>
      </c>
      <c r="AC1827" s="153">
        <v>12</v>
      </c>
      <c r="AF1827" s="153" t="str">
        <f ca="1" t="shared" si="311"/>
        <v>30100011|</v>
      </c>
      <c r="AJ1827" s="205" t="str">
        <f ca="1" t="shared" si="308"/>
        <v>400023|4650|;</v>
      </c>
      <c r="AK1827" s="205">
        <f ca="1">OFFSET([1]item_type!$A$1,MATCH(Q1827,[1]item_type!$G:$G,0)-1,0)</f>
        <v>303010</v>
      </c>
      <c r="AL1827" s="205"/>
      <c r="AM1827" s="205">
        <f ca="1">IF(B1827=B1828,OFFSET(卡牌辅助配置表!$AE$1,MATCH(AB1827,卡牌辅助配置表!AB:AB,0),0),0)</f>
        <v>4650</v>
      </c>
      <c r="AN1827" s="153">
        <f ca="1" t="shared" si="303"/>
        <v>3010012</v>
      </c>
      <c r="AP1827" s="153">
        <f ca="1">IF(AC1827=0,0,IF(AC1827=12,0,OFFSET(effect!$N$1,MATCH(K1827,effect!M:M,0)-1,0)))</f>
        <v>0</v>
      </c>
    </row>
    <row r="1828" spans="1:42">
      <c r="A1828" s="153">
        <f ca="1" t="shared" si="304"/>
        <v>3010012</v>
      </c>
      <c r="B1828" s="153" t="s">
        <v>506</v>
      </c>
      <c r="C1828" s="186">
        <v>3</v>
      </c>
      <c r="D1828" s="186">
        <v>4</v>
      </c>
      <c r="E1828" s="165" t="s">
        <v>1069</v>
      </c>
      <c r="F1828" s="186" t="s">
        <v>876</v>
      </c>
      <c r="G1828" s="186">
        <f ca="1">OFFSET(卡牌辅助配置表!$C$1,MATCH(AC1828,卡牌辅助配置表!A:A,0)-1,0)</f>
        <v>0</v>
      </c>
      <c r="H1828" s="186">
        <f ca="1" t="shared" si="310"/>
        <v>0</v>
      </c>
      <c r="I1828" s="186"/>
      <c r="J1828" s="186">
        <f ca="1">OFFSET(card_type!$F$1,MATCH(Q1828,card_type!A:A,0)-1,0)</f>
        <v>1</v>
      </c>
      <c r="K1828" s="243">
        <f ca="1">OFFSET(card_type!$G$1,MATCH(Q1828,card_type!A:A,0)-1,0)</f>
        <v>2</v>
      </c>
      <c r="L1828" s="157">
        <v>1</v>
      </c>
      <c r="M1828" s="157">
        <v>1</v>
      </c>
      <c r="N1828" s="153">
        <f t="shared" si="305"/>
        <v>12</v>
      </c>
      <c r="O1828" s="157"/>
      <c r="P1828" s="157"/>
      <c r="Q1828" s="153">
        <f ca="1">OFFSET(card_type!$A$1,MATCH(card!B1828,card_type!B:B,0)-1,0)</f>
        <v>3010</v>
      </c>
      <c r="R1828" s="153">
        <v>1</v>
      </c>
      <c r="S1828" s="157">
        <f ca="1">ROUND(IF(R1828=0,0,IF(R1828=1,X1828*$S$1,IF(R1828=2,X1828*$S$1*buff的资质计算!$E$2,IF(R1828=3,X1828*$S$1*buff的资质计算!$E$3,0)))),0)*0</f>
        <v>0</v>
      </c>
      <c r="T1828" s="153">
        <v>2</v>
      </c>
      <c r="U1828" s="153">
        <f ca="1" t="shared" si="306"/>
        <v>12</v>
      </c>
      <c r="V1828" s="153">
        <f ca="1">ROUND((OFFSET(卡牌辅助配置表!$O$1,MATCH(U1828,卡牌辅助配置表!M:M,0)-1,0)+(N1828-1)*OFFSET(卡牌辅助配置表!$P$1,MATCH(U1828,卡牌辅助配置表!M:M,0)-1,0))*M1828,2)</f>
        <v>12.98</v>
      </c>
      <c r="W1828" s="157">
        <f ca="1">ROUND(IF(R1828=0,0,IF(R1828=1,X1828*$W$1,IF(R1828=2,X1828*$W$1*buff的资质计算!$E$2,IF(R1828=3,X1828*$W$1*buff的资质计算!$E$3,0)))),2)</f>
        <v>4.35</v>
      </c>
      <c r="X1828" s="157">
        <f ca="1" t="shared" si="301"/>
        <v>14.5</v>
      </c>
      <c r="Y1828" s="157">
        <f ca="1" t="shared" si="309"/>
        <v>14.5</v>
      </c>
      <c r="Z1828" s="304">
        <f ca="1" t="shared" si="302"/>
        <v>14.5</v>
      </c>
      <c r="AA1828" s="304">
        <f ca="1">OFFSET(卡牌辅助配置表!$AD$1,MATCH(AB1828,卡牌辅助配置表!AB:AB,0)-1,0)</f>
        <v>470</v>
      </c>
      <c r="AB1828" s="304">
        <f ca="1" t="shared" si="307"/>
        <v>1212</v>
      </c>
      <c r="AC1828" s="153">
        <v>12</v>
      </c>
      <c r="AF1828" s="153" t="str">
        <f ca="1" t="shared" si="311"/>
        <v>30100011|</v>
      </c>
      <c r="AJ1828" s="205" t="str">
        <f ca="1" t="shared" si="308"/>
        <v>400023|5250|;</v>
      </c>
      <c r="AK1828" s="205">
        <f ca="1">OFFSET([1]item_type!$A$1,MATCH(Q1828,[1]item_type!$G:$G,0)-1,0)</f>
        <v>303010</v>
      </c>
      <c r="AL1828" s="205"/>
      <c r="AM1828" s="205">
        <f ca="1">IF(B1828=B1829,OFFSET(卡牌辅助配置表!$AE$1,MATCH(AB1828,卡牌辅助配置表!AB:AB,0),0),0)</f>
        <v>5250</v>
      </c>
      <c r="AN1828" s="153">
        <f ca="1" t="shared" si="303"/>
        <v>3010013</v>
      </c>
      <c r="AP1828" s="153">
        <f ca="1">IF(AC1828=0,0,IF(AC1828=12,0,OFFSET(effect!$N$1,MATCH(K1828,effect!M:M,0)-1,0)))</f>
        <v>0</v>
      </c>
    </row>
    <row r="1829" spans="1:42">
      <c r="A1829" s="153">
        <f ca="1" t="shared" si="304"/>
        <v>3010013</v>
      </c>
      <c r="B1829" s="153" t="s">
        <v>506</v>
      </c>
      <c r="C1829" s="186">
        <v>3</v>
      </c>
      <c r="D1829" s="186">
        <v>4</v>
      </c>
      <c r="E1829" s="165" t="s">
        <v>1069</v>
      </c>
      <c r="F1829" s="186" t="s">
        <v>876</v>
      </c>
      <c r="G1829" s="186">
        <f ca="1">OFFSET(卡牌辅助配置表!$C$1,MATCH(AC1829,卡牌辅助配置表!A:A,0)-1,0)</f>
        <v>0</v>
      </c>
      <c r="H1829" s="186">
        <f ca="1" t="shared" si="310"/>
        <v>0</v>
      </c>
      <c r="I1829" s="186"/>
      <c r="J1829" s="186">
        <f ca="1">OFFSET(card_type!$F$1,MATCH(Q1829,card_type!A:A,0)-1,0)</f>
        <v>1</v>
      </c>
      <c r="K1829" s="243">
        <f ca="1">OFFSET(card_type!$G$1,MATCH(Q1829,card_type!A:A,0)-1,0)</f>
        <v>2</v>
      </c>
      <c r="L1829" s="157">
        <v>1</v>
      </c>
      <c r="M1829" s="157">
        <v>1</v>
      </c>
      <c r="N1829" s="153">
        <f t="shared" si="305"/>
        <v>13</v>
      </c>
      <c r="O1829" s="157"/>
      <c r="P1829" s="157"/>
      <c r="Q1829" s="153">
        <f ca="1">OFFSET(card_type!$A$1,MATCH(card!B1829,card_type!B:B,0)-1,0)</f>
        <v>3010</v>
      </c>
      <c r="R1829" s="153">
        <v>1</v>
      </c>
      <c r="S1829" s="157">
        <f ca="1">ROUND(IF(R1829=0,0,IF(R1829=1,X1829*$S$1,IF(R1829=2,X1829*$S$1*buff的资质计算!$E$2,IF(R1829=3,X1829*$S$1*buff的资质计算!$E$3,0)))),0)*0</f>
        <v>0</v>
      </c>
      <c r="T1829" s="153">
        <v>2</v>
      </c>
      <c r="U1829" s="153">
        <f ca="1" t="shared" si="306"/>
        <v>12</v>
      </c>
      <c r="V1829" s="153">
        <f ca="1">ROUND((OFFSET(卡牌辅助配置表!$O$1,MATCH(U1829,卡牌辅助配置表!M:M,0)-1,0)+(N1829-1)*OFFSET(卡牌辅助配置表!$P$1,MATCH(U1829,卡牌辅助配置表!M:M,0)-1,0))*M1829,2)</f>
        <v>13.3</v>
      </c>
      <c r="W1829" s="157">
        <f ca="1">ROUND(IF(R1829=0,0,IF(R1829=1,X1829*$W$1,IF(R1829=2,X1829*$W$1*buff的资质计算!$E$2,IF(R1829=3,X1829*$W$1*buff的资质计算!$E$3,0)))),2)</f>
        <v>4.5</v>
      </c>
      <c r="X1829" s="157">
        <f ca="1" t="shared" si="301"/>
        <v>15</v>
      </c>
      <c r="Y1829" s="157">
        <f ca="1" t="shared" si="309"/>
        <v>15</v>
      </c>
      <c r="Z1829" s="304">
        <f ca="1" t="shared" si="302"/>
        <v>15</v>
      </c>
      <c r="AA1829" s="304">
        <f ca="1">OFFSET(卡牌辅助配置表!$AD$1,MATCH(AB1829,卡牌辅助配置表!AB:AB,0)-1,0)</f>
        <v>525</v>
      </c>
      <c r="AB1829" s="304">
        <f ca="1" t="shared" si="307"/>
        <v>1213</v>
      </c>
      <c r="AC1829" s="153">
        <v>12</v>
      </c>
      <c r="AF1829" s="153" t="str">
        <f ca="1" t="shared" si="311"/>
        <v>30100011|</v>
      </c>
      <c r="AJ1829" s="205" t="str">
        <f ca="1" t="shared" si="308"/>
        <v>400023|5850|;</v>
      </c>
      <c r="AK1829" s="205">
        <f ca="1">OFFSET([1]item_type!$A$1,MATCH(Q1829,[1]item_type!$G:$G,0)-1,0)</f>
        <v>303010</v>
      </c>
      <c r="AL1829" s="205"/>
      <c r="AM1829" s="205">
        <f ca="1">IF(B1829=B1830,OFFSET(卡牌辅助配置表!$AE$1,MATCH(AB1829,卡牌辅助配置表!AB:AB,0),0),0)</f>
        <v>5850</v>
      </c>
      <c r="AN1829" s="153">
        <f ca="1" t="shared" si="303"/>
        <v>3010014</v>
      </c>
      <c r="AP1829" s="153">
        <f ca="1">IF(AC1829=0,0,IF(AC1829=12,0,OFFSET(effect!$N$1,MATCH(K1829,effect!M:M,0)-1,0)))</f>
        <v>0</v>
      </c>
    </row>
    <row r="1830" spans="1:42">
      <c r="A1830" s="153">
        <f ca="1" t="shared" si="304"/>
        <v>3010014</v>
      </c>
      <c r="B1830" s="153" t="s">
        <v>506</v>
      </c>
      <c r="C1830" s="186">
        <v>3</v>
      </c>
      <c r="D1830" s="186">
        <v>4</v>
      </c>
      <c r="E1830" s="165" t="s">
        <v>1069</v>
      </c>
      <c r="F1830" s="186" t="s">
        <v>876</v>
      </c>
      <c r="G1830" s="186">
        <f ca="1">OFFSET(卡牌辅助配置表!$C$1,MATCH(AC1830,卡牌辅助配置表!A:A,0)-1,0)</f>
        <v>0</v>
      </c>
      <c r="H1830" s="186">
        <f ca="1" t="shared" si="310"/>
        <v>0</v>
      </c>
      <c r="I1830" s="186"/>
      <c r="J1830" s="186">
        <f ca="1">OFFSET(card_type!$F$1,MATCH(Q1830,card_type!A:A,0)-1,0)</f>
        <v>1</v>
      </c>
      <c r="K1830" s="243">
        <f ca="1">OFFSET(card_type!$G$1,MATCH(Q1830,card_type!A:A,0)-1,0)</f>
        <v>2</v>
      </c>
      <c r="L1830" s="157">
        <v>1</v>
      </c>
      <c r="M1830" s="157">
        <v>1</v>
      </c>
      <c r="N1830" s="153">
        <f t="shared" si="305"/>
        <v>14</v>
      </c>
      <c r="O1830" s="157"/>
      <c r="P1830" s="157"/>
      <c r="Q1830" s="153">
        <f ca="1">OFFSET(card_type!$A$1,MATCH(card!B1830,card_type!B:B,0)-1,0)</f>
        <v>3010</v>
      </c>
      <c r="R1830" s="153">
        <v>1</v>
      </c>
      <c r="S1830" s="157">
        <f ca="1">ROUND(IF(R1830=0,0,IF(R1830=1,X1830*$S$1,IF(R1830=2,X1830*$S$1*buff的资质计算!$E$2,IF(R1830=3,X1830*$S$1*buff的资质计算!$E$3,0)))),0)*0</f>
        <v>0</v>
      </c>
      <c r="T1830" s="153">
        <v>2</v>
      </c>
      <c r="U1830" s="153">
        <f ca="1" t="shared" si="306"/>
        <v>12</v>
      </c>
      <c r="V1830" s="153">
        <f ca="1">ROUND((OFFSET(卡牌辅助配置表!$O$1,MATCH(U1830,卡牌辅助配置表!M:M,0)-1,0)+(N1830-1)*OFFSET(卡牌辅助配置表!$P$1,MATCH(U1830,卡牌辅助配置表!M:M,0)-1,0))*M1830,2)</f>
        <v>13.62</v>
      </c>
      <c r="W1830" s="157">
        <f ca="1">ROUND(IF(R1830=0,0,IF(R1830=1,X1830*$W$1,IF(R1830=2,X1830*$W$1*buff的资质计算!$E$2,IF(R1830=3,X1830*$W$1*buff的资质计算!$E$3,0)))),2)</f>
        <v>4.65</v>
      </c>
      <c r="X1830" s="157">
        <f ca="1" t="shared" si="301"/>
        <v>15.5</v>
      </c>
      <c r="Y1830" s="157">
        <f ca="1" t="shared" si="309"/>
        <v>15.5</v>
      </c>
      <c r="Z1830" s="304">
        <f ca="1" t="shared" si="302"/>
        <v>15.5</v>
      </c>
      <c r="AA1830" s="304">
        <f ca="1">OFFSET(卡牌辅助配置表!$AD$1,MATCH(AB1830,卡牌辅助配置表!AB:AB,0)-1,0)</f>
        <v>580</v>
      </c>
      <c r="AB1830" s="304">
        <f ca="1" t="shared" si="307"/>
        <v>1214</v>
      </c>
      <c r="AC1830" s="153">
        <v>12</v>
      </c>
      <c r="AF1830" s="153" t="str">
        <f ca="1" t="shared" si="311"/>
        <v>30100011|</v>
      </c>
      <c r="AJ1830" s="205" t="str">
        <f ca="1" t="shared" si="308"/>
        <v>400023|6450|;</v>
      </c>
      <c r="AK1830" s="205">
        <f ca="1">OFFSET([1]item_type!$A$1,MATCH(Q1830,[1]item_type!$G:$G,0)-1,0)</f>
        <v>303010</v>
      </c>
      <c r="AL1830" s="205"/>
      <c r="AM1830" s="205">
        <f ca="1">IF(B1830=B1831,OFFSET(卡牌辅助配置表!$AE$1,MATCH(AB1830,卡牌辅助配置表!AB:AB,0),0),0)</f>
        <v>6450</v>
      </c>
      <c r="AN1830" s="153">
        <f ca="1" t="shared" si="303"/>
        <v>3010015</v>
      </c>
      <c r="AP1830" s="153">
        <f ca="1">IF(AC1830=0,0,IF(AC1830=12,0,OFFSET(effect!$N$1,MATCH(K1830,effect!M:M,0)-1,0)))</f>
        <v>0</v>
      </c>
    </row>
    <row r="1831" spans="1:42">
      <c r="A1831" s="153">
        <f ca="1" t="shared" si="304"/>
        <v>3010015</v>
      </c>
      <c r="B1831" s="153" t="s">
        <v>506</v>
      </c>
      <c r="C1831" s="186">
        <v>3</v>
      </c>
      <c r="D1831" s="186">
        <v>4</v>
      </c>
      <c r="E1831" s="165" t="s">
        <v>1069</v>
      </c>
      <c r="F1831" s="186" t="s">
        <v>876</v>
      </c>
      <c r="G1831" s="186">
        <f ca="1">OFFSET(卡牌辅助配置表!$C$1,MATCH(AC1831,卡牌辅助配置表!A:A,0)-1,0)</f>
        <v>0</v>
      </c>
      <c r="H1831" s="186">
        <f ca="1" t="shared" si="310"/>
        <v>0</v>
      </c>
      <c r="I1831" s="186"/>
      <c r="J1831" s="186">
        <f ca="1">OFFSET(card_type!$F$1,MATCH(Q1831,card_type!A:A,0)-1,0)</f>
        <v>1</v>
      </c>
      <c r="K1831" s="243">
        <f ca="1">OFFSET(card_type!$G$1,MATCH(Q1831,card_type!A:A,0)-1,0)</f>
        <v>2</v>
      </c>
      <c r="L1831" s="157">
        <v>1</v>
      </c>
      <c r="M1831" s="157">
        <v>1</v>
      </c>
      <c r="N1831" s="153">
        <f t="shared" si="305"/>
        <v>15</v>
      </c>
      <c r="O1831" s="157"/>
      <c r="P1831" s="157"/>
      <c r="Q1831" s="153">
        <f ca="1">OFFSET(card_type!$A$1,MATCH(card!B1831,card_type!B:B,0)-1,0)</f>
        <v>3010</v>
      </c>
      <c r="R1831" s="153">
        <v>1</v>
      </c>
      <c r="S1831" s="157">
        <f ca="1">ROUND(IF(R1831=0,0,IF(R1831=1,X1831*$S$1,IF(R1831=2,X1831*$S$1*buff的资质计算!$E$2,IF(R1831=3,X1831*$S$1*buff的资质计算!$E$3,0)))),0)*0</f>
        <v>0</v>
      </c>
      <c r="T1831" s="153">
        <v>2</v>
      </c>
      <c r="U1831" s="153">
        <f ca="1" t="shared" si="306"/>
        <v>12</v>
      </c>
      <c r="V1831" s="153">
        <f ca="1">ROUND((OFFSET(卡牌辅助配置表!$O$1,MATCH(U1831,卡牌辅助配置表!M:M,0)-1,0)+(N1831-1)*OFFSET(卡牌辅助配置表!$P$1,MATCH(U1831,卡牌辅助配置表!M:M,0)-1,0))*M1831,2)</f>
        <v>13.93</v>
      </c>
      <c r="W1831" s="157">
        <f ca="1">ROUND(IF(R1831=0,0,IF(R1831=1,X1831*$W$1,IF(R1831=2,X1831*$W$1*buff的资质计算!$E$2,IF(R1831=3,X1831*$W$1*buff的资质计算!$E$3,0)))),2)</f>
        <v>4.8</v>
      </c>
      <c r="X1831" s="157">
        <f ca="1" t="shared" si="301"/>
        <v>16</v>
      </c>
      <c r="Y1831" s="157">
        <f ca="1" t="shared" si="309"/>
        <v>16</v>
      </c>
      <c r="Z1831" s="304">
        <f ca="1" t="shared" si="302"/>
        <v>16</v>
      </c>
      <c r="AA1831" s="304">
        <f ca="1">OFFSET(卡牌辅助配置表!$AD$1,MATCH(AB1831,卡牌辅助配置表!AB:AB,0)-1,0)</f>
        <v>635</v>
      </c>
      <c r="AB1831" s="304">
        <f ca="1" t="shared" si="307"/>
        <v>1215</v>
      </c>
      <c r="AC1831" s="153">
        <v>12</v>
      </c>
      <c r="AF1831" s="153" t="str">
        <f ca="1" t="shared" si="311"/>
        <v>30100011|</v>
      </c>
      <c r="AJ1831" s="205" t="str">
        <f ca="1" t="shared" si="308"/>
        <v>400023|7050|;</v>
      </c>
      <c r="AK1831" s="205">
        <f ca="1">OFFSET([1]item_type!$A$1,MATCH(Q1831,[1]item_type!$G:$G,0)-1,0)</f>
        <v>303010</v>
      </c>
      <c r="AL1831" s="205"/>
      <c r="AM1831" s="205">
        <f ca="1">IF(B1831=B1832,OFFSET(卡牌辅助配置表!$AE$1,MATCH(AB1831,卡牌辅助配置表!AB:AB,0),0),0)</f>
        <v>7050</v>
      </c>
      <c r="AN1831" s="153">
        <f ca="1" t="shared" si="303"/>
        <v>3010016</v>
      </c>
      <c r="AP1831" s="153">
        <f ca="1">IF(AC1831=0,0,IF(AC1831=12,0,OFFSET(effect!$N$1,MATCH(K1831,effect!M:M,0)-1,0)))</f>
        <v>0</v>
      </c>
    </row>
    <row r="1832" spans="1:42">
      <c r="A1832" s="153">
        <f ca="1" t="shared" si="304"/>
        <v>3010016</v>
      </c>
      <c r="B1832" s="153" t="s">
        <v>506</v>
      </c>
      <c r="C1832" s="186">
        <v>3</v>
      </c>
      <c r="D1832" s="186">
        <v>4</v>
      </c>
      <c r="E1832" s="165" t="s">
        <v>1069</v>
      </c>
      <c r="F1832" s="186" t="s">
        <v>876</v>
      </c>
      <c r="G1832" s="186">
        <f ca="1">OFFSET(卡牌辅助配置表!$C$1,MATCH(AC1832,卡牌辅助配置表!A:A,0)-1,0)</f>
        <v>0</v>
      </c>
      <c r="H1832" s="186">
        <f ca="1" t="shared" si="310"/>
        <v>0</v>
      </c>
      <c r="I1832" s="186"/>
      <c r="J1832" s="186">
        <f ca="1">OFFSET(card_type!$F$1,MATCH(Q1832,card_type!A:A,0)-1,0)</f>
        <v>1</v>
      </c>
      <c r="K1832" s="243">
        <f ca="1">OFFSET(card_type!$G$1,MATCH(Q1832,card_type!A:A,0)-1,0)</f>
        <v>2</v>
      </c>
      <c r="L1832" s="157">
        <v>1</v>
      </c>
      <c r="M1832" s="157">
        <v>1</v>
      </c>
      <c r="N1832" s="153">
        <f t="shared" si="305"/>
        <v>16</v>
      </c>
      <c r="O1832" s="157"/>
      <c r="P1832" s="157"/>
      <c r="Q1832" s="153">
        <f ca="1">OFFSET(card_type!$A$1,MATCH(card!B1832,card_type!B:B,0)-1,0)</f>
        <v>3010</v>
      </c>
      <c r="R1832" s="153">
        <v>1</v>
      </c>
      <c r="S1832" s="157">
        <f ca="1">ROUND(IF(R1832=0,0,IF(R1832=1,X1832*$S$1,IF(R1832=2,X1832*$S$1*buff的资质计算!$E$2,IF(R1832=3,X1832*$S$1*buff的资质计算!$E$3,0)))),0)*0</f>
        <v>0</v>
      </c>
      <c r="T1832" s="153">
        <v>2</v>
      </c>
      <c r="U1832" s="153">
        <f ca="1" t="shared" si="306"/>
        <v>12</v>
      </c>
      <c r="V1832" s="153">
        <f ca="1">ROUND((OFFSET(卡牌辅助配置表!$O$1,MATCH(U1832,卡牌辅助配置表!M:M,0)-1,0)+(N1832-1)*OFFSET(卡牌辅助配置表!$P$1,MATCH(U1832,卡牌辅助配置表!M:M,0)-1,0))*M1832,2)</f>
        <v>14.25</v>
      </c>
      <c r="W1832" s="157">
        <f ca="1">ROUND(IF(R1832=0,0,IF(R1832=1,X1832*$W$1,IF(R1832=2,X1832*$W$1*buff的资质计算!$E$2,IF(R1832=3,X1832*$W$1*buff的资质计算!$E$3,0)))),2)</f>
        <v>4.95</v>
      </c>
      <c r="X1832" s="157">
        <f ca="1" t="shared" si="301"/>
        <v>16.5</v>
      </c>
      <c r="Y1832" s="157">
        <f ca="1" t="shared" si="309"/>
        <v>16.5</v>
      </c>
      <c r="Z1832" s="304">
        <f ca="1" t="shared" si="302"/>
        <v>16.5</v>
      </c>
      <c r="AA1832" s="304">
        <f ca="1">OFFSET(卡牌辅助配置表!$AD$1,MATCH(AB1832,卡牌辅助配置表!AB:AB,0)-1,0)</f>
        <v>690</v>
      </c>
      <c r="AB1832" s="304">
        <f ca="1" t="shared" si="307"/>
        <v>1216</v>
      </c>
      <c r="AC1832" s="153">
        <v>12</v>
      </c>
      <c r="AF1832" s="153" t="str">
        <f ca="1" t="shared" si="311"/>
        <v>30100011|</v>
      </c>
      <c r="AJ1832" s="205" t="str">
        <f ca="1" t="shared" si="308"/>
        <v>400023|7650|;</v>
      </c>
      <c r="AK1832" s="205">
        <f ca="1">OFFSET([1]item_type!$A$1,MATCH(Q1832,[1]item_type!$G:$G,0)-1,0)</f>
        <v>303010</v>
      </c>
      <c r="AL1832" s="205"/>
      <c r="AM1832" s="205">
        <f ca="1">IF(B1832=B1833,OFFSET(卡牌辅助配置表!$AE$1,MATCH(AB1832,卡牌辅助配置表!AB:AB,0),0),0)</f>
        <v>7650</v>
      </c>
      <c r="AN1832" s="153">
        <f ca="1" t="shared" si="303"/>
        <v>3010017</v>
      </c>
      <c r="AP1832" s="153">
        <f ca="1">IF(AC1832=0,0,IF(AC1832=12,0,OFFSET(effect!$N$1,MATCH(K1832,effect!M:M,0)-1,0)))</f>
        <v>0</v>
      </c>
    </row>
    <row r="1833" spans="1:42">
      <c r="A1833" s="153">
        <f ca="1" t="shared" si="304"/>
        <v>3010017</v>
      </c>
      <c r="B1833" s="153" t="s">
        <v>506</v>
      </c>
      <c r="C1833" s="186">
        <v>3</v>
      </c>
      <c r="D1833" s="186">
        <v>4</v>
      </c>
      <c r="E1833" s="165" t="s">
        <v>1069</v>
      </c>
      <c r="F1833" s="186" t="s">
        <v>876</v>
      </c>
      <c r="G1833" s="186">
        <f ca="1">OFFSET(卡牌辅助配置表!$C$1,MATCH(AC1833,卡牌辅助配置表!A:A,0)-1,0)</f>
        <v>0</v>
      </c>
      <c r="H1833" s="186">
        <f ca="1" t="shared" si="310"/>
        <v>0</v>
      </c>
      <c r="I1833" s="186"/>
      <c r="J1833" s="186">
        <f ca="1">OFFSET(card_type!$F$1,MATCH(Q1833,card_type!A:A,0)-1,0)</f>
        <v>1</v>
      </c>
      <c r="K1833" s="243">
        <f ca="1">OFFSET(card_type!$G$1,MATCH(Q1833,card_type!A:A,0)-1,0)</f>
        <v>2</v>
      </c>
      <c r="L1833" s="157">
        <v>1</v>
      </c>
      <c r="M1833" s="157">
        <v>1</v>
      </c>
      <c r="N1833" s="153">
        <f t="shared" si="305"/>
        <v>17</v>
      </c>
      <c r="O1833" s="157"/>
      <c r="P1833" s="157"/>
      <c r="Q1833" s="153">
        <f ca="1">OFFSET(card_type!$A$1,MATCH(card!B1833,card_type!B:B,0)-1,0)</f>
        <v>3010</v>
      </c>
      <c r="R1833" s="153">
        <v>1</v>
      </c>
      <c r="S1833" s="157">
        <f ca="1">ROUND(IF(R1833=0,0,IF(R1833=1,X1833*$S$1,IF(R1833=2,X1833*$S$1*buff的资质计算!$E$2,IF(R1833=3,X1833*$S$1*buff的资质计算!$E$3,0)))),0)*0</f>
        <v>0</v>
      </c>
      <c r="T1833" s="153">
        <v>2</v>
      </c>
      <c r="U1833" s="153">
        <f ca="1" t="shared" si="306"/>
        <v>12</v>
      </c>
      <c r="V1833" s="153">
        <f ca="1">ROUND((OFFSET(卡牌辅助配置表!$O$1,MATCH(U1833,卡牌辅助配置表!M:M,0)-1,0)+(N1833-1)*OFFSET(卡牌辅助配置表!$P$1,MATCH(U1833,卡牌辅助配置表!M:M,0)-1,0))*M1833,2)</f>
        <v>14.57</v>
      </c>
      <c r="W1833" s="157">
        <f ca="1">ROUND(IF(R1833=0,0,IF(R1833=1,X1833*$W$1,IF(R1833=2,X1833*$W$1*buff的资质计算!$E$2,IF(R1833=3,X1833*$W$1*buff的资质计算!$E$3,0)))),2)</f>
        <v>5.1</v>
      </c>
      <c r="X1833" s="157">
        <f ca="1" t="shared" si="301"/>
        <v>17</v>
      </c>
      <c r="Y1833" s="157">
        <f ca="1" t="shared" si="309"/>
        <v>17</v>
      </c>
      <c r="Z1833" s="304">
        <f ca="1" t="shared" si="302"/>
        <v>17</v>
      </c>
      <c r="AA1833" s="304">
        <f ca="1">OFFSET(卡牌辅助配置表!$AD$1,MATCH(AB1833,卡牌辅助配置表!AB:AB,0)-1,0)</f>
        <v>745</v>
      </c>
      <c r="AB1833" s="304">
        <f ca="1" t="shared" si="307"/>
        <v>1217</v>
      </c>
      <c r="AC1833" s="153">
        <v>12</v>
      </c>
      <c r="AF1833" s="153" t="str">
        <f ca="1" t="shared" si="311"/>
        <v>30100011|</v>
      </c>
      <c r="AJ1833" s="205" t="str">
        <f ca="1" t="shared" si="308"/>
        <v>400023|8250|;</v>
      </c>
      <c r="AK1833" s="205">
        <f ca="1">OFFSET([1]item_type!$A$1,MATCH(Q1833,[1]item_type!$G:$G,0)-1,0)</f>
        <v>303010</v>
      </c>
      <c r="AL1833" s="205"/>
      <c r="AM1833" s="205">
        <f ca="1">IF(B1833=B1834,OFFSET(卡牌辅助配置表!$AE$1,MATCH(AB1833,卡牌辅助配置表!AB:AB,0),0),0)</f>
        <v>8250</v>
      </c>
      <c r="AN1833" s="153">
        <f ca="1" t="shared" si="303"/>
        <v>3010018</v>
      </c>
      <c r="AP1833" s="153">
        <f ca="1">IF(AC1833=0,0,IF(AC1833=12,0,OFFSET(effect!$N$1,MATCH(K1833,effect!M:M,0)-1,0)))</f>
        <v>0</v>
      </c>
    </row>
    <row r="1834" spans="1:42">
      <c r="A1834" s="153">
        <f ca="1" t="shared" si="304"/>
        <v>3010018</v>
      </c>
      <c r="B1834" s="153" t="s">
        <v>506</v>
      </c>
      <c r="C1834" s="186">
        <v>3</v>
      </c>
      <c r="D1834" s="186">
        <v>4</v>
      </c>
      <c r="E1834" s="165" t="s">
        <v>1069</v>
      </c>
      <c r="F1834" s="186" t="s">
        <v>876</v>
      </c>
      <c r="G1834" s="186">
        <f ca="1">OFFSET(卡牌辅助配置表!$C$1,MATCH(AC1834,卡牌辅助配置表!A:A,0)-1,0)</f>
        <v>0</v>
      </c>
      <c r="H1834" s="186">
        <f ca="1" t="shared" si="310"/>
        <v>0</v>
      </c>
      <c r="I1834" s="186"/>
      <c r="J1834" s="186">
        <f ca="1">OFFSET(card_type!$F$1,MATCH(Q1834,card_type!A:A,0)-1,0)</f>
        <v>1</v>
      </c>
      <c r="K1834" s="243">
        <f ca="1">OFFSET(card_type!$G$1,MATCH(Q1834,card_type!A:A,0)-1,0)</f>
        <v>2</v>
      </c>
      <c r="L1834" s="157">
        <v>1</v>
      </c>
      <c r="M1834" s="157">
        <v>1</v>
      </c>
      <c r="N1834" s="153">
        <f t="shared" si="305"/>
        <v>18</v>
      </c>
      <c r="O1834" s="157"/>
      <c r="P1834" s="157"/>
      <c r="Q1834" s="153">
        <f ca="1">OFFSET(card_type!$A$1,MATCH(card!B1834,card_type!B:B,0)-1,0)</f>
        <v>3010</v>
      </c>
      <c r="R1834" s="153">
        <v>1</v>
      </c>
      <c r="S1834" s="157">
        <f ca="1">ROUND(IF(R1834=0,0,IF(R1834=1,X1834*$S$1,IF(R1834=2,X1834*$S$1*buff的资质计算!$E$2,IF(R1834=3,X1834*$S$1*buff的资质计算!$E$3,0)))),0)*0</f>
        <v>0</v>
      </c>
      <c r="T1834" s="153">
        <v>2</v>
      </c>
      <c r="U1834" s="153">
        <f ca="1" t="shared" si="306"/>
        <v>12</v>
      </c>
      <c r="V1834" s="153">
        <f ca="1">ROUND((OFFSET(卡牌辅助配置表!$O$1,MATCH(U1834,卡牌辅助配置表!M:M,0)-1,0)+(N1834-1)*OFFSET(卡牌辅助配置表!$P$1,MATCH(U1834,卡牌辅助配置表!M:M,0)-1,0))*M1834,2)</f>
        <v>14.88</v>
      </c>
      <c r="W1834" s="157">
        <f ca="1">ROUND(IF(R1834=0,0,IF(R1834=1,X1834*$W$1,IF(R1834=2,X1834*$W$1*buff的资质计算!$E$2,IF(R1834=3,X1834*$W$1*buff的资质计算!$E$3,0)))),2)</f>
        <v>5.25</v>
      </c>
      <c r="X1834" s="157">
        <f ca="1" t="shared" si="301"/>
        <v>17.5</v>
      </c>
      <c r="Y1834" s="157">
        <f ca="1" t="shared" si="309"/>
        <v>17.5</v>
      </c>
      <c r="Z1834" s="304">
        <f ca="1" t="shared" si="302"/>
        <v>17.5</v>
      </c>
      <c r="AA1834" s="304">
        <f ca="1">OFFSET(卡牌辅助配置表!$AD$1,MATCH(AB1834,卡牌辅助配置表!AB:AB,0)-1,0)</f>
        <v>800</v>
      </c>
      <c r="AB1834" s="304">
        <f ca="1" t="shared" si="307"/>
        <v>1218</v>
      </c>
      <c r="AC1834" s="153">
        <v>12</v>
      </c>
      <c r="AF1834" s="153" t="str">
        <f ca="1" t="shared" si="311"/>
        <v>30100011|</v>
      </c>
      <c r="AJ1834" s="205" t="str">
        <f ca="1" t="shared" si="308"/>
        <v>400023|8850|;</v>
      </c>
      <c r="AK1834" s="205">
        <f ca="1">OFFSET([1]item_type!$A$1,MATCH(Q1834,[1]item_type!$G:$G,0)-1,0)</f>
        <v>303010</v>
      </c>
      <c r="AL1834" s="205"/>
      <c r="AM1834" s="205">
        <f ca="1">IF(B1834=B1835,OFFSET(卡牌辅助配置表!$AE$1,MATCH(AB1834,卡牌辅助配置表!AB:AB,0),0),0)</f>
        <v>8850</v>
      </c>
      <c r="AN1834" s="153">
        <f ca="1" t="shared" si="303"/>
        <v>3010019</v>
      </c>
      <c r="AP1834" s="153">
        <f ca="1">IF(AC1834=0,0,IF(AC1834=12,0,OFFSET(effect!$N$1,MATCH(K1834,effect!M:M,0)-1,0)))</f>
        <v>0</v>
      </c>
    </row>
    <row r="1835" spans="1:42">
      <c r="A1835" s="153">
        <f ca="1" t="shared" si="304"/>
        <v>3010019</v>
      </c>
      <c r="B1835" s="153" t="s">
        <v>506</v>
      </c>
      <c r="C1835" s="186">
        <v>3</v>
      </c>
      <c r="D1835" s="186">
        <v>4</v>
      </c>
      <c r="E1835" s="165" t="s">
        <v>1069</v>
      </c>
      <c r="F1835" s="186" t="s">
        <v>876</v>
      </c>
      <c r="G1835" s="186">
        <f ca="1">OFFSET(卡牌辅助配置表!$C$1,MATCH(AC1835,卡牌辅助配置表!A:A,0)-1,0)</f>
        <v>0</v>
      </c>
      <c r="H1835" s="186">
        <f ca="1" t="shared" si="310"/>
        <v>0</v>
      </c>
      <c r="I1835" s="186"/>
      <c r="J1835" s="186">
        <f ca="1">OFFSET(card_type!$F$1,MATCH(Q1835,card_type!A:A,0)-1,0)</f>
        <v>1</v>
      </c>
      <c r="K1835" s="243">
        <f ca="1">OFFSET(card_type!$G$1,MATCH(Q1835,card_type!A:A,0)-1,0)</f>
        <v>2</v>
      </c>
      <c r="L1835" s="157">
        <v>1</v>
      </c>
      <c r="M1835" s="157">
        <v>1</v>
      </c>
      <c r="N1835" s="153">
        <f t="shared" si="305"/>
        <v>19</v>
      </c>
      <c r="O1835" s="157"/>
      <c r="P1835" s="157"/>
      <c r="Q1835" s="153">
        <f ca="1">OFFSET(card_type!$A$1,MATCH(card!B1835,card_type!B:B,0)-1,0)</f>
        <v>3010</v>
      </c>
      <c r="R1835" s="153">
        <v>1</v>
      </c>
      <c r="S1835" s="157">
        <f ca="1">ROUND(IF(R1835=0,0,IF(R1835=1,X1835*$S$1,IF(R1835=2,X1835*$S$1*buff的资质计算!$E$2,IF(R1835=3,X1835*$S$1*buff的资质计算!$E$3,0)))),0)*0</f>
        <v>0</v>
      </c>
      <c r="T1835" s="153">
        <v>2</v>
      </c>
      <c r="U1835" s="153">
        <f ca="1" t="shared" si="306"/>
        <v>12</v>
      </c>
      <c r="V1835" s="153">
        <f ca="1">ROUND((OFFSET(卡牌辅助配置表!$O$1,MATCH(U1835,卡牌辅助配置表!M:M,0)-1,0)+(N1835-1)*OFFSET(卡牌辅助配置表!$P$1,MATCH(U1835,卡牌辅助配置表!M:M,0)-1,0))*M1835,2)</f>
        <v>15.2</v>
      </c>
      <c r="W1835" s="157">
        <f ca="1">ROUND(IF(R1835=0,0,IF(R1835=1,X1835*$W$1,IF(R1835=2,X1835*$W$1*buff的资质计算!$E$2,IF(R1835=3,X1835*$W$1*buff的资质计算!$E$3,0)))),2)</f>
        <v>5.4</v>
      </c>
      <c r="X1835" s="157">
        <f ca="1" t="shared" si="301"/>
        <v>18</v>
      </c>
      <c r="Y1835" s="157">
        <f ca="1" t="shared" si="309"/>
        <v>18</v>
      </c>
      <c r="Z1835" s="304">
        <f ca="1" t="shared" si="302"/>
        <v>18</v>
      </c>
      <c r="AA1835" s="304">
        <f ca="1">OFFSET(卡牌辅助配置表!$AD$1,MATCH(AB1835,卡牌辅助配置表!AB:AB,0)-1,0)</f>
        <v>855</v>
      </c>
      <c r="AB1835" s="304">
        <f ca="1" t="shared" si="307"/>
        <v>1219</v>
      </c>
      <c r="AC1835" s="153">
        <v>12</v>
      </c>
      <c r="AF1835" s="153" t="str">
        <f ca="1" t="shared" si="311"/>
        <v>30100011|</v>
      </c>
      <c r="AJ1835" s="205" t="str">
        <f ca="1" t="shared" si="308"/>
        <v>303010|20|;400023|9450|;</v>
      </c>
      <c r="AK1835" s="205">
        <f ca="1">OFFSET([1]item_type!$A$1,MATCH(Q1835,[1]item_type!$G:$G,0)-1,0)</f>
        <v>303010</v>
      </c>
      <c r="AL1835" s="205">
        <v>20</v>
      </c>
      <c r="AM1835" s="205">
        <f ca="1">IF(B1835=B1836,OFFSET(卡牌辅助配置表!$AE$1,MATCH(AB1835,卡牌辅助配置表!AB:AB,0),0),0)</f>
        <v>9450</v>
      </c>
      <c r="AN1835" s="153">
        <f ca="1" t="shared" si="303"/>
        <v>3010020</v>
      </c>
      <c r="AP1835" s="153">
        <f ca="1">IF(AC1835=0,0,IF(AC1835=12,0,OFFSET(effect!$N$1,MATCH(K1835,effect!M:M,0)-1,0)))</f>
        <v>0</v>
      </c>
    </row>
    <row r="1836" spans="1:42">
      <c r="A1836" s="153">
        <f ca="1" t="shared" si="304"/>
        <v>3010020</v>
      </c>
      <c r="B1836" s="153" t="s">
        <v>506</v>
      </c>
      <c r="C1836" s="186">
        <v>3</v>
      </c>
      <c r="D1836" s="186">
        <v>4</v>
      </c>
      <c r="E1836" s="165" t="s">
        <v>1069</v>
      </c>
      <c r="F1836" s="186" t="s">
        <v>876</v>
      </c>
      <c r="G1836" s="186">
        <f ca="1">OFFSET(卡牌辅助配置表!$C$1,MATCH(AC1836,卡牌辅助配置表!A:A,0)-1,0)</f>
        <v>0</v>
      </c>
      <c r="H1836" s="186">
        <f ca="1" t="shared" si="310"/>
        <v>0</v>
      </c>
      <c r="I1836" s="186"/>
      <c r="J1836" s="186">
        <f ca="1">OFFSET(card_type!$F$1,MATCH(Q1836,card_type!A:A,0)-1,0)</f>
        <v>1</v>
      </c>
      <c r="K1836" s="243">
        <f ca="1">OFFSET(card_type!$G$1,MATCH(Q1836,card_type!A:A,0)-1,0)</f>
        <v>2</v>
      </c>
      <c r="L1836" s="157">
        <v>1</v>
      </c>
      <c r="M1836" s="157">
        <v>1</v>
      </c>
      <c r="N1836" s="153">
        <f t="shared" si="305"/>
        <v>20</v>
      </c>
      <c r="O1836" s="157"/>
      <c r="P1836" s="157"/>
      <c r="Q1836" s="153">
        <f ca="1">OFFSET(card_type!$A$1,MATCH(card!B1836,card_type!B:B,0)-1,0)</f>
        <v>3010</v>
      </c>
      <c r="R1836" s="153">
        <v>1</v>
      </c>
      <c r="S1836" s="157">
        <f ca="1">ROUND(IF(R1836=0,0,IF(R1836=1,X1836*$S$1,IF(R1836=2,X1836*$S$1*buff的资质计算!$E$2,IF(R1836=3,X1836*$S$1*buff的资质计算!$E$3,0)))),0)*0</f>
        <v>0</v>
      </c>
      <c r="T1836" s="153">
        <v>2</v>
      </c>
      <c r="U1836" s="153">
        <f ca="1" t="shared" si="306"/>
        <v>12</v>
      </c>
      <c r="V1836" s="153">
        <f ca="1">ROUND((OFFSET(卡牌辅助配置表!$O$1,MATCH(U1836,卡牌辅助配置表!M:M,0)-1,0)+(N1836-1)*OFFSET(卡牌辅助配置表!$P$1,MATCH(U1836,卡牌辅助配置表!M:M,0)-1,0))*M1836,2)</f>
        <v>15.52</v>
      </c>
      <c r="W1836" s="157">
        <f ca="1">ROUND(IF(R1836=0,0,IF(R1836=1,X1836*$W$1,IF(R1836=2,X1836*$W$1*buff的资质计算!$E$2,IF(R1836=3,X1836*$W$1*buff的资质计算!$E$3,0)))),2)</f>
        <v>5.55</v>
      </c>
      <c r="X1836" s="157">
        <f ca="1" t="shared" si="301"/>
        <v>18.5</v>
      </c>
      <c r="Y1836" s="157">
        <f ca="1" t="shared" si="309"/>
        <v>18.5</v>
      </c>
      <c r="Z1836" s="304">
        <f ca="1" t="shared" si="302"/>
        <v>18.5</v>
      </c>
      <c r="AA1836" s="304">
        <f ca="1">OFFSET(卡牌辅助配置表!$AD$1,MATCH(AB1836,卡牌辅助配置表!AB:AB,0)-1,0)</f>
        <v>910</v>
      </c>
      <c r="AB1836" s="304">
        <f ca="1" t="shared" si="307"/>
        <v>1220</v>
      </c>
      <c r="AC1836" s="153">
        <v>12</v>
      </c>
      <c r="AF1836" s="153" t="str">
        <f ca="1" t="shared" si="311"/>
        <v>30100011|</v>
      </c>
      <c r="AJ1836" s="205" t="str">
        <f ca="1" t="shared" si="308"/>
        <v>400023|10650|;</v>
      </c>
      <c r="AK1836" s="205">
        <f ca="1">OFFSET([1]item_type!$A$1,MATCH(Q1836,[1]item_type!$G:$G,0)-1,0)</f>
        <v>303010</v>
      </c>
      <c r="AL1836" s="205"/>
      <c r="AM1836" s="205">
        <f ca="1">IF(B1836=B1837,OFFSET(卡牌辅助配置表!$AE$1,MATCH(AB1836,卡牌辅助配置表!AB:AB,0),0),0)</f>
        <v>10650</v>
      </c>
      <c r="AN1836" s="153">
        <f ca="1" t="shared" si="303"/>
        <v>3010021</v>
      </c>
      <c r="AP1836" s="153">
        <f ca="1">IF(AC1836=0,0,IF(AC1836=12,0,OFFSET(effect!$N$1,MATCH(K1836,effect!M:M,0)-1,0)))</f>
        <v>0</v>
      </c>
    </row>
    <row r="1837" spans="1:42">
      <c r="A1837" s="153">
        <f ca="1" t="shared" si="304"/>
        <v>3010021</v>
      </c>
      <c r="B1837" s="153" t="s">
        <v>506</v>
      </c>
      <c r="C1837" s="186">
        <v>3</v>
      </c>
      <c r="D1837" s="186">
        <v>4</v>
      </c>
      <c r="E1837" s="165" t="s">
        <v>1069</v>
      </c>
      <c r="F1837" s="186" t="s">
        <v>876</v>
      </c>
      <c r="G1837" s="186">
        <f ca="1">OFFSET(卡牌辅助配置表!$C$1,MATCH(AC1837,卡牌辅助配置表!A:A,0)-1,0)</f>
        <v>0</v>
      </c>
      <c r="H1837" s="186">
        <f ca="1" t="shared" si="310"/>
        <v>0</v>
      </c>
      <c r="I1837" s="186"/>
      <c r="J1837" s="186">
        <f ca="1">OFFSET(card_type!$F$1,MATCH(Q1837,card_type!A:A,0)-1,0)</f>
        <v>1</v>
      </c>
      <c r="K1837" s="243">
        <f ca="1">OFFSET(card_type!$G$1,MATCH(Q1837,card_type!A:A,0)-1,0)</f>
        <v>2</v>
      </c>
      <c r="L1837" s="157">
        <v>1</v>
      </c>
      <c r="M1837" s="157">
        <v>1</v>
      </c>
      <c r="N1837" s="153">
        <f t="shared" si="305"/>
        <v>21</v>
      </c>
      <c r="O1837" s="157"/>
      <c r="P1837" s="157"/>
      <c r="Q1837" s="153">
        <f ca="1">OFFSET(card_type!$A$1,MATCH(card!B1837,card_type!B:B,0)-1,0)</f>
        <v>3010</v>
      </c>
      <c r="R1837" s="153">
        <v>1</v>
      </c>
      <c r="S1837" s="157">
        <f ca="1">ROUND(IF(R1837=0,0,IF(R1837=1,X1837*$S$1,IF(R1837=2,X1837*$S$1*buff的资质计算!$E$2,IF(R1837=3,X1837*$S$1*buff的资质计算!$E$3,0)))),0)*0</f>
        <v>0</v>
      </c>
      <c r="T1837" s="153">
        <v>2</v>
      </c>
      <c r="U1837" s="153">
        <f ca="1" t="shared" si="306"/>
        <v>12</v>
      </c>
      <c r="V1837" s="153">
        <f ca="1">ROUND((OFFSET(卡牌辅助配置表!$O$1,MATCH(U1837,卡牌辅助配置表!M:M,0)-1,0)+(N1837-1)*OFFSET(卡牌辅助配置表!$P$1,MATCH(U1837,卡牌辅助配置表!M:M,0)-1,0))*M1837,2)</f>
        <v>15.83</v>
      </c>
      <c r="W1837" s="157">
        <f ca="1">ROUND(IF(R1837=0,0,IF(R1837=1,X1837*$W$1,IF(R1837=2,X1837*$W$1*buff的资质计算!$E$2,IF(R1837=3,X1837*$W$1*buff的资质计算!$E$3,0)))),2)</f>
        <v>5.7</v>
      </c>
      <c r="X1837" s="157">
        <f ca="1" t="shared" si="301"/>
        <v>19</v>
      </c>
      <c r="Y1837" s="157">
        <f ca="1" t="shared" si="309"/>
        <v>19</v>
      </c>
      <c r="Z1837" s="304">
        <f ca="1" t="shared" si="302"/>
        <v>19</v>
      </c>
      <c r="AA1837" s="304">
        <f ca="1">OFFSET(卡牌辅助配置表!$AD$1,MATCH(AB1837,卡牌辅助配置表!AB:AB,0)-1,0)</f>
        <v>983</v>
      </c>
      <c r="AB1837" s="304">
        <f ca="1" t="shared" si="307"/>
        <v>1221</v>
      </c>
      <c r="AC1837" s="153">
        <v>12</v>
      </c>
      <c r="AF1837" s="153" t="str">
        <f ca="1" t="shared" si="311"/>
        <v>30100011|</v>
      </c>
      <c r="AJ1837" s="205" t="str">
        <f ca="1" t="shared" si="308"/>
        <v>400023|11850|;</v>
      </c>
      <c r="AK1837" s="205">
        <f ca="1">OFFSET([1]item_type!$A$1,MATCH(Q1837,[1]item_type!$G:$G,0)-1,0)</f>
        <v>303010</v>
      </c>
      <c r="AL1837" s="205"/>
      <c r="AM1837" s="205">
        <f ca="1">IF(B1837=B1838,OFFSET(卡牌辅助配置表!$AE$1,MATCH(AB1837,卡牌辅助配置表!AB:AB,0),0),0)</f>
        <v>11850</v>
      </c>
      <c r="AN1837" s="153">
        <f ca="1" t="shared" si="303"/>
        <v>3010022</v>
      </c>
      <c r="AP1837" s="153">
        <f ca="1">IF(AC1837=0,0,IF(AC1837=12,0,OFFSET(effect!$N$1,MATCH(K1837,effect!M:M,0)-1,0)))</f>
        <v>0</v>
      </c>
    </row>
    <row r="1838" spans="1:42">
      <c r="A1838" s="153">
        <f ca="1" t="shared" si="304"/>
        <v>3010022</v>
      </c>
      <c r="B1838" s="153" t="s">
        <v>506</v>
      </c>
      <c r="C1838" s="186">
        <v>3</v>
      </c>
      <c r="D1838" s="186">
        <v>4</v>
      </c>
      <c r="E1838" s="165" t="s">
        <v>1069</v>
      </c>
      <c r="F1838" s="186" t="s">
        <v>876</v>
      </c>
      <c r="G1838" s="186">
        <f ca="1">OFFSET(卡牌辅助配置表!$C$1,MATCH(AC1838,卡牌辅助配置表!A:A,0)-1,0)</f>
        <v>0</v>
      </c>
      <c r="H1838" s="186">
        <f ca="1" t="shared" si="310"/>
        <v>0</v>
      </c>
      <c r="I1838" s="186"/>
      <c r="J1838" s="186">
        <f ca="1">OFFSET(card_type!$F$1,MATCH(Q1838,card_type!A:A,0)-1,0)</f>
        <v>1</v>
      </c>
      <c r="K1838" s="243">
        <f ca="1">OFFSET(card_type!$G$1,MATCH(Q1838,card_type!A:A,0)-1,0)</f>
        <v>2</v>
      </c>
      <c r="L1838" s="157">
        <v>1</v>
      </c>
      <c r="M1838" s="157">
        <v>1</v>
      </c>
      <c r="N1838" s="153">
        <f t="shared" si="305"/>
        <v>22</v>
      </c>
      <c r="O1838" s="157"/>
      <c r="P1838" s="157"/>
      <c r="Q1838" s="153">
        <f ca="1">OFFSET(card_type!$A$1,MATCH(card!B1838,card_type!B:B,0)-1,0)</f>
        <v>3010</v>
      </c>
      <c r="R1838" s="153">
        <v>1</v>
      </c>
      <c r="S1838" s="157">
        <f ca="1">ROUND(IF(R1838=0,0,IF(R1838=1,X1838*$S$1,IF(R1838=2,X1838*$S$1*buff的资质计算!$E$2,IF(R1838=3,X1838*$S$1*buff的资质计算!$E$3,0)))),0)*0</f>
        <v>0</v>
      </c>
      <c r="T1838" s="153">
        <v>2</v>
      </c>
      <c r="U1838" s="153">
        <f ca="1" t="shared" si="306"/>
        <v>12</v>
      </c>
      <c r="V1838" s="153">
        <f ca="1">ROUND((OFFSET(卡牌辅助配置表!$O$1,MATCH(U1838,卡牌辅助配置表!M:M,0)-1,0)+(N1838-1)*OFFSET(卡牌辅助配置表!$P$1,MATCH(U1838,卡牌辅助配置表!M:M,0)-1,0))*M1838,2)</f>
        <v>16.15</v>
      </c>
      <c r="W1838" s="157">
        <f ca="1">ROUND(IF(R1838=0,0,IF(R1838=1,X1838*$W$1,IF(R1838=2,X1838*$W$1*buff的资质计算!$E$2,IF(R1838=3,X1838*$W$1*buff的资质计算!$E$3,0)))),2)</f>
        <v>5.85</v>
      </c>
      <c r="X1838" s="157">
        <f ca="1" t="shared" si="301"/>
        <v>19.5</v>
      </c>
      <c r="Y1838" s="157">
        <f ca="1" t="shared" si="309"/>
        <v>19.5</v>
      </c>
      <c r="Z1838" s="304">
        <f ca="1" t="shared" si="302"/>
        <v>19.5</v>
      </c>
      <c r="AA1838" s="304">
        <f ca="1">OFFSET(卡牌辅助配置表!$AD$1,MATCH(AB1838,卡牌辅助配置表!AB:AB,0)-1,0)</f>
        <v>1056</v>
      </c>
      <c r="AB1838" s="304">
        <f ca="1" t="shared" si="307"/>
        <v>1222</v>
      </c>
      <c r="AC1838" s="153">
        <v>12</v>
      </c>
      <c r="AF1838" s="153" t="str">
        <f ca="1" t="shared" si="311"/>
        <v>30100011|</v>
      </c>
      <c r="AJ1838" s="205" t="str">
        <f ca="1" t="shared" si="308"/>
        <v>400023|13050|;</v>
      </c>
      <c r="AK1838" s="205">
        <f ca="1">OFFSET([1]item_type!$A$1,MATCH(Q1838,[1]item_type!$G:$G,0)-1,0)</f>
        <v>303010</v>
      </c>
      <c r="AL1838" s="205"/>
      <c r="AM1838" s="205">
        <f ca="1">IF(B1838=B1839,OFFSET(卡牌辅助配置表!$AE$1,MATCH(AB1838,卡牌辅助配置表!AB:AB,0),0),0)</f>
        <v>13050</v>
      </c>
      <c r="AN1838" s="153">
        <f ca="1" t="shared" si="303"/>
        <v>3010023</v>
      </c>
      <c r="AP1838" s="153">
        <f ca="1">IF(AC1838=0,0,IF(AC1838=12,0,OFFSET(effect!$N$1,MATCH(K1838,effect!M:M,0)-1,0)))</f>
        <v>0</v>
      </c>
    </row>
    <row r="1839" spans="1:42">
      <c r="A1839" s="153">
        <f ca="1" t="shared" si="304"/>
        <v>3010023</v>
      </c>
      <c r="B1839" s="153" t="s">
        <v>506</v>
      </c>
      <c r="C1839" s="186">
        <v>3</v>
      </c>
      <c r="D1839" s="186">
        <v>4</v>
      </c>
      <c r="E1839" s="165" t="s">
        <v>1069</v>
      </c>
      <c r="F1839" s="186" t="s">
        <v>876</v>
      </c>
      <c r="G1839" s="186">
        <f ca="1">OFFSET(卡牌辅助配置表!$C$1,MATCH(AC1839,卡牌辅助配置表!A:A,0)-1,0)</f>
        <v>0</v>
      </c>
      <c r="H1839" s="186">
        <f ca="1" t="shared" si="310"/>
        <v>0</v>
      </c>
      <c r="I1839" s="186"/>
      <c r="J1839" s="186">
        <f ca="1">OFFSET(card_type!$F$1,MATCH(Q1839,card_type!A:A,0)-1,0)</f>
        <v>1</v>
      </c>
      <c r="K1839" s="243">
        <f ca="1">OFFSET(card_type!$G$1,MATCH(Q1839,card_type!A:A,0)-1,0)</f>
        <v>2</v>
      </c>
      <c r="L1839" s="157">
        <v>1</v>
      </c>
      <c r="M1839" s="157">
        <v>1</v>
      </c>
      <c r="N1839" s="153">
        <f t="shared" si="305"/>
        <v>23</v>
      </c>
      <c r="O1839" s="157"/>
      <c r="P1839" s="157"/>
      <c r="Q1839" s="153">
        <f ca="1">OFFSET(card_type!$A$1,MATCH(card!B1839,card_type!B:B,0)-1,0)</f>
        <v>3010</v>
      </c>
      <c r="R1839" s="153">
        <v>1</v>
      </c>
      <c r="S1839" s="157">
        <f ca="1">ROUND(IF(R1839=0,0,IF(R1839=1,X1839*$S$1,IF(R1839=2,X1839*$S$1*buff的资质计算!$E$2,IF(R1839=3,X1839*$S$1*buff的资质计算!$E$3,0)))),0)*0</f>
        <v>0</v>
      </c>
      <c r="T1839" s="153">
        <v>2</v>
      </c>
      <c r="U1839" s="153">
        <f ca="1" t="shared" si="306"/>
        <v>12</v>
      </c>
      <c r="V1839" s="153">
        <f ca="1">ROUND((OFFSET(卡牌辅助配置表!$O$1,MATCH(U1839,卡牌辅助配置表!M:M,0)-1,0)+(N1839-1)*OFFSET(卡牌辅助配置表!$P$1,MATCH(U1839,卡牌辅助配置表!M:M,0)-1,0))*M1839,2)</f>
        <v>16.47</v>
      </c>
      <c r="W1839" s="157">
        <f ca="1">ROUND(IF(R1839=0,0,IF(R1839=1,X1839*$W$1,IF(R1839=2,X1839*$W$1*buff的资质计算!$E$2,IF(R1839=3,X1839*$W$1*buff的资质计算!$E$3,0)))),2)</f>
        <v>6</v>
      </c>
      <c r="X1839" s="157">
        <f ca="1" t="shared" si="301"/>
        <v>20</v>
      </c>
      <c r="Y1839" s="157">
        <f ca="1" t="shared" si="309"/>
        <v>20</v>
      </c>
      <c r="Z1839" s="304">
        <f ca="1" t="shared" si="302"/>
        <v>20</v>
      </c>
      <c r="AA1839" s="304">
        <f ca="1">OFFSET(卡牌辅助配置表!$AD$1,MATCH(AB1839,卡牌辅助配置表!AB:AB,0)-1,0)</f>
        <v>1129</v>
      </c>
      <c r="AB1839" s="304">
        <f ca="1" t="shared" si="307"/>
        <v>1223</v>
      </c>
      <c r="AC1839" s="153">
        <v>12</v>
      </c>
      <c r="AF1839" s="153" t="str">
        <f ca="1" t="shared" si="311"/>
        <v>30100011|</v>
      </c>
      <c r="AJ1839" s="205" t="str">
        <f ca="1" t="shared" si="308"/>
        <v>400023|14250|;</v>
      </c>
      <c r="AK1839" s="205">
        <f ca="1">OFFSET([1]item_type!$A$1,MATCH(Q1839,[1]item_type!$G:$G,0)-1,0)</f>
        <v>303010</v>
      </c>
      <c r="AL1839" s="205"/>
      <c r="AM1839" s="205">
        <f ca="1">IF(B1839=B1840,OFFSET(卡牌辅助配置表!$AE$1,MATCH(AB1839,卡牌辅助配置表!AB:AB,0),0),0)</f>
        <v>14250</v>
      </c>
      <c r="AN1839" s="153">
        <f ca="1" t="shared" si="303"/>
        <v>3010024</v>
      </c>
      <c r="AP1839" s="153">
        <f ca="1">IF(AC1839=0,0,IF(AC1839=12,0,OFFSET(effect!$N$1,MATCH(K1839,effect!M:M,0)-1,0)))</f>
        <v>0</v>
      </c>
    </row>
    <row r="1840" spans="1:42">
      <c r="A1840" s="153">
        <f ca="1" t="shared" si="304"/>
        <v>3010024</v>
      </c>
      <c r="B1840" s="153" t="s">
        <v>506</v>
      </c>
      <c r="C1840" s="186">
        <v>3</v>
      </c>
      <c r="D1840" s="186">
        <v>4</v>
      </c>
      <c r="E1840" s="165" t="s">
        <v>1069</v>
      </c>
      <c r="F1840" s="186" t="s">
        <v>876</v>
      </c>
      <c r="G1840" s="186">
        <f ca="1">OFFSET(卡牌辅助配置表!$C$1,MATCH(AC1840,卡牌辅助配置表!A:A,0)-1,0)</f>
        <v>0</v>
      </c>
      <c r="H1840" s="186">
        <f ca="1" t="shared" si="310"/>
        <v>0</v>
      </c>
      <c r="I1840" s="186"/>
      <c r="J1840" s="186">
        <f ca="1">OFFSET(card_type!$F$1,MATCH(Q1840,card_type!A:A,0)-1,0)</f>
        <v>1</v>
      </c>
      <c r="K1840" s="243">
        <f ca="1">OFFSET(card_type!$G$1,MATCH(Q1840,card_type!A:A,0)-1,0)</f>
        <v>2</v>
      </c>
      <c r="L1840" s="157">
        <v>1</v>
      </c>
      <c r="M1840" s="157">
        <v>1</v>
      </c>
      <c r="N1840" s="153">
        <f t="shared" si="305"/>
        <v>24</v>
      </c>
      <c r="O1840" s="157"/>
      <c r="P1840" s="157"/>
      <c r="Q1840" s="153">
        <f ca="1">OFFSET(card_type!$A$1,MATCH(card!B1840,card_type!B:B,0)-1,0)</f>
        <v>3010</v>
      </c>
      <c r="R1840" s="153">
        <v>1</v>
      </c>
      <c r="S1840" s="157">
        <f ca="1">ROUND(IF(R1840=0,0,IF(R1840=1,X1840*$S$1,IF(R1840=2,X1840*$S$1*buff的资质计算!$E$2,IF(R1840=3,X1840*$S$1*buff的资质计算!$E$3,0)))),0)*0</f>
        <v>0</v>
      </c>
      <c r="T1840" s="153">
        <v>2</v>
      </c>
      <c r="U1840" s="153">
        <f ca="1" t="shared" si="306"/>
        <v>12</v>
      </c>
      <c r="V1840" s="153">
        <f ca="1">ROUND((OFFSET(卡牌辅助配置表!$O$1,MATCH(U1840,卡牌辅助配置表!M:M,0)-1,0)+(N1840-1)*OFFSET(卡牌辅助配置表!$P$1,MATCH(U1840,卡牌辅助配置表!M:M,0)-1,0))*M1840,2)</f>
        <v>16.78</v>
      </c>
      <c r="W1840" s="157">
        <f ca="1">ROUND(IF(R1840=0,0,IF(R1840=1,X1840*$W$1,IF(R1840=2,X1840*$W$1*buff的资质计算!$E$2,IF(R1840=3,X1840*$W$1*buff的资质计算!$E$3,0)))),2)</f>
        <v>6.15</v>
      </c>
      <c r="X1840" s="157">
        <f ca="1" t="shared" si="301"/>
        <v>20.5</v>
      </c>
      <c r="Y1840" s="157">
        <f ca="1" t="shared" si="309"/>
        <v>20.5</v>
      </c>
      <c r="Z1840" s="304">
        <f ca="1" t="shared" si="302"/>
        <v>20.5</v>
      </c>
      <c r="AA1840" s="304">
        <f ca="1">OFFSET(卡牌辅助配置表!$AD$1,MATCH(AB1840,卡牌辅助配置表!AB:AB,0)-1,0)</f>
        <v>1202</v>
      </c>
      <c r="AB1840" s="304">
        <f ca="1" t="shared" si="307"/>
        <v>1224</v>
      </c>
      <c r="AC1840" s="153">
        <v>12</v>
      </c>
      <c r="AF1840" s="153" t="str">
        <f ca="1" t="shared" si="311"/>
        <v>30100011|</v>
      </c>
      <c r="AJ1840" s="205" t="str">
        <f ca="1" t="shared" si="308"/>
        <v>400023|15450|;</v>
      </c>
      <c r="AK1840" s="205">
        <f ca="1">OFFSET([1]item_type!$A$1,MATCH(Q1840,[1]item_type!$G:$G,0)-1,0)</f>
        <v>303010</v>
      </c>
      <c r="AL1840" s="205"/>
      <c r="AM1840" s="205">
        <f ca="1">IF(B1840=B1841,OFFSET(卡牌辅助配置表!$AE$1,MATCH(AB1840,卡牌辅助配置表!AB:AB,0),0),0)</f>
        <v>15450</v>
      </c>
      <c r="AN1840" s="153">
        <f ca="1" t="shared" si="303"/>
        <v>3010025</v>
      </c>
      <c r="AP1840" s="153">
        <f ca="1">IF(AC1840=0,0,IF(AC1840=12,0,OFFSET(effect!$N$1,MATCH(K1840,effect!M:M,0)-1,0)))</f>
        <v>0</v>
      </c>
    </row>
    <row r="1841" spans="1:42">
      <c r="A1841" s="153">
        <f ca="1" t="shared" si="304"/>
        <v>3010025</v>
      </c>
      <c r="B1841" s="153" t="s">
        <v>506</v>
      </c>
      <c r="C1841" s="186">
        <v>3</v>
      </c>
      <c r="D1841" s="186">
        <v>4</v>
      </c>
      <c r="E1841" s="165" t="s">
        <v>1069</v>
      </c>
      <c r="F1841" s="186" t="s">
        <v>876</v>
      </c>
      <c r="G1841" s="186">
        <f ca="1">OFFSET(卡牌辅助配置表!$C$1,MATCH(AC1841,卡牌辅助配置表!A:A,0)-1,0)</f>
        <v>0</v>
      </c>
      <c r="H1841" s="186">
        <f ca="1" t="shared" si="310"/>
        <v>0</v>
      </c>
      <c r="I1841" s="186"/>
      <c r="J1841" s="186">
        <f ca="1">OFFSET(card_type!$F$1,MATCH(Q1841,card_type!A:A,0)-1,0)</f>
        <v>1</v>
      </c>
      <c r="K1841" s="243">
        <f ca="1">OFFSET(card_type!$G$1,MATCH(Q1841,card_type!A:A,0)-1,0)</f>
        <v>2</v>
      </c>
      <c r="L1841" s="157">
        <v>1</v>
      </c>
      <c r="M1841" s="157">
        <v>1</v>
      </c>
      <c r="N1841" s="153">
        <f t="shared" si="305"/>
        <v>25</v>
      </c>
      <c r="O1841" s="157"/>
      <c r="P1841" s="157"/>
      <c r="Q1841" s="153">
        <f ca="1">OFFSET(card_type!$A$1,MATCH(card!B1841,card_type!B:B,0)-1,0)</f>
        <v>3010</v>
      </c>
      <c r="R1841" s="153">
        <v>1</v>
      </c>
      <c r="S1841" s="157">
        <f ca="1">ROUND(IF(R1841=0,0,IF(R1841=1,X1841*$S$1,IF(R1841=2,X1841*$S$1*buff的资质计算!$E$2,IF(R1841=3,X1841*$S$1*buff的资质计算!$E$3,0)))),0)*0</f>
        <v>0</v>
      </c>
      <c r="T1841" s="153">
        <v>2</v>
      </c>
      <c r="U1841" s="153">
        <f ca="1" t="shared" si="306"/>
        <v>12</v>
      </c>
      <c r="V1841" s="153">
        <f ca="1">ROUND((OFFSET(卡牌辅助配置表!$O$1,MATCH(U1841,卡牌辅助配置表!M:M,0)-1,0)+(N1841-1)*OFFSET(卡牌辅助配置表!$P$1,MATCH(U1841,卡牌辅助配置表!M:M,0)-1,0))*M1841,2)</f>
        <v>17.1</v>
      </c>
      <c r="W1841" s="157">
        <f ca="1">ROUND(IF(R1841=0,0,IF(R1841=1,X1841*$W$1,IF(R1841=2,X1841*$W$1*buff的资质计算!$E$2,IF(R1841=3,X1841*$W$1*buff的资质计算!$E$3,0)))),2)</f>
        <v>6.3</v>
      </c>
      <c r="X1841" s="157">
        <f ca="1" t="shared" si="301"/>
        <v>21</v>
      </c>
      <c r="Y1841" s="157">
        <f ca="1" t="shared" si="309"/>
        <v>21</v>
      </c>
      <c r="Z1841" s="304">
        <f ca="1" t="shared" si="302"/>
        <v>21</v>
      </c>
      <c r="AA1841" s="304">
        <f ca="1">OFFSET(卡牌辅助配置表!$AD$1,MATCH(AB1841,卡牌辅助配置表!AB:AB,0)-1,0)</f>
        <v>1275</v>
      </c>
      <c r="AB1841" s="304">
        <f ca="1" t="shared" si="307"/>
        <v>1225</v>
      </c>
      <c r="AC1841" s="153">
        <v>12</v>
      </c>
      <c r="AF1841" s="153" t="str">
        <f ca="1" t="shared" si="311"/>
        <v>30100011|</v>
      </c>
      <c r="AJ1841" s="205" t="str">
        <f ca="1" t="shared" si="308"/>
        <v>400023|16650|;</v>
      </c>
      <c r="AK1841" s="205">
        <f ca="1">OFFSET([1]item_type!$A$1,MATCH(Q1841,[1]item_type!$G:$G,0)-1,0)</f>
        <v>303010</v>
      </c>
      <c r="AL1841" s="205"/>
      <c r="AM1841" s="205">
        <f ca="1">IF(B1841=B1842,OFFSET(卡牌辅助配置表!$AE$1,MATCH(AB1841,卡牌辅助配置表!AB:AB,0),0),0)</f>
        <v>16650</v>
      </c>
      <c r="AN1841" s="153">
        <f ca="1" t="shared" si="303"/>
        <v>3010026</v>
      </c>
      <c r="AP1841" s="153">
        <f ca="1">IF(AC1841=0,0,IF(AC1841=12,0,OFFSET(effect!$N$1,MATCH(K1841,effect!M:M,0)-1,0)))</f>
        <v>0</v>
      </c>
    </row>
    <row r="1842" spans="1:42">
      <c r="A1842" s="153">
        <f ca="1" t="shared" si="304"/>
        <v>3010026</v>
      </c>
      <c r="B1842" s="153" t="s">
        <v>506</v>
      </c>
      <c r="C1842" s="186">
        <v>3</v>
      </c>
      <c r="D1842" s="186">
        <v>4</v>
      </c>
      <c r="E1842" s="165" t="s">
        <v>1069</v>
      </c>
      <c r="F1842" s="186" t="s">
        <v>876</v>
      </c>
      <c r="G1842" s="186">
        <f ca="1">OFFSET(卡牌辅助配置表!$C$1,MATCH(AC1842,卡牌辅助配置表!A:A,0)-1,0)</f>
        <v>0</v>
      </c>
      <c r="H1842" s="186">
        <f ca="1" t="shared" si="310"/>
        <v>0</v>
      </c>
      <c r="I1842" s="186"/>
      <c r="J1842" s="186">
        <f ca="1">OFFSET(card_type!$F$1,MATCH(Q1842,card_type!A:A,0)-1,0)</f>
        <v>1</v>
      </c>
      <c r="K1842" s="243">
        <f ca="1">OFFSET(card_type!$G$1,MATCH(Q1842,card_type!A:A,0)-1,0)</f>
        <v>2</v>
      </c>
      <c r="L1842" s="157">
        <v>1</v>
      </c>
      <c r="M1842" s="157">
        <v>1</v>
      </c>
      <c r="N1842" s="153">
        <f t="shared" si="305"/>
        <v>26</v>
      </c>
      <c r="O1842" s="157"/>
      <c r="P1842" s="157"/>
      <c r="Q1842" s="153">
        <f ca="1">OFFSET(card_type!$A$1,MATCH(card!B1842,card_type!B:B,0)-1,0)</f>
        <v>3010</v>
      </c>
      <c r="R1842" s="153">
        <v>1</v>
      </c>
      <c r="S1842" s="157">
        <f ca="1">ROUND(IF(R1842=0,0,IF(R1842=1,X1842*$S$1,IF(R1842=2,X1842*$S$1*buff的资质计算!$E$2,IF(R1842=3,X1842*$S$1*buff的资质计算!$E$3,0)))),0)*0</f>
        <v>0</v>
      </c>
      <c r="T1842" s="153">
        <v>2</v>
      </c>
      <c r="U1842" s="153">
        <f ca="1" t="shared" si="306"/>
        <v>12</v>
      </c>
      <c r="V1842" s="153">
        <f ca="1">ROUND((OFFSET(卡牌辅助配置表!$O$1,MATCH(U1842,卡牌辅助配置表!M:M,0)-1,0)+(N1842-1)*OFFSET(卡牌辅助配置表!$P$1,MATCH(U1842,卡牌辅助配置表!M:M,0)-1,0))*M1842,2)</f>
        <v>17.42</v>
      </c>
      <c r="W1842" s="157">
        <f ca="1">ROUND(IF(R1842=0,0,IF(R1842=1,X1842*$W$1,IF(R1842=2,X1842*$W$1*buff的资质计算!$E$2,IF(R1842=3,X1842*$W$1*buff的资质计算!$E$3,0)))),2)</f>
        <v>6.45</v>
      </c>
      <c r="X1842" s="157">
        <f ca="1" t="shared" si="301"/>
        <v>21.5</v>
      </c>
      <c r="Y1842" s="157">
        <f ca="1" t="shared" si="309"/>
        <v>21.5</v>
      </c>
      <c r="Z1842" s="304">
        <f ca="1" t="shared" si="302"/>
        <v>21.5</v>
      </c>
      <c r="AA1842" s="304">
        <f ca="1">OFFSET(卡牌辅助配置表!$AD$1,MATCH(AB1842,卡牌辅助配置表!AB:AB,0)-1,0)</f>
        <v>1348</v>
      </c>
      <c r="AB1842" s="304">
        <f ca="1" t="shared" si="307"/>
        <v>1226</v>
      </c>
      <c r="AC1842" s="153">
        <v>12</v>
      </c>
      <c r="AF1842" s="153" t="str">
        <f ca="1" t="shared" si="311"/>
        <v>30100011|</v>
      </c>
      <c r="AJ1842" s="205" t="str">
        <f ca="1" t="shared" si="308"/>
        <v>400023|17850|;</v>
      </c>
      <c r="AK1842" s="205">
        <f ca="1">OFFSET([1]item_type!$A$1,MATCH(Q1842,[1]item_type!$G:$G,0)-1,0)</f>
        <v>303010</v>
      </c>
      <c r="AL1842" s="205"/>
      <c r="AM1842" s="205">
        <f ca="1">IF(B1842=B1843,OFFSET(卡牌辅助配置表!$AE$1,MATCH(AB1842,卡牌辅助配置表!AB:AB,0),0),0)</f>
        <v>17850</v>
      </c>
      <c r="AN1842" s="153">
        <f ca="1" t="shared" si="303"/>
        <v>3010027</v>
      </c>
      <c r="AP1842" s="153">
        <f ca="1">IF(AC1842=0,0,IF(AC1842=12,0,OFFSET(effect!$N$1,MATCH(K1842,effect!M:M,0)-1,0)))</f>
        <v>0</v>
      </c>
    </row>
    <row r="1843" spans="1:42">
      <c r="A1843" s="153">
        <f ca="1" t="shared" si="304"/>
        <v>3010027</v>
      </c>
      <c r="B1843" s="153" t="s">
        <v>506</v>
      </c>
      <c r="C1843" s="186">
        <v>3</v>
      </c>
      <c r="D1843" s="186">
        <v>4</v>
      </c>
      <c r="E1843" s="165" t="s">
        <v>1069</v>
      </c>
      <c r="F1843" s="186" t="s">
        <v>876</v>
      </c>
      <c r="G1843" s="186">
        <f ca="1">OFFSET(卡牌辅助配置表!$C$1,MATCH(AC1843,卡牌辅助配置表!A:A,0)-1,0)</f>
        <v>0</v>
      </c>
      <c r="H1843" s="186">
        <f ca="1" t="shared" si="310"/>
        <v>0</v>
      </c>
      <c r="I1843" s="186"/>
      <c r="J1843" s="186">
        <f ca="1">OFFSET(card_type!$F$1,MATCH(Q1843,card_type!A:A,0)-1,0)</f>
        <v>1</v>
      </c>
      <c r="K1843" s="243">
        <f ca="1">OFFSET(card_type!$G$1,MATCH(Q1843,card_type!A:A,0)-1,0)</f>
        <v>2</v>
      </c>
      <c r="L1843" s="157">
        <v>1</v>
      </c>
      <c r="M1843" s="157">
        <v>1</v>
      </c>
      <c r="N1843" s="153">
        <f t="shared" si="305"/>
        <v>27</v>
      </c>
      <c r="O1843" s="157"/>
      <c r="P1843" s="157"/>
      <c r="Q1843" s="153">
        <f ca="1">OFFSET(card_type!$A$1,MATCH(card!B1843,card_type!B:B,0)-1,0)</f>
        <v>3010</v>
      </c>
      <c r="R1843" s="153">
        <v>1</v>
      </c>
      <c r="S1843" s="157">
        <f ca="1">ROUND(IF(R1843=0,0,IF(R1843=1,X1843*$S$1,IF(R1843=2,X1843*$S$1*buff的资质计算!$E$2,IF(R1843=3,X1843*$S$1*buff的资质计算!$E$3,0)))),0)*0</f>
        <v>0</v>
      </c>
      <c r="T1843" s="153">
        <v>2</v>
      </c>
      <c r="U1843" s="153">
        <f ca="1" t="shared" si="306"/>
        <v>12</v>
      </c>
      <c r="V1843" s="153">
        <f ca="1">ROUND((OFFSET(卡牌辅助配置表!$O$1,MATCH(U1843,卡牌辅助配置表!M:M,0)-1,0)+(N1843-1)*OFFSET(卡牌辅助配置表!$P$1,MATCH(U1843,卡牌辅助配置表!M:M,0)-1,0))*M1843,2)</f>
        <v>17.73</v>
      </c>
      <c r="W1843" s="157">
        <f ca="1">ROUND(IF(R1843=0,0,IF(R1843=1,X1843*$W$1,IF(R1843=2,X1843*$W$1*buff的资质计算!$E$2,IF(R1843=3,X1843*$W$1*buff的资质计算!$E$3,0)))),2)</f>
        <v>6.6</v>
      </c>
      <c r="X1843" s="157">
        <f ca="1" t="shared" si="301"/>
        <v>22</v>
      </c>
      <c r="Y1843" s="157">
        <f ca="1" t="shared" si="309"/>
        <v>22</v>
      </c>
      <c r="Z1843" s="304">
        <f ca="1" t="shared" si="302"/>
        <v>22</v>
      </c>
      <c r="AA1843" s="304">
        <f ca="1">OFFSET(卡牌辅助配置表!$AD$1,MATCH(AB1843,卡牌辅助配置表!AB:AB,0)-1,0)</f>
        <v>1421</v>
      </c>
      <c r="AB1843" s="304">
        <f ca="1" t="shared" si="307"/>
        <v>1227</v>
      </c>
      <c r="AC1843" s="153">
        <v>12</v>
      </c>
      <c r="AF1843" s="153" t="str">
        <f ca="1" t="shared" si="311"/>
        <v>30100011|</v>
      </c>
      <c r="AJ1843" s="205" t="str">
        <f ca="1" t="shared" si="308"/>
        <v>400023|19050|;</v>
      </c>
      <c r="AK1843" s="205">
        <f ca="1">OFFSET([1]item_type!$A$1,MATCH(Q1843,[1]item_type!$G:$G,0)-1,0)</f>
        <v>303010</v>
      </c>
      <c r="AL1843" s="205"/>
      <c r="AM1843" s="205">
        <f ca="1">IF(B1843=B1844,OFFSET(卡牌辅助配置表!$AE$1,MATCH(AB1843,卡牌辅助配置表!AB:AB,0),0),0)</f>
        <v>19050</v>
      </c>
      <c r="AN1843" s="153">
        <f ca="1" t="shared" si="303"/>
        <v>3010028</v>
      </c>
      <c r="AP1843" s="153">
        <f ca="1">IF(AC1843=0,0,IF(AC1843=12,0,OFFSET(effect!$N$1,MATCH(K1843,effect!M:M,0)-1,0)))</f>
        <v>0</v>
      </c>
    </row>
    <row r="1844" spans="1:42">
      <c r="A1844" s="153">
        <f ca="1" t="shared" si="304"/>
        <v>3010028</v>
      </c>
      <c r="B1844" s="153" t="s">
        <v>506</v>
      </c>
      <c r="C1844" s="186">
        <v>3</v>
      </c>
      <c r="D1844" s="186">
        <v>4</v>
      </c>
      <c r="E1844" s="165" t="s">
        <v>1069</v>
      </c>
      <c r="F1844" s="186" t="s">
        <v>876</v>
      </c>
      <c r="G1844" s="186">
        <f ca="1">OFFSET(卡牌辅助配置表!$C$1,MATCH(AC1844,卡牌辅助配置表!A:A,0)-1,0)</f>
        <v>0</v>
      </c>
      <c r="H1844" s="186">
        <f ca="1" t="shared" si="310"/>
        <v>0</v>
      </c>
      <c r="I1844" s="186"/>
      <c r="J1844" s="186">
        <f ca="1">OFFSET(card_type!$F$1,MATCH(Q1844,card_type!A:A,0)-1,0)</f>
        <v>1</v>
      </c>
      <c r="K1844" s="243">
        <f ca="1">OFFSET(card_type!$G$1,MATCH(Q1844,card_type!A:A,0)-1,0)</f>
        <v>2</v>
      </c>
      <c r="L1844" s="157">
        <v>1</v>
      </c>
      <c r="M1844" s="157">
        <v>1</v>
      </c>
      <c r="N1844" s="153">
        <f t="shared" si="305"/>
        <v>28</v>
      </c>
      <c r="O1844" s="157"/>
      <c r="P1844" s="157"/>
      <c r="Q1844" s="153">
        <f ca="1">OFFSET(card_type!$A$1,MATCH(card!B1844,card_type!B:B,0)-1,0)</f>
        <v>3010</v>
      </c>
      <c r="R1844" s="153">
        <v>1</v>
      </c>
      <c r="S1844" s="157">
        <f ca="1">ROUND(IF(R1844=0,0,IF(R1844=1,X1844*$S$1,IF(R1844=2,X1844*$S$1*buff的资质计算!$E$2,IF(R1844=3,X1844*$S$1*buff的资质计算!$E$3,0)))),0)*0</f>
        <v>0</v>
      </c>
      <c r="T1844" s="153">
        <v>2</v>
      </c>
      <c r="U1844" s="153">
        <f ca="1" t="shared" si="306"/>
        <v>12</v>
      </c>
      <c r="V1844" s="153">
        <f ca="1">ROUND((OFFSET(卡牌辅助配置表!$O$1,MATCH(U1844,卡牌辅助配置表!M:M,0)-1,0)+(N1844-1)*OFFSET(卡牌辅助配置表!$P$1,MATCH(U1844,卡牌辅助配置表!M:M,0)-1,0))*M1844,2)</f>
        <v>18.05</v>
      </c>
      <c r="W1844" s="157">
        <f ca="1">ROUND(IF(R1844=0,0,IF(R1844=1,X1844*$W$1,IF(R1844=2,X1844*$W$1*buff的资质计算!$E$2,IF(R1844=3,X1844*$W$1*buff的资质计算!$E$3,0)))),2)</f>
        <v>6.75</v>
      </c>
      <c r="X1844" s="157">
        <f ca="1" t="shared" ref="X1844:X1907" si="312">M1844*($M$1+(J1844-1)*$J$1+(K1844-1)*$K$1)+G1844+$J$1*(N1844-1)/$N$1</f>
        <v>22.5</v>
      </c>
      <c r="Y1844" s="157">
        <f ca="1" t="shared" si="309"/>
        <v>22.5</v>
      </c>
      <c r="Z1844" s="304">
        <f ca="1" t="shared" ref="Z1844:Z1907" si="313">Y1844/M1844</f>
        <v>22.5</v>
      </c>
      <c r="AA1844" s="304">
        <f ca="1">OFFSET(卡牌辅助配置表!$AD$1,MATCH(AB1844,卡牌辅助配置表!AB:AB,0)-1,0)</f>
        <v>1494</v>
      </c>
      <c r="AB1844" s="304">
        <f ca="1" t="shared" si="307"/>
        <v>1228</v>
      </c>
      <c r="AC1844" s="153">
        <v>12</v>
      </c>
      <c r="AF1844" s="153" t="str">
        <f ca="1" t="shared" si="311"/>
        <v>30100011|</v>
      </c>
      <c r="AJ1844" s="205" t="str">
        <f ca="1" t="shared" si="308"/>
        <v>400023|20250|;</v>
      </c>
      <c r="AK1844" s="205">
        <f ca="1">OFFSET([1]item_type!$A$1,MATCH(Q1844,[1]item_type!$G:$G,0)-1,0)</f>
        <v>303010</v>
      </c>
      <c r="AL1844" s="205"/>
      <c r="AM1844" s="205">
        <f ca="1">IF(B1844=B1845,OFFSET(卡牌辅助配置表!$AE$1,MATCH(AB1844,卡牌辅助配置表!AB:AB,0),0),0)</f>
        <v>20250</v>
      </c>
      <c r="AN1844" s="153">
        <f ca="1" t="shared" si="303"/>
        <v>3010029</v>
      </c>
      <c r="AP1844" s="153">
        <f ca="1">IF(AC1844=0,0,IF(AC1844=12,0,OFFSET(effect!$N$1,MATCH(K1844,effect!M:M,0)-1,0)))</f>
        <v>0</v>
      </c>
    </row>
    <row r="1845" spans="1:42">
      <c r="A1845" s="153">
        <f ca="1" t="shared" si="304"/>
        <v>3010029</v>
      </c>
      <c r="B1845" s="153" t="s">
        <v>506</v>
      </c>
      <c r="C1845" s="186">
        <v>3</v>
      </c>
      <c r="D1845" s="186">
        <v>4</v>
      </c>
      <c r="E1845" s="165" t="s">
        <v>1069</v>
      </c>
      <c r="F1845" s="186" t="s">
        <v>876</v>
      </c>
      <c r="G1845" s="186">
        <f ca="1">OFFSET(卡牌辅助配置表!$C$1,MATCH(AC1845,卡牌辅助配置表!A:A,0)-1,0)</f>
        <v>0</v>
      </c>
      <c r="H1845" s="186">
        <f ca="1" t="shared" si="310"/>
        <v>0</v>
      </c>
      <c r="I1845" s="186"/>
      <c r="J1845" s="186">
        <f ca="1">OFFSET(card_type!$F$1,MATCH(Q1845,card_type!A:A,0)-1,0)</f>
        <v>1</v>
      </c>
      <c r="K1845" s="243">
        <f ca="1">OFFSET(card_type!$G$1,MATCH(Q1845,card_type!A:A,0)-1,0)</f>
        <v>2</v>
      </c>
      <c r="L1845" s="157">
        <v>1</v>
      </c>
      <c r="M1845" s="157">
        <v>1</v>
      </c>
      <c r="N1845" s="153">
        <f t="shared" si="305"/>
        <v>29</v>
      </c>
      <c r="O1845" s="157"/>
      <c r="P1845" s="157"/>
      <c r="Q1845" s="153">
        <f ca="1">OFFSET(card_type!$A$1,MATCH(card!B1845,card_type!B:B,0)-1,0)</f>
        <v>3010</v>
      </c>
      <c r="R1845" s="153">
        <v>1</v>
      </c>
      <c r="S1845" s="157">
        <f ca="1">ROUND(IF(R1845=0,0,IF(R1845=1,X1845*$S$1,IF(R1845=2,X1845*$S$1*buff的资质计算!$E$2,IF(R1845=3,X1845*$S$1*buff的资质计算!$E$3,0)))),0)*0</f>
        <v>0</v>
      </c>
      <c r="T1845" s="153">
        <v>2</v>
      </c>
      <c r="U1845" s="153">
        <f ca="1" t="shared" si="306"/>
        <v>12</v>
      </c>
      <c r="V1845" s="153">
        <f ca="1">ROUND((OFFSET(卡牌辅助配置表!$O$1,MATCH(U1845,卡牌辅助配置表!M:M,0)-1,0)+(N1845-1)*OFFSET(卡牌辅助配置表!$P$1,MATCH(U1845,卡牌辅助配置表!M:M,0)-1,0))*M1845,2)</f>
        <v>18.37</v>
      </c>
      <c r="W1845" s="157">
        <f ca="1">ROUND(IF(R1845=0,0,IF(R1845=1,X1845*$W$1,IF(R1845=2,X1845*$W$1*buff的资质计算!$E$2,IF(R1845=3,X1845*$W$1*buff的资质计算!$E$3,0)))),2)</f>
        <v>6.9</v>
      </c>
      <c r="X1845" s="157">
        <f ca="1" t="shared" si="312"/>
        <v>23</v>
      </c>
      <c r="Y1845" s="157">
        <f ca="1" t="shared" si="309"/>
        <v>23</v>
      </c>
      <c r="Z1845" s="304">
        <f ca="1" t="shared" si="313"/>
        <v>23</v>
      </c>
      <c r="AA1845" s="304">
        <f ca="1">OFFSET(卡牌辅助配置表!$AD$1,MATCH(AB1845,卡牌辅助配置表!AB:AB,0)-1,0)</f>
        <v>1567</v>
      </c>
      <c r="AB1845" s="304">
        <f ca="1" t="shared" si="307"/>
        <v>1229</v>
      </c>
      <c r="AC1845" s="153">
        <v>12</v>
      </c>
      <c r="AF1845" s="153" t="str">
        <f ca="1" t="shared" si="311"/>
        <v>30100011|</v>
      </c>
      <c r="AJ1845" s="205" t="str">
        <f ca="1" t="shared" si="308"/>
        <v>303010|30|;400023|21450|;</v>
      </c>
      <c r="AK1845" s="205">
        <f ca="1">OFFSET([1]item_type!$A$1,MATCH(Q1845,[1]item_type!$G:$G,0)-1,0)</f>
        <v>303010</v>
      </c>
      <c r="AL1845" s="205">
        <v>30</v>
      </c>
      <c r="AM1845" s="205">
        <f ca="1">IF(B1845=B1846,OFFSET(卡牌辅助配置表!$AE$1,MATCH(AB1845,卡牌辅助配置表!AB:AB,0),0),0)</f>
        <v>21450</v>
      </c>
      <c r="AN1845" s="153">
        <f ca="1" t="shared" si="303"/>
        <v>3010030</v>
      </c>
      <c r="AP1845" s="153">
        <f ca="1">IF(AC1845=0,0,IF(AC1845=12,0,OFFSET(effect!$N$1,MATCH(K1845,effect!M:M,0)-1,0)))</f>
        <v>0</v>
      </c>
    </row>
    <row r="1846" spans="1:42">
      <c r="A1846" s="153">
        <f ca="1" t="shared" si="304"/>
        <v>3010030</v>
      </c>
      <c r="B1846" s="153" t="s">
        <v>506</v>
      </c>
      <c r="C1846" s="186">
        <v>3</v>
      </c>
      <c r="D1846" s="186">
        <v>4</v>
      </c>
      <c r="E1846" s="165" t="s">
        <v>1069</v>
      </c>
      <c r="F1846" s="186" t="s">
        <v>876</v>
      </c>
      <c r="G1846" s="186">
        <f ca="1">OFFSET(卡牌辅助配置表!$C$1,MATCH(AC1846,卡牌辅助配置表!A:A,0)-1,0)</f>
        <v>0</v>
      </c>
      <c r="H1846" s="186">
        <f ca="1" t="shared" si="310"/>
        <v>0</v>
      </c>
      <c r="I1846" s="186"/>
      <c r="J1846" s="186">
        <f ca="1">OFFSET(card_type!$F$1,MATCH(Q1846,card_type!A:A,0)-1,0)</f>
        <v>1</v>
      </c>
      <c r="K1846" s="243">
        <f ca="1">OFFSET(card_type!$G$1,MATCH(Q1846,card_type!A:A,0)-1,0)</f>
        <v>2</v>
      </c>
      <c r="L1846" s="157">
        <v>1</v>
      </c>
      <c r="M1846" s="157">
        <v>1</v>
      </c>
      <c r="N1846" s="153">
        <f t="shared" si="305"/>
        <v>30</v>
      </c>
      <c r="O1846" s="157"/>
      <c r="P1846" s="157"/>
      <c r="Q1846" s="153">
        <f ca="1">OFFSET(card_type!$A$1,MATCH(card!B1846,card_type!B:B,0)-1,0)</f>
        <v>3010</v>
      </c>
      <c r="R1846" s="153">
        <v>1</v>
      </c>
      <c r="S1846" s="157">
        <f ca="1">ROUND(IF(R1846=0,0,IF(R1846=1,X1846*$S$1,IF(R1846=2,X1846*$S$1*buff的资质计算!$E$2,IF(R1846=3,X1846*$S$1*buff的资质计算!$E$3,0)))),0)*0</f>
        <v>0</v>
      </c>
      <c r="T1846" s="153">
        <v>2</v>
      </c>
      <c r="U1846" s="153">
        <f ca="1" t="shared" si="306"/>
        <v>12</v>
      </c>
      <c r="V1846" s="153">
        <f ca="1">ROUND((OFFSET(卡牌辅助配置表!$O$1,MATCH(U1846,卡牌辅助配置表!M:M,0)-1,0)+(N1846-1)*OFFSET(卡牌辅助配置表!$P$1,MATCH(U1846,卡牌辅助配置表!M:M,0)-1,0))*M1846,2)</f>
        <v>18.68</v>
      </c>
      <c r="W1846" s="157">
        <f ca="1">ROUND(IF(R1846=0,0,IF(R1846=1,X1846*$W$1,IF(R1846=2,X1846*$W$1*buff的资质计算!$E$2,IF(R1846=3,X1846*$W$1*buff的资质计算!$E$3,0)))),2)</f>
        <v>7.05</v>
      </c>
      <c r="X1846" s="157">
        <f ca="1" t="shared" si="312"/>
        <v>23.5</v>
      </c>
      <c r="Y1846" s="157">
        <f ca="1" t="shared" si="309"/>
        <v>23.5</v>
      </c>
      <c r="Z1846" s="304">
        <f ca="1" t="shared" si="313"/>
        <v>23.5</v>
      </c>
      <c r="AA1846" s="304">
        <f ca="1">OFFSET(卡牌辅助配置表!$AD$1,MATCH(AB1846,卡牌辅助配置表!AB:AB,0)-1,0)</f>
        <v>1640</v>
      </c>
      <c r="AB1846" s="304">
        <f ca="1" t="shared" si="307"/>
        <v>1230</v>
      </c>
      <c r="AC1846" s="153">
        <v>12</v>
      </c>
      <c r="AF1846" s="153" t="str">
        <f ca="1" t="shared" si="311"/>
        <v>30100011|</v>
      </c>
      <c r="AJ1846" s="205">
        <f ca="1" t="shared" si="308"/>
        <v>0</v>
      </c>
      <c r="AK1846" s="205">
        <f ca="1">OFFSET([1]item_type!$A$1,MATCH(Q1846,[1]item_type!$G:$G,0)-1,0)</f>
        <v>303010</v>
      </c>
      <c r="AL1846" s="205"/>
      <c r="AM1846" s="205">
        <f ca="1">IF(B1846=B1847,OFFSET(卡牌辅助配置表!$AE$1,MATCH(AB1846,卡牌辅助配置表!AB:AB,0),0),0)</f>
        <v>0</v>
      </c>
      <c r="AN1846" s="153">
        <f ca="1" t="shared" si="303"/>
        <v>0</v>
      </c>
      <c r="AP1846" s="153">
        <f ca="1">IF(AC1846=0,0,IF(AC1846=12,0,OFFSET(effect!$N$1,MATCH(K1846,effect!M:M,0)-1,0)))</f>
        <v>0</v>
      </c>
    </row>
    <row r="1847" spans="1:42">
      <c r="A1847" s="153">
        <f ca="1" t="shared" si="304"/>
        <v>3011001</v>
      </c>
      <c r="B1847" s="91" t="s">
        <v>880</v>
      </c>
      <c r="C1847" s="186">
        <v>3</v>
      </c>
      <c r="D1847" s="186">
        <v>4</v>
      </c>
      <c r="E1847" s="165" t="s">
        <v>1069</v>
      </c>
      <c r="F1847" s="179" t="s">
        <v>1071</v>
      </c>
      <c r="G1847" s="186">
        <f ca="1">OFFSET(卡牌辅助配置表!$C$1,MATCH(AC1847,卡牌辅助配置表!A:A,0)-1,0)</f>
        <v>3</v>
      </c>
      <c r="H1847" s="186" t="e">
        <f ca="1">OFFSET(skill!$Q$1,MATCH(B1847,skill!B:B,0)-1,0)</f>
        <v>#VALUE!</v>
      </c>
      <c r="I1847" s="186"/>
      <c r="J1847" s="186">
        <f ca="1">OFFSET(card_type!$F$1,MATCH(Q1847,card_type!A:A,0)-1,0)</f>
        <v>1</v>
      </c>
      <c r="K1847" s="243">
        <f ca="1">OFFSET(card_type!$G$1,MATCH(Q1847,card_type!A:A,0)-1,0)</f>
        <v>1</v>
      </c>
      <c r="L1847" s="157">
        <v>3</v>
      </c>
      <c r="M1847" s="157">
        <v>3</v>
      </c>
      <c r="N1847" s="153">
        <f t="shared" si="305"/>
        <v>1</v>
      </c>
      <c r="O1847" s="157"/>
      <c r="P1847" s="157"/>
      <c r="Q1847" s="153">
        <f ca="1">OFFSET(card_type!$A$1,MATCH(card!B1847,card_type!B:B,0)-1,0)</f>
        <v>3011</v>
      </c>
      <c r="R1847" s="153">
        <v>1</v>
      </c>
      <c r="S1847" s="157">
        <f ca="1">ROUND(IF(R1847=0,0,IF(R1847=1,X1847*$S$1,IF(R1847=2,X1847*$S$1*buff的资质计算!$E$2,IF(R1847=3,X1847*$S$1*buff的资质计算!$E$3,0)))),0)*0</f>
        <v>0</v>
      </c>
      <c r="T1847" s="153">
        <v>2</v>
      </c>
      <c r="U1847" s="153">
        <f ca="1" t="shared" si="306"/>
        <v>11</v>
      </c>
      <c r="V1847" s="153">
        <f ca="1">ROUND((OFFSET(卡牌辅助配置表!$O$1,MATCH(U1847,卡牌辅助配置表!M:M,0)-1,0)+(N1847-1)*OFFSET(卡牌辅助配置表!$P$1,MATCH(U1847,卡牌辅助配置表!M:M,0)-1,0))*M1847,2)</f>
        <v>18.81</v>
      </c>
      <c r="W1847" s="157">
        <f ca="1">ROUND(IF(R1847=0,0,IF(R1847=1,X1847*$W$1,IF(R1847=2,X1847*$W$1*buff的资质计算!$E$2,IF(R1847=3,X1847*$W$1*buff的资质计算!$E$3,0)))),2)</f>
        <v>5.4</v>
      </c>
      <c r="X1847" s="157">
        <f ca="1" t="shared" si="312"/>
        <v>18</v>
      </c>
      <c r="Y1847" s="157" t="e">
        <f ca="1" t="shared" si="309"/>
        <v>#VALUE!</v>
      </c>
      <c r="Z1847" s="304" t="e">
        <f ca="1" t="shared" si="313"/>
        <v>#VALUE!</v>
      </c>
      <c r="AA1847" s="304">
        <f ca="1">OFFSET(卡牌辅助配置表!$AD$1,MATCH(AB1847,卡牌辅助配置表!AB:AB,0)-1,0)</f>
        <v>18</v>
      </c>
      <c r="AB1847" s="304">
        <f ca="1" t="shared" si="307"/>
        <v>1101</v>
      </c>
      <c r="AC1847" s="153">
        <v>10</v>
      </c>
      <c r="AD1847" s="153">
        <v>1</v>
      </c>
      <c r="AE1847" s="153">
        <v>1</v>
      </c>
      <c r="AF1847" s="153" t="str">
        <f ca="1" t="shared" si="311"/>
        <v>30110011|</v>
      </c>
      <c r="AI1847" s="153">
        <v>1</v>
      </c>
      <c r="AJ1847" s="205" t="str">
        <f ca="1" t="shared" si="308"/>
        <v>400023|700|;</v>
      </c>
      <c r="AK1847" s="205">
        <f ca="1">OFFSET([1]item_type!$A$1,MATCH(Q1847,[1]item_type!$G:$G,0)-1,0)</f>
        <v>303011</v>
      </c>
      <c r="AL1847" s="205"/>
      <c r="AM1847" s="205">
        <f ca="1">IF(B1847=B1848,OFFSET(卡牌辅助配置表!$AE$1,MATCH(AB1847,卡牌辅助配置表!AB:AB,0),0),0)</f>
        <v>700</v>
      </c>
      <c r="AN1847" s="153">
        <f ca="1" t="shared" si="303"/>
        <v>3011002</v>
      </c>
      <c r="AP1847" s="153" t="str">
        <f ca="1">IF(AC1847=0,0,IF(AC1847=12,0,OFFSET(effect!$N$1,MATCH(K1847,effect!M:M,0)-1,0)))</f>
        <v>kpsx_pt</v>
      </c>
    </row>
    <row r="1848" spans="1:42">
      <c r="A1848" s="153">
        <f ca="1" t="shared" si="304"/>
        <v>3011002</v>
      </c>
      <c r="B1848" s="91" t="s">
        <v>880</v>
      </c>
      <c r="C1848" s="186">
        <v>3</v>
      </c>
      <c r="D1848" s="186">
        <v>4</v>
      </c>
      <c r="E1848" s="165" t="s">
        <v>1069</v>
      </c>
      <c r="F1848" s="179" t="s">
        <v>1071</v>
      </c>
      <c r="G1848" s="186">
        <f ca="1">OFFSET(卡牌辅助配置表!$C$1,MATCH(AC1848,卡牌辅助配置表!A:A,0)-1,0)</f>
        <v>3</v>
      </c>
      <c r="H1848" s="186" t="e">
        <f ca="1">OFFSET(skill!$Q$1,MATCH(B1848,skill!B:B,0)-1,0)</f>
        <v>#VALUE!</v>
      </c>
      <c r="I1848" s="186"/>
      <c r="J1848" s="186">
        <f ca="1">OFFSET(card_type!$F$1,MATCH(Q1848,card_type!A:A,0)-1,0)</f>
        <v>1</v>
      </c>
      <c r="K1848" s="243">
        <f ca="1">OFFSET(card_type!$G$1,MATCH(Q1848,card_type!A:A,0)-1,0)</f>
        <v>1</v>
      </c>
      <c r="L1848" s="157">
        <v>3</v>
      </c>
      <c r="M1848" s="157">
        <v>3</v>
      </c>
      <c r="N1848" s="153">
        <f t="shared" si="305"/>
        <v>2</v>
      </c>
      <c r="O1848" s="157"/>
      <c r="P1848" s="157"/>
      <c r="Q1848" s="153">
        <f ca="1">OFFSET(card_type!$A$1,MATCH(card!B1848,card_type!B:B,0)-1,0)</f>
        <v>3011</v>
      </c>
      <c r="R1848" s="153">
        <v>1</v>
      </c>
      <c r="S1848" s="157">
        <f ca="1">ROUND(IF(R1848=0,0,IF(R1848=1,X1848*$S$1,IF(R1848=2,X1848*$S$1*buff的资质计算!$E$2,IF(R1848=3,X1848*$S$1*buff的资质计算!$E$3,0)))),0)*0</f>
        <v>0</v>
      </c>
      <c r="T1848" s="153">
        <v>2</v>
      </c>
      <c r="U1848" s="153">
        <f ca="1" t="shared" si="306"/>
        <v>11</v>
      </c>
      <c r="V1848" s="153">
        <f ca="1">ROUND((OFFSET(卡牌辅助配置表!$O$1,MATCH(U1848,卡牌辅助配置表!M:M,0)-1,0)+(N1848-1)*OFFSET(卡牌辅助配置表!$P$1,MATCH(U1848,卡牌辅助配置表!M:M,0)-1,0))*M1848,2)</f>
        <v>19.44</v>
      </c>
      <c r="W1848" s="157">
        <f ca="1">ROUND(IF(R1848=0,0,IF(R1848=1,X1848*$W$1,IF(R1848=2,X1848*$W$1*buff的资质计算!$E$2,IF(R1848=3,X1848*$W$1*buff的资质计算!$E$3,0)))),2)</f>
        <v>5.55</v>
      </c>
      <c r="X1848" s="157">
        <f ca="1" t="shared" si="312"/>
        <v>18.5</v>
      </c>
      <c r="Y1848" s="157" t="e">
        <f ca="1" t="shared" si="309"/>
        <v>#VALUE!</v>
      </c>
      <c r="Z1848" s="304" t="e">
        <f ca="1" t="shared" si="313"/>
        <v>#VALUE!</v>
      </c>
      <c r="AA1848" s="304">
        <f ca="1">OFFSET(卡牌辅助配置表!$AD$1,MATCH(AB1848,卡牌辅助配置表!AB:AB,0)-1,0)</f>
        <v>36</v>
      </c>
      <c r="AB1848" s="304">
        <f ca="1" t="shared" si="307"/>
        <v>1102</v>
      </c>
      <c r="AC1848" s="153">
        <v>10</v>
      </c>
      <c r="AD1848" s="153">
        <v>1</v>
      </c>
      <c r="AE1848" s="153">
        <v>1</v>
      </c>
      <c r="AF1848" s="153" t="str">
        <f ca="1" t="shared" si="311"/>
        <v>30110011|</v>
      </c>
      <c r="AI1848" s="153">
        <v>1</v>
      </c>
      <c r="AJ1848" s="205" t="str">
        <f ca="1" t="shared" si="308"/>
        <v>400023|900|;</v>
      </c>
      <c r="AK1848" s="205">
        <f ca="1">OFFSET([1]item_type!$A$1,MATCH(Q1848,[1]item_type!$G:$G,0)-1,0)</f>
        <v>303011</v>
      </c>
      <c r="AL1848" s="205"/>
      <c r="AM1848" s="205">
        <f ca="1">IF(B1848=B1849,OFFSET(卡牌辅助配置表!$AE$1,MATCH(AB1848,卡牌辅助配置表!AB:AB,0),0),0)</f>
        <v>900</v>
      </c>
      <c r="AN1848" s="153">
        <f ca="1" t="shared" si="303"/>
        <v>3011003</v>
      </c>
      <c r="AP1848" s="153" t="str">
        <f ca="1">IF(AC1848=0,0,IF(AC1848=12,0,OFFSET(effect!$N$1,MATCH(K1848,effect!M:M,0)-1,0)))</f>
        <v>kpsx_pt</v>
      </c>
    </row>
    <row r="1849" spans="1:42">
      <c r="A1849" s="153">
        <f ca="1" t="shared" si="304"/>
        <v>3011003</v>
      </c>
      <c r="B1849" s="91" t="s">
        <v>880</v>
      </c>
      <c r="C1849" s="186">
        <v>3</v>
      </c>
      <c r="D1849" s="186">
        <v>4</v>
      </c>
      <c r="E1849" s="165" t="s">
        <v>1069</v>
      </c>
      <c r="F1849" s="179" t="s">
        <v>1071</v>
      </c>
      <c r="G1849" s="186">
        <f ca="1">OFFSET(卡牌辅助配置表!$C$1,MATCH(AC1849,卡牌辅助配置表!A:A,0)-1,0)</f>
        <v>3</v>
      </c>
      <c r="H1849" s="186" t="e">
        <f ca="1">OFFSET(skill!$Q$1,MATCH(B1849,skill!B:B,0)-1,0)</f>
        <v>#VALUE!</v>
      </c>
      <c r="I1849" s="186"/>
      <c r="J1849" s="186">
        <f ca="1">OFFSET(card_type!$F$1,MATCH(Q1849,card_type!A:A,0)-1,0)</f>
        <v>1</v>
      </c>
      <c r="K1849" s="243">
        <f ca="1">OFFSET(card_type!$G$1,MATCH(Q1849,card_type!A:A,0)-1,0)</f>
        <v>1</v>
      </c>
      <c r="L1849" s="157">
        <v>3</v>
      </c>
      <c r="M1849" s="157">
        <v>3</v>
      </c>
      <c r="N1849" s="153">
        <f t="shared" si="305"/>
        <v>3</v>
      </c>
      <c r="O1849" s="157"/>
      <c r="P1849" s="157"/>
      <c r="Q1849" s="153">
        <f ca="1">OFFSET(card_type!$A$1,MATCH(card!B1849,card_type!B:B,0)-1,0)</f>
        <v>3011</v>
      </c>
      <c r="R1849" s="153">
        <v>1</v>
      </c>
      <c r="S1849" s="157">
        <f ca="1">ROUND(IF(R1849=0,0,IF(R1849=1,X1849*$S$1,IF(R1849=2,X1849*$S$1*buff的资质计算!$E$2,IF(R1849=3,X1849*$S$1*buff的资质计算!$E$3,0)))),0)*0</f>
        <v>0</v>
      </c>
      <c r="T1849" s="153">
        <v>2</v>
      </c>
      <c r="U1849" s="153">
        <f ca="1" t="shared" si="306"/>
        <v>11</v>
      </c>
      <c r="V1849" s="153">
        <f ca="1">ROUND((OFFSET(卡牌辅助配置表!$O$1,MATCH(U1849,卡牌辅助配置表!M:M,0)-1,0)+(N1849-1)*OFFSET(卡牌辅助配置表!$P$1,MATCH(U1849,卡牌辅助配置表!M:M,0)-1,0))*M1849,2)</f>
        <v>20.06</v>
      </c>
      <c r="W1849" s="157">
        <f ca="1">ROUND(IF(R1849=0,0,IF(R1849=1,X1849*$W$1,IF(R1849=2,X1849*$W$1*buff的资质计算!$E$2,IF(R1849=3,X1849*$W$1*buff的资质计算!$E$3,0)))),2)</f>
        <v>5.7</v>
      </c>
      <c r="X1849" s="157">
        <f ca="1" t="shared" si="312"/>
        <v>19</v>
      </c>
      <c r="Y1849" s="157" t="e">
        <f ca="1" t="shared" si="309"/>
        <v>#VALUE!</v>
      </c>
      <c r="Z1849" s="304" t="e">
        <f ca="1" t="shared" si="313"/>
        <v>#VALUE!</v>
      </c>
      <c r="AA1849" s="304">
        <f ca="1">OFFSET(卡牌辅助配置表!$AD$1,MATCH(AB1849,卡牌辅助配置表!AB:AB,0)-1,0)</f>
        <v>54</v>
      </c>
      <c r="AB1849" s="304">
        <f ca="1" t="shared" si="307"/>
        <v>1103</v>
      </c>
      <c r="AC1849" s="153">
        <v>10</v>
      </c>
      <c r="AD1849" s="153">
        <v>1</v>
      </c>
      <c r="AE1849" s="153">
        <v>1</v>
      </c>
      <c r="AF1849" s="153" t="str">
        <f ca="1" t="shared" si="311"/>
        <v>30110011|</v>
      </c>
      <c r="AI1849" s="153">
        <v>1</v>
      </c>
      <c r="AJ1849" s="205" t="str">
        <f ca="1" t="shared" si="308"/>
        <v>400023|1100|;</v>
      </c>
      <c r="AK1849" s="205">
        <f ca="1">OFFSET([1]item_type!$A$1,MATCH(Q1849,[1]item_type!$G:$G,0)-1,0)</f>
        <v>303011</v>
      </c>
      <c r="AL1849" s="205"/>
      <c r="AM1849" s="205">
        <f ca="1">IF(B1849=B1850,OFFSET(卡牌辅助配置表!$AE$1,MATCH(AB1849,卡牌辅助配置表!AB:AB,0),0),0)</f>
        <v>1100</v>
      </c>
      <c r="AN1849" s="153">
        <f ca="1" t="shared" si="303"/>
        <v>3011004</v>
      </c>
      <c r="AP1849" s="153" t="str">
        <f ca="1">IF(AC1849=0,0,IF(AC1849=12,0,OFFSET(effect!$N$1,MATCH(K1849,effect!M:M,0)-1,0)))</f>
        <v>kpsx_pt</v>
      </c>
    </row>
    <row r="1850" spans="1:42">
      <c r="A1850" s="153">
        <f ca="1" t="shared" si="304"/>
        <v>3011004</v>
      </c>
      <c r="B1850" s="91" t="s">
        <v>880</v>
      </c>
      <c r="C1850" s="186">
        <v>3</v>
      </c>
      <c r="D1850" s="186">
        <v>4</v>
      </c>
      <c r="E1850" s="165" t="s">
        <v>1069</v>
      </c>
      <c r="F1850" s="179" t="s">
        <v>1071</v>
      </c>
      <c r="G1850" s="186">
        <f ca="1">OFFSET(卡牌辅助配置表!$C$1,MATCH(AC1850,卡牌辅助配置表!A:A,0)-1,0)</f>
        <v>3</v>
      </c>
      <c r="H1850" s="186" t="e">
        <f ca="1">OFFSET(skill!$Q$1,MATCH(B1850,skill!B:B,0)-1,0)</f>
        <v>#VALUE!</v>
      </c>
      <c r="I1850" s="186"/>
      <c r="J1850" s="186">
        <f ca="1">OFFSET(card_type!$F$1,MATCH(Q1850,card_type!A:A,0)-1,0)</f>
        <v>1</v>
      </c>
      <c r="K1850" s="243">
        <f ca="1">OFFSET(card_type!$G$1,MATCH(Q1850,card_type!A:A,0)-1,0)</f>
        <v>1</v>
      </c>
      <c r="L1850" s="157">
        <v>3</v>
      </c>
      <c r="M1850" s="157">
        <v>3</v>
      </c>
      <c r="N1850" s="153">
        <f t="shared" si="305"/>
        <v>4</v>
      </c>
      <c r="O1850" s="157"/>
      <c r="P1850" s="157"/>
      <c r="Q1850" s="153">
        <f ca="1">OFFSET(card_type!$A$1,MATCH(card!B1850,card_type!B:B,0)-1,0)</f>
        <v>3011</v>
      </c>
      <c r="R1850" s="153">
        <v>1</v>
      </c>
      <c r="S1850" s="157">
        <f ca="1">ROUND(IF(R1850=0,0,IF(R1850=1,X1850*$S$1,IF(R1850=2,X1850*$S$1*buff的资质计算!$E$2,IF(R1850=3,X1850*$S$1*buff的资质计算!$E$3,0)))),0)*0</f>
        <v>0</v>
      </c>
      <c r="T1850" s="153">
        <v>2</v>
      </c>
      <c r="U1850" s="153">
        <f ca="1" t="shared" si="306"/>
        <v>11</v>
      </c>
      <c r="V1850" s="153">
        <f ca="1">ROUND((OFFSET(卡牌辅助配置表!$O$1,MATCH(U1850,卡牌辅助配置表!M:M,0)-1,0)+(N1850-1)*OFFSET(卡牌辅助配置表!$P$1,MATCH(U1850,卡牌辅助配置表!M:M,0)-1,0))*M1850,2)</f>
        <v>20.69</v>
      </c>
      <c r="W1850" s="157">
        <f ca="1">ROUND(IF(R1850=0,0,IF(R1850=1,X1850*$W$1,IF(R1850=2,X1850*$W$1*buff的资质计算!$E$2,IF(R1850=3,X1850*$W$1*buff的资质计算!$E$3,0)))),2)</f>
        <v>5.85</v>
      </c>
      <c r="X1850" s="157">
        <f ca="1" t="shared" si="312"/>
        <v>19.5</v>
      </c>
      <c r="Y1850" s="157" t="e">
        <f ca="1" t="shared" si="309"/>
        <v>#VALUE!</v>
      </c>
      <c r="Z1850" s="304" t="e">
        <f ca="1" t="shared" si="313"/>
        <v>#VALUE!</v>
      </c>
      <c r="AA1850" s="304">
        <f ca="1">OFFSET(卡牌辅助配置表!$AD$1,MATCH(AB1850,卡牌辅助配置表!AB:AB,0)-1,0)</f>
        <v>72</v>
      </c>
      <c r="AB1850" s="304">
        <f ca="1" t="shared" si="307"/>
        <v>1104</v>
      </c>
      <c r="AC1850" s="153">
        <v>10</v>
      </c>
      <c r="AD1850" s="153">
        <v>1</v>
      </c>
      <c r="AE1850" s="153">
        <v>1</v>
      </c>
      <c r="AF1850" s="153" t="str">
        <f ca="1" t="shared" si="311"/>
        <v>30110011|</v>
      </c>
      <c r="AI1850" s="153">
        <v>1</v>
      </c>
      <c r="AJ1850" s="205" t="str">
        <f ca="1" t="shared" si="308"/>
        <v>400023|1300|;</v>
      </c>
      <c r="AK1850" s="205">
        <f ca="1">OFFSET([1]item_type!$A$1,MATCH(Q1850,[1]item_type!$G:$G,0)-1,0)</f>
        <v>303011</v>
      </c>
      <c r="AL1850" s="205"/>
      <c r="AM1850" s="205">
        <f ca="1">IF(B1850=B1851,OFFSET(卡牌辅助配置表!$AE$1,MATCH(AB1850,卡牌辅助配置表!AB:AB,0),0),0)</f>
        <v>1300</v>
      </c>
      <c r="AN1850" s="153">
        <f ca="1" t="shared" si="303"/>
        <v>3011005</v>
      </c>
      <c r="AP1850" s="153" t="str">
        <f ca="1">IF(AC1850=0,0,IF(AC1850=12,0,OFFSET(effect!$N$1,MATCH(K1850,effect!M:M,0)-1,0)))</f>
        <v>kpsx_pt</v>
      </c>
    </row>
    <row r="1851" spans="1:42">
      <c r="A1851" s="153">
        <f ca="1" t="shared" si="304"/>
        <v>3011005</v>
      </c>
      <c r="B1851" s="91" t="s">
        <v>880</v>
      </c>
      <c r="C1851" s="186">
        <v>3</v>
      </c>
      <c r="D1851" s="186">
        <v>4</v>
      </c>
      <c r="E1851" s="165" t="s">
        <v>1069</v>
      </c>
      <c r="F1851" s="179" t="s">
        <v>1071</v>
      </c>
      <c r="G1851" s="186">
        <f ca="1">OFFSET(卡牌辅助配置表!$C$1,MATCH(AC1851,卡牌辅助配置表!A:A,0)-1,0)</f>
        <v>3</v>
      </c>
      <c r="H1851" s="186" t="e">
        <f ca="1">OFFSET(skill!$Q$1,MATCH(B1851,skill!B:B,0)-1,0)</f>
        <v>#VALUE!</v>
      </c>
      <c r="I1851" s="186"/>
      <c r="J1851" s="186">
        <f ca="1">OFFSET(card_type!$F$1,MATCH(Q1851,card_type!A:A,0)-1,0)</f>
        <v>1</v>
      </c>
      <c r="K1851" s="243">
        <f ca="1">OFFSET(card_type!$G$1,MATCH(Q1851,card_type!A:A,0)-1,0)</f>
        <v>1</v>
      </c>
      <c r="L1851" s="157">
        <v>3</v>
      </c>
      <c r="M1851" s="157">
        <v>3</v>
      </c>
      <c r="N1851" s="153">
        <f t="shared" si="305"/>
        <v>5</v>
      </c>
      <c r="O1851" s="157"/>
      <c r="P1851" s="157"/>
      <c r="Q1851" s="153">
        <f ca="1">OFFSET(card_type!$A$1,MATCH(card!B1851,card_type!B:B,0)-1,0)</f>
        <v>3011</v>
      </c>
      <c r="R1851" s="153">
        <v>1</v>
      </c>
      <c r="S1851" s="157">
        <f ca="1">ROUND(IF(R1851=0,0,IF(R1851=1,X1851*$S$1,IF(R1851=2,X1851*$S$1*buff的资质计算!$E$2,IF(R1851=3,X1851*$S$1*buff的资质计算!$E$3,0)))),0)*0</f>
        <v>0</v>
      </c>
      <c r="T1851" s="153">
        <v>2</v>
      </c>
      <c r="U1851" s="153">
        <f ca="1" t="shared" si="306"/>
        <v>11</v>
      </c>
      <c r="V1851" s="153">
        <f ca="1">ROUND((OFFSET(卡牌辅助配置表!$O$1,MATCH(U1851,卡牌辅助配置表!M:M,0)-1,0)+(N1851-1)*OFFSET(卡牌辅助配置表!$P$1,MATCH(U1851,卡牌辅助配置表!M:M,0)-1,0))*M1851,2)</f>
        <v>21.32</v>
      </c>
      <c r="W1851" s="157">
        <f ca="1">ROUND(IF(R1851=0,0,IF(R1851=1,X1851*$W$1,IF(R1851=2,X1851*$W$1*buff的资质计算!$E$2,IF(R1851=3,X1851*$W$1*buff的资质计算!$E$3,0)))),2)</f>
        <v>6</v>
      </c>
      <c r="X1851" s="157">
        <f ca="1" t="shared" si="312"/>
        <v>20</v>
      </c>
      <c r="Y1851" s="157" t="e">
        <f ca="1" t="shared" si="309"/>
        <v>#VALUE!</v>
      </c>
      <c r="Z1851" s="304" t="e">
        <f ca="1" t="shared" si="313"/>
        <v>#VALUE!</v>
      </c>
      <c r="AA1851" s="304">
        <f ca="1">OFFSET(卡牌辅助配置表!$AD$1,MATCH(AB1851,卡牌辅助配置表!AB:AB,0)-1,0)</f>
        <v>90</v>
      </c>
      <c r="AB1851" s="304">
        <f ca="1" t="shared" si="307"/>
        <v>1105</v>
      </c>
      <c r="AC1851" s="153">
        <v>10</v>
      </c>
      <c r="AD1851" s="153">
        <v>1</v>
      </c>
      <c r="AE1851" s="153">
        <v>1</v>
      </c>
      <c r="AF1851" s="153" t="str">
        <f ca="1" t="shared" si="311"/>
        <v>30110011|</v>
      </c>
      <c r="AI1851" s="153">
        <v>1</v>
      </c>
      <c r="AJ1851" s="205" t="str">
        <f ca="1" t="shared" si="308"/>
        <v>400023|1500|;</v>
      </c>
      <c r="AK1851" s="205">
        <f ca="1">OFFSET([1]item_type!$A$1,MATCH(Q1851,[1]item_type!$G:$G,0)-1,0)</f>
        <v>303011</v>
      </c>
      <c r="AL1851" s="205"/>
      <c r="AM1851" s="205">
        <f ca="1">IF(B1851=B1852,OFFSET(卡牌辅助配置表!$AE$1,MATCH(AB1851,卡牌辅助配置表!AB:AB,0),0),0)</f>
        <v>1500</v>
      </c>
      <c r="AN1851" s="153">
        <f ca="1" t="shared" si="303"/>
        <v>3011006</v>
      </c>
      <c r="AP1851" s="153" t="str">
        <f ca="1">IF(AC1851=0,0,IF(AC1851=12,0,OFFSET(effect!$N$1,MATCH(K1851,effect!M:M,0)-1,0)))</f>
        <v>kpsx_pt</v>
      </c>
    </row>
    <row r="1852" spans="1:42">
      <c r="A1852" s="153">
        <f ca="1" t="shared" si="304"/>
        <v>3011006</v>
      </c>
      <c r="B1852" s="91" t="s">
        <v>880</v>
      </c>
      <c r="C1852" s="186">
        <v>3</v>
      </c>
      <c r="D1852" s="186">
        <v>4</v>
      </c>
      <c r="E1852" s="165" t="s">
        <v>1069</v>
      </c>
      <c r="F1852" s="179" t="s">
        <v>1071</v>
      </c>
      <c r="G1852" s="186">
        <f ca="1">OFFSET(卡牌辅助配置表!$C$1,MATCH(AC1852,卡牌辅助配置表!A:A,0)-1,0)</f>
        <v>3</v>
      </c>
      <c r="H1852" s="186" t="e">
        <f ca="1">OFFSET(skill!$Q$1,MATCH(B1852,skill!B:B,0)-1,0)</f>
        <v>#VALUE!</v>
      </c>
      <c r="I1852" s="186"/>
      <c r="J1852" s="186">
        <f ca="1">OFFSET(card_type!$F$1,MATCH(Q1852,card_type!A:A,0)-1,0)</f>
        <v>1</v>
      </c>
      <c r="K1852" s="243">
        <f ca="1">OFFSET(card_type!$G$1,MATCH(Q1852,card_type!A:A,0)-1,0)</f>
        <v>1</v>
      </c>
      <c r="L1852" s="157">
        <v>3</v>
      </c>
      <c r="M1852" s="157">
        <v>3</v>
      </c>
      <c r="N1852" s="153">
        <f t="shared" si="305"/>
        <v>6</v>
      </c>
      <c r="O1852" s="157"/>
      <c r="P1852" s="157"/>
      <c r="Q1852" s="153">
        <f ca="1">OFFSET(card_type!$A$1,MATCH(card!B1852,card_type!B:B,0)-1,0)</f>
        <v>3011</v>
      </c>
      <c r="R1852" s="153">
        <v>1</v>
      </c>
      <c r="S1852" s="157">
        <f ca="1">ROUND(IF(R1852=0,0,IF(R1852=1,X1852*$S$1,IF(R1852=2,X1852*$S$1*buff的资质计算!$E$2,IF(R1852=3,X1852*$S$1*buff的资质计算!$E$3,0)))),0)*0</f>
        <v>0</v>
      </c>
      <c r="T1852" s="153">
        <v>2</v>
      </c>
      <c r="U1852" s="153">
        <f ca="1" t="shared" si="306"/>
        <v>11</v>
      </c>
      <c r="V1852" s="153">
        <f ca="1">ROUND((OFFSET(卡牌辅助配置表!$O$1,MATCH(U1852,卡牌辅助配置表!M:M,0)-1,0)+(N1852-1)*OFFSET(卡牌辅助配置表!$P$1,MATCH(U1852,卡牌辅助配置表!M:M,0)-1,0))*M1852,2)</f>
        <v>21.95</v>
      </c>
      <c r="W1852" s="157">
        <f ca="1">ROUND(IF(R1852=0,0,IF(R1852=1,X1852*$W$1,IF(R1852=2,X1852*$W$1*buff的资质计算!$E$2,IF(R1852=3,X1852*$W$1*buff的资质计算!$E$3,0)))),2)</f>
        <v>6.15</v>
      </c>
      <c r="X1852" s="157">
        <f ca="1" t="shared" si="312"/>
        <v>20.5</v>
      </c>
      <c r="Y1852" s="157" t="e">
        <f ca="1" t="shared" si="309"/>
        <v>#VALUE!</v>
      </c>
      <c r="Z1852" s="304" t="e">
        <f ca="1" t="shared" si="313"/>
        <v>#VALUE!</v>
      </c>
      <c r="AA1852" s="304">
        <f ca="1">OFFSET(卡牌辅助配置表!$AD$1,MATCH(AB1852,卡牌辅助配置表!AB:AB,0)-1,0)</f>
        <v>108</v>
      </c>
      <c r="AB1852" s="304">
        <f ca="1" t="shared" si="307"/>
        <v>1106</v>
      </c>
      <c r="AC1852" s="153">
        <v>10</v>
      </c>
      <c r="AD1852" s="153">
        <v>1</v>
      </c>
      <c r="AE1852" s="153">
        <v>1</v>
      </c>
      <c r="AF1852" s="153" t="str">
        <f ca="1" t="shared" si="311"/>
        <v>30110011|</v>
      </c>
      <c r="AI1852" s="153">
        <v>1</v>
      </c>
      <c r="AJ1852" s="205" t="str">
        <f ca="1" t="shared" si="308"/>
        <v>400023|1700|;</v>
      </c>
      <c r="AK1852" s="205">
        <f ca="1">OFFSET([1]item_type!$A$1,MATCH(Q1852,[1]item_type!$G:$G,0)-1,0)</f>
        <v>303011</v>
      </c>
      <c r="AL1852" s="205"/>
      <c r="AM1852" s="205">
        <f ca="1">IF(B1852=B1853,OFFSET(卡牌辅助配置表!$AE$1,MATCH(AB1852,卡牌辅助配置表!AB:AB,0),0),0)</f>
        <v>1700</v>
      </c>
      <c r="AN1852" s="153">
        <f ca="1" t="shared" si="303"/>
        <v>3011007</v>
      </c>
      <c r="AP1852" s="153" t="str">
        <f ca="1">IF(AC1852=0,0,IF(AC1852=12,0,OFFSET(effect!$N$1,MATCH(K1852,effect!M:M,0)-1,0)))</f>
        <v>kpsx_pt</v>
      </c>
    </row>
    <row r="1853" spans="1:42">
      <c r="A1853" s="153">
        <f ca="1" t="shared" si="304"/>
        <v>3011007</v>
      </c>
      <c r="B1853" s="91" t="s">
        <v>880</v>
      </c>
      <c r="C1853" s="186">
        <v>3</v>
      </c>
      <c r="D1853" s="186">
        <v>4</v>
      </c>
      <c r="E1853" s="165" t="s">
        <v>1069</v>
      </c>
      <c r="F1853" s="179" t="s">
        <v>1071</v>
      </c>
      <c r="G1853" s="186">
        <f ca="1">OFFSET(卡牌辅助配置表!$C$1,MATCH(AC1853,卡牌辅助配置表!A:A,0)-1,0)</f>
        <v>3</v>
      </c>
      <c r="H1853" s="186" t="e">
        <f ca="1">OFFSET(skill!$Q$1,MATCH(B1853,skill!B:B,0)-1,0)</f>
        <v>#VALUE!</v>
      </c>
      <c r="I1853" s="186"/>
      <c r="J1853" s="186">
        <f ca="1">OFFSET(card_type!$F$1,MATCH(Q1853,card_type!A:A,0)-1,0)</f>
        <v>1</v>
      </c>
      <c r="K1853" s="243">
        <f ca="1">OFFSET(card_type!$G$1,MATCH(Q1853,card_type!A:A,0)-1,0)</f>
        <v>1</v>
      </c>
      <c r="L1853" s="157">
        <v>3</v>
      </c>
      <c r="M1853" s="157">
        <v>3</v>
      </c>
      <c r="N1853" s="153">
        <f t="shared" si="305"/>
        <v>7</v>
      </c>
      <c r="O1853" s="157"/>
      <c r="P1853" s="157"/>
      <c r="Q1853" s="153">
        <f ca="1">OFFSET(card_type!$A$1,MATCH(card!B1853,card_type!B:B,0)-1,0)</f>
        <v>3011</v>
      </c>
      <c r="R1853" s="153">
        <v>1</v>
      </c>
      <c r="S1853" s="157">
        <f ca="1">ROUND(IF(R1853=0,0,IF(R1853=1,X1853*$S$1,IF(R1853=2,X1853*$S$1*buff的资质计算!$E$2,IF(R1853=3,X1853*$S$1*buff的资质计算!$E$3,0)))),0)*0</f>
        <v>0</v>
      </c>
      <c r="T1853" s="153">
        <v>2</v>
      </c>
      <c r="U1853" s="153">
        <f ca="1" t="shared" si="306"/>
        <v>11</v>
      </c>
      <c r="V1853" s="153">
        <f ca="1">ROUND((OFFSET(卡牌辅助配置表!$O$1,MATCH(U1853,卡牌辅助配置表!M:M,0)-1,0)+(N1853-1)*OFFSET(卡牌辅助配置表!$P$1,MATCH(U1853,卡牌辅助配置表!M:M,0)-1,0))*M1853,2)</f>
        <v>22.57</v>
      </c>
      <c r="W1853" s="157">
        <f ca="1">ROUND(IF(R1853=0,0,IF(R1853=1,X1853*$W$1,IF(R1853=2,X1853*$W$1*buff的资质计算!$E$2,IF(R1853=3,X1853*$W$1*buff的资质计算!$E$3,0)))),2)</f>
        <v>6.3</v>
      </c>
      <c r="X1853" s="157">
        <f ca="1" t="shared" si="312"/>
        <v>21</v>
      </c>
      <c r="Y1853" s="157" t="e">
        <f ca="1" t="shared" si="309"/>
        <v>#VALUE!</v>
      </c>
      <c r="Z1853" s="304" t="e">
        <f ca="1" t="shared" si="313"/>
        <v>#VALUE!</v>
      </c>
      <c r="AA1853" s="304">
        <f ca="1">OFFSET(卡牌辅助配置表!$AD$1,MATCH(AB1853,卡牌辅助配置表!AB:AB,0)-1,0)</f>
        <v>126</v>
      </c>
      <c r="AB1853" s="304">
        <f ca="1" t="shared" si="307"/>
        <v>1107</v>
      </c>
      <c r="AC1853" s="153">
        <v>10</v>
      </c>
      <c r="AD1853" s="153">
        <v>1</v>
      </c>
      <c r="AE1853" s="153">
        <v>1</v>
      </c>
      <c r="AF1853" s="153" t="str">
        <f ca="1" t="shared" si="311"/>
        <v>30110011|</v>
      </c>
      <c r="AI1853" s="153">
        <v>1</v>
      </c>
      <c r="AJ1853" s="205" t="str">
        <f ca="1" t="shared" si="308"/>
        <v>400023|1900|;</v>
      </c>
      <c r="AK1853" s="205">
        <f ca="1">OFFSET([1]item_type!$A$1,MATCH(Q1853,[1]item_type!$G:$G,0)-1,0)</f>
        <v>303011</v>
      </c>
      <c r="AL1853" s="205"/>
      <c r="AM1853" s="205">
        <f ca="1">IF(B1853=B1854,OFFSET(卡牌辅助配置表!$AE$1,MATCH(AB1853,卡牌辅助配置表!AB:AB,0),0),0)</f>
        <v>1900</v>
      </c>
      <c r="AN1853" s="153">
        <f ca="1" t="shared" si="303"/>
        <v>3011008</v>
      </c>
      <c r="AP1853" s="153" t="str">
        <f ca="1">IF(AC1853=0,0,IF(AC1853=12,0,OFFSET(effect!$N$1,MATCH(K1853,effect!M:M,0)-1,0)))</f>
        <v>kpsx_pt</v>
      </c>
    </row>
    <row r="1854" spans="1:42">
      <c r="A1854" s="153">
        <f ca="1" t="shared" si="304"/>
        <v>3011008</v>
      </c>
      <c r="B1854" s="91" t="s">
        <v>880</v>
      </c>
      <c r="C1854" s="186">
        <v>3</v>
      </c>
      <c r="D1854" s="186">
        <v>4</v>
      </c>
      <c r="E1854" s="165" t="s">
        <v>1069</v>
      </c>
      <c r="F1854" s="179" t="s">
        <v>1071</v>
      </c>
      <c r="G1854" s="186">
        <f ca="1">OFFSET(卡牌辅助配置表!$C$1,MATCH(AC1854,卡牌辅助配置表!A:A,0)-1,0)</f>
        <v>3</v>
      </c>
      <c r="H1854" s="186" t="e">
        <f ca="1">OFFSET(skill!$Q$1,MATCH(B1854,skill!B:B,0)-1,0)</f>
        <v>#VALUE!</v>
      </c>
      <c r="I1854" s="186"/>
      <c r="J1854" s="186">
        <f ca="1">OFFSET(card_type!$F$1,MATCH(Q1854,card_type!A:A,0)-1,0)</f>
        <v>1</v>
      </c>
      <c r="K1854" s="243">
        <f ca="1">OFFSET(card_type!$G$1,MATCH(Q1854,card_type!A:A,0)-1,0)</f>
        <v>1</v>
      </c>
      <c r="L1854" s="157">
        <v>3</v>
      </c>
      <c r="M1854" s="157">
        <v>3</v>
      </c>
      <c r="N1854" s="153">
        <f t="shared" si="305"/>
        <v>8</v>
      </c>
      <c r="O1854" s="157"/>
      <c r="P1854" s="157"/>
      <c r="Q1854" s="153">
        <f ca="1">OFFSET(card_type!$A$1,MATCH(card!B1854,card_type!B:B,0)-1,0)</f>
        <v>3011</v>
      </c>
      <c r="R1854" s="153">
        <v>1</v>
      </c>
      <c r="S1854" s="157">
        <f ca="1">ROUND(IF(R1854=0,0,IF(R1854=1,X1854*$S$1,IF(R1854=2,X1854*$S$1*buff的资质计算!$E$2,IF(R1854=3,X1854*$S$1*buff的资质计算!$E$3,0)))),0)*0</f>
        <v>0</v>
      </c>
      <c r="T1854" s="153">
        <v>2</v>
      </c>
      <c r="U1854" s="153">
        <f ca="1" t="shared" si="306"/>
        <v>11</v>
      </c>
      <c r="V1854" s="153">
        <f ca="1">ROUND((OFFSET(卡牌辅助配置表!$O$1,MATCH(U1854,卡牌辅助配置表!M:M,0)-1,0)+(N1854-1)*OFFSET(卡牌辅助配置表!$P$1,MATCH(U1854,卡牌辅助配置表!M:M,0)-1,0))*M1854,2)</f>
        <v>23.2</v>
      </c>
      <c r="W1854" s="157">
        <f ca="1">ROUND(IF(R1854=0,0,IF(R1854=1,X1854*$W$1,IF(R1854=2,X1854*$W$1*buff的资质计算!$E$2,IF(R1854=3,X1854*$W$1*buff的资质计算!$E$3,0)))),2)</f>
        <v>6.45</v>
      </c>
      <c r="X1854" s="157">
        <f ca="1" t="shared" si="312"/>
        <v>21.5</v>
      </c>
      <c r="Y1854" s="157" t="e">
        <f ca="1" t="shared" si="309"/>
        <v>#VALUE!</v>
      </c>
      <c r="Z1854" s="304" t="e">
        <f ca="1" t="shared" si="313"/>
        <v>#VALUE!</v>
      </c>
      <c r="AA1854" s="304">
        <f ca="1">OFFSET(卡牌辅助配置表!$AD$1,MATCH(AB1854,卡牌辅助配置表!AB:AB,0)-1,0)</f>
        <v>144</v>
      </c>
      <c r="AB1854" s="304">
        <f ca="1" t="shared" si="307"/>
        <v>1108</v>
      </c>
      <c r="AC1854" s="153">
        <v>10</v>
      </c>
      <c r="AD1854" s="153">
        <v>1</v>
      </c>
      <c r="AE1854" s="153">
        <v>1</v>
      </c>
      <c r="AF1854" s="153" t="str">
        <f ca="1" t="shared" si="311"/>
        <v>30110011|</v>
      </c>
      <c r="AI1854" s="153">
        <v>1</v>
      </c>
      <c r="AJ1854" s="205" t="str">
        <f ca="1" t="shared" si="308"/>
        <v>400023|2100|;</v>
      </c>
      <c r="AK1854" s="205">
        <f ca="1">OFFSET([1]item_type!$A$1,MATCH(Q1854,[1]item_type!$G:$G,0)-1,0)</f>
        <v>303011</v>
      </c>
      <c r="AL1854" s="205"/>
      <c r="AM1854" s="205">
        <f ca="1">IF(B1854=B1855,OFFSET(卡牌辅助配置表!$AE$1,MATCH(AB1854,卡牌辅助配置表!AB:AB,0),0),0)</f>
        <v>2100</v>
      </c>
      <c r="AN1854" s="153">
        <f ca="1" t="shared" si="303"/>
        <v>3011009</v>
      </c>
      <c r="AP1854" s="153" t="str">
        <f ca="1">IF(AC1854=0,0,IF(AC1854=12,0,OFFSET(effect!$N$1,MATCH(K1854,effect!M:M,0)-1,0)))</f>
        <v>kpsx_pt</v>
      </c>
    </row>
    <row r="1855" spans="1:42">
      <c r="A1855" s="153">
        <f ca="1" t="shared" si="304"/>
        <v>3011009</v>
      </c>
      <c r="B1855" s="91" t="s">
        <v>880</v>
      </c>
      <c r="C1855" s="186">
        <v>3</v>
      </c>
      <c r="D1855" s="186">
        <v>4</v>
      </c>
      <c r="E1855" s="165" t="s">
        <v>1069</v>
      </c>
      <c r="F1855" s="179" t="s">
        <v>1071</v>
      </c>
      <c r="G1855" s="186">
        <f ca="1">OFFSET(卡牌辅助配置表!$C$1,MATCH(AC1855,卡牌辅助配置表!A:A,0)-1,0)</f>
        <v>3</v>
      </c>
      <c r="H1855" s="186" t="e">
        <f ca="1">OFFSET(skill!$Q$1,MATCH(B1855,skill!B:B,0)-1,0)</f>
        <v>#VALUE!</v>
      </c>
      <c r="I1855" s="186"/>
      <c r="J1855" s="186">
        <f ca="1">OFFSET(card_type!$F$1,MATCH(Q1855,card_type!A:A,0)-1,0)</f>
        <v>1</v>
      </c>
      <c r="K1855" s="243">
        <f ca="1">OFFSET(card_type!$G$1,MATCH(Q1855,card_type!A:A,0)-1,0)</f>
        <v>1</v>
      </c>
      <c r="L1855" s="157">
        <v>3</v>
      </c>
      <c r="M1855" s="157">
        <v>3</v>
      </c>
      <c r="N1855" s="153">
        <f t="shared" si="305"/>
        <v>9</v>
      </c>
      <c r="O1855" s="157"/>
      <c r="P1855" s="157"/>
      <c r="Q1855" s="153">
        <f ca="1">OFFSET(card_type!$A$1,MATCH(card!B1855,card_type!B:B,0)-1,0)</f>
        <v>3011</v>
      </c>
      <c r="R1855" s="153">
        <v>1</v>
      </c>
      <c r="S1855" s="157">
        <f ca="1">ROUND(IF(R1855=0,0,IF(R1855=1,X1855*$S$1,IF(R1855=2,X1855*$S$1*buff的资质计算!$E$2,IF(R1855=3,X1855*$S$1*buff的资质计算!$E$3,0)))),0)*0</f>
        <v>0</v>
      </c>
      <c r="T1855" s="153">
        <v>2</v>
      </c>
      <c r="U1855" s="153">
        <f ca="1" t="shared" si="306"/>
        <v>11</v>
      </c>
      <c r="V1855" s="153">
        <f ca="1">ROUND((OFFSET(卡牌辅助配置表!$O$1,MATCH(U1855,卡牌辅助配置表!M:M,0)-1,0)+(N1855-1)*OFFSET(卡牌辅助配置表!$P$1,MATCH(U1855,卡牌辅助配置表!M:M,0)-1,0))*M1855,2)</f>
        <v>23.83</v>
      </c>
      <c r="W1855" s="157">
        <f ca="1">ROUND(IF(R1855=0,0,IF(R1855=1,X1855*$W$1,IF(R1855=2,X1855*$W$1*buff的资质计算!$E$2,IF(R1855=3,X1855*$W$1*buff的资质计算!$E$3,0)))),2)</f>
        <v>6.6</v>
      </c>
      <c r="X1855" s="157">
        <f ca="1" t="shared" si="312"/>
        <v>22</v>
      </c>
      <c r="Y1855" s="157" t="e">
        <f ca="1" t="shared" si="309"/>
        <v>#VALUE!</v>
      </c>
      <c r="Z1855" s="304" t="e">
        <f ca="1" t="shared" si="313"/>
        <v>#VALUE!</v>
      </c>
      <c r="AA1855" s="304">
        <f ca="1">OFFSET(卡牌辅助配置表!$AD$1,MATCH(AB1855,卡牌辅助配置表!AB:AB,0)-1,0)</f>
        <v>162</v>
      </c>
      <c r="AB1855" s="304">
        <f ca="1" t="shared" si="307"/>
        <v>1109</v>
      </c>
      <c r="AC1855" s="153">
        <v>10</v>
      </c>
      <c r="AD1855" s="153">
        <v>1</v>
      </c>
      <c r="AE1855" s="153">
        <v>1</v>
      </c>
      <c r="AF1855" s="153" t="str">
        <f ca="1" t="shared" si="311"/>
        <v>30110011|</v>
      </c>
      <c r="AI1855" s="153">
        <v>1</v>
      </c>
      <c r="AJ1855" s="205" t="str">
        <f ca="1" t="shared" si="308"/>
        <v>303011|15|;400023|2300|;</v>
      </c>
      <c r="AK1855" s="205">
        <f ca="1">OFFSET([1]item_type!$A$1,MATCH(Q1855,[1]item_type!$G:$G,0)-1,0)</f>
        <v>303011</v>
      </c>
      <c r="AL1855" s="205">
        <v>15</v>
      </c>
      <c r="AM1855" s="205">
        <f ca="1">IF(B1855=B1856,OFFSET(卡牌辅助配置表!$AE$1,MATCH(AB1855,卡牌辅助配置表!AB:AB,0),0),0)</f>
        <v>2300</v>
      </c>
      <c r="AN1855" s="153">
        <f ca="1" t="shared" si="303"/>
        <v>3011010</v>
      </c>
      <c r="AP1855" s="153" t="str">
        <f ca="1">IF(AC1855=0,0,IF(AC1855=12,0,OFFSET(effect!$N$1,MATCH(K1855,effect!M:M,0)-1,0)))</f>
        <v>kpsx_pt</v>
      </c>
    </row>
    <row r="1856" spans="1:42">
      <c r="A1856" s="153">
        <f ca="1" t="shared" si="304"/>
        <v>3011010</v>
      </c>
      <c r="B1856" s="91" t="s">
        <v>880</v>
      </c>
      <c r="C1856" s="186">
        <v>3</v>
      </c>
      <c r="D1856" s="186">
        <v>4</v>
      </c>
      <c r="E1856" s="165" t="s">
        <v>1069</v>
      </c>
      <c r="F1856" s="179" t="s">
        <v>1071</v>
      </c>
      <c r="G1856" s="186">
        <f ca="1">OFFSET(卡牌辅助配置表!$C$1,MATCH(AC1856,卡牌辅助配置表!A:A,0)-1,0)</f>
        <v>3</v>
      </c>
      <c r="H1856" s="186" t="e">
        <f ca="1">OFFSET(skill!$Q$1,MATCH(B1856,skill!B:B,0)-1,0)</f>
        <v>#VALUE!</v>
      </c>
      <c r="I1856" s="186"/>
      <c r="J1856" s="186">
        <f ca="1">OFFSET(card_type!$F$1,MATCH(Q1856,card_type!A:A,0)-1,0)</f>
        <v>1</v>
      </c>
      <c r="K1856" s="243">
        <f ca="1">OFFSET(card_type!$G$1,MATCH(Q1856,card_type!A:A,0)-1,0)</f>
        <v>1</v>
      </c>
      <c r="L1856" s="157">
        <v>3</v>
      </c>
      <c r="M1856" s="157">
        <v>3</v>
      </c>
      <c r="N1856" s="153">
        <f t="shared" si="305"/>
        <v>10</v>
      </c>
      <c r="O1856" s="157"/>
      <c r="P1856" s="157"/>
      <c r="Q1856" s="153">
        <f ca="1">OFFSET(card_type!$A$1,MATCH(card!B1856,card_type!B:B,0)-1,0)</f>
        <v>3011</v>
      </c>
      <c r="R1856" s="153">
        <v>1</v>
      </c>
      <c r="S1856" s="157">
        <f ca="1">ROUND(IF(R1856=0,0,IF(R1856=1,X1856*$S$1,IF(R1856=2,X1856*$S$1*buff的资质计算!$E$2,IF(R1856=3,X1856*$S$1*buff的资质计算!$E$3,0)))),0)*0</f>
        <v>0</v>
      </c>
      <c r="T1856" s="153">
        <v>2</v>
      </c>
      <c r="U1856" s="153">
        <f ca="1" t="shared" si="306"/>
        <v>11</v>
      </c>
      <c r="V1856" s="153">
        <f ca="1">ROUND((OFFSET(卡牌辅助配置表!$O$1,MATCH(U1856,卡牌辅助配置表!M:M,0)-1,0)+(N1856-1)*OFFSET(卡牌辅助配置表!$P$1,MATCH(U1856,卡牌辅助配置表!M:M,0)-1,0))*M1856,2)</f>
        <v>24.45</v>
      </c>
      <c r="W1856" s="157">
        <f ca="1">ROUND(IF(R1856=0,0,IF(R1856=1,X1856*$W$1,IF(R1856=2,X1856*$W$1*buff的资质计算!$E$2,IF(R1856=3,X1856*$W$1*buff的资质计算!$E$3,0)))),2)</f>
        <v>6.75</v>
      </c>
      <c r="X1856" s="157">
        <f ca="1" t="shared" si="312"/>
        <v>22.5</v>
      </c>
      <c r="Y1856" s="157" t="e">
        <f ca="1" t="shared" si="309"/>
        <v>#VALUE!</v>
      </c>
      <c r="Z1856" s="304" t="e">
        <f ca="1" t="shared" si="313"/>
        <v>#VALUE!</v>
      </c>
      <c r="AA1856" s="304">
        <f ca="1">OFFSET(卡牌辅助配置表!$AD$1,MATCH(AB1856,卡牌辅助配置表!AB:AB,0)-1,0)</f>
        <v>180</v>
      </c>
      <c r="AB1856" s="304">
        <f ca="1" t="shared" si="307"/>
        <v>1110</v>
      </c>
      <c r="AC1856" s="153">
        <v>10</v>
      </c>
      <c r="AD1856" s="153">
        <v>1</v>
      </c>
      <c r="AE1856" s="153">
        <v>1</v>
      </c>
      <c r="AF1856" s="153" t="str">
        <f ca="1" t="shared" si="311"/>
        <v>30110011|</v>
      </c>
      <c r="AI1856" s="153">
        <v>1</v>
      </c>
      <c r="AJ1856" s="205" t="str">
        <f ca="1" t="shared" si="308"/>
        <v>400023|2700|;</v>
      </c>
      <c r="AK1856" s="205">
        <f ca="1">OFFSET([1]item_type!$A$1,MATCH(Q1856,[1]item_type!$G:$G,0)-1,0)</f>
        <v>303011</v>
      </c>
      <c r="AL1856" s="205"/>
      <c r="AM1856" s="205">
        <f ca="1">IF(B1856=B1857,OFFSET(卡牌辅助配置表!$AE$1,MATCH(AB1856,卡牌辅助配置表!AB:AB,0),0),0)</f>
        <v>2700</v>
      </c>
      <c r="AN1856" s="153">
        <f ca="1" t="shared" si="303"/>
        <v>3011011</v>
      </c>
      <c r="AP1856" s="153" t="str">
        <f ca="1">IF(AC1856=0,0,IF(AC1856=12,0,OFFSET(effect!$N$1,MATCH(K1856,effect!M:M,0)-1,0)))</f>
        <v>kpsx_pt</v>
      </c>
    </row>
    <row r="1857" spans="1:42">
      <c r="A1857" s="153">
        <f ca="1" t="shared" si="304"/>
        <v>3011011</v>
      </c>
      <c r="B1857" s="91" t="s">
        <v>880</v>
      </c>
      <c r="C1857" s="186">
        <v>3</v>
      </c>
      <c r="D1857" s="186">
        <v>4</v>
      </c>
      <c r="E1857" s="165" t="s">
        <v>1069</v>
      </c>
      <c r="F1857" s="179" t="s">
        <v>1071</v>
      </c>
      <c r="G1857" s="186">
        <f ca="1">OFFSET(卡牌辅助配置表!$C$1,MATCH(AC1857,卡牌辅助配置表!A:A,0)-1,0)</f>
        <v>3</v>
      </c>
      <c r="H1857" s="186" t="e">
        <f ca="1">OFFSET(skill!$Q$1,MATCH(B1857,skill!B:B,0)-1,0)</f>
        <v>#VALUE!</v>
      </c>
      <c r="I1857" s="186"/>
      <c r="J1857" s="186">
        <f ca="1">OFFSET(card_type!$F$1,MATCH(Q1857,card_type!A:A,0)-1,0)</f>
        <v>1</v>
      </c>
      <c r="K1857" s="243">
        <f ca="1">OFFSET(card_type!$G$1,MATCH(Q1857,card_type!A:A,0)-1,0)</f>
        <v>1</v>
      </c>
      <c r="L1857" s="157">
        <v>3</v>
      </c>
      <c r="M1857" s="157">
        <v>3</v>
      </c>
      <c r="N1857" s="153">
        <f t="shared" si="305"/>
        <v>11</v>
      </c>
      <c r="O1857" s="157"/>
      <c r="P1857" s="157"/>
      <c r="Q1857" s="153">
        <f ca="1">OFFSET(card_type!$A$1,MATCH(card!B1857,card_type!B:B,0)-1,0)</f>
        <v>3011</v>
      </c>
      <c r="R1857" s="153">
        <v>1</v>
      </c>
      <c r="S1857" s="157">
        <f ca="1">ROUND(IF(R1857=0,0,IF(R1857=1,X1857*$S$1,IF(R1857=2,X1857*$S$1*buff的资质计算!$E$2,IF(R1857=3,X1857*$S$1*buff的资质计算!$E$3,0)))),0)*0</f>
        <v>0</v>
      </c>
      <c r="T1857" s="153">
        <v>2</v>
      </c>
      <c r="U1857" s="153">
        <f ca="1" t="shared" si="306"/>
        <v>11</v>
      </c>
      <c r="V1857" s="153">
        <f ca="1">ROUND((OFFSET(卡牌辅助配置表!$O$1,MATCH(U1857,卡牌辅助配置表!M:M,0)-1,0)+(N1857-1)*OFFSET(卡牌辅助配置表!$P$1,MATCH(U1857,卡牌辅助配置表!M:M,0)-1,0))*M1857,2)</f>
        <v>25.08</v>
      </c>
      <c r="W1857" s="157">
        <f ca="1">ROUND(IF(R1857=0,0,IF(R1857=1,X1857*$W$1,IF(R1857=2,X1857*$W$1*buff的资质计算!$E$2,IF(R1857=3,X1857*$W$1*buff的资质计算!$E$3,0)))),2)</f>
        <v>6.9</v>
      </c>
      <c r="X1857" s="157">
        <f ca="1" t="shared" si="312"/>
        <v>23</v>
      </c>
      <c r="Y1857" s="157" t="e">
        <f ca="1" t="shared" si="309"/>
        <v>#VALUE!</v>
      </c>
      <c r="Z1857" s="304" t="e">
        <f ca="1" t="shared" si="313"/>
        <v>#VALUE!</v>
      </c>
      <c r="AA1857" s="304">
        <f ca="1">OFFSET(卡牌辅助配置表!$AD$1,MATCH(AB1857,卡牌辅助配置表!AB:AB,0)-1,0)</f>
        <v>207</v>
      </c>
      <c r="AB1857" s="304">
        <f ca="1" t="shared" si="307"/>
        <v>1111</v>
      </c>
      <c r="AC1857" s="153">
        <v>10</v>
      </c>
      <c r="AD1857" s="153">
        <v>1</v>
      </c>
      <c r="AE1857" s="153">
        <v>1</v>
      </c>
      <c r="AF1857" s="153" t="str">
        <f ca="1" t="shared" si="311"/>
        <v>30110011|</v>
      </c>
      <c r="AI1857" s="153">
        <v>1</v>
      </c>
      <c r="AJ1857" s="205" t="str">
        <f ca="1" t="shared" si="308"/>
        <v>400023|3100|;</v>
      </c>
      <c r="AK1857" s="205">
        <f ca="1">OFFSET([1]item_type!$A$1,MATCH(Q1857,[1]item_type!$G:$G,0)-1,0)</f>
        <v>303011</v>
      </c>
      <c r="AL1857" s="205"/>
      <c r="AM1857" s="205">
        <f ca="1">IF(B1857=B1858,OFFSET(卡牌辅助配置表!$AE$1,MATCH(AB1857,卡牌辅助配置表!AB:AB,0),0),0)</f>
        <v>3100</v>
      </c>
      <c r="AN1857" s="153">
        <f ca="1" t="shared" si="303"/>
        <v>3011012</v>
      </c>
      <c r="AP1857" s="153" t="str">
        <f ca="1">IF(AC1857=0,0,IF(AC1857=12,0,OFFSET(effect!$N$1,MATCH(K1857,effect!M:M,0)-1,0)))</f>
        <v>kpsx_pt</v>
      </c>
    </row>
    <row r="1858" spans="1:42">
      <c r="A1858" s="153">
        <f ca="1" t="shared" si="304"/>
        <v>3011012</v>
      </c>
      <c r="B1858" s="91" t="s">
        <v>880</v>
      </c>
      <c r="C1858" s="186">
        <v>3</v>
      </c>
      <c r="D1858" s="186">
        <v>4</v>
      </c>
      <c r="E1858" s="165" t="s">
        <v>1069</v>
      </c>
      <c r="F1858" s="179" t="s">
        <v>1071</v>
      </c>
      <c r="G1858" s="186">
        <f ca="1">OFFSET(卡牌辅助配置表!$C$1,MATCH(AC1858,卡牌辅助配置表!A:A,0)-1,0)</f>
        <v>3</v>
      </c>
      <c r="H1858" s="186" t="e">
        <f ca="1">OFFSET(skill!$Q$1,MATCH(B1858,skill!B:B,0)-1,0)</f>
        <v>#VALUE!</v>
      </c>
      <c r="I1858" s="186"/>
      <c r="J1858" s="186">
        <f ca="1">OFFSET(card_type!$F$1,MATCH(Q1858,card_type!A:A,0)-1,0)</f>
        <v>1</v>
      </c>
      <c r="K1858" s="243">
        <f ca="1">OFFSET(card_type!$G$1,MATCH(Q1858,card_type!A:A,0)-1,0)</f>
        <v>1</v>
      </c>
      <c r="L1858" s="157">
        <v>3</v>
      </c>
      <c r="M1858" s="157">
        <v>3</v>
      </c>
      <c r="N1858" s="153">
        <f t="shared" si="305"/>
        <v>12</v>
      </c>
      <c r="O1858" s="157"/>
      <c r="P1858" s="157"/>
      <c r="Q1858" s="153">
        <f ca="1">OFFSET(card_type!$A$1,MATCH(card!B1858,card_type!B:B,0)-1,0)</f>
        <v>3011</v>
      </c>
      <c r="R1858" s="153">
        <v>1</v>
      </c>
      <c r="S1858" s="157">
        <f ca="1">ROUND(IF(R1858=0,0,IF(R1858=1,X1858*$S$1,IF(R1858=2,X1858*$S$1*buff的资质计算!$E$2,IF(R1858=3,X1858*$S$1*buff的资质计算!$E$3,0)))),0)*0</f>
        <v>0</v>
      </c>
      <c r="T1858" s="153">
        <v>2</v>
      </c>
      <c r="U1858" s="153">
        <f ca="1" t="shared" si="306"/>
        <v>11</v>
      </c>
      <c r="V1858" s="153">
        <f ca="1">ROUND((OFFSET(卡牌辅助配置表!$O$1,MATCH(U1858,卡牌辅助配置表!M:M,0)-1,0)+(N1858-1)*OFFSET(卡牌辅助配置表!$P$1,MATCH(U1858,卡牌辅助配置表!M:M,0)-1,0))*M1858,2)</f>
        <v>25.71</v>
      </c>
      <c r="W1858" s="157">
        <f ca="1">ROUND(IF(R1858=0,0,IF(R1858=1,X1858*$W$1,IF(R1858=2,X1858*$W$1*buff的资质计算!$E$2,IF(R1858=3,X1858*$W$1*buff的资质计算!$E$3,0)))),2)</f>
        <v>7.05</v>
      </c>
      <c r="X1858" s="157">
        <f ca="1" t="shared" si="312"/>
        <v>23.5</v>
      </c>
      <c r="Y1858" s="157" t="e">
        <f ca="1" t="shared" si="309"/>
        <v>#VALUE!</v>
      </c>
      <c r="Z1858" s="304" t="e">
        <f ca="1" t="shared" si="313"/>
        <v>#VALUE!</v>
      </c>
      <c r="AA1858" s="304">
        <f ca="1">OFFSET(卡牌辅助配置表!$AD$1,MATCH(AB1858,卡牌辅助配置表!AB:AB,0)-1,0)</f>
        <v>234</v>
      </c>
      <c r="AB1858" s="304">
        <f ca="1" t="shared" si="307"/>
        <v>1112</v>
      </c>
      <c r="AC1858" s="153">
        <v>10</v>
      </c>
      <c r="AD1858" s="153">
        <v>1</v>
      </c>
      <c r="AE1858" s="153">
        <v>1</v>
      </c>
      <c r="AF1858" s="153" t="str">
        <f ca="1" t="shared" si="311"/>
        <v>30110011|</v>
      </c>
      <c r="AI1858" s="153">
        <v>1</v>
      </c>
      <c r="AJ1858" s="205" t="str">
        <f ca="1" t="shared" si="308"/>
        <v>400023|3500|;</v>
      </c>
      <c r="AK1858" s="205">
        <f ca="1">OFFSET([1]item_type!$A$1,MATCH(Q1858,[1]item_type!$G:$G,0)-1,0)</f>
        <v>303011</v>
      </c>
      <c r="AL1858" s="205"/>
      <c r="AM1858" s="205">
        <f ca="1">IF(B1858=B1859,OFFSET(卡牌辅助配置表!$AE$1,MATCH(AB1858,卡牌辅助配置表!AB:AB,0),0),0)</f>
        <v>3500</v>
      </c>
      <c r="AN1858" s="153">
        <f ca="1" t="shared" si="303"/>
        <v>3011013</v>
      </c>
      <c r="AP1858" s="153" t="str">
        <f ca="1">IF(AC1858=0,0,IF(AC1858=12,0,OFFSET(effect!$N$1,MATCH(K1858,effect!M:M,0)-1,0)))</f>
        <v>kpsx_pt</v>
      </c>
    </row>
    <row r="1859" spans="1:42">
      <c r="A1859" s="153">
        <f ca="1" t="shared" si="304"/>
        <v>3011013</v>
      </c>
      <c r="B1859" s="91" t="s">
        <v>880</v>
      </c>
      <c r="C1859" s="186">
        <v>3</v>
      </c>
      <c r="D1859" s="186">
        <v>4</v>
      </c>
      <c r="E1859" s="165" t="s">
        <v>1069</v>
      </c>
      <c r="F1859" s="179" t="s">
        <v>1071</v>
      </c>
      <c r="G1859" s="186">
        <f ca="1">OFFSET(卡牌辅助配置表!$C$1,MATCH(AC1859,卡牌辅助配置表!A:A,0)-1,0)</f>
        <v>3</v>
      </c>
      <c r="H1859" s="186" t="e">
        <f ca="1">OFFSET(skill!$Q$1,MATCH(B1859,skill!B:B,0)-1,0)</f>
        <v>#VALUE!</v>
      </c>
      <c r="I1859" s="186"/>
      <c r="J1859" s="186">
        <f ca="1">OFFSET(card_type!$F$1,MATCH(Q1859,card_type!A:A,0)-1,0)</f>
        <v>1</v>
      </c>
      <c r="K1859" s="243">
        <f ca="1">OFFSET(card_type!$G$1,MATCH(Q1859,card_type!A:A,0)-1,0)</f>
        <v>1</v>
      </c>
      <c r="L1859" s="157">
        <v>3</v>
      </c>
      <c r="M1859" s="157">
        <v>3</v>
      </c>
      <c r="N1859" s="153">
        <f t="shared" si="305"/>
        <v>13</v>
      </c>
      <c r="O1859" s="157"/>
      <c r="P1859" s="157"/>
      <c r="Q1859" s="153">
        <f ca="1">OFFSET(card_type!$A$1,MATCH(card!B1859,card_type!B:B,0)-1,0)</f>
        <v>3011</v>
      </c>
      <c r="R1859" s="153">
        <v>1</v>
      </c>
      <c r="S1859" s="157">
        <f ca="1">ROUND(IF(R1859=0,0,IF(R1859=1,X1859*$S$1,IF(R1859=2,X1859*$S$1*buff的资质计算!$E$2,IF(R1859=3,X1859*$S$1*buff的资质计算!$E$3,0)))),0)*0</f>
        <v>0</v>
      </c>
      <c r="T1859" s="153">
        <v>2</v>
      </c>
      <c r="U1859" s="153">
        <f ca="1" t="shared" si="306"/>
        <v>11</v>
      </c>
      <c r="V1859" s="153">
        <f ca="1">ROUND((OFFSET(卡牌辅助配置表!$O$1,MATCH(U1859,卡牌辅助配置表!M:M,0)-1,0)+(N1859-1)*OFFSET(卡牌辅助配置表!$P$1,MATCH(U1859,卡牌辅助配置表!M:M,0)-1,0))*M1859,2)</f>
        <v>26.33</v>
      </c>
      <c r="W1859" s="157">
        <f ca="1">ROUND(IF(R1859=0,0,IF(R1859=1,X1859*$W$1,IF(R1859=2,X1859*$W$1*buff的资质计算!$E$2,IF(R1859=3,X1859*$W$1*buff的资质计算!$E$3,0)))),2)</f>
        <v>7.2</v>
      </c>
      <c r="X1859" s="157">
        <f ca="1" t="shared" si="312"/>
        <v>24</v>
      </c>
      <c r="Y1859" s="157" t="e">
        <f ca="1" t="shared" si="309"/>
        <v>#VALUE!</v>
      </c>
      <c r="Z1859" s="304" t="e">
        <f ca="1" t="shared" si="313"/>
        <v>#VALUE!</v>
      </c>
      <c r="AA1859" s="304">
        <f ca="1">OFFSET(卡牌辅助配置表!$AD$1,MATCH(AB1859,卡牌辅助配置表!AB:AB,0)-1,0)</f>
        <v>261</v>
      </c>
      <c r="AB1859" s="304">
        <f ca="1" t="shared" si="307"/>
        <v>1113</v>
      </c>
      <c r="AC1859" s="153">
        <v>10</v>
      </c>
      <c r="AD1859" s="153">
        <v>1</v>
      </c>
      <c r="AE1859" s="153">
        <v>1</v>
      </c>
      <c r="AF1859" s="153" t="str">
        <f ca="1" t="shared" si="311"/>
        <v>30110011|</v>
      </c>
      <c r="AI1859" s="153">
        <v>1</v>
      </c>
      <c r="AJ1859" s="205" t="str">
        <f ca="1" t="shared" si="308"/>
        <v>400023|3900|;</v>
      </c>
      <c r="AK1859" s="205">
        <f ca="1">OFFSET([1]item_type!$A$1,MATCH(Q1859,[1]item_type!$G:$G,0)-1,0)</f>
        <v>303011</v>
      </c>
      <c r="AL1859" s="205"/>
      <c r="AM1859" s="205">
        <f ca="1">IF(B1859=B1860,OFFSET(卡牌辅助配置表!$AE$1,MATCH(AB1859,卡牌辅助配置表!AB:AB,0),0),0)</f>
        <v>3900</v>
      </c>
      <c r="AN1859" s="153">
        <f ca="1" t="shared" si="303"/>
        <v>3011014</v>
      </c>
      <c r="AP1859" s="153" t="str">
        <f ca="1">IF(AC1859=0,0,IF(AC1859=12,0,OFFSET(effect!$N$1,MATCH(K1859,effect!M:M,0)-1,0)))</f>
        <v>kpsx_pt</v>
      </c>
    </row>
    <row r="1860" spans="1:42">
      <c r="A1860" s="153">
        <f ca="1" t="shared" si="304"/>
        <v>3011014</v>
      </c>
      <c r="B1860" s="91" t="s">
        <v>880</v>
      </c>
      <c r="C1860" s="186">
        <v>3</v>
      </c>
      <c r="D1860" s="186">
        <v>4</v>
      </c>
      <c r="E1860" s="165" t="s">
        <v>1069</v>
      </c>
      <c r="F1860" s="179" t="s">
        <v>1071</v>
      </c>
      <c r="G1860" s="186">
        <f ca="1">OFFSET(卡牌辅助配置表!$C$1,MATCH(AC1860,卡牌辅助配置表!A:A,0)-1,0)</f>
        <v>3</v>
      </c>
      <c r="H1860" s="186" t="e">
        <f ca="1">OFFSET(skill!$Q$1,MATCH(B1860,skill!B:B,0)-1,0)</f>
        <v>#VALUE!</v>
      </c>
      <c r="I1860" s="186"/>
      <c r="J1860" s="186">
        <f ca="1">OFFSET(card_type!$F$1,MATCH(Q1860,card_type!A:A,0)-1,0)</f>
        <v>1</v>
      </c>
      <c r="K1860" s="243">
        <f ca="1">OFFSET(card_type!$G$1,MATCH(Q1860,card_type!A:A,0)-1,0)</f>
        <v>1</v>
      </c>
      <c r="L1860" s="157">
        <v>3</v>
      </c>
      <c r="M1860" s="157">
        <v>3</v>
      </c>
      <c r="N1860" s="153">
        <f t="shared" si="305"/>
        <v>14</v>
      </c>
      <c r="O1860" s="157"/>
      <c r="P1860" s="157"/>
      <c r="Q1860" s="153">
        <f ca="1">OFFSET(card_type!$A$1,MATCH(card!B1860,card_type!B:B,0)-1,0)</f>
        <v>3011</v>
      </c>
      <c r="R1860" s="153">
        <v>1</v>
      </c>
      <c r="S1860" s="157">
        <f ca="1">ROUND(IF(R1860=0,0,IF(R1860=1,X1860*$S$1,IF(R1860=2,X1860*$S$1*buff的资质计算!$E$2,IF(R1860=3,X1860*$S$1*buff的资质计算!$E$3,0)))),0)*0</f>
        <v>0</v>
      </c>
      <c r="T1860" s="153">
        <v>2</v>
      </c>
      <c r="U1860" s="153">
        <f ca="1" t="shared" si="306"/>
        <v>11</v>
      </c>
      <c r="V1860" s="153">
        <f ca="1">ROUND((OFFSET(卡牌辅助配置表!$O$1,MATCH(U1860,卡牌辅助配置表!M:M,0)-1,0)+(N1860-1)*OFFSET(卡牌辅助配置表!$P$1,MATCH(U1860,卡牌辅助配置表!M:M,0)-1,0))*M1860,2)</f>
        <v>26.96</v>
      </c>
      <c r="W1860" s="157">
        <f ca="1">ROUND(IF(R1860=0,0,IF(R1860=1,X1860*$W$1,IF(R1860=2,X1860*$W$1*buff的资质计算!$E$2,IF(R1860=3,X1860*$W$1*buff的资质计算!$E$3,0)))),2)</f>
        <v>7.35</v>
      </c>
      <c r="X1860" s="157">
        <f ca="1" t="shared" si="312"/>
        <v>24.5</v>
      </c>
      <c r="Y1860" s="157" t="e">
        <f ca="1" t="shared" si="309"/>
        <v>#VALUE!</v>
      </c>
      <c r="Z1860" s="304" t="e">
        <f ca="1" t="shared" si="313"/>
        <v>#VALUE!</v>
      </c>
      <c r="AA1860" s="304">
        <f ca="1">OFFSET(卡牌辅助配置表!$AD$1,MATCH(AB1860,卡牌辅助配置表!AB:AB,0)-1,0)</f>
        <v>288</v>
      </c>
      <c r="AB1860" s="304">
        <f ca="1" t="shared" si="307"/>
        <v>1114</v>
      </c>
      <c r="AC1860" s="153">
        <v>10</v>
      </c>
      <c r="AD1860" s="153">
        <v>1</v>
      </c>
      <c r="AE1860" s="153">
        <v>1</v>
      </c>
      <c r="AF1860" s="153" t="str">
        <f ca="1" t="shared" si="311"/>
        <v>30110011|</v>
      </c>
      <c r="AI1860" s="153">
        <v>1</v>
      </c>
      <c r="AJ1860" s="205" t="str">
        <f ca="1" t="shared" si="308"/>
        <v>400023|4300|;</v>
      </c>
      <c r="AK1860" s="205">
        <f ca="1">OFFSET([1]item_type!$A$1,MATCH(Q1860,[1]item_type!$G:$G,0)-1,0)</f>
        <v>303011</v>
      </c>
      <c r="AL1860" s="205"/>
      <c r="AM1860" s="205">
        <f ca="1">IF(B1860=B1861,OFFSET(卡牌辅助配置表!$AE$1,MATCH(AB1860,卡牌辅助配置表!AB:AB,0),0),0)</f>
        <v>4300</v>
      </c>
      <c r="AN1860" s="153">
        <f ca="1" t="shared" si="303"/>
        <v>3011015</v>
      </c>
      <c r="AP1860" s="153" t="str">
        <f ca="1">IF(AC1860=0,0,IF(AC1860=12,0,OFFSET(effect!$N$1,MATCH(K1860,effect!M:M,0)-1,0)))</f>
        <v>kpsx_pt</v>
      </c>
    </row>
    <row r="1861" spans="1:42">
      <c r="A1861" s="153">
        <f ca="1" t="shared" si="304"/>
        <v>3011015</v>
      </c>
      <c r="B1861" s="91" t="s">
        <v>880</v>
      </c>
      <c r="C1861" s="186">
        <v>3</v>
      </c>
      <c r="D1861" s="186">
        <v>4</v>
      </c>
      <c r="E1861" s="165" t="s">
        <v>1069</v>
      </c>
      <c r="F1861" s="179" t="s">
        <v>1071</v>
      </c>
      <c r="G1861" s="186">
        <f ca="1">OFFSET(卡牌辅助配置表!$C$1,MATCH(AC1861,卡牌辅助配置表!A:A,0)-1,0)</f>
        <v>3</v>
      </c>
      <c r="H1861" s="186" t="e">
        <f ca="1">OFFSET(skill!$Q$1,MATCH(B1861,skill!B:B,0)-1,0)</f>
        <v>#VALUE!</v>
      </c>
      <c r="I1861" s="186"/>
      <c r="J1861" s="186">
        <f ca="1">OFFSET(card_type!$F$1,MATCH(Q1861,card_type!A:A,0)-1,0)</f>
        <v>1</v>
      </c>
      <c r="K1861" s="243">
        <f ca="1">OFFSET(card_type!$G$1,MATCH(Q1861,card_type!A:A,0)-1,0)</f>
        <v>1</v>
      </c>
      <c r="L1861" s="157">
        <v>3</v>
      </c>
      <c r="M1861" s="157">
        <v>3</v>
      </c>
      <c r="N1861" s="153">
        <f t="shared" si="305"/>
        <v>15</v>
      </c>
      <c r="O1861" s="157"/>
      <c r="P1861" s="157"/>
      <c r="Q1861" s="153">
        <f ca="1">OFFSET(card_type!$A$1,MATCH(card!B1861,card_type!B:B,0)-1,0)</f>
        <v>3011</v>
      </c>
      <c r="R1861" s="153">
        <v>1</v>
      </c>
      <c r="S1861" s="157">
        <f ca="1">ROUND(IF(R1861=0,0,IF(R1861=1,X1861*$S$1,IF(R1861=2,X1861*$S$1*buff的资质计算!$E$2,IF(R1861=3,X1861*$S$1*buff的资质计算!$E$3,0)))),0)*0</f>
        <v>0</v>
      </c>
      <c r="T1861" s="153">
        <v>2</v>
      </c>
      <c r="U1861" s="153">
        <f ca="1" t="shared" si="306"/>
        <v>11</v>
      </c>
      <c r="V1861" s="153">
        <f ca="1">ROUND((OFFSET(卡牌辅助配置表!$O$1,MATCH(U1861,卡牌辅助配置表!M:M,0)-1,0)+(N1861-1)*OFFSET(卡牌辅助配置表!$P$1,MATCH(U1861,卡牌辅助配置表!M:M,0)-1,0))*M1861,2)</f>
        <v>27.59</v>
      </c>
      <c r="W1861" s="157">
        <f ca="1">ROUND(IF(R1861=0,0,IF(R1861=1,X1861*$W$1,IF(R1861=2,X1861*$W$1*buff的资质计算!$E$2,IF(R1861=3,X1861*$W$1*buff的资质计算!$E$3,0)))),2)</f>
        <v>7.5</v>
      </c>
      <c r="X1861" s="157">
        <f ca="1" t="shared" si="312"/>
        <v>25</v>
      </c>
      <c r="Y1861" s="157" t="e">
        <f ca="1" t="shared" si="309"/>
        <v>#VALUE!</v>
      </c>
      <c r="Z1861" s="304" t="e">
        <f ca="1" t="shared" si="313"/>
        <v>#VALUE!</v>
      </c>
      <c r="AA1861" s="304">
        <f ca="1">OFFSET(卡牌辅助配置表!$AD$1,MATCH(AB1861,卡牌辅助配置表!AB:AB,0)-1,0)</f>
        <v>315</v>
      </c>
      <c r="AB1861" s="304">
        <f ca="1" t="shared" si="307"/>
        <v>1115</v>
      </c>
      <c r="AC1861" s="153">
        <v>10</v>
      </c>
      <c r="AD1861" s="153">
        <v>1</v>
      </c>
      <c r="AE1861" s="153">
        <v>1</v>
      </c>
      <c r="AF1861" s="153" t="str">
        <f ca="1" t="shared" si="311"/>
        <v>30110011|</v>
      </c>
      <c r="AI1861" s="153">
        <v>1</v>
      </c>
      <c r="AJ1861" s="205" t="str">
        <f ca="1" t="shared" si="308"/>
        <v>400023|4700|;</v>
      </c>
      <c r="AK1861" s="205">
        <f ca="1">OFFSET([1]item_type!$A$1,MATCH(Q1861,[1]item_type!$G:$G,0)-1,0)</f>
        <v>303011</v>
      </c>
      <c r="AL1861" s="205"/>
      <c r="AM1861" s="205">
        <f ca="1">IF(B1861=B1862,OFFSET(卡牌辅助配置表!$AE$1,MATCH(AB1861,卡牌辅助配置表!AB:AB,0),0),0)</f>
        <v>4700</v>
      </c>
      <c r="AN1861" s="153">
        <f ca="1" t="shared" ref="AN1861:AN1924" si="314">IF(B1861=B1862,A1861+1,0)</f>
        <v>3011016</v>
      </c>
      <c r="AP1861" s="153" t="str">
        <f ca="1">IF(AC1861=0,0,IF(AC1861=12,0,OFFSET(effect!$N$1,MATCH(K1861,effect!M:M,0)-1,0)))</f>
        <v>kpsx_pt</v>
      </c>
    </row>
    <row r="1862" spans="1:42">
      <c r="A1862" s="153">
        <f ca="1" t="shared" ref="A1862:A1925" si="315">Q1862*1000+N1862</f>
        <v>3011016</v>
      </c>
      <c r="B1862" s="91" t="s">
        <v>880</v>
      </c>
      <c r="C1862" s="186">
        <v>3</v>
      </c>
      <c r="D1862" s="186">
        <v>4</v>
      </c>
      <c r="E1862" s="165" t="s">
        <v>1069</v>
      </c>
      <c r="F1862" s="179" t="s">
        <v>1071</v>
      </c>
      <c r="G1862" s="186">
        <f ca="1">OFFSET(卡牌辅助配置表!$C$1,MATCH(AC1862,卡牌辅助配置表!A:A,0)-1,0)</f>
        <v>3</v>
      </c>
      <c r="H1862" s="186" t="e">
        <f ca="1">OFFSET(skill!$Q$1,MATCH(B1862,skill!B:B,0)-1,0)</f>
        <v>#VALUE!</v>
      </c>
      <c r="I1862" s="186"/>
      <c r="J1862" s="186">
        <f ca="1">OFFSET(card_type!$F$1,MATCH(Q1862,card_type!A:A,0)-1,0)</f>
        <v>1</v>
      </c>
      <c r="K1862" s="243">
        <f ca="1">OFFSET(card_type!$G$1,MATCH(Q1862,card_type!A:A,0)-1,0)</f>
        <v>1</v>
      </c>
      <c r="L1862" s="157">
        <v>3</v>
      </c>
      <c r="M1862" s="157">
        <v>3</v>
      </c>
      <c r="N1862" s="153">
        <f t="shared" ref="N1862:N1925" si="316">IF(B1861=B1862,N1861+1,1)</f>
        <v>16</v>
      </c>
      <c r="O1862" s="157"/>
      <c r="P1862" s="157"/>
      <c r="Q1862" s="153">
        <f ca="1">OFFSET(card_type!$A$1,MATCH(card!B1862,card_type!B:B,0)-1,0)</f>
        <v>3011</v>
      </c>
      <c r="R1862" s="153">
        <v>1</v>
      </c>
      <c r="S1862" s="157">
        <f ca="1">ROUND(IF(R1862=0,0,IF(R1862=1,X1862*$S$1,IF(R1862=2,X1862*$S$1*buff的资质计算!$E$2,IF(R1862=3,X1862*$S$1*buff的资质计算!$E$3,0)))),0)*0</f>
        <v>0</v>
      </c>
      <c r="T1862" s="153">
        <v>2</v>
      </c>
      <c r="U1862" s="153">
        <f ca="1" t="shared" ref="U1862:U1925" si="317">J1862*10+K1862</f>
        <v>11</v>
      </c>
      <c r="V1862" s="153">
        <f ca="1">ROUND((OFFSET(卡牌辅助配置表!$O$1,MATCH(U1862,卡牌辅助配置表!M:M,0)-1,0)+(N1862-1)*OFFSET(卡牌辅助配置表!$P$1,MATCH(U1862,卡牌辅助配置表!M:M,0)-1,0))*M1862,2)</f>
        <v>28.22</v>
      </c>
      <c r="W1862" s="157">
        <f ca="1">ROUND(IF(R1862=0,0,IF(R1862=1,X1862*$W$1,IF(R1862=2,X1862*$W$1*buff的资质计算!$E$2,IF(R1862=3,X1862*$W$1*buff的资质计算!$E$3,0)))),2)</f>
        <v>7.65</v>
      </c>
      <c r="X1862" s="157">
        <f ca="1" t="shared" si="312"/>
        <v>25.5</v>
      </c>
      <c r="Y1862" s="157" t="e">
        <f ca="1" t="shared" si="309"/>
        <v>#VALUE!</v>
      </c>
      <c r="Z1862" s="304" t="e">
        <f ca="1" t="shared" si="313"/>
        <v>#VALUE!</v>
      </c>
      <c r="AA1862" s="304">
        <f ca="1">OFFSET(卡牌辅助配置表!$AD$1,MATCH(AB1862,卡牌辅助配置表!AB:AB,0)-1,0)</f>
        <v>342</v>
      </c>
      <c r="AB1862" s="304">
        <f ca="1" t="shared" ref="AB1862:AB1925" si="318">J1862*1000+K1862*100+N1862</f>
        <v>1116</v>
      </c>
      <c r="AC1862" s="153">
        <v>10</v>
      </c>
      <c r="AD1862" s="153">
        <v>1</v>
      </c>
      <c r="AE1862" s="153">
        <v>1</v>
      </c>
      <c r="AF1862" s="153" t="str">
        <f ca="1" t="shared" si="311"/>
        <v>30110011|</v>
      </c>
      <c r="AI1862" s="153">
        <v>1</v>
      </c>
      <c r="AJ1862" s="205" t="str">
        <f ca="1" t="shared" ref="AJ1862:AJ1925" si="319">IF(AN1862=0,0,IF(AL1862=0,$AM$1&amp;$AF$1&amp;AM1862&amp;$AF$1&amp;$AJ$1,AK1862&amp;$AF$1&amp;AL1862&amp;$AF$1&amp;$AJ$1&amp;$AM$1&amp;$AF$1&amp;AM1862&amp;$AF$1&amp;$AJ$1))</f>
        <v>400023|5100|;</v>
      </c>
      <c r="AK1862" s="205">
        <f ca="1">OFFSET([1]item_type!$A$1,MATCH(Q1862,[1]item_type!$G:$G,0)-1,0)</f>
        <v>303011</v>
      </c>
      <c r="AL1862" s="205"/>
      <c r="AM1862" s="205">
        <f ca="1">IF(B1862=B1863,OFFSET(卡牌辅助配置表!$AE$1,MATCH(AB1862,卡牌辅助配置表!AB:AB,0),0),0)</f>
        <v>5100</v>
      </c>
      <c r="AN1862" s="153">
        <f ca="1" t="shared" si="314"/>
        <v>3011017</v>
      </c>
      <c r="AP1862" s="153" t="str">
        <f ca="1">IF(AC1862=0,0,IF(AC1862=12,0,OFFSET(effect!$N$1,MATCH(K1862,effect!M:M,0)-1,0)))</f>
        <v>kpsx_pt</v>
      </c>
    </row>
    <row r="1863" spans="1:42">
      <c r="A1863" s="153">
        <f ca="1" t="shared" si="315"/>
        <v>3011017</v>
      </c>
      <c r="B1863" s="91" t="s">
        <v>880</v>
      </c>
      <c r="C1863" s="186">
        <v>3</v>
      </c>
      <c r="D1863" s="186">
        <v>4</v>
      </c>
      <c r="E1863" s="165" t="s">
        <v>1069</v>
      </c>
      <c r="F1863" s="179" t="s">
        <v>1071</v>
      </c>
      <c r="G1863" s="186">
        <f ca="1">OFFSET(卡牌辅助配置表!$C$1,MATCH(AC1863,卡牌辅助配置表!A:A,0)-1,0)</f>
        <v>3</v>
      </c>
      <c r="H1863" s="186" t="e">
        <f ca="1">OFFSET(skill!$Q$1,MATCH(B1863,skill!B:B,0)-1,0)</f>
        <v>#VALUE!</v>
      </c>
      <c r="I1863" s="186"/>
      <c r="J1863" s="186">
        <f ca="1">OFFSET(card_type!$F$1,MATCH(Q1863,card_type!A:A,0)-1,0)</f>
        <v>1</v>
      </c>
      <c r="K1863" s="243">
        <f ca="1">OFFSET(card_type!$G$1,MATCH(Q1863,card_type!A:A,0)-1,0)</f>
        <v>1</v>
      </c>
      <c r="L1863" s="157">
        <v>3</v>
      </c>
      <c r="M1863" s="157">
        <v>3</v>
      </c>
      <c r="N1863" s="153">
        <f t="shared" si="316"/>
        <v>17</v>
      </c>
      <c r="O1863" s="157"/>
      <c r="P1863" s="157"/>
      <c r="Q1863" s="153">
        <f ca="1">OFFSET(card_type!$A$1,MATCH(card!B1863,card_type!B:B,0)-1,0)</f>
        <v>3011</v>
      </c>
      <c r="R1863" s="153">
        <v>1</v>
      </c>
      <c r="S1863" s="157">
        <f ca="1">ROUND(IF(R1863=0,0,IF(R1863=1,X1863*$S$1,IF(R1863=2,X1863*$S$1*buff的资质计算!$E$2,IF(R1863=3,X1863*$S$1*buff的资质计算!$E$3,0)))),0)*0</f>
        <v>0</v>
      </c>
      <c r="T1863" s="153">
        <v>2</v>
      </c>
      <c r="U1863" s="153">
        <f ca="1" t="shared" si="317"/>
        <v>11</v>
      </c>
      <c r="V1863" s="153">
        <f ca="1">ROUND((OFFSET(卡牌辅助配置表!$O$1,MATCH(U1863,卡牌辅助配置表!M:M,0)-1,0)+(N1863-1)*OFFSET(卡牌辅助配置表!$P$1,MATCH(U1863,卡牌辅助配置表!M:M,0)-1,0))*M1863,2)</f>
        <v>28.84</v>
      </c>
      <c r="W1863" s="157">
        <f ca="1">ROUND(IF(R1863=0,0,IF(R1863=1,X1863*$W$1,IF(R1863=2,X1863*$W$1*buff的资质计算!$E$2,IF(R1863=3,X1863*$W$1*buff的资质计算!$E$3,0)))),2)</f>
        <v>7.8</v>
      </c>
      <c r="X1863" s="157">
        <f ca="1" t="shared" si="312"/>
        <v>26</v>
      </c>
      <c r="Y1863" s="157" t="e">
        <f ca="1" t="shared" si="309"/>
        <v>#VALUE!</v>
      </c>
      <c r="Z1863" s="304" t="e">
        <f ca="1" t="shared" si="313"/>
        <v>#VALUE!</v>
      </c>
      <c r="AA1863" s="304">
        <f ca="1">OFFSET(卡牌辅助配置表!$AD$1,MATCH(AB1863,卡牌辅助配置表!AB:AB,0)-1,0)</f>
        <v>369</v>
      </c>
      <c r="AB1863" s="304">
        <f ca="1" t="shared" si="318"/>
        <v>1117</v>
      </c>
      <c r="AC1863" s="153">
        <v>10</v>
      </c>
      <c r="AD1863" s="153">
        <v>1</v>
      </c>
      <c r="AE1863" s="153">
        <v>1</v>
      </c>
      <c r="AF1863" s="153" t="str">
        <f ca="1" t="shared" si="311"/>
        <v>30110011|</v>
      </c>
      <c r="AI1863" s="153">
        <v>1</v>
      </c>
      <c r="AJ1863" s="205" t="str">
        <f ca="1" t="shared" si="319"/>
        <v>400023|5500|;</v>
      </c>
      <c r="AK1863" s="205">
        <f ca="1">OFFSET([1]item_type!$A$1,MATCH(Q1863,[1]item_type!$G:$G,0)-1,0)</f>
        <v>303011</v>
      </c>
      <c r="AL1863" s="205"/>
      <c r="AM1863" s="205">
        <f ca="1">IF(B1863=B1864,OFFSET(卡牌辅助配置表!$AE$1,MATCH(AB1863,卡牌辅助配置表!AB:AB,0),0),0)</f>
        <v>5500</v>
      </c>
      <c r="AN1863" s="153">
        <f ca="1" t="shared" si="314"/>
        <v>3011018</v>
      </c>
      <c r="AP1863" s="153" t="str">
        <f ca="1">IF(AC1863=0,0,IF(AC1863=12,0,OFFSET(effect!$N$1,MATCH(K1863,effect!M:M,0)-1,0)))</f>
        <v>kpsx_pt</v>
      </c>
    </row>
    <row r="1864" spans="1:42">
      <c r="A1864" s="153">
        <f ca="1" t="shared" si="315"/>
        <v>3011018</v>
      </c>
      <c r="B1864" s="91" t="s">
        <v>880</v>
      </c>
      <c r="C1864" s="186">
        <v>3</v>
      </c>
      <c r="D1864" s="186">
        <v>4</v>
      </c>
      <c r="E1864" s="165" t="s">
        <v>1069</v>
      </c>
      <c r="F1864" s="179" t="s">
        <v>1071</v>
      </c>
      <c r="G1864" s="186">
        <f ca="1">OFFSET(卡牌辅助配置表!$C$1,MATCH(AC1864,卡牌辅助配置表!A:A,0)-1,0)</f>
        <v>3</v>
      </c>
      <c r="H1864" s="186" t="e">
        <f ca="1">OFFSET(skill!$Q$1,MATCH(B1864,skill!B:B,0)-1,0)</f>
        <v>#VALUE!</v>
      </c>
      <c r="I1864" s="186"/>
      <c r="J1864" s="186">
        <f ca="1">OFFSET(card_type!$F$1,MATCH(Q1864,card_type!A:A,0)-1,0)</f>
        <v>1</v>
      </c>
      <c r="K1864" s="243">
        <f ca="1">OFFSET(card_type!$G$1,MATCH(Q1864,card_type!A:A,0)-1,0)</f>
        <v>1</v>
      </c>
      <c r="L1864" s="157">
        <v>3</v>
      </c>
      <c r="M1864" s="157">
        <v>3</v>
      </c>
      <c r="N1864" s="153">
        <f t="shared" si="316"/>
        <v>18</v>
      </c>
      <c r="O1864" s="157"/>
      <c r="P1864" s="157"/>
      <c r="Q1864" s="153">
        <f ca="1">OFFSET(card_type!$A$1,MATCH(card!B1864,card_type!B:B,0)-1,0)</f>
        <v>3011</v>
      </c>
      <c r="R1864" s="153">
        <v>1</v>
      </c>
      <c r="S1864" s="157">
        <f ca="1">ROUND(IF(R1864=0,0,IF(R1864=1,X1864*$S$1,IF(R1864=2,X1864*$S$1*buff的资质计算!$E$2,IF(R1864=3,X1864*$S$1*buff的资质计算!$E$3,0)))),0)*0</f>
        <v>0</v>
      </c>
      <c r="T1864" s="153">
        <v>2</v>
      </c>
      <c r="U1864" s="153">
        <f ca="1" t="shared" si="317"/>
        <v>11</v>
      </c>
      <c r="V1864" s="153">
        <f ca="1">ROUND((OFFSET(卡牌辅助配置表!$O$1,MATCH(U1864,卡牌辅助配置表!M:M,0)-1,0)+(N1864-1)*OFFSET(卡牌辅助配置表!$P$1,MATCH(U1864,卡牌辅助配置表!M:M,0)-1,0))*M1864,2)</f>
        <v>29.47</v>
      </c>
      <c r="W1864" s="157">
        <f ca="1">ROUND(IF(R1864=0,0,IF(R1864=1,X1864*$W$1,IF(R1864=2,X1864*$W$1*buff的资质计算!$E$2,IF(R1864=3,X1864*$W$1*buff的资质计算!$E$3,0)))),2)</f>
        <v>7.95</v>
      </c>
      <c r="X1864" s="157">
        <f ca="1" t="shared" si="312"/>
        <v>26.5</v>
      </c>
      <c r="Y1864" s="157" t="e">
        <f ca="1" t="shared" si="309"/>
        <v>#VALUE!</v>
      </c>
      <c r="Z1864" s="304" t="e">
        <f ca="1" t="shared" si="313"/>
        <v>#VALUE!</v>
      </c>
      <c r="AA1864" s="304">
        <f ca="1">OFFSET(卡牌辅助配置表!$AD$1,MATCH(AB1864,卡牌辅助配置表!AB:AB,0)-1,0)</f>
        <v>396</v>
      </c>
      <c r="AB1864" s="304">
        <f ca="1" t="shared" si="318"/>
        <v>1118</v>
      </c>
      <c r="AC1864" s="153">
        <v>10</v>
      </c>
      <c r="AD1864" s="153">
        <v>1</v>
      </c>
      <c r="AE1864" s="153">
        <v>1</v>
      </c>
      <c r="AF1864" s="153" t="str">
        <f ca="1" t="shared" si="311"/>
        <v>30110011|</v>
      </c>
      <c r="AI1864" s="153">
        <v>1</v>
      </c>
      <c r="AJ1864" s="205" t="str">
        <f ca="1" t="shared" si="319"/>
        <v>400023|5900|;</v>
      </c>
      <c r="AK1864" s="205">
        <f ca="1">OFFSET([1]item_type!$A$1,MATCH(Q1864,[1]item_type!$G:$G,0)-1,0)</f>
        <v>303011</v>
      </c>
      <c r="AL1864" s="205"/>
      <c r="AM1864" s="205">
        <f ca="1">IF(B1864=B1865,OFFSET(卡牌辅助配置表!$AE$1,MATCH(AB1864,卡牌辅助配置表!AB:AB,0),0),0)</f>
        <v>5900</v>
      </c>
      <c r="AN1864" s="153">
        <f ca="1" t="shared" si="314"/>
        <v>3011019</v>
      </c>
      <c r="AP1864" s="153" t="str">
        <f ca="1">IF(AC1864=0,0,IF(AC1864=12,0,OFFSET(effect!$N$1,MATCH(K1864,effect!M:M,0)-1,0)))</f>
        <v>kpsx_pt</v>
      </c>
    </row>
    <row r="1865" spans="1:42">
      <c r="A1865" s="153">
        <f ca="1" t="shared" si="315"/>
        <v>3011019</v>
      </c>
      <c r="B1865" s="91" t="s">
        <v>880</v>
      </c>
      <c r="C1865" s="186">
        <v>3</v>
      </c>
      <c r="D1865" s="186">
        <v>4</v>
      </c>
      <c r="E1865" s="165" t="s">
        <v>1069</v>
      </c>
      <c r="F1865" s="179" t="s">
        <v>1071</v>
      </c>
      <c r="G1865" s="186">
        <f ca="1">OFFSET(卡牌辅助配置表!$C$1,MATCH(AC1865,卡牌辅助配置表!A:A,0)-1,0)</f>
        <v>3</v>
      </c>
      <c r="H1865" s="186" t="e">
        <f ca="1">OFFSET(skill!$Q$1,MATCH(B1865,skill!B:B,0)-1,0)</f>
        <v>#VALUE!</v>
      </c>
      <c r="I1865" s="186"/>
      <c r="J1865" s="186">
        <f ca="1">OFFSET(card_type!$F$1,MATCH(Q1865,card_type!A:A,0)-1,0)</f>
        <v>1</v>
      </c>
      <c r="K1865" s="243">
        <f ca="1">OFFSET(card_type!$G$1,MATCH(Q1865,card_type!A:A,0)-1,0)</f>
        <v>1</v>
      </c>
      <c r="L1865" s="157">
        <v>3</v>
      </c>
      <c r="M1865" s="157">
        <v>3</v>
      </c>
      <c r="N1865" s="153">
        <f t="shared" si="316"/>
        <v>19</v>
      </c>
      <c r="O1865" s="157"/>
      <c r="P1865" s="157"/>
      <c r="Q1865" s="153">
        <f ca="1">OFFSET(card_type!$A$1,MATCH(card!B1865,card_type!B:B,0)-1,0)</f>
        <v>3011</v>
      </c>
      <c r="R1865" s="153">
        <v>1</v>
      </c>
      <c r="S1865" s="157">
        <f ca="1">ROUND(IF(R1865=0,0,IF(R1865=1,X1865*$S$1,IF(R1865=2,X1865*$S$1*buff的资质计算!$E$2,IF(R1865=3,X1865*$S$1*buff的资质计算!$E$3,0)))),0)*0</f>
        <v>0</v>
      </c>
      <c r="T1865" s="153">
        <v>2</v>
      </c>
      <c r="U1865" s="153">
        <f ca="1" t="shared" si="317"/>
        <v>11</v>
      </c>
      <c r="V1865" s="153">
        <f ca="1">ROUND((OFFSET(卡牌辅助配置表!$O$1,MATCH(U1865,卡牌辅助配置表!M:M,0)-1,0)+(N1865-1)*OFFSET(卡牌辅助配置表!$P$1,MATCH(U1865,卡牌辅助配置表!M:M,0)-1,0))*M1865,2)</f>
        <v>30.1</v>
      </c>
      <c r="W1865" s="157">
        <f ca="1">ROUND(IF(R1865=0,0,IF(R1865=1,X1865*$W$1,IF(R1865=2,X1865*$W$1*buff的资质计算!$E$2,IF(R1865=3,X1865*$W$1*buff的资质计算!$E$3,0)))),2)</f>
        <v>8.1</v>
      </c>
      <c r="X1865" s="157">
        <f ca="1" t="shared" si="312"/>
        <v>27</v>
      </c>
      <c r="Y1865" s="157" t="e">
        <f ca="1" t="shared" si="309"/>
        <v>#VALUE!</v>
      </c>
      <c r="Z1865" s="304" t="e">
        <f ca="1" t="shared" si="313"/>
        <v>#VALUE!</v>
      </c>
      <c r="AA1865" s="304">
        <f ca="1">OFFSET(卡牌辅助配置表!$AD$1,MATCH(AB1865,卡牌辅助配置表!AB:AB,0)-1,0)</f>
        <v>423</v>
      </c>
      <c r="AB1865" s="304">
        <f ca="1" t="shared" si="318"/>
        <v>1119</v>
      </c>
      <c r="AC1865" s="153">
        <v>10</v>
      </c>
      <c r="AD1865" s="153">
        <v>1</v>
      </c>
      <c r="AE1865" s="153">
        <v>1</v>
      </c>
      <c r="AF1865" s="153" t="str">
        <f ca="1" t="shared" si="311"/>
        <v>30110011|</v>
      </c>
      <c r="AI1865" s="153">
        <v>1</v>
      </c>
      <c r="AJ1865" s="205" t="str">
        <f ca="1" t="shared" si="319"/>
        <v>303011|20|;400023|6300|;</v>
      </c>
      <c r="AK1865" s="205">
        <f ca="1">OFFSET([1]item_type!$A$1,MATCH(Q1865,[1]item_type!$G:$G,0)-1,0)</f>
        <v>303011</v>
      </c>
      <c r="AL1865" s="205">
        <v>20</v>
      </c>
      <c r="AM1865" s="205">
        <f ca="1">IF(B1865=B1866,OFFSET(卡牌辅助配置表!$AE$1,MATCH(AB1865,卡牌辅助配置表!AB:AB,0),0),0)</f>
        <v>6300</v>
      </c>
      <c r="AN1865" s="153">
        <f ca="1" t="shared" si="314"/>
        <v>3011020</v>
      </c>
      <c r="AP1865" s="153" t="str">
        <f ca="1">IF(AC1865=0,0,IF(AC1865=12,0,OFFSET(effect!$N$1,MATCH(K1865,effect!M:M,0)-1,0)))</f>
        <v>kpsx_pt</v>
      </c>
    </row>
    <row r="1866" spans="1:42">
      <c r="A1866" s="153">
        <f ca="1" t="shared" si="315"/>
        <v>3011020</v>
      </c>
      <c r="B1866" s="91" t="s">
        <v>880</v>
      </c>
      <c r="C1866" s="186">
        <v>3</v>
      </c>
      <c r="D1866" s="186">
        <v>4</v>
      </c>
      <c r="E1866" s="165" t="s">
        <v>1069</v>
      </c>
      <c r="F1866" s="179" t="s">
        <v>1071</v>
      </c>
      <c r="G1866" s="186">
        <f ca="1">OFFSET(卡牌辅助配置表!$C$1,MATCH(AC1866,卡牌辅助配置表!A:A,0)-1,0)</f>
        <v>3</v>
      </c>
      <c r="H1866" s="186" t="e">
        <f ca="1">OFFSET(skill!$Q$1,MATCH(B1866,skill!B:B,0)-1,0)</f>
        <v>#VALUE!</v>
      </c>
      <c r="I1866" s="186"/>
      <c r="J1866" s="186">
        <f ca="1">OFFSET(card_type!$F$1,MATCH(Q1866,card_type!A:A,0)-1,0)</f>
        <v>1</v>
      </c>
      <c r="K1866" s="243">
        <f ca="1">OFFSET(card_type!$G$1,MATCH(Q1866,card_type!A:A,0)-1,0)</f>
        <v>1</v>
      </c>
      <c r="L1866" s="157">
        <v>3</v>
      </c>
      <c r="M1866" s="157">
        <v>3</v>
      </c>
      <c r="N1866" s="153">
        <f t="shared" si="316"/>
        <v>20</v>
      </c>
      <c r="O1866" s="157"/>
      <c r="P1866" s="157"/>
      <c r="Q1866" s="153">
        <f ca="1">OFFSET(card_type!$A$1,MATCH(card!B1866,card_type!B:B,0)-1,0)</f>
        <v>3011</v>
      </c>
      <c r="R1866" s="153">
        <v>1</v>
      </c>
      <c r="S1866" s="157">
        <f ca="1">ROUND(IF(R1866=0,0,IF(R1866=1,X1866*$S$1,IF(R1866=2,X1866*$S$1*buff的资质计算!$E$2,IF(R1866=3,X1866*$S$1*buff的资质计算!$E$3,0)))),0)*0</f>
        <v>0</v>
      </c>
      <c r="T1866" s="153">
        <v>2</v>
      </c>
      <c r="U1866" s="153">
        <f ca="1" t="shared" si="317"/>
        <v>11</v>
      </c>
      <c r="V1866" s="153">
        <f ca="1">ROUND((OFFSET(卡牌辅助配置表!$O$1,MATCH(U1866,卡牌辅助配置表!M:M,0)-1,0)+(N1866-1)*OFFSET(卡牌辅助配置表!$P$1,MATCH(U1866,卡牌辅助配置表!M:M,0)-1,0))*M1866,2)</f>
        <v>30.72</v>
      </c>
      <c r="W1866" s="157">
        <f ca="1">ROUND(IF(R1866=0,0,IF(R1866=1,X1866*$W$1,IF(R1866=2,X1866*$W$1*buff的资质计算!$E$2,IF(R1866=3,X1866*$W$1*buff的资质计算!$E$3,0)))),2)</f>
        <v>8.25</v>
      </c>
      <c r="X1866" s="157">
        <f ca="1" t="shared" si="312"/>
        <v>27.5</v>
      </c>
      <c r="Y1866" s="157" t="e">
        <f ca="1" t="shared" ref="Y1866:Y1929" si="320">X1866+H1866</f>
        <v>#VALUE!</v>
      </c>
      <c r="Z1866" s="304" t="e">
        <f ca="1" t="shared" si="313"/>
        <v>#VALUE!</v>
      </c>
      <c r="AA1866" s="304">
        <f ca="1">OFFSET(卡牌辅助配置表!$AD$1,MATCH(AB1866,卡牌辅助配置表!AB:AB,0)-1,0)</f>
        <v>450</v>
      </c>
      <c r="AB1866" s="304">
        <f ca="1" t="shared" si="318"/>
        <v>1120</v>
      </c>
      <c r="AC1866" s="153">
        <v>10</v>
      </c>
      <c r="AD1866" s="153">
        <v>1</v>
      </c>
      <c r="AE1866" s="153">
        <v>1</v>
      </c>
      <c r="AF1866" s="153" t="str">
        <f ca="1" t="shared" si="311"/>
        <v>30110011|</v>
      </c>
      <c r="AI1866" s="153">
        <v>1</v>
      </c>
      <c r="AJ1866" s="205" t="str">
        <f ca="1" t="shared" si="319"/>
        <v>400023|7100|;</v>
      </c>
      <c r="AK1866" s="205">
        <f ca="1">OFFSET([1]item_type!$A$1,MATCH(Q1866,[1]item_type!$G:$G,0)-1,0)</f>
        <v>303011</v>
      </c>
      <c r="AL1866" s="205"/>
      <c r="AM1866" s="205">
        <f ca="1">IF(B1866=B1867,OFFSET(卡牌辅助配置表!$AE$1,MATCH(AB1866,卡牌辅助配置表!AB:AB,0),0),0)</f>
        <v>7100</v>
      </c>
      <c r="AN1866" s="153">
        <f ca="1" t="shared" si="314"/>
        <v>3011021</v>
      </c>
      <c r="AP1866" s="153" t="str">
        <f ca="1">IF(AC1866=0,0,IF(AC1866=12,0,OFFSET(effect!$N$1,MATCH(K1866,effect!M:M,0)-1,0)))</f>
        <v>kpsx_pt</v>
      </c>
    </row>
    <row r="1867" spans="1:42">
      <c r="A1867" s="153">
        <f ca="1" t="shared" si="315"/>
        <v>3011021</v>
      </c>
      <c r="B1867" s="91" t="s">
        <v>880</v>
      </c>
      <c r="C1867" s="186">
        <v>3</v>
      </c>
      <c r="D1867" s="186">
        <v>4</v>
      </c>
      <c r="E1867" s="165" t="s">
        <v>1069</v>
      </c>
      <c r="F1867" s="179" t="s">
        <v>1071</v>
      </c>
      <c r="G1867" s="186">
        <f ca="1">OFFSET(卡牌辅助配置表!$C$1,MATCH(AC1867,卡牌辅助配置表!A:A,0)-1,0)</f>
        <v>3</v>
      </c>
      <c r="H1867" s="186" t="e">
        <f ca="1">OFFSET(skill!$Q$1,MATCH(B1867,skill!B:B,0)-1,0)</f>
        <v>#VALUE!</v>
      </c>
      <c r="I1867" s="186"/>
      <c r="J1867" s="186">
        <f ca="1">OFFSET(card_type!$F$1,MATCH(Q1867,card_type!A:A,0)-1,0)</f>
        <v>1</v>
      </c>
      <c r="K1867" s="243">
        <f ca="1">OFFSET(card_type!$G$1,MATCH(Q1867,card_type!A:A,0)-1,0)</f>
        <v>1</v>
      </c>
      <c r="L1867" s="157">
        <v>3</v>
      </c>
      <c r="M1867" s="157">
        <v>3</v>
      </c>
      <c r="N1867" s="153">
        <f t="shared" si="316"/>
        <v>21</v>
      </c>
      <c r="O1867" s="157"/>
      <c r="P1867" s="157"/>
      <c r="Q1867" s="153">
        <f ca="1">OFFSET(card_type!$A$1,MATCH(card!B1867,card_type!B:B,0)-1,0)</f>
        <v>3011</v>
      </c>
      <c r="R1867" s="153">
        <v>1</v>
      </c>
      <c r="S1867" s="157">
        <f ca="1">ROUND(IF(R1867=0,0,IF(R1867=1,X1867*$S$1,IF(R1867=2,X1867*$S$1*buff的资质计算!$E$2,IF(R1867=3,X1867*$S$1*buff的资质计算!$E$3,0)))),0)*0</f>
        <v>0</v>
      </c>
      <c r="T1867" s="153">
        <v>2</v>
      </c>
      <c r="U1867" s="153">
        <f ca="1" t="shared" si="317"/>
        <v>11</v>
      </c>
      <c r="V1867" s="153">
        <f ca="1">ROUND((OFFSET(卡牌辅助配置表!$O$1,MATCH(U1867,卡牌辅助配置表!M:M,0)-1,0)+(N1867-1)*OFFSET(卡牌辅助配置表!$P$1,MATCH(U1867,卡牌辅助配置表!M:M,0)-1,0))*M1867,2)</f>
        <v>31.35</v>
      </c>
      <c r="W1867" s="157">
        <f ca="1">ROUND(IF(R1867=0,0,IF(R1867=1,X1867*$W$1,IF(R1867=2,X1867*$W$1*buff的资质计算!$E$2,IF(R1867=3,X1867*$W$1*buff的资质计算!$E$3,0)))),2)</f>
        <v>8.4</v>
      </c>
      <c r="X1867" s="157">
        <f ca="1" t="shared" si="312"/>
        <v>28</v>
      </c>
      <c r="Y1867" s="157" t="e">
        <f ca="1" t="shared" si="320"/>
        <v>#VALUE!</v>
      </c>
      <c r="Z1867" s="304" t="e">
        <f ca="1" t="shared" si="313"/>
        <v>#VALUE!</v>
      </c>
      <c r="AA1867" s="304">
        <f ca="1">OFFSET(卡牌辅助配置表!$AD$1,MATCH(AB1867,卡牌辅助配置表!AB:AB,0)-1,0)</f>
        <v>486</v>
      </c>
      <c r="AB1867" s="304">
        <f ca="1" t="shared" si="318"/>
        <v>1121</v>
      </c>
      <c r="AC1867" s="153">
        <v>10</v>
      </c>
      <c r="AD1867" s="153">
        <v>1</v>
      </c>
      <c r="AE1867" s="153">
        <v>1</v>
      </c>
      <c r="AF1867" s="153" t="str">
        <f ca="1" t="shared" si="311"/>
        <v>30110011|</v>
      </c>
      <c r="AI1867" s="153">
        <v>1</v>
      </c>
      <c r="AJ1867" s="205" t="str">
        <f ca="1" t="shared" si="319"/>
        <v>400023|7900|;</v>
      </c>
      <c r="AK1867" s="205">
        <f ca="1">OFFSET([1]item_type!$A$1,MATCH(Q1867,[1]item_type!$G:$G,0)-1,0)</f>
        <v>303011</v>
      </c>
      <c r="AL1867" s="205"/>
      <c r="AM1867" s="205">
        <f ca="1">IF(B1867=B1868,OFFSET(卡牌辅助配置表!$AE$1,MATCH(AB1867,卡牌辅助配置表!AB:AB,0),0),0)</f>
        <v>7900</v>
      </c>
      <c r="AN1867" s="153">
        <f ca="1" t="shared" si="314"/>
        <v>3011022</v>
      </c>
      <c r="AP1867" s="153" t="str">
        <f ca="1">IF(AC1867=0,0,IF(AC1867=12,0,OFFSET(effect!$N$1,MATCH(K1867,effect!M:M,0)-1,0)))</f>
        <v>kpsx_pt</v>
      </c>
    </row>
    <row r="1868" spans="1:42">
      <c r="A1868" s="153">
        <f ca="1" t="shared" si="315"/>
        <v>3011022</v>
      </c>
      <c r="B1868" s="91" t="s">
        <v>880</v>
      </c>
      <c r="C1868" s="186">
        <v>3</v>
      </c>
      <c r="D1868" s="186">
        <v>4</v>
      </c>
      <c r="E1868" s="165" t="s">
        <v>1069</v>
      </c>
      <c r="F1868" s="179" t="s">
        <v>1071</v>
      </c>
      <c r="G1868" s="186">
        <f ca="1">OFFSET(卡牌辅助配置表!$C$1,MATCH(AC1868,卡牌辅助配置表!A:A,0)-1,0)</f>
        <v>3</v>
      </c>
      <c r="H1868" s="186" t="e">
        <f ca="1">OFFSET(skill!$Q$1,MATCH(B1868,skill!B:B,0)-1,0)</f>
        <v>#VALUE!</v>
      </c>
      <c r="I1868" s="186"/>
      <c r="J1868" s="186">
        <f ca="1">OFFSET(card_type!$F$1,MATCH(Q1868,card_type!A:A,0)-1,0)</f>
        <v>1</v>
      </c>
      <c r="K1868" s="243">
        <f ca="1">OFFSET(card_type!$G$1,MATCH(Q1868,card_type!A:A,0)-1,0)</f>
        <v>1</v>
      </c>
      <c r="L1868" s="157">
        <v>3</v>
      </c>
      <c r="M1868" s="157">
        <v>3</v>
      </c>
      <c r="N1868" s="153">
        <f t="shared" si="316"/>
        <v>22</v>
      </c>
      <c r="O1868" s="157"/>
      <c r="P1868" s="157"/>
      <c r="Q1868" s="153">
        <f ca="1">OFFSET(card_type!$A$1,MATCH(card!B1868,card_type!B:B,0)-1,0)</f>
        <v>3011</v>
      </c>
      <c r="R1868" s="153">
        <v>1</v>
      </c>
      <c r="S1868" s="157">
        <f ca="1">ROUND(IF(R1868=0,0,IF(R1868=1,X1868*$S$1,IF(R1868=2,X1868*$S$1*buff的资质计算!$E$2,IF(R1868=3,X1868*$S$1*buff的资质计算!$E$3,0)))),0)*0</f>
        <v>0</v>
      </c>
      <c r="T1868" s="153">
        <v>2</v>
      </c>
      <c r="U1868" s="153">
        <f ca="1" t="shared" si="317"/>
        <v>11</v>
      </c>
      <c r="V1868" s="153">
        <f ca="1">ROUND((OFFSET(卡牌辅助配置表!$O$1,MATCH(U1868,卡牌辅助配置表!M:M,0)-1,0)+(N1868-1)*OFFSET(卡牌辅助配置表!$P$1,MATCH(U1868,卡牌辅助配置表!M:M,0)-1,0))*M1868,2)</f>
        <v>31.98</v>
      </c>
      <c r="W1868" s="157">
        <f ca="1">ROUND(IF(R1868=0,0,IF(R1868=1,X1868*$W$1,IF(R1868=2,X1868*$W$1*buff的资质计算!$E$2,IF(R1868=3,X1868*$W$1*buff的资质计算!$E$3,0)))),2)</f>
        <v>8.55</v>
      </c>
      <c r="X1868" s="157">
        <f ca="1" t="shared" si="312"/>
        <v>28.5</v>
      </c>
      <c r="Y1868" s="157" t="e">
        <f ca="1" t="shared" si="320"/>
        <v>#VALUE!</v>
      </c>
      <c r="Z1868" s="304" t="e">
        <f ca="1" t="shared" si="313"/>
        <v>#VALUE!</v>
      </c>
      <c r="AA1868" s="304">
        <f ca="1">OFFSET(卡牌辅助配置表!$AD$1,MATCH(AB1868,卡牌辅助配置表!AB:AB,0)-1,0)</f>
        <v>522</v>
      </c>
      <c r="AB1868" s="304">
        <f ca="1" t="shared" si="318"/>
        <v>1122</v>
      </c>
      <c r="AC1868" s="153">
        <v>10</v>
      </c>
      <c r="AD1868" s="153">
        <v>1</v>
      </c>
      <c r="AE1868" s="153">
        <v>1</v>
      </c>
      <c r="AF1868" s="153" t="str">
        <f ca="1" t="shared" si="311"/>
        <v>30110011|</v>
      </c>
      <c r="AI1868" s="153">
        <v>1</v>
      </c>
      <c r="AJ1868" s="205" t="str">
        <f ca="1" t="shared" si="319"/>
        <v>400023|8700|;</v>
      </c>
      <c r="AK1868" s="205">
        <f ca="1">OFFSET([1]item_type!$A$1,MATCH(Q1868,[1]item_type!$G:$G,0)-1,0)</f>
        <v>303011</v>
      </c>
      <c r="AL1868" s="205"/>
      <c r="AM1868" s="205">
        <f ca="1">IF(B1868=B1869,OFFSET(卡牌辅助配置表!$AE$1,MATCH(AB1868,卡牌辅助配置表!AB:AB,0),0),0)</f>
        <v>8700</v>
      </c>
      <c r="AN1868" s="153">
        <f ca="1" t="shared" si="314"/>
        <v>3011023</v>
      </c>
      <c r="AP1868" s="153" t="str">
        <f ca="1">IF(AC1868=0,0,IF(AC1868=12,0,OFFSET(effect!$N$1,MATCH(K1868,effect!M:M,0)-1,0)))</f>
        <v>kpsx_pt</v>
      </c>
    </row>
    <row r="1869" spans="1:42">
      <c r="A1869" s="153">
        <f ca="1" t="shared" si="315"/>
        <v>3011023</v>
      </c>
      <c r="B1869" s="91" t="s">
        <v>880</v>
      </c>
      <c r="C1869" s="186">
        <v>3</v>
      </c>
      <c r="D1869" s="186">
        <v>4</v>
      </c>
      <c r="E1869" s="165" t="s">
        <v>1069</v>
      </c>
      <c r="F1869" s="179" t="s">
        <v>1071</v>
      </c>
      <c r="G1869" s="186">
        <f ca="1">OFFSET(卡牌辅助配置表!$C$1,MATCH(AC1869,卡牌辅助配置表!A:A,0)-1,0)</f>
        <v>3</v>
      </c>
      <c r="H1869" s="186" t="e">
        <f ca="1">OFFSET(skill!$Q$1,MATCH(B1869,skill!B:B,0)-1,0)</f>
        <v>#VALUE!</v>
      </c>
      <c r="I1869" s="186"/>
      <c r="J1869" s="186">
        <f ca="1">OFFSET(card_type!$F$1,MATCH(Q1869,card_type!A:A,0)-1,0)</f>
        <v>1</v>
      </c>
      <c r="K1869" s="243">
        <f ca="1">OFFSET(card_type!$G$1,MATCH(Q1869,card_type!A:A,0)-1,0)</f>
        <v>1</v>
      </c>
      <c r="L1869" s="157">
        <v>3</v>
      </c>
      <c r="M1869" s="157">
        <v>3</v>
      </c>
      <c r="N1869" s="153">
        <f t="shared" si="316"/>
        <v>23</v>
      </c>
      <c r="O1869" s="157"/>
      <c r="P1869" s="157"/>
      <c r="Q1869" s="153">
        <f ca="1">OFFSET(card_type!$A$1,MATCH(card!B1869,card_type!B:B,0)-1,0)</f>
        <v>3011</v>
      </c>
      <c r="R1869" s="153">
        <v>1</v>
      </c>
      <c r="S1869" s="157">
        <f ca="1">ROUND(IF(R1869=0,0,IF(R1869=1,X1869*$S$1,IF(R1869=2,X1869*$S$1*buff的资质计算!$E$2,IF(R1869=3,X1869*$S$1*buff的资质计算!$E$3,0)))),0)*0</f>
        <v>0</v>
      </c>
      <c r="T1869" s="153">
        <v>2</v>
      </c>
      <c r="U1869" s="153">
        <f ca="1" t="shared" si="317"/>
        <v>11</v>
      </c>
      <c r="V1869" s="153">
        <f ca="1">ROUND((OFFSET(卡牌辅助配置表!$O$1,MATCH(U1869,卡牌辅助配置表!M:M,0)-1,0)+(N1869-1)*OFFSET(卡牌辅助配置表!$P$1,MATCH(U1869,卡牌辅助配置表!M:M,0)-1,0))*M1869,2)</f>
        <v>32.6</v>
      </c>
      <c r="W1869" s="157">
        <f ca="1">ROUND(IF(R1869=0,0,IF(R1869=1,X1869*$W$1,IF(R1869=2,X1869*$W$1*buff的资质计算!$E$2,IF(R1869=3,X1869*$W$1*buff的资质计算!$E$3,0)))),2)</f>
        <v>8.7</v>
      </c>
      <c r="X1869" s="157">
        <f ca="1" t="shared" si="312"/>
        <v>29</v>
      </c>
      <c r="Y1869" s="157" t="e">
        <f ca="1" t="shared" si="320"/>
        <v>#VALUE!</v>
      </c>
      <c r="Z1869" s="304" t="e">
        <f ca="1" t="shared" si="313"/>
        <v>#VALUE!</v>
      </c>
      <c r="AA1869" s="304">
        <f ca="1">OFFSET(卡牌辅助配置表!$AD$1,MATCH(AB1869,卡牌辅助配置表!AB:AB,0)-1,0)</f>
        <v>558</v>
      </c>
      <c r="AB1869" s="304">
        <f ca="1" t="shared" si="318"/>
        <v>1123</v>
      </c>
      <c r="AC1869" s="153">
        <v>10</v>
      </c>
      <c r="AD1869" s="153">
        <v>1</v>
      </c>
      <c r="AE1869" s="153">
        <v>1</v>
      </c>
      <c r="AF1869" s="153" t="str">
        <f ca="1" t="shared" si="311"/>
        <v>30110011|</v>
      </c>
      <c r="AI1869" s="153">
        <v>1</v>
      </c>
      <c r="AJ1869" s="205" t="str">
        <f ca="1" t="shared" si="319"/>
        <v>400023|9500|;</v>
      </c>
      <c r="AK1869" s="205">
        <f ca="1">OFFSET([1]item_type!$A$1,MATCH(Q1869,[1]item_type!$G:$G,0)-1,0)</f>
        <v>303011</v>
      </c>
      <c r="AL1869" s="205"/>
      <c r="AM1869" s="205">
        <f ca="1">IF(B1869=B1870,OFFSET(卡牌辅助配置表!$AE$1,MATCH(AB1869,卡牌辅助配置表!AB:AB,0),0),0)</f>
        <v>9500</v>
      </c>
      <c r="AN1869" s="153">
        <f ca="1" t="shared" si="314"/>
        <v>3011024</v>
      </c>
      <c r="AP1869" s="153" t="str">
        <f ca="1">IF(AC1869=0,0,IF(AC1869=12,0,OFFSET(effect!$N$1,MATCH(K1869,effect!M:M,0)-1,0)))</f>
        <v>kpsx_pt</v>
      </c>
    </row>
    <row r="1870" spans="1:42">
      <c r="A1870" s="153">
        <f ca="1" t="shared" si="315"/>
        <v>3011024</v>
      </c>
      <c r="B1870" s="91" t="s">
        <v>880</v>
      </c>
      <c r="C1870" s="186">
        <v>3</v>
      </c>
      <c r="D1870" s="186">
        <v>4</v>
      </c>
      <c r="E1870" s="165" t="s">
        <v>1069</v>
      </c>
      <c r="F1870" s="179" t="s">
        <v>1071</v>
      </c>
      <c r="G1870" s="186">
        <f ca="1">OFFSET(卡牌辅助配置表!$C$1,MATCH(AC1870,卡牌辅助配置表!A:A,0)-1,0)</f>
        <v>3</v>
      </c>
      <c r="H1870" s="186" t="e">
        <f ca="1">OFFSET(skill!$Q$1,MATCH(B1870,skill!B:B,0)-1,0)</f>
        <v>#VALUE!</v>
      </c>
      <c r="I1870" s="186"/>
      <c r="J1870" s="186">
        <f ca="1">OFFSET(card_type!$F$1,MATCH(Q1870,card_type!A:A,0)-1,0)</f>
        <v>1</v>
      </c>
      <c r="K1870" s="243">
        <f ca="1">OFFSET(card_type!$G$1,MATCH(Q1870,card_type!A:A,0)-1,0)</f>
        <v>1</v>
      </c>
      <c r="L1870" s="157">
        <v>3</v>
      </c>
      <c r="M1870" s="157">
        <v>3</v>
      </c>
      <c r="N1870" s="153">
        <f t="shared" si="316"/>
        <v>24</v>
      </c>
      <c r="O1870" s="157"/>
      <c r="P1870" s="157"/>
      <c r="Q1870" s="153">
        <f ca="1">OFFSET(card_type!$A$1,MATCH(card!B1870,card_type!B:B,0)-1,0)</f>
        <v>3011</v>
      </c>
      <c r="R1870" s="153">
        <v>1</v>
      </c>
      <c r="S1870" s="157">
        <f ca="1">ROUND(IF(R1870=0,0,IF(R1870=1,X1870*$S$1,IF(R1870=2,X1870*$S$1*buff的资质计算!$E$2,IF(R1870=3,X1870*$S$1*buff的资质计算!$E$3,0)))),0)*0</f>
        <v>0</v>
      </c>
      <c r="T1870" s="153">
        <v>2</v>
      </c>
      <c r="U1870" s="153">
        <f ca="1" t="shared" si="317"/>
        <v>11</v>
      </c>
      <c r="V1870" s="153">
        <f ca="1">ROUND((OFFSET(卡牌辅助配置表!$O$1,MATCH(U1870,卡牌辅助配置表!M:M,0)-1,0)+(N1870-1)*OFFSET(卡牌辅助配置表!$P$1,MATCH(U1870,卡牌辅助配置表!M:M,0)-1,0))*M1870,2)</f>
        <v>33.23</v>
      </c>
      <c r="W1870" s="157">
        <f ca="1">ROUND(IF(R1870=0,0,IF(R1870=1,X1870*$W$1,IF(R1870=2,X1870*$W$1*buff的资质计算!$E$2,IF(R1870=3,X1870*$W$1*buff的资质计算!$E$3,0)))),2)</f>
        <v>8.85</v>
      </c>
      <c r="X1870" s="157">
        <f ca="1" t="shared" si="312"/>
        <v>29.5</v>
      </c>
      <c r="Y1870" s="157" t="e">
        <f ca="1" t="shared" si="320"/>
        <v>#VALUE!</v>
      </c>
      <c r="Z1870" s="304" t="e">
        <f ca="1" t="shared" si="313"/>
        <v>#VALUE!</v>
      </c>
      <c r="AA1870" s="304">
        <f ca="1">OFFSET(卡牌辅助配置表!$AD$1,MATCH(AB1870,卡牌辅助配置表!AB:AB,0)-1,0)</f>
        <v>594</v>
      </c>
      <c r="AB1870" s="304">
        <f ca="1" t="shared" si="318"/>
        <v>1124</v>
      </c>
      <c r="AC1870" s="153">
        <v>10</v>
      </c>
      <c r="AD1870" s="153">
        <v>1</v>
      </c>
      <c r="AE1870" s="153">
        <v>1</v>
      </c>
      <c r="AF1870" s="153" t="str">
        <f ca="1" t="shared" si="311"/>
        <v>30110011|</v>
      </c>
      <c r="AI1870" s="153">
        <v>1</v>
      </c>
      <c r="AJ1870" s="205" t="str">
        <f ca="1" t="shared" si="319"/>
        <v>400023|10300|;</v>
      </c>
      <c r="AK1870" s="205">
        <f ca="1">OFFSET([1]item_type!$A$1,MATCH(Q1870,[1]item_type!$G:$G,0)-1,0)</f>
        <v>303011</v>
      </c>
      <c r="AL1870" s="205"/>
      <c r="AM1870" s="205">
        <f ca="1">IF(B1870=B1871,OFFSET(卡牌辅助配置表!$AE$1,MATCH(AB1870,卡牌辅助配置表!AB:AB,0),0),0)</f>
        <v>10300</v>
      </c>
      <c r="AN1870" s="153">
        <f ca="1" t="shared" si="314"/>
        <v>3011025</v>
      </c>
      <c r="AP1870" s="153" t="str">
        <f ca="1">IF(AC1870=0,0,IF(AC1870=12,0,OFFSET(effect!$N$1,MATCH(K1870,effect!M:M,0)-1,0)))</f>
        <v>kpsx_pt</v>
      </c>
    </row>
    <row r="1871" spans="1:42">
      <c r="A1871" s="153">
        <f ca="1" t="shared" si="315"/>
        <v>3011025</v>
      </c>
      <c r="B1871" s="91" t="s">
        <v>880</v>
      </c>
      <c r="C1871" s="186">
        <v>3</v>
      </c>
      <c r="D1871" s="186">
        <v>4</v>
      </c>
      <c r="E1871" s="165" t="s">
        <v>1069</v>
      </c>
      <c r="F1871" s="179" t="s">
        <v>1071</v>
      </c>
      <c r="G1871" s="186">
        <f ca="1">OFFSET(卡牌辅助配置表!$C$1,MATCH(AC1871,卡牌辅助配置表!A:A,0)-1,0)</f>
        <v>3</v>
      </c>
      <c r="H1871" s="186" t="e">
        <f ca="1">OFFSET(skill!$Q$1,MATCH(B1871,skill!B:B,0)-1,0)</f>
        <v>#VALUE!</v>
      </c>
      <c r="I1871" s="186"/>
      <c r="J1871" s="186">
        <f ca="1">OFFSET(card_type!$F$1,MATCH(Q1871,card_type!A:A,0)-1,0)</f>
        <v>1</v>
      </c>
      <c r="K1871" s="243">
        <f ca="1">OFFSET(card_type!$G$1,MATCH(Q1871,card_type!A:A,0)-1,0)</f>
        <v>1</v>
      </c>
      <c r="L1871" s="157">
        <v>3</v>
      </c>
      <c r="M1871" s="157">
        <v>3</v>
      </c>
      <c r="N1871" s="153">
        <f t="shared" si="316"/>
        <v>25</v>
      </c>
      <c r="O1871" s="157"/>
      <c r="P1871" s="157"/>
      <c r="Q1871" s="153">
        <f ca="1">OFFSET(card_type!$A$1,MATCH(card!B1871,card_type!B:B,0)-1,0)</f>
        <v>3011</v>
      </c>
      <c r="R1871" s="153">
        <v>1</v>
      </c>
      <c r="S1871" s="157">
        <f ca="1">ROUND(IF(R1871=0,0,IF(R1871=1,X1871*$S$1,IF(R1871=2,X1871*$S$1*buff的资质计算!$E$2,IF(R1871=3,X1871*$S$1*buff的资质计算!$E$3,0)))),0)*0</f>
        <v>0</v>
      </c>
      <c r="T1871" s="153">
        <v>2</v>
      </c>
      <c r="U1871" s="153">
        <f ca="1" t="shared" si="317"/>
        <v>11</v>
      </c>
      <c r="V1871" s="153">
        <f ca="1">ROUND((OFFSET(卡牌辅助配置表!$O$1,MATCH(U1871,卡牌辅助配置表!M:M,0)-1,0)+(N1871-1)*OFFSET(卡牌辅助配置表!$P$1,MATCH(U1871,卡牌辅助配置表!M:M,0)-1,0))*M1871,2)</f>
        <v>33.86</v>
      </c>
      <c r="W1871" s="157">
        <f ca="1">ROUND(IF(R1871=0,0,IF(R1871=1,X1871*$W$1,IF(R1871=2,X1871*$W$1*buff的资质计算!$E$2,IF(R1871=3,X1871*$W$1*buff的资质计算!$E$3,0)))),2)</f>
        <v>9</v>
      </c>
      <c r="X1871" s="157">
        <f ca="1" t="shared" si="312"/>
        <v>30</v>
      </c>
      <c r="Y1871" s="157" t="e">
        <f ca="1" t="shared" si="320"/>
        <v>#VALUE!</v>
      </c>
      <c r="Z1871" s="304" t="e">
        <f ca="1" t="shared" si="313"/>
        <v>#VALUE!</v>
      </c>
      <c r="AA1871" s="304">
        <f ca="1">OFFSET(卡牌辅助配置表!$AD$1,MATCH(AB1871,卡牌辅助配置表!AB:AB,0)-1,0)</f>
        <v>630</v>
      </c>
      <c r="AB1871" s="304">
        <f ca="1" t="shared" si="318"/>
        <v>1125</v>
      </c>
      <c r="AC1871" s="153">
        <v>10</v>
      </c>
      <c r="AD1871" s="153">
        <v>1</v>
      </c>
      <c r="AE1871" s="153">
        <v>1</v>
      </c>
      <c r="AF1871" s="153" t="str">
        <f ca="1" t="shared" si="311"/>
        <v>30110011|</v>
      </c>
      <c r="AI1871" s="153">
        <v>1</v>
      </c>
      <c r="AJ1871" s="205" t="str">
        <f ca="1" t="shared" si="319"/>
        <v>400023|11100|;</v>
      </c>
      <c r="AK1871" s="205">
        <f ca="1">OFFSET([1]item_type!$A$1,MATCH(Q1871,[1]item_type!$G:$G,0)-1,0)</f>
        <v>303011</v>
      </c>
      <c r="AL1871" s="205"/>
      <c r="AM1871" s="205">
        <f ca="1">IF(B1871=B1872,OFFSET(卡牌辅助配置表!$AE$1,MATCH(AB1871,卡牌辅助配置表!AB:AB,0),0),0)</f>
        <v>11100</v>
      </c>
      <c r="AN1871" s="153">
        <f ca="1" t="shared" si="314"/>
        <v>3011026</v>
      </c>
      <c r="AP1871" s="153" t="str">
        <f ca="1">IF(AC1871=0,0,IF(AC1871=12,0,OFFSET(effect!$N$1,MATCH(K1871,effect!M:M,0)-1,0)))</f>
        <v>kpsx_pt</v>
      </c>
    </row>
    <row r="1872" spans="1:42">
      <c r="A1872" s="153">
        <f ca="1" t="shared" si="315"/>
        <v>3011026</v>
      </c>
      <c r="B1872" s="91" t="s">
        <v>880</v>
      </c>
      <c r="C1872" s="186">
        <v>3</v>
      </c>
      <c r="D1872" s="186">
        <v>4</v>
      </c>
      <c r="E1872" s="165" t="s">
        <v>1069</v>
      </c>
      <c r="F1872" s="179" t="s">
        <v>1071</v>
      </c>
      <c r="G1872" s="186">
        <f ca="1">OFFSET(卡牌辅助配置表!$C$1,MATCH(AC1872,卡牌辅助配置表!A:A,0)-1,0)</f>
        <v>3</v>
      </c>
      <c r="H1872" s="186" t="e">
        <f ca="1">OFFSET(skill!$Q$1,MATCH(B1872,skill!B:B,0)-1,0)</f>
        <v>#VALUE!</v>
      </c>
      <c r="I1872" s="186"/>
      <c r="J1872" s="186">
        <f ca="1">OFFSET(card_type!$F$1,MATCH(Q1872,card_type!A:A,0)-1,0)</f>
        <v>1</v>
      </c>
      <c r="K1872" s="243">
        <f ca="1">OFFSET(card_type!$G$1,MATCH(Q1872,card_type!A:A,0)-1,0)</f>
        <v>1</v>
      </c>
      <c r="L1872" s="157">
        <v>3</v>
      </c>
      <c r="M1872" s="157">
        <v>3</v>
      </c>
      <c r="N1872" s="153">
        <f t="shared" si="316"/>
        <v>26</v>
      </c>
      <c r="O1872" s="157"/>
      <c r="P1872" s="157"/>
      <c r="Q1872" s="153">
        <f ca="1">OFFSET(card_type!$A$1,MATCH(card!B1872,card_type!B:B,0)-1,0)</f>
        <v>3011</v>
      </c>
      <c r="R1872" s="153">
        <v>1</v>
      </c>
      <c r="S1872" s="157">
        <f ca="1">ROUND(IF(R1872=0,0,IF(R1872=1,X1872*$S$1,IF(R1872=2,X1872*$S$1*buff的资质计算!$E$2,IF(R1872=3,X1872*$S$1*buff的资质计算!$E$3,0)))),0)*0</f>
        <v>0</v>
      </c>
      <c r="T1872" s="153">
        <v>2</v>
      </c>
      <c r="U1872" s="153">
        <f ca="1" t="shared" si="317"/>
        <v>11</v>
      </c>
      <c r="V1872" s="153">
        <f ca="1">ROUND((OFFSET(卡牌辅助配置表!$O$1,MATCH(U1872,卡牌辅助配置表!M:M,0)-1,0)+(N1872-1)*OFFSET(卡牌辅助配置表!$P$1,MATCH(U1872,卡牌辅助配置表!M:M,0)-1,0))*M1872,2)</f>
        <v>34.49</v>
      </c>
      <c r="W1872" s="157">
        <f ca="1">ROUND(IF(R1872=0,0,IF(R1872=1,X1872*$W$1,IF(R1872=2,X1872*$W$1*buff的资质计算!$E$2,IF(R1872=3,X1872*$W$1*buff的资质计算!$E$3,0)))),2)</f>
        <v>9.15</v>
      </c>
      <c r="X1872" s="157">
        <f ca="1" t="shared" si="312"/>
        <v>30.5</v>
      </c>
      <c r="Y1872" s="157" t="e">
        <f ca="1" t="shared" si="320"/>
        <v>#VALUE!</v>
      </c>
      <c r="Z1872" s="304" t="e">
        <f ca="1" t="shared" si="313"/>
        <v>#VALUE!</v>
      </c>
      <c r="AA1872" s="304">
        <f ca="1">OFFSET(卡牌辅助配置表!$AD$1,MATCH(AB1872,卡牌辅助配置表!AB:AB,0)-1,0)</f>
        <v>666</v>
      </c>
      <c r="AB1872" s="304">
        <f ca="1" t="shared" si="318"/>
        <v>1126</v>
      </c>
      <c r="AC1872" s="153">
        <v>10</v>
      </c>
      <c r="AD1872" s="153">
        <v>1</v>
      </c>
      <c r="AE1872" s="153">
        <v>1</v>
      </c>
      <c r="AF1872" s="153" t="str">
        <f ca="1" t="shared" si="311"/>
        <v>30110011|</v>
      </c>
      <c r="AI1872" s="153">
        <v>1</v>
      </c>
      <c r="AJ1872" s="205" t="str">
        <f ca="1" t="shared" si="319"/>
        <v>400023|11900|;</v>
      </c>
      <c r="AK1872" s="205">
        <f ca="1">OFFSET([1]item_type!$A$1,MATCH(Q1872,[1]item_type!$G:$G,0)-1,0)</f>
        <v>303011</v>
      </c>
      <c r="AL1872" s="205"/>
      <c r="AM1872" s="205">
        <f ca="1">IF(B1872=B1873,OFFSET(卡牌辅助配置表!$AE$1,MATCH(AB1872,卡牌辅助配置表!AB:AB,0),0),0)</f>
        <v>11900</v>
      </c>
      <c r="AN1872" s="153">
        <f ca="1" t="shared" si="314"/>
        <v>3011027</v>
      </c>
      <c r="AP1872" s="153" t="str">
        <f ca="1">IF(AC1872=0,0,IF(AC1872=12,0,OFFSET(effect!$N$1,MATCH(K1872,effect!M:M,0)-1,0)))</f>
        <v>kpsx_pt</v>
      </c>
    </row>
    <row r="1873" spans="1:42">
      <c r="A1873" s="153">
        <f ca="1" t="shared" si="315"/>
        <v>3011027</v>
      </c>
      <c r="B1873" s="91" t="s">
        <v>880</v>
      </c>
      <c r="C1873" s="186">
        <v>3</v>
      </c>
      <c r="D1873" s="186">
        <v>4</v>
      </c>
      <c r="E1873" s="165" t="s">
        <v>1069</v>
      </c>
      <c r="F1873" s="179" t="s">
        <v>1071</v>
      </c>
      <c r="G1873" s="186">
        <f ca="1">OFFSET(卡牌辅助配置表!$C$1,MATCH(AC1873,卡牌辅助配置表!A:A,0)-1,0)</f>
        <v>3</v>
      </c>
      <c r="H1873" s="186" t="e">
        <f ca="1">OFFSET(skill!$Q$1,MATCH(B1873,skill!B:B,0)-1,0)</f>
        <v>#VALUE!</v>
      </c>
      <c r="I1873" s="186"/>
      <c r="J1873" s="186">
        <f ca="1">OFFSET(card_type!$F$1,MATCH(Q1873,card_type!A:A,0)-1,0)</f>
        <v>1</v>
      </c>
      <c r="K1873" s="243">
        <f ca="1">OFFSET(card_type!$G$1,MATCH(Q1873,card_type!A:A,0)-1,0)</f>
        <v>1</v>
      </c>
      <c r="L1873" s="157">
        <v>3</v>
      </c>
      <c r="M1873" s="157">
        <v>3</v>
      </c>
      <c r="N1873" s="153">
        <f t="shared" si="316"/>
        <v>27</v>
      </c>
      <c r="O1873" s="157"/>
      <c r="P1873" s="157"/>
      <c r="Q1873" s="153">
        <f ca="1">OFFSET(card_type!$A$1,MATCH(card!B1873,card_type!B:B,0)-1,0)</f>
        <v>3011</v>
      </c>
      <c r="R1873" s="153">
        <v>1</v>
      </c>
      <c r="S1873" s="157">
        <f ca="1">ROUND(IF(R1873=0,0,IF(R1873=1,X1873*$S$1,IF(R1873=2,X1873*$S$1*buff的资质计算!$E$2,IF(R1873=3,X1873*$S$1*buff的资质计算!$E$3,0)))),0)*0</f>
        <v>0</v>
      </c>
      <c r="T1873" s="153">
        <v>2</v>
      </c>
      <c r="U1873" s="153">
        <f ca="1" t="shared" si="317"/>
        <v>11</v>
      </c>
      <c r="V1873" s="153">
        <f ca="1">ROUND((OFFSET(卡牌辅助配置表!$O$1,MATCH(U1873,卡牌辅助配置表!M:M,0)-1,0)+(N1873-1)*OFFSET(卡牌辅助配置表!$P$1,MATCH(U1873,卡牌辅助配置表!M:M,0)-1,0))*M1873,2)</f>
        <v>35.11</v>
      </c>
      <c r="W1873" s="157">
        <f ca="1">ROUND(IF(R1873=0,0,IF(R1873=1,X1873*$W$1,IF(R1873=2,X1873*$W$1*buff的资质计算!$E$2,IF(R1873=3,X1873*$W$1*buff的资质计算!$E$3,0)))),2)</f>
        <v>9.3</v>
      </c>
      <c r="X1873" s="157">
        <f ca="1" t="shared" si="312"/>
        <v>31</v>
      </c>
      <c r="Y1873" s="157" t="e">
        <f ca="1" t="shared" si="320"/>
        <v>#VALUE!</v>
      </c>
      <c r="Z1873" s="304" t="e">
        <f ca="1" t="shared" si="313"/>
        <v>#VALUE!</v>
      </c>
      <c r="AA1873" s="304">
        <f ca="1">OFFSET(卡牌辅助配置表!$AD$1,MATCH(AB1873,卡牌辅助配置表!AB:AB,0)-1,0)</f>
        <v>702</v>
      </c>
      <c r="AB1873" s="304">
        <f ca="1" t="shared" si="318"/>
        <v>1127</v>
      </c>
      <c r="AC1873" s="153">
        <v>10</v>
      </c>
      <c r="AD1873" s="153">
        <v>1</v>
      </c>
      <c r="AE1873" s="153">
        <v>1</v>
      </c>
      <c r="AF1873" s="153" t="str">
        <f ca="1" t="shared" si="311"/>
        <v>30110011|</v>
      </c>
      <c r="AI1873" s="153">
        <v>1</v>
      </c>
      <c r="AJ1873" s="205" t="str">
        <f ca="1" t="shared" si="319"/>
        <v>400023|12700|;</v>
      </c>
      <c r="AK1873" s="205">
        <f ca="1">OFFSET([1]item_type!$A$1,MATCH(Q1873,[1]item_type!$G:$G,0)-1,0)</f>
        <v>303011</v>
      </c>
      <c r="AL1873" s="205"/>
      <c r="AM1873" s="205">
        <f ca="1">IF(B1873=B1874,OFFSET(卡牌辅助配置表!$AE$1,MATCH(AB1873,卡牌辅助配置表!AB:AB,0),0),0)</f>
        <v>12700</v>
      </c>
      <c r="AN1873" s="153">
        <f ca="1" t="shared" si="314"/>
        <v>3011028</v>
      </c>
      <c r="AP1873" s="153" t="str">
        <f ca="1">IF(AC1873=0,0,IF(AC1873=12,0,OFFSET(effect!$N$1,MATCH(K1873,effect!M:M,0)-1,0)))</f>
        <v>kpsx_pt</v>
      </c>
    </row>
    <row r="1874" spans="1:42">
      <c r="A1874" s="153">
        <f ca="1" t="shared" si="315"/>
        <v>3011028</v>
      </c>
      <c r="B1874" s="91" t="s">
        <v>880</v>
      </c>
      <c r="C1874" s="186">
        <v>3</v>
      </c>
      <c r="D1874" s="186">
        <v>4</v>
      </c>
      <c r="E1874" s="165" t="s">
        <v>1069</v>
      </c>
      <c r="F1874" s="179" t="s">
        <v>1071</v>
      </c>
      <c r="G1874" s="186">
        <f ca="1">OFFSET(卡牌辅助配置表!$C$1,MATCH(AC1874,卡牌辅助配置表!A:A,0)-1,0)</f>
        <v>3</v>
      </c>
      <c r="H1874" s="186" t="e">
        <f ca="1">OFFSET(skill!$Q$1,MATCH(B1874,skill!B:B,0)-1,0)</f>
        <v>#VALUE!</v>
      </c>
      <c r="I1874" s="186"/>
      <c r="J1874" s="186">
        <f ca="1">OFFSET(card_type!$F$1,MATCH(Q1874,card_type!A:A,0)-1,0)</f>
        <v>1</v>
      </c>
      <c r="K1874" s="243">
        <f ca="1">OFFSET(card_type!$G$1,MATCH(Q1874,card_type!A:A,0)-1,0)</f>
        <v>1</v>
      </c>
      <c r="L1874" s="157">
        <v>3</v>
      </c>
      <c r="M1874" s="157">
        <v>3</v>
      </c>
      <c r="N1874" s="153">
        <f t="shared" si="316"/>
        <v>28</v>
      </c>
      <c r="O1874" s="157"/>
      <c r="P1874" s="157"/>
      <c r="Q1874" s="153">
        <f ca="1">OFFSET(card_type!$A$1,MATCH(card!B1874,card_type!B:B,0)-1,0)</f>
        <v>3011</v>
      </c>
      <c r="R1874" s="153">
        <v>1</v>
      </c>
      <c r="S1874" s="157">
        <f ca="1">ROUND(IF(R1874=0,0,IF(R1874=1,X1874*$S$1,IF(R1874=2,X1874*$S$1*buff的资质计算!$E$2,IF(R1874=3,X1874*$S$1*buff的资质计算!$E$3,0)))),0)*0</f>
        <v>0</v>
      </c>
      <c r="T1874" s="153">
        <v>2</v>
      </c>
      <c r="U1874" s="153">
        <f ca="1" t="shared" si="317"/>
        <v>11</v>
      </c>
      <c r="V1874" s="153">
        <f ca="1">ROUND((OFFSET(卡牌辅助配置表!$O$1,MATCH(U1874,卡牌辅助配置表!M:M,0)-1,0)+(N1874-1)*OFFSET(卡牌辅助配置表!$P$1,MATCH(U1874,卡牌辅助配置表!M:M,0)-1,0))*M1874,2)</f>
        <v>35.74</v>
      </c>
      <c r="W1874" s="157">
        <f ca="1">ROUND(IF(R1874=0,0,IF(R1874=1,X1874*$W$1,IF(R1874=2,X1874*$W$1*buff的资质计算!$E$2,IF(R1874=3,X1874*$W$1*buff的资质计算!$E$3,0)))),2)</f>
        <v>9.45</v>
      </c>
      <c r="X1874" s="157">
        <f ca="1" t="shared" si="312"/>
        <v>31.5</v>
      </c>
      <c r="Y1874" s="157" t="e">
        <f ca="1" t="shared" si="320"/>
        <v>#VALUE!</v>
      </c>
      <c r="Z1874" s="304" t="e">
        <f ca="1" t="shared" si="313"/>
        <v>#VALUE!</v>
      </c>
      <c r="AA1874" s="304">
        <f ca="1">OFFSET(卡牌辅助配置表!$AD$1,MATCH(AB1874,卡牌辅助配置表!AB:AB,0)-1,0)</f>
        <v>738</v>
      </c>
      <c r="AB1874" s="304">
        <f ca="1" t="shared" si="318"/>
        <v>1128</v>
      </c>
      <c r="AC1874" s="153">
        <v>10</v>
      </c>
      <c r="AD1874" s="153">
        <v>1</v>
      </c>
      <c r="AE1874" s="153">
        <v>1</v>
      </c>
      <c r="AF1874" s="153" t="str">
        <f ca="1" t="shared" si="311"/>
        <v>30110011|</v>
      </c>
      <c r="AI1874" s="153">
        <v>1</v>
      </c>
      <c r="AJ1874" s="205" t="str">
        <f ca="1" t="shared" si="319"/>
        <v>400023|13500|;</v>
      </c>
      <c r="AK1874" s="205">
        <f ca="1">OFFSET([1]item_type!$A$1,MATCH(Q1874,[1]item_type!$G:$G,0)-1,0)</f>
        <v>303011</v>
      </c>
      <c r="AL1874" s="205"/>
      <c r="AM1874" s="205">
        <f ca="1">IF(B1874=B1875,OFFSET(卡牌辅助配置表!$AE$1,MATCH(AB1874,卡牌辅助配置表!AB:AB,0),0),0)</f>
        <v>13500</v>
      </c>
      <c r="AN1874" s="153">
        <f ca="1" t="shared" si="314"/>
        <v>3011029</v>
      </c>
      <c r="AP1874" s="153" t="str">
        <f ca="1">IF(AC1874=0,0,IF(AC1874=12,0,OFFSET(effect!$N$1,MATCH(K1874,effect!M:M,0)-1,0)))</f>
        <v>kpsx_pt</v>
      </c>
    </row>
    <row r="1875" spans="1:42">
      <c r="A1875" s="153">
        <f ca="1" t="shared" si="315"/>
        <v>3011029</v>
      </c>
      <c r="B1875" s="91" t="s">
        <v>880</v>
      </c>
      <c r="C1875" s="186">
        <v>3</v>
      </c>
      <c r="D1875" s="186">
        <v>4</v>
      </c>
      <c r="E1875" s="165" t="s">
        <v>1069</v>
      </c>
      <c r="F1875" s="179" t="s">
        <v>1071</v>
      </c>
      <c r="G1875" s="186">
        <f ca="1">OFFSET(卡牌辅助配置表!$C$1,MATCH(AC1875,卡牌辅助配置表!A:A,0)-1,0)</f>
        <v>3</v>
      </c>
      <c r="H1875" s="186" t="e">
        <f ca="1">OFFSET(skill!$Q$1,MATCH(B1875,skill!B:B,0)-1,0)</f>
        <v>#VALUE!</v>
      </c>
      <c r="I1875" s="186"/>
      <c r="J1875" s="186">
        <f ca="1">OFFSET(card_type!$F$1,MATCH(Q1875,card_type!A:A,0)-1,0)</f>
        <v>1</v>
      </c>
      <c r="K1875" s="243">
        <f ca="1">OFFSET(card_type!$G$1,MATCH(Q1875,card_type!A:A,0)-1,0)</f>
        <v>1</v>
      </c>
      <c r="L1875" s="157">
        <v>3</v>
      </c>
      <c r="M1875" s="157">
        <v>3</v>
      </c>
      <c r="N1875" s="153">
        <f t="shared" si="316"/>
        <v>29</v>
      </c>
      <c r="O1875" s="157"/>
      <c r="P1875" s="157"/>
      <c r="Q1875" s="153">
        <f ca="1">OFFSET(card_type!$A$1,MATCH(card!B1875,card_type!B:B,0)-1,0)</f>
        <v>3011</v>
      </c>
      <c r="R1875" s="153">
        <v>1</v>
      </c>
      <c r="S1875" s="157">
        <f ca="1">ROUND(IF(R1875=0,0,IF(R1875=1,X1875*$S$1,IF(R1875=2,X1875*$S$1*buff的资质计算!$E$2,IF(R1875=3,X1875*$S$1*buff的资质计算!$E$3,0)))),0)*0</f>
        <v>0</v>
      </c>
      <c r="T1875" s="153">
        <v>2</v>
      </c>
      <c r="U1875" s="153">
        <f ca="1" t="shared" si="317"/>
        <v>11</v>
      </c>
      <c r="V1875" s="153">
        <f ca="1">ROUND((OFFSET(卡牌辅助配置表!$O$1,MATCH(U1875,卡牌辅助配置表!M:M,0)-1,0)+(N1875-1)*OFFSET(卡牌辅助配置表!$P$1,MATCH(U1875,卡牌辅助配置表!M:M,0)-1,0))*M1875,2)</f>
        <v>36.37</v>
      </c>
      <c r="W1875" s="157">
        <f ca="1">ROUND(IF(R1875=0,0,IF(R1875=1,X1875*$W$1,IF(R1875=2,X1875*$W$1*buff的资质计算!$E$2,IF(R1875=3,X1875*$W$1*buff的资质计算!$E$3,0)))),2)</f>
        <v>9.6</v>
      </c>
      <c r="X1875" s="157">
        <f ca="1" t="shared" si="312"/>
        <v>32</v>
      </c>
      <c r="Y1875" s="157" t="e">
        <f ca="1" t="shared" si="320"/>
        <v>#VALUE!</v>
      </c>
      <c r="Z1875" s="304" t="e">
        <f ca="1" t="shared" si="313"/>
        <v>#VALUE!</v>
      </c>
      <c r="AA1875" s="304">
        <f ca="1">OFFSET(卡牌辅助配置表!$AD$1,MATCH(AB1875,卡牌辅助配置表!AB:AB,0)-1,0)</f>
        <v>774</v>
      </c>
      <c r="AB1875" s="304">
        <f ca="1" t="shared" si="318"/>
        <v>1129</v>
      </c>
      <c r="AC1875" s="153">
        <v>10</v>
      </c>
      <c r="AD1875" s="153">
        <v>1</v>
      </c>
      <c r="AE1875" s="153">
        <v>1</v>
      </c>
      <c r="AF1875" s="153" t="str">
        <f ca="1" t="shared" si="311"/>
        <v>30110011|</v>
      </c>
      <c r="AI1875" s="153">
        <v>1</v>
      </c>
      <c r="AJ1875" s="205" t="str">
        <f ca="1" t="shared" si="319"/>
        <v>303011|30|;400023|14300|;</v>
      </c>
      <c r="AK1875" s="205">
        <f ca="1">OFFSET([1]item_type!$A$1,MATCH(Q1875,[1]item_type!$G:$G,0)-1,0)</f>
        <v>303011</v>
      </c>
      <c r="AL1875" s="205">
        <v>30</v>
      </c>
      <c r="AM1875" s="205">
        <f ca="1">IF(B1875=B1876,OFFSET(卡牌辅助配置表!$AE$1,MATCH(AB1875,卡牌辅助配置表!AB:AB,0),0),0)</f>
        <v>14300</v>
      </c>
      <c r="AN1875" s="153">
        <f ca="1" t="shared" si="314"/>
        <v>3011030</v>
      </c>
      <c r="AP1875" s="153" t="str">
        <f ca="1">IF(AC1875=0,0,IF(AC1875=12,0,OFFSET(effect!$N$1,MATCH(K1875,effect!M:M,0)-1,0)))</f>
        <v>kpsx_pt</v>
      </c>
    </row>
    <row r="1876" spans="1:42">
      <c r="A1876" s="153">
        <f ca="1" t="shared" si="315"/>
        <v>3011030</v>
      </c>
      <c r="B1876" s="91" t="s">
        <v>880</v>
      </c>
      <c r="C1876" s="186">
        <v>3</v>
      </c>
      <c r="D1876" s="186">
        <v>4</v>
      </c>
      <c r="E1876" s="165" t="s">
        <v>1069</v>
      </c>
      <c r="F1876" s="179" t="s">
        <v>1071</v>
      </c>
      <c r="G1876" s="186">
        <f ca="1">OFFSET(卡牌辅助配置表!$C$1,MATCH(AC1876,卡牌辅助配置表!A:A,0)-1,0)</f>
        <v>3</v>
      </c>
      <c r="H1876" s="186" t="e">
        <f ca="1">OFFSET(skill!$Q$1,MATCH(B1876,skill!B:B,0)-1,0)</f>
        <v>#VALUE!</v>
      </c>
      <c r="I1876" s="186"/>
      <c r="J1876" s="186">
        <f ca="1">OFFSET(card_type!$F$1,MATCH(Q1876,card_type!A:A,0)-1,0)</f>
        <v>1</v>
      </c>
      <c r="K1876" s="243">
        <f ca="1">OFFSET(card_type!$G$1,MATCH(Q1876,card_type!A:A,0)-1,0)</f>
        <v>1</v>
      </c>
      <c r="L1876" s="157">
        <v>3</v>
      </c>
      <c r="M1876" s="157">
        <v>3</v>
      </c>
      <c r="N1876" s="153">
        <f t="shared" si="316"/>
        <v>30</v>
      </c>
      <c r="O1876" s="157"/>
      <c r="P1876" s="157"/>
      <c r="Q1876" s="153">
        <f ca="1">OFFSET(card_type!$A$1,MATCH(card!B1876,card_type!B:B,0)-1,0)</f>
        <v>3011</v>
      </c>
      <c r="R1876" s="153">
        <v>1</v>
      </c>
      <c r="S1876" s="157">
        <f ca="1">ROUND(IF(R1876=0,0,IF(R1876=1,X1876*$S$1,IF(R1876=2,X1876*$S$1*buff的资质计算!$E$2,IF(R1876=3,X1876*$S$1*buff的资质计算!$E$3,0)))),0)*0</f>
        <v>0</v>
      </c>
      <c r="T1876" s="153">
        <v>2</v>
      </c>
      <c r="U1876" s="153">
        <f ca="1" t="shared" si="317"/>
        <v>11</v>
      </c>
      <c r="V1876" s="153">
        <f ca="1">ROUND((OFFSET(卡牌辅助配置表!$O$1,MATCH(U1876,卡牌辅助配置表!M:M,0)-1,0)+(N1876-1)*OFFSET(卡牌辅助配置表!$P$1,MATCH(U1876,卡牌辅助配置表!M:M,0)-1,0))*M1876,2)</f>
        <v>36.99</v>
      </c>
      <c r="W1876" s="157">
        <f ca="1">ROUND(IF(R1876=0,0,IF(R1876=1,X1876*$W$1,IF(R1876=2,X1876*$W$1*buff的资质计算!$E$2,IF(R1876=3,X1876*$W$1*buff的资质计算!$E$3,0)))),2)</f>
        <v>9.75</v>
      </c>
      <c r="X1876" s="157">
        <f ca="1" t="shared" si="312"/>
        <v>32.5</v>
      </c>
      <c r="Y1876" s="157" t="e">
        <f ca="1" t="shared" si="320"/>
        <v>#VALUE!</v>
      </c>
      <c r="Z1876" s="304" t="e">
        <f ca="1" t="shared" si="313"/>
        <v>#VALUE!</v>
      </c>
      <c r="AA1876" s="304">
        <f ca="1">OFFSET(卡牌辅助配置表!$AD$1,MATCH(AB1876,卡牌辅助配置表!AB:AB,0)-1,0)</f>
        <v>810</v>
      </c>
      <c r="AB1876" s="304">
        <f ca="1" t="shared" si="318"/>
        <v>1130</v>
      </c>
      <c r="AC1876" s="153">
        <v>10</v>
      </c>
      <c r="AD1876" s="153">
        <v>1</v>
      </c>
      <c r="AE1876" s="153">
        <v>1</v>
      </c>
      <c r="AF1876" s="153" t="str">
        <f ca="1" t="shared" si="311"/>
        <v>30110011|</v>
      </c>
      <c r="AI1876" s="153">
        <v>1</v>
      </c>
      <c r="AJ1876" s="205">
        <f ca="1" t="shared" si="319"/>
        <v>0</v>
      </c>
      <c r="AK1876" s="205">
        <f ca="1">OFFSET([1]item_type!$A$1,MATCH(Q1876,[1]item_type!$G:$G,0)-1,0)</f>
        <v>303011</v>
      </c>
      <c r="AL1876" s="205"/>
      <c r="AM1876" s="205">
        <f ca="1">IF(B1876=B1877,OFFSET(卡牌辅助配置表!$AE$1,MATCH(AB1876,卡牌辅助配置表!AB:AB,0),0),0)</f>
        <v>0</v>
      </c>
      <c r="AN1876" s="153">
        <f ca="1" t="shared" si="314"/>
        <v>0</v>
      </c>
      <c r="AP1876" s="153" t="str">
        <f ca="1">IF(AC1876=0,0,IF(AC1876=12,0,OFFSET(effect!$N$1,MATCH(K1876,effect!M:M,0)-1,0)))</f>
        <v>kpsx_pt</v>
      </c>
    </row>
    <row r="1877" spans="1:42">
      <c r="A1877" s="153">
        <f ca="1" t="shared" si="315"/>
        <v>3012001</v>
      </c>
      <c r="B1877" s="91" t="s">
        <v>884</v>
      </c>
      <c r="C1877" s="186">
        <v>3</v>
      </c>
      <c r="D1877" s="186">
        <v>4</v>
      </c>
      <c r="E1877" s="165" t="s">
        <v>1069</v>
      </c>
      <c r="F1877" s="165" t="str">
        <f>"叠加3层炎息，伤害增加炎息层数*"&amp;skill!$O$139/100&amp;"%"</f>
        <v>叠加3层炎息，伤害增加炎息层数*45%</v>
      </c>
      <c r="G1877" s="186">
        <f ca="1">OFFSET(卡牌辅助配置表!$C$1,MATCH(AC1877,卡牌辅助配置表!A:A,0)-1,0)</f>
        <v>0</v>
      </c>
      <c r="H1877" s="186">
        <f ca="1">OFFSET(skill!$Q$1,MATCH(B1877,skill!B:B,0)-1,0)</f>
        <v>15</v>
      </c>
      <c r="I1877" s="186"/>
      <c r="J1877" s="186">
        <f ca="1">OFFSET(card_type!$F$1,MATCH(Q1877,card_type!A:A,0)-1,0)</f>
        <v>5</v>
      </c>
      <c r="K1877" s="243">
        <f ca="1">OFFSET(card_type!$G$1,MATCH(Q1877,card_type!A:A,0)-1,0)</f>
        <v>4</v>
      </c>
      <c r="L1877" s="157">
        <v>5</v>
      </c>
      <c r="M1877" s="157">
        <v>5</v>
      </c>
      <c r="N1877" s="153">
        <f t="shared" si="316"/>
        <v>1</v>
      </c>
      <c r="O1877" s="157"/>
      <c r="P1877" s="157"/>
      <c r="Q1877" s="153">
        <f ca="1">OFFSET(card_type!$A$1,MATCH(card!B1877,card_type!B:B,0)-1,0)</f>
        <v>3012</v>
      </c>
      <c r="R1877" s="153">
        <v>1</v>
      </c>
      <c r="S1877" s="157">
        <f ca="1">ROUND(IF(R1877=0,0,IF(R1877=1,X1877*$S$1,IF(R1877=2,X1877*$S$1*buff的资质计算!$E$2,IF(R1877=3,X1877*$S$1*buff的资质计算!$E$3,0)))),0)*0</f>
        <v>0</v>
      </c>
      <c r="T1877" s="153">
        <v>5</v>
      </c>
      <c r="U1877" s="153">
        <f ca="1" t="shared" si="317"/>
        <v>54</v>
      </c>
      <c r="V1877" s="153">
        <f ca="1">ROUND((OFFSET(卡牌辅助配置表!$O$1,MATCH(U1877,卡牌辅助配置表!M:M,0)-1,0)+(N1877-1)*OFFSET(卡牌辅助配置表!$P$1,MATCH(U1877,卡牌辅助配置表!M:M,0)-1,0))*M1877,2)</f>
        <v>471.24</v>
      </c>
      <c r="W1877" s="157">
        <f ca="1">ROUND(IF(R1877=0,0,IF(R1877=1,X1877*$W$1,IF(R1877=2,X1877*$W$1*buff的资质计算!$E$2,IF(R1877=3,X1877*$W$1*buff的资质计算!$E$3,0)))),2)</f>
        <v>55.5</v>
      </c>
      <c r="X1877" s="157">
        <f ca="1" t="shared" si="312"/>
        <v>185</v>
      </c>
      <c r="Y1877" s="157">
        <f ca="1" t="shared" si="320"/>
        <v>200</v>
      </c>
      <c r="Z1877" s="304">
        <f ca="1" t="shared" si="313"/>
        <v>40</v>
      </c>
      <c r="AA1877" s="304">
        <f ca="1">OFFSET(卡牌辅助配置表!$AD$1,MATCH(AB1877,卡牌辅助配置表!AB:AB,0)-1,0)</f>
        <v>3834</v>
      </c>
      <c r="AB1877" s="304">
        <f ca="1" t="shared" si="318"/>
        <v>5401</v>
      </c>
      <c r="AC1877" s="153">
        <v>12</v>
      </c>
      <c r="AF1877" s="153" t="str">
        <f ca="1" t="shared" ref="AF1877:AF1906" si="321">((Q1877*1000+1)*10+1)&amp;$AF$1&amp;((Q1877*1000+1)*10+2)&amp;$AF$1</f>
        <v>30120011|30120012|</v>
      </c>
      <c r="AJ1877" s="205" t="str">
        <f ca="1" t="shared" si="319"/>
        <v>400023|2100|;</v>
      </c>
      <c r="AK1877" s="205">
        <f ca="1">OFFSET([1]item_type!$A$1,MATCH(Q1877,[1]item_type!$G:$G,0)-1,0)</f>
        <v>303012</v>
      </c>
      <c r="AL1877" s="205"/>
      <c r="AM1877" s="205">
        <f ca="1">IF(B1877=B1878,OFFSET(卡牌辅助配置表!$AE$1,MATCH(AB1877,卡牌辅助配置表!AB:AB,0),0),0)</f>
        <v>2100</v>
      </c>
      <c r="AN1877" s="153">
        <f ca="1" t="shared" si="314"/>
        <v>3012002</v>
      </c>
      <c r="AP1877" s="153">
        <f ca="1">IF(AC1877=0,0,IF(AC1877=12,0,OFFSET(effect!$N$1,MATCH(K1877,effect!M:M,0)-1,0)))</f>
        <v>0</v>
      </c>
    </row>
    <row r="1878" spans="1:42">
      <c r="A1878" s="153">
        <f ca="1" t="shared" si="315"/>
        <v>3012002</v>
      </c>
      <c r="B1878" s="91" t="s">
        <v>884</v>
      </c>
      <c r="C1878" s="186">
        <v>3</v>
      </c>
      <c r="D1878" s="186">
        <v>4</v>
      </c>
      <c r="E1878" s="165" t="s">
        <v>1069</v>
      </c>
      <c r="F1878" s="165" t="str">
        <f>"叠加3层炎息，伤害增加炎息层数*"&amp;skill!$O$139/100&amp;"%"</f>
        <v>叠加3层炎息，伤害增加炎息层数*45%</v>
      </c>
      <c r="G1878" s="186">
        <f ca="1">OFFSET(卡牌辅助配置表!$C$1,MATCH(AC1878,卡牌辅助配置表!A:A,0)-1,0)</f>
        <v>0</v>
      </c>
      <c r="H1878" s="186">
        <f ca="1">OFFSET(skill!$Q$1,MATCH(B1878,skill!B:B,0)-1,0)</f>
        <v>15</v>
      </c>
      <c r="I1878" s="186"/>
      <c r="J1878" s="186">
        <f ca="1">OFFSET(card_type!$F$1,MATCH(Q1878,card_type!A:A,0)-1,0)</f>
        <v>5</v>
      </c>
      <c r="K1878" s="243">
        <f ca="1">OFFSET(card_type!$G$1,MATCH(Q1878,card_type!A:A,0)-1,0)</f>
        <v>4</v>
      </c>
      <c r="L1878" s="157">
        <v>5</v>
      </c>
      <c r="M1878" s="157">
        <v>5</v>
      </c>
      <c r="N1878" s="153">
        <f t="shared" si="316"/>
        <v>2</v>
      </c>
      <c r="O1878" s="157"/>
      <c r="P1878" s="157"/>
      <c r="Q1878" s="153">
        <f ca="1">OFFSET(card_type!$A$1,MATCH(card!B1878,card_type!B:B,0)-1,0)</f>
        <v>3012</v>
      </c>
      <c r="R1878" s="153">
        <v>1</v>
      </c>
      <c r="S1878" s="157">
        <f ca="1">ROUND(IF(R1878=0,0,IF(R1878=1,X1878*$S$1,IF(R1878=2,X1878*$S$1*buff的资质计算!$E$2,IF(R1878=3,X1878*$S$1*buff的资质计算!$E$3,0)))),0)*0</f>
        <v>0</v>
      </c>
      <c r="T1878" s="153">
        <v>5</v>
      </c>
      <c r="U1878" s="153">
        <f ca="1" t="shared" si="317"/>
        <v>54</v>
      </c>
      <c r="V1878" s="153">
        <f ca="1">ROUND((OFFSET(卡牌辅助配置表!$O$1,MATCH(U1878,卡牌辅助配置表!M:M,0)-1,0)+(N1878-1)*OFFSET(卡牌辅助配置表!$P$1,MATCH(U1878,卡牌辅助配置表!M:M,0)-1,0))*M1878,2)</f>
        <v>471.24</v>
      </c>
      <c r="W1878" s="157">
        <f ca="1">ROUND(IF(R1878=0,0,IF(R1878=1,X1878*$W$1,IF(R1878=2,X1878*$W$1*buff的资质计算!$E$2,IF(R1878=3,X1878*$W$1*buff的资质计算!$E$3,0)))),2)</f>
        <v>55.65</v>
      </c>
      <c r="X1878" s="157">
        <f ca="1" t="shared" si="312"/>
        <v>185.5</v>
      </c>
      <c r="Y1878" s="157">
        <f ca="1" t="shared" si="320"/>
        <v>200.5</v>
      </c>
      <c r="Z1878" s="304">
        <f ca="1" t="shared" si="313"/>
        <v>40.1</v>
      </c>
      <c r="AA1878" s="304">
        <f ca="1">OFFSET(卡牌辅助配置表!$AD$1,MATCH(AB1878,卡牌辅助配置表!AB:AB,0)-1,0)</f>
        <v>7668</v>
      </c>
      <c r="AB1878" s="304">
        <f ca="1" t="shared" si="318"/>
        <v>5402</v>
      </c>
      <c r="AC1878" s="153">
        <v>12</v>
      </c>
      <c r="AF1878" s="153" t="str">
        <f ca="1" t="shared" si="321"/>
        <v>30120011|30120012|</v>
      </c>
      <c r="AJ1878" s="205" t="str">
        <f ca="1" t="shared" si="319"/>
        <v>400023|2700|;</v>
      </c>
      <c r="AK1878" s="205">
        <f ca="1">OFFSET([1]item_type!$A$1,MATCH(Q1878,[1]item_type!$G:$G,0)-1,0)</f>
        <v>303012</v>
      </c>
      <c r="AL1878" s="205"/>
      <c r="AM1878" s="205">
        <f ca="1">IF(B1878=B1879,OFFSET(卡牌辅助配置表!$AE$1,MATCH(AB1878,卡牌辅助配置表!AB:AB,0),0),0)</f>
        <v>2700</v>
      </c>
      <c r="AN1878" s="153">
        <f ca="1" t="shared" si="314"/>
        <v>3012003</v>
      </c>
      <c r="AP1878" s="153">
        <f ca="1">IF(AC1878=0,0,IF(AC1878=12,0,OFFSET(effect!$N$1,MATCH(K1878,effect!M:M,0)-1,0)))</f>
        <v>0</v>
      </c>
    </row>
    <row r="1879" spans="1:42">
      <c r="A1879" s="153">
        <f ca="1" t="shared" si="315"/>
        <v>3012003</v>
      </c>
      <c r="B1879" s="91" t="s">
        <v>884</v>
      </c>
      <c r="C1879" s="186">
        <v>3</v>
      </c>
      <c r="D1879" s="186">
        <v>4</v>
      </c>
      <c r="E1879" s="165" t="s">
        <v>1069</v>
      </c>
      <c r="F1879" s="165" t="str">
        <f>"叠加3层炎息，伤害增加炎息层数*"&amp;skill!$O$139/100&amp;"%"</f>
        <v>叠加3层炎息，伤害增加炎息层数*45%</v>
      </c>
      <c r="G1879" s="186">
        <f ca="1">OFFSET(卡牌辅助配置表!$C$1,MATCH(AC1879,卡牌辅助配置表!A:A,0)-1,0)</f>
        <v>0</v>
      </c>
      <c r="H1879" s="186">
        <f ca="1">OFFSET(skill!$Q$1,MATCH(B1879,skill!B:B,0)-1,0)</f>
        <v>15</v>
      </c>
      <c r="I1879" s="186"/>
      <c r="J1879" s="186">
        <f ca="1">OFFSET(card_type!$F$1,MATCH(Q1879,card_type!A:A,0)-1,0)</f>
        <v>5</v>
      </c>
      <c r="K1879" s="243">
        <f ca="1">OFFSET(card_type!$G$1,MATCH(Q1879,card_type!A:A,0)-1,0)</f>
        <v>4</v>
      </c>
      <c r="L1879" s="157">
        <v>5</v>
      </c>
      <c r="M1879" s="157">
        <v>5</v>
      </c>
      <c r="N1879" s="153">
        <f t="shared" si="316"/>
        <v>3</v>
      </c>
      <c r="O1879" s="157"/>
      <c r="P1879" s="157"/>
      <c r="Q1879" s="153">
        <f ca="1">OFFSET(card_type!$A$1,MATCH(card!B1879,card_type!B:B,0)-1,0)</f>
        <v>3012</v>
      </c>
      <c r="R1879" s="153">
        <v>1</v>
      </c>
      <c r="S1879" s="157">
        <f ca="1">ROUND(IF(R1879=0,0,IF(R1879=1,X1879*$S$1,IF(R1879=2,X1879*$S$1*buff的资质计算!$E$2,IF(R1879=3,X1879*$S$1*buff的资质计算!$E$3,0)))),0)*0</f>
        <v>0</v>
      </c>
      <c r="T1879" s="153">
        <v>5</v>
      </c>
      <c r="U1879" s="153">
        <f ca="1" t="shared" si="317"/>
        <v>54</v>
      </c>
      <c r="V1879" s="153">
        <f ca="1">ROUND((OFFSET(卡牌辅助配置表!$O$1,MATCH(U1879,卡牌辅助配置表!M:M,0)-1,0)+(N1879-1)*OFFSET(卡牌辅助配置表!$P$1,MATCH(U1879,卡牌辅助配置表!M:M,0)-1,0))*M1879,2)</f>
        <v>471.24</v>
      </c>
      <c r="W1879" s="157">
        <f ca="1">ROUND(IF(R1879=0,0,IF(R1879=1,X1879*$W$1,IF(R1879=2,X1879*$W$1*buff的资质计算!$E$2,IF(R1879=3,X1879*$W$1*buff的资质计算!$E$3,0)))),2)</f>
        <v>55.8</v>
      </c>
      <c r="X1879" s="157">
        <f ca="1" t="shared" si="312"/>
        <v>186</v>
      </c>
      <c r="Y1879" s="157">
        <f ca="1" t="shared" si="320"/>
        <v>201</v>
      </c>
      <c r="Z1879" s="304">
        <f ca="1" t="shared" si="313"/>
        <v>40.2</v>
      </c>
      <c r="AA1879" s="304">
        <f ca="1">OFFSET(卡牌辅助配置表!$AD$1,MATCH(AB1879,卡牌辅助配置表!AB:AB,0)-1,0)</f>
        <v>11502</v>
      </c>
      <c r="AB1879" s="304">
        <f ca="1" t="shared" si="318"/>
        <v>5403</v>
      </c>
      <c r="AC1879" s="153">
        <v>12</v>
      </c>
      <c r="AF1879" s="153" t="str">
        <f ca="1" t="shared" si="321"/>
        <v>30120011|30120012|</v>
      </c>
      <c r="AJ1879" s="205" t="str">
        <f ca="1" t="shared" si="319"/>
        <v>400023|3300|;</v>
      </c>
      <c r="AK1879" s="205">
        <f ca="1">OFFSET([1]item_type!$A$1,MATCH(Q1879,[1]item_type!$G:$G,0)-1,0)</f>
        <v>303012</v>
      </c>
      <c r="AL1879" s="205"/>
      <c r="AM1879" s="205">
        <f ca="1">IF(B1879=B1880,OFFSET(卡牌辅助配置表!$AE$1,MATCH(AB1879,卡牌辅助配置表!AB:AB,0),0),0)</f>
        <v>3300</v>
      </c>
      <c r="AN1879" s="153">
        <f ca="1" t="shared" si="314"/>
        <v>3012004</v>
      </c>
      <c r="AP1879" s="153">
        <f ca="1">IF(AC1879=0,0,IF(AC1879=12,0,OFFSET(effect!$N$1,MATCH(K1879,effect!M:M,0)-1,0)))</f>
        <v>0</v>
      </c>
    </row>
    <row r="1880" spans="1:42">
      <c r="A1880" s="153">
        <f ca="1" t="shared" si="315"/>
        <v>3012004</v>
      </c>
      <c r="B1880" s="91" t="s">
        <v>884</v>
      </c>
      <c r="C1880" s="186">
        <v>3</v>
      </c>
      <c r="D1880" s="186">
        <v>4</v>
      </c>
      <c r="E1880" s="165" t="s">
        <v>1069</v>
      </c>
      <c r="F1880" s="165" t="str">
        <f>"叠加3层炎息，伤害增加炎息层数*"&amp;skill!$O$139/100&amp;"%"</f>
        <v>叠加3层炎息，伤害增加炎息层数*45%</v>
      </c>
      <c r="G1880" s="186">
        <f ca="1">OFFSET(卡牌辅助配置表!$C$1,MATCH(AC1880,卡牌辅助配置表!A:A,0)-1,0)</f>
        <v>0</v>
      </c>
      <c r="H1880" s="186">
        <f ca="1">OFFSET(skill!$Q$1,MATCH(B1880,skill!B:B,0)-1,0)</f>
        <v>15</v>
      </c>
      <c r="I1880" s="186"/>
      <c r="J1880" s="186">
        <f ca="1">OFFSET(card_type!$F$1,MATCH(Q1880,card_type!A:A,0)-1,0)</f>
        <v>5</v>
      </c>
      <c r="K1880" s="243">
        <f ca="1">OFFSET(card_type!$G$1,MATCH(Q1880,card_type!A:A,0)-1,0)</f>
        <v>4</v>
      </c>
      <c r="L1880" s="157">
        <v>5</v>
      </c>
      <c r="M1880" s="157">
        <v>5</v>
      </c>
      <c r="N1880" s="153">
        <f t="shared" si="316"/>
        <v>4</v>
      </c>
      <c r="O1880" s="157"/>
      <c r="P1880" s="157"/>
      <c r="Q1880" s="153">
        <f ca="1">OFFSET(card_type!$A$1,MATCH(card!B1880,card_type!B:B,0)-1,0)</f>
        <v>3012</v>
      </c>
      <c r="R1880" s="153">
        <v>1</v>
      </c>
      <c r="S1880" s="157">
        <f ca="1">ROUND(IF(R1880=0,0,IF(R1880=1,X1880*$S$1,IF(R1880=2,X1880*$S$1*buff的资质计算!$E$2,IF(R1880=3,X1880*$S$1*buff的资质计算!$E$3,0)))),0)*0</f>
        <v>0</v>
      </c>
      <c r="T1880" s="153">
        <v>5</v>
      </c>
      <c r="U1880" s="153">
        <f ca="1" t="shared" si="317"/>
        <v>54</v>
      </c>
      <c r="V1880" s="153">
        <f ca="1">ROUND((OFFSET(卡牌辅助配置表!$O$1,MATCH(U1880,卡牌辅助配置表!M:M,0)-1,0)+(N1880-1)*OFFSET(卡牌辅助配置表!$P$1,MATCH(U1880,卡牌辅助配置表!M:M,0)-1,0))*M1880,2)</f>
        <v>471.24</v>
      </c>
      <c r="W1880" s="157">
        <f ca="1">ROUND(IF(R1880=0,0,IF(R1880=1,X1880*$W$1,IF(R1880=2,X1880*$W$1*buff的资质计算!$E$2,IF(R1880=3,X1880*$W$1*buff的资质计算!$E$3,0)))),2)</f>
        <v>55.95</v>
      </c>
      <c r="X1880" s="157">
        <f ca="1" t="shared" si="312"/>
        <v>186.5</v>
      </c>
      <c r="Y1880" s="157">
        <f ca="1" t="shared" si="320"/>
        <v>201.5</v>
      </c>
      <c r="Z1880" s="304">
        <f ca="1" t="shared" si="313"/>
        <v>40.3</v>
      </c>
      <c r="AA1880" s="304">
        <f ca="1">OFFSET(卡牌辅助配置表!$AD$1,MATCH(AB1880,卡牌辅助配置表!AB:AB,0)-1,0)</f>
        <v>15336</v>
      </c>
      <c r="AB1880" s="304">
        <f ca="1" t="shared" si="318"/>
        <v>5404</v>
      </c>
      <c r="AC1880" s="153">
        <v>12</v>
      </c>
      <c r="AF1880" s="153" t="str">
        <f ca="1" t="shared" si="321"/>
        <v>30120011|30120012|</v>
      </c>
      <c r="AJ1880" s="205" t="str">
        <f ca="1" t="shared" si="319"/>
        <v>400023|3900|;</v>
      </c>
      <c r="AK1880" s="205">
        <f ca="1">OFFSET([1]item_type!$A$1,MATCH(Q1880,[1]item_type!$G:$G,0)-1,0)</f>
        <v>303012</v>
      </c>
      <c r="AL1880" s="205"/>
      <c r="AM1880" s="205">
        <f ca="1">IF(B1880=B1881,OFFSET(卡牌辅助配置表!$AE$1,MATCH(AB1880,卡牌辅助配置表!AB:AB,0),0),0)</f>
        <v>3900</v>
      </c>
      <c r="AN1880" s="153">
        <f ca="1" t="shared" si="314"/>
        <v>3012005</v>
      </c>
      <c r="AP1880" s="153">
        <f ca="1">IF(AC1880=0,0,IF(AC1880=12,0,OFFSET(effect!$N$1,MATCH(K1880,effect!M:M,0)-1,0)))</f>
        <v>0</v>
      </c>
    </row>
    <row r="1881" spans="1:42">
      <c r="A1881" s="153">
        <f ca="1" t="shared" si="315"/>
        <v>3012005</v>
      </c>
      <c r="B1881" s="91" t="s">
        <v>884</v>
      </c>
      <c r="C1881" s="186">
        <v>3</v>
      </c>
      <c r="D1881" s="186">
        <v>4</v>
      </c>
      <c r="E1881" s="165" t="s">
        <v>1069</v>
      </c>
      <c r="F1881" s="165" t="str">
        <f>"叠加3层炎息，伤害增加炎息层数*"&amp;skill!$O$139/100&amp;"%"</f>
        <v>叠加3层炎息，伤害增加炎息层数*45%</v>
      </c>
      <c r="G1881" s="186">
        <f ca="1">OFFSET(卡牌辅助配置表!$C$1,MATCH(AC1881,卡牌辅助配置表!A:A,0)-1,0)</f>
        <v>0</v>
      </c>
      <c r="H1881" s="186">
        <f ca="1">OFFSET(skill!$Q$1,MATCH(B1881,skill!B:B,0)-1,0)</f>
        <v>15</v>
      </c>
      <c r="I1881" s="186"/>
      <c r="J1881" s="186">
        <f ca="1">OFFSET(card_type!$F$1,MATCH(Q1881,card_type!A:A,0)-1,0)</f>
        <v>5</v>
      </c>
      <c r="K1881" s="243">
        <f ca="1">OFFSET(card_type!$G$1,MATCH(Q1881,card_type!A:A,0)-1,0)</f>
        <v>4</v>
      </c>
      <c r="L1881" s="157">
        <v>5</v>
      </c>
      <c r="M1881" s="157">
        <v>5</v>
      </c>
      <c r="N1881" s="153">
        <f t="shared" si="316"/>
        <v>5</v>
      </c>
      <c r="O1881" s="157"/>
      <c r="P1881" s="157"/>
      <c r="Q1881" s="153">
        <f ca="1">OFFSET(card_type!$A$1,MATCH(card!B1881,card_type!B:B,0)-1,0)</f>
        <v>3012</v>
      </c>
      <c r="R1881" s="153">
        <v>1</v>
      </c>
      <c r="S1881" s="157">
        <f ca="1">ROUND(IF(R1881=0,0,IF(R1881=1,X1881*$S$1,IF(R1881=2,X1881*$S$1*buff的资质计算!$E$2,IF(R1881=3,X1881*$S$1*buff的资质计算!$E$3,0)))),0)*0</f>
        <v>0</v>
      </c>
      <c r="T1881" s="153">
        <v>5</v>
      </c>
      <c r="U1881" s="153">
        <f ca="1" t="shared" si="317"/>
        <v>54</v>
      </c>
      <c r="V1881" s="153">
        <f ca="1">ROUND((OFFSET(卡牌辅助配置表!$O$1,MATCH(U1881,卡牌辅助配置表!M:M,0)-1,0)+(N1881-1)*OFFSET(卡牌辅助配置表!$P$1,MATCH(U1881,卡牌辅助配置表!M:M,0)-1,0))*M1881,2)</f>
        <v>471.24</v>
      </c>
      <c r="W1881" s="157">
        <f ca="1">ROUND(IF(R1881=0,0,IF(R1881=1,X1881*$W$1,IF(R1881=2,X1881*$W$1*buff的资质计算!$E$2,IF(R1881=3,X1881*$W$1*buff的资质计算!$E$3,0)))),2)</f>
        <v>56.1</v>
      </c>
      <c r="X1881" s="157">
        <f ca="1" t="shared" si="312"/>
        <v>187</v>
      </c>
      <c r="Y1881" s="157">
        <f ca="1" t="shared" si="320"/>
        <v>202</v>
      </c>
      <c r="Z1881" s="304">
        <f ca="1" t="shared" si="313"/>
        <v>40.4</v>
      </c>
      <c r="AA1881" s="304">
        <f ca="1">OFFSET(卡牌辅助配置表!$AD$1,MATCH(AB1881,卡牌辅助配置表!AB:AB,0)-1,0)</f>
        <v>19170</v>
      </c>
      <c r="AB1881" s="304">
        <f ca="1" t="shared" si="318"/>
        <v>5405</v>
      </c>
      <c r="AC1881" s="153">
        <v>12</v>
      </c>
      <c r="AF1881" s="153" t="str">
        <f ca="1" t="shared" si="321"/>
        <v>30120011|30120012|</v>
      </c>
      <c r="AJ1881" s="205" t="str">
        <f ca="1" t="shared" si="319"/>
        <v>400023|4500|;</v>
      </c>
      <c r="AK1881" s="205">
        <f ca="1">OFFSET([1]item_type!$A$1,MATCH(Q1881,[1]item_type!$G:$G,0)-1,0)</f>
        <v>303012</v>
      </c>
      <c r="AL1881" s="205"/>
      <c r="AM1881" s="205">
        <f ca="1">IF(B1881=B1882,OFFSET(卡牌辅助配置表!$AE$1,MATCH(AB1881,卡牌辅助配置表!AB:AB,0),0),0)</f>
        <v>4500</v>
      </c>
      <c r="AN1881" s="153">
        <f ca="1" t="shared" si="314"/>
        <v>3012006</v>
      </c>
      <c r="AP1881" s="153">
        <f ca="1">IF(AC1881=0,0,IF(AC1881=12,0,OFFSET(effect!$N$1,MATCH(K1881,effect!M:M,0)-1,0)))</f>
        <v>0</v>
      </c>
    </row>
    <row r="1882" spans="1:42">
      <c r="A1882" s="153">
        <f ca="1" t="shared" si="315"/>
        <v>3012006</v>
      </c>
      <c r="B1882" s="91" t="s">
        <v>884</v>
      </c>
      <c r="C1882" s="186">
        <v>3</v>
      </c>
      <c r="D1882" s="186">
        <v>4</v>
      </c>
      <c r="E1882" s="165" t="s">
        <v>1069</v>
      </c>
      <c r="F1882" s="165" t="str">
        <f>"叠加3层炎息，伤害增加炎息层数*"&amp;skill!$O$139/100&amp;"%"</f>
        <v>叠加3层炎息，伤害增加炎息层数*45%</v>
      </c>
      <c r="G1882" s="186">
        <f ca="1">OFFSET(卡牌辅助配置表!$C$1,MATCH(AC1882,卡牌辅助配置表!A:A,0)-1,0)</f>
        <v>0</v>
      </c>
      <c r="H1882" s="186">
        <f ca="1">OFFSET(skill!$Q$1,MATCH(B1882,skill!B:B,0)-1,0)</f>
        <v>15</v>
      </c>
      <c r="I1882" s="186"/>
      <c r="J1882" s="186">
        <f ca="1">OFFSET(card_type!$F$1,MATCH(Q1882,card_type!A:A,0)-1,0)</f>
        <v>5</v>
      </c>
      <c r="K1882" s="243">
        <f ca="1">OFFSET(card_type!$G$1,MATCH(Q1882,card_type!A:A,0)-1,0)</f>
        <v>4</v>
      </c>
      <c r="L1882" s="157">
        <v>5</v>
      </c>
      <c r="M1882" s="157">
        <v>5</v>
      </c>
      <c r="N1882" s="153">
        <f t="shared" si="316"/>
        <v>6</v>
      </c>
      <c r="O1882" s="157"/>
      <c r="P1882" s="157"/>
      <c r="Q1882" s="153">
        <f ca="1">OFFSET(card_type!$A$1,MATCH(card!B1882,card_type!B:B,0)-1,0)</f>
        <v>3012</v>
      </c>
      <c r="R1882" s="153">
        <v>1</v>
      </c>
      <c r="S1882" s="157">
        <f ca="1">ROUND(IF(R1882=0,0,IF(R1882=1,X1882*$S$1,IF(R1882=2,X1882*$S$1*buff的资质计算!$E$2,IF(R1882=3,X1882*$S$1*buff的资质计算!$E$3,0)))),0)*0</f>
        <v>0</v>
      </c>
      <c r="T1882" s="153">
        <v>5</v>
      </c>
      <c r="U1882" s="153">
        <f ca="1" t="shared" si="317"/>
        <v>54</v>
      </c>
      <c r="V1882" s="153">
        <f ca="1">ROUND((OFFSET(卡牌辅助配置表!$O$1,MATCH(U1882,卡牌辅助配置表!M:M,0)-1,0)+(N1882-1)*OFFSET(卡牌辅助配置表!$P$1,MATCH(U1882,卡牌辅助配置表!M:M,0)-1,0))*M1882,2)</f>
        <v>471.24</v>
      </c>
      <c r="W1882" s="157">
        <f ca="1">ROUND(IF(R1882=0,0,IF(R1882=1,X1882*$W$1,IF(R1882=2,X1882*$W$1*buff的资质计算!$E$2,IF(R1882=3,X1882*$W$1*buff的资质计算!$E$3,0)))),2)</f>
        <v>56.25</v>
      </c>
      <c r="X1882" s="157">
        <f ca="1" t="shared" si="312"/>
        <v>187.5</v>
      </c>
      <c r="Y1882" s="157">
        <f ca="1" t="shared" si="320"/>
        <v>202.5</v>
      </c>
      <c r="Z1882" s="304">
        <f ca="1" t="shared" si="313"/>
        <v>40.5</v>
      </c>
      <c r="AA1882" s="304">
        <f ca="1">OFFSET(卡牌辅助配置表!$AD$1,MATCH(AB1882,卡牌辅助配置表!AB:AB,0)-1,0)</f>
        <v>23004</v>
      </c>
      <c r="AB1882" s="304">
        <f ca="1" t="shared" si="318"/>
        <v>5406</v>
      </c>
      <c r="AC1882" s="153">
        <v>12</v>
      </c>
      <c r="AF1882" s="153" t="str">
        <f ca="1" t="shared" si="321"/>
        <v>30120011|30120012|</v>
      </c>
      <c r="AJ1882" s="205" t="str">
        <f ca="1" t="shared" si="319"/>
        <v>400023|5100|;</v>
      </c>
      <c r="AK1882" s="205">
        <f ca="1">OFFSET([1]item_type!$A$1,MATCH(Q1882,[1]item_type!$G:$G,0)-1,0)</f>
        <v>303012</v>
      </c>
      <c r="AL1882" s="205"/>
      <c r="AM1882" s="205">
        <f ca="1">IF(B1882=B1883,OFFSET(卡牌辅助配置表!$AE$1,MATCH(AB1882,卡牌辅助配置表!AB:AB,0),0),0)</f>
        <v>5100</v>
      </c>
      <c r="AN1882" s="153">
        <f ca="1" t="shared" si="314"/>
        <v>3012007</v>
      </c>
      <c r="AP1882" s="153">
        <f ca="1">IF(AC1882=0,0,IF(AC1882=12,0,OFFSET(effect!$N$1,MATCH(K1882,effect!M:M,0)-1,0)))</f>
        <v>0</v>
      </c>
    </row>
    <row r="1883" spans="1:42">
      <c r="A1883" s="153">
        <f ca="1" t="shared" si="315"/>
        <v>3012007</v>
      </c>
      <c r="B1883" s="91" t="s">
        <v>884</v>
      </c>
      <c r="C1883" s="186">
        <v>3</v>
      </c>
      <c r="D1883" s="186">
        <v>4</v>
      </c>
      <c r="E1883" s="165" t="s">
        <v>1069</v>
      </c>
      <c r="F1883" s="165" t="str">
        <f>"叠加3层炎息，伤害增加炎息层数*"&amp;skill!$O$139/100&amp;"%"</f>
        <v>叠加3层炎息，伤害增加炎息层数*45%</v>
      </c>
      <c r="G1883" s="186">
        <f ca="1">OFFSET(卡牌辅助配置表!$C$1,MATCH(AC1883,卡牌辅助配置表!A:A,0)-1,0)</f>
        <v>0</v>
      </c>
      <c r="H1883" s="186">
        <f ca="1">OFFSET(skill!$Q$1,MATCH(B1883,skill!B:B,0)-1,0)</f>
        <v>15</v>
      </c>
      <c r="I1883" s="186"/>
      <c r="J1883" s="186">
        <f ca="1">OFFSET(card_type!$F$1,MATCH(Q1883,card_type!A:A,0)-1,0)</f>
        <v>5</v>
      </c>
      <c r="K1883" s="243">
        <f ca="1">OFFSET(card_type!$G$1,MATCH(Q1883,card_type!A:A,0)-1,0)</f>
        <v>4</v>
      </c>
      <c r="L1883" s="157">
        <v>5</v>
      </c>
      <c r="M1883" s="157">
        <v>5</v>
      </c>
      <c r="N1883" s="153">
        <f t="shared" si="316"/>
        <v>7</v>
      </c>
      <c r="O1883" s="157"/>
      <c r="P1883" s="157"/>
      <c r="Q1883" s="153">
        <f ca="1">OFFSET(card_type!$A$1,MATCH(card!B1883,card_type!B:B,0)-1,0)</f>
        <v>3012</v>
      </c>
      <c r="R1883" s="153">
        <v>1</v>
      </c>
      <c r="S1883" s="157">
        <f ca="1">ROUND(IF(R1883=0,0,IF(R1883=1,X1883*$S$1,IF(R1883=2,X1883*$S$1*buff的资质计算!$E$2,IF(R1883=3,X1883*$S$1*buff的资质计算!$E$3,0)))),0)*0</f>
        <v>0</v>
      </c>
      <c r="T1883" s="153">
        <v>5</v>
      </c>
      <c r="U1883" s="153">
        <f ca="1" t="shared" si="317"/>
        <v>54</v>
      </c>
      <c r="V1883" s="153">
        <f ca="1">ROUND((OFFSET(卡牌辅助配置表!$O$1,MATCH(U1883,卡牌辅助配置表!M:M,0)-1,0)+(N1883-1)*OFFSET(卡牌辅助配置表!$P$1,MATCH(U1883,卡牌辅助配置表!M:M,0)-1,0))*M1883,2)</f>
        <v>471.24</v>
      </c>
      <c r="W1883" s="157">
        <f ca="1">ROUND(IF(R1883=0,0,IF(R1883=1,X1883*$W$1,IF(R1883=2,X1883*$W$1*buff的资质计算!$E$2,IF(R1883=3,X1883*$W$1*buff的资质计算!$E$3,0)))),2)</f>
        <v>56.4</v>
      </c>
      <c r="X1883" s="157">
        <f ca="1" t="shared" si="312"/>
        <v>188</v>
      </c>
      <c r="Y1883" s="157">
        <f ca="1" t="shared" si="320"/>
        <v>203</v>
      </c>
      <c r="Z1883" s="304">
        <f ca="1" t="shared" si="313"/>
        <v>40.6</v>
      </c>
      <c r="AA1883" s="304">
        <f ca="1">OFFSET(卡牌辅助配置表!$AD$1,MATCH(AB1883,卡牌辅助配置表!AB:AB,0)-1,0)</f>
        <v>26838</v>
      </c>
      <c r="AB1883" s="304">
        <f ca="1" t="shared" si="318"/>
        <v>5407</v>
      </c>
      <c r="AC1883" s="153">
        <v>12</v>
      </c>
      <c r="AF1883" s="153" t="str">
        <f ca="1" t="shared" si="321"/>
        <v>30120011|30120012|</v>
      </c>
      <c r="AJ1883" s="205" t="str">
        <f ca="1" t="shared" si="319"/>
        <v>400023|5700|;</v>
      </c>
      <c r="AK1883" s="205">
        <f ca="1">OFFSET([1]item_type!$A$1,MATCH(Q1883,[1]item_type!$G:$G,0)-1,0)</f>
        <v>303012</v>
      </c>
      <c r="AL1883" s="205"/>
      <c r="AM1883" s="205">
        <f ca="1">IF(B1883=B1884,OFFSET(卡牌辅助配置表!$AE$1,MATCH(AB1883,卡牌辅助配置表!AB:AB,0),0),0)</f>
        <v>5700</v>
      </c>
      <c r="AN1883" s="153">
        <f ca="1" t="shared" si="314"/>
        <v>3012008</v>
      </c>
      <c r="AP1883" s="153">
        <f ca="1">IF(AC1883=0,0,IF(AC1883=12,0,OFFSET(effect!$N$1,MATCH(K1883,effect!M:M,0)-1,0)))</f>
        <v>0</v>
      </c>
    </row>
    <row r="1884" spans="1:42">
      <c r="A1884" s="153">
        <f ca="1" t="shared" si="315"/>
        <v>3012008</v>
      </c>
      <c r="B1884" s="91" t="s">
        <v>884</v>
      </c>
      <c r="C1884" s="186">
        <v>3</v>
      </c>
      <c r="D1884" s="186">
        <v>4</v>
      </c>
      <c r="E1884" s="165" t="s">
        <v>1069</v>
      </c>
      <c r="F1884" s="165" t="str">
        <f>"叠加3层炎息，伤害增加炎息层数*"&amp;skill!$O$139/100&amp;"%"</f>
        <v>叠加3层炎息，伤害增加炎息层数*45%</v>
      </c>
      <c r="G1884" s="186">
        <f ca="1">OFFSET(卡牌辅助配置表!$C$1,MATCH(AC1884,卡牌辅助配置表!A:A,0)-1,0)</f>
        <v>0</v>
      </c>
      <c r="H1884" s="186">
        <f ca="1">OFFSET(skill!$Q$1,MATCH(B1884,skill!B:B,0)-1,0)</f>
        <v>15</v>
      </c>
      <c r="I1884" s="186"/>
      <c r="J1884" s="186">
        <f ca="1">OFFSET(card_type!$F$1,MATCH(Q1884,card_type!A:A,0)-1,0)</f>
        <v>5</v>
      </c>
      <c r="K1884" s="243">
        <f ca="1">OFFSET(card_type!$G$1,MATCH(Q1884,card_type!A:A,0)-1,0)</f>
        <v>4</v>
      </c>
      <c r="L1884" s="157">
        <v>5</v>
      </c>
      <c r="M1884" s="157">
        <v>5</v>
      </c>
      <c r="N1884" s="153">
        <f t="shared" si="316"/>
        <v>8</v>
      </c>
      <c r="O1884" s="157"/>
      <c r="P1884" s="157"/>
      <c r="Q1884" s="153">
        <f ca="1">OFFSET(card_type!$A$1,MATCH(card!B1884,card_type!B:B,0)-1,0)</f>
        <v>3012</v>
      </c>
      <c r="R1884" s="153">
        <v>1</v>
      </c>
      <c r="S1884" s="157">
        <f ca="1">ROUND(IF(R1884=0,0,IF(R1884=1,X1884*$S$1,IF(R1884=2,X1884*$S$1*buff的资质计算!$E$2,IF(R1884=3,X1884*$S$1*buff的资质计算!$E$3,0)))),0)*0</f>
        <v>0</v>
      </c>
      <c r="T1884" s="153">
        <v>5</v>
      </c>
      <c r="U1884" s="153">
        <f ca="1" t="shared" si="317"/>
        <v>54</v>
      </c>
      <c r="V1884" s="153">
        <f ca="1">ROUND((OFFSET(卡牌辅助配置表!$O$1,MATCH(U1884,卡牌辅助配置表!M:M,0)-1,0)+(N1884-1)*OFFSET(卡牌辅助配置表!$P$1,MATCH(U1884,卡牌辅助配置表!M:M,0)-1,0))*M1884,2)</f>
        <v>471.24</v>
      </c>
      <c r="W1884" s="157">
        <f ca="1">ROUND(IF(R1884=0,0,IF(R1884=1,X1884*$W$1,IF(R1884=2,X1884*$W$1*buff的资质计算!$E$2,IF(R1884=3,X1884*$W$1*buff的资质计算!$E$3,0)))),2)</f>
        <v>56.55</v>
      </c>
      <c r="X1884" s="157">
        <f ca="1" t="shared" si="312"/>
        <v>188.5</v>
      </c>
      <c r="Y1884" s="157">
        <f ca="1" t="shared" si="320"/>
        <v>203.5</v>
      </c>
      <c r="Z1884" s="304">
        <f ca="1" t="shared" si="313"/>
        <v>40.7</v>
      </c>
      <c r="AA1884" s="304">
        <f ca="1">OFFSET(卡牌辅助配置表!$AD$1,MATCH(AB1884,卡牌辅助配置表!AB:AB,0)-1,0)</f>
        <v>30672</v>
      </c>
      <c r="AB1884" s="304">
        <f ca="1" t="shared" si="318"/>
        <v>5408</v>
      </c>
      <c r="AC1884" s="153">
        <v>12</v>
      </c>
      <c r="AF1884" s="153" t="str">
        <f ca="1" t="shared" si="321"/>
        <v>30120011|30120012|</v>
      </c>
      <c r="AJ1884" s="205" t="str">
        <f ca="1" t="shared" si="319"/>
        <v>400023|6300|;</v>
      </c>
      <c r="AK1884" s="205">
        <f ca="1">OFFSET([1]item_type!$A$1,MATCH(Q1884,[1]item_type!$G:$G,0)-1,0)</f>
        <v>303012</v>
      </c>
      <c r="AL1884" s="205"/>
      <c r="AM1884" s="205">
        <f ca="1">IF(B1884=B1885,OFFSET(卡牌辅助配置表!$AE$1,MATCH(AB1884,卡牌辅助配置表!AB:AB,0),0),0)</f>
        <v>6300</v>
      </c>
      <c r="AN1884" s="153">
        <f ca="1" t="shared" si="314"/>
        <v>3012009</v>
      </c>
      <c r="AP1884" s="153">
        <f ca="1">IF(AC1884=0,0,IF(AC1884=12,0,OFFSET(effect!$N$1,MATCH(K1884,effect!M:M,0)-1,0)))</f>
        <v>0</v>
      </c>
    </row>
    <row r="1885" spans="1:42">
      <c r="A1885" s="153">
        <f ca="1" t="shared" si="315"/>
        <v>3012009</v>
      </c>
      <c r="B1885" s="91" t="s">
        <v>884</v>
      </c>
      <c r="C1885" s="186">
        <v>3</v>
      </c>
      <c r="D1885" s="186">
        <v>4</v>
      </c>
      <c r="E1885" s="165" t="s">
        <v>1069</v>
      </c>
      <c r="F1885" s="165" t="str">
        <f>"叠加3层炎息，伤害增加炎息层数*"&amp;skill!$O$139/100&amp;"%"</f>
        <v>叠加3层炎息，伤害增加炎息层数*45%</v>
      </c>
      <c r="G1885" s="186">
        <f ca="1">OFFSET(卡牌辅助配置表!$C$1,MATCH(AC1885,卡牌辅助配置表!A:A,0)-1,0)</f>
        <v>0</v>
      </c>
      <c r="H1885" s="186">
        <f ca="1">OFFSET(skill!$Q$1,MATCH(B1885,skill!B:B,0)-1,0)</f>
        <v>15</v>
      </c>
      <c r="I1885" s="186"/>
      <c r="J1885" s="186">
        <f ca="1">OFFSET(card_type!$F$1,MATCH(Q1885,card_type!A:A,0)-1,0)</f>
        <v>5</v>
      </c>
      <c r="K1885" s="243">
        <f ca="1">OFFSET(card_type!$G$1,MATCH(Q1885,card_type!A:A,0)-1,0)</f>
        <v>4</v>
      </c>
      <c r="L1885" s="157">
        <v>5</v>
      </c>
      <c r="M1885" s="157">
        <v>5</v>
      </c>
      <c r="N1885" s="153">
        <f t="shared" si="316"/>
        <v>9</v>
      </c>
      <c r="O1885" s="157"/>
      <c r="P1885" s="157"/>
      <c r="Q1885" s="153">
        <f ca="1">OFFSET(card_type!$A$1,MATCH(card!B1885,card_type!B:B,0)-1,0)</f>
        <v>3012</v>
      </c>
      <c r="R1885" s="153">
        <v>1</v>
      </c>
      <c r="S1885" s="157">
        <f ca="1">ROUND(IF(R1885=0,0,IF(R1885=1,X1885*$S$1,IF(R1885=2,X1885*$S$1*buff的资质计算!$E$2,IF(R1885=3,X1885*$S$1*buff的资质计算!$E$3,0)))),0)*0</f>
        <v>0</v>
      </c>
      <c r="T1885" s="153">
        <v>5</v>
      </c>
      <c r="U1885" s="153">
        <f ca="1" t="shared" si="317"/>
        <v>54</v>
      </c>
      <c r="V1885" s="153">
        <f ca="1">ROUND((OFFSET(卡牌辅助配置表!$O$1,MATCH(U1885,卡牌辅助配置表!M:M,0)-1,0)+(N1885-1)*OFFSET(卡牌辅助配置表!$P$1,MATCH(U1885,卡牌辅助配置表!M:M,0)-1,0))*M1885,2)</f>
        <v>471.24</v>
      </c>
      <c r="W1885" s="157">
        <f ca="1">ROUND(IF(R1885=0,0,IF(R1885=1,X1885*$W$1,IF(R1885=2,X1885*$W$1*buff的资质计算!$E$2,IF(R1885=3,X1885*$W$1*buff的资质计算!$E$3,0)))),2)</f>
        <v>56.7</v>
      </c>
      <c r="X1885" s="157">
        <f ca="1" t="shared" si="312"/>
        <v>189</v>
      </c>
      <c r="Y1885" s="157">
        <f ca="1" t="shared" si="320"/>
        <v>204</v>
      </c>
      <c r="Z1885" s="304">
        <f ca="1" t="shared" si="313"/>
        <v>40.8</v>
      </c>
      <c r="AA1885" s="304">
        <f ca="1">OFFSET(卡牌辅助配置表!$AD$1,MATCH(AB1885,卡牌辅助配置表!AB:AB,0)-1,0)</f>
        <v>34506</v>
      </c>
      <c r="AB1885" s="304">
        <f ca="1" t="shared" si="318"/>
        <v>5409</v>
      </c>
      <c r="AC1885" s="153">
        <v>12</v>
      </c>
      <c r="AF1885" s="153" t="str">
        <f ca="1" t="shared" si="321"/>
        <v>30120011|30120012|</v>
      </c>
      <c r="AJ1885" s="205" t="str">
        <f ca="1" t="shared" si="319"/>
        <v>303012|15|;400023|6900|;</v>
      </c>
      <c r="AK1885" s="205">
        <f ca="1">OFFSET([1]item_type!$A$1,MATCH(Q1885,[1]item_type!$G:$G,0)-1,0)</f>
        <v>303012</v>
      </c>
      <c r="AL1885" s="205">
        <v>15</v>
      </c>
      <c r="AM1885" s="205">
        <f ca="1">IF(B1885=B1886,OFFSET(卡牌辅助配置表!$AE$1,MATCH(AB1885,卡牌辅助配置表!AB:AB,0),0),0)</f>
        <v>6900</v>
      </c>
      <c r="AN1885" s="153">
        <f ca="1" t="shared" si="314"/>
        <v>3012010</v>
      </c>
      <c r="AP1885" s="153">
        <f ca="1">IF(AC1885=0,0,IF(AC1885=12,0,OFFSET(effect!$N$1,MATCH(K1885,effect!M:M,0)-1,0)))</f>
        <v>0</v>
      </c>
    </row>
    <row r="1886" spans="1:42">
      <c r="A1886" s="153">
        <f ca="1" t="shared" si="315"/>
        <v>3012010</v>
      </c>
      <c r="B1886" s="91" t="s">
        <v>884</v>
      </c>
      <c r="C1886" s="186">
        <v>3</v>
      </c>
      <c r="D1886" s="186">
        <v>4</v>
      </c>
      <c r="E1886" s="165" t="s">
        <v>1069</v>
      </c>
      <c r="F1886" s="165" t="str">
        <f>"叠加3层炎息，伤害增加炎息层数*"&amp;skill!$O$139/100&amp;"%"</f>
        <v>叠加3层炎息，伤害增加炎息层数*45%</v>
      </c>
      <c r="G1886" s="186">
        <f ca="1">OFFSET(卡牌辅助配置表!$C$1,MATCH(AC1886,卡牌辅助配置表!A:A,0)-1,0)</f>
        <v>0</v>
      </c>
      <c r="H1886" s="186">
        <f ca="1">OFFSET(skill!$Q$1,MATCH(B1886,skill!B:B,0)-1,0)</f>
        <v>15</v>
      </c>
      <c r="I1886" s="186"/>
      <c r="J1886" s="186">
        <f ca="1">OFFSET(card_type!$F$1,MATCH(Q1886,card_type!A:A,0)-1,0)</f>
        <v>5</v>
      </c>
      <c r="K1886" s="243">
        <f ca="1">OFFSET(card_type!$G$1,MATCH(Q1886,card_type!A:A,0)-1,0)</f>
        <v>4</v>
      </c>
      <c r="L1886" s="157">
        <v>5</v>
      </c>
      <c r="M1886" s="157">
        <v>5</v>
      </c>
      <c r="N1886" s="153">
        <f t="shared" si="316"/>
        <v>10</v>
      </c>
      <c r="O1886" s="157"/>
      <c r="P1886" s="157"/>
      <c r="Q1886" s="153">
        <f ca="1">OFFSET(card_type!$A$1,MATCH(card!B1886,card_type!B:B,0)-1,0)</f>
        <v>3012</v>
      </c>
      <c r="R1886" s="153">
        <v>1</v>
      </c>
      <c r="S1886" s="157">
        <f ca="1">ROUND(IF(R1886=0,0,IF(R1886=1,X1886*$S$1,IF(R1886=2,X1886*$S$1*buff的资质计算!$E$2,IF(R1886=3,X1886*$S$1*buff的资质计算!$E$3,0)))),0)*0</f>
        <v>0</v>
      </c>
      <c r="T1886" s="153">
        <v>5</v>
      </c>
      <c r="U1886" s="153">
        <f ca="1" t="shared" si="317"/>
        <v>54</v>
      </c>
      <c r="V1886" s="153">
        <f ca="1">ROUND((OFFSET(卡牌辅助配置表!$O$1,MATCH(U1886,卡牌辅助配置表!M:M,0)-1,0)+(N1886-1)*OFFSET(卡牌辅助配置表!$P$1,MATCH(U1886,卡牌辅助配置表!M:M,0)-1,0))*M1886,2)</f>
        <v>471.24</v>
      </c>
      <c r="W1886" s="157">
        <f ca="1">ROUND(IF(R1886=0,0,IF(R1886=1,X1886*$W$1,IF(R1886=2,X1886*$W$1*buff的资质计算!$E$2,IF(R1886=3,X1886*$W$1*buff的资质计算!$E$3,0)))),2)</f>
        <v>56.85</v>
      </c>
      <c r="X1886" s="157">
        <f ca="1" t="shared" si="312"/>
        <v>189.5</v>
      </c>
      <c r="Y1886" s="157">
        <f ca="1" t="shared" si="320"/>
        <v>204.5</v>
      </c>
      <c r="Z1886" s="304">
        <f ca="1" t="shared" si="313"/>
        <v>40.9</v>
      </c>
      <c r="AA1886" s="304">
        <f ca="1">OFFSET(卡牌辅助配置表!$AD$1,MATCH(AB1886,卡牌辅助配置表!AB:AB,0)-1,0)</f>
        <v>38340</v>
      </c>
      <c r="AB1886" s="304">
        <f ca="1" t="shared" si="318"/>
        <v>5410</v>
      </c>
      <c r="AC1886" s="153">
        <v>12</v>
      </c>
      <c r="AF1886" s="153" t="str">
        <f ca="1" t="shared" si="321"/>
        <v>30120011|30120012|</v>
      </c>
      <c r="AJ1886" s="205" t="str">
        <f ca="1" t="shared" si="319"/>
        <v>400023|8100|;</v>
      </c>
      <c r="AK1886" s="205">
        <f ca="1">OFFSET([1]item_type!$A$1,MATCH(Q1886,[1]item_type!$G:$G,0)-1,0)</f>
        <v>303012</v>
      </c>
      <c r="AL1886" s="205"/>
      <c r="AM1886" s="205">
        <f ca="1">IF(B1886=B1887,OFFSET(卡牌辅助配置表!$AE$1,MATCH(AB1886,卡牌辅助配置表!AB:AB,0),0),0)</f>
        <v>8100</v>
      </c>
      <c r="AN1886" s="153">
        <f ca="1" t="shared" si="314"/>
        <v>3012011</v>
      </c>
      <c r="AP1886" s="153">
        <f ca="1">IF(AC1886=0,0,IF(AC1886=12,0,OFFSET(effect!$N$1,MATCH(K1886,effect!M:M,0)-1,0)))</f>
        <v>0</v>
      </c>
    </row>
    <row r="1887" spans="1:42">
      <c r="A1887" s="153">
        <f ca="1" t="shared" si="315"/>
        <v>3012011</v>
      </c>
      <c r="B1887" s="91" t="s">
        <v>884</v>
      </c>
      <c r="C1887" s="186">
        <v>3</v>
      </c>
      <c r="D1887" s="186">
        <v>4</v>
      </c>
      <c r="E1887" s="165" t="s">
        <v>1069</v>
      </c>
      <c r="F1887" s="165" t="str">
        <f>"叠加3层炎息，伤害增加炎息层数*"&amp;skill!$O$139/100&amp;"%"</f>
        <v>叠加3层炎息，伤害增加炎息层数*45%</v>
      </c>
      <c r="G1887" s="186">
        <f ca="1">OFFSET(卡牌辅助配置表!$C$1,MATCH(AC1887,卡牌辅助配置表!A:A,0)-1,0)</f>
        <v>0</v>
      </c>
      <c r="H1887" s="186">
        <f ca="1">OFFSET(skill!$Q$1,MATCH(B1887,skill!B:B,0)-1,0)</f>
        <v>15</v>
      </c>
      <c r="I1887" s="186"/>
      <c r="J1887" s="186">
        <f ca="1">OFFSET(card_type!$F$1,MATCH(Q1887,card_type!A:A,0)-1,0)</f>
        <v>5</v>
      </c>
      <c r="K1887" s="243">
        <f ca="1">OFFSET(card_type!$G$1,MATCH(Q1887,card_type!A:A,0)-1,0)</f>
        <v>4</v>
      </c>
      <c r="L1887" s="157">
        <v>5</v>
      </c>
      <c r="M1887" s="157">
        <v>5</v>
      </c>
      <c r="N1887" s="153">
        <f t="shared" si="316"/>
        <v>11</v>
      </c>
      <c r="O1887" s="157"/>
      <c r="P1887" s="157"/>
      <c r="Q1887" s="153">
        <f ca="1">OFFSET(card_type!$A$1,MATCH(card!B1887,card_type!B:B,0)-1,0)</f>
        <v>3012</v>
      </c>
      <c r="R1887" s="153">
        <v>1</v>
      </c>
      <c r="S1887" s="157">
        <f ca="1">ROUND(IF(R1887=0,0,IF(R1887=1,X1887*$S$1,IF(R1887=2,X1887*$S$1*buff的资质计算!$E$2,IF(R1887=3,X1887*$S$1*buff的资质计算!$E$3,0)))),0)*0</f>
        <v>0</v>
      </c>
      <c r="T1887" s="153">
        <v>5</v>
      </c>
      <c r="U1887" s="153">
        <f ca="1" t="shared" si="317"/>
        <v>54</v>
      </c>
      <c r="V1887" s="153">
        <f ca="1">ROUND((OFFSET(卡牌辅助配置表!$O$1,MATCH(U1887,卡牌辅助配置表!M:M,0)-1,0)+(N1887-1)*OFFSET(卡牌辅助配置表!$P$1,MATCH(U1887,卡牌辅助配置表!M:M,0)-1,0))*M1887,2)</f>
        <v>471.24</v>
      </c>
      <c r="W1887" s="157">
        <f ca="1">ROUND(IF(R1887=0,0,IF(R1887=1,X1887*$W$1,IF(R1887=2,X1887*$W$1*buff的资质计算!$E$2,IF(R1887=3,X1887*$W$1*buff的资质计算!$E$3,0)))),2)</f>
        <v>57</v>
      </c>
      <c r="X1887" s="157">
        <f ca="1" t="shared" si="312"/>
        <v>190</v>
      </c>
      <c r="Y1887" s="157">
        <f ca="1" t="shared" si="320"/>
        <v>205</v>
      </c>
      <c r="Z1887" s="304">
        <f ca="1" t="shared" si="313"/>
        <v>41</v>
      </c>
      <c r="AA1887" s="304">
        <f ca="1">OFFSET(卡牌辅助配置表!$AD$1,MATCH(AB1887,卡牌辅助配置表!AB:AB,0)-1,0)</f>
        <v>42174</v>
      </c>
      <c r="AB1887" s="304">
        <f ca="1" t="shared" si="318"/>
        <v>5411</v>
      </c>
      <c r="AC1887" s="153">
        <v>12</v>
      </c>
      <c r="AF1887" s="153" t="str">
        <f ca="1" t="shared" si="321"/>
        <v>30120011|30120012|</v>
      </c>
      <c r="AJ1887" s="205" t="str">
        <f ca="1" t="shared" si="319"/>
        <v>400023|9300|;</v>
      </c>
      <c r="AK1887" s="205">
        <f ca="1">OFFSET([1]item_type!$A$1,MATCH(Q1887,[1]item_type!$G:$G,0)-1,0)</f>
        <v>303012</v>
      </c>
      <c r="AL1887" s="205"/>
      <c r="AM1887" s="205">
        <f ca="1">IF(B1887=B1888,OFFSET(卡牌辅助配置表!$AE$1,MATCH(AB1887,卡牌辅助配置表!AB:AB,0),0),0)</f>
        <v>9300</v>
      </c>
      <c r="AN1887" s="153">
        <f ca="1" t="shared" si="314"/>
        <v>3012012</v>
      </c>
      <c r="AP1887" s="153">
        <f ca="1">IF(AC1887=0,0,IF(AC1887=12,0,OFFSET(effect!$N$1,MATCH(K1887,effect!M:M,0)-1,0)))</f>
        <v>0</v>
      </c>
    </row>
    <row r="1888" spans="1:42">
      <c r="A1888" s="153">
        <f ca="1" t="shared" si="315"/>
        <v>3012012</v>
      </c>
      <c r="B1888" s="91" t="s">
        <v>884</v>
      </c>
      <c r="C1888" s="186">
        <v>3</v>
      </c>
      <c r="D1888" s="186">
        <v>4</v>
      </c>
      <c r="E1888" s="165" t="s">
        <v>1069</v>
      </c>
      <c r="F1888" s="165" t="str">
        <f>"叠加3层炎息，伤害增加炎息层数*"&amp;skill!$O$139/100&amp;"%"</f>
        <v>叠加3层炎息，伤害增加炎息层数*45%</v>
      </c>
      <c r="G1888" s="186">
        <f ca="1">OFFSET(卡牌辅助配置表!$C$1,MATCH(AC1888,卡牌辅助配置表!A:A,0)-1,0)</f>
        <v>0</v>
      </c>
      <c r="H1888" s="186">
        <f ca="1">OFFSET(skill!$Q$1,MATCH(B1888,skill!B:B,0)-1,0)</f>
        <v>15</v>
      </c>
      <c r="I1888" s="186"/>
      <c r="J1888" s="186">
        <f ca="1">OFFSET(card_type!$F$1,MATCH(Q1888,card_type!A:A,0)-1,0)</f>
        <v>5</v>
      </c>
      <c r="K1888" s="243">
        <f ca="1">OFFSET(card_type!$G$1,MATCH(Q1888,card_type!A:A,0)-1,0)</f>
        <v>4</v>
      </c>
      <c r="L1888" s="157">
        <v>5</v>
      </c>
      <c r="M1888" s="157">
        <v>5</v>
      </c>
      <c r="N1888" s="153">
        <f t="shared" si="316"/>
        <v>12</v>
      </c>
      <c r="O1888" s="157"/>
      <c r="P1888" s="157"/>
      <c r="Q1888" s="153">
        <f ca="1">OFFSET(card_type!$A$1,MATCH(card!B1888,card_type!B:B,0)-1,0)</f>
        <v>3012</v>
      </c>
      <c r="R1888" s="153">
        <v>1</v>
      </c>
      <c r="S1888" s="157">
        <f ca="1">ROUND(IF(R1888=0,0,IF(R1888=1,X1888*$S$1,IF(R1888=2,X1888*$S$1*buff的资质计算!$E$2,IF(R1888=3,X1888*$S$1*buff的资质计算!$E$3,0)))),0)*0</f>
        <v>0</v>
      </c>
      <c r="T1888" s="153">
        <v>5</v>
      </c>
      <c r="U1888" s="153">
        <f ca="1" t="shared" si="317"/>
        <v>54</v>
      </c>
      <c r="V1888" s="153">
        <f ca="1">ROUND((OFFSET(卡牌辅助配置表!$O$1,MATCH(U1888,卡牌辅助配置表!M:M,0)-1,0)+(N1888-1)*OFFSET(卡牌辅助配置表!$P$1,MATCH(U1888,卡牌辅助配置表!M:M,0)-1,0))*M1888,2)</f>
        <v>471.24</v>
      </c>
      <c r="W1888" s="157">
        <f ca="1">ROUND(IF(R1888=0,0,IF(R1888=1,X1888*$W$1,IF(R1888=2,X1888*$W$1*buff的资质计算!$E$2,IF(R1888=3,X1888*$W$1*buff的资质计算!$E$3,0)))),2)</f>
        <v>57.15</v>
      </c>
      <c r="X1888" s="157">
        <f ca="1" t="shared" si="312"/>
        <v>190.5</v>
      </c>
      <c r="Y1888" s="157">
        <f ca="1" t="shared" si="320"/>
        <v>205.5</v>
      </c>
      <c r="Z1888" s="304">
        <f ca="1" t="shared" si="313"/>
        <v>41.1</v>
      </c>
      <c r="AA1888" s="304">
        <f ca="1">OFFSET(卡牌辅助配置表!$AD$1,MATCH(AB1888,卡牌辅助配置表!AB:AB,0)-1,0)</f>
        <v>46008</v>
      </c>
      <c r="AB1888" s="304">
        <f ca="1" t="shared" si="318"/>
        <v>5412</v>
      </c>
      <c r="AC1888" s="153">
        <v>12</v>
      </c>
      <c r="AF1888" s="153" t="str">
        <f ca="1" t="shared" si="321"/>
        <v>30120011|30120012|</v>
      </c>
      <c r="AJ1888" s="205" t="str">
        <f ca="1" t="shared" si="319"/>
        <v>400023|10500|;</v>
      </c>
      <c r="AK1888" s="205">
        <f ca="1">OFFSET([1]item_type!$A$1,MATCH(Q1888,[1]item_type!$G:$G,0)-1,0)</f>
        <v>303012</v>
      </c>
      <c r="AL1888" s="205"/>
      <c r="AM1888" s="205">
        <f ca="1">IF(B1888=B1889,OFFSET(卡牌辅助配置表!$AE$1,MATCH(AB1888,卡牌辅助配置表!AB:AB,0),0),0)</f>
        <v>10500</v>
      </c>
      <c r="AN1888" s="153">
        <f ca="1" t="shared" si="314"/>
        <v>3012013</v>
      </c>
      <c r="AP1888" s="153">
        <f ca="1">IF(AC1888=0,0,IF(AC1888=12,0,OFFSET(effect!$N$1,MATCH(K1888,effect!M:M,0)-1,0)))</f>
        <v>0</v>
      </c>
    </row>
    <row r="1889" spans="1:42">
      <c r="A1889" s="153">
        <f ca="1" t="shared" si="315"/>
        <v>3012013</v>
      </c>
      <c r="B1889" s="91" t="s">
        <v>884</v>
      </c>
      <c r="C1889" s="186">
        <v>3</v>
      </c>
      <c r="D1889" s="186">
        <v>4</v>
      </c>
      <c r="E1889" s="165" t="s">
        <v>1069</v>
      </c>
      <c r="F1889" s="165" t="str">
        <f>"叠加3层炎息，伤害增加炎息层数*"&amp;skill!$O$139/100&amp;"%"</f>
        <v>叠加3层炎息，伤害增加炎息层数*45%</v>
      </c>
      <c r="G1889" s="186">
        <f ca="1">OFFSET(卡牌辅助配置表!$C$1,MATCH(AC1889,卡牌辅助配置表!A:A,0)-1,0)</f>
        <v>0</v>
      </c>
      <c r="H1889" s="186">
        <f ca="1">OFFSET(skill!$Q$1,MATCH(B1889,skill!B:B,0)-1,0)</f>
        <v>15</v>
      </c>
      <c r="I1889" s="186"/>
      <c r="J1889" s="186">
        <f ca="1">OFFSET(card_type!$F$1,MATCH(Q1889,card_type!A:A,0)-1,0)</f>
        <v>5</v>
      </c>
      <c r="K1889" s="243">
        <f ca="1">OFFSET(card_type!$G$1,MATCH(Q1889,card_type!A:A,0)-1,0)</f>
        <v>4</v>
      </c>
      <c r="L1889" s="157">
        <v>5</v>
      </c>
      <c r="M1889" s="157">
        <v>5</v>
      </c>
      <c r="N1889" s="153">
        <f t="shared" si="316"/>
        <v>13</v>
      </c>
      <c r="O1889" s="157"/>
      <c r="P1889" s="157"/>
      <c r="Q1889" s="153">
        <f ca="1">OFFSET(card_type!$A$1,MATCH(card!B1889,card_type!B:B,0)-1,0)</f>
        <v>3012</v>
      </c>
      <c r="R1889" s="153">
        <v>1</v>
      </c>
      <c r="S1889" s="157">
        <f ca="1">ROUND(IF(R1889=0,0,IF(R1889=1,X1889*$S$1,IF(R1889=2,X1889*$S$1*buff的资质计算!$E$2,IF(R1889=3,X1889*$S$1*buff的资质计算!$E$3,0)))),0)*0</f>
        <v>0</v>
      </c>
      <c r="T1889" s="153">
        <v>5</v>
      </c>
      <c r="U1889" s="153">
        <f ca="1" t="shared" si="317"/>
        <v>54</v>
      </c>
      <c r="V1889" s="153">
        <f ca="1">ROUND((OFFSET(卡牌辅助配置表!$O$1,MATCH(U1889,卡牌辅助配置表!M:M,0)-1,0)+(N1889-1)*OFFSET(卡牌辅助配置表!$P$1,MATCH(U1889,卡牌辅助配置表!M:M,0)-1,0))*M1889,2)</f>
        <v>471.24</v>
      </c>
      <c r="W1889" s="157">
        <f ca="1">ROUND(IF(R1889=0,0,IF(R1889=1,X1889*$W$1,IF(R1889=2,X1889*$W$1*buff的资质计算!$E$2,IF(R1889=3,X1889*$W$1*buff的资质计算!$E$3,0)))),2)</f>
        <v>57.3</v>
      </c>
      <c r="X1889" s="157">
        <f ca="1" t="shared" si="312"/>
        <v>191</v>
      </c>
      <c r="Y1889" s="157">
        <f ca="1" t="shared" si="320"/>
        <v>206</v>
      </c>
      <c r="Z1889" s="304">
        <f ca="1" t="shared" si="313"/>
        <v>41.2</v>
      </c>
      <c r="AA1889" s="304">
        <f ca="1">OFFSET(卡牌辅助配置表!$AD$1,MATCH(AB1889,卡牌辅助配置表!AB:AB,0)-1,0)</f>
        <v>49842</v>
      </c>
      <c r="AB1889" s="304">
        <f ca="1" t="shared" si="318"/>
        <v>5413</v>
      </c>
      <c r="AC1889" s="153">
        <v>12</v>
      </c>
      <c r="AF1889" s="153" t="str">
        <f ca="1" t="shared" si="321"/>
        <v>30120011|30120012|</v>
      </c>
      <c r="AJ1889" s="205" t="str">
        <f ca="1" t="shared" si="319"/>
        <v>400023|11700|;</v>
      </c>
      <c r="AK1889" s="205">
        <f ca="1">OFFSET([1]item_type!$A$1,MATCH(Q1889,[1]item_type!$G:$G,0)-1,0)</f>
        <v>303012</v>
      </c>
      <c r="AL1889" s="205"/>
      <c r="AM1889" s="205">
        <f ca="1">IF(B1889=B1890,OFFSET(卡牌辅助配置表!$AE$1,MATCH(AB1889,卡牌辅助配置表!AB:AB,0),0),0)</f>
        <v>11700</v>
      </c>
      <c r="AN1889" s="153">
        <f ca="1" t="shared" si="314"/>
        <v>3012014</v>
      </c>
      <c r="AP1889" s="153">
        <f ca="1">IF(AC1889=0,0,IF(AC1889=12,0,OFFSET(effect!$N$1,MATCH(K1889,effect!M:M,0)-1,0)))</f>
        <v>0</v>
      </c>
    </row>
    <row r="1890" spans="1:42">
      <c r="A1890" s="153">
        <f ca="1" t="shared" si="315"/>
        <v>3012014</v>
      </c>
      <c r="B1890" s="91" t="s">
        <v>884</v>
      </c>
      <c r="C1890" s="186">
        <v>3</v>
      </c>
      <c r="D1890" s="186">
        <v>4</v>
      </c>
      <c r="E1890" s="165" t="s">
        <v>1069</v>
      </c>
      <c r="F1890" s="165" t="str">
        <f>"叠加3层炎息，伤害增加炎息层数*"&amp;skill!$O$139/100&amp;"%"</f>
        <v>叠加3层炎息，伤害增加炎息层数*45%</v>
      </c>
      <c r="G1890" s="186">
        <f ca="1">OFFSET(卡牌辅助配置表!$C$1,MATCH(AC1890,卡牌辅助配置表!A:A,0)-1,0)</f>
        <v>0</v>
      </c>
      <c r="H1890" s="186">
        <f ca="1">OFFSET(skill!$Q$1,MATCH(B1890,skill!B:B,0)-1,0)</f>
        <v>15</v>
      </c>
      <c r="I1890" s="186"/>
      <c r="J1890" s="186">
        <f ca="1">OFFSET(card_type!$F$1,MATCH(Q1890,card_type!A:A,0)-1,0)</f>
        <v>5</v>
      </c>
      <c r="K1890" s="243">
        <f ca="1">OFFSET(card_type!$G$1,MATCH(Q1890,card_type!A:A,0)-1,0)</f>
        <v>4</v>
      </c>
      <c r="L1890" s="157">
        <v>5</v>
      </c>
      <c r="M1890" s="157">
        <v>5</v>
      </c>
      <c r="N1890" s="153">
        <f t="shared" si="316"/>
        <v>14</v>
      </c>
      <c r="O1890" s="157"/>
      <c r="P1890" s="157"/>
      <c r="Q1890" s="153">
        <f ca="1">OFFSET(card_type!$A$1,MATCH(card!B1890,card_type!B:B,0)-1,0)</f>
        <v>3012</v>
      </c>
      <c r="R1890" s="153">
        <v>1</v>
      </c>
      <c r="S1890" s="157">
        <f ca="1">ROUND(IF(R1890=0,0,IF(R1890=1,X1890*$S$1,IF(R1890=2,X1890*$S$1*buff的资质计算!$E$2,IF(R1890=3,X1890*$S$1*buff的资质计算!$E$3,0)))),0)*0</f>
        <v>0</v>
      </c>
      <c r="T1890" s="153">
        <v>5</v>
      </c>
      <c r="U1890" s="153">
        <f ca="1" t="shared" si="317"/>
        <v>54</v>
      </c>
      <c r="V1890" s="153">
        <f ca="1">ROUND((OFFSET(卡牌辅助配置表!$O$1,MATCH(U1890,卡牌辅助配置表!M:M,0)-1,0)+(N1890-1)*OFFSET(卡牌辅助配置表!$P$1,MATCH(U1890,卡牌辅助配置表!M:M,0)-1,0))*M1890,2)</f>
        <v>471.24</v>
      </c>
      <c r="W1890" s="157">
        <f ca="1">ROUND(IF(R1890=0,0,IF(R1890=1,X1890*$W$1,IF(R1890=2,X1890*$W$1*buff的资质计算!$E$2,IF(R1890=3,X1890*$W$1*buff的资质计算!$E$3,0)))),2)</f>
        <v>57.45</v>
      </c>
      <c r="X1890" s="157">
        <f ca="1" t="shared" si="312"/>
        <v>191.5</v>
      </c>
      <c r="Y1890" s="157">
        <f ca="1" t="shared" si="320"/>
        <v>206.5</v>
      </c>
      <c r="Z1890" s="304">
        <f ca="1" t="shared" si="313"/>
        <v>41.3</v>
      </c>
      <c r="AA1890" s="304">
        <f ca="1">OFFSET(卡牌辅助配置表!$AD$1,MATCH(AB1890,卡牌辅助配置表!AB:AB,0)-1,0)</f>
        <v>53676</v>
      </c>
      <c r="AB1890" s="304">
        <f ca="1" t="shared" si="318"/>
        <v>5414</v>
      </c>
      <c r="AC1890" s="153">
        <v>12</v>
      </c>
      <c r="AF1890" s="153" t="str">
        <f ca="1" t="shared" si="321"/>
        <v>30120011|30120012|</v>
      </c>
      <c r="AJ1890" s="205" t="str">
        <f ca="1" t="shared" si="319"/>
        <v>400023|12900|;</v>
      </c>
      <c r="AK1890" s="205">
        <f ca="1">OFFSET([1]item_type!$A$1,MATCH(Q1890,[1]item_type!$G:$G,0)-1,0)</f>
        <v>303012</v>
      </c>
      <c r="AL1890" s="205"/>
      <c r="AM1890" s="205">
        <f ca="1">IF(B1890=B1891,OFFSET(卡牌辅助配置表!$AE$1,MATCH(AB1890,卡牌辅助配置表!AB:AB,0),0),0)</f>
        <v>12900</v>
      </c>
      <c r="AN1890" s="153">
        <f ca="1" t="shared" si="314"/>
        <v>3012015</v>
      </c>
      <c r="AP1890" s="153">
        <f ca="1">IF(AC1890=0,0,IF(AC1890=12,0,OFFSET(effect!$N$1,MATCH(K1890,effect!M:M,0)-1,0)))</f>
        <v>0</v>
      </c>
    </row>
    <row r="1891" spans="1:42">
      <c r="A1891" s="153">
        <f ca="1" t="shared" si="315"/>
        <v>3012015</v>
      </c>
      <c r="B1891" s="91" t="s">
        <v>884</v>
      </c>
      <c r="C1891" s="186">
        <v>3</v>
      </c>
      <c r="D1891" s="186">
        <v>4</v>
      </c>
      <c r="E1891" s="165" t="s">
        <v>1069</v>
      </c>
      <c r="F1891" s="165" t="str">
        <f>"叠加3层炎息，伤害增加炎息层数*"&amp;skill!$O$139/100&amp;"%"</f>
        <v>叠加3层炎息，伤害增加炎息层数*45%</v>
      </c>
      <c r="G1891" s="186">
        <f ca="1">OFFSET(卡牌辅助配置表!$C$1,MATCH(AC1891,卡牌辅助配置表!A:A,0)-1,0)</f>
        <v>0</v>
      </c>
      <c r="H1891" s="186">
        <f ca="1">OFFSET(skill!$Q$1,MATCH(B1891,skill!B:B,0)-1,0)</f>
        <v>15</v>
      </c>
      <c r="I1891" s="186"/>
      <c r="J1891" s="186">
        <f ca="1">OFFSET(card_type!$F$1,MATCH(Q1891,card_type!A:A,0)-1,0)</f>
        <v>5</v>
      </c>
      <c r="K1891" s="243">
        <f ca="1">OFFSET(card_type!$G$1,MATCH(Q1891,card_type!A:A,0)-1,0)</f>
        <v>4</v>
      </c>
      <c r="L1891" s="157">
        <v>5</v>
      </c>
      <c r="M1891" s="157">
        <v>5</v>
      </c>
      <c r="N1891" s="153">
        <f t="shared" si="316"/>
        <v>15</v>
      </c>
      <c r="O1891" s="157"/>
      <c r="P1891" s="157"/>
      <c r="Q1891" s="153">
        <f ca="1">OFFSET(card_type!$A$1,MATCH(card!B1891,card_type!B:B,0)-1,0)</f>
        <v>3012</v>
      </c>
      <c r="R1891" s="153">
        <v>1</v>
      </c>
      <c r="S1891" s="157">
        <f ca="1">ROUND(IF(R1891=0,0,IF(R1891=1,X1891*$S$1,IF(R1891=2,X1891*$S$1*buff的资质计算!$E$2,IF(R1891=3,X1891*$S$1*buff的资质计算!$E$3,0)))),0)*0</f>
        <v>0</v>
      </c>
      <c r="T1891" s="153">
        <v>5</v>
      </c>
      <c r="U1891" s="153">
        <f ca="1" t="shared" si="317"/>
        <v>54</v>
      </c>
      <c r="V1891" s="153">
        <f ca="1">ROUND((OFFSET(卡牌辅助配置表!$O$1,MATCH(U1891,卡牌辅助配置表!M:M,0)-1,0)+(N1891-1)*OFFSET(卡牌辅助配置表!$P$1,MATCH(U1891,卡牌辅助配置表!M:M,0)-1,0))*M1891,2)</f>
        <v>471.24</v>
      </c>
      <c r="W1891" s="157">
        <f ca="1">ROUND(IF(R1891=0,0,IF(R1891=1,X1891*$W$1,IF(R1891=2,X1891*$W$1*buff的资质计算!$E$2,IF(R1891=3,X1891*$W$1*buff的资质计算!$E$3,0)))),2)</f>
        <v>57.6</v>
      </c>
      <c r="X1891" s="157">
        <f ca="1" t="shared" si="312"/>
        <v>192</v>
      </c>
      <c r="Y1891" s="157">
        <f ca="1" t="shared" si="320"/>
        <v>207</v>
      </c>
      <c r="Z1891" s="304">
        <f ca="1" t="shared" si="313"/>
        <v>41.4</v>
      </c>
      <c r="AA1891" s="304">
        <f ca="1">OFFSET(卡牌辅助配置表!$AD$1,MATCH(AB1891,卡牌辅助配置表!AB:AB,0)-1,0)</f>
        <v>57510</v>
      </c>
      <c r="AB1891" s="304">
        <f ca="1" t="shared" si="318"/>
        <v>5415</v>
      </c>
      <c r="AC1891" s="153">
        <v>12</v>
      </c>
      <c r="AF1891" s="153" t="str">
        <f ca="1" t="shared" si="321"/>
        <v>30120011|30120012|</v>
      </c>
      <c r="AJ1891" s="205" t="str">
        <f ca="1" t="shared" si="319"/>
        <v>400023|14100|;</v>
      </c>
      <c r="AK1891" s="205">
        <f ca="1">OFFSET([1]item_type!$A$1,MATCH(Q1891,[1]item_type!$G:$G,0)-1,0)</f>
        <v>303012</v>
      </c>
      <c r="AL1891" s="205"/>
      <c r="AM1891" s="205">
        <f ca="1">IF(B1891=B1892,OFFSET(卡牌辅助配置表!$AE$1,MATCH(AB1891,卡牌辅助配置表!AB:AB,0),0),0)</f>
        <v>14100</v>
      </c>
      <c r="AN1891" s="153">
        <f ca="1" t="shared" si="314"/>
        <v>3012016</v>
      </c>
      <c r="AP1891" s="153">
        <f ca="1">IF(AC1891=0,0,IF(AC1891=12,0,OFFSET(effect!$N$1,MATCH(K1891,effect!M:M,0)-1,0)))</f>
        <v>0</v>
      </c>
    </row>
    <row r="1892" spans="1:42">
      <c r="A1892" s="153">
        <f ca="1" t="shared" si="315"/>
        <v>3012016</v>
      </c>
      <c r="B1892" s="91" t="s">
        <v>884</v>
      </c>
      <c r="C1892" s="186">
        <v>3</v>
      </c>
      <c r="D1892" s="186">
        <v>4</v>
      </c>
      <c r="E1892" s="165" t="s">
        <v>1069</v>
      </c>
      <c r="F1892" s="165" t="str">
        <f>"叠加3层炎息，伤害增加炎息层数*"&amp;skill!$O$139/100&amp;"%"</f>
        <v>叠加3层炎息，伤害增加炎息层数*45%</v>
      </c>
      <c r="G1892" s="186">
        <f ca="1">OFFSET(卡牌辅助配置表!$C$1,MATCH(AC1892,卡牌辅助配置表!A:A,0)-1,0)</f>
        <v>0</v>
      </c>
      <c r="H1892" s="186">
        <f ca="1">OFFSET(skill!$Q$1,MATCH(B1892,skill!B:B,0)-1,0)</f>
        <v>15</v>
      </c>
      <c r="I1892" s="186"/>
      <c r="J1892" s="186">
        <f ca="1">OFFSET(card_type!$F$1,MATCH(Q1892,card_type!A:A,0)-1,0)</f>
        <v>5</v>
      </c>
      <c r="K1892" s="243">
        <f ca="1">OFFSET(card_type!$G$1,MATCH(Q1892,card_type!A:A,0)-1,0)</f>
        <v>4</v>
      </c>
      <c r="L1892" s="157">
        <v>5</v>
      </c>
      <c r="M1892" s="157">
        <v>5</v>
      </c>
      <c r="N1892" s="153">
        <f t="shared" si="316"/>
        <v>16</v>
      </c>
      <c r="O1892" s="157"/>
      <c r="P1892" s="157"/>
      <c r="Q1892" s="153">
        <f ca="1">OFFSET(card_type!$A$1,MATCH(card!B1892,card_type!B:B,0)-1,0)</f>
        <v>3012</v>
      </c>
      <c r="R1892" s="153">
        <v>1</v>
      </c>
      <c r="S1892" s="157">
        <f ca="1">ROUND(IF(R1892=0,0,IF(R1892=1,X1892*$S$1,IF(R1892=2,X1892*$S$1*buff的资质计算!$E$2,IF(R1892=3,X1892*$S$1*buff的资质计算!$E$3,0)))),0)*0</f>
        <v>0</v>
      </c>
      <c r="T1892" s="153">
        <v>5</v>
      </c>
      <c r="U1892" s="153">
        <f ca="1" t="shared" si="317"/>
        <v>54</v>
      </c>
      <c r="V1892" s="153">
        <f ca="1">ROUND((OFFSET(卡牌辅助配置表!$O$1,MATCH(U1892,卡牌辅助配置表!M:M,0)-1,0)+(N1892-1)*OFFSET(卡牌辅助配置表!$P$1,MATCH(U1892,卡牌辅助配置表!M:M,0)-1,0))*M1892,2)</f>
        <v>471.24</v>
      </c>
      <c r="W1892" s="157">
        <f ca="1">ROUND(IF(R1892=0,0,IF(R1892=1,X1892*$W$1,IF(R1892=2,X1892*$W$1*buff的资质计算!$E$2,IF(R1892=3,X1892*$W$1*buff的资质计算!$E$3,0)))),2)</f>
        <v>57.75</v>
      </c>
      <c r="X1892" s="157">
        <f ca="1" t="shared" si="312"/>
        <v>192.5</v>
      </c>
      <c r="Y1892" s="157">
        <f ca="1" t="shared" si="320"/>
        <v>207.5</v>
      </c>
      <c r="Z1892" s="304">
        <f ca="1" t="shared" si="313"/>
        <v>41.5</v>
      </c>
      <c r="AA1892" s="304">
        <f ca="1">OFFSET(卡牌辅助配置表!$AD$1,MATCH(AB1892,卡牌辅助配置表!AB:AB,0)-1,0)</f>
        <v>61344</v>
      </c>
      <c r="AB1892" s="304">
        <f ca="1" t="shared" si="318"/>
        <v>5416</v>
      </c>
      <c r="AC1892" s="153">
        <v>12</v>
      </c>
      <c r="AF1892" s="153" t="str">
        <f ca="1" t="shared" si="321"/>
        <v>30120011|30120012|</v>
      </c>
      <c r="AJ1892" s="205" t="str">
        <f ca="1" t="shared" si="319"/>
        <v>400023|15300|;</v>
      </c>
      <c r="AK1892" s="205">
        <f ca="1">OFFSET([1]item_type!$A$1,MATCH(Q1892,[1]item_type!$G:$G,0)-1,0)</f>
        <v>303012</v>
      </c>
      <c r="AL1892" s="205"/>
      <c r="AM1892" s="205">
        <f ca="1">IF(B1892=B1893,OFFSET(卡牌辅助配置表!$AE$1,MATCH(AB1892,卡牌辅助配置表!AB:AB,0),0),0)</f>
        <v>15300</v>
      </c>
      <c r="AN1892" s="153">
        <f ca="1" t="shared" si="314"/>
        <v>3012017</v>
      </c>
      <c r="AP1892" s="153">
        <f ca="1">IF(AC1892=0,0,IF(AC1892=12,0,OFFSET(effect!$N$1,MATCH(K1892,effect!M:M,0)-1,0)))</f>
        <v>0</v>
      </c>
    </row>
    <row r="1893" spans="1:42">
      <c r="A1893" s="153">
        <f ca="1" t="shared" si="315"/>
        <v>3012017</v>
      </c>
      <c r="B1893" s="91" t="s">
        <v>884</v>
      </c>
      <c r="C1893" s="186">
        <v>3</v>
      </c>
      <c r="D1893" s="186">
        <v>4</v>
      </c>
      <c r="E1893" s="165" t="s">
        <v>1069</v>
      </c>
      <c r="F1893" s="165" t="str">
        <f>"叠加3层炎息，伤害增加炎息层数*"&amp;skill!$O$139/100&amp;"%"</f>
        <v>叠加3层炎息，伤害增加炎息层数*45%</v>
      </c>
      <c r="G1893" s="186">
        <f ca="1">OFFSET(卡牌辅助配置表!$C$1,MATCH(AC1893,卡牌辅助配置表!A:A,0)-1,0)</f>
        <v>0</v>
      </c>
      <c r="H1893" s="186">
        <f ca="1">OFFSET(skill!$Q$1,MATCH(B1893,skill!B:B,0)-1,0)</f>
        <v>15</v>
      </c>
      <c r="I1893" s="186"/>
      <c r="J1893" s="186">
        <f ca="1">OFFSET(card_type!$F$1,MATCH(Q1893,card_type!A:A,0)-1,0)</f>
        <v>5</v>
      </c>
      <c r="K1893" s="243">
        <f ca="1">OFFSET(card_type!$G$1,MATCH(Q1893,card_type!A:A,0)-1,0)</f>
        <v>4</v>
      </c>
      <c r="L1893" s="157">
        <v>5</v>
      </c>
      <c r="M1893" s="157">
        <v>5</v>
      </c>
      <c r="N1893" s="153">
        <f t="shared" si="316"/>
        <v>17</v>
      </c>
      <c r="O1893" s="157"/>
      <c r="P1893" s="157"/>
      <c r="Q1893" s="153">
        <f ca="1">OFFSET(card_type!$A$1,MATCH(card!B1893,card_type!B:B,0)-1,0)</f>
        <v>3012</v>
      </c>
      <c r="R1893" s="153">
        <v>1</v>
      </c>
      <c r="S1893" s="157">
        <f ca="1">ROUND(IF(R1893=0,0,IF(R1893=1,X1893*$S$1,IF(R1893=2,X1893*$S$1*buff的资质计算!$E$2,IF(R1893=3,X1893*$S$1*buff的资质计算!$E$3,0)))),0)*0</f>
        <v>0</v>
      </c>
      <c r="T1893" s="153">
        <v>5</v>
      </c>
      <c r="U1893" s="153">
        <f ca="1" t="shared" si="317"/>
        <v>54</v>
      </c>
      <c r="V1893" s="153">
        <f ca="1">ROUND((OFFSET(卡牌辅助配置表!$O$1,MATCH(U1893,卡牌辅助配置表!M:M,0)-1,0)+(N1893-1)*OFFSET(卡牌辅助配置表!$P$1,MATCH(U1893,卡牌辅助配置表!M:M,0)-1,0))*M1893,2)</f>
        <v>471.24</v>
      </c>
      <c r="W1893" s="157">
        <f ca="1">ROUND(IF(R1893=0,0,IF(R1893=1,X1893*$W$1,IF(R1893=2,X1893*$W$1*buff的资质计算!$E$2,IF(R1893=3,X1893*$W$1*buff的资质计算!$E$3,0)))),2)</f>
        <v>57.9</v>
      </c>
      <c r="X1893" s="157">
        <f ca="1" t="shared" si="312"/>
        <v>193</v>
      </c>
      <c r="Y1893" s="157">
        <f ca="1" t="shared" si="320"/>
        <v>208</v>
      </c>
      <c r="Z1893" s="304">
        <f ca="1" t="shared" si="313"/>
        <v>41.6</v>
      </c>
      <c r="AA1893" s="304">
        <f ca="1">OFFSET(卡牌辅助配置表!$AD$1,MATCH(AB1893,卡牌辅助配置表!AB:AB,0)-1,0)</f>
        <v>65178</v>
      </c>
      <c r="AB1893" s="304">
        <f ca="1" t="shared" si="318"/>
        <v>5417</v>
      </c>
      <c r="AC1893" s="153">
        <v>12</v>
      </c>
      <c r="AF1893" s="153" t="str">
        <f ca="1" t="shared" si="321"/>
        <v>30120011|30120012|</v>
      </c>
      <c r="AJ1893" s="205" t="str">
        <f ca="1" t="shared" si="319"/>
        <v>400023|16500|;</v>
      </c>
      <c r="AK1893" s="205">
        <f ca="1">OFFSET([1]item_type!$A$1,MATCH(Q1893,[1]item_type!$G:$G,0)-1,0)</f>
        <v>303012</v>
      </c>
      <c r="AL1893" s="205"/>
      <c r="AM1893" s="205">
        <f ca="1">IF(B1893=B1894,OFFSET(卡牌辅助配置表!$AE$1,MATCH(AB1893,卡牌辅助配置表!AB:AB,0),0),0)</f>
        <v>16500</v>
      </c>
      <c r="AN1893" s="153">
        <f ca="1" t="shared" si="314"/>
        <v>3012018</v>
      </c>
      <c r="AP1893" s="153">
        <f ca="1">IF(AC1893=0,0,IF(AC1893=12,0,OFFSET(effect!$N$1,MATCH(K1893,effect!M:M,0)-1,0)))</f>
        <v>0</v>
      </c>
    </row>
    <row r="1894" spans="1:42">
      <c r="A1894" s="153">
        <f ca="1" t="shared" si="315"/>
        <v>3012018</v>
      </c>
      <c r="B1894" s="91" t="s">
        <v>884</v>
      </c>
      <c r="C1894" s="186">
        <v>3</v>
      </c>
      <c r="D1894" s="186">
        <v>4</v>
      </c>
      <c r="E1894" s="165" t="s">
        <v>1069</v>
      </c>
      <c r="F1894" s="165" t="str">
        <f>"叠加3层炎息，伤害增加炎息层数*"&amp;skill!$O$139/100&amp;"%"</f>
        <v>叠加3层炎息，伤害增加炎息层数*45%</v>
      </c>
      <c r="G1894" s="186">
        <f ca="1">OFFSET(卡牌辅助配置表!$C$1,MATCH(AC1894,卡牌辅助配置表!A:A,0)-1,0)</f>
        <v>0</v>
      </c>
      <c r="H1894" s="186">
        <f ca="1">OFFSET(skill!$Q$1,MATCH(B1894,skill!B:B,0)-1,0)</f>
        <v>15</v>
      </c>
      <c r="I1894" s="186"/>
      <c r="J1894" s="186">
        <f ca="1">OFFSET(card_type!$F$1,MATCH(Q1894,card_type!A:A,0)-1,0)</f>
        <v>5</v>
      </c>
      <c r="K1894" s="243">
        <f ca="1">OFFSET(card_type!$G$1,MATCH(Q1894,card_type!A:A,0)-1,0)</f>
        <v>4</v>
      </c>
      <c r="L1894" s="157">
        <v>5</v>
      </c>
      <c r="M1894" s="157">
        <v>5</v>
      </c>
      <c r="N1894" s="153">
        <f t="shared" si="316"/>
        <v>18</v>
      </c>
      <c r="O1894" s="157"/>
      <c r="P1894" s="157"/>
      <c r="Q1894" s="153">
        <f ca="1">OFFSET(card_type!$A$1,MATCH(card!B1894,card_type!B:B,0)-1,0)</f>
        <v>3012</v>
      </c>
      <c r="R1894" s="153">
        <v>1</v>
      </c>
      <c r="S1894" s="157">
        <f ca="1">ROUND(IF(R1894=0,0,IF(R1894=1,X1894*$S$1,IF(R1894=2,X1894*$S$1*buff的资质计算!$E$2,IF(R1894=3,X1894*$S$1*buff的资质计算!$E$3,0)))),0)*0</f>
        <v>0</v>
      </c>
      <c r="T1894" s="153">
        <v>5</v>
      </c>
      <c r="U1894" s="153">
        <f ca="1" t="shared" si="317"/>
        <v>54</v>
      </c>
      <c r="V1894" s="153">
        <f ca="1">ROUND((OFFSET(卡牌辅助配置表!$O$1,MATCH(U1894,卡牌辅助配置表!M:M,0)-1,0)+(N1894-1)*OFFSET(卡牌辅助配置表!$P$1,MATCH(U1894,卡牌辅助配置表!M:M,0)-1,0))*M1894,2)</f>
        <v>471.24</v>
      </c>
      <c r="W1894" s="157">
        <f ca="1">ROUND(IF(R1894=0,0,IF(R1894=1,X1894*$W$1,IF(R1894=2,X1894*$W$1*buff的资质计算!$E$2,IF(R1894=3,X1894*$W$1*buff的资质计算!$E$3,0)))),2)</f>
        <v>58.05</v>
      </c>
      <c r="X1894" s="157">
        <f ca="1" t="shared" si="312"/>
        <v>193.5</v>
      </c>
      <c r="Y1894" s="157">
        <f ca="1" t="shared" si="320"/>
        <v>208.5</v>
      </c>
      <c r="Z1894" s="304">
        <f ca="1" t="shared" si="313"/>
        <v>41.7</v>
      </c>
      <c r="AA1894" s="304">
        <f ca="1">OFFSET(卡牌辅助配置表!$AD$1,MATCH(AB1894,卡牌辅助配置表!AB:AB,0)-1,0)</f>
        <v>69012</v>
      </c>
      <c r="AB1894" s="304">
        <f ca="1" t="shared" si="318"/>
        <v>5418</v>
      </c>
      <c r="AC1894" s="153">
        <v>12</v>
      </c>
      <c r="AF1894" s="153" t="str">
        <f ca="1" t="shared" si="321"/>
        <v>30120011|30120012|</v>
      </c>
      <c r="AJ1894" s="205" t="str">
        <f ca="1" t="shared" si="319"/>
        <v>400023|17700|;</v>
      </c>
      <c r="AK1894" s="205">
        <f ca="1">OFFSET([1]item_type!$A$1,MATCH(Q1894,[1]item_type!$G:$G,0)-1,0)</f>
        <v>303012</v>
      </c>
      <c r="AL1894" s="205"/>
      <c r="AM1894" s="205">
        <f ca="1">IF(B1894=B1895,OFFSET(卡牌辅助配置表!$AE$1,MATCH(AB1894,卡牌辅助配置表!AB:AB,0),0),0)</f>
        <v>17700</v>
      </c>
      <c r="AN1894" s="153">
        <f ca="1" t="shared" si="314"/>
        <v>3012019</v>
      </c>
      <c r="AP1894" s="153">
        <f ca="1">IF(AC1894=0,0,IF(AC1894=12,0,OFFSET(effect!$N$1,MATCH(K1894,effect!M:M,0)-1,0)))</f>
        <v>0</v>
      </c>
    </row>
    <row r="1895" spans="1:42">
      <c r="A1895" s="153">
        <f ca="1" t="shared" si="315"/>
        <v>3012019</v>
      </c>
      <c r="B1895" s="91" t="s">
        <v>884</v>
      </c>
      <c r="C1895" s="186">
        <v>3</v>
      </c>
      <c r="D1895" s="186">
        <v>4</v>
      </c>
      <c r="E1895" s="165" t="s">
        <v>1069</v>
      </c>
      <c r="F1895" s="165" t="str">
        <f>"叠加3层炎息，伤害增加炎息层数*"&amp;skill!$O$139/100&amp;"%"</f>
        <v>叠加3层炎息，伤害增加炎息层数*45%</v>
      </c>
      <c r="G1895" s="186">
        <f ca="1">OFFSET(卡牌辅助配置表!$C$1,MATCH(AC1895,卡牌辅助配置表!A:A,0)-1,0)</f>
        <v>0</v>
      </c>
      <c r="H1895" s="186">
        <f ca="1">OFFSET(skill!$Q$1,MATCH(B1895,skill!B:B,0)-1,0)</f>
        <v>15</v>
      </c>
      <c r="I1895" s="186"/>
      <c r="J1895" s="186">
        <f ca="1">OFFSET(card_type!$F$1,MATCH(Q1895,card_type!A:A,0)-1,0)</f>
        <v>5</v>
      </c>
      <c r="K1895" s="243">
        <f ca="1">OFFSET(card_type!$G$1,MATCH(Q1895,card_type!A:A,0)-1,0)</f>
        <v>4</v>
      </c>
      <c r="L1895" s="157">
        <v>5</v>
      </c>
      <c r="M1895" s="157">
        <v>5</v>
      </c>
      <c r="N1895" s="153">
        <f t="shared" si="316"/>
        <v>19</v>
      </c>
      <c r="O1895" s="157"/>
      <c r="P1895" s="157"/>
      <c r="Q1895" s="153">
        <f ca="1">OFFSET(card_type!$A$1,MATCH(card!B1895,card_type!B:B,0)-1,0)</f>
        <v>3012</v>
      </c>
      <c r="R1895" s="153">
        <v>1</v>
      </c>
      <c r="S1895" s="157">
        <f ca="1">ROUND(IF(R1895=0,0,IF(R1895=1,X1895*$S$1,IF(R1895=2,X1895*$S$1*buff的资质计算!$E$2,IF(R1895=3,X1895*$S$1*buff的资质计算!$E$3,0)))),0)*0</f>
        <v>0</v>
      </c>
      <c r="T1895" s="153">
        <v>5</v>
      </c>
      <c r="U1895" s="153">
        <f ca="1" t="shared" si="317"/>
        <v>54</v>
      </c>
      <c r="V1895" s="153">
        <f ca="1">ROUND((OFFSET(卡牌辅助配置表!$O$1,MATCH(U1895,卡牌辅助配置表!M:M,0)-1,0)+(N1895-1)*OFFSET(卡牌辅助配置表!$P$1,MATCH(U1895,卡牌辅助配置表!M:M,0)-1,0))*M1895,2)</f>
        <v>471.24</v>
      </c>
      <c r="W1895" s="157">
        <f ca="1">ROUND(IF(R1895=0,0,IF(R1895=1,X1895*$W$1,IF(R1895=2,X1895*$W$1*buff的资质计算!$E$2,IF(R1895=3,X1895*$W$1*buff的资质计算!$E$3,0)))),2)</f>
        <v>58.2</v>
      </c>
      <c r="X1895" s="157">
        <f ca="1" t="shared" si="312"/>
        <v>194</v>
      </c>
      <c r="Y1895" s="157">
        <f ca="1" t="shared" si="320"/>
        <v>209</v>
      </c>
      <c r="Z1895" s="304">
        <f ca="1" t="shared" si="313"/>
        <v>41.8</v>
      </c>
      <c r="AA1895" s="304">
        <f ca="1">OFFSET(卡牌辅助配置表!$AD$1,MATCH(AB1895,卡牌辅助配置表!AB:AB,0)-1,0)</f>
        <v>72846</v>
      </c>
      <c r="AB1895" s="304">
        <f ca="1" t="shared" si="318"/>
        <v>5419</v>
      </c>
      <c r="AC1895" s="153">
        <v>12</v>
      </c>
      <c r="AF1895" s="153" t="str">
        <f ca="1" t="shared" si="321"/>
        <v>30120011|30120012|</v>
      </c>
      <c r="AJ1895" s="205" t="str">
        <f ca="1" t="shared" si="319"/>
        <v>303012|20|;400023|18900|;</v>
      </c>
      <c r="AK1895" s="205">
        <f ca="1">OFFSET([1]item_type!$A$1,MATCH(Q1895,[1]item_type!$G:$G,0)-1,0)</f>
        <v>303012</v>
      </c>
      <c r="AL1895" s="205">
        <v>20</v>
      </c>
      <c r="AM1895" s="205">
        <f ca="1">IF(B1895=B1896,OFFSET(卡牌辅助配置表!$AE$1,MATCH(AB1895,卡牌辅助配置表!AB:AB,0),0),0)</f>
        <v>18900</v>
      </c>
      <c r="AN1895" s="153">
        <f ca="1" t="shared" si="314"/>
        <v>3012020</v>
      </c>
      <c r="AP1895" s="153">
        <f ca="1">IF(AC1895=0,0,IF(AC1895=12,0,OFFSET(effect!$N$1,MATCH(K1895,effect!M:M,0)-1,0)))</f>
        <v>0</v>
      </c>
    </row>
    <row r="1896" spans="1:42">
      <c r="A1896" s="153">
        <f ca="1" t="shared" si="315"/>
        <v>3012020</v>
      </c>
      <c r="B1896" s="91" t="s">
        <v>884</v>
      </c>
      <c r="C1896" s="186">
        <v>3</v>
      </c>
      <c r="D1896" s="186">
        <v>4</v>
      </c>
      <c r="E1896" s="165" t="s">
        <v>1069</v>
      </c>
      <c r="F1896" s="165" t="str">
        <f>"叠加3层炎息，伤害增加炎息层数*"&amp;skill!$O$139/100&amp;"%"</f>
        <v>叠加3层炎息，伤害增加炎息层数*45%</v>
      </c>
      <c r="G1896" s="186">
        <f ca="1">OFFSET(卡牌辅助配置表!$C$1,MATCH(AC1896,卡牌辅助配置表!A:A,0)-1,0)</f>
        <v>0</v>
      </c>
      <c r="H1896" s="186">
        <f ca="1">OFFSET(skill!$Q$1,MATCH(B1896,skill!B:B,0)-1,0)</f>
        <v>15</v>
      </c>
      <c r="I1896" s="186"/>
      <c r="J1896" s="186">
        <f ca="1">OFFSET(card_type!$F$1,MATCH(Q1896,card_type!A:A,0)-1,0)</f>
        <v>5</v>
      </c>
      <c r="K1896" s="243">
        <f ca="1">OFFSET(card_type!$G$1,MATCH(Q1896,card_type!A:A,0)-1,0)</f>
        <v>4</v>
      </c>
      <c r="L1896" s="157">
        <v>5</v>
      </c>
      <c r="M1896" s="157">
        <v>5</v>
      </c>
      <c r="N1896" s="153">
        <f t="shared" si="316"/>
        <v>20</v>
      </c>
      <c r="O1896" s="157"/>
      <c r="P1896" s="157"/>
      <c r="Q1896" s="153">
        <f ca="1">OFFSET(card_type!$A$1,MATCH(card!B1896,card_type!B:B,0)-1,0)</f>
        <v>3012</v>
      </c>
      <c r="R1896" s="153">
        <v>1</v>
      </c>
      <c r="S1896" s="157">
        <f ca="1">ROUND(IF(R1896=0,0,IF(R1896=1,X1896*$S$1,IF(R1896=2,X1896*$S$1*buff的资质计算!$E$2,IF(R1896=3,X1896*$S$1*buff的资质计算!$E$3,0)))),0)*0</f>
        <v>0</v>
      </c>
      <c r="T1896" s="153">
        <v>5</v>
      </c>
      <c r="U1896" s="153">
        <f ca="1" t="shared" si="317"/>
        <v>54</v>
      </c>
      <c r="V1896" s="153">
        <f ca="1">ROUND((OFFSET(卡牌辅助配置表!$O$1,MATCH(U1896,卡牌辅助配置表!M:M,0)-1,0)+(N1896-1)*OFFSET(卡牌辅助配置表!$P$1,MATCH(U1896,卡牌辅助配置表!M:M,0)-1,0))*M1896,2)</f>
        <v>471.24</v>
      </c>
      <c r="W1896" s="157">
        <f ca="1">ROUND(IF(R1896=0,0,IF(R1896=1,X1896*$W$1,IF(R1896=2,X1896*$W$1*buff的资质计算!$E$2,IF(R1896=3,X1896*$W$1*buff的资质计算!$E$3,0)))),2)</f>
        <v>58.35</v>
      </c>
      <c r="X1896" s="157">
        <f ca="1" t="shared" si="312"/>
        <v>194.5</v>
      </c>
      <c r="Y1896" s="157">
        <f ca="1" t="shared" si="320"/>
        <v>209.5</v>
      </c>
      <c r="Z1896" s="304">
        <f ca="1" t="shared" si="313"/>
        <v>41.9</v>
      </c>
      <c r="AA1896" s="304">
        <f ca="1">OFFSET(卡牌辅助配置表!$AD$1,MATCH(AB1896,卡牌辅助配置表!AB:AB,0)-1,0)</f>
        <v>76680</v>
      </c>
      <c r="AB1896" s="304">
        <f ca="1" t="shared" si="318"/>
        <v>5420</v>
      </c>
      <c r="AC1896" s="153">
        <v>12</v>
      </c>
      <c r="AF1896" s="153" t="str">
        <f ca="1" t="shared" si="321"/>
        <v>30120011|30120012|</v>
      </c>
      <c r="AJ1896" s="205" t="str">
        <f ca="1" t="shared" si="319"/>
        <v>400023|21300|;</v>
      </c>
      <c r="AK1896" s="205">
        <f ca="1">OFFSET([1]item_type!$A$1,MATCH(Q1896,[1]item_type!$G:$G,0)-1,0)</f>
        <v>303012</v>
      </c>
      <c r="AL1896" s="205"/>
      <c r="AM1896" s="205">
        <f ca="1">IF(B1896=B1897,OFFSET(卡牌辅助配置表!$AE$1,MATCH(AB1896,卡牌辅助配置表!AB:AB,0),0),0)</f>
        <v>21300</v>
      </c>
      <c r="AN1896" s="153">
        <f ca="1" t="shared" si="314"/>
        <v>3012021</v>
      </c>
      <c r="AP1896" s="153">
        <f ca="1">IF(AC1896=0,0,IF(AC1896=12,0,OFFSET(effect!$N$1,MATCH(K1896,effect!M:M,0)-1,0)))</f>
        <v>0</v>
      </c>
    </row>
    <row r="1897" spans="1:42">
      <c r="A1897" s="153">
        <f ca="1" t="shared" si="315"/>
        <v>3012021</v>
      </c>
      <c r="B1897" s="91" t="s">
        <v>884</v>
      </c>
      <c r="C1897" s="186">
        <v>3</v>
      </c>
      <c r="D1897" s="186">
        <v>4</v>
      </c>
      <c r="E1897" s="165" t="s">
        <v>1069</v>
      </c>
      <c r="F1897" s="165" t="str">
        <f>"叠加3层炎息，伤害增加炎息层数*"&amp;skill!$O$139/100&amp;"%"</f>
        <v>叠加3层炎息，伤害增加炎息层数*45%</v>
      </c>
      <c r="G1897" s="186">
        <f ca="1">OFFSET(卡牌辅助配置表!$C$1,MATCH(AC1897,卡牌辅助配置表!A:A,0)-1,0)</f>
        <v>0</v>
      </c>
      <c r="H1897" s="186">
        <f ca="1">OFFSET(skill!$Q$1,MATCH(B1897,skill!B:B,0)-1,0)</f>
        <v>15</v>
      </c>
      <c r="I1897" s="186"/>
      <c r="J1897" s="186">
        <f ca="1">OFFSET(card_type!$F$1,MATCH(Q1897,card_type!A:A,0)-1,0)</f>
        <v>5</v>
      </c>
      <c r="K1897" s="243">
        <f ca="1">OFFSET(card_type!$G$1,MATCH(Q1897,card_type!A:A,0)-1,0)</f>
        <v>4</v>
      </c>
      <c r="L1897" s="157">
        <v>5</v>
      </c>
      <c r="M1897" s="157">
        <v>5</v>
      </c>
      <c r="N1897" s="153">
        <f t="shared" si="316"/>
        <v>21</v>
      </c>
      <c r="O1897" s="157"/>
      <c r="P1897" s="157"/>
      <c r="Q1897" s="153">
        <f ca="1">OFFSET(card_type!$A$1,MATCH(card!B1897,card_type!B:B,0)-1,0)</f>
        <v>3012</v>
      </c>
      <c r="R1897" s="153">
        <v>1</v>
      </c>
      <c r="S1897" s="157">
        <f ca="1">ROUND(IF(R1897=0,0,IF(R1897=1,X1897*$S$1,IF(R1897=2,X1897*$S$1*buff的资质计算!$E$2,IF(R1897=3,X1897*$S$1*buff的资质计算!$E$3,0)))),0)*0</f>
        <v>0</v>
      </c>
      <c r="T1897" s="153">
        <v>5</v>
      </c>
      <c r="U1897" s="153">
        <f ca="1" t="shared" si="317"/>
        <v>54</v>
      </c>
      <c r="V1897" s="153">
        <f ca="1">ROUND((OFFSET(卡牌辅助配置表!$O$1,MATCH(U1897,卡牌辅助配置表!M:M,0)-1,0)+(N1897-1)*OFFSET(卡牌辅助配置表!$P$1,MATCH(U1897,卡牌辅助配置表!M:M,0)-1,0))*M1897,2)</f>
        <v>471.24</v>
      </c>
      <c r="W1897" s="157">
        <f ca="1">ROUND(IF(R1897=0,0,IF(R1897=1,X1897*$W$1,IF(R1897=2,X1897*$W$1*buff的资质计算!$E$2,IF(R1897=3,X1897*$W$1*buff的资质计算!$E$3,0)))),2)</f>
        <v>58.5</v>
      </c>
      <c r="X1897" s="157">
        <f ca="1" t="shared" si="312"/>
        <v>195</v>
      </c>
      <c r="Y1897" s="157">
        <f ca="1" t="shared" si="320"/>
        <v>210</v>
      </c>
      <c r="Z1897" s="304">
        <f ca="1" t="shared" si="313"/>
        <v>42</v>
      </c>
      <c r="AA1897" s="304">
        <f ca="1">OFFSET(卡牌辅助配置表!$AD$1,MATCH(AB1897,卡牌辅助配置表!AB:AB,0)-1,0)</f>
        <v>80514</v>
      </c>
      <c r="AB1897" s="304">
        <f ca="1" t="shared" si="318"/>
        <v>5421</v>
      </c>
      <c r="AC1897" s="153">
        <v>12</v>
      </c>
      <c r="AF1897" s="153" t="str">
        <f ca="1" t="shared" si="321"/>
        <v>30120011|30120012|</v>
      </c>
      <c r="AJ1897" s="205" t="str">
        <f ca="1" t="shared" si="319"/>
        <v>400023|23700|;</v>
      </c>
      <c r="AK1897" s="205">
        <f ca="1">OFFSET([1]item_type!$A$1,MATCH(Q1897,[1]item_type!$G:$G,0)-1,0)</f>
        <v>303012</v>
      </c>
      <c r="AL1897" s="205"/>
      <c r="AM1897" s="205">
        <f ca="1">IF(B1897=B1898,OFFSET(卡牌辅助配置表!$AE$1,MATCH(AB1897,卡牌辅助配置表!AB:AB,0),0),0)</f>
        <v>23700</v>
      </c>
      <c r="AN1897" s="153">
        <f ca="1" t="shared" si="314"/>
        <v>3012022</v>
      </c>
      <c r="AP1897" s="153">
        <f ca="1">IF(AC1897=0,0,IF(AC1897=12,0,OFFSET(effect!$N$1,MATCH(K1897,effect!M:M,0)-1,0)))</f>
        <v>0</v>
      </c>
    </row>
    <row r="1898" spans="1:42">
      <c r="A1898" s="153">
        <f ca="1" t="shared" si="315"/>
        <v>3012022</v>
      </c>
      <c r="B1898" s="91" t="s">
        <v>884</v>
      </c>
      <c r="C1898" s="186">
        <v>3</v>
      </c>
      <c r="D1898" s="186">
        <v>4</v>
      </c>
      <c r="E1898" s="165" t="s">
        <v>1069</v>
      </c>
      <c r="F1898" s="165" t="str">
        <f>"叠加3层炎息，伤害增加炎息层数*"&amp;skill!$O$139/100&amp;"%"</f>
        <v>叠加3层炎息，伤害增加炎息层数*45%</v>
      </c>
      <c r="G1898" s="186">
        <f ca="1">OFFSET(卡牌辅助配置表!$C$1,MATCH(AC1898,卡牌辅助配置表!A:A,0)-1,0)</f>
        <v>0</v>
      </c>
      <c r="H1898" s="186">
        <f ca="1">OFFSET(skill!$Q$1,MATCH(B1898,skill!B:B,0)-1,0)</f>
        <v>15</v>
      </c>
      <c r="I1898" s="186"/>
      <c r="J1898" s="186">
        <f ca="1">OFFSET(card_type!$F$1,MATCH(Q1898,card_type!A:A,0)-1,0)</f>
        <v>5</v>
      </c>
      <c r="K1898" s="243">
        <f ca="1">OFFSET(card_type!$G$1,MATCH(Q1898,card_type!A:A,0)-1,0)</f>
        <v>4</v>
      </c>
      <c r="L1898" s="157">
        <v>5</v>
      </c>
      <c r="M1898" s="157">
        <v>5</v>
      </c>
      <c r="N1898" s="153">
        <f t="shared" si="316"/>
        <v>22</v>
      </c>
      <c r="O1898" s="157"/>
      <c r="P1898" s="157"/>
      <c r="Q1898" s="153">
        <f ca="1">OFFSET(card_type!$A$1,MATCH(card!B1898,card_type!B:B,0)-1,0)</f>
        <v>3012</v>
      </c>
      <c r="R1898" s="153">
        <v>1</v>
      </c>
      <c r="S1898" s="157">
        <f ca="1">ROUND(IF(R1898=0,0,IF(R1898=1,X1898*$S$1,IF(R1898=2,X1898*$S$1*buff的资质计算!$E$2,IF(R1898=3,X1898*$S$1*buff的资质计算!$E$3,0)))),0)*0</f>
        <v>0</v>
      </c>
      <c r="T1898" s="153">
        <v>5</v>
      </c>
      <c r="U1898" s="153">
        <f ca="1" t="shared" si="317"/>
        <v>54</v>
      </c>
      <c r="V1898" s="153">
        <f ca="1">ROUND((OFFSET(卡牌辅助配置表!$O$1,MATCH(U1898,卡牌辅助配置表!M:M,0)-1,0)+(N1898-1)*OFFSET(卡牌辅助配置表!$P$1,MATCH(U1898,卡牌辅助配置表!M:M,0)-1,0))*M1898,2)</f>
        <v>471.24</v>
      </c>
      <c r="W1898" s="157">
        <f ca="1">ROUND(IF(R1898=0,0,IF(R1898=1,X1898*$W$1,IF(R1898=2,X1898*$W$1*buff的资质计算!$E$2,IF(R1898=3,X1898*$W$1*buff的资质计算!$E$3,0)))),2)</f>
        <v>58.65</v>
      </c>
      <c r="X1898" s="157">
        <f ca="1" t="shared" si="312"/>
        <v>195.5</v>
      </c>
      <c r="Y1898" s="157">
        <f ca="1" t="shared" si="320"/>
        <v>210.5</v>
      </c>
      <c r="Z1898" s="304">
        <f ca="1" t="shared" si="313"/>
        <v>42.1</v>
      </c>
      <c r="AA1898" s="304">
        <f ca="1">OFFSET(卡牌辅助配置表!$AD$1,MATCH(AB1898,卡牌辅助配置表!AB:AB,0)-1,0)</f>
        <v>84348</v>
      </c>
      <c r="AB1898" s="304">
        <f ca="1" t="shared" si="318"/>
        <v>5422</v>
      </c>
      <c r="AC1898" s="153">
        <v>12</v>
      </c>
      <c r="AF1898" s="153" t="str">
        <f ca="1" t="shared" si="321"/>
        <v>30120011|30120012|</v>
      </c>
      <c r="AJ1898" s="205" t="str">
        <f ca="1" t="shared" si="319"/>
        <v>400023|26100|;</v>
      </c>
      <c r="AK1898" s="205">
        <f ca="1">OFFSET([1]item_type!$A$1,MATCH(Q1898,[1]item_type!$G:$G,0)-1,0)</f>
        <v>303012</v>
      </c>
      <c r="AL1898" s="205"/>
      <c r="AM1898" s="205">
        <f ca="1">IF(B1898=B1899,OFFSET(卡牌辅助配置表!$AE$1,MATCH(AB1898,卡牌辅助配置表!AB:AB,0),0),0)</f>
        <v>26100</v>
      </c>
      <c r="AN1898" s="153">
        <f ca="1" t="shared" si="314"/>
        <v>3012023</v>
      </c>
      <c r="AP1898" s="153">
        <f ca="1">IF(AC1898=0,0,IF(AC1898=12,0,OFFSET(effect!$N$1,MATCH(K1898,effect!M:M,0)-1,0)))</f>
        <v>0</v>
      </c>
    </row>
    <row r="1899" spans="1:42">
      <c r="A1899" s="153">
        <f ca="1" t="shared" si="315"/>
        <v>3012023</v>
      </c>
      <c r="B1899" s="91" t="s">
        <v>884</v>
      </c>
      <c r="C1899" s="186">
        <v>3</v>
      </c>
      <c r="D1899" s="186">
        <v>4</v>
      </c>
      <c r="E1899" s="165" t="s">
        <v>1069</v>
      </c>
      <c r="F1899" s="165" t="str">
        <f>"叠加3层炎息，伤害增加炎息层数*"&amp;skill!$O$139/100&amp;"%"</f>
        <v>叠加3层炎息，伤害增加炎息层数*45%</v>
      </c>
      <c r="G1899" s="186">
        <f ca="1">OFFSET(卡牌辅助配置表!$C$1,MATCH(AC1899,卡牌辅助配置表!A:A,0)-1,0)</f>
        <v>0</v>
      </c>
      <c r="H1899" s="186">
        <f ca="1">OFFSET(skill!$Q$1,MATCH(B1899,skill!B:B,0)-1,0)</f>
        <v>15</v>
      </c>
      <c r="I1899" s="186"/>
      <c r="J1899" s="186">
        <f ca="1">OFFSET(card_type!$F$1,MATCH(Q1899,card_type!A:A,0)-1,0)</f>
        <v>5</v>
      </c>
      <c r="K1899" s="243">
        <f ca="1">OFFSET(card_type!$G$1,MATCH(Q1899,card_type!A:A,0)-1,0)</f>
        <v>4</v>
      </c>
      <c r="L1899" s="157">
        <v>5</v>
      </c>
      <c r="M1899" s="157">
        <v>5</v>
      </c>
      <c r="N1899" s="153">
        <f t="shared" si="316"/>
        <v>23</v>
      </c>
      <c r="O1899" s="157"/>
      <c r="P1899" s="157"/>
      <c r="Q1899" s="153">
        <f ca="1">OFFSET(card_type!$A$1,MATCH(card!B1899,card_type!B:B,0)-1,0)</f>
        <v>3012</v>
      </c>
      <c r="R1899" s="153">
        <v>1</v>
      </c>
      <c r="S1899" s="157">
        <f ca="1">ROUND(IF(R1899=0,0,IF(R1899=1,X1899*$S$1,IF(R1899=2,X1899*$S$1*buff的资质计算!$E$2,IF(R1899=3,X1899*$S$1*buff的资质计算!$E$3,0)))),0)*0</f>
        <v>0</v>
      </c>
      <c r="T1899" s="153">
        <v>5</v>
      </c>
      <c r="U1899" s="153">
        <f ca="1" t="shared" si="317"/>
        <v>54</v>
      </c>
      <c r="V1899" s="153">
        <f ca="1">ROUND((OFFSET(卡牌辅助配置表!$O$1,MATCH(U1899,卡牌辅助配置表!M:M,0)-1,0)+(N1899-1)*OFFSET(卡牌辅助配置表!$P$1,MATCH(U1899,卡牌辅助配置表!M:M,0)-1,0))*M1899,2)</f>
        <v>471.24</v>
      </c>
      <c r="W1899" s="157">
        <f ca="1">ROUND(IF(R1899=0,0,IF(R1899=1,X1899*$W$1,IF(R1899=2,X1899*$W$1*buff的资质计算!$E$2,IF(R1899=3,X1899*$W$1*buff的资质计算!$E$3,0)))),2)</f>
        <v>58.8</v>
      </c>
      <c r="X1899" s="157">
        <f ca="1" t="shared" si="312"/>
        <v>196</v>
      </c>
      <c r="Y1899" s="157">
        <f ca="1" t="shared" si="320"/>
        <v>211</v>
      </c>
      <c r="Z1899" s="304">
        <f ca="1" t="shared" si="313"/>
        <v>42.2</v>
      </c>
      <c r="AA1899" s="304">
        <f ca="1">OFFSET(卡牌辅助配置表!$AD$1,MATCH(AB1899,卡牌辅助配置表!AB:AB,0)-1,0)</f>
        <v>88182</v>
      </c>
      <c r="AB1899" s="304">
        <f ca="1" t="shared" si="318"/>
        <v>5423</v>
      </c>
      <c r="AC1899" s="153">
        <v>12</v>
      </c>
      <c r="AF1899" s="153" t="str">
        <f ca="1" t="shared" si="321"/>
        <v>30120011|30120012|</v>
      </c>
      <c r="AJ1899" s="205" t="str">
        <f ca="1" t="shared" si="319"/>
        <v>400023|28500|;</v>
      </c>
      <c r="AK1899" s="205">
        <f ca="1">OFFSET([1]item_type!$A$1,MATCH(Q1899,[1]item_type!$G:$G,0)-1,0)</f>
        <v>303012</v>
      </c>
      <c r="AL1899" s="205"/>
      <c r="AM1899" s="205">
        <f ca="1">IF(B1899=B1900,OFFSET(卡牌辅助配置表!$AE$1,MATCH(AB1899,卡牌辅助配置表!AB:AB,0),0),0)</f>
        <v>28500</v>
      </c>
      <c r="AN1899" s="153">
        <f ca="1" t="shared" si="314"/>
        <v>3012024</v>
      </c>
      <c r="AP1899" s="153">
        <f ca="1">IF(AC1899=0,0,IF(AC1899=12,0,OFFSET(effect!$N$1,MATCH(K1899,effect!M:M,0)-1,0)))</f>
        <v>0</v>
      </c>
    </row>
    <row r="1900" spans="1:42">
      <c r="A1900" s="153">
        <f ca="1" t="shared" si="315"/>
        <v>3012024</v>
      </c>
      <c r="B1900" s="91" t="s">
        <v>884</v>
      </c>
      <c r="C1900" s="186">
        <v>3</v>
      </c>
      <c r="D1900" s="186">
        <v>4</v>
      </c>
      <c r="E1900" s="165" t="s">
        <v>1069</v>
      </c>
      <c r="F1900" s="165" t="str">
        <f>"叠加3层炎息，伤害增加炎息层数*"&amp;skill!$O$139/100&amp;"%"</f>
        <v>叠加3层炎息，伤害增加炎息层数*45%</v>
      </c>
      <c r="G1900" s="186">
        <f ca="1">OFFSET(卡牌辅助配置表!$C$1,MATCH(AC1900,卡牌辅助配置表!A:A,0)-1,0)</f>
        <v>0</v>
      </c>
      <c r="H1900" s="186">
        <f ca="1">OFFSET(skill!$Q$1,MATCH(B1900,skill!B:B,0)-1,0)</f>
        <v>15</v>
      </c>
      <c r="I1900" s="186"/>
      <c r="J1900" s="186">
        <f ca="1">OFFSET(card_type!$F$1,MATCH(Q1900,card_type!A:A,0)-1,0)</f>
        <v>5</v>
      </c>
      <c r="K1900" s="243">
        <f ca="1">OFFSET(card_type!$G$1,MATCH(Q1900,card_type!A:A,0)-1,0)</f>
        <v>4</v>
      </c>
      <c r="L1900" s="157">
        <v>5</v>
      </c>
      <c r="M1900" s="157">
        <v>5</v>
      </c>
      <c r="N1900" s="153">
        <f t="shared" si="316"/>
        <v>24</v>
      </c>
      <c r="O1900" s="157"/>
      <c r="P1900" s="157"/>
      <c r="Q1900" s="153">
        <f ca="1">OFFSET(card_type!$A$1,MATCH(card!B1900,card_type!B:B,0)-1,0)</f>
        <v>3012</v>
      </c>
      <c r="R1900" s="153">
        <v>1</v>
      </c>
      <c r="S1900" s="157">
        <f ca="1">ROUND(IF(R1900=0,0,IF(R1900=1,X1900*$S$1,IF(R1900=2,X1900*$S$1*buff的资质计算!$E$2,IF(R1900=3,X1900*$S$1*buff的资质计算!$E$3,0)))),0)*0</f>
        <v>0</v>
      </c>
      <c r="T1900" s="153">
        <v>5</v>
      </c>
      <c r="U1900" s="153">
        <f ca="1" t="shared" si="317"/>
        <v>54</v>
      </c>
      <c r="V1900" s="153">
        <f ca="1">ROUND((OFFSET(卡牌辅助配置表!$O$1,MATCH(U1900,卡牌辅助配置表!M:M,0)-1,0)+(N1900-1)*OFFSET(卡牌辅助配置表!$P$1,MATCH(U1900,卡牌辅助配置表!M:M,0)-1,0))*M1900,2)</f>
        <v>471.24</v>
      </c>
      <c r="W1900" s="157">
        <f ca="1">ROUND(IF(R1900=0,0,IF(R1900=1,X1900*$W$1,IF(R1900=2,X1900*$W$1*buff的资质计算!$E$2,IF(R1900=3,X1900*$W$1*buff的资质计算!$E$3,0)))),2)</f>
        <v>58.95</v>
      </c>
      <c r="X1900" s="157">
        <f ca="1" t="shared" si="312"/>
        <v>196.5</v>
      </c>
      <c r="Y1900" s="157">
        <f ca="1" t="shared" si="320"/>
        <v>211.5</v>
      </c>
      <c r="Z1900" s="304">
        <f ca="1" t="shared" si="313"/>
        <v>42.3</v>
      </c>
      <c r="AA1900" s="304">
        <f ca="1">OFFSET(卡牌辅助配置表!$AD$1,MATCH(AB1900,卡牌辅助配置表!AB:AB,0)-1,0)</f>
        <v>92016</v>
      </c>
      <c r="AB1900" s="304">
        <f ca="1" t="shared" si="318"/>
        <v>5424</v>
      </c>
      <c r="AC1900" s="153">
        <v>12</v>
      </c>
      <c r="AF1900" s="153" t="str">
        <f ca="1" t="shared" si="321"/>
        <v>30120011|30120012|</v>
      </c>
      <c r="AJ1900" s="205" t="str">
        <f ca="1" t="shared" si="319"/>
        <v>400023|30900|;</v>
      </c>
      <c r="AK1900" s="205">
        <f ca="1">OFFSET([1]item_type!$A$1,MATCH(Q1900,[1]item_type!$G:$G,0)-1,0)</f>
        <v>303012</v>
      </c>
      <c r="AL1900" s="205"/>
      <c r="AM1900" s="205">
        <f ca="1">IF(B1900=B1901,OFFSET(卡牌辅助配置表!$AE$1,MATCH(AB1900,卡牌辅助配置表!AB:AB,0),0),0)</f>
        <v>30900</v>
      </c>
      <c r="AN1900" s="153">
        <f ca="1" t="shared" si="314"/>
        <v>3012025</v>
      </c>
      <c r="AP1900" s="153">
        <f ca="1">IF(AC1900=0,0,IF(AC1900=12,0,OFFSET(effect!$N$1,MATCH(K1900,effect!M:M,0)-1,0)))</f>
        <v>0</v>
      </c>
    </row>
    <row r="1901" spans="1:42">
      <c r="A1901" s="153">
        <f ca="1" t="shared" si="315"/>
        <v>3012025</v>
      </c>
      <c r="B1901" s="91" t="s">
        <v>884</v>
      </c>
      <c r="C1901" s="186">
        <v>3</v>
      </c>
      <c r="D1901" s="186">
        <v>4</v>
      </c>
      <c r="E1901" s="165" t="s">
        <v>1069</v>
      </c>
      <c r="F1901" s="165" t="str">
        <f>"叠加3层炎息，伤害增加炎息层数*"&amp;skill!$O$139/100&amp;"%"</f>
        <v>叠加3层炎息，伤害增加炎息层数*45%</v>
      </c>
      <c r="G1901" s="186">
        <f ca="1">OFFSET(卡牌辅助配置表!$C$1,MATCH(AC1901,卡牌辅助配置表!A:A,0)-1,0)</f>
        <v>0</v>
      </c>
      <c r="H1901" s="186">
        <f ca="1">OFFSET(skill!$Q$1,MATCH(B1901,skill!B:B,0)-1,0)</f>
        <v>15</v>
      </c>
      <c r="I1901" s="186"/>
      <c r="J1901" s="186">
        <f ca="1">OFFSET(card_type!$F$1,MATCH(Q1901,card_type!A:A,0)-1,0)</f>
        <v>5</v>
      </c>
      <c r="K1901" s="243">
        <f ca="1">OFFSET(card_type!$G$1,MATCH(Q1901,card_type!A:A,0)-1,0)</f>
        <v>4</v>
      </c>
      <c r="L1901" s="157">
        <v>5</v>
      </c>
      <c r="M1901" s="157">
        <v>5</v>
      </c>
      <c r="N1901" s="153">
        <f t="shared" si="316"/>
        <v>25</v>
      </c>
      <c r="O1901" s="157"/>
      <c r="P1901" s="157"/>
      <c r="Q1901" s="153">
        <f ca="1">OFFSET(card_type!$A$1,MATCH(card!B1901,card_type!B:B,0)-1,0)</f>
        <v>3012</v>
      </c>
      <c r="R1901" s="153">
        <v>1</v>
      </c>
      <c r="S1901" s="157">
        <f ca="1">ROUND(IF(R1901=0,0,IF(R1901=1,X1901*$S$1,IF(R1901=2,X1901*$S$1*buff的资质计算!$E$2,IF(R1901=3,X1901*$S$1*buff的资质计算!$E$3,0)))),0)*0</f>
        <v>0</v>
      </c>
      <c r="T1901" s="153">
        <v>5</v>
      </c>
      <c r="U1901" s="153">
        <f ca="1" t="shared" si="317"/>
        <v>54</v>
      </c>
      <c r="V1901" s="153">
        <f ca="1">ROUND((OFFSET(卡牌辅助配置表!$O$1,MATCH(U1901,卡牌辅助配置表!M:M,0)-1,0)+(N1901-1)*OFFSET(卡牌辅助配置表!$P$1,MATCH(U1901,卡牌辅助配置表!M:M,0)-1,0))*M1901,2)</f>
        <v>471.24</v>
      </c>
      <c r="W1901" s="157">
        <f ca="1">ROUND(IF(R1901=0,0,IF(R1901=1,X1901*$W$1,IF(R1901=2,X1901*$W$1*buff的资质计算!$E$2,IF(R1901=3,X1901*$W$1*buff的资质计算!$E$3,0)))),2)</f>
        <v>59.1</v>
      </c>
      <c r="X1901" s="157">
        <f ca="1" t="shared" si="312"/>
        <v>197</v>
      </c>
      <c r="Y1901" s="157">
        <f ca="1" t="shared" si="320"/>
        <v>212</v>
      </c>
      <c r="Z1901" s="304">
        <f ca="1" t="shared" si="313"/>
        <v>42.4</v>
      </c>
      <c r="AA1901" s="304">
        <f ca="1">OFFSET(卡牌辅助配置表!$AD$1,MATCH(AB1901,卡牌辅助配置表!AB:AB,0)-1,0)</f>
        <v>95850</v>
      </c>
      <c r="AB1901" s="304">
        <f ca="1" t="shared" si="318"/>
        <v>5425</v>
      </c>
      <c r="AC1901" s="153">
        <v>12</v>
      </c>
      <c r="AF1901" s="153" t="str">
        <f ca="1" t="shared" si="321"/>
        <v>30120011|30120012|</v>
      </c>
      <c r="AJ1901" s="205" t="str">
        <f ca="1" t="shared" si="319"/>
        <v>400023|33300|;</v>
      </c>
      <c r="AK1901" s="205">
        <f ca="1">OFFSET([1]item_type!$A$1,MATCH(Q1901,[1]item_type!$G:$G,0)-1,0)</f>
        <v>303012</v>
      </c>
      <c r="AL1901" s="205"/>
      <c r="AM1901" s="205">
        <f ca="1">IF(B1901=B1902,OFFSET(卡牌辅助配置表!$AE$1,MATCH(AB1901,卡牌辅助配置表!AB:AB,0),0),0)</f>
        <v>33300</v>
      </c>
      <c r="AN1901" s="153">
        <f ca="1" t="shared" si="314"/>
        <v>3012026</v>
      </c>
      <c r="AP1901" s="153">
        <f ca="1">IF(AC1901=0,0,IF(AC1901=12,0,OFFSET(effect!$N$1,MATCH(K1901,effect!M:M,0)-1,0)))</f>
        <v>0</v>
      </c>
    </row>
    <row r="1902" spans="1:42">
      <c r="A1902" s="153">
        <f ca="1" t="shared" si="315"/>
        <v>3012026</v>
      </c>
      <c r="B1902" s="91" t="s">
        <v>884</v>
      </c>
      <c r="C1902" s="186">
        <v>3</v>
      </c>
      <c r="D1902" s="186">
        <v>4</v>
      </c>
      <c r="E1902" s="165" t="s">
        <v>1069</v>
      </c>
      <c r="F1902" s="165" t="str">
        <f>"叠加3层炎息，伤害增加炎息层数*"&amp;skill!$O$139/100&amp;"%"</f>
        <v>叠加3层炎息，伤害增加炎息层数*45%</v>
      </c>
      <c r="G1902" s="186">
        <f ca="1">OFFSET(卡牌辅助配置表!$C$1,MATCH(AC1902,卡牌辅助配置表!A:A,0)-1,0)</f>
        <v>0</v>
      </c>
      <c r="H1902" s="186">
        <f ca="1">OFFSET(skill!$Q$1,MATCH(B1902,skill!B:B,0)-1,0)</f>
        <v>15</v>
      </c>
      <c r="I1902" s="186"/>
      <c r="J1902" s="186">
        <f ca="1">OFFSET(card_type!$F$1,MATCH(Q1902,card_type!A:A,0)-1,0)</f>
        <v>5</v>
      </c>
      <c r="K1902" s="243">
        <f ca="1">OFFSET(card_type!$G$1,MATCH(Q1902,card_type!A:A,0)-1,0)</f>
        <v>4</v>
      </c>
      <c r="L1902" s="157">
        <v>5</v>
      </c>
      <c r="M1902" s="157">
        <v>5</v>
      </c>
      <c r="N1902" s="153">
        <f t="shared" si="316"/>
        <v>26</v>
      </c>
      <c r="O1902" s="157"/>
      <c r="P1902" s="157"/>
      <c r="Q1902" s="153">
        <f ca="1">OFFSET(card_type!$A$1,MATCH(card!B1902,card_type!B:B,0)-1,0)</f>
        <v>3012</v>
      </c>
      <c r="R1902" s="153">
        <v>1</v>
      </c>
      <c r="S1902" s="157">
        <f ca="1">ROUND(IF(R1902=0,0,IF(R1902=1,X1902*$S$1,IF(R1902=2,X1902*$S$1*buff的资质计算!$E$2,IF(R1902=3,X1902*$S$1*buff的资质计算!$E$3,0)))),0)*0</f>
        <v>0</v>
      </c>
      <c r="T1902" s="153">
        <v>5</v>
      </c>
      <c r="U1902" s="153">
        <f ca="1" t="shared" si="317"/>
        <v>54</v>
      </c>
      <c r="V1902" s="153">
        <f ca="1">ROUND((OFFSET(卡牌辅助配置表!$O$1,MATCH(U1902,卡牌辅助配置表!M:M,0)-1,0)+(N1902-1)*OFFSET(卡牌辅助配置表!$P$1,MATCH(U1902,卡牌辅助配置表!M:M,0)-1,0))*M1902,2)</f>
        <v>471.24</v>
      </c>
      <c r="W1902" s="157">
        <f ca="1">ROUND(IF(R1902=0,0,IF(R1902=1,X1902*$W$1,IF(R1902=2,X1902*$W$1*buff的资质计算!$E$2,IF(R1902=3,X1902*$W$1*buff的资质计算!$E$3,0)))),2)</f>
        <v>59.25</v>
      </c>
      <c r="X1902" s="157">
        <f ca="1" t="shared" si="312"/>
        <v>197.5</v>
      </c>
      <c r="Y1902" s="157">
        <f ca="1" t="shared" si="320"/>
        <v>212.5</v>
      </c>
      <c r="Z1902" s="304">
        <f ca="1" t="shared" si="313"/>
        <v>42.5</v>
      </c>
      <c r="AA1902" s="304">
        <f ca="1">OFFSET(卡牌辅助配置表!$AD$1,MATCH(AB1902,卡牌辅助配置表!AB:AB,0)-1,0)</f>
        <v>99684</v>
      </c>
      <c r="AB1902" s="304">
        <f ca="1" t="shared" si="318"/>
        <v>5426</v>
      </c>
      <c r="AC1902" s="153">
        <v>12</v>
      </c>
      <c r="AF1902" s="153" t="str">
        <f ca="1" t="shared" si="321"/>
        <v>30120011|30120012|</v>
      </c>
      <c r="AJ1902" s="205" t="str">
        <f ca="1" t="shared" si="319"/>
        <v>400023|35700|;</v>
      </c>
      <c r="AK1902" s="205">
        <f ca="1">OFFSET([1]item_type!$A$1,MATCH(Q1902,[1]item_type!$G:$G,0)-1,0)</f>
        <v>303012</v>
      </c>
      <c r="AL1902" s="205"/>
      <c r="AM1902" s="205">
        <f ca="1">IF(B1902=B1903,OFFSET(卡牌辅助配置表!$AE$1,MATCH(AB1902,卡牌辅助配置表!AB:AB,0),0),0)</f>
        <v>35700</v>
      </c>
      <c r="AN1902" s="153">
        <f ca="1" t="shared" si="314"/>
        <v>3012027</v>
      </c>
      <c r="AP1902" s="153">
        <f ca="1">IF(AC1902=0,0,IF(AC1902=12,0,OFFSET(effect!$N$1,MATCH(K1902,effect!M:M,0)-1,0)))</f>
        <v>0</v>
      </c>
    </row>
    <row r="1903" spans="1:42">
      <c r="A1903" s="153">
        <f ca="1" t="shared" si="315"/>
        <v>3012027</v>
      </c>
      <c r="B1903" s="91" t="s">
        <v>884</v>
      </c>
      <c r="C1903" s="186">
        <v>3</v>
      </c>
      <c r="D1903" s="186">
        <v>4</v>
      </c>
      <c r="E1903" s="165" t="s">
        <v>1069</v>
      </c>
      <c r="F1903" s="165" t="str">
        <f>"叠加3层炎息，伤害增加炎息层数*"&amp;skill!$O$139/100&amp;"%"</f>
        <v>叠加3层炎息，伤害增加炎息层数*45%</v>
      </c>
      <c r="G1903" s="186">
        <f ca="1">OFFSET(卡牌辅助配置表!$C$1,MATCH(AC1903,卡牌辅助配置表!A:A,0)-1,0)</f>
        <v>0</v>
      </c>
      <c r="H1903" s="186">
        <f ca="1">OFFSET(skill!$Q$1,MATCH(B1903,skill!B:B,0)-1,0)</f>
        <v>15</v>
      </c>
      <c r="I1903" s="186"/>
      <c r="J1903" s="186">
        <f ca="1">OFFSET(card_type!$F$1,MATCH(Q1903,card_type!A:A,0)-1,0)</f>
        <v>5</v>
      </c>
      <c r="K1903" s="243">
        <f ca="1">OFFSET(card_type!$G$1,MATCH(Q1903,card_type!A:A,0)-1,0)</f>
        <v>4</v>
      </c>
      <c r="L1903" s="157">
        <v>5</v>
      </c>
      <c r="M1903" s="157">
        <v>5</v>
      </c>
      <c r="N1903" s="153">
        <f t="shared" si="316"/>
        <v>27</v>
      </c>
      <c r="O1903" s="157"/>
      <c r="P1903" s="157"/>
      <c r="Q1903" s="153">
        <f ca="1">OFFSET(card_type!$A$1,MATCH(card!B1903,card_type!B:B,0)-1,0)</f>
        <v>3012</v>
      </c>
      <c r="R1903" s="153">
        <v>1</v>
      </c>
      <c r="S1903" s="157">
        <f ca="1">ROUND(IF(R1903=0,0,IF(R1903=1,X1903*$S$1,IF(R1903=2,X1903*$S$1*buff的资质计算!$E$2,IF(R1903=3,X1903*$S$1*buff的资质计算!$E$3,0)))),0)*0</f>
        <v>0</v>
      </c>
      <c r="T1903" s="153">
        <v>5</v>
      </c>
      <c r="U1903" s="153">
        <f ca="1" t="shared" si="317"/>
        <v>54</v>
      </c>
      <c r="V1903" s="153">
        <f ca="1">ROUND((OFFSET(卡牌辅助配置表!$O$1,MATCH(U1903,卡牌辅助配置表!M:M,0)-1,0)+(N1903-1)*OFFSET(卡牌辅助配置表!$P$1,MATCH(U1903,卡牌辅助配置表!M:M,0)-1,0))*M1903,2)</f>
        <v>471.24</v>
      </c>
      <c r="W1903" s="157">
        <f ca="1">ROUND(IF(R1903=0,0,IF(R1903=1,X1903*$W$1,IF(R1903=2,X1903*$W$1*buff的资质计算!$E$2,IF(R1903=3,X1903*$W$1*buff的资质计算!$E$3,0)))),2)</f>
        <v>59.4</v>
      </c>
      <c r="X1903" s="157">
        <f ca="1" t="shared" si="312"/>
        <v>198</v>
      </c>
      <c r="Y1903" s="157">
        <f ca="1" t="shared" si="320"/>
        <v>213</v>
      </c>
      <c r="Z1903" s="304">
        <f ca="1" t="shared" si="313"/>
        <v>42.6</v>
      </c>
      <c r="AA1903" s="304">
        <f ca="1">OFFSET(卡牌辅助配置表!$AD$1,MATCH(AB1903,卡牌辅助配置表!AB:AB,0)-1,0)</f>
        <v>103518</v>
      </c>
      <c r="AB1903" s="304">
        <f ca="1" t="shared" si="318"/>
        <v>5427</v>
      </c>
      <c r="AC1903" s="153">
        <v>12</v>
      </c>
      <c r="AF1903" s="153" t="str">
        <f ca="1" t="shared" si="321"/>
        <v>30120011|30120012|</v>
      </c>
      <c r="AJ1903" s="205" t="str">
        <f ca="1" t="shared" si="319"/>
        <v>400023|38100|;</v>
      </c>
      <c r="AK1903" s="205">
        <f ca="1">OFFSET([1]item_type!$A$1,MATCH(Q1903,[1]item_type!$G:$G,0)-1,0)</f>
        <v>303012</v>
      </c>
      <c r="AL1903" s="205"/>
      <c r="AM1903" s="205">
        <f ca="1">IF(B1903=B1904,OFFSET(卡牌辅助配置表!$AE$1,MATCH(AB1903,卡牌辅助配置表!AB:AB,0),0),0)</f>
        <v>38100</v>
      </c>
      <c r="AN1903" s="153">
        <f ca="1" t="shared" si="314"/>
        <v>3012028</v>
      </c>
      <c r="AP1903" s="153">
        <f ca="1">IF(AC1903=0,0,IF(AC1903=12,0,OFFSET(effect!$N$1,MATCH(K1903,effect!M:M,0)-1,0)))</f>
        <v>0</v>
      </c>
    </row>
    <row r="1904" spans="1:42">
      <c r="A1904" s="153">
        <f ca="1" t="shared" si="315"/>
        <v>3012028</v>
      </c>
      <c r="B1904" s="91" t="s">
        <v>884</v>
      </c>
      <c r="C1904" s="186">
        <v>3</v>
      </c>
      <c r="D1904" s="186">
        <v>4</v>
      </c>
      <c r="E1904" s="165" t="s">
        <v>1069</v>
      </c>
      <c r="F1904" s="165" t="str">
        <f>"叠加3层炎息，伤害增加炎息层数*"&amp;skill!$O$139/100&amp;"%"</f>
        <v>叠加3层炎息，伤害增加炎息层数*45%</v>
      </c>
      <c r="G1904" s="186">
        <f ca="1">OFFSET(卡牌辅助配置表!$C$1,MATCH(AC1904,卡牌辅助配置表!A:A,0)-1,0)</f>
        <v>0</v>
      </c>
      <c r="H1904" s="186">
        <f ca="1">OFFSET(skill!$Q$1,MATCH(B1904,skill!B:B,0)-1,0)</f>
        <v>15</v>
      </c>
      <c r="I1904" s="186"/>
      <c r="J1904" s="186">
        <f ca="1">OFFSET(card_type!$F$1,MATCH(Q1904,card_type!A:A,0)-1,0)</f>
        <v>5</v>
      </c>
      <c r="K1904" s="243">
        <f ca="1">OFFSET(card_type!$G$1,MATCH(Q1904,card_type!A:A,0)-1,0)</f>
        <v>4</v>
      </c>
      <c r="L1904" s="157">
        <v>5</v>
      </c>
      <c r="M1904" s="157">
        <v>5</v>
      </c>
      <c r="N1904" s="153">
        <f t="shared" si="316"/>
        <v>28</v>
      </c>
      <c r="O1904" s="157"/>
      <c r="P1904" s="157"/>
      <c r="Q1904" s="153">
        <f ca="1">OFFSET(card_type!$A$1,MATCH(card!B1904,card_type!B:B,0)-1,0)</f>
        <v>3012</v>
      </c>
      <c r="R1904" s="153">
        <v>1</v>
      </c>
      <c r="S1904" s="157">
        <f ca="1">ROUND(IF(R1904=0,0,IF(R1904=1,X1904*$S$1,IF(R1904=2,X1904*$S$1*buff的资质计算!$E$2,IF(R1904=3,X1904*$S$1*buff的资质计算!$E$3,0)))),0)*0</f>
        <v>0</v>
      </c>
      <c r="T1904" s="153">
        <v>5</v>
      </c>
      <c r="U1904" s="153">
        <f ca="1" t="shared" si="317"/>
        <v>54</v>
      </c>
      <c r="V1904" s="153">
        <f ca="1">ROUND((OFFSET(卡牌辅助配置表!$O$1,MATCH(U1904,卡牌辅助配置表!M:M,0)-1,0)+(N1904-1)*OFFSET(卡牌辅助配置表!$P$1,MATCH(U1904,卡牌辅助配置表!M:M,0)-1,0))*M1904,2)</f>
        <v>471.24</v>
      </c>
      <c r="W1904" s="157">
        <f ca="1">ROUND(IF(R1904=0,0,IF(R1904=1,X1904*$W$1,IF(R1904=2,X1904*$W$1*buff的资质计算!$E$2,IF(R1904=3,X1904*$W$1*buff的资质计算!$E$3,0)))),2)</f>
        <v>59.55</v>
      </c>
      <c r="X1904" s="157">
        <f ca="1" t="shared" si="312"/>
        <v>198.5</v>
      </c>
      <c r="Y1904" s="157">
        <f ca="1" t="shared" si="320"/>
        <v>213.5</v>
      </c>
      <c r="Z1904" s="304">
        <f ca="1" t="shared" si="313"/>
        <v>42.7</v>
      </c>
      <c r="AA1904" s="304">
        <f ca="1">OFFSET(卡牌辅助配置表!$AD$1,MATCH(AB1904,卡牌辅助配置表!AB:AB,0)-1,0)</f>
        <v>107352</v>
      </c>
      <c r="AB1904" s="304">
        <f ca="1" t="shared" si="318"/>
        <v>5428</v>
      </c>
      <c r="AC1904" s="153">
        <v>12</v>
      </c>
      <c r="AF1904" s="153" t="str">
        <f ca="1" t="shared" si="321"/>
        <v>30120011|30120012|</v>
      </c>
      <c r="AJ1904" s="205" t="str">
        <f ca="1" t="shared" si="319"/>
        <v>400023|40500|;</v>
      </c>
      <c r="AK1904" s="205">
        <f ca="1">OFFSET([1]item_type!$A$1,MATCH(Q1904,[1]item_type!$G:$G,0)-1,0)</f>
        <v>303012</v>
      </c>
      <c r="AL1904" s="205"/>
      <c r="AM1904" s="205">
        <f ca="1">IF(B1904=B1905,OFFSET(卡牌辅助配置表!$AE$1,MATCH(AB1904,卡牌辅助配置表!AB:AB,0),0),0)</f>
        <v>40500</v>
      </c>
      <c r="AN1904" s="153">
        <f ca="1" t="shared" si="314"/>
        <v>3012029</v>
      </c>
      <c r="AP1904" s="153">
        <f ca="1">IF(AC1904=0,0,IF(AC1904=12,0,OFFSET(effect!$N$1,MATCH(K1904,effect!M:M,0)-1,0)))</f>
        <v>0</v>
      </c>
    </row>
    <row r="1905" spans="1:42">
      <c r="A1905" s="153">
        <f ca="1" t="shared" si="315"/>
        <v>3012029</v>
      </c>
      <c r="B1905" s="91" t="s">
        <v>884</v>
      </c>
      <c r="C1905" s="186">
        <v>3</v>
      </c>
      <c r="D1905" s="186">
        <v>4</v>
      </c>
      <c r="E1905" s="165" t="s">
        <v>1069</v>
      </c>
      <c r="F1905" s="165" t="str">
        <f>"叠加3层炎息，伤害增加炎息层数*"&amp;skill!$O$139/100&amp;"%"</f>
        <v>叠加3层炎息，伤害增加炎息层数*45%</v>
      </c>
      <c r="G1905" s="186">
        <f ca="1">OFFSET(卡牌辅助配置表!$C$1,MATCH(AC1905,卡牌辅助配置表!A:A,0)-1,0)</f>
        <v>0</v>
      </c>
      <c r="H1905" s="186">
        <f ca="1">OFFSET(skill!$Q$1,MATCH(B1905,skill!B:B,0)-1,0)</f>
        <v>15</v>
      </c>
      <c r="I1905" s="186"/>
      <c r="J1905" s="186">
        <f ca="1">OFFSET(card_type!$F$1,MATCH(Q1905,card_type!A:A,0)-1,0)</f>
        <v>5</v>
      </c>
      <c r="K1905" s="243">
        <f ca="1">OFFSET(card_type!$G$1,MATCH(Q1905,card_type!A:A,0)-1,0)</f>
        <v>4</v>
      </c>
      <c r="L1905" s="157">
        <v>5</v>
      </c>
      <c r="M1905" s="157">
        <v>5</v>
      </c>
      <c r="N1905" s="153">
        <f t="shared" si="316"/>
        <v>29</v>
      </c>
      <c r="O1905" s="157"/>
      <c r="P1905" s="157"/>
      <c r="Q1905" s="153">
        <f ca="1">OFFSET(card_type!$A$1,MATCH(card!B1905,card_type!B:B,0)-1,0)</f>
        <v>3012</v>
      </c>
      <c r="R1905" s="153">
        <v>1</v>
      </c>
      <c r="S1905" s="157">
        <f ca="1">ROUND(IF(R1905=0,0,IF(R1905=1,X1905*$S$1,IF(R1905=2,X1905*$S$1*buff的资质计算!$E$2,IF(R1905=3,X1905*$S$1*buff的资质计算!$E$3,0)))),0)*0</f>
        <v>0</v>
      </c>
      <c r="T1905" s="153">
        <v>5</v>
      </c>
      <c r="U1905" s="153">
        <f ca="1" t="shared" si="317"/>
        <v>54</v>
      </c>
      <c r="V1905" s="153">
        <f ca="1">ROUND((OFFSET(卡牌辅助配置表!$O$1,MATCH(U1905,卡牌辅助配置表!M:M,0)-1,0)+(N1905-1)*OFFSET(卡牌辅助配置表!$P$1,MATCH(U1905,卡牌辅助配置表!M:M,0)-1,0))*M1905,2)</f>
        <v>471.24</v>
      </c>
      <c r="W1905" s="157">
        <f ca="1">ROUND(IF(R1905=0,0,IF(R1905=1,X1905*$W$1,IF(R1905=2,X1905*$W$1*buff的资质计算!$E$2,IF(R1905=3,X1905*$W$1*buff的资质计算!$E$3,0)))),2)</f>
        <v>59.7</v>
      </c>
      <c r="X1905" s="157">
        <f ca="1" t="shared" si="312"/>
        <v>199</v>
      </c>
      <c r="Y1905" s="157">
        <f ca="1" t="shared" si="320"/>
        <v>214</v>
      </c>
      <c r="Z1905" s="304">
        <f ca="1" t="shared" si="313"/>
        <v>42.8</v>
      </c>
      <c r="AA1905" s="304">
        <f ca="1">OFFSET(卡牌辅助配置表!$AD$1,MATCH(AB1905,卡牌辅助配置表!AB:AB,0)-1,0)</f>
        <v>111186</v>
      </c>
      <c r="AB1905" s="304">
        <f ca="1" t="shared" si="318"/>
        <v>5429</v>
      </c>
      <c r="AC1905" s="153">
        <v>12</v>
      </c>
      <c r="AF1905" s="153" t="str">
        <f ca="1" t="shared" si="321"/>
        <v>30120011|30120012|</v>
      </c>
      <c r="AJ1905" s="205" t="str">
        <f ca="1" t="shared" si="319"/>
        <v>303012|30|;400023|42900|;</v>
      </c>
      <c r="AK1905" s="205">
        <f ca="1">OFFSET([1]item_type!$A$1,MATCH(Q1905,[1]item_type!$G:$G,0)-1,0)</f>
        <v>303012</v>
      </c>
      <c r="AL1905" s="205">
        <v>30</v>
      </c>
      <c r="AM1905" s="205">
        <f ca="1">IF(B1905=B1906,OFFSET(卡牌辅助配置表!$AE$1,MATCH(AB1905,卡牌辅助配置表!AB:AB,0),0),0)</f>
        <v>42900</v>
      </c>
      <c r="AN1905" s="153">
        <f ca="1" t="shared" si="314"/>
        <v>3012030</v>
      </c>
      <c r="AP1905" s="153">
        <f ca="1">IF(AC1905=0,0,IF(AC1905=12,0,OFFSET(effect!$N$1,MATCH(K1905,effect!M:M,0)-1,0)))</f>
        <v>0</v>
      </c>
    </row>
    <row r="1906" spans="1:42">
      <c r="A1906" s="153">
        <f ca="1" t="shared" si="315"/>
        <v>3012030</v>
      </c>
      <c r="B1906" s="91" t="s">
        <v>884</v>
      </c>
      <c r="C1906" s="186">
        <v>3</v>
      </c>
      <c r="D1906" s="186">
        <v>4</v>
      </c>
      <c r="E1906" s="165" t="s">
        <v>1069</v>
      </c>
      <c r="F1906" s="165" t="str">
        <f>"叠加3层炎息，伤害增加炎息层数*"&amp;skill!$O$139/100&amp;"%"</f>
        <v>叠加3层炎息，伤害增加炎息层数*45%</v>
      </c>
      <c r="G1906" s="186">
        <f ca="1">OFFSET(卡牌辅助配置表!$C$1,MATCH(AC1906,卡牌辅助配置表!A:A,0)-1,0)</f>
        <v>0</v>
      </c>
      <c r="H1906" s="186">
        <f ca="1">OFFSET(skill!$Q$1,MATCH(B1906,skill!B:B,0)-1,0)</f>
        <v>15</v>
      </c>
      <c r="I1906" s="186"/>
      <c r="J1906" s="186">
        <f ca="1">OFFSET(card_type!$F$1,MATCH(Q1906,card_type!A:A,0)-1,0)</f>
        <v>5</v>
      </c>
      <c r="K1906" s="243">
        <f ca="1">OFFSET(card_type!$G$1,MATCH(Q1906,card_type!A:A,0)-1,0)</f>
        <v>4</v>
      </c>
      <c r="L1906" s="157">
        <v>5</v>
      </c>
      <c r="M1906" s="157">
        <v>5</v>
      </c>
      <c r="N1906" s="153">
        <f t="shared" si="316"/>
        <v>30</v>
      </c>
      <c r="O1906" s="157"/>
      <c r="P1906" s="157"/>
      <c r="Q1906" s="153">
        <f ca="1">OFFSET(card_type!$A$1,MATCH(card!B1906,card_type!B:B,0)-1,0)</f>
        <v>3012</v>
      </c>
      <c r="R1906" s="153">
        <v>1</v>
      </c>
      <c r="S1906" s="157">
        <f ca="1">ROUND(IF(R1906=0,0,IF(R1906=1,X1906*$S$1,IF(R1906=2,X1906*$S$1*buff的资质计算!$E$2,IF(R1906=3,X1906*$S$1*buff的资质计算!$E$3,0)))),0)*0</f>
        <v>0</v>
      </c>
      <c r="T1906" s="153">
        <v>5</v>
      </c>
      <c r="U1906" s="153">
        <f ca="1" t="shared" si="317"/>
        <v>54</v>
      </c>
      <c r="V1906" s="153">
        <f ca="1">ROUND((OFFSET(卡牌辅助配置表!$O$1,MATCH(U1906,卡牌辅助配置表!M:M,0)-1,0)+(N1906-1)*OFFSET(卡牌辅助配置表!$P$1,MATCH(U1906,卡牌辅助配置表!M:M,0)-1,0))*M1906,2)</f>
        <v>471.24</v>
      </c>
      <c r="W1906" s="157">
        <f ca="1">ROUND(IF(R1906=0,0,IF(R1906=1,X1906*$W$1,IF(R1906=2,X1906*$W$1*buff的资质计算!$E$2,IF(R1906=3,X1906*$W$1*buff的资质计算!$E$3,0)))),2)</f>
        <v>59.85</v>
      </c>
      <c r="X1906" s="157">
        <f ca="1" t="shared" si="312"/>
        <v>199.5</v>
      </c>
      <c r="Y1906" s="157">
        <f ca="1" t="shared" si="320"/>
        <v>214.5</v>
      </c>
      <c r="Z1906" s="304">
        <f ca="1" t="shared" si="313"/>
        <v>42.9</v>
      </c>
      <c r="AA1906" s="304">
        <f ca="1">OFFSET(卡牌辅助配置表!$AD$1,MATCH(AB1906,卡牌辅助配置表!AB:AB,0)-1,0)</f>
        <v>115020</v>
      </c>
      <c r="AB1906" s="304">
        <f ca="1" t="shared" si="318"/>
        <v>5430</v>
      </c>
      <c r="AC1906" s="153">
        <v>12</v>
      </c>
      <c r="AF1906" s="153" t="str">
        <f ca="1" t="shared" si="321"/>
        <v>30120011|30120012|</v>
      </c>
      <c r="AJ1906" s="205">
        <f ca="1" t="shared" si="319"/>
        <v>0</v>
      </c>
      <c r="AK1906" s="205">
        <f ca="1">OFFSET([1]item_type!$A$1,MATCH(Q1906,[1]item_type!$G:$G,0)-1,0)</f>
        <v>303012</v>
      </c>
      <c r="AL1906" s="205"/>
      <c r="AM1906" s="205">
        <f ca="1">IF(B1906=B1907,OFFSET(卡牌辅助配置表!$AE$1,MATCH(AB1906,卡牌辅助配置表!AB:AB,0),0),0)</f>
        <v>0</v>
      </c>
      <c r="AN1906" s="153">
        <f ca="1" t="shared" si="314"/>
        <v>0</v>
      </c>
      <c r="AP1906" s="153">
        <f ca="1">IF(AC1906=0,0,IF(AC1906=12,0,OFFSET(effect!$N$1,MATCH(K1906,effect!M:M,0)-1,0)))</f>
        <v>0</v>
      </c>
    </row>
    <row r="1907" spans="1:42">
      <c r="A1907" s="153">
        <f ca="1" t="shared" si="315"/>
        <v>3013001</v>
      </c>
      <c r="B1907" s="91" t="s">
        <v>359</v>
      </c>
      <c r="C1907" s="186">
        <v>3</v>
      </c>
      <c r="D1907" s="186">
        <v>3</v>
      </c>
      <c r="E1907" s="165" t="s">
        <v>1069</v>
      </c>
      <c r="F1907" s="179" t="s">
        <v>1059</v>
      </c>
      <c r="G1907" s="186">
        <f ca="1">OFFSET(卡牌辅助配置表!$C$1,MATCH(AC1907,卡牌辅助配置表!A:A,0)-1,0)</f>
        <v>0</v>
      </c>
      <c r="H1907" s="186">
        <f ca="1">OFFSET(skill!$Q$1,MATCH(B1907,skill!B:B,0)-1,0)</f>
        <v>5</v>
      </c>
      <c r="I1907" s="186"/>
      <c r="J1907" s="186">
        <f ca="1">OFFSET(card_type!$F$1,MATCH(Q1907,card_type!A:A,0)-1,0)</f>
        <v>1</v>
      </c>
      <c r="K1907" s="243">
        <f ca="1">OFFSET(card_type!$G$1,MATCH(Q1907,card_type!A:A,0)-1,0)</f>
        <v>1</v>
      </c>
      <c r="L1907" s="157">
        <v>2</v>
      </c>
      <c r="M1907" s="157">
        <v>2</v>
      </c>
      <c r="N1907" s="153">
        <f t="shared" si="316"/>
        <v>1</v>
      </c>
      <c r="O1907" s="157"/>
      <c r="P1907" s="157"/>
      <c r="Q1907" s="153">
        <f ca="1">OFFSET(card_type!$A$1,MATCH(card!B1907,card_type!B:B,0)-1,0)</f>
        <v>3013</v>
      </c>
      <c r="R1907" s="153">
        <v>1</v>
      </c>
      <c r="S1907" s="157">
        <f ca="1">ROUND(IF(R1907=0,0,IF(R1907=1,X1907*$S$1,IF(R1907=2,X1907*$S$1*buff的资质计算!$E$2,IF(R1907=3,X1907*$S$1*buff的资质计算!$E$3,0)))),0)*0</f>
        <v>0</v>
      </c>
      <c r="T1907" s="153">
        <v>3</v>
      </c>
      <c r="U1907" s="153">
        <f ca="1" t="shared" si="317"/>
        <v>11</v>
      </c>
      <c r="V1907" s="153">
        <f ca="1">ROUND((OFFSET(卡牌辅助配置表!$O$1,MATCH(U1907,卡牌辅助配置表!M:M,0)-1,0)+(N1907-1)*OFFSET(卡牌辅助配置表!$P$1,MATCH(U1907,卡牌辅助配置表!M:M,0)-1,0))*M1907,2)</f>
        <v>12.54</v>
      </c>
      <c r="W1907" s="157">
        <f ca="1">ROUND(IF(R1907=0,0,IF(R1907=1,X1907*$W$1,IF(R1907=2,X1907*$W$1*buff的资质计算!$E$2,IF(R1907=3,X1907*$W$1*buff的资质计算!$E$3,0)))),2)</f>
        <v>3</v>
      </c>
      <c r="X1907" s="157">
        <f ca="1" t="shared" si="312"/>
        <v>10</v>
      </c>
      <c r="Y1907" s="157">
        <f ca="1" t="shared" si="320"/>
        <v>15</v>
      </c>
      <c r="Z1907" s="304">
        <f ca="1" t="shared" si="313"/>
        <v>7.5</v>
      </c>
      <c r="AA1907" s="304">
        <f ca="1">OFFSET(卡牌辅助配置表!$AD$1,MATCH(AB1907,卡牌辅助配置表!AB:AB,0)-1,0)</f>
        <v>18</v>
      </c>
      <c r="AB1907" s="304">
        <f ca="1" t="shared" si="318"/>
        <v>1101</v>
      </c>
      <c r="AC1907" s="153">
        <v>12</v>
      </c>
      <c r="AF1907" s="153" t="str">
        <f ca="1" t="shared" ref="AF1907:AF1970" si="322">((Q1907*1000+1)*10+1)&amp;$AF$1</f>
        <v>30130011|</v>
      </c>
      <c r="AJ1907" s="205" t="str">
        <f ca="1" t="shared" si="319"/>
        <v>400023|700|;</v>
      </c>
      <c r="AK1907" s="205">
        <f ca="1">OFFSET([1]item_type!$A$1,MATCH(Q1907,[1]item_type!$G:$G,0)-1,0)</f>
        <v>303013</v>
      </c>
      <c r="AL1907" s="205"/>
      <c r="AM1907" s="205">
        <f ca="1">IF(B1907=B1908,OFFSET(卡牌辅助配置表!$AE$1,MATCH(AB1907,卡牌辅助配置表!AB:AB,0),0),0)</f>
        <v>700</v>
      </c>
      <c r="AN1907" s="153">
        <f ca="1" t="shared" si="314"/>
        <v>3013002</v>
      </c>
      <c r="AP1907" s="153">
        <f ca="1">IF(AC1907=0,0,IF(AC1907=12,0,OFFSET(effect!$N$1,MATCH(K1907,effect!M:M,0)-1,0)))</f>
        <v>0</v>
      </c>
    </row>
    <row r="1908" spans="1:42">
      <c r="A1908" s="153">
        <f ca="1" t="shared" si="315"/>
        <v>3013002</v>
      </c>
      <c r="B1908" s="91" t="s">
        <v>359</v>
      </c>
      <c r="C1908" s="186">
        <v>3</v>
      </c>
      <c r="D1908" s="186">
        <v>3</v>
      </c>
      <c r="E1908" s="165" t="s">
        <v>1069</v>
      </c>
      <c r="F1908" s="179" t="s">
        <v>1059</v>
      </c>
      <c r="G1908" s="186">
        <f ca="1">OFFSET(卡牌辅助配置表!$C$1,MATCH(AC1908,卡牌辅助配置表!A:A,0)-1,0)</f>
        <v>0</v>
      </c>
      <c r="H1908" s="186">
        <f ca="1">OFFSET(skill!$Q$1,MATCH(B1908,skill!B:B,0)-1,0)</f>
        <v>5</v>
      </c>
      <c r="I1908" s="186"/>
      <c r="J1908" s="186">
        <f ca="1">OFFSET(card_type!$F$1,MATCH(Q1908,card_type!A:A,0)-1,0)</f>
        <v>1</v>
      </c>
      <c r="K1908" s="243">
        <f ca="1">OFFSET(card_type!$G$1,MATCH(Q1908,card_type!A:A,0)-1,0)</f>
        <v>1</v>
      </c>
      <c r="L1908" s="157">
        <v>2</v>
      </c>
      <c r="M1908" s="157">
        <v>2</v>
      </c>
      <c r="N1908" s="153">
        <f t="shared" si="316"/>
        <v>2</v>
      </c>
      <c r="O1908" s="157"/>
      <c r="P1908" s="157"/>
      <c r="Q1908" s="153">
        <f ca="1">OFFSET(card_type!$A$1,MATCH(card!B1908,card_type!B:B,0)-1,0)</f>
        <v>3013</v>
      </c>
      <c r="R1908" s="153">
        <v>1</v>
      </c>
      <c r="S1908" s="157">
        <f ca="1">ROUND(IF(R1908=0,0,IF(R1908=1,X1908*$S$1,IF(R1908=2,X1908*$S$1*buff的资质计算!$E$2,IF(R1908=3,X1908*$S$1*buff的资质计算!$E$3,0)))),0)*0</f>
        <v>0</v>
      </c>
      <c r="T1908" s="153">
        <v>3</v>
      </c>
      <c r="U1908" s="153">
        <f ca="1" t="shared" si="317"/>
        <v>11</v>
      </c>
      <c r="V1908" s="153">
        <f ca="1">ROUND((OFFSET(卡牌辅助配置表!$O$1,MATCH(U1908,卡牌辅助配置表!M:M,0)-1,0)+(N1908-1)*OFFSET(卡牌辅助配置表!$P$1,MATCH(U1908,卡牌辅助配置表!M:M,0)-1,0))*M1908,2)</f>
        <v>12.96</v>
      </c>
      <c r="W1908" s="157">
        <f ca="1">ROUND(IF(R1908=0,0,IF(R1908=1,X1908*$W$1,IF(R1908=2,X1908*$W$1*buff的资质计算!$E$2,IF(R1908=3,X1908*$W$1*buff的资质计算!$E$3,0)))),2)</f>
        <v>3.15</v>
      </c>
      <c r="X1908" s="157">
        <f ca="1" t="shared" ref="X1908:X1971" si="323">M1908*($M$1+(J1908-1)*$J$1+(K1908-1)*$K$1)+G1908+$J$1*(N1908-1)/$N$1</f>
        <v>10.5</v>
      </c>
      <c r="Y1908" s="157">
        <f ca="1" t="shared" si="320"/>
        <v>15.5</v>
      </c>
      <c r="Z1908" s="304">
        <f ca="1" t="shared" ref="Z1908:Z1971" si="324">Y1908/M1908</f>
        <v>7.75</v>
      </c>
      <c r="AA1908" s="304">
        <f ca="1">OFFSET(卡牌辅助配置表!$AD$1,MATCH(AB1908,卡牌辅助配置表!AB:AB,0)-1,0)</f>
        <v>36</v>
      </c>
      <c r="AB1908" s="304">
        <f ca="1" t="shared" si="318"/>
        <v>1102</v>
      </c>
      <c r="AC1908" s="153">
        <v>12</v>
      </c>
      <c r="AF1908" s="153" t="str">
        <f ca="1" t="shared" si="322"/>
        <v>30130011|</v>
      </c>
      <c r="AJ1908" s="205" t="str">
        <f ca="1" t="shared" si="319"/>
        <v>400023|900|;</v>
      </c>
      <c r="AK1908" s="205">
        <f ca="1">OFFSET([1]item_type!$A$1,MATCH(Q1908,[1]item_type!$G:$G,0)-1,0)</f>
        <v>303013</v>
      </c>
      <c r="AL1908" s="205"/>
      <c r="AM1908" s="205">
        <f ca="1">IF(B1908=B1909,OFFSET(卡牌辅助配置表!$AE$1,MATCH(AB1908,卡牌辅助配置表!AB:AB,0),0),0)</f>
        <v>900</v>
      </c>
      <c r="AN1908" s="153">
        <f ca="1" t="shared" si="314"/>
        <v>3013003</v>
      </c>
      <c r="AP1908" s="153">
        <f ca="1">IF(AC1908=0,0,IF(AC1908=12,0,OFFSET(effect!$N$1,MATCH(K1908,effect!M:M,0)-1,0)))</f>
        <v>0</v>
      </c>
    </row>
    <row r="1909" spans="1:42">
      <c r="A1909" s="153">
        <f ca="1" t="shared" si="315"/>
        <v>3013003</v>
      </c>
      <c r="B1909" s="91" t="s">
        <v>359</v>
      </c>
      <c r="C1909" s="186">
        <v>3</v>
      </c>
      <c r="D1909" s="186">
        <v>3</v>
      </c>
      <c r="E1909" s="165" t="s">
        <v>1069</v>
      </c>
      <c r="F1909" s="179" t="s">
        <v>1059</v>
      </c>
      <c r="G1909" s="186">
        <f ca="1">OFFSET(卡牌辅助配置表!$C$1,MATCH(AC1909,卡牌辅助配置表!A:A,0)-1,0)</f>
        <v>0</v>
      </c>
      <c r="H1909" s="186">
        <f ca="1">OFFSET(skill!$Q$1,MATCH(B1909,skill!B:B,0)-1,0)</f>
        <v>5</v>
      </c>
      <c r="I1909" s="186"/>
      <c r="J1909" s="186">
        <f ca="1">OFFSET(card_type!$F$1,MATCH(Q1909,card_type!A:A,0)-1,0)</f>
        <v>1</v>
      </c>
      <c r="K1909" s="243">
        <f ca="1">OFFSET(card_type!$G$1,MATCH(Q1909,card_type!A:A,0)-1,0)</f>
        <v>1</v>
      </c>
      <c r="L1909" s="157">
        <v>2</v>
      </c>
      <c r="M1909" s="157">
        <v>2</v>
      </c>
      <c r="N1909" s="153">
        <f t="shared" si="316"/>
        <v>3</v>
      </c>
      <c r="O1909" s="157"/>
      <c r="P1909" s="157"/>
      <c r="Q1909" s="153">
        <f ca="1">OFFSET(card_type!$A$1,MATCH(card!B1909,card_type!B:B,0)-1,0)</f>
        <v>3013</v>
      </c>
      <c r="R1909" s="153">
        <v>1</v>
      </c>
      <c r="S1909" s="157">
        <f ca="1">ROUND(IF(R1909=0,0,IF(R1909=1,X1909*$S$1,IF(R1909=2,X1909*$S$1*buff的资质计算!$E$2,IF(R1909=3,X1909*$S$1*buff的资质计算!$E$3,0)))),0)*0</f>
        <v>0</v>
      </c>
      <c r="T1909" s="153">
        <v>3</v>
      </c>
      <c r="U1909" s="153">
        <f ca="1" t="shared" si="317"/>
        <v>11</v>
      </c>
      <c r="V1909" s="153">
        <f ca="1">ROUND((OFFSET(卡牌辅助配置表!$O$1,MATCH(U1909,卡牌辅助配置表!M:M,0)-1,0)+(N1909-1)*OFFSET(卡牌辅助配置表!$P$1,MATCH(U1909,卡牌辅助配置表!M:M,0)-1,0))*M1909,2)</f>
        <v>13.38</v>
      </c>
      <c r="W1909" s="157">
        <f ca="1">ROUND(IF(R1909=0,0,IF(R1909=1,X1909*$W$1,IF(R1909=2,X1909*$W$1*buff的资质计算!$E$2,IF(R1909=3,X1909*$W$1*buff的资质计算!$E$3,0)))),2)</f>
        <v>3.3</v>
      </c>
      <c r="X1909" s="157">
        <f ca="1" t="shared" si="323"/>
        <v>11</v>
      </c>
      <c r="Y1909" s="157">
        <f ca="1" t="shared" si="320"/>
        <v>16</v>
      </c>
      <c r="Z1909" s="304">
        <f ca="1" t="shared" si="324"/>
        <v>8</v>
      </c>
      <c r="AA1909" s="304">
        <f ca="1">OFFSET(卡牌辅助配置表!$AD$1,MATCH(AB1909,卡牌辅助配置表!AB:AB,0)-1,0)</f>
        <v>54</v>
      </c>
      <c r="AB1909" s="304">
        <f ca="1" t="shared" si="318"/>
        <v>1103</v>
      </c>
      <c r="AC1909" s="153">
        <v>12</v>
      </c>
      <c r="AF1909" s="153" t="str">
        <f ca="1" t="shared" si="322"/>
        <v>30130011|</v>
      </c>
      <c r="AJ1909" s="205" t="str">
        <f ca="1" t="shared" si="319"/>
        <v>400023|1100|;</v>
      </c>
      <c r="AK1909" s="205">
        <f ca="1">OFFSET([1]item_type!$A$1,MATCH(Q1909,[1]item_type!$G:$G,0)-1,0)</f>
        <v>303013</v>
      </c>
      <c r="AL1909" s="205"/>
      <c r="AM1909" s="205">
        <f ca="1">IF(B1909=B1910,OFFSET(卡牌辅助配置表!$AE$1,MATCH(AB1909,卡牌辅助配置表!AB:AB,0),0),0)</f>
        <v>1100</v>
      </c>
      <c r="AN1909" s="153">
        <f ca="1" t="shared" si="314"/>
        <v>3013004</v>
      </c>
      <c r="AP1909" s="153">
        <f ca="1">IF(AC1909=0,0,IF(AC1909=12,0,OFFSET(effect!$N$1,MATCH(K1909,effect!M:M,0)-1,0)))</f>
        <v>0</v>
      </c>
    </row>
    <row r="1910" spans="1:42">
      <c r="A1910" s="153">
        <f ca="1" t="shared" si="315"/>
        <v>3013004</v>
      </c>
      <c r="B1910" s="91" t="s">
        <v>359</v>
      </c>
      <c r="C1910" s="186">
        <v>3</v>
      </c>
      <c r="D1910" s="186">
        <v>3</v>
      </c>
      <c r="E1910" s="165" t="s">
        <v>1069</v>
      </c>
      <c r="F1910" s="179" t="s">
        <v>1059</v>
      </c>
      <c r="G1910" s="186">
        <f ca="1">OFFSET(卡牌辅助配置表!$C$1,MATCH(AC1910,卡牌辅助配置表!A:A,0)-1,0)</f>
        <v>0</v>
      </c>
      <c r="H1910" s="186">
        <f ca="1">OFFSET(skill!$Q$1,MATCH(B1910,skill!B:B,0)-1,0)</f>
        <v>5</v>
      </c>
      <c r="I1910" s="186"/>
      <c r="J1910" s="186">
        <f ca="1">OFFSET(card_type!$F$1,MATCH(Q1910,card_type!A:A,0)-1,0)</f>
        <v>1</v>
      </c>
      <c r="K1910" s="243">
        <f ca="1">OFFSET(card_type!$G$1,MATCH(Q1910,card_type!A:A,0)-1,0)</f>
        <v>1</v>
      </c>
      <c r="L1910" s="157">
        <v>2</v>
      </c>
      <c r="M1910" s="157">
        <v>2</v>
      </c>
      <c r="N1910" s="153">
        <f t="shared" si="316"/>
        <v>4</v>
      </c>
      <c r="O1910" s="157"/>
      <c r="P1910" s="157"/>
      <c r="Q1910" s="153">
        <f ca="1">OFFSET(card_type!$A$1,MATCH(card!B1910,card_type!B:B,0)-1,0)</f>
        <v>3013</v>
      </c>
      <c r="R1910" s="153">
        <v>1</v>
      </c>
      <c r="S1910" s="157">
        <f ca="1">ROUND(IF(R1910=0,0,IF(R1910=1,X1910*$S$1,IF(R1910=2,X1910*$S$1*buff的资质计算!$E$2,IF(R1910=3,X1910*$S$1*buff的资质计算!$E$3,0)))),0)*0</f>
        <v>0</v>
      </c>
      <c r="T1910" s="153">
        <v>3</v>
      </c>
      <c r="U1910" s="153">
        <f ca="1" t="shared" si="317"/>
        <v>11</v>
      </c>
      <c r="V1910" s="153">
        <f ca="1">ROUND((OFFSET(卡牌辅助配置表!$O$1,MATCH(U1910,卡牌辅助配置表!M:M,0)-1,0)+(N1910-1)*OFFSET(卡牌辅助配置表!$P$1,MATCH(U1910,卡牌辅助配置表!M:M,0)-1,0))*M1910,2)</f>
        <v>13.79</v>
      </c>
      <c r="W1910" s="157">
        <f ca="1">ROUND(IF(R1910=0,0,IF(R1910=1,X1910*$W$1,IF(R1910=2,X1910*$W$1*buff的资质计算!$E$2,IF(R1910=3,X1910*$W$1*buff的资质计算!$E$3,0)))),2)</f>
        <v>3.45</v>
      </c>
      <c r="X1910" s="157">
        <f ca="1" t="shared" si="323"/>
        <v>11.5</v>
      </c>
      <c r="Y1910" s="157">
        <f ca="1" t="shared" si="320"/>
        <v>16.5</v>
      </c>
      <c r="Z1910" s="304">
        <f ca="1" t="shared" si="324"/>
        <v>8.25</v>
      </c>
      <c r="AA1910" s="304">
        <f ca="1">OFFSET(卡牌辅助配置表!$AD$1,MATCH(AB1910,卡牌辅助配置表!AB:AB,0)-1,0)</f>
        <v>72</v>
      </c>
      <c r="AB1910" s="304">
        <f ca="1" t="shared" si="318"/>
        <v>1104</v>
      </c>
      <c r="AC1910" s="153">
        <v>12</v>
      </c>
      <c r="AF1910" s="153" t="str">
        <f ca="1" t="shared" si="322"/>
        <v>30130011|</v>
      </c>
      <c r="AJ1910" s="205" t="str">
        <f ca="1" t="shared" si="319"/>
        <v>400023|1300|;</v>
      </c>
      <c r="AK1910" s="205">
        <f ca="1">OFFSET([1]item_type!$A$1,MATCH(Q1910,[1]item_type!$G:$G,0)-1,0)</f>
        <v>303013</v>
      </c>
      <c r="AL1910" s="205"/>
      <c r="AM1910" s="205">
        <f ca="1">IF(B1910=B1911,OFFSET(卡牌辅助配置表!$AE$1,MATCH(AB1910,卡牌辅助配置表!AB:AB,0),0),0)</f>
        <v>1300</v>
      </c>
      <c r="AN1910" s="153">
        <f ca="1" t="shared" si="314"/>
        <v>3013005</v>
      </c>
      <c r="AP1910" s="153">
        <f ca="1">IF(AC1910=0,0,IF(AC1910=12,0,OFFSET(effect!$N$1,MATCH(K1910,effect!M:M,0)-1,0)))</f>
        <v>0</v>
      </c>
    </row>
    <row r="1911" spans="1:42">
      <c r="A1911" s="153">
        <f ca="1" t="shared" si="315"/>
        <v>3013005</v>
      </c>
      <c r="B1911" s="91" t="s">
        <v>359</v>
      </c>
      <c r="C1911" s="186">
        <v>3</v>
      </c>
      <c r="D1911" s="186">
        <v>3</v>
      </c>
      <c r="E1911" s="165" t="s">
        <v>1069</v>
      </c>
      <c r="F1911" s="179" t="s">
        <v>1059</v>
      </c>
      <c r="G1911" s="186">
        <f ca="1">OFFSET(卡牌辅助配置表!$C$1,MATCH(AC1911,卡牌辅助配置表!A:A,0)-1,0)</f>
        <v>0</v>
      </c>
      <c r="H1911" s="186">
        <f ca="1">OFFSET(skill!$Q$1,MATCH(B1911,skill!B:B,0)-1,0)</f>
        <v>5</v>
      </c>
      <c r="I1911" s="186"/>
      <c r="J1911" s="186">
        <f ca="1">OFFSET(card_type!$F$1,MATCH(Q1911,card_type!A:A,0)-1,0)</f>
        <v>1</v>
      </c>
      <c r="K1911" s="243">
        <f ca="1">OFFSET(card_type!$G$1,MATCH(Q1911,card_type!A:A,0)-1,0)</f>
        <v>1</v>
      </c>
      <c r="L1911" s="157">
        <v>2</v>
      </c>
      <c r="M1911" s="157">
        <v>2</v>
      </c>
      <c r="N1911" s="153">
        <f t="shared" si="316"/>
        <v>5</v>
      </c>
      <c r="O1911" s="157"/>
      <c r="P1911" s="157"/>
      <c r="Q1911" s="153">
        <f ca="1">OFFSET(card_type!$A$1,MATCH(card!B1911,card_type!B:B,0)-1,0)</f>
        <v>3013</v>
      </c>
      <c r="R1911" s="153">
        <v>1</v>
      </c>
      <c r="S1911" s="157">
        <f ca="1">ROUND(IF(R1911=0,0,IF(R1911=1,X1911*$S$1,IF(R1911=2,X1911*$S$1*buff的资质计算!$E$2,IF(R1911=3,X1911*$S$1*buff的资质计算!$E$3,0)))),0)*0</f>
        <v>0</v>
      </c>
      <c r="T1911" s="153">
        <v>3</v>
      </c>
      <c r="U1911" s="153">
        <f ca="1" t="shared" si="317"/>
        <v>11</v>
      </c>
      <c r="V1911" s="153">
        <f ca="1">ROUND((OFFSET(卡牌辅助配置表!$O$1,MATCH(U1911,卡牌辅助配置表!M:M,0)-1,0)+(N1911-1)*OFFSET(卡牌辅助配置表!$P$1,MATCH(U1911,卡牌辅助配置表!M:M,0)-1,0))*M1911,2)</f>
        <v>14.21</v>
      </c>
      <c r="W1911" s="157">
        <f ca="1">ROUND(IF(R1911=0,0,IF(R1911=1,X1911*$W$1,IF(R1911=2,X1911*$W$1*buff的资质计算!$E$2,IF(R1911=3,X1911*$W$1*buff的资质计算!$E$3,0)))),2)</f>
        <v>3.6</v>
      </c>
      <c r="X1911" s="157">
        <f ca="1" t="shared" si="323"/>
        <v>12</v>
      </c>
      <c r="Y1911" s="157">
        <f ca="1" t="shared" si="320"/>
        <v>17</v>
      </c>
      <c r="Z1911" s="304">
        <f ca="1" t="shared" si="324"/>
        <v>8.5</v>
      </c>
      <c r="AA1911" s="304">
        <f ca="1">OFFSET(卡牌辅助配置表!$AD$1,MATCH(AB1911,卡牌辅助配置表!AB:AB,0)-1,0)</f>
        <v>90</v>
      </c>
      <c r="AB1911" s="304">
        <f ca="1" t="shared" si="318"/>
        <v>1105</v>
      </c>
      <c r="AC1911" s="153">
        <v>12</v>
      </c>
      <c r="AF1911" s="153" t="str">
        <f ca="1" t="shared" si="322"/>
        <v>30130011|</v>
      </c>
      <c r="AJ1911" s="205" t="str">
        <f ca="1" t="shared" si="319"/>
        <v>400023|1500|;</v>
      </c>
      <c r="AK1911" s="205">
        <f ca="1">OFFSET([1]item_type!$A$1,MATCH(Q1911,[1]item_type!$G:$G,0)-1,0)</f>
        <v>303013</v>
      </c>
      <c r="AL1911" s="205"/>
      <c r="AM1911" s="205">
        <f ca="1">IF(B1911=B1912,OFFSET(卡牌辅助配置表!$AE$1,MATCH(AB1911,卡牌辅助配置表!AB:AB,0),0),0)</f>
        <v>1500</v>
      </c>
      <c r="AN1911" s="153">
        <f ca="1" t="shared" si="314"/>
        <v>3013006</v>
      </c>
      <c r="AP1911" s="153">
        <f ca="1">IF(AC1911=0,0,IF(AC1911=12,0,OFFSET(effect!$N$1,MATCH(K1911,effect!M:M,0)-1,0)))</f>
        <v>0</v>
      </c>
    </row>
    <row r="1912" spans="1:42">
      <c r="A1912" s="153">
        <f ca="1" t="shared" si="315"/>
        <v>3013006</v>
      </c>
      <c r="B1912" s="91" t="s">
        <v>359</v>
      </c>
      <c r="C1912" s="186">
        <v>3</v>
      </c>
      <c r="D1912" s="186">
        <v>3</v>
      </c>
      <c r="E1912" s="165" t="s">
        <v>1069</v>
      </c>
      <c r="F1912" s="179" t="s">
        <v>1059</v>
      </c>
      <c r="G1912" s="186">
        <f ca="1">OFFSET(卡牌辅助配置表!$C$1,MATCH(AC1912,卡牌辅助配置表!A:A,0)-1,0)</f>
        <v>0</v>
      </c>
      <c r="H1912" s="186">
        <f ca="1">OFFSET(skill!$Q$1,MATCH(B1912,skill!B:B,0)-1,0)</f>
        <v>5</v>
      </c>
      <c r="I1912" s="186"/>
      <c r="J1912" s="186">
        <f ca="1">OFFSET(card_type!$F$1,MATCH(Q1912,card_type!A:A,0)-1,0)</f>
        <v>1</v>
      </c>
      <c r="K1912" s="243">
        <f ca="1">OFFSET(card_type!$G$1,MATCH(Q1912,card_type!A:A,0)-1,0)</f>
        <v>1</v>
      </c>
      <c r="L1912" s="157">
        <v>2</v>
      </c>
      <c r="M1912" s="157">
        <v>2</v>
      </c>
      <c r="N1912" s="153">
        <f t="shared" si="316"/>
        <v>6</v>
      </c>
      <c r="O1912" s="157"/>
      <c r="P1912" s="157"/>
      <c r="Q1912" s="153">
        <f ca="1">OFFSET(card_type!$A$1,MATCH(card!B1912,card_type!B:B,0)-1,0)</f>
        <v>3013</v>
      </c>
      <c r="R1912" s="153">
        <v>1</v>
      </c>
      <c r="S1912" s="157">
        <f ca="1">ROUND(IF(R1912=0,0,IF(R1912=1,X1912*$S$1,IF(R1912=2,X1912*$S$1*buff的资质计算!$E$2,IF(R1912=3,X1912*$S$1*buff的资质计算!$E$3,0)))),0)*0</f>
        <v>0</v>
      </c>
      <c r="T1912" s="153">
        <v>3</v>
      </c>
      <c r="U1912" s="153">
        <f ca="1" t="shared" si="317"/>
        <v>11</v>
      </c>
      <c r="V1912" s="153">
        <f ca="1">ROUND((OFFSET(卡牌辅助配置表!$O$1,MATCH(U1912,卡牌辅助配置表!M:M,0)-1,0)+(N1912-1)*OFFSET(卡牌辅助配置表!$P$1,MATCH(U1912,卡牌辅助配置表!M:M,0)-1,0))*M1912,2)</f>
        <v>14.63</v>
      </c>
      <c r="W1912" s="157">
        <f ca="1">ROUND(IF(R1912=0,0,IF(R1912=1,X1912*$W$1,IF(R1912=2,X1912*$W$1*buff的资质计算!$E$2,IF(R1912=3,X1912*$W$1*buff的资质计算!$E$3,0)))),2)</f>
        <v>3.75</v>
      </c>
      <c r="X1912" s="157">
        <f ca="1" t="shared" si="323"/>
        <v>12.5</v>
      </c>
      <c r="Y1912" s="157">
        <f ca="1" t="shared" si="320"/>
        <v>17.5</v>
      </c>
      <c r="Z1912" s="304">
        <f ca="1" t="shared" si="324"/>
        <v>8.75</v>
      </c>
      <c r="AA1912" s="304">
        <f ca="1">OFFSET(卡牌辅助配置表!$AD$1,MATCH(AB1912,卡牌辅助配置表!AB:AB,0)-1,0)</f>
        <v>108</v>
      </c>
      <c r="AB1912" s="304">
        <f ca="1" t="shared" si="318"/>
        <v>1106</v>
      </c>
      <c r="AC1912" s="153">
        <v>12</v>
      </c>
      <c r="AF1912" s="153" t="str">
        <f ca="1" t="shared" si="322"/>
        <v>30130011|</v>
      </c>
      <c r="AJ1912" s="205" t="str">
        <f ca="1" t="shared" si="319"/>
        <v>400023|1700|;</v>
      </c>
      <c r="AK1912" s="205">
        <f ca="1">OFFSET([1]item_type!$A$1,MATCH(Q1912,[1]item_type!$G:$G,0)-1,0)</f>
        <v>303013</v>
      </c>
      <c r="AL1912" s="205"/>
      <c r="AM1912" s="205">
        <f ca="1">IF(B1912=B1913,OFFSET(卡牌辅助配置表!$AE$1,MATCH(AB1912,卡牌辅助配置表!AB:AB,0),0),0)</f>
        <v>1700</v>
      </c>
      <c r="AN1912" s="153">
        <f ca="1" t="shared" si="314"/>
        <v>3013007</v>
      </c>
      <c r="AP1912" s="153">
        <f ca="1">IF(AC1912=0,0,IF(AC1912=12,0,OFFSET(effect!$N$1,MATCH(K1912,effect!M:M,0)-1,0)))</f>
        <v>0</v>
      </c>
    </row>
    <row r="1913" spans="1:42">
      <c r="A1913" s="153">
        <f ca="1" t="shared" si="315"/>
        <v>3013007</v>
      </c>
      <c r="B1913" s="91" t="s">
        <v>359</v>
      </c>
      <c r="C1913" s="186">
        <v>3</v>
      </c>
      <c r="D1913" s="186">
        <v>3</v>
      </c>
      <c r="E1913" s="165" t="s">
        <v>1069</v>
      </c>
      <c r="F1913" s="179" t="s">
        <v>1059</v>
      </c>
      <c r="G1913" s="186">
        <f ca="1">OFFSET(卡牌辅助配置表!$C$1,MATCH(AC1913,卡牌辅助配置表!A:A,0)-1,0)</f>
        <v>0</v>
      </c>
      <c r="H1913" s="186">
        <f ca="1">OFFSET(skill!$Q$1,MATCH(B1913,skill!B:B,0)-1,0)</f>
        <v>5</v>
      </c>
      <c r="I1913" s="186"/>
      <c r="J1913" s="186">
        <f ca="1">OFFSET(card_type!$F$1,MATCH(Q1913,card_type!A:A,0)-1,0)</f>
        <v>1</v>
      </c>
      <c r="K1913" s="243">
        <f ca="1">OFFSET(card_type!$G$1,MATCH(Q1913,card_type!A:A,0)-1,0)</f>
        <v>1</v>
      </c>
      <c r="L1913" s="157">
        <v>2</v>
      </c>
      <c r="M1913" s="157">
        <v>2</v>
      </c>
      <c r="N1913" s="153">
        <f t="shared" si="316"/>
        <v>7</v>
      </c>
      <c r="O1913" s="157"/>
      <c r="P1913" s="157"/>
      <c r="Q1913" s="153">
        <f ca="1">OFFSET(card_type!$A$1,MATCH(card!B1913,card_type!B:B,0)-1,0)</f>
        <v>3013</v>
      </c>
      <c r="R1913" s="153">
        <v>1</v>
      </c>
      <c r="S1913" s="157">
        <f ca="1">ROUND(IF(R1913=0,0,IF(R1913=1,X1913*$S$1,IF(R1913=2,X1913*$S$1*buff的资质计算!$E$2,IF(R1913=3,X1913*$S$1*buff的资质计算!$E$3,0)))),0)*0</f>
        <v>0</v>
      </c>
      <c r="T1913" s="153">
        <v>3</v>
      </c>
      <c r="U1913" s="153">
        <f ca="1" t="shared" si="317"/>
        <v>11</v>
      </c>
      <c r="V1913" s="153">
        <f ca="1">ROUND((OFFSET(卡牌辅助配置表!$O$1,MATCH(U1913,卡牌辅助配置表!M:M,0)-1,0)+(N1913-1)*OFFSET(卡牌辅助配置表!$P$1,MATCH(U1913,卡牌辅助配置表!M:M,0)-1,0))*M1913,2)</f>
        <v>15.05</v>
      </c>
      <c r="W1913" s="157">
        <f ca="1">ROUND(IF(R1913=0,0,IF(R1913=1,X1913*$W$1,IF(R1913=2,X1913*$W$1*buff的资质计算!$E$2,IF(R1913=3,X1913*$W$1*buff的资质计算!$E$3,0)))),2)</f>
        <v>3.9</v>
      </c>
      <c r="X1913" s="157">
        <f ca="1" t="shared" si="323"/>
        <v>13</v>
      </c>
      <c r="Y1913" s="157">
        <f ca="1" t="shared" si="320"/>
        <v>18</v>
      </c>
      <c r="Z1913" s="304">
        <f ca="1" t="shared" si="324"/>
        <v>9</v>
      </c>
      <c r="AA1913" s="304">
        <f ca="1">OFFSET(卡牌辅助配置表!$AD$1,MATCH(AB1913,卡牌辅助配置表!AB:AB,0)-1,0)</f>
        <v>126</v>
      </c>
      <c r="AB1913" s="304">
        <f ca="1" t="shared" si="318"/>
        <v>1107</v>
      </c>
      <c r="AC1913" s="153">
        <v>12</v>
      </c>
      <c r="AF1913" s="153" t="str">
        <f ca="1" t="shared" si="322"/>
        <v>30130011|</v>
      </c>
      <c r="AJ1913" s="205" t="str">
        <f ca="1" t="shared" si="319"/>
        <v>400023|1900|;</v>
      </c>
      <c r="AK1913" s="205">
        <f ca="1">OFFSET([1]item_type!$A$1,MATCH(Q1913,[1]item_type!$G:$G,0)-1,0)</f>
        <v>303013</v>
      </c>
      <c r="AL1913" s="205"/>
      <c r="AM1913" s="205">
        <f ca="1">IF(B1913=B1914,OFFSET(卡牌辅助配置表!$AE$1,MATCH(AB1913,卡牌辅助配置表!AB:AB,0),0),0)</f>
        <v>1900</v>
      </c>
      <c r="AN1913" s="153">
        <f ca="1" t="shared" si="314"/>
        <v>3013008</v>
      </c>
      <c r="AP1913" s="153">
        <f ca="1">IF(AC1913=0,0,IF(AC1913=12,0,OFFSET(effect!$N$1,MATCH(K1913,effect!M:M,0)-1,0)))</f>
        <v>0</v>
      </c>
    </row>
    <row r="1914" spans="1:42">
      <c r="A1914" s="153">
        <f ca="1" t="shared" si="315"/>
        <v>3013008</v>
      </c>
      <c r="B1914" s="91" t="s">
        <v>359</v>
      </c>
      <c r="C1914" s="186">
        <v>3</v>
      </c>
      <c r="D1914" s="186">
        <v>3</v>
      </c>
      <c r="E1914" s="165" t="s">
        <v>1069</v>
      </c>
      <c r="F1914" s="179" t="s">
        <v>1059</v>
      </c>
      <c r="G1914" s="186">
        <f ca="1">OFFSET(卡牌辅助配置表!$C$1,MATCH(AC1914,卡牌辅助配置表!A:A,0)-1,0)</f>
        <v>0</v>
      </c>
      <c r="H1914" s="186">
        <f ca="1">OFFSET(skill!$Q$1,MATCH(B1914,skill!B:B,0)-1,0)</f>
        <v>5</v>
      </c>
      <c r="I1914" s="186"/>
      <c r="J1914" s="186">
        <f ca="1">OFFSET(card_type!$F$1,MATCH(Q1914,card_type!A:A,0)-1,0)</f>
        <v>1</v>
      </c>
      <c r="K1914" s="243">
        <f ca="1">OFFSET(card_type!$G$1,MATCH(Q1914,card_type!A:A,0)-1,0)</f>
        <v>1</v>
      </c>
      <c r="L1914" s="157">
        <v>2</v>
      </c>
      <c r="M1914" s="157">
        <v>2</v>
      </c>
      <c r="N1914" s="153">
        <f t="shared" si="316"/>
        <v>8</v>
      </c>
      <c r="O1914" s="157"/>
      <c r="P1914" s="157"/>
      <c r="Q1914" s="153">
        <f ca="1">OFFSET(card_type!$A$1,MATCH(card!B1914,card_type!B:B,0)-1,0)</f>
        <v>3013</v>
      </c>
      <c r="R1914" s="153">
        <v>1</v>
      </c>
      <c r="S1914" s="157">
        <f ca="1">ROUND(IF(R1914=0,0,IF(R1914=1,X1914*$S$1,IF(R1914=2,X1914*$S$1*buff的资质计算!$E$2,IF(R1914=3,X1914*$S$1*buff的资质计算!$E$3,0)))),0)*0</f>
        <v>0</v>
      </c>
      <c r="T1914" s="153">
        <v>3</v>
      </c>
      <c r="U1914" s="153">
        <f ca="1" t="shared" si="317"/>
        <v>11</v>
      </c>
      <c r="V1914" s="153">
        <f ca="1">ROUND((OFFSET(卡牌辅助配置表!$O$1,MATCH(U1914,卡牌辅助配置表!M:M,0)-1,0)+(N1914-1)*OFFSET(卡牌辅助配置表!$P$1,MATCH(U1914,卡牌辅助配置表!M:M,0)-1,0))*M1914,2)</f>
        <v>15.47</v>
      </c>
      <c r="W1914" s="157">
        <f ca="1">ROUND(IF(R1914=0,0,IF(R1914=1,X1914*$W$1,IF(R1914=2,X1914*$W$1*buff的资质计算!$E$2,IF(R1914=3,X1914*$W$1*buff的资质计算!$E$3,0)))),2)</f>
        <v>4.05</v>
      </c>
      <c r="X1914" s="157">
        <f ca="1" t="shared" si="323"/>
        <v>13.5</v>
      </c>
      <c r="Y1914" s="157">
        <f ca="1" t="shared" si="320"/>
        <v>18.5</v>
      </c>
      <c r="Z1914" s="304">
        <f ca="1" t="shared" si="324"/>
        <v>9.25</v>
      </c>
      <c r="AA1914" s="304">
        <f ca="1">OFFSET(卡牌辅助配置表!$AD$1,MATCH(AB1914,卡牌辅助配置表!AB:AB,0)-1,0)</f>
        <v>144</v>
      </c>
      <c r="AB1914" s="304">
        <f ca="1" t="shared" si="318"/>
        <v>1108</v>
      </c>
      <c r="AC1914" s="153">
        <v>12</v>
      </c>
      <c r="AF1914" s="153" t="str">
        <f ca="1" t="shared" si="322"/>
        <v>30130011|</v>
      </c>
      <c r="AJ1914" s="205" t="str">
        <f ca="1" t="shared" si="319"/>
        <v>400023|2100|;</v>
      </c>
      <c r="AK1914" s="205">
        <f ca="1">OFFSET([1]item_type!$A$1,MATCH(Q1914,[1]item_type!$G:$G,0)-1,0)</f>
        <v>303013</v>
      </c>
      <c r="AL1914" s="205"/>
      <c r="AM1914" s="205">
        <f ca="1">IF(B1914=B1915,OFFSET(卡牌辅助配置表!$AE$1,MATCH(AB1914,卡牌辅助配置表!AB:AB,0),0),0)</f>
        <v>2100</v>
      </c>
      <c r="AN1914" s="153">
        <f ca="1" t="shared" si="314"/>
        <v>3013009</v>
      </c>
      <c r="AP1914" s="153">
        <f ca="1">IF(AC1914=0,0,IF(AC1914=12,0,OFFSET(effect!$N$1,MATCH(K1914,effect!M:M,0)-1,0)))</f>
        <v>0</v>
      </c>
    </row>
    <row r="1915" spans="1:42">
      <c r="A1915" s="153">
        <f ca="1" t="shared" si="315"/>
        <v>3013009</v>
      </c>
      <c r="B1915" s="91" t="s">
        <v>359</v>
      </c>
      <c r="C1915" s="186">
        <v>3</v>
      </c>
      <c r="D1915" s="186">
        <v>3</v>
      </c>
      <c r="E1915" s="165" t="s">
        <v>1069</v>
      </c>
      <c r="F1915" s="179" t="s">
        <v>1059</v>
      </c>
      <c r="G1915" s="186">
        <f ca="1">OFFSET(卡牌辅助配置表!$C$1,MATCH(AC1915,卡牌辅助配置表!A:A,0)-1,0)</f>
        <v>0</v>
      </c>
      <c r="H1915" s="186">
        <f ca="1">OFFSET(skill!$Q$1,MATCH(B1915,skill!B:B,0)-1,0)</f>
        <v>5</v>
      </c>
      <c r="I1915" s="186"/>
      <c r="J1915" s="186">
        <f ca="1">OFFSET(card_type!$F$1,MATCH(Q1915,card_type!A:A,0)-1,0)</f>
        <v>1</v>
      </c>
      <c r="K1915" s="243">
        <f ca="1">OFFSET(card_type!$G$1,MATCH(Q1915,card_type!A:A,0)-1,0)</f>
        <v>1</v>
      </c>
      <c r="L1915" s="157">
        <v>2</v>
      </c>
      <c r="M1915" s="157">
        <v>2</v>
      </c>
      <c r="N1915" s="153">
        <f t="shared" si="316"/>
        <v>9</v>
      </c>
      <c r="O1915" s="157"/>
      <c r="P1915" s="157"/>
      <c r="Q1915" s="153">
        <f ca="1">OFFSET(card_type!$A$1,MATCH(card!B1915,card_type!B:B,0)-1,0)</f>
        <v>3013</v>
      </c>
      <c r="R1915" s="153">
        <v>1</v>
      </c>
      <c r="S1915" s="157">
        <f ca="1">ROUND(IF(R1915=0,0,IF(R1915=1,X1915*$S$1,IF(R1915=2,X1915*$S$1*buff的资质计算!$E$2,IF(R1915=3,X1915*$S$1*buff的资质计算!$E$3,0)))),0)*0</f>
        <v>0</v>
      </c>
      <c r="T1915" s="153">
        <v>3</v>
      </c>
      <c r="U1915" s="153">
        <f ca="1" t="shared" si="317"/>
        <v>11</v>
      </c>
      <c r="V1915" s="153">
        <f ca="1">ROUND((OFFSET(卡牌辅助配置表!$O$1,MATCH(U1915,卡牌辅助配置表!M:M,0)-1,0)+(N1915-1)*OFFSET(卡牌辅助配置表!$P$1,MATCH(U1915,卡牌辅助配置表!M:M,0)-1,0))*M1915,2)</f>
        <v>15.88</v>
      </c>
      <c r="W1915" s="157">
        <f ca="1">ROUND(IF(R1915=0,0,IF(R1915=1,X1915*$W$1,IF(R1915=2,X1915*$W$1*buff的资质计算!$E$2,IF(R1915=3,X1915*$W$1*buff的资质计算!$E$3,0)))),2)</f>
        <v>4.2</v>
      </c>
      <c r="X1915" s="157">
        <f ca="1" t="shared" si="323"/>
        <v>14</v>
      </c>
      <c r="Y1915" s="157">
        <f ca="1" t="shared" si="320"/>
        <v>19</v>
      </c>
      <c r="Z1915" s="304">
        <f ca="1" t="shared" si="324"/>
        <v>9.5</v>
      </c>
      <c r="AA1915" s="304">
        <f ca="1">OFFSET(卡牌辅助配置表!$AD$1,MATCH(AB1915,卡牌辅助配置表!AB:AB,0)-1,0)</f>
        <v>162</v>
      </c>
      <c r="AB1915" s="304">
        <f ca="1" t="shared" si="318"/>
        <v>1109</v>
      </c>
      <c r="AC1915" s="153">
        <v>12</v>
      </c>
      <c r="AF1915" s="153" t="str">
        <f ca="1" t="shared" si="322"/>
        <v>30130011|</v>
      </c>
      <c r="AJ1915" s="205" t="str">
        <f ca="1" t="shared" si="319"/>
        <v>303013|15|;400023|2300|;</v>
      </c>
      <c r="AK1915" s="205">
        <f ca="1">OFFSET([1]item_type!$A$1,MATCH(Q1915,[1]item_type!$G:$G,0)-1,0)</f>
        <v>303013</v>
      </c>
      <c r="AL1915" s="205">
        <v>15</v>
      </c>
      <c r="AM1915" s="205">
        <f ca="1">IF(B1915=B1916,OFFSET(卡牌辅助配置表!$AE$1,MATCH(AB1915,卡牌辅助配置表!AB:AB,0),0),0)</f>
        <v>2300</v>
      </c>
      <c r="AN1915" s="153">
        <f ca="1" t="shared" si="314"/>
        <v>3013010</v>
      </c>
      <c r="AP1915" s="153">
        <f ca="1">IF(AC1915=0,0,IF(AC1915=12,0,OFFSET(effect!$N$1,MATCH(K1915,effect!M:M,0)-1,0)))</f>
        <v>0</v>
      </c>
    </row>
    <row r="1916" spans="1:42">
      <c r="A1916" s="153">
        <f ca="1" t="shared" si="315"/>
        <v>3013010</v>
      </c>
      <c r="B1916" s="91" t="s">
        <v>359</v>
      </c>
      <c r="C1916" s="186">
        <v>3</v>
      </c>
      <c r="D1916" s="186">
        <v>3</v>
      </c>
      <c r="E1916" s="165" t="s">
        <v>1069</v>
      </c>
      <c r="F1916" s="179" t="s">
        <v>1059</v>
      </c>
      <c r="G1916" s="186">
        <f ca="1">OFFSET(卡牌辅助配置表!$C$1,MATCH(AC1916,卡牌辅助配置表!A:A,0)-1,0)</f>
        <v>0</v>
      </c>
      <c r="H1916" s="186">
        <f ca="1">OFFSET(skill!$Q$1,MATCH(B1916,skill!B:B,0)-1,0)</f>
        <v>5</v>
      </c>
      <c r="I1916" s="186"/>
      <c r="J1916" s="186">
        <f ca="1">OFFSET(card_type!$F$1,MATCH(Q1916,card_type!A:A,0)-1,0)</f>
        <v>1</v>
      </c>
      <c r="K1916" s="243">
        <f ca="1">OFFSET(card_type!$G$1,MATCH(Q1916,card_type!A:A,0)-1,0)</f>
        <v>1</v>
      </c>
      <c r="L1916" s="157">
        <v>2</v>
      </c>
      <c r="M1916" s="157">
        <v>2</v>
      </c>
      <c r="N1916" s="153">
        <f t="shared" si="316"/>
        <v>10</v>
      </c>
      <c r="O1916" s="157"/>
      <c r="P1916" s="157"/>
      <c r="Q1916" s="153">
        <f ca="1">OFFSET(card_type!$A$1,MATCH(card!B1916,card_type!B:B,0)-1,0)</f>
        <v>3013</v>
      </c>
      <c r="R1916" s="153">
        <v>1</v>
      </c>
      <c r="S1916" s="157">
        <f ca="1">ROUND(IF(R1916=0,0,IF(R1916=1,X1916*$S$1,IF(R1916=2,X1916*$S$1*buff的资质计算!$E$2,IF(R1916=3,X1916*$S$1*buff的资质计算!$E$3,0)))),0)*0</f>
        <v>0</v>
      </c>
      <c r="T1916" s="153">
        <v>3</v>
      </c>
      <c r="U1916" s="153">
        <f ca="1" t="shared" si="317"/>
        <v>11</v>
      </c>
      <c r="V1916" s="153">
        <f ca="1">ROUND((OFFSET(卡牌辅助配置表!$O$1,MATCH(U1916,卡牌辅助配置表!M:M,0)-1,0)+(N1916-1)*OFFSET(卡牌辅助配置表!$P$1,MATCH(U1916,卡牌辅助配置表!M:M,0)-1,0))*M1916,2)</f>
        <v>16.3</v>
      </c>
      <c r="W1916" s="157">
        <f ca="1">ROUND(IF(R1916=0,0,IF(R1916=1,X1916*$W$1,IF(R1916=2,X1916*$W$1*buff的资质计算!$E$2,IF(R1916=3,X1916*$W$1*buff的资质计算!$E$3,0)))),2)</f>
        <v>4.35</v>
      </c>
      <c r="X1916" s="157">
        <f ca="1" t="shared" si="323"/>
        <v>14.5</v>
      </c>
      <c r="Y1916" s="157">
        <f ca="1" t="shared" si="320"/>
        <v>19.5</v>
      </c>
      <c r="Z1916" s="304">
        <f ca="1" t="shared" si="324"/>
        <v>9.75</v>
      </c>
      <c r="AA1916" s="304">
        <f ca="1">OFFSET(卡牌辅助配置表!$AD$1,MATCH(AB1916,卡牌辅助配置表!AB:AB,0)-1,0)</f>
        <v>180</v>
      </c>
      <c r="AB1916" s="304">
        <f ca="1" t="shared" si="318"/>
        <v>1110</v>
      </c>
      <c r="AC1916" s="153">
        <v>12</v>
      </c>
      <c r="AF1916" s="153" t="str">
        <f ca="1" t="shared" si="322"/>
        <v>30130011|</v>
      </c>
      <c r="AJ1916" s="205" t="str">
        <f ca="1" t="shared" si="319"/>
        <v>400023|2700|;</v>
      </c>
      <c r="AK1916" s="205">
        <f ca="1">OFFSET([1]item_type!$A$1,MATCH(Q1916,[1]item_type!$G:$G,0)-1,0)</f>
        <v>303013</v>
      </c>
      <c r="AL1916" s="205"/>
      <c r="AM1916" s="205">
        <f ca="1">IF(B1916=B1917,OFFSET(卡牌辅助配置表!$AE$1,MATCH(AB1916,卡牌辅助配置表!AB:AB,0),0),0)</f>
        <v>2700</v>
      </c>
      <c r="AN1916" s="153">
        <f ca="1" t="shared" si="314"/>
        <v>3013011</v>
      </c>
      <c r="AP1916" s="153">
        <f ca="1">IF(AC1916=0,0,IF(AC1916=12,0,OFFSET(effect!$N$1,MATCH(K1916,effect!M:M,0)-1,0)))</f>
        <v>0</v>
      </c>
    </row>
    <row r="1917" spans="1:42">
      <c r="A1917" s="153">
        <f ca="1" t="shared" si="315"/>
        <v>3013011</v>
      </c>
      <c r="B1917" s="91" t="s">
        <v>359</v>
      </c>
      <c r="C1917" s="186">
        <v>3</v>
      </c>
      <c r="D1917" s="186">
        <v>3</v>
      </c>
      <c r="E1917" s="165" t="s">
        <v>1069</v>
      </c>
      <c r="F1917" s="179" t="s">
        <v>1059</v>
      </c>
      <c r="G1917" s="186">
        <f ca="1">OFFSET(卡牌辅助配置表!$C$1,MATCH(AC1917,卡牌辅助配置表!A:A,0)-1,0)</f>
        <v>0</v>
      </c>
      <c r="H1917" s="186">
        <f ca="1">OFFSET(skill!$Q$1,MATCH(B1917,skill!B:B,0)-1,0)</f>
        <v>5</v>
      </c>
      <c r="I1917" s="186"/>
      <c r="J1917" s="186">
        <f ca="1">OFFSET(card_type!$F$1,MATCH(Q1917,card_type!A:A,0)-1,0)</f>
        <v>1</v>
      </c>
      <c r="K1917" s="243">
        <f ca="1">OFFSET(card_type!$G$1,MATCH(Q1917,card_type!A:A,0)-1,0)</f>
        <v>1</v>
      </c>
      <c r="L1917" s="157">
        <v>2</v>
      </c>
      <c r="M1917" s="157">
        <v>2</v>
      </c>
      <c r="N1917" s="153">
        <f t="shared" si="316"/>
        <v>11</v>
      </c>
      <c r="O1917" s="157"/>
      <c r="P1917" s="157"/>
      <c r="Q1917" s="153">
        <f ca="1">OFFSET(card_type!$A$1,MATCH(card!B1917,card_type!B:B,0)-1,0)</f>
        <v>3013</v>
      </c>
      <c r="R1917" s="153">
        <v>1</v>
      </c>
      <c r="S1917" s="157">
        <f ca="1">ROUND(IF(R1917=0,0,IF(R1917=1,X1917*$S$1,IF(R1917=2,X1917*$S$1*buff的资质计算!$E$2,IF(R1917=3,X1917*$S$1*buff的资质计算!$E$3,0)))),0)*0</f>
        <v>0</v>
      </c>
      <c r="T1917" s="153">
        <v>3</v>
      </c>
      <c r="U1917" s="153">
        <f ca="1" t="shared" si="317"/>
        <v>11</v>
      </c>
      <c r="V1917" s="153">
        <f ca="1">ROUND((OFFSET(卡牌辅助配置表!$O$1,MATCH(U1917,卡牌辅助配置表!M:M,0)-1,0)+(N1917-1)*OFFSET(卡牌辅助配置表!$P$1,MATCH(U1917,卡牌辅助配置表!M:M,0)-1,0))*M1917,2)</f>
        <v>16.72</v>
      </c>
      <c r="W1917" s="157">
        <f ca="1">ROUND(IF(R1917=0,0,IF(R1917=1,X1917*$W$1,IF(R1917=2,X1917*$W$1*buff的资质计算!$E$2,IF(R1917=3,X1917*$W$1*buff的资质计算!$E$3,0)))),2)</f>
        <v>4.5</v>
      </c>
      <c r="X1917" s="157">
        <f ca="1" t="shared" si="323"/>
        <v>15</v>
      </c>
      <c r="Y1917" s="157">
        <f ca="1" t="shared" si="320"/>
        <v>20</v>
      </c>
      <c r="Z1917" s="304">
        <f ca="1" t="shared" si="324"/>
        <v>10</v>
      </c>
      <c r="AA1917" s="304">
        <f ca="1">OFFSET(卡牌辅助配置表!$AD$1,MATCH(AB1917,卡牌辅助配置表!AB:AB,0)-1,0)</f>
        <v>207</v>
      </c>
      <c r="AB1917" s="304">
        <f ca="1" t="shared" si="318"/>
        <v>1111</v>
      </c>
      <c r="AC1917" s="153">
        <v>12</v>
      </c>
      <c r="AF1917" s="153" t="str">
        <f ca="1" t="shared" si="322"/>
        <v>30130011|</v>
      </c>
      <c r="AJ1917" s="205" t="str">
        <f ca="1" t="shared" si="319"/>
        <v>400023|3100|;</v>
      </c>
      <c r="AK1917" s="205">
        <f ca="1">OFFSET([1]item_type!$A$1,MATCH(Q1917,[1]item_type!$G:$G,0)-1,0)</f>
        <v>303013</v>
      </c>
      <c r="AL1917" s="205"/>
      <c r="AM1917" s="205">
        <f ca="1">IF(B1917=B1918,OFFSET(卡牌辅助配置表!$AE$1,MATCH(AB1917,卡牌辅助配置表!AB:AB,0),0),0)</f>
        <v>3100</v>
      </c>
      <c r="AN1917" s="153">
        <f ca="1" t="shared" si="314"/>
        <v>3013012</v>
      </c>
      <c r="AP1917" s="153">
        <f ca="1">IF(AC1917=0,0,IF(AC1917=12,0,OFFSET(effect!$N$1,MATCH(K1917,effect!M:M,0)-1,0)))</f>
        <v>0</v>
      </c>
    </row>
    <row r="1918" spans="1:42">
      <c r="A1918" s="153">
        <f ca="1" t="shared" si="315"/>
        <v>3013012</v>
      </c>
      <c r="B1918" s="91" t="s">
        <v>359</v>
      </c>
      <c r="C1918" s="186">
        <v>3</v>
      </c>
      <c r="D1918" s="186">
        <v>3</v>
      </c>
      <c r="E1918" s="165" t="s">
        <v>1069</v>
      </c>
      <c r="F1918" s="179" t="s">
        <v>1059</v>
      </c>
      <c r="G1918" s="186">
        <f ca="1">OFFSET(卡牌辅助配置表!$C$1,MATCH(AC1918,卡牌辅助配置表!A:A,0)-1,0)</f>
        <v>0</v>
      </c>
      <c r="H1918" s="186">
        <f ca="1">OFFSET(skill!$Q$1,MATCH(B1918,skill!B:B,0)-1,0)</f>
        <v>5</v>
      </c>
      <c r="I1918" s="186"/>
      <c r="J1918" s="186">
        <f ca="1">OFFSET(card_type!$F$1,MATCH(Q1918,card_type!A:A,0)-1,0)</f>
        <v>1</v>
      </c>
      <c r="K1918" s="243">
        <f ca="1">OFFSET(card_type!$G$1,MATCH(Q1918,card_type!A:A,0)-1,0)</f>
        <v>1</v>
      </c>
      <c r="L1918" s="157">
        <v>2</v>
      </c>
      <c r="M1918" s="157">
        <v>2</v>
      </c>
      <c r="N1918" s="153">
        <f t="shared" si="316"/>
        <v>12</v>
      </c>
      <c r="O1918" s="157"/>
      <c r="P1918" s="157"/>
      <c r="Q1918" s="153">
        <f ca="1">OFFSET(card_type!$A$1,MATCH(card!B1918,card_type!B:B,0)-1,0)</f>
        <v>3013</v>
      </c>
      <c r="R1918" s="153">
        <v>1</v>
      </c>
      <c r="S1918" s="157">
        <f ca="1">ROUND(IF(R1918=0,0,IF(R1918=1,X1918*$S$1,IF(R1918=2,X1918*$S$1*buff的资质计算!$E$2,IF(R1918=3,X1918*$S$1*buff的资质计算!$E$3,0)))),0)*0</f>
        <v>0</v>
      </c>
      <c r="T1918" s="153">
        <v>3</v>
      </c>
      <c r="U1918" s="153">
        <f ca="1" t="shared" si="317"/>
        <v>11</v>
      </c>
      <c r="V1918" s="153">
        <f ca="1">ROUND((OFFSET(卡牌辅助配置表!$O$1,MATCH(U1918,卡牌辅助配置表!M:M,0)-1,0)+(N1918-1)*OFFSET(卡牌辅助配置表!$P$1,MATCH(U1918,卡牌辅助配置表!M:M,0)-1,0))*M1918,2)</f>
        <v>17.14</v>
      </c>
      <c r="W1918" s="157">
        <f ca="1">ROUND(IF(R1918=0,0,IF(R1918=1,X1918*$W$1,IF(R1918=2,X1918*$W$1*buff的资质计算!$E$2,IF(R1918=3,X1918*$W$1*buff的资质计算!$E$3,0)))),2)</f>
        <v>4.65</v>
      </c>
      <c r="X1918" s="157">
        <f ca="1" t="shared" si="323"/>
        <v>15.5</v>
      </c>
      <c r="Y1918" s="157">
        <f ca="1" t="shared" si="320"/>
        <v>20.5</v>
      </c>
      <c r="Z1918" s="304">
        <f ca="1" t="shared" si="324"/>
        <v>10.25</v>
      </c>
      <c r="AA1918" s="304">
        <f ca="1">OFFSET(卡牌辅助配置表!$AD$1,MATCH(AB1918,卡牌辅助配置表!AB:AB,0)-1,0)</f>
        <v>234</v>
      </c>
      <c r="AB1918" s="304">
        <f ca="1" t="shared" si="318"/>
        <v>1112</v>
      </c>
      <c r="AC1918" s="153">
        <v>12</v>
      </c>
      <c r="AF1918" s="153" t="str">
        <f ca="1" t="shared" si="322"/>
        <v>30130011|</v>
      </c>
      <c r="AJ1918" s="205" t="str">
        <f ca="1" t="shared" si="319"/>
        <v>400023|3500|;</v>
      </c>
      <c r="AK1918" s="205">
        <f ca="1">OFFSET([1]item_type!$A$1,MATCH(Q1918,[1]item_type!$G:$G,0)-1,0)</f>
        <v>303013</v>
      </c>
      <c r="AL1918" s="205"/>
      <c r="AM1918" s="205">
        <f ca="1">IF(B1918=B1919,OFFSET(卡牌辅助配置表!$AE$1,MATCH(AB1918,卡牌辅助配置表!AB:AB,0),0),0)</f>
        <v>3500</v>
      </c>
      <c r="AN1918" s="153">
        <f ca="1" t="shared" si="314"/>
        <v>3013013</v>
      </c>
      <c r="AP1918" s="153">
        <f ca="1">IF(AC1918=0,0,IF(AC1918=12,0,OFFSET(effect!$N$1,MATCH(K1918,effect!M:M,0)-1,0)))</f>
        <v>0</v>
      </c>
    </row>
    <row r="1919" spans="1:42">
      <c r="A1919" s="153">
        <f ca="1" t="shared" si="315"/>
        <v>3013013</v>
      </c>
      <c r="B1919" s="91" t="s">
        <v>359</v>
      </c>
      <c r="C1919" s="186">
        <v>3</v>
      </c>
      <c r="D1919" s="186">
        <v>3</v>
      </c>
      <c r="E1919" s="165" t="s">
        <v>1069</v>
      </c>
      <c r="F1919" s="179" t="s">
        <v>1059</v>
      </c>
      <c r="G1919" s="186">
        <f ca="1">OFFSET(卡牌辅助配置表!$C$1,MATCH(AC1919,卡牌辅助配置表!A:A,0)-1,0)</f>
        <v>0</v>
      </c>
      <c r="H1919" s="186">
        <f ca="1">OFFSET(skill!$Q$1,MATCH(B1919,skill!B:B,0)-1,0)</f>
        <v>5</v>
      </c>
      <c r="I1919" s="186"/>
      <c r="J1919" s="186">
        <f ca="1">OFFSET(card_type!$F$1,MATCH(Q1919,card_type!A:A,0)-1,0)</f>
        <v>1</v>
      </c>
      <c r="K1919" s="243">
        <f ca="1">OFFSET(card_type!$G$1,MATCH(Q1919,card_type!A:A,0)-1,0)</f>
        <v>1</v>
      </c>
      <c r="L1919" s="157">
        <v>2</v>
      </c>
      <c r="M1919" s="157">
        <v>2</v>
      </c>
      <c r="N1919" s="153">
        <f t="shared" si="316"/>
        <v>13</v>
      </c>
      <c r="O1919" s="157"/>
      <c r="P1919" s="157"/>
      <c r="Q1919" s="153">
        <f ca="1">OFFSET(card_type!$A$1,MATCH(card!B1919,card_type!B:B,0)-1,0)</f>
        <v>3013</v>
      </c>
      <c r="R1919" s="153">
        <v>1</v>
      </c>
      <c r="S1919" s="157">
        <f ca="1">ROUND(IF(R1919=0,0,IF(R1919=1,X1919*$S$1,IF(R1919=2,X1919*$S$1*buff的资质计算!$E$2,IF(R1919=3,X1919*$S$1*buff的资质计算!$E$3,0)))),0)*0</f>
        <v>0</v>
      </c>
      <c r="T1919" s="153">
        <v>3</v>
      </c>
      <c r="U1919" s="153">
        <f ca="1" t="shared" si="317"/>
        <v>11</v>
      </c>
      <c r="V1919" s="153">
        <f ca="1">ROUND((OFFSET(卡牌辅助配置表!$O$1,MATCH(U1919,卡牌辅助配置表!M:M,0)-1,0)+(N1919-1)*OFFSET(卡牌辅助配置表!$P$1,MATCH(U1919,卡牌辅助配置表!M:M,0)-1,0))*M1919,2)</f>
        <v>17.56</v>
      </c>
      <c r="W1919" s="157">
        <f ca="1">ROUND(IF(R1919=0,0,IF(R1919=1,X1919*$W$1,IF(R1919=2,X1919*$W$1*buff的资质计算!$E$2,IF(R1919=3,X1919*$W$1*buff的资质计算!$E$3,0)))),2)</f>
        <v>4.8</v>
      </c>
      <c r="X1919" s="157">
        <f ca="1" t="shared" si="323"/>
        <v>16</v>
      </c>
      <c r="Y1919" s="157">
        <f ca="1" t="shared" si="320"/>
        <v>21</v>
      </c>
      <c r="Z1919" s="304">
        <f ca="1" t="shared" si="324"/>
        <v>10.5</v>
      </c>
      <c r="AA1919" s="304">
        <f ca="1">OFFSET(卡牌辅助配置表!$AD$1,MATCH(AB1919,卡牌辅助配置表!AB:AB,0)-1,0)</f>
        <v>261</v>
      </c>
      <c r="AB1919" s="304">
        <f ca="1" t="shared" si="318"/>
        <v>1113</v>
      </c>
      <c r="AC1919" s="153">
        <v>12</v>
      </c>
      <c r="AF1919" s="153" t="str">
        <f ca="1" t="shared" si="322"/>
        <v>30130011|</v>
      </c>
      <c r="AJ1919" s="205" t="str">
        <f ca="1" t="shared" si="319"/>
        <v>400023|3900|;</v>
      </c>
      <c r="AK1919" s="205">
        <f ca="1">OFFSET([1]item_type!$A$1,MATCH(Q1919,[1]item_type!$G:$G,0)-1,0)</f>
        <v>303013</v>
      </c>
      <c r="AL1919" s="205"/>
      <c r="AM1919" s="205">
        <f ca="1">IF(B1919=B1920,OFFSET(卡牌辅助配置表!$AE$1,MATCH(AB1919,卡牌辅助配置表!AB:AB,0),0),0)</f>
        <v>3900</v>
      </c>
      <c r="AN1919" s="153">
        <f ca="1" t="shared" si="314"/>
        <v>3013014</v>
      </c>
      <c r="AP1919" s="153">
        <f ca="1">IF(AC1919=0,0,IF(AC1919=12,0,OFFSET(effect!$N$1,MATCH(K1919,effect!M:M,0)-1,0)))</f>
        <v>0</v>
      </c>
    </row>
    <row r="1920" spans="1:42">
      <c r="A1920" s="153">
        <f ca="1" t="shared" si="315"/>
        <v>3013014</v>
      </c>
      <c r="B1920" s="91" t="s">
        <v>359</v>
      </c>
      <c r="C1920" s="186">
        <v>3</v>
      </c>
      <c r="D1920" s="186">
        <v>3</v>
      </c>
      <c r="E1920" s="165" t="s">
        <v>1069</v>
      </c>
      <c r="F1920" s="179" t="s">
        <v>1059</v>
      </c>
      <c r="G1920" s="186">
        <f ca="1">OFFSET(卡牌辅助配置表!$C$1,MATCH(AC1920,卡牌辅助配置表!A:A,0)-1,0)</f>
        <v>0</v>
      </c>
      <c r="H1920" s="186">
        <f ca="1">OFFSET(skill!$Q$1,MATCH(B1920,skill!B:B,0)-1,0)</f>
        <v>5</v>
      </c>
      <c r="I1920" s="186"/>
      <c r="J1920" s="186">
        <f ca="1">OFFSET(card_type!$F$1,MATCH(Q1920,card_type!A:A,0)-1,0)</f>
        <v>1</v>
      </c>
      <c r="K1920" s="243">
        <f ca="1">OFFSET(card_type!$G$1,MATCH(Q1920,card_type!A:A,0)-1,0)</f>
        <v>1</v>
      </c>
      <c r="L1920" s="157">
        <v>2</v>
      </c>
      <c r="M1920" s="157">
        <v>2</v>
      </c>
      <c r="N1920" s="153">
        <f t="shared" si="316"/>
        <v>14</v>
      </c>
      <c r="O1920" s="157"/>
      <c r="P1920" s="157"/>
      <c r="Q1920" s="153">
        <f ca="1">OFFSET(card_type!$A$1,MATCH(card!B1920,card_type!B:B,0)-1,0)</f>
        <v>3013</v>
      </c>
      <c r="R1920" s="153">
        <v>1</v>
      </c>
      <c r="S1920" s="157">
        <f ca="1">ROUND(IF(R1920=0,0,IF(R1920=1,X1920*$S$1,IF(R1920=2,X1920*$S$1*buff的资质计算!$E$2,IF(R1920=3,X1920*$S$1*buff的资质计算!$E$3,0)))),0)*0</f>
        <v>0</v>
      </c>
      <c r="T1920" s="153">
        <v>3</v>
      </c>
      <c r="U1920" s="153">
        <f ca="1" t="shared" si="317"/>
        <v>11</v>
      </c>
      <c r="V1920" s="153">
        <f ca="1">ROUND((OFFSET(卡牌辅助配置表!$O$1,MATCH(U1920,卡牌辅助配置表!M:M,0)-1,0)+(N1920-1)*OFFSET(卡牌辅助配置表!$P$1,MATCH(U1920,卡牌辅助配置表!M:M,0)-1,0))*M1920,2)</f>
        <v>17.97</v>
      </c>
      <c r="W1920" s="157">
        <f ca="1">ROUND(IF(R1920=0,0,IF(R1920=1,X1920*$W$1,IF(R1920=2,X1920*$W$1*buff的资质计算!$E$2,IF(R1920=3,X1920*$W$1*buff的资质计算!$E$3,0)))),2)</f>
        <v>4.95</v>
      </c>
      <c r="X1920" s="157">
        <f ca="1" t="shared" si="323"/>
        <v>16.5</v>
      </c>
      <c r="Y1920" s="157">
        <f ca="1" t="shared" si="320"/>
        <v>21.5</v>
      </c>
      <c r="Z1920" s="304">
        <f ca="1" t="shared" si="324"/>
        <v>10.75</v>
      </c>
      <c r="AA1920" s="304">
        <f ca="1">OFFSET(卡牌辅助配置表!$AD$1,MATCH(AB1920,卡牌辅助配置表!AB:AB,0)-1,0)</f>
        <v>288</v>
      </c>
      <c r="AB1920" s="304">
        <f ca="1" t="shared" si="318"/>
        <v>1114</v>
      </c>
      <c r="AC1920" s="153">
        <v>12</v>
      </c>
      <c r="AF1920" s="153" t="str">
        <f ca="1" t="shared" si="322"/>
        <v>30130011|</v>
      </c>
      <c r="AJ1920" s="205" t="str">
        <f ca="1" t="shared" si="319"/>
        <v>400023|4300|;</v>
      </c>
      <c r="AK1920" s="205">
        <f ca="1">OFFSET([1]item_type!$A$1,MATCH(Q1920,[1]item_type!$G:$G,0)-1,0)</f>
        <v>303013</v>
      </c>
      <c r="AL1920" s="205"/>
      <c r="AM1920" s="205">
        <f ca="1">IF(B1920=B1921,OFFSET(卡牌辅助配置表!$AE$1,MATCH(AB1920,卡牌辅助配置表!AB:AB,0),0),0)</f>
        <v>4300</v>
      </c>
      <c r="AN1920" s="153">
        <f ca="1" t="shared" si="314"/>
        <v>3013015</v>
      </c>
      <c r="AP1920" s="153">
        <f ca="1">IF(AC1920=0,0,IF(AC1920=12,0,OFFSET(effect!$N$1,MATCH(K1920,effect!M:M,0)-1,0)))</f>
        <v>0</v>
      </c>
    </row>
    <row r="1921" spans="1:42">
      <c r="A1921" s="153">
        <f ca="1" t="shared" si="315"/>
        <v>3013015</v>
      </c>
      <c r="B1921" s="91" t="s">
        <v>359</v>
      </c>
      <c r="C1921" s="186">
        <v>3</v>
      </c>
      <c r="D1921" s="186">
        <v>3</v>
      </c>
      <c r="E1921" s="165" t="s">
        <v>1069</v>
      </c>
      <c r="F1921" s="179" t="s">
        <v>1059</v>
      </c>
      <c r="G1921" s="186">
        <f ca="1">OFFSET(卡牌辅助配置表!$C$1,MATCH(AC1921,卡牌辅助配置表!A:A,0)-1,0)</f>
        <v>0</v>
      </c>
      <c r="H1921" s="186">
        <f ca="1">OFFSET(skill!$Q$1,MATCH(B1921,skill!B:B,0)-1,0)</f>
        <v>5</v>
      </c>
      <c r="I1921" s="186"/>
      <c r="J1921" s="186">
        <f ca="1">OFFSET(card_type!$F$1,MATCH(Q1921,card_type!A:A,0)-1,0)</f>
        <v>1</v>
      </c>
      <c r="K1921" s="243">
        <f ca="1">OFFSET(card_type!$G$1,MATCH(Q1921,card_type!A:A,0)-1,0)</f>
        <v>1</v>
      </c>
      <c r="L1921" s="157">
        <v>2</v>
      </c>
      <c r="M1921" s="157">
        <v>2</v>
      </c>
      <c r="N1921" s="153">
        <f t="shared" si="316"/>
        <v>15</v>
      </c>
      <c r="O1921" s="157"/>
      <c r="P1921" s="157"/>
      <c r="Q1921" s="153">
        <f ca="1">OFFSET(card_type!$A$1,MATCH(card!B1921,card_type!B:B,0)-1,0)</f>
        <v>3013</v>
      </c>
      <c r="R1921" s="153">
        <v>1</v>
      </c>
      <c r="S1921" s="157">
        <f ca="1">ROUND(IF(R1921=0,0,IF(R1921=1,X1921*$S$1,IF(R1921=2,X1921*$S$1*buff的资质计算!$E$2,IF(R1921=3,X1921*$S$1*buff的资质计算!$E$3,0)))),0)*0</f>
        <v>0</v>
      </c>
      <c r="T1921" s="153">
        <v>3</v>
      </c>
      <c r="U1921" s="153">
        <f ca="1" t="shared" si="317"/>
        <v>11</v>
      </c>
      <c r="V1921" s="153">
        <f ca="1">ROUND((OFFSET(卡牌辅助配置表!$O$1,MATCH(U1921,卡牌辅助配置表!M:M,0)-1,0)+(N1921-1)*OFFSET(卡牌辅助配置表!$P$1,MATCH(U1921,卡牌辅助配置表!M:M,0)-1,0))*M1921,2)</f>
        <v>18.39</v>
      </c>
      <c r="W1921" s="157">
        <f ca="1">ROUND(IF(R1921=0,0,IF(R1921=1,X1921*$W$1,IF(R1921=2,X1921*$W$1*buff的资质计算!$E$2,IF(R1921=3,X1921*$W$1*buff的资质计算!$E$3,0)))),2)</f>
        <v>5.1</v>
      </c>
      <c r="X1921" s="157">
        <f ca="1" t="shared" si="323"/>
        <v>17</v>
      </c>
      <c r="Y1921" s="157">
        <f ca="1" t="shared" si="320"/>
        <v>22</v>
      </c>
      <c r="Z1921" s="304">
        <f ca="1" t="shared" si="324"/>
        <v>11</v>
      </c>
      <c r="AA1921" s="304">
        <f ca="1">OFFSET(卡牌辅助配置表!$AD$1,MATCH(AB1921,卡牌辅助配置表!AB:AB,0)-1,0)</f>
        <v>315</v>
      </c>
      <c r="AB1921" s="304">
        <f ca="1" t="shared" si="318"/>
        <v>1115</v>
      </c>
      <c r="AC1921" s="153">
        <v>12</v>
      </c>
      <c r="AF1921" s="153" t="str">
        <f ca="1" t="shared" si="322"/>
        <v>30130011|</v>
      </c>
      <c r="AJ1921" s="205" t="str">
        <f ca="1" t="shared" si="319"/>
        <v>400023|4700|;</v>
      </c>
      <c r="AK1921" s="205">
        <f ca="1">OFFSET([1]item_type!$A$1,MATCH(Q1921,[1]item_type!$G:$G,0)-1,0)</f>
        <v>303013</v>
      </c>
      <c r="AL1921" s="205"/>
      <c r="AM1921" s="205">
        <f ca="1">IF(B1921=B1922,OFFSET(卡牌辅助配置表!$AE$1,MATCH(AB1921,卡牌辅助配置表!AB:AB,0),0),0)</f>
        <v>4700</v>
      </c>
      <c r="AN1921" s="153">
        <f ca="1" t="shared" si="314"/>
        <v>3013016</v>
      </c>
      <c r="AP1921" s="153">
        <f ca="1">IF(AC1921=0,0,IF(AC1921=12,0,OFFSET(effect!$N$1,MATCH(K1921,effect!M:M,0)-1,0)))</f>
        <v>0</v>
      </c>
    </row>
    <row r="1922" spans="1:42">
      <c r="A1922" s="153">
        <f ca="1" t="shared" si="315"/>
        <v>3013016</v>
      </c>
      <c r="B1922" s="91" t="s">
        <v>359</v>
      </c>
      <c r="C1922" s="186">
        <v>3</v>
      </c>
      <c r="D1922" s="186">
        <v>3</v>
      </c>
      <c r="E1922" s="165" t="s">
        <v>1069</v>
      </c>
      <c r="F1922" s="179" t="s">
        <v>1059</v>
      </c>
      <c r="G1922" s="186">
        <f ca="1">OFFSET(卡牌辅助配置表!$C$1,MATCH(AC1922,卡牌辅助配置表!A:A,0)-1,0)</f>
        <v>0</v>
      </c>
      <c r="H1922" s="186">
        <f ca="1">OFFSET(skill!$Q$1,MATCH(B1922,skill!B:B,0)-1,0)</f>
        <v>5</v>
      </c>
      <c r="I1922" s="186"/>
      <c r="J1922" s="186">
        <f ca="1">OFFSET(card_type!$F$1,MATCH(Q1922,card_type!A:A,0)-1,0)</f>
        <v>1</v>
      </c>
      <c r="K1922" s="243">
        <f ca="1">OFFSET(card_type!$G$1,MATCH(Q1922,card_type!A:A,0)-1,0)</f>
        <v>1</v>
      </c>
      <c r="L1922" s="157">
        <v>2</v>
      </c>
      <c r="M1922" s="157">
        <v>2</v>
      </c>
      <c r="N1922" s="153">
        <f t="shared" si="316"/>
        <v>16</v>
      </c>
      <c r="O1922" s="157"/>
      <c r="P1922" s="157"/>
      <c r="Q1922" s="153">
        <f ca="1">OFFSET(card_type!$A$1,MATCH(card!B1922,card_type!B:B,0)-1,0)</f>
        <v>3013</v>
      </c>
      <c r="R1922" s="153">
        <v>1</v>
      </c>
      <c r="S1922" s="157">
        <f ca="1">ROUND(IF(R1922=0,0,IF(R1922=1,X1922*$S$1,IF(R1922=2,X1922*$S$1*buff的资质计算!$E$2,IF(R1922=3,X1922*$S$1*buff的资质计算!$E$3,0)))),0)*0</f>
        <v>0</v>
      </c>
      <c r="T1922" s="153">
        <v>3</v>
      </c>
      <c r="U1922" s="153">
        <f ca="1" t="shared" si="317"/>
        <v>11</v>
      </c>
      <c r="V1922" s="153">
        <f ca="1">ROUND((OFFSET(卡牌辅助配置表!$O$1,MATCH(U1922,卡牌辅助配置表!M:M,0)-1,0)+(N1922-1)*OFFSET(卡牌辅助配置表!$P$1,MATCH(U1922,卡牌辅助配置表!M:M,0)-1,0))*M1922,2)</f>
        <v>18.81</v>
      </c>
      <c r="W1922" s="157">
        <f ca="1">ROUND(IF(R1922=0,0,IF(R1922=1,X1922*$W$1,IF(R1922=2,X1922*$W$1*buff的资质计算!$E$2,IF(R1922=3,X1922*$W$1*buff的资质计算!$E$3,0)))),2)</f>
        <v>5.25</v>
      </c>
      <c r="X1922" s="157">
        <f ca="1" t="shared" si="323"/>
        <v>17.5</v>
      </c>
      <c r="Y1922" s="157">
        <f ca="1" t="shared" si="320"/>
        <v>22.5</v>
      </c>
      <c r="Z1922" s="304">
        <f ca="1" t="shared" si="324"/>
        <v>11.25</v>
      </c>
      <c r="AA1922" s="304">
        <f ca="1">OFFSET(卡牌辅助配置表!$AD$1,MATCH(AB1922,卡牌辅助配置表!AB:AB,0)-1,0)</f>
        <v>342</v>
      </c>
      <c r="AB1922" s="304">
        <f ca="1" t="shared" si="318"/>
        <v>1116</v>
      </c>
      <c r="AC1922" s="153">
        <v>12</v>
      </c>
      <c r="AF1922" s="153" t="str">
        <f ca="1" t="shared" si="322"/>
        <v>30130011|</v>
      </c>
      <c r="AJ1922" s="205" t="str">
        <f ca="1" t="shared" si="319"/>
        <v>400023|5100|;</v>
      </c>
      <c r="AK1922" s="205">
        <f ca="1">OFFSET([1]item_type!$A$1,MATCH(Q1922,[1]item_type!$G:$G,0)-1,0)</f>
        <v>303013</v>
      </c>
      <c r="AL1922" s="205"/>
      <c r="AM1922" s="205">
        <f ca="1">IF(B1922=B1923,OFFSET(卡牌辅助配置表!$AE$1,MATCH(AB1922,卡牌辅助配置表!AB:AB,0),0),0)</f>
        <v>5100</v>
      </c>
      <c r="AN1922" s="153">
        <f ca="1" t="shared" si="314"/>
        <v>3013017</v>
      </c>
      <c r="AP1922" s="153">
        <f ca="1">IF(AC1922=0,0,IF(AC1922=12,0,OFFSET(effect!$N$1,MATCH(K1922,effect!M:M,0)-1,0)))</f>
        <v>0</v>
      </c>
    </row>
    <row r="1923" spans="1:42">
      <c r="A1923" s="153">
        <f ca="1" t="shared" si="315"/>
        <v>3013017</v>
      </c>
      <c r="B1923" s="91" t="s">
        <v>359</v>
      </c>
      <c r="C1923" s="186">
        <v>3</v>
      </c>
      <c r="D1923" s="186">
        <v>3</v>
      </c>
      <c r="E1923" s="165" t="s">
        <v>1069</v>
      </c>
      <c r="F1923" s="179" t="s">
        <v>1059</v>
      </c>
      <c r="G1923" s="186">
        <f ca="1">OFFSET(卡牌辅助配置表!$C$1,MATCH(AC1923,卡牌辅助配置表!A:A,0)-1,0)</f>
        <v>0</v>
      </c>
      <c r="H1923" s="186">
        <f ca="1">OFFSET(skill!$Q$1,MATCH(B1923,skill!B:B,0)-1,0)</f>
        <v>5</v>
      </c>
      <c r="I1923" s="186"/>
      <c r="J1923" s="186">
        <f ca="1">OFFSET(card_type!$F$1,MATCH(Q1923,card_type!A:A,0)-1,0)</f>
        <v>1</v>
      </c>
      <c r="K1923" s="243">
        <f ca="1">OFFSET(card_type!$G$1,MATCH(Q1923,card_type!A:A,0)-1,0)</f>
        <v>1</v>
      </c>
      <c r="L1923" s="157">
        <v>2</v>
      </c>
      <c r="M1923" s="157">
        <v>2</v>
      </c>
      <c r="N1923" s="153">
        <f t="shared" si="316"/>
        <v>17</v>
      </c>
      <c r="O1923" s="157"/>
      <c r="P1923" s="157"/>
      <c r="Q1923" s="153">
        <f ca="1">OFFSET(card_type!$A$1,MATCH(card!B1923,card_type!B:B,0)-1,0)</f>
        <v>3013</v>
      </c>
      <c r="R1923" s="153">
        <v>1</v>
      </c>
      <c r="S1923" s="157">
        <f ca="1">ROUND(IF(R1923=0,0,IF(R1923=1,X1923*$S$1,IF(R1923=2,X1923*$S$1*buff的资质计算!$E$2,IF(R1923=3,X1923*$S$1*buff的资质计算!$E$3,0)))),0)*0</f>
        <v>0</v>
      </c>
      <c r="T1923" s="153">
        <v>3</v>
      </c>
      <c r="U1923" s="153">
        <f ca="1" t="shared" si="317"/>
        <v>11</v>
      </c>
      <c r="V1923" s="153">
        <f ca="1">ROUND((OFFSET(卡牌辅助配置表!$O$1,MATCH(U1923,卡牌辅助配置表!M:M,0)-1,0)+(N1923-1)*OFFSET(卡牌辅助配置表!$P$1,MATCH(U1923,卡牌辅助配置表!M:M,0)-1,0))*M1923,2)</f>
        <v>19.23</v>
      </c>
      <c r="W1923" s="157">
        <f ca="1">ROUND(IF(R1923=0,0,IF(R1923=1,X1923*$W$1,IF(R1923=2,X1923*$W$1*buff的资质计算!$E$2,IF(R1923=3,X1923*$W$1*buff的资质计算!$E$3,0)))),2)</f>
        <v>5.4</v>
      </c>
      <c r="X1923" s="157">
        <f ca="1" t="shared" si="323"/>
        <v>18</v>
      </c>
      <c r="Y1923" s="157">
        <f ca="1" t="shared" si="320"/>
        <v>23</v>
      </c>
      <c r="Z1923" s="304">
        <f ca="1" t="shared" si="324"/>
        <v>11.5</v>
      </c>
      <c r="AA1923" s="304">
        <f ca="1">OFFSET(卡牌辅助配置表!$AD$1,MATCH(AB1923,卡牌辅助配置表!AB:AB,0)-1,0)</f>
        <v>369</v>
      </c>
      <c r="AB1923" s="304">
        <f ca="1" t="shared" si="318"/>
        <v>1117</v>
      </c>
      <c r="AC1923" s="153">
        <v>12</v>
      </c>
      <c r="AF1923" s="153" t="str">
        <f ca="1" t="shared" si="322"/>
        <v>30130011|</v>
      </c>
      <c r="AJ1923" s="205" t="str">
        <f ca="1" t="shared" si="319"/>
        <v>400023|5500|;</v>
      </c>
      <c r="AK1923" s="205">
        <f ca="1">OFFSET([1]item_type!$A$1,MATCH(Q1923,[1]item_type!$G:$G,0)-1,0)</f>
        <v>303013</v>
      </c>
      <c r="AL1923" s="205"/>
      <c r="AM1923" s="205">
        <f ca="1">IF(B1923=B1924,OFFSET(卡牌辅助配置表!$AE$1,MATCH(AB1923,卡牌辅助配置表!AB:AB,0),0),0)</f>
        <v>5500</v>
      </c>
      <c r="AN1923" s="153">
        <f ca="1" t="shared" si="314"/>
        <v>3013018</v>
      </c>
      <c r="AP1923" s="153">
        <f ca="1">IF(AC1923=0,0,IF(AC1923=12,0,OFFSET(effect!$N$1,MATCH(K1923,effect!M:M,0)-1,0)))</f>
        <v>0</v>
      </c>
    </row>
    <row r="1924" spans="1:42">
      <c r="A1924" s="153">
        <f ca="1" t="shared" si="315"/>
        <v>3013018</v>
      </c>
      <c r="B1924" s="91" t="s">
        <v>359</v>
      </c>
      <c r="C1924" s="186">
        <v>3</v>
      </c>
      <c r="D1924" s="186">
        <v>3</v>
      </c>
      <c r="E1924" s="165" t="s">
        <v>1069</v>
      </c>
      <c r="F1924" s="179" t="s">
        <v>1059</v>
      </c>
      <c r="G1924" s="186">
        <f ca="1">OFFSET(卡牌辅助配置表!$C$1,MATCH(AC1924,卡牌辅助配置表!A:A,0)-1,0)</f>
        <v>0</v>
      </c>
      <c r="H1924" s="186">
        <f ca="1">OFFSET(skill!$Q$1,MATCH(B1924,skill!B:B,0)-1,0)</f>
        <v>5</v>
      </c>
      <c r="I1924" s="186"/>
      <c r="J1924" s="186">
        <f ca="1">OFFSET(card_type!$F$1,MATCH(Q1924,card_type!A:A,0)-1,0)</f>
        <v>1</v>
      </c>
      <c r="K1924" s="243">
        <f ca="1">OFFSET(card_type!$G$1,MATCH(Q1924,card_type!A:A,0)-1,0)</f>
        <v>1</v>
      </c>
      <c r="L1924" s="157">
        <v>2</v>
      </c>
      <c r="M1924" s="157">
        <v>2</v>
      </c>
      <c r="N1924" s="153">
        <f t="shared" si="316"/>
        <v>18</v>
      </c>
      <c r="O1924" s="157"/>
      <c r="P1924" s="157"/>
      <c r="Q1924" s="153">
        <f ca="1">OFFSET(card_type!$A$1,MATCH(card!B1924,card_type!B:B,0)-1,0)</f>
        <v>3013</v>
      </c>
      <c r="R1924" s="153">
        <v>1</v>
      </c>
      <c r="S1924" s="157">
        <f ca="1">ROUND(IF(R1924=0,0,IF(R1924=1,X1924*$S$1,IF(R1924=2,X1924*$S$1*buff的资质计算!$E$2,IF(R1924=3,X1924*$S$1*buff的资质计算!$E$3,0)))),0)*0</f>
        <v>0</v>
      </c>
      <c r="T1924" s="153">
        <v>3</v>
      </c>
      <c r="U1924" s="153">
        <f ca="1" t="shared" si="317"/>
        <v>11</v>
      </c>
      <c r="V1924" s="153">
        <f ca="1">ROUND((OFFSET(卡牌辅助配置表!$O$1,MATCH(U1924,卡牌辅助配置表!M:M,0)-1,0)+(N1924-1)*OFFSET(卡牌辅助配置表!$P$1,MATCH(U1924,卡牌辅助配置表!M:M,0)-1,0))*M1924,2)</f>
        <v>19.65</v>
      </c>
      <c r="W1924" s="157">
        <f ca="1">ROUND(IF(R1924=0,0,IF(R1924=1,X1924*$W$1,IF(R1924=2,X1924*$W$1*buff的资质计算!$E$2,IF(R1924=3,X1924*$W$1*buff的资质计算!$E$3,0)))),2)</f>
        <v>5.55</v>
      </c>
      <c r="X1924" s="157">
        <f ca="1" t="shared" si="323"/>
        <v>18.5</v>
      </c>
      <c r="Y1924" s="157">
        <f ca="1" t="shared" si="320"/>
        <v>23.5</v>
      </c>
      <c r="Z1924" s="304">
        <f ca="1" t="shared" si="324"/>
        <v>11.75</v>
      </c>
      <c r="AA1924" s="304">
        <f ca="1">OFFSET(卡牌辅助配置表!$AD$1,MATCH(AB1924,卡牌辅助配置表!AB:AB,0)-1,0)</f>
        <v>396</v>
      </c>
      <c r="AB1924" s="304">
        <f ca="1" t="shared" si="318"/>
        <v>1118</v>
      </c>
      <c r="AC1924" s="153">
        <v>12</v>
      </c>
      <c r="AF1924" s="153" t="str">
        <f ca="1" t="shared" si="322"/>
        <v>30130011|</v>
      </c>
      <c r="AJ1924" s="205" t="str">
        <f ca="1" t="shared" si="319"/>
        <v>400023|5900|;</v>
      </c>
      <c r="AK1924" s="205">
        <f ca="1">OFFSET([1]item_type!$A$1,MATCH(Q1924,[1]item_type!$G:$G,0)-1,0)</f>
        <v>303013</v>
      </c>
      <c r="AL1924" s="205"/>
      <c r="AM1924" s="205">
        <f ca="1">IF(B1924=B1925,OFFSET(卡牌辅助配置表!$AE$1,MATCH(AB1924,卡牌辅助配置表!AB:AB,0),0),0)</f>
        <v>5900</v>
      </c>
      <c r="AN1924" s="153">
        <f ca="1" t="shared" si="314"/>
        <v>3013019</v>
      </c>
      <c r="AP1924" s="153">
        <f ca="1">IF(AC1924=0,0,IF(AC1924=12,0,OFFSET(effect!$N$1,MATCH(K1924,effect!M:M,0)-1,0)))</f>
        <v>0</v>
      </c>
    </row>
    <row r="1925" spans="1:42">
      <c r="A1925" s="153">
        <f ca="1" t="shared" si="315"/>
        <v>3013019</v>
      </c>
      <c r="B1925" s="91" t="s">
        <v>359</v>
      </c>
      <c r="C1925" s="186">
        <v>3</v>
      </c>
      <c r="D1925" s="186">
        <v>3</v>
      </c>
      <c r="E1925" s="165" t="s">
        <v>1069</v>
      </c>
      <c r="F1925" s="179" t="s">
        <v>1059</v>
      </c>
      <c r="G1925" s="186">
        <f ca="1">OFFSET(卡牌辅助配置表!$C$1,MATCH(AC1925,卡牌辅助配置表!A:A,0)-1,0)</f>
        <v>0</v>
      </c>
      <c r="H1925" s="186">
        <f ca="1">OFFSET(skill!$Q$1,MATCH(B1925,skill!B:B,0)-1,0)</f>
        <v>5</v>
      </c>
      <c r="I1925" s="186"/>
      <c r="J1925" s="186">
        <f ca="1">OFFSET(card_type!$F$1,MATCH(Q1925,card_type!A:A,0)-1,0)</f>
        <v>1</v>
      </c>
      <c r="K1925" s="243">
        <f ca="1">OFFSET(card_type!$G$1,MATCH(Q1925,card_type!A:A,0)-1,0)</f>
        <v>1</v>
      </c>
      <c r="L1925" s="157">
        <v>2</v>
      </c>
      <c r="M1925" s="157">
        <v>2</v>
      </c>
      <c r="N1925" s="153">
        <f t="shared" si="316"/>
        <v>19</v>
      </c>
      <c r="O1925" s="157"/>
      <c r="P1925" s="157"/>
      <c r="Q1925" s="153">
        <f ca="1">OFFSET(card_type!$A$1,MATCH(card!B1925,card_type!B:B,0)-1,0)</f>
        <v>3013</v>
      </c>
      <c r="R1925" s="153">
        <v>1</v>
      </c>
      <c r="S1925" s="157">
        <f ca="1">ROUND(IF(R1925=0,0,IF(R1925=1,X1925*$S$1,IF(R1925=2,X1925*$S$1*buff的资质计算!$E$2,IF(R1925=3,X1925*$S$1*buff的资质计算!$E$3,0)))),0)*0</f>
        <v>0</v>
      </c>
      <c r="T1925" s="153">
        <v>3</v>
      </c>
      <c r="U1925" s="153">
        <f ca="1" t="shared" si="317"/>
        <v>11</v>
      </c>
      <c r="V1925" s="153">
        <f ca="1">ROUND((OFFSET(卡牌辅助配置表!$O$1,MATCH(U1925,卡牌辅助配置表!M:M,0)-1,0)+(N1925-1)*OFFSET(卡牌辅助配置表!$P$1,MATCH(U1925,卡牌辅助配置表!M:M,0)-1,0))*M1925,2)</f>
        <v>20.06</v>
      </c>
      <c r="W1925" s="157">
        <f ca="1">ROUND(IF(R1925=0,0,IF(R1925=1,X1925*$W$1,IF(R1925=2,X1925*$W$1*buff的资质计算!$E$2,IF(R1925=3,X1925*$W$1*buff的资质计算!$E$3,0)))),2)</f>
        <v>5.7</v>
      </c>
      <c r="X1925" s="157">
        <f ca="1" t="shared" si="323"/>
        <v>19</v>
      </c>
      <c r="Y1925" s="157">
        <f ca="1" t="shared" si="320"/>
        <v>24</v>
      </c>
      <c r="Z1925" s="304">
        <f ca="1" t="shared" si="324"/>
        <v>12</v>
      </c>
      <c r="AA1925" s="304">
        <f ca="1">OFFSET(卡牌辅助配置表!$AD$1,MATCH(AB1925,卡牌辅助配置表!AB:AB,0)-1,0)</f>
        <v>423</v>
      </c>
      <c r="AB1925" s="304">
        <f ca="1" t="shared" si="318"/>
        <v>1119</v>
      </c>
      <c r="AC1925" s="153">
        <v>12</v>
      </c>
      <c r="AF1925" s="153" t="str">
        <f ca="1" t="shared" si="322"/>
        <v>30130011|</v>
      </c>
      <c r="AJ1925" s="205" t="str">
        <f ca="1" t="shared" si="319"/>
        <v>303013|20|;400023|6300|;</v>
      </c>
      <c r="AK1925" s="205">
        <f ca="1">OFFSET([1]item_type!$A$1,MATCH(Q1925,[1]item_type!$G:$G,0)-1,0)</f>
        <v>303013</v>
      </c>
      <c r="AL1925" s="205">
        <v>20</v>
      </c>
      <c r="AM1925" s="205">
        <f ca="1">IF(B1925=B1926,OFFSET(卡牌辅助配置表!$AE$1,MATCH(AB1925,卡牌辅助配置表!AB:AB,0),0),0)</f>
        <v>6300</v>
      </c>
      <c r="AN1925" s="153">
        <f ca="1" t="shared" ref="AN1925:AN1988" si="325">IF(B1925=B1926,A1925+1,0)</f>
        <v>3013020</v>
      </c>
      <c r="AP1925" s="153">
        <f ca="1">IF(AC1925=0,0,IF(AC1925=12,0,OFFSET(effect!$N$1,MATCH(K1925,effect!M:M,0)-1,0)))</f>
        <v>0</v>
      </c>
    </row>
    <row r="1926" spans="1:42">
      <c r="A1926" s="153">
        <f ca="1" t="shared" ref="A1926:A1989" si="326">Q1926*1000+N1926</f>
        <v>3013020</v>
      </c>
      <c r="B1926" s="91" t="s">
        <v>359</v>
      </c>
      <c r="C1926" s="186">
        <v>3</v>
      </c>
      <c r="D1926" s="186">
        <v>3</v>
      </c>
      <c r="E1926" s="165" t="s">
        <v>1069</v>
      </c>
      <c r="F1926" s="179" t="s">
        <v>1059</v>
      </c>
      <c r="G1926" s="186">
        <f ca="1">OFFSET(卡牌辅助配置表!$C$1,MATCH(AC1926,卡牌辅助配置表!A:A,0)-1,0)</f>
        <v>0</v>
      </c>
      <c r="H1926" s="186">
        <f ca="1">OFFSET(skill!$Q$1,MATCH(B1926,skill!B:B,0)-1,0)</f>
        <v>5</v>
      </c>
      <c r="I1926" s="186"/>
      <c r="J1926" s="186">
        <f ca="1">OFFSET(card_type!$F$1,MATCH(Q1926,card_type!A:A,0)-1,0)</f>
        <v>1</v>
      </c>
      <c r="K1926" s="243">
        <f ca="1">OFFSET(card_type!$G$1,MATCH(Q1926,card_type!A:A,0)-1,0)</f>
        <v>1</v>
      </c>
      <c r="L1926" s="157">
        <v>2</v>
      </c>
      <c r="M1926" s="157">
        <v>2</v>
      </c>
      <c r="N1926" s="153">
        <f t="shared" ref="N1926:N1989" si="327">IF(B1925=B1926,N1925+1,1)</f>
        <v>20</v>
      </c>
      <c r="O1926" s="157"/>
      <c r="P1926" s="157"/>
      <c r="Q1926" s="153">
        <f ca="1">OFFSET(card_type!$A$1,MATCH(card!B1926,card_type!B:B,0)-1,0)</f>
        <v>3013</v>
      </c>
      <c r="R1926" s="153">
        <v>1</v>
      </c>
      <c r="S1926" s="157">
        <f ca="1">ROUND(IF(R1926=0,0,IF(R1926=1,X1926*$S$1,IF(R1926=2,X1926*$S$1*buff的资质计算!$E$2,IF(R1926=3,X1926*$S$1*buff的资质计算!$E$3,0)))),0)*0</f>
        <v>0</v>
      </c>
      <c r="T1926" s="153">
        <v>3</v>
      </c>
      <c r="U1926" s="153">
        <f ca="1" t="shared" ref="U1926:U1989" si="328">J1926*10+K1926</f>
        <v>11</v>
      </c>
      <c r="V1926" s="153">
        <f ca="1">ROUND((OFFSET(卡牌辅助配置表!$O$1,MATCH(U1926,卡牌辅助配置表!M:M,0)-1,0)+(N1926-1)*OFFSET(卡牌辅助配置表!$P$1,MATCH(U1926,卡牌辅助配置表!M:M,0)-1,0))*M1926,2)</f>
        <v>20.48</v>
      </c>
      <c r="W1926" s="157">
        <f ca="1">ROUND(IF(R1926=0,0,IF(R1926=1,X1926*$W$1,IF(R1926=2,X1926*$W$1*buff的资质计算!$E$2,IF(R1926=3,X1926*$W$1*buff的资质计算!$E$3,0)))),2)</f>
        <v>5.85</v>
      </c>
      <c r="X1926" s="157">
        <f ca="1" t="shared" si="323"/>
        <v>19.5</v>
      </c>
      <c r="Y1926" s="157">
        <f ca="1" t="shared" si="320"/>
        <v>24.5</v>
      </c>
      <c r="Z1926" s="304">
        <f ca="1" t="shared" si="324"/>
        <v>12.25</v>
      </c>
      <c r="AA1926" s="304">
        <f ca="1">OFFSET(卡牌辅助配置表!$AD$1,MATCH(AB1926,卡牌辅助配置表!AB:AB,0)-1,0)</f>
        <v>450</v>
      </c>
      <c r="AB1926" s="304">
        <f ca="1" t="shared" ref="AB1926:AB1989" si="329">J1926*1000+K1926*100+N1926</f>
        <v>1120</v>
      </c>
      <c r="AC1926" s="153">
        <v>12</v>
      </c>
      <c r="AF1926" s="153" t="str">
        <f ca="1" t="shared" si="322"/>
        <v>30130011|</v>
      </c>
      <c r="AJ1926" s="205" t="str">
        <f ca="1" t="shared" ref="AJ1926:AJ1989" si="330">IF(AN1926=0,0,IF(AL1926=0,$AM$1&amp;$AF$1&amp;AM1926&amp;$AF$1&amp;$AJ$1,AK1926&amp;$AF$1&amp;AL1926&amp;$AF$1&amp;$AJ$1&amp;$AM$1&amp;$AF$1&amp;AM1926&amp;$AF$1&amp;$AJ$1))</f>
        <v>400023|7100|;</v>
      </c>
      <c r="AK1926" s="205">
        <f ca="1">OFFSET([1]item_type!$A$1,MATCH(Q1926,[1]item_type!$G:$G,0)-1,0)</f>
        <v>303013</v>
      </c>
      <c r="AL1926" s="205"/>
      <c r="AM1926" s="205">
        <f ca="1">IF(B1926=B1927,OFFSET(卡牌辅助配置表!$AE$1,MATCH(AB1926,卡牌辅助配置表!AB:AB,0),0),0)</f>
        <v>7100</v>
      </c>
      <c r="AN1926" s="153">
        <f ca="1" t="shared" si="325"/>
        <v>3013021</v>
      </c>
      <c r="AP1926" s="153">
        <f ca="1">IF(AC1926=0,0,IF(AC1926=12,0,OFFSET(effect!$N$1,MATCH(K1926,effect!M:M,0)-1,0)))</f>
        <v>0</v>
      </c>
    </row>
    <row r="1927" spans="1:42">
      <c r="A1927" s="153">
        <f ca="1" t="shared" si="326"/>
        <v>3013021</v>
      </c>
      <c r="B1927" s="91" t="s">
        <v>359</v>
      </c>
      <c r="C1927" s="186">
        <v>3</v>
      </c>
      <c r="D1927" s="186">
        <v>3</v>
      </c>
      <c r="E1927" s="165" t="s">
        <v>1069</v>
      </c>
      <c r="F1927" s="179" t="s">
        <v>1059</v>
      </c>
      <c r="G1927" s="186">
        <f ca="1">OFFSET(卡牌辅助配置表!$C$1,MATCH(AC1927,卡牌辅助配置表!A:A,0)-1,0)</f>
        <v>0</v>
      </c>
      <c r="H1927" s="186">
        <f ca="1">OFFSET(skill!$Q$1,MATCH(B1927,skill!B:B,0)-1,0)</f>
        <v>5</v>
      </c>
      <c r="I1927" s="186"/>
      <c r="J1927" s="186">
        <f ca="1">OFFSET(card_type!$F$1,MATCH(Q1927,card_type!A:A,0)-1,0)</f>
        <v>1</v>
      </c>
      <c r="K1927" s="243">
        <f ca="1">OFFSET(card_type!$G$1,MATCH(Q1927,card_type!A:A,0)-1,0)</f>
        <v>1</v>
      </c>
      <c r="L1927" s="157">
        <v>2</v>
      </c>
      <c r="M1927" s="157">
        <v>2</v>
      </c>
      <c r="N1927" s="153">
        <f t="shared" si="327"/>
        <v>21</v>
      </c>
      <c r="O1927" s="157"/>
      <c r="P1927" s="157"/>
      <c r="Q1927" s="153">
        <f ca="1">OFFSET(card_type!$A$1,MATCH(card!B1927,card_type!B:B,0)-1,0)</f>
        <v>3013</v>
      </c>
      <c r="R1927" s="153">
        <v>1</v>
      </c>
      <c r="S1927" s="157">
        <f ca="1">ROUND(IF(R1927=0,0,IF(R1927=1,X1927*$S$1,IF(R1927=2,X1927*$S$1*buff的资质计算!$E$2,IF(R1927=3,X1927*$S$1*buff的资质计算!$E$3,0)))),0)*0</f>
        <v>0</v>
      </c>
      <c r="T1927" s="153">
        <v>3</v>
      </c>
      <c r="U1927" s="153">
        <f ca="1" t="shared" si="328"/>
        <v>11</v>
      </c>
      <c r="V1927" s="153">
        <f ca="1">ROUND((OFFSET(卡牌辅助配置表!$O$1,MATCH(U1927,卡牌辅助配置表!M:M,0)-1,0)+(N1927-1)*OFFSET(卡牌辅助配置表!$P$1,MATCH(U1927,卡牌辅助配置表!M:M,0)-1,0))*M1927,2)</f>
        <v>20.9</v>
      </c>
      <c r="W1927" s="157">
        <f ca="1">ROUND(IF(R1927=0,0,IF(R1927=1,X1927*$W$1,IF(R1927=2,X1927*$W$1*buff的资质计算!$E$2,IF(R1927=3,X1927*$W$1*buff的资质计算!$E$3,0)))),2)</f>
        <v>6</v>
      </c>
      <c r="X1927" s="157">
        <f ca="1" t="shared" si="323"/>
        <v>20</v>
      </c>
      <c r="Y1927" s="157">
        <f ca="1" t="shared" si="320"/>
        <v>25</v>
      </c>
      <c r="Z1927" s="304">
        <f ca="1" t="shared" si="324"/>
        <v>12.5</v>
      </c>
      <c r="AA1927" s="304">
        <f ca="1">OFFSET(卡牌辅助配置表!$AD$1,MATCH(AB1927,卡牌辅助配置表!AB:AB,0)-1,0)</f>
        <v>486</v>
      </c>
      <c r="AB1927" s="304">
        <f ca="1" t="shared" si="329"/>
        <v>1121</v>
      </c>
      <c r="AC1927" s="153">
        <v>12</v>
      </c>
      <c r="AF1927" s="153" t="str">
        <f ca="1" t="shared" si="322"/>
        <v>30130011|</v>
      </c>
      <c r="AJ1927" s="205" t="str">
        <f ca="1" t="shared" si="330"/>
        <v>400023|7900|;</v>
      </c>
      <c r="AK1927" s="205">
        <f ca="1">OFFSET([1]item_type!$A$1,MATCH(Q1927,[1]item_type!$G:$G,0)-1,0)</f>
        <v>303013</v>
      </c>
      <c r="AL1927" s="205"/>
      <c r="AM1927" s="205">
        <f ca="1">IF(B1927=B1928,OFFSET(卡牌辅助配置表!$AE$1,MATCH(AB1927,卡牌辅助配置表!AB:AB,0),0),0)</f>
        <v>7900</v>
      </c>
      <c r="AN1927" s="153">
        <f ca="1" t="shared" si="325"/>
        <v>3013022</v>
      </c>
      <c r="AP1927" s="153">
        <f ca="1">IF(AC1927=0,0,IF(AC1927=12,0,OFFSET(effect!$N$1,MATCH(K1927,effect!M:M,0)-1,0)))</f>
        <v>0</v>
      </c>
    </row>
    <row r="1928" spans="1:42">
      <c r="A1928" s="153">
        <f ca="1" t="shared" si="326"/>
        <v>3013022</v>
      </c>
      <c r="B1928" s="91" t="s">
        <v>359</v>
      </c>
      <c r="C1928" s="186">
        <v>3</v>
      </c>
      <c r="D1928" s="186">
        <v>3</v>
      </c>
      <c r="E1928" s="165" t="s">
        <v>1069</v>
      </c>
      <c r="F1928" s="179" t="s">
        <v>1059</v>
      </c>
      <c r="G1928" s="186">
        <f ca="1">OFFSET(卡牌辅助配置表!$C$1,MATCH(AC1928,卡牌辅助配置表!A:A,0)-1,0)</f>
        <v>0</v>
      </c>
      <c r="H1928" s="186">
        <f ca="1">OFFSET(skill!$Q$1,MATCH(B1928,skill!B:B,0)-1,0)</f>
        <v>5</v>
      </c>
      <c r="I1928" s="186"/>
      <c r="J1928" s="186">
        <f ca="1">OFFSET(card_type!$F$1,MATCH(Q1928,card_type!A:A,0)-1,0)</f>
        <v>1</v>
      </c>
      <c r="K1928" s="243">
        <f ca="1">OFFSET(card_type!$G$1,MATCH(Q1928,card_type!A:A,0)-1,0)</f>
        <v>1</v>
      </c>
      <c r="L1928" s="157">
        <v>2</v>
      </c>
      <c r="M1928" s="157">
        <v>2</v>
      </c>
      <c r="N1928" s="153">
        <f t="shared" si="327"/>
        <v>22</v>
      </c>
      <c r="O1928" s="157"/>
      <c r="P1928" s="157"/>
      <c r="Q1928" s="153">
        <f ca="1">OFFSET(card_type!$A$1,MATCH(card!B1928,card_type!B:B,0)-1,0)</f>
        <v>3013</v>
      </c>
      <c r="R1928" s="153">
        <v>1</v>
      </c>
      <c r="S1928" s="157">
        <f ca="1">ROUND(IF(R1928=0,0,IF(R1928=1,X1928*$S$1,IF(R1928=2,X1928*$S$1*buff的资质计算!$E$2,IF(R1928=3,X1928*$S$1*buff的资质计算!$E$3,0)))),0)*0</f>
        <v>0</v>
      </c>
      <c r="T1928" s="153">
        <v>3</v>
      </c>
      <c r="U1928" s="153">
        <f ca="1" t="shared" si="328"/>
        <v>11</v>
      </c>
      <c r="V1928" s="153">
        <f ca="1">ROUND((OFFSET(卡牌辅助配置表!$O$1,MATCH(U1928,卡牌辅助配置表!M:M,0)-1,0)+(N1928-1)*OFFSET(卡牌辅助配置表!$P$1,MATCH(U1928,卡牌辅助配置表!M:M,0)-1,0))*M1928,2)</f>
        <v>21.32</v>
      </c>
      <c r="W1928" s="157">
        <f ca="1">ROUND(IF(R1928=0,0,IF(R1928=1,X1928*$W$1,IF(R1928=2,X1928*$W$1*buff的资质计算!$E$2,IF(R1928=3,X1928*$W$1*buff的资质计算!$E$3,0)))),2)</f>
        <v>6.15</v>
      </c>
      <c r="X1928" s="157">
        <f ca="1" t="shared" si="323"/>
        <v>20.5</v>
      </c>
      <c r="Y1928" s="157">
        <f ca="1" t="shared" si="320"/>
        <v>25.5</v>
      </c>
      <c r="Z1928" s="304">
        <f ca="1" t="shared" si="324"/>
        <v>12.75</v>
      </c>
      <c r="AA1928" s="304">
        <f ca="1">OFFSET(卡牌辅助配置表!$AD$1,MATCH(AB1928,卡牌辅助配置表!AB:AB,0)-1,0)</f>
        <v>522</v>
      </c>
      <c r="AB1928" s="304">
        <f ca="1" t="shared" si="329"/>
        <v>1122</v>
      </c>
      <c r="AC1928" s="153">
        <v>12</v>
      </c>
      <c r="AF1928" s="153" t="str">
        <f ca="1" t="shared" si="322"/>
        <v>30130011|</v>
      </c>
      <c r="AJ1928" s="205" t="str">
        <f ca="1" t="shared" si="330"/>
        <v>400023|8700|;</v>
      </c>
      <c r="AK1928" s="205">
        <f ca="1">OFFSET([1]item_type!$A$1,MATCH(Q1928,[1]item_type!$G:$G,0)-1,0)</f>
        <v>303013</v>
      </c>
      <c r="AL1928" s="205"/>
      <c r="AM1928" s="205">
        <f ca="1">IF(B1928=B1929,OFFSET(卡牌辅助配置表!$AE$1,MATCH(AB1928,卡牌辅助配置表!AB:AB,0),0),0)</f>
        <v>8700</v>
      </c>
      <c r="AN1928" s="153">
        <f ca="1" t="shared" si="325"/>
        <v>3013023</v>
      </c>
      <c r="AP1928" s="153">
        <f ca="1">IF(AC1928=0,0,IF(AC1928=12,0,OFFSET(effect!$N$1,MATCH(K1928,effect!M:M,0)-1,0)))</f>
        <v>0</v>
      </c>
    </row>
    <row r="1929" spans="1:42">
      <c r="A1929" s="153">
        <f ca="1" t="shared" si="326"/>
        <v>3013023</v>
      </c>
      <c r="B1929" s="91" t="s">
        <v>359</v>
      </c>
      <c r="C1929" s="186">
        <v>3</v>
      </c>
      <c r="D1929" s="186">
        <v>3</v>
      </c>
      <c r="E1929" s="165" t="s">
        <v>1069</v>
      </c>
      <c r="F1929" s="179" t="s">
        <v>1059</v>
      </c>
      <c r="G1929" s="186">
        <f ca="1">OFFSET(卡牌辅助配置表!$C$1,MATCH(AC1929,卡牌辅助配置表!A:A,0)-1,0)</f>
        <v>0</v>
      </c>
      <c r="H1929" s="186">
        <f ca="1">OFFSET(skill!$Q$1,MATCH(B1929,skill!B:B,0)-1,0)</f>
        <v>5</v>
      </c>
      <c r="I1929" s="186"/>
      <c r="J1929" s="186">
        <f ca="1">OFFSET(card_type!$F$1,MATCH(Q1929,card_type!A:A,0)-1,0)</f>
        <v>1</v>
      </c>
      <c r="K1929" s="243">
        <f ca="1">OFFSET(card_type!$G$1,MATCH(Q1929,card_type!A:A,0)-1,0)</f>
        <v>1</v>
      </c>
      <c r="L1929" s="157">
        <v>2</v>
      </c>
      <c r="M1929" s="157">
        <v>2</v>
      </c>
      <c r="N1929" s="153">
        <f t="shared" si="327"/>
        <v>23</v>
      </c>
      <c r="O1929" s="157"/>
      <c r="P1929" s="157"/>
      <c r="Q1929" s="153">
        <f ca="1">OFFSET(card_type!$A$1,MATCH(card!B1929,card_type!B:B,0)-1,0)</f>
        <v>3013</v>
      </c>
      <c r="R1929" s="153">
        <v>1</v>
      </c>
      <c r="S1929" s="157">
        <f ca="1">ROUND(IF(R1929=0,0,IF(R1929=1,X1929*$S$1,IF(R1929=2,X1929*$S$1*buff的资质计算!$E$2,IF(R1929=3,X1929*$S$1*buff的资质计算!$E$3,0)))),0)*0</f>
        <v>0</v>
      </c>
      <c r="T1929" s="153">
        <v>3</v>
      </c>
      <c r="U1929" s="153">
        <f ca="1" t="shared" si="328"/>
        <v>11</v>
      </c>
      <c r="V1929" s="153">
        <f ca="1">ROUND((OFFSET(卡牌辅助配置表!$O$1,MATCH(U1929,卡牌辅助配置表!M:M,0)-1,0)+(N1929-1)*OFFSET(卡牌辅助配置表!$P$1,MATCH(U1929,卡牌辅助配置表!M:M,0)-1,0))*M1929,2)</f>
        <v>21.74</v>
      </c>
      <c r="W1929" s="157">
        <f ca="1">ROUND(IF(R1929=0,0,IF(R1929=1,X1929*$W$1,IF(R1929=2,X1929*$W$1*buff的资质计算!$E$2,IF(R1929=3,X1929*$W$1*buff的资质计算!$E$3,0)))),2)</f>
        <v>6.3</v>
      </c>
      <c r="X1929" s="157">
        <f ca="1" t="shared" si="323"/>
        <v>21</v>
      </c>
      <c r="Y1929" s="157">
        <f ca="1" t="shared" si="320"/>
        <v>26</v>
      </c>
      <c r="Z1929" s="304">
        <f ca="1" t="shared" si="324"/>
        <v>13</v>
      </c>
      <c r="AA1929" s="304">
        <f ca="1">OFFSET(卡牌辅助配置表!$AD$1,MATCH(AB1929,卡牌辅助配置表!AB:AB,0)-1,0)</f>
        <v>558</v>
      </c>
      <c r="AB1929" s="304">
        <f ca="1" t="shared" si="329"/>
        <v>1123</v>
      </c>
      <c r="AC1929" s="153">
        <v>12</v>
      </c>
      <c r="AF1929" s="153" t="str">
        <f ca="1" t="shared" si="322"/>
        <v>30130011|</v>
      </c>
      <c r="AJ1929" s="205" t="str">
        <f ca="1" t="shared" si="330"/>
        <v>400023|9500|;</v>
      </c>
      <c r="AK1929" s="205">
        <f ca="1">OFFSET([1]item_type!$A$1,MATCH(Q1929,[1]item_type!$G:$G,0)-1,0)</f>
        <v>303013</v>
      </c>
      <c r="AL1929" s="205"/>
      <c r="AM1929" s="205">
        <f ca="1">IF(B1929=B1930,OFFSET(卡牌辅助配置表!$AE$1,MATCH(AB1929,卡牌辅助配置表!AB:AB,0),0),0)</f>
        <v>9500</v>
      </c>
      <c r="AN1929" s="153">
        <f ca="1" t="shared" si="325"/>
        <v>3013024</v>
      </c>
      <c r="AP1929" s="153">
        <f ca="1">IF(AC1929=0,0,IF(AC1929=12,0,OFFSET(effect!$N$1,MATCH(K1929,effect!M:M,0)-1,0)))</f>
        <v>0</v>
      </c>
    </row>
    <row r="1930" spans="1:42">
      <c r="A1930" s="153">
        <f ca="1" t="shared" si="326"/>
        <v>3013024</v>
      </c>
      <c r="B1930" s="91" t="s">
        <v>359</v>
      </c>
      <c r="C1930" s="186">
        <v>3</v>
      </c>
      <c r="D1930" s="186">
        <v>3</v>
      </c>
      <c r="E1930" s="165" t="s">
        <v>1069</v>
      </c>
      <c r="F1930" s="179" t="s">
        <v>1059</v>
      </c>
      <c r="G1930" s="186">
        <f ca="1">OFFSET(卡牌辅助配置表!$C$1,MATCH(AC1930,卡牌辅助配置表!A:A,0)-1,0)</f>
        <v>0</v>
      </c>
      <c r="H1930" s="186">
        <f ca="1">OFFSET(skill!$Q$1,MATCH(B1930,skill!B:B,0)-1,0)</f>
        <v>5</v>
      </c>
      <c r="I1930" s="186"/>
      <c r="J1930" s="186">
        <f ca="1">OFFSET(card_type!$F$1,MATCH(Q1930,card_type!A:A,0)-1,0)</f>
        <v>1</v>
      </c>
      <c r="K1930" s="243">
        <f ca="1">OFFSET(card_type!$G$1,MATCH(Q1930,card_type!A:A,0)-1,0)</f>
        <v>1</v>
      </c>
      <c r="L1930" s="157">
        <v>2</v>
      </c>
      <c r="M1930" s="157">
        <v>2</v>
      </c>
      <c r="N1930" s="153">
        <f t="shared" si="327"/>
        <v>24</v>
      </c>
      <c r="O1930" s="157"/>
      <c r="P1930" s="157"/>
      <c r="Q1930" s="153">
        <f ca="1">OFFSET(card_type!$A$1,MATCH(card!B1930,card_type!B:B,0)-1,0)</f>
        <v>3013</v>
      </c>
      <c r="R1930" s="153">
        <v>1</v>
      </c>
      <c r="S1930" s="157">
        <f ca="1">ROUND(IF(R1930=0,0,IF(R1930=1,X1930*$S$1,IF(R1930=2,X1930*$S$1*buff的资质计算!$E$2,IF(R1930=3,X1930*$S$1*buff的资质计算!$E$3,0)))),0)*0</f>
        <v>0</v>
      </c>
      <c r="T1930" s="153">
        <v>3</v>
      </c>
      <c r="U1930" s="153">
        <f ca="1" t="shared" si="328"/>
        <v>11</v>
      </c>
      <c r="V1930" s="153">
        <f ca="1">ROUND((OFFSET(卡牌辅助配置表!$O$1,MATCH(U1930,卡牌辅助配置表!M:M,0)-1,0)+(N1930-1)*OFFSET(卡牌辅助配置表!$P$1,MATCH(U1930,卡牌辅助配置表!M:M,0)-1,0))*M1930,2)</f>
        <v>22.15</v>
      </c>
      <c r="W1930" s="157">
        <f ca="1">ROUND(IF(R1930=0,0,IF(R1930=1,X1930*$W$1,IF(R1930=2,X1930*$W$1*buff的资质计算!$E$2,IF(R1930=3,X1930*$W$1*buff的资质计算!$E$3,0)))),2)</f>
        <v>6.45</v>
      </c>
      <c r="X1930" s="157">
        <f ca="1" t="shared" si="323"/>
        <v>21.5</v>
      </c>
      <c r="Y1930" s="157">
        <f ca="1" t="shared" ref="Y1930:Y1993" si="331">X1930+H1930</f>
        <v>26.5</v>
      </c>
      <c r="Z1930" s="304">
        <f ca="1" t="shared" si="324"/>
        <v>13.25</v>
      </c>
      <c r="AA1930" s="304">
        <f ca="1">OFFSET(卡牌辅助配置表!$AD$1,MATCH(AB1930,卡牌辅助配置表!AB:AB,0)-1,0)</f>
        <v>594</v>
      </c>
      <c r="AB1930" s="304">
        <f ca="1" t="shared" si="329"/>
        <v>1124</v>
      </c>
      <c r="AC1930" s="153">
        <v>12</v>
      </c>
      <c r="AF1930" s="153" t="str">
        <f ca="1" t="shared" si="322"/>
        <v>30130011|</v>
      </c>
      <c r="AJ1930" s="205" t="str">
        <f ca="1" t="shared" si="330"/>
        <v>400023|10300|;</v>
      </c>
      <c r="AK1930" s="205">
        <f ca="1">OFFSET([1]item_type!$A$1,MATCH(Q1930,[1]item_type!$G:$G,0)-1,0)</f>
        <v>303013</v>
      </c>
      <c r="AL1930" s="205"/>
      <c r="AM1930" s="205">
        <f ca="1">IF(B1930=B1931,OFFSET(卡牌辅助配置表!$AE$1,MATCH(AB1930,卡牌辅助配置表!AB:AB,0),0),0)</f>
        <v>10300</v>
      </c>
      <c r="AN1930" s="153">
        <f ca="1" t="shared" si="325"/>
        <v>3013025</v>
      </c>
      <c r="AP1930" s="153">
        <f ca="1">IF(AC1930=0,0,IF(AC1930=12,0,OFFSET(effect!$N$1,MATCH(K1930,effect!M:M,0)-1,0)))</f>
        <v>0</v>
      </c>
    </row>
    <row r="1931" spans="1:42">
      <c r="A1931" s="153">
        <f ca="1" t="shared" si="326"/>
        <v>3013025</v>
      </c>
      <c r="B1931" s="91" t="s">
        <v>359</v>
      </c>
      <c r="C1931" s="186">
        <v>3</v>
      </c>
      <c r="D1931" s="186">
        <v>3</v>
      </c>
      <c r="E1931" s="165" t="s">
        <v>1069</v>
      </c>
      <c r="F1931" s="179" t="s">
        <v>1059</v>
      </c>
      <c r="G1931" s="186">
        <f ca="1">OFFSET(卡牌辅助配置表!$C$1,MATCH(AC1931,卡牌辅助配置表!A:A,0)-1,0)</f>
        <v>0</v>
      </c>
      <c r="H1931" s="186">
        <f ca="1">OFFSET(skill!$Q$1,MATCH(B1931,skill!B:B,0)-1,0)</f>
        <v>5</v>
      </c>
      <c r="I1931" s="186"/>
      <c r="J1931" s="186">
        <f ca="1">OFFSET(card_type!$F$1,MATCH(Q1931,card_type!A:A,0)-1,0)</f>
        <v>1</v>
      </c>
      <c r="K1931" s="243">
        <f ca="1">OFFSET(card_type!$G$1,MATCH(Q1931,card_type!A:A,0)-1,0)</f>
        <v>1</v>
      </c>
      <c r="L1931" s="157">
        <v>2</v>
      </c>
      <c r="M1931" s="157">
        <v>2</v>
      </c>
      <c r="N1931" s="153">
        <f t="shared" si="327"/>
        <v>25</v>
      </c>
      <c r="O1931" s="157"/>
      <c r="P1931" s="157"/>
      <c r="Q1931" s="153">
        <f ca="1">OFFSET(card_type!$A$1,MATCH(card!B1931,card_type!B:B,0)-1,0)</f>
        <v>3013</v>
      </c>
      <c r="R1931" s="153">
        <v>1</v>
      </c>
      <c r="S1931" s="157">
        <f ca="1">ROUND(IF(R1931=0,0,IF(R1931=1,X1931*$S$1,IF(R1931=2,X1931*$S$1*buff的资质计算!$E$2,IF(R1931=3,X1931*$S$1*buff的资质计算!$E$3,0)))),0)*0</f>
        <v>0</v>
      </c>
      <c r="T1931" s="153">
        <v>3</v>
      </c>
      <c r="U1931" s="153">
        <f ca="1" t="shared" si="328"/>
        <v>11</v>
      </c>
      <c r="V1931" s="153">
        <f ca="1">ROUND((OFFSET(卡牌辅助配置表!$O$1,MATCH(U1931,卡牌辅助配置表!M:M,0)-1,0)+(N1931-1)*OFFSET(卡牌辅助配置表!$P$1,MATCH(U1931,卡牌辅助配置表!M:M,0)-1,0))*M1931,2)</f>
        <v>22.57</v>
      </c>
      <c r="W1931" s="157">
        <f ca="1">ROUND(IF(R1931=0,0,IF(R1931=1,X1931*$W$1,IF(R1931=2,X1931*$W$1*buff的资质计算!$E$2,IF(R1931=3,X1931*$W$1*buff的资质计算!$E$3,0)))),2)</f>
        <v>6.6</v>
      </c>
      <c r="X1931" s="157">
        <f ca="1" t="shared" si="323"/>
        <v>22</v>
      </c>
      <c r="Y1931" s="157">
        <f ca="1" t="shared" si="331"/>
        <v>27</v>
      </c>
      <c r="Z1931" s="304">
        <f ca="1" t="shared" si="324"/>
        <v>13.5</v>
      </c>
      <c r="AA1931" s="304">
        <f ca="1">OFFSET(卡牌辅助配置表!$AD$1,MATCH(AB1931,卡牌辅助配置表!AB:AB,0)-1,0)</f>
        <v>630</v>
      </c>
      <c r="AB1931" s="304">
        <f ca="1" t="shared" si="329"/>
        <v>1125</v>
      </c>
      <c r="AC1931" s="153">
        <v>12</v>
      </c>
      <c r="AF1931" s="153" t="str">
        <f ca="1" t="shared" si="322"/>
        <v>30130011|</v>
      </c>
      <c r="AJ1931" s="205" t="str">
        <f ca="1" t="shared" si="330"/>
        <v>400023|11100|;</v>
      </c>
      <c r="AK1931" s="205">
        <f ca="1">OFFSET([1]item_type!$A$1,MATCH(Q1931,[1]item_type!$G:$G,0)-1,0)</f>
        <v>303013</v>
      </c>
      <c r="AL1931" s="205"/>
      <c r="AM1931" s="205">
        <f ca="1">IF(B1931=B1932,OFFSET(卡牌辅助配置表!$AE$1,MATCH(AB1931,卡牌辅助配置表!AB:AB,0),0),0)</f>
        <v>11100</v>
      </c>
      <c r="AN1931" s="153">
        <f ca="1" t="shared" si="325"/>
        <v>3013026</v>
      </c>
      <c r="AP1931" s="153">
        <f ca="1">IF(AC1931=0,0,IF(AC1931=12,0,OFFSET(effect!$N$1,MATCH(K1931,effect!M:M,0)-1,0)))</f>
        <v>0</v>
      </c>
    </row>
    <row r="1932" spans="1:42">
      <c r="A1932" s="153">
        <f ca="1" t="shared" si="326"/>
        <v>3013026</v>
      </c>
      <c r="B1932" s="91" t="s">
        <v>359</v>
      </c>
      <c r="C1932" s="186">
        <v>3</v>
      </c>
      <c r="D1932" s="186">
        <v>3</v>
      </c>
      <c r="E1932" s="165" t="s">
        <v>1069</v>
      </c>
      <c r="F1932" s="179" t="s">
        <v>1059</v>
      </c>
      <c r="G1932" s="186">
        <f ca="1">OFFSET(卡牌辅助配置表!$C$1,MATCH(AC1932,卡牌辅助配置表!A:A,0)-1,0)</f>
        <v>0</v>
      </c>
      <c r="H1932" s="186">
        <f ca="1">OFFSET(skill!$Q$1,MATCH(B1932,skill!B:B,0)-1,0)</f>
        <v>5</v>
      </c>
      <c r="I1932" s="186"/>
      <c r="J1932" s="186">
        <f ca="1">OFFSET(card_type!$F$1,MATCH(Q1932,card_type!A:A,0)-1,0)</f>
        <v>1</v>
      </c>
      <c r="K1932" s="243">
        <f ca="1">OFFSET(card_type!$G$1,MATCH(Q1932,card_type!A:A,0)-1,0)</f>
        <v>1</v>
      </c>
      <c r="L1932" s="157">
        <v>2</v>
      </c>
      <c r="M1932" s="157">
        <v>2</v>
      </c>
      <c r="N1932" s="153">
        <f t="shared" si="327"/>
        <v>26</v>
      </c>
      <c r="O1932" s="157"/>
      <c r="P1932" s="157"/>
      <c r="Q1932" s="153">
        <f ca="1">OFFSET(card_type!$A$1,MATCH(card!B1932,card_type!B:B,0)-1,0)</f>
        <v>3013</v>
      </c>
      <c r="R1932" s="153">
        <v>1</v>
      </c>
      <c r="S1932" s="157">
        <f ca="1">ROUND(IF(R1932=0,0,IF(R1932=1,X1932*$S$1,IF(R1932=2,X1932*$S$1*buff的资质计算!$E$2,IF(R1932=3,X1932*$S$1*buff的资质计算!$E$3,0)))),0)*0</f>
        <v>0</v>
      </c>
      <c r="T1932" s="153">
        <v>3</v>
      </c>
      <c r="U1932" s="153">
        <f ca="1" t="shared" si="328"/>
        <v>11</v>
      </c>
      <c r="V1932" s="153">
        <f ca="1">ROUND((OFFSET(卡牌辅助配置表!$O$1,MATCH(U1932,卡牌辅助配置表!M:M,0)-1,0)+(N1932-1)*OFFSET(卡牌辅助配置表!$P$1,MATCH(U1932,卡牌辅助配置表!M:M,0)-1,0))*M1932,2)</f>
        <v>22.99</v>
      </c>
      <c r="W1932" s="157">
        <f ca="1">ROUND(IF(R1932=0,0,IF(R1932=1,X1932*$W$1,IF(R1932=2,X1932*$W$1*buff的资质计算!$E$2,IF(R1932=3,X1932*$W$1*buff的资质计算!$E$3,0)))),2)</f>
        <v>6.75</v>
      </c>
      <c r="X1932" s="157">
        <f ca="1" t="shared" si="323"/>
        <v>22.5</v>
      </c>
      <c r="Y1932" s="157">
        <f ca="1" t="shared" si="331"/>
        <v>27.5</v>
      </c>
      <c r="Z1932" s="304">
        <f ca="1" t="shared" si="324"/>
        <v>13.75</v>
      </c>
      <c r="AA1932" s="304">
        <f ca="1">OFFSET(卡牌辅助配置表!$AD$1,MATCH(AB1932,卡牌辅助配置表!AB:AB,0)-1,0)</f>
        <v>666</v>
      </c>
      <c r="AB1932" s="304">
        <f ca="1" t="shared" si="329"/>
        <v>1126</v>
      </c>
      <c r="AC1932" s="153">
        <v>12</v>
      </c>
      <c r="AF1932" s="153" t="str">
        <f ca="1" t="shared" si="322"/>
        <v>30130011|</v>
      </c>
      <c r="AJ1932" s="205" t="str">
        <f ca="1" t="shared" si="330"/>
        <v>400023|11900|;</v>
      </c>
      <c r="AK1932" s="205">
        <f ca="1">OFFSET([1]item_type!$A$1,MATCH(Q1932,[1]item_type!$G:$G,0)-1,0)</f>
        <v>303013</v>
      </c>
      <c r="AL1932" s="205"/>
      <c r="AM1932" s="205">
        <f ca="1">IF(B1932=B1933,OFFSET(卡牌辅助配置表!$AE$1,MATCH(AB1932,卡牌辅助配置表!AB:AB,0),0),0)</f>
        <v>11900</v>
      </c>
      <c r="AN1932" s="153">
        <f ca="1" t="shared" si="325"/>
        <v>3013027</v>
      </c>
      <c r="AP1932" s="153">
        <f ca="1">IF(AC1932=0,0,IF(AC1932=12,0,OFFSET(effect!$N$1,MATCH(K1932,effect!M:M,0)-1,0)))</f>
        <v>0</v>
      </c>
    </row>
    <row r="1933" spans="1:42">
      <c r="A1933" s="153">
        <f ca="1" t="shared" si="326"/>
        <v>3013027</v>
      </c>
      <c r="B1933" s="91" t="s">
        <v>359</v>
      </c>
      <c r="C1933" s="186">
        <v>3</v>
      </c>
      <c r="D1933" s="186">
        <v>3</v>
      </c>
      <c r="E1933" s="165" t="s">
        <v>1069</v>
      </c>
      <c r="F1933" s="179" t="s">
        <v>1059</v>
      </c>
      <c r="G1933" s="186">
        <f ca="1">OFFSET(卡牌辅助配置表!$C$1,MATCH(AC1933,卡牌辅助配置表!A:A,0)-1,0)</f>
        <v>0</v>
      </c>
      <c r="H1933" s="186">
        <f ca="1">OFFSET(skill!$Q$1,MATCH(B1933,skill!B:B,0)-1,0)</f>
        <v>5</v>
      </c>
      <c r="I1933" s="186"/>
      <c r="J1933" s="186">
        <f ca="1">OFFSET(card_type!$F$1,MATCH(Q1933,card_type!A:A,0)-1,0)</f>
        <v>1</v>
      </c>
      <c r="K1933" s="243">
        <f ca="1">OFFSET(card_type!$G$1,MATCH(Q1933,card_type!A:A,0)-1,0)</f>
        <v>1</v>
      </c>
      <c r="L1933" s="157">
        <v>2</v>
      </c>
      <c r="M1933" s="157">
        <v>2</v>
      </c>
      <c r="N1933" s="153">
        <f t="shared" si="327"/>
        <v>27</v>
      </c>
      <c r="O1933" s="157"/>
      <c r="P1933" s="157"/>
      <c r="Q1933" s="153">
        <f ca="1">OFFSET(card_type!$A$1,MATCH(card!B1933,card_type!B:B,0)-1,0)</f>
        <v>3013</v>
      </c>
      <c r="R1933" s="153">
        <v>1</v>
      </c>
      <c r="S1933" s="157">
        <f ca="1">ROUND(IF(R1933=0,0,IF(R1933=1,X1933*$S$1,IF(R1933=2,X1933*$S$1*buff的资质计算!$E$2,IF(R1933=3,X1933*$S$1*buff的资质计算!$E$3,0)))),0)*0</f>
        <v>0</v>
      </c>
      <c r="T1933" s="153">
        <v>3</v>
      </c>
      <c r="U1933" s="153">
        <f ca="1" t="shared" si="328"/>
        <v>11</v>
      </c>
      <c r="V1933" s="153">
        <f ca="1">ROUND((OFFSET(卡牌辅助配置表!$O$1,MATCH(U1933,卡牌辅助配置表!M:M,0)-1,0)+(N1933-1)*OFFSET(卡牌辅助配置表!$P$1,MATCH(U1933,卡牌辅助配置表!M:M,0)-1,0))*M1933,2)</f>
        <v>23.41</v>
      </c>
      <c r="W1933" s="157">
        <f ca="1">ROUND(IF(R1933=0,0,IF(R1933=1,X1933*$W$1,IF(R1933=2,X1933*$W$1*buff的资质计算!$E$2,IF(R1933=3,X1933*$W$1*buff的资质计算!$E$3,0)))),2)</f>
        <v>6.9</v>
      </c>
      <c r="X1933" s="157">
        <f ca="1" t="shared" si="323"/>
        <v>23</v>
      </c>
      <c r="Y1933" s="157">
        <f ca="1" t="shared" si="331"/>
        <v>28</v>
      </c>
      <c r="Z1933" s="304">
        <f ca="1" t="shared" si="324"/>
        <v>14</v>
      </c>
      <c r="AA1933" s="304">
        <f ca="1">OFFSET(卡牌辅助配置表!$AD$1,MATCH(AB1933,卡牌辅助配置表!AB:AB,0)-1,0)</f>
        <v>702</v>
      </c>
      <c r="AB1933" s="304">
        <f ca="1" t="shared" si="329"/>
        <v>1127</v>
      </c>
      <c r="AC1933" s="153">
        <v>12</v>
      </c>
      <c r="AF1933" s="153" t="str">
        <f ca="1" t="shared" si="322"/>
        <v>30130011|</v>
      </c>
      <c r="AJ1933" s="205" t="str">
        <f ca="1" t="shared" si="330"/>
        <v>400023|12700|;</v>
      </c>
      <c r="AK1933" s="205">
        <f ca="1">OFFSET([1]item_type!$A$1,MATCH(Q1933,[1]item_type!$G:$G,0)-1,0)</f>
        <v>303013</v>
      </c>
      <c r="AL1933" s="205"/>
      <c r="AM1933" s="205">
        <f ca="1">IF(B1933=B1934,OFFSET(卡牌辅助配置表!$AE$1,MATCH(AB1933,卡牌辅助配置表!AB:AB,0),0),0)</f>
        <v>12700</v>
      </c>
      <c r="AN1933" s="153">
        <f ca="1" t="shared" si="325"/>
        <v>3013028</v>
      </c>
      <c r="AP1933" s="153">
        <f ca="1">IF(AC1933=0,0,IF(AC1933=12,0,OFFSET(effect!$N$1,MATCH(K1933,effect!M:M,0)-1,0)))</f>
        <v>0</v>
      </c>
    </row>
    <row r="1934" spans="1:42">
      <c r="A1934" s="153">
        <f ca="1" t="shared" si="326"/>
        <v>3013028</v>
      </c>
      <c r="B1934" s="91" t="s">
        <v>359</v>
      </c>
      <c r="C1934" s="186">
        <v>3</v>
      </c>
      <c r="D1934" s="186">
        <v>3</v>
      </c>
      <c r="E1934" s="165" t="s">
        <v>1069</v>
      </c>
      <c r="F1934" s="179" t="s">
        <v>1059</v>
      </c>
      <c r="G1934" s="186">
        <f ca="1">OFFSET(卡牌辅助配置表!$C$1,MATCH(AC1934,卡牌辅助配置表!A:A,0)-1,0)</f>
        <v>0</v>
      </c>
      <c r="H1934" s="186">
        <f ca="1">OFFSET(skill!$Q$1,MATCH(B1934,skill!B:B,0)-1,0)</f>
        <v>5</v>
      </c>
      <c r="I1934" s="186"/>
      <c r="J1934" s="186">
        <f ca="1">OFFSET(card_type!$F$1,MATCH(Q1934,card_type!A:A,0)-1,0)</f>
        <v>1</v>
      </c>
      <c r="K1934" s="243">
        <f ca="1">OFFSET(card_type!$G$1,MATCH(Q1934,card_type!A:A,0)-1,0)</f>
        <v>1</v>
      </c>
      <c r="L1934" s="157">
        <v>2</v>
      </c>
      <c r="M1934" s="157">
        <v>2</v>
      </c>
      <c r="N1934" s="153">
        <f t="shared" si="327"/>
        <v>28</v>
      </c>
      <c r="O1934" s="157"/>
      <c r="P1934" s="157"/>
      <c r="Q1934" s="153">
        <f ca="1">OFFSET(card_type!$A$1,MATCH(card!B1934,card_type!B:B,0)-1,0)</f>
        <v>3013</v>
      </c>
      <c r="R1934" s="153">
        <v>1</v>
      </c>
      <c r="S1934" s="157">
        <f ca="1">ROUND(IF(R1934=0,0,IF(R1934=1,X1934*$S$1,IF(R1934=2,X1934*$S$1*buff的资质计算!$E$2,IF(R1934=3,X1934*$S$1*buff的资质计算!$E$3,0)))),0)*0</f>
        <v>0</v>
      </c>
      <c r="T1934" s="153">
        <v>3</v>
      </c>
      <c r="U1934" s="153">
        <f ca="1" t="shared" si="328"/>
        <v>11</v>
      </c>
      <c r="V1934" s="153">
        <f ca="1">ROUND((OFFSET(卡牌辅助配置表!$O$1,MATCH(U1934,卡牌辅助配置表!M:M,0)-1,0)+(N1934-1)*OFFSET(卡牌辅助配置表!$P$1,MATCH(U1934,卡牌辅助配置表!M:M,0)-1,0))*M1934,2)</f>
        <v>23.83</v>
      </c>
      <c r="W1934" s="157">
        <f ca="1">ROUND(IF(R1934=0,0,IF(R1934=1,X1934*$W$1,IF(R1934=2,X1934*$W$1*buff的资质计算!$E$2,IF(R1934=3,X1934*$W$1*buff的资质计算!$E$3,0)))),2)</f>
        <v>7.05</v>
      </c>
      <c r="X1934" s="157">
        <f ca="1" t="shared" si="323"/>
        <v>23.5</v>
      </c>
      <c r="Y1934" s="157">
        <f ca="1" t="shared" si="331"/>
        <v>28.5</v>
      </c>
      <c r="Z1934" s="304">
        <f ca="1" t="shared" si="324"/>
        <v>14.25</v>
      </c>
      <c r="AA1934" s="304">
        <f ca="1">OFFSET(卡牌辅助配置表!$AD$1,MATCH(AB1934,卡牌辅助配置表!AB:AB,0)-1,0)</f>
        <v>738</v>
      </c>
      <c r="AB1934" s="304">
        <f ca="1" t="shared" si="329"/>
        <v>1128</v>
      </c>
      <c r="AC1934" s="153">
        <v>12</v>
      </c>
      <c r="AF1934" s="153" t="str">
        <f ca="1" t="shared" si="322"/>
        <v>30130011|</v>
      </c>
      <c r="AJ1934" s="205" t="str">
        <f ca="1" t="shared" si="330"/>
        <v>400023|13500|;</v>
      </c>
      <c r="AK1934" s="205">
        <f ca="1">OFFSET([1]item_type!$A$1,MATCH(Q1934,[1]item_type!$G:$G,0)-1,0)</f>
        <v>303013</v>
      </c>
      <c r="AL1934" s="205"/>
      <c r="AM1934" s="205">
        <f ca="1">IF(B1934=B1935,OFFSET(卡牌辅助配置表!$AE$1,MATCH(AB1934,卡牌辅助配置表!AB:AB,0),0),0)</f>
        <v>13500</v>
      </c>
      <c r="AN1934" s="153">
        <f ca="1" t="shared" si="325"/>
        <v>3013029</v>
      </c>
      <c r="AP1934" s="153">
        <f ca="1">IF(AC1934=0,0,IF(AC1934=12,0,OFFSET(effect!$N$1,MATCH(K1934,effect!M:M,0)-1,0)))</f>
        <v>0</v>
      </c>
    </row>
    <row r="1935" spans="1:42">
      <c r="A1935" s="153">
        <f ca="1" t="shared" si="326"/>
        <v>3013029</v>
      </c>
      <c r="B1935" s="91" t="s">
        <v>359</v>
      </c>
      <c r="C1935" s="186">
        <v>3</v>
      </c>
      <c r="D1935" s="186">
        <v>3</v>
      </c>
      <c r="E1935" s="165" t="s">
        <v>1069</v>
      </c>
      <c r="F1935" s="179" t="s">
        <v>1059</v>
      </c>
      <c r="G1935" s="186">
        <f ca="1">OFFSET(卡牌辅助配置表!$C$1,MATCH(AC1935,卡牌辅助配置表!A:A,0)-1,0)</f>
        <v>0</v>
      </c>
      <c r="H1935" s="186">
        <f ca="1">OFFSET(skill!$Q$1,MATCH(B1935,skill!B:B,0)-1,0)</f>
        <v>5</v>
      </c>
      <c r="I1935" s="186"/>
      <c r="J1935" s="186">
        <f ca="1">OFFSET(card_type!$F$1,MATCH(Q1935,card_type!A:A,0)-1,0)</f>
        <v>1</v>
      </c>
      <c r="K1935" s="243">
        <f ca="1">OFFSET(card_type!$G$1,MATCH(Q1935,card_type!A:A,0)-1,0)</f>
        <v>1</v>
      </c>
      <c r="L1935" s="157">
        <v>2</v>
      </c>
      <c r="M1935" s="157">
        <v>2</v>
      </c>
      <c r="N1935" s="153">
        <f t="shared" si="327"/>
        <v>29</v>
      </c>
      <c r="O1935" s="157"/>
      <c r="P1935" s="157"/>
      <c r="Q1935" s="153">
        <f ca="1">OFFSET(card_type!$A$1,MATCH(card!B1935,card_type!B:B,0)-1,0)</f>
        <v>3013</v>
      </c>
      <c r="R1935" s="153">
        <v>1</v>
      </c>
      <c r="S1935" s="157">
        <f ca="1">ROUND(IF(R1935=0,0,IF(R1935=1,X1935*$S$1,IF(R1935=2,X1935*$S$1*buff的资质计算!$E$2,IF(R1935=3,X1935*$S$1*buff的资质计算!$E$3,0)))),0)*0</f>
        <v>0</v>
      </c>
      <c r="T1935" s="153">
        <v>3</v>
      </c>
      <c r="U1935" s="153">
        <f ca="1" t="shared" si="328"/>
        <v>11</v>
      </c>
      <c r="V1935" s="153">
        <f ca="1">ROUND((OFFSET(卡牌辅助配置表!$O$1,MATCH(U1935,卡牌辅助配置表!M:M,0)-1,0)+(N1935-1)*OFFSET(卡牌辅助配置表!$P$1,MATCH(U1935,卡牌辅助配置表!M:M,0)-1,0))*M1935,2)</f>
        <v>24.24</v>
      </c>
      <c r="W1935" s="157">
        <f ca="1">ROUND(IF(R1935=0,0,IF(R1935=1,X1935*$W$1,IF(R1935=2,X1935*$W$1*buff的资质计算!$E$2,IF(R1935=3,X1935*$W$1*buff的资质计算!$E$3,0)))),2)</f>
        <v>7.2</v>
      </c>
      <c r="X1935" s="157">
        <f ca="1" t="shared" si="323"/>
        <v>24</v>
      </c>
      <c r="Y1935" s="157">
        <f ca="1" t="shared" si="331"/>
        <v>29</v>
      </c>
      <c r="Z1935" s="304">
        <f ca="1" t="shared" si="324"/>
        <v>14.5</v>
      </c>
      <c r="AA1935" s="304">
        <f ca="1">OFFSET(卡牌辅助配置表!$AD$1,MATCH(AB1935,卡牌辅助配置表!AB:AB,0)-1,0)</f>
        <v>774</v>
      </c>
      <c r="AB1935" s="304">
        <f ca="1" t="shared" si="329"/>
        <v>1129</v>
      </c>
      <c r="AC1935" s="153">
        <v>12</v>
      </c>
      <c r="AF1935" s="153" t="str">
        <f ca="1" t="shared" si="322"/>
        <v>30130011|</v>
      </c>
      <c r="AJ1935" s="205" t="str">
        <f ca="1" t="shared" si="330"/>
        <v>303013|30|;400023|14300|;</v>
      </c>
      <c r="AK1935" s="205">
        <f ca="1">OFFSET([1]item_type!$A$1,MATCH(Q1935,[1]item_type!$G:$G,0)-1,0)</f>
        <v>303013</v>
      </c>
      <c r="AL1935" s="205">
        <v>30</v>
      </c>
      <c r="AM1935" s="205">
        <f ca="1">IF(B1935=B1936,OFFSET(卡牌辅助配置表!$AE$1,MATCH(AB1935,卡牌辅助配置表!AB:AB,0),0),0)</f>
        <v>14300</v>
      </c>
      <c r="AN1935" s="153">
        <f ca="1" t="shared" si="325"/>
        <v>3013030</v>
      </c>
      <c r="AP1935" s="153">
        <f ca="1">IF(AC1935=0,0,IF(AC1935=12,0,OFFSET(effect!$N$1,MATCH(K1935,effect!M:M,0)-1,0)))</f>
        <v>0</v>
      </c>
    </row>
    <row r="1936" spans="1:42">
      <c r="A1936" s="153">
        <f ca="1" t="shared" si="326"/>
        <v>3013030</v>
      </c>
      <c r="B1936" s="91" t="s">
        <v>359</v>
      </c>
      <c r="C1936" s="186">
        <v>3</v>
      </c>
      <c r="D1936" s="186">
        <v>3</v>
      </c>
      <c r="E1936" s="165" t="s">
        <v>1069</v>
      </c>
      <c r="F1936" s="179" t="s">
        <v>1059</v>
      </c>
      <c r="G1936" s="186">
        <f ca="1">OFFSET(卡牌辅助配置表!$C$1,MATCH(AC1936,卡牌辅助配置表!A:A,0)-1,0)</f>
        <v>0</v>
      </c>
      <c r="H1936" s="186">
        <f ca="1">OFFSET(skill!$Q$1,MATCH(B1936,skill!B:B,0)-1,0)</f>
        <v>5</v>
      </c>
      <c r="I1936" s="186"/>
      <c r="J1936" s="186">
        <f ca="1">OFFSET(card_type!$F$1,MATCH(Q1936,card_type!A:A,0)-1,0)</f>
        <v>1</v>
      </c>
      <c r="K1936" s="243">
        <f ca="1">OFFSET(card_type!$G$1,MATCH(Q1936,card_type!A:A,0)-1,0)</f>
        <v>1</v>
      </c>
      <c r="L1936" s="157">
        <v>2</v>
      </c>
      <c r="M1936" s="157">
        <v>2</v>
      </c>
      <c r="N1936" s="153">
        <f t="shared" si="327"/>
        <v>30</v>
      </c>
      <c r="O1936" s="157"/>
      <c r="P1936" s="157"/>
      <c r="Q1936" s="153">
        <f ca="1">OFFSET(card_type!$A$1,MATCH(card!B1936,card_type!B:B,0)-1,0)</f>
        <v>3013</v>
      </c>
      <c r="R1936" s="153">
        <v>1</v>
      </c>
      <c r="S1936" s="157">
        <f ca="1">ROUND(IF(R1936=0,0,IF(R1936=1,X1936*$S$1,IF(R1936=2,X1936*$S$1*buff的资质计算!$E$2,IF(R1936=3,X1936*$S$1*buff的资质计算!$E$3,0)))),0)*0</f>
        <v>0</v>
      </c>
      <c r="T1936" s="153">
        <v>3</v>
      </c>
      <c r="U1936" s="153">
        <f ca="1" t="shared" si="328"/>
        <v>11</v>
      </c>
      <c r="V1936" s="153">
        <f ca="1">ROUND((OFFSET(卡牌辅助配置表!$O$1,MATCH(U1936,卡牌辅助配置表!M:M,0)-1,0)+(N1936-1)*OFFSET(卡牌辅助配置表!$P$1,MATCH(U1936,卡牌辅助配置表!M:M,0)-1,0))*M1936,2)</f>
        <v>24.66</v>
      </c>
      <c r="W1936" s="157">
        <f ca="1">ROUND(IF(R1936=0,0,IF(R1936=1,X1936*$W$1,IF(R1936=2,X1936*$W$1*buff的资质计算!$E$2,IF(R1936=3,X1936*$W$1*buff的资质计算!$E$3,0)))),2)</f>
        <v>7.35</v>
      </c>
      <c r="X1936" s="157">
        <f ca="1" t="shared" si="323"/>
        <v>24.5</v>
      </c>
      <c r="Y1936" s="157">
        <f ca="1" t="shared" si="331"/>
        <v>29.5</v>
      </c>
      <c r="Z1936" s="304">
        <f ca="1" t="shared" si="324"/>
        <v>14.75</v>
      </c>
      <c r="AA1936" s="304">
        <f ca="1">OFFSET(卡牌辅助配置表!$AD$1,MATCH(AB1936,卡牌辅助配置表!AB:AB,0)-1,0)</f>
        <v>810</v>
      </c>
      <c r="AB1936" s="304">
        <f ca="1" t="shared" si="329"/>
        <v>1130</v>
      </c>
      <c r="AC1936" s="153">
        <v>12</v>
      </c>
      <c r="AF1936" s="153" t="str">
        <f ca="1" t="shared" si="322"/>
        <v>30130011|</v>
      </c>
      <c r="AJ1936" s="205">
        <f ca="1" t="shared" si="330"/>
        <v>0</v>
      </c>
      <c r="AK1936" s="205">
        <f ca="1">OFFSET([1]item_type!$A$1,MATCH(Q1936,[1]item_type!$G:$G,0)-1,0)</f>
        <v>303013</v>
      </c>
      <c r="AL1936" s="205"/>
      <c r="AM1936" s="205">
        <f ca="1">IF(B1936=B1937,OFFSET(卡牌辅助配置表!$AE$1,MATCH(AB1936,卡牌辅助配置表!AB:AB,0),0),0)</f>
        <v>0</v>
      </c>
      <c r="AN1936" s="153">
        <f ca="1" t="shared" si="325"/>
        <v>0</v>
      </c>
      <c r="AP1936" s="153">
        <f ca="1">IF(AC1936=0,0,IF(AC1936=12,0,OFFSET(effect!$N$1,MATCH(K1936,effect!M:M,0)-1,0)))</f>
        <v>0</v>
      </c>
    </row>
    <row r="1937" spans="1:42">
      <c r="A1937" s="153">
        <f ca="1" t="shared" si="326"/>
        <v>3014001</v>
      </c>
      <c r="B1937" s="91" t="s">
        <v>361</v>
      </c>
      <c r="C1937" s="186">
        <v>3</v>
      </c>
      <c r="D1937" s="186">
        <v>3</v>
      </c>
      <c r="E1937" s="165" t="s">
        <v>1069</v>
      </c>
      <c r="F1937" s="179" t="s">
        <v>1072</v>
      </c>
      <c r="G1937" s="186">
        <f ca="1">OFFSET(卡牌辅助配置表!$C$1,MATCH(AC1937,卡牌辅助配置表!A:A,0)-1,0)</f>
        <v>0</v>
      </c>
      <c r="H1937" s="186">
        <f ca="1">OFFSET(skill!$Q$1,MATCH(B1937,skill!B:B,0)-1,0)</f>
        <v>10</v>
      </c>
      <c r="I1937" s="186"/>
      <c r="J1937" s="186">
        <f ca="1">OFFSET(card_type!$F$1,MATCH(Q1937,card_type!A:A,0)-1,0)</f>
        <v>1</v>
      </c>
      <c r="K1937" s="243">
        <f ca="1">OFFSET(card_type!$G$1,MATCH(Q1937,card_type!A:A,0)-1,0)</f>
        <v>2</v>
      </c>
      <c r="L1937" s="157">
        <v>2</v>
      </c>
      <c r="M1937" s="157">
        <v>2</v>
      </c>
      <c r="N1937" s="153">
        <f t="shared" si="327"/>
        <v>1</v>
      </c>
      <c r="O1937" s="157"/>
      <c r="P1937" s="157"/>
      <c r="Q1937" s="153">
        <f ca="1">OFFSET(card_type!$A$1,MATCH(card!B1937,card_type!B:B,0)-1,0)</f>
        <v>3014</v>
      </c>
      <c r="R1937" s="153">
        <v>1</v>
      </c>
      <c r="S1937" s="157">
        <f ca="1">ROUND(IF(R1937=0,0,IF(R1937=1,X1937*$S$1,IF(R1937=2,X1937*$S$1*buff的资质计算!$E$2,IF(R1937=3,X1937*$S$1*buff的资质计算!$E$3,0)))),0)*0</f>
        <v>0</v>
      </c>
      <c r="T1937" s="153">
        <v>3</v>
      </c>
      <c r="U1937" s="153">
        <f ca="1" t="shared" si="328"/>
        <v>12</v>
      </c>
      <c r="V1937" s="153">
        <f ca="1">ROUND((OFFSET(卡牌辅助配置表!$O$1,MATCH(U1937,卡牌辅助配置表!M:M,0)-1,0)+(N1937-1)*OFFSET(卡牌辅助配置表!$P$1,MATCH(U1937,卡牌辅助配置表!M:M,0)-1,0))*M1937,2)</f>
        <v>19</v>
      </c>
      <c r="W1937" s="157">
        <f ca="1">ROUND(IF(R1937=0,0,IF(R1937=1,X1937*$W$1,IF(R1937=2,X1937*$W$1*buff的资质计算!$E$2,IF(R1937=3,X1937*$W$1*buff的资质计算!$E$3,0)))),2)</f>
        <v>5.4</v>
      </c>
      <c r="X1937" s="157">
        <f ca="1" t="shared" si="323"/>
        <v>18</v>
      </c>
      <c r="Y1937" s="157">
        <f ca="1" t="shared" si="331"/>
        <v>28</v>
      </c>
      <c r="Z1937" s="304">
        <f ca="1" t="shared" si="324"/>
        <v>14</v>
      </c>
      <c r="AA1937" s="304">
        <f ca="1">OFFSET(卡牌辅助配置表!$AD$1,MATCH(AB1937,卡牌辅助配置表!AB:AB,0)-1,0)</f>
        <v>36</v>
      </c>
      <c r="AB1937" s="304">
        <f ca="1" t="shared" si="329"/>
        <v>1201</v>
      </c>
      <c r="AC1937" s="153">
        <v>12</v>
      </c>
      <c r="AF1937" s="153" t="str">
        <f ca="1" t="shared" si="322"/>
        <v>30140011|</v>
      </c>
      <c r="AJ1937" s="205" t="str">
        <f ca="1" t="shared" si="330"/>
        <v>400023|1050|;</v>
      </c>
      <c r="AK1937" s="205">
        <f ca="1">OFFSET([1]item_type!$A$1,MATCH(Q1937,[1]item_type!$G:$G,0)-1,0)</f>
        <v>303014</v>
      </c>
      <c r="AL1937" s="205"/>
      <c r="AM1937" s="205">
        <f ca="1">IF(B1937=B1938,OFFSET(卡牌辅助配置表!$AE$1,MATCH(AB1937,卡牌辅助配置表!AB:AB,0),0),0)</f>
        <v>1050</v>
      </c>
      <c r="AN1937" s="153">
        <f ca="1" t="shared" si="325"/>
        <v>3014002</v>
      </c>
      <c r="AP1937" s="153">
        <f ca="1">IF(AC1937=0,0,IF(AC1937=12,0,OFFSET(effect!$N$1,MATCH(K1937,effect!M:M,0)-1,0)))</f>
        <v>0</v>
      </c>
    </row>
    <row r="1938" spans="1:42">
      <c r="A1938" s="153">
        <f ca="1" t="shared" si="326"/>
        <v>3014002</v>
      </c>
      <c r="B1938" s="91" t="s">
        <v>361</v>
      </c>
      <c r="C1938" s="186">
        <v>3</v>
      </c>
      <c r="D1938" s="186">
        <v>3</v>
      </c>
      <c r="E1938" s="165" t="s">
        <v>1069</v>
      </c>
      <c r="F1938" s="179" t="s">
        <v>1072</v>
      </c>
      <c r="G1938" s="186">
        <f ca="1">OFFSET(卡牌辅助配置表!$C$1,MATCH(AC1938,卡牌辅助配置表!A:A,0)-1,0)</f>
        <v>0</v>
      </c>
      <c r="H1938" s="186">
        <f ca="1">OFFSET(skill!$Q$1,MATCH(B1938,skill!B:B,0)-1,0)</f>
        <v>10</v>
      </c>
      <c r="I1938" s="186"/>
      <c r="J1938" s="186">
        <f ca="1">OFFSET(card_type!$F$1,MATCH(Q1938,card_type!A:A,0)-1,0)</f>
        <v>1</v>
      </c>
      <c r="K1938" s="243">
        <f ca="1">OFFSET(card_type!$G$1,MATCH(Q1938,card_type!A:A,0)-1,0)</f>
        <v>2</v>
      </c>
      <c r="L1938" s="157">
        <v>2</v>
      </c>
      <c r="M1938" s="157">
        <v>2</v>
      </c>
      <c r="N1938" s="153">
        <f t="shared" si="327"/>
        <v>2</v>
      </c>
      <c r="O1938" s="157"/>
      <c r="P1938" s="157"/>
      <c r="Q1938" s="153">
        <f ca="1">OFFSET(card_type!$A$1,MATCH(card!B1938,card_type!B:B,0)-1,0)</f>
        <v>3014</v>
      </c>
      <c r="R1938" s="153">
        <v>1</v>
      </c>
      <c r="S1938" s="157">
        <f ca="1">ROUND(IF(R1938=0,0,IF(R1938=1,X1938*$S$1,IF(R1938=2,X1938*$S$1*buff的资质计算!$E$2,IF(R1938=3,X1938*$S$1*buff的资质计算!$E$3,0)))),0)*0</f>
        <v>0</v>
      </c>
      <c r="T1938" s="153">
        <v>3</v>
      </c>
      <c r="U1938" s="153">
        <f ca="1" t="shared" si="328"/>
        <v>12</v>
      </c>
      <c r="V1938" s="153">
        <f ca="1">ROUND((OFFSET(卡牌辅助配置表!$O$1,MATCH(U1938,卡牌辅助配置表!M:M,0)-1,0)+(N1938-1)*OFFSET(卡牌辅助配置表!$P$1,MATCH(U1938,卡牌辅助配置表!M:M,0)-1,0))*M1938,2)</f>
        <v>19.63</v>
      </c>
      <c r="W1938" s="157">
        <f ca="1">ROUND(IF(R1938=0,0,IF(R1938=1,X1938*$W$1,IF(R1938=2,X1938*$W$1*buff的资质计算!$E$2,IF(R1938=3,X1938*$W$1*buff的资质计算!$E$3,0)))),2)</f>
        <v>5.55</v>
      </c>
      <c r="X1938" s="157">
        <f ca="1" t="shared" si="323"/>
        <v>18.5</v>
      </c>
      <c r="Y1938" s="157">
        <f ca="1" t="shared" si="331"/>
        <v>28.5</v>
      </c>
      <c r="Z1938" s="304">
        <f ca="1" t="shared" si="324"/>
        <v>14.25</v>
      </c>
      <c r="AA1938" s="304">
        <f ca="1">OFFSET(卡牌辅助配置表!$AD$1,MATCH(AB1938,卡牌辅助配置表!AB:AB,0)-1,0)</f>
        <v>72</v>
      </c>
      <c r="AB1938" s="304">
        <f ca="1" t="shared" si="329"/>
        <v>1202</v>
      </c>
      <c r="AC1938" s="153">
        <v>12</v>
      </c>
      <c r="AF1938" s="153" t="str">
        <f ca="1" t="shared" si="322"/>
        <v>30140011|</v>
      </c>
      <c r="AJ1938" s="205" t="str">
        <f ca="1" t="shared" si="330"/>
        <v>400023|1350|;</v>
      </c>
      <c r="AK1938" s="205">
        <f ca="1">OFFSET([1]item_type!$A$1,MATCH(Q1938,[1]item_type!$G:$G,0)-1,0)</f>
        <v>303014</v>
      </c>
      <c r="AL1938" s="205"/>
      <c r="AM1938" s="205">
        <f ca="1">IF(B1938=B1939,OFFSET(卡牌辅助配置表!$AE$1,MATCH(AB1938,卡牌辅助配置表!AB:AB,0),0),0)</f>
        <v>1350</v>
      </c>
      <c r="AN1938" s="153">
        <f ca="1" t="shared" si="325"/>
        <v>3014003</v>
      </c>
      <c r="AP1938" s="153">
        <f ca="1">IF(AC1938=0,0,IF(AC1938=12,0,OFFSET(effect!$N$1,MATCH(K1938,effect!M:M,0)-1,0)))</f>
        <v>0</v>
      </c>
    </row>
    <row r="1939" spans="1:42">
      <c r="A1939" s="153">
        <f ca="1" t="shared" si="326"/>
        <v>3014003</v>
      </c>
      <c r="B1939" s="91" t="s">
        <v>361</v>
      </c>
      <c r="C1939" s="186">
        <v>3</v>
      </c>
      <c r="D1939" s="186">
        <v>3</v>
      </c>
      <c r="E1939" s="165" t="s">
        <v>1069</v>
      </c>
      <c r="F1939" s="179" t="s">
        <v>1072</v>
      </c>
      <c r="G1939" s="186">
        <f ca="1">OFFSET(卡牌辅助配置表!$C$1,MATCH(AC1939,卡牌辅助配置表!A:A,0)-1,0)</f>
        <v>0</v>
      </c>
      <c r="H1939" s="186">
        <f ca="1">OFFSET(skill!$Q$1,MATCH(B1939,skill!B:B,0)-1,0)</f>
        <v>10</v>
      </c>
      <c r="I1939" s="186"/>
      <c r="J1939" s="186">
        <f ca="1">OFFSET(card_type!$F$1,MATCH(Q1939,card_type!A:A,0)-1,0)</f>
        <v>1</v>
      </c>
      <c r="K1939" s="243">
        <f ca="1">OFFSET(card_type!$G$1,MATCH(Q1939,card_type!A:A,0)-1,0)</f>
        <v>2</v>
      </c>
      <c r="L1939" s="157">
        <v>2</v>
      </c>
      <c r="M1939" s="157">
        <v>2</v>
      </c>
      <c r="N1939" s="153">
        <f t="shared" si="327"/>
        <v>3</v>
      </c>
      <c r="O1939" s="157"/>
      <c r="P1939" s="157"/>
      <c r="Q1939" s="153">
        <f ca="1">OFFSET(card_type!$A$1,MATCH(card!B1939,card_type!B:B,0)-1,0)</f>
        <v>3014</v>
      </c>
      <c r="R1939" s="153">
        <v>1</v>
      </c>
      <c r="S1939" s="157">
        <f ca="1">ROUND(IF(R1939=0,0,IF(R1939=1,X1939*$S$1,IF(R1939=2,X1939*$S$1*buff的资质计算!$E$2,IF(R1939=3,X1939*$S$1*buff的资质计算!$E$3,0)))),0)*0</f>
        <v>0</v>
      </c>
      <c r="T1939" s="153">
        <v>3</v>
      </c>
      <c r="U1939" s="153">
        <f ca="1" t="shared" si="328"/>
        <v>12</v>
      </c>
      <c r="V1939" s="153">
        <f ca="1">ROUND((OFFSET(卡牌辅助配置表!$O$1,MATCH(U1939,卡牌辅助配置表!M:M,0)-1,0)+(N1939-1)*OFFSET(卡牌辅助配置表!$P$1,MATCH(U1939,卡牌辅助配置表!M:M,0)-1,0))*M1939,2)</f>
        <v>20.27</v>
      </c>
      <c r="W1939" s="157">
        <f ca="1">ROUND(IF(R1939=0,0,IF(R1939=1,X1939*$W$1,IF(R1939=2,X1939*$W$1*buff的资质计算!$E$2,IF(R1939=3,X1939*$W$1*buff的资质计算!$E$3,0)))),2)</f>
        <v>5.7</v>
      </c>
      <c r="X1939" s="157">
        <f ca="1" t="shared" si="323"/>
        <v>19</v>
      </c>
      <c r="Y1939" s="157">
        <f ca="1" t="shared" si="331"/>
        <v>29</v>
      </c>
      <c r="Z1939" s="304">
        <f ca="1" t="shared" si="324"/>
        <v>14.5</v>
      </c>
      <c r="AA1939" s="304">
        <f ca="1">OFFSET(卡牌辅助配置表!$AD$1,MATCH(AB1939,卡牌辅助配置表!AB:AB,0)-1,0)</f>
        <v>108</v>
      </c>
      <c r="AB1939" s="304">
        <f ca="1" t="shared" si="329"/>
        <v>1203</v>
      </c>
      <c r="AC1939" s="153">
        <v>12</v>
      </c>
      <c r="AF1939" s="153" t="str">
        <f ca="1" t="shared" si="322"/>
        <v>30140011|</v>
      </c>
      <c r="AJ1939" s="205" t="str">
        <f ca="1" t="shared" si="330"/>
        <v>400023|1650|;</v>
      </c>
      <c r="AK1939" s="205">
        <f ca="1">OFFSET([1]item_type!$A$1,MATCH(Q1939,[1]item_type!$G:$G,0)-1,0)</f>
        <v>303014</v>
      </c>
      <c r="AL1939" s="205"/>
      <c r="AM1939" s="205">
        <f ca="1">IF(B1939=B1940,OFFSET(卡牌辅助配置表!$AE$1,MATCH(AB1939,卡牌辅助配置表!AB:AB,0),0),0)</f>
        <v>1650</v>
      </c>
      <c r="AN1939" s="153">
        <f ca="1" t="shared" si="325"/>
        <v>3014004</v>
      </c>
      <c r="AP1939" s="153">
        <f ca="1">IF(AC1939=0,0,IF(AC1939=12,0,OFFSET(effect!$N$1,MATCH(K1939,effect!M:M,0)-1,0)))</f>
        <v>0</v>
      </c>
    </row>
    <row r="1940" spans="1:42">
      <c r="A1940" s="153">
        <f ca="1" t="shared" si="326"/>
        <v>3014004</v>
      </c>
      <c r="B1940" s="91" t="s">
        <v>361</v>
      </c>
      <c r="C1940" s="186">
        <v>3</v>
      </c>
      <c r="D1940" s="186">
        <v>3</v>
      </c>
      <c r="E1940" s="165" t="s">
        <v>1069</v>
      </c>
      <c r="F1940" s="179" t="s">
        <v>1072</v>
      </c>
      <c r="G1940" s="186">
        <f ca="1">OFFSET(卡牌辅助配置表!$C$1,MATCH(AC1940,卡牌辅助配置表!A:A,0)-1,0)</f>
        <v>0</v>
      </c>
      <c r="H1940" s="186">
        <f ca="1">OFFSET(skill!$Q$1,MATCH(B1940,skill!B:B,0)-1,0)</f>
        <v>10</v>
      </c>
      <c r="I1940" s="186"/>
      <c r="J1940" s="186">
        <f ca="1">OFFSET(card_type!$F$1,MATCH(Q1940,card_type!A:A,0)-1,0)</f>
        <v>1</v>
      </c>
      <c r="K1940" s="243">
        <f ca="1">OFFSET(card_type!$G$1,MATCH(Q1940,card_type!A:A,0)-1,0)</f>
        <v>2</v>
      </c>
      <c r="L1940" s="157">
        <v>2</v>
      </c>
      <c r="M1940" s="157">
        <v>2</v>
      </c>
      <c r="N1940" s="153">
        <f t="shared" si="327"/>
        <v>4</v>
      </c>
      <c r="O1940" s="157"/>
      <c r="P1940" s="157"/>
      <c r="Q1940" s="153">
        <f ca="1">OFFSET(card_type!$A$1,MATCH(card!B1940,card_type!B:B,0)-1,0)</f>
        <v>3014</v>
      </c>
      <c r="R1940" s="153">
        <v>1</v>
      </c>
      <c r="S1940" s="157">
        <f ca="1">ROUND(IF(R1940=0,0,IF(R1940=1,X1940*$S$1,IF(R1940=2,X1940*$S$1*buff的资质计算!$E$2,IF(R1940=3,X1940*$S$1*buff的资质计算!$E$3,0)))),0)*0</f>
        <v>0</v>
      </c>
      <c r="T1940" s="153">
        <v>3</v>
      </c>
      <c r="U1940" s="153">
        <f ca="1" t="shared" si="328"/>
        <v>12</v>
      </c>
      <c r="V1940" s="153">
        <f ca="1">ROUND((OFFSET(卡牌辅助配置表!$O$1,MATCH(U1940,卡牌辅助配置表!M:M,0)-1,0)+(N1940-1)*OFFSET(卡牌辅助配置表!$P$1,MATCH(U1940,卡牌辅助配置表!M:M,0)-1,0))*M1940,2)</f>
        <v>20.9</v>
      </c>
      <c r="W1940" s="157">
        <f ca="1">ROUND(IF(R1940=0,0,IF(R1940=1,X1940*$W$1,IF(R1940=2,X1940*$W$1*buff的资质计算!$E$2,IF(R1940=3,X1940*$W$1*buff的资质计算!$E$3,0)))),2)</f>
        <v>5.85</v>
      </c>
      <c r="X1940" s="157">
        <f ca="1" t="shared" si="323"/>
        <v>19.5</v>
      </c>
      <c r="Y1940" s="157">
        <f ca="1" t="shared" si="331"/>
        <v>29.5</v>
      </c>
      <c r="Z1940" s="304">
        <f ca="1" t="shared" si="324"/>
        <v>14.75</v>
      </c>
      <c r="AA1940" s="304">
        <f ca="1">OFFSET(卡牌辅助配置表!$AD$1,MATCH(AB1940,卡牌辅助配置表!AB:AB,0)-1,0)</f>
        <v>144</v>
      </c>
      <c r="AB1940" s="304">
        <f ca="1" t="shared" si="329"/>
        <v>1204</v>
      </c>
      <c r="AC1940" s="153">
        <v>12</v>
      </c>
      <c r="AF1940" s="153" t="str">
        <f ca="1" t="shared" si="322"/>
        <v>30140011|</v>
      </c>
      <c r="AJ1940" s="205" t="str">
        <f ca="1" t="shared" si="330"/>
        <v>400023|1950|;</v>
      </c>
      <c r="AK1940" s="205">
        <f ca="1">OFFSET([1]item_type!$A$1,MATCH(Q1940,[1]item_type!$G:$G,0)-1,0)</f>
        <v>303014</v>
      </c>
      <c r="AL1940" s="205"/>
      <c r="AM1940" s="205">
        <f ca="1">IF(B1940=B1941,OFFSET(卡牌辅助配置表!$AE$1,MATCH(AB1940,卡牌辅助配置表!AB:AB,0),0),0)</f>
        <v>1950</v>
      </c>
      <c r="AN1940" s="153">
        <f ca="1" t="shared" si="325"/>
        <v>3014005</v>
      </c>
      <c r="AP1940" s="153">
        <f ca="1">IF(AC1940=0,0,IF(AC1940=12,0,OFFSET(effect!$N$1,MATCH(K1940,effect!M:M,0)-1,0)))</f>
        <v>0</v>
      </c>
    </row>
    <row r="1941" spans="1:42">
      <c r="A1941" s="153">
        <f ca="1" t="shared" si="326"/>
        <v>3014005</v>
      </c>
      <c r="B1941" s="91" t="s">
        <v>361</v>
      </c>
      <c r="C1941" s="186">
        <v>3</v>
      </c>
      <c r="D1941" s="186">
        <v>3</v>
      </c>
      <c r="E1941" s="165" t="s">
        <v>1069</v>
      </c>
      <c r="F1941" s="179" t="s">
        <v>1072</v>
      </c>
      <c r="G1941" s="186">
        <f ca="1">OFFSET(卡牌辅助配置表!$C$1,MATCH(AC1941,卡牌辅助配置表!A:A,0)-1,0)</f>
        <v>0</v>
      </c>
      <c r="H1941" s="186">
        <f ca="1">OFFSET(skill!$Q$1,MATCH(B1941,skill!B:B,0)-1,0)</f>
        <v>10</v>
      </c>
      <c r="I1941" s="186"/>
      <c r="J1941" s="186">
        <f ca="1">OFFSET(card_type!$F$1,MATCH(Q1941,card_type!A:A,0)-1,0)</f>
        <v>1</v>
      </c>
      <c r="K1941" s="243">
        <f ca="1">OFFSET(card_type!$G$1,MATCH(Q1941,card_type!A:A,0)-1,0)</f>
        <v>2</v>
      </c>
      <c r="L1941" s="157">
        <v>2</v>
      </c>
      <c r="M1941" s="157">
        <v>2</v>
      </c>
      <c r="N1941" s="153">
        <f t="shared" si="327"/>
        <v>5</v>
      </c>
      <c r="O1941" s="157"/>
      <c r="P1941" s="157"/>
      <c r="Q1941" s="153">
        <f ca="1">OFFSET(card_type!$A$1,MATCH(card!B1941,card_type!B:B,0)-1,0)</f>
        <v>3014</v>
      </c>
      <c r="R1941" s="153">
        <v>1</v>
      </c>
      <c r="S1941" s="157">
        <f ca="1">ROUND(IF(R1941=0,0,IF(R1941=1,X1941*$S$1,IF(R1941=2,X1941*$S$1*buff的资质计算!$E$2,IF(R1941=3,X1941*$S$1*buff的资质计算!$E$3,0)))),0)*0</f>
        <v>0</v>
      </c>
      <c r="T1941" s="153">
        <v>3</v>
      </c>
      <c r="U1941" s="153">
        <f ca="1" t="shared" si="328"/>
        <v>12</v>
      </c>
      <c r="V1941" s="153">
        <f ca="1">ROUND((OFFSET(卡牌辅助配置表!$O$1,MATCH(U1941,卡牌辅助配置表!M:M,0)-1,0)+(N1941-1)*OFFSET(卡牌辅助配置表!$P$1,MATCH(U1941,卡牌辅助配置表!M:M,0)-1,0))*M1941,2)</f>
        <v>21.53</v>
      </c>
      <c r="W1941" s="157">
        <f ca="1">ROUND(IF(R1941=0,0,IF(R1941=1,X1941*$W$1,IF(R1941=2,X1941*$W$1*buff的资质计算!$E$2,IF(R1941=3,X1941*$W$1*buff的资质计算!$E$3,0)))),2)</f>
        <v>6</v>
      </c>
      <c r="X1941" s="157">
        <f ca="1" t="shared" si="323"/>
        <v>20</v>
      </c>
      <c r="Y1941" s="157">
        <f ca="1" t="shared" si="331"/>
        <v>30</v>
      </c>
      <c r="Z1941" s="304">
        <f ca="1" t="shared" si="324"/>
        <v>15</v>
      </c>
      <c r="AA1941" s="304">
        <f ca="1">OFFSET(卡牌辅助配置表!$AD$1,MATCH(AB1941,卡牌辅助配置表!AB:AB,0)-1,0)</f>
        <v>180</v>
      </c>
      <c r="AB1941" s="304">
        <f ca="1" t="shared" si="329"/>
        <v>1205</v>
      </c>
      <c r="AC1941" s="153">
        <v>12</v>
      </c>
      <c r="AF1941" s="153" t="str">
        <f ca="1" t="shared" si="322"/>
        <v>30140011|</v>
      </c>
      <c r="AJ1941" s="205" t="str">
        <f ca="1" t="shared" si="330"/>
        <v>400023|2250|;</v>
      </c>
      <c r="AK1941" s="205">
        <f ca="1">OFFSET([1]item_type!$A$1,MATCH(Q1941,[1]item_type!$G:$G,0)-1,0)</f>
        <v>303014</v>
      </c>
      <c r="AL1941" s="205"/>
      <c r="AM1941" s="205">
        <f ca="1">IF(B1941=B1942,OFFSET(卡牌辅助配置表!$AE$1,MATCH(AB1941,卡牌辅助配置表!AB:AB,0),0),0)</f>
        <v>2250</v>
      </c>
      <c r="AN1941" s="153">
        <f ca="1" t="shared" si="325"/>
        <v>3014006</v>
      </c>
      <c r="AP1941" s="153">
        <f ca="1">IF(AC1941=0,0,IF(AC1941=12,0,OFFSET(effect!$N$1,MATCH(K1941,effect!M:M,0)-1,0)))</f>
        <v>0</v>
      </c>
    </row>
    <row r="1942" spans="1:42">
      <c r="A1942" s="153">
        <f ca="1" t="shared" si="326"/>
        <v>3014006</v>
      </c>
      <c r="B1942" s="91" t="s">
        <v>361</v>
      </c>
      <c r="C1942" s="186">
        <v>3</v>
      </c>
      <c r="D1942" s="186">
        <v>3</v>
      </c>
      <c r="E1942" s="165" t="s">
        <v>1069</v>
      </c>
      <c r="F1942" s="179" t="s">
        <v>1072</v>
      </c>
      <c r="G1942" s="186">
        <f ca="1">OFFSET(卡牌辅助配置表!$C$1,MATCH(AC1942,卡牌辅助配置表!A:A,0)-1,0)</f>
        <v>0</v>
      </c>
      <c r="H1942" s="186">
        <f ca="1">OFFSET(skill!$Q$1,MATCH(B1942,skill!B:B,0)-1,0)</f>
        <v>10</v>
      </c>
      <c r="I1942" s="186"/>
      <c r="J1942" s="186">
        <f ca="1">OFFSET(card_type!$F$1,MATCH(Q1942,card_type!A:A,0)-1,0)</f>
        <v>1</v>
      </c>
      <c r="K1942" s="243">
        <f ca="1">OFFSET(card_type!$G$1,MATCH(Q1942,card_type!A:A,0)-1,0)</f>
        <v>2</v>
      </c>
      <c r="L1942" s="157">
        <v>2</v>
      </c>
      <c r="M1942" s="157">
        <v>2</v>
      </c>
      <c r="N1942" s="153">
        <f t="shared" si="327"/>
        <v>6</v>
      </c>
      <c r="O1942" s="157"/>
      <c r="P1942" s="157"/>
      <c r="Q1942" s="153">
        <f ca="1">OFFSET(card_type!$A$1,MATCH(card!B1942,card_type!B:B,0)-1,0)</f>
        <v>3014</v>
      </c>
      <c r="R1942" s="153">
        <v>1</v>
      </c>
      <c r="S1942" s="157">
        <f ca="1">ROUND(IF(R1942=0,0,IF(R1942=1,X1942*$S$1,IF(R1942=2,X1942*$S$1*buff的资质计算!$E$2,IF(R1942=3,X1942*$S$1*buff的资质计算!$E$3,0)))),0)*0</f>
        <v>0</v>
      </c>
      <c r="T1942" s="153">
        <v>3</v>
      </c>
      <c r="U1942" s="153">
        <f ca="1" t="shared" si="328"/>
        <v>12</v>
      </c>
      <c r="V1942" s="153">
        <f ca="1">ROUND((OFFSET(卡牌辅助配置表!$O$1,MATCH(U1942,卡牌辅助配置表!M:M,0)-1,0)+(N1942-1)*OFFSET(卡牌辅助配置表!$P$1,MATCH(U1942,卡牌辅助配置表!M:M,0)-1,0))*M1942,2)</f>
        <v>22.17</v>
      </c>
      <c r="W1942" s="157">
        <f ca="1">ROUND(IF(R1942=0,0,IF(R1942=1,X1942*$W$1,IF(R1942=2,X1942*$W$1*buff的资质计算!$E$2,IF(R1942=3,X1942*$W$1*buff的资质计算!$E$3,0)))),2)</f>
        <v>6.15</v>
      </c>
      <c r="X1942" s="157">
        <f ca="1" t="shared" si="323"/>
        <v>20.5</v>
      </c>
      <c r="Y1942" s="157">
        <f ca="1" t="shared" si="331"/>
        <v>30.5</v>
      </c>
      <c r="Z1942" s="304">
        <f ca="1" t="shared" si="324"/>
        <v>15.25</v>
      </c>
      <c r="AA1942" s="304">
        <f ca="1">OFFSET(卡牌辅助配置表!$AD$1,MATCH(AB1942,卡牌辅助配置表!AB:AB,0)-1,0)</f>
        <v>216</v>
      </c>
      <c r="AB1942" s="304">
        <f ca="1" t="shared" si="329"/>
        <v>1206</v>
      </c>
      <c r="AC1942" s="153">
        <v>12</v>
      </c>
      <c r="AF1942" s="153" t="str">
        <f ca="1" t="shared" si="322"/>
        <v>30140011|</v>
      </c>
      <c r="AJ1942" s="205" t="str">
        <f ca="1" t="shared" si="330"/>
        <v>400023|2550|;</v>
      </c>
      <c r="AK1942" s="205">
        <f ca="1">OFFSET([1]item_type!$A$1,MATCH(Q1942,[1]item_type!$G:$G,0)-1,0)</f>
        <v>303014</v>
      </c>
      <c r="AL1942" s="205"/>
      <c r="AM1942" s="205">
        <f ca="1">IF(B1942=B1943,OFFSET(卡牌辅助配置表!$AE$1,MATCH(AB1942,卡牌辅助配置表!AB:AB,0),0),0)</f>
        <v>2550</v>
      </c>
      <c r="AN1942" s="153">
        <f ca="1" t="shared" si="325"/>
        <v>3014007</v>
      </c>
      <c r="AP1942" s="153">
        <f ca="1">IF(AC1942=0,0,IF(AC1942=12,0,OFFSET(effect!$N$1,MATCH(K1942,effect!M:M,0)-1,0)))</f>
        <v>0</v>
      </c>
    </row>
    <row r="1943" spans="1:42">
      <c r="A1943" s="153">
        <f ca="1" t="shared" si="326"/>
        <v>3014007</v>
      </c>
      <c r="B1943" s="91" t="s">
        <v>361</v>
      </c>
      <c r="C1943" s="186">
        <v>3</v>
      </c>
      <c r="D1943" s="186">
        <v>3</v>
      </c>
      <c r="E1943" s="165" t="s">
        <v>1069</v>
      </c>
      <c r="F1943" s="179" t="s">
        <v>1072</v>
      </c>
      <c r="G1943" s="186">
        <f ca="1">OFFSET(卡牌辅助配置表!$C$1,MATCH(AC1943,卡牌辅助配置表!A:A,0)-1,0)</f>
        <v>0</v>
      </c>
      <c r="H1943" s="186">
        <f ca="1">OFFSET(skill!$Q$1,MATCH(B1943,skill!B:B,0)-1,0)</f>
        <v>10</v>
      </c>
      <c r="I1943" s="186"/>
      <c r="J1943" s="186">
        <f ca="1">OFFSET(card_type!$F$1,MATCH(Q1943,card_type!A:A,0)-1,0)</f>
        <v>1</v>
      </c>
      <c r="K1943" s="243">
        <f ca="1">OFFSET(card_type!$G$1,MATCH(Q1943,card_type!A:A,0)-1,0)</f>
        <v>2</v>
      </c>
      <c r="L1943" s="157">
        <v>2</v>
      </c>
      <c r="M1943" s="157">
        <v>2</v>
      </c>
      <c r="N1943" s="153">
        <f t="shared" si="327"/>
        <v>7</v>
      </c>
      <c r="O1943" s="157"/>
      <c r="P1943" s="157"/>
      <c r="Q1943" s="153">
        <f ca="1">OFFSET(card_type!$A$1,MATCH(card!B1943,card_type!B:B,0)-1,0)</f>
        <v>3014</v>
      </c>
      <c r="R1943" s="153">
        <v>1</v>
      </c>
      <c r="S1943" s="157">
        <f ca="1">ROUND(IF(R1943=0,0,IF(R1943=1,X1943*$S$1,IF(R1943=2,X1943*$S$1*buff的资质计算!$E$2,IF(R1943=3,X1943*$S$1*buff的资质计算!$E$3,0)))),0)*0</f>
        <v>0</v>
      </c>
      <c r="T1943" s="153">
        <v>3</v>
      </c>
      <c r="U1943" s="153">
        <f ca="1" t="shared" si="328"/>
        <v>12</v>
      </c>
      <c r="V1943" s="153">
        <f ca="1">ROUND((OFFSET(卡牌辅助配置表!$O$1,MATCH(U1943,卡牌辅助配置表!M:M,0)-1,0)+(N1943-1)*OFFSET(卡牌辅助配置表!$P$1,MATCH(U1943,卡牌辅助配置表!M:M,0)-1,0))*M1943,2)</f>
        <v>22.8</v>
      </c>
      <c r="W1943" s="157">
        <f ca="1">ROUND(IF(R1943=0,0,IF(R1943=1,X1943*$W$1,IF(R1943=2,X1943*$W$1*buff的资质计算!$E$2,IF(R1943=3,X1943*$W$1*buff的资质计算!$E$3,0)))),2)</f>
        <v>6.3</v>
      </c>
      <c r="X1943" s="157">
        <f ca="1" t="shared" si="323"/>
        <v>21</v>
      </c>
      <c r="Y1943" s="157">
        <f ca="1" t="shared" si="331"/>
        <v>31</v>
      </c>
      <c r="Z1943" s="304">
        <f ca="1" t="shared" si="324"/>
        <v>15.5</v>
      </c>
      <c r="AA1943" s="304">
        <f ca="1">OFFSET(卡牌辅助配置表!$AD$1,MATCH(AB1943,卡牌辅助配置表!AB:AB,0)-1,0)</f>
        <v>252</v>
      </c>
      <c r="AB1943" s="304">
        <f ca="1" t="shared" si="329"/>
        <v>1207</v>
      </c>
      <c r="AC1943" s="153">
        <v>12</v>
      </c>
      <c r="AF1943" s="153" t="str">
        <f ca="1" t="shared" si="322"/>
        <v>30140011|</v>
      </c>
      <c r="AJ1943" s="205" t="str">
        <f ca="1" t="shared" si="330"/>
        <v>400023|2850|;</v>
      </c>
      <c r="AK1943" s="205">
        <f ca="1">OFFSET([1]item_type!$A$1,MATCH(Q1943,[1]item_type!$G:$G,0)-1,0)</f>
        <v>303014</v>
      </c>
      <c r="AL1943" s="205"/>
      <c r="AM1943" s="205">
        <f ca="1">IF(B1943=B1944,OFFSET(卡牌辅助配置表!$AE$1,MATCH(AB1943,卡牌辅助配置表!AB:AB,0),0),0)</f>
        <v>2850</v>
      </c>
      <c r="AN1943" s="153">
        <f ca="1" t="shared" si="325"/>
        <v>3014008</v>
      </c>
      <c r="AP1943" s="153">
        <f ca="1">IF(AC1943=0,0,IF(AC1943=12,0,OFFSET(effect!$N$1,MATCH(K1943,effect!M:M,0)-1,0)))</f>
        <v>0</v>
      </c>
    </row>
    <row r="1944" spans="1:42">
      <c r="A1944" s="153">
        <f ca="1" t="shared" si="326"/>
        <v>3014008</v>
      </c>
      <c r="B1944" s="91" t="s">
        <v>361</v>
      </c>
      <c r="C1944" s="186">
        <v>3</v>
      </c>
      <c r="D1944" s="186">
        <v>3</v>
      </c>
      <c r="E1944" s="165" t="s">
        <v>1069</v>
      </c>
      <c r="F1944" s="179" t="s">
        <v>1072</v>
      </c>
      <c r="G1944" s="186">
        <f ca="1">OFFSET(卡牌辅助配置表!$C$1,MATCH(AC1944,卡牌辅助配置表!A:A,0)-1,0)</f>
        <v>0</v>
      </c>
      <c r="H1944" s="186">
        <f ca="1">OFFSET(skill!$Q$1,MATCH(B1944,skill!B:B,0)-1,0)</f>
        <v>10</v>
      </c>
      <c r="I1944" s="186"/>
      <c r="J1944" s="186">
        <f ca="1">OFFSET(card_type!$F$1,MATCH(Q1944,card_type!A:A,0)-1,0)</f>
        <v>1</v>
      </c>
      <c r="K1944" s="243">
        <f ca="1">OFFSET(card_type!$G$1,MATCH(Q1944,card_type!A:A,0)-1,0)</f>
        <v>2</v>
      </c>
      <c r="L1944" s="157">
        <v>2</v>
      </c>
      <c r="M1944" s="157">
        <v>2</v>
      </c>
      <c r="N1944" s="153">
        <f t="shared" si="327"/>
        <v>8</v>
      </c>
      <c r="O1944" s="157"/>
      <c r="P1944" s="157"/>
      <c r="Q1944" s="153">
        <f ca="1">OFFSET(card_type!$A$1,MATCH(card!B1944,card_type!B:B,0)-1,0)</f>
        <v>3014</v>
      </c>
      <c r="R1944" s="153">
        <v>1</v>
      </c>
      <c r="S1944" s="157">
        <f ca="1">ROUND(IF(R1944=0,0,IF(R1944=1,X1944*$S$1,IF(R1944=2,X1944*$S$1*buff的资质计算!$E$2,IF(R1944=3,X1944*$S$1*buff的资质计算!$E$3,0)))),0)*0</f>
        <v>0</v>
      </c>
      <c r="T1944" s="153">
        <v>3</v>
      </c>
      <c r="U1944" s="153">
        <f ca="1" t="shared" si="328"/>
        <v>12</v>
      </c>
      <c r="V1944" s="153">
        <f ca="1">ROUND((OFFSET(卡牌辅助配置表!$O$1,MATCH(U1944,卡牌辅助配置表!M:M,0)-1,0)+(N1944-1)*OFFSET(卡牌辅助配置表!$P$1,MATCH(U1944,卡牌辅助配置表!M:M,0)-1,0))*M1944,2)</f>
        <v>23.43</v>
      </c>
      <c r="W1944" s="157">
        <f ca="1">ROUND(IF(R1944=0,0,IF(R1944=1,X1944*$W$1,IF(R1944=2,X1944*$W$1*buff的资质计算!$E$2,IF(R1944=3,X1944*$W$1*buff的资质计算!$E$3,0)))),2)</f>
        <v>6.45</v>
      </c>
      <c r="X1944" s="157">
        <f ca="1" t="shared" si="323"/>
        <v>21.5</v>
      </c>
      <c r="Y1944" s="157">
        <f ca="1" t="shared" si="331"/>
        <v>31.5</v>
      </c>
      <c r="Z1944" s="304">
        <f ca="1" t="shared" si="324"/>
        <v>15.75</v>
      </c>
      <c r="AA1944" s="304">
        <f ca="1">OFFSET(卡牌辅助配置表!$AD$1,MATCH(AB1944,卡牌辅助配置表!AB:AB,0)-1,0)</f>
        <v>288</v>
      </c>
      <c r="AB1944" s="304">
        <f ca="1" t="shared" si="329"/>
        <v>1208</v>
      </c>
      <c r="AC1944" s="153">
        <v>12</v>
      </c>
      <c r="AF1944" s="153" t="str">
        <f ca="1" t="shared" si="322"/>
        <v>30140011|</v>
      </c>
      <c r="AJ1944" s="205" t="str">
        <f ca="1" t="shared" si="330"/>
        <v>400023|3150|;</v>
      </c>
      <c r="AK1944" s="205">
        <f ca="1">OFFSET([1]item_type!$A$1,MATCH(Q1944,[1]item_type!$G:$G,0)-1,0)</f>
        <v>303014</v>
      </c>
      <c r="AL1944" s="205"/>
      <c r="AM1944" s="205">
        <f ca="1">IF(B1944=B1945,OFFSET(卡牌辅助配置表!$AE$1,MATCH(AB1944,卡牌辅助配置表!AB:AB,0),0),0)</f>
        <v>3150</v>
      </c>
      <c r="AN1944" s="153">
        <f ca="1" t="shared" si="325"/>
        <v>3014009</v>
      </c>
      <c r="AP1944" s="153">
        <f ca="1">IF(AC1944=0,0,IF(AC1944=12,0,OFFSET(effect!$N$1,MATCH(K1944,effect!M:M,0)-1,0)))</f>
        <v>0</v>
      </c>
    </row>
    <row r="1945" spans="1:42">
      <c r="A1945" s="153">
        <f ca="1" t="shared" si="326"/>
        <v>3014009</v>
      </c>
      <c r="B1945" s="91" t="s">
        <v>361</v>
      </c>
      <c r="C1945" s="186">
        <v>3</v>
      </c>
      <c r="D1945" s="186">
        <v>3</v>
      </c>
      <c r="E1945" s="165" t="s">
        <v>1069</v>
      </c>
      <c r="F1945" s="179" t="s">
        <v>1072</v>
      </c>
      <c r="G1945" s="186">
        <f ca="1">OFFSET(卡牌辅助配置表!$C$1,MATCH(AC1945,卡牌辅助配置表!A:A,0)-1,0)</f>
        <v>0</v>
      </c>
      <c r="H1945" s="186">
        <f ca="1">OFFSET(skill!$Q$1,MATCH(B1945,skill!B:B,0)-1,0)</f>
        <v>10</v>
      </c>
      <c r="I1945" s="186"/>
      <c r="J1945" s="186">
        <f ca="1">OFFSET(card_type!$F$1,MATCH(Q1945,card_type!A:A,0)-1,0)</f>
        <v>1</v>
      </c>
      <c r="K1945" s="243">
        <f ca="1">OFFSET(card_type!$G$1,MATCH(Q1945,card_type!A:A,0)-1,0)</f>
        <v>2</v>
      </c>
      <c r="L1945" s="157">
        <v>2</v>
      </c>
      <c r="M1945" s="157">
        <v>2</v>
      </c>
      <c r="N1945" s="153">
        <f t="shared" si="327"/>
        <v>9</v>
      </c>
      <c r="O1945" s="157"/>
      <c r="P1945" s="157"/>
      <c r="Q1945" s="153">
        <f ca="1">OFFSET(card_type!$A$1,MATCH(card!B1945,card_type!B:B,0)-1,0)</f>
        <v>3014</v>
      </c>
      <c r="R1945" s="153">
        <v>1</v>
      </c>
      <c r="S1945" s="157">
        <f ca="1">ROUND(IF(R1945=0,0,IF(R1945=1,X1945*$S$1,IF(R1945=2,X1945*$S$1*buff的资质计算!$E$2,IF(R1945=3,X1945*$S$1*buff的资质计算!$E$3,0)))),0)*0</f>
        <v>0</v>
      </c>
      <c r="T1945" s="153">
        <v>3</v>
      </c>
      <c r="U1945" s="153">
        <f ca="1" t="shared" si="328"/>
        <v>12</v>
      </c>
      <c r="V1945" s="153">
        <f ca="1">ROUND((OFFSET(卡牌辅助配置表!$O$1,MATCH(U1945,卡牌辅助配置表!M:M,0)-1,0)+(N1945-1)*OFFSET(卡牌辅助配置表!$P$1,MATCH(U1945,卡牌辅助配置表!M:M,0)-1,0))*M1945,2)</f>
        <v>24.07</v>
      </c>
      <c r="W1945" s="157">
        <f ca="1">ROUND(IF(R1945=0,0,IF(R1945=1,X1945*$W$1,IF(R1945=2,X1945*$W$1*buff的资质计算!$E$2,IF(R1945=3,X1945*$W$1*buff的资质计算!$E$3,0)))),2)</f>
        <v>6.6</v>
      </c>
      <c r="X1945" s="157">
        <f ca="1" t="shared" si="323"/>
        <v>22</v>
      </c>
      <c r="Y1945" s="157">
        <f ca="1" t="shared" si="331"/>
        <v>32</v>
      </c>
      <c r="Z1945" s="304">
        <f ca="1" t="shared" si="324"/>
        <v>16</v>
      </c>
      <c r="AA1945" s="304">
        <f ca="1">OFFSET(卡牌辅助配置表!$AD$1,MATCH(AB1945,卡牌辅助配置表!AB:AB,0)-1,0)</f>
        <v>324</v>
      </c>
      <c r="AB1945" s="304">
        <f ca="1" t="shared" si="329"/>
        <v>1209</v>
      </c>
      <c r="AC1945" s="153">
        <v>12</v>
      </c>
      <c r="AF1945" s="153" t="str">
        <f ca="1" t="shared" si="322"/>
        <v>30140011|</v>
      </c>
      <c r="AJ1945" s="205" t="str">
        <f ca="1" t="shared" si="330"/>
        <v>303014|15|;400023|3450|;</v>
      </c>
      <c r="AK1945" s="205">
        <f ca="1">OFFSET([1]item_type!$A$1,MATCH(Q1945,[1]item_type!$G:$G,0)-1,0)</f>
        <v>303014</v>
      </c>
      <c r="AL1945" s="205">
        <v>15</v>
      </c>
      <c r="AM1945" s="205">
        <f ca="1">IF(B1945=B1946,OFFSET(卡牌辅助配置表!$AE$1,MATCH(AB1945,卡牌辅助配置表!AB:AB,0),0),0)</f>
        <v>3450</v>
      </c>
      <c r="AN1945" s="153">
        <f ca="1" t="shared" si="325"/>
        <v>3014010</v>
      </c>
      <c r="AP1945" s="153">
        <f ca="1">IF(AC1945=0,0,IF(AC1945=12,0,OFFSET(effect!$N$1,MATCH(K1945,effect!M:M,0)-1,0)))</f>
        <v>0</v>
      </c>
    </row>
    <row r="1946" spans="1:42">
      <c r="A1946" s="153">
        <f ca="1" t="shared" si="326"/>
        <v>3014010</v>
      </c>
      <c r="B1946" s="91" t="s">
        <v>361</v>
      </c>
      <c r="C1946" s="186">
        <v>3</v>
      </c>
      <c r="D1946" s="186">
        <v>3</v>
      </c>
      <c r="E1946" s="165" t="s">
        <v>1069</v>
      </c>
      <c r="F1946" s="179" t="s">
        <v>1072</v>
      </c>
      <c r="G1946" s="186">
        <f ca="1">OFFSET(卡牌辅助配置表!$C$1,MATCH(AC1946,卡牌辅助配置表!A:A,0)-1,0)</f>
        <v>0</v>
      </c>
      <c r="H1946" s="186">
        <f ca="1">OFFSET(skill!$Q$1,MATCH(B1946,skill!B:B,0)-1,0)</f>
        <v>10</v>
      </c>
      <c r="I1946" s="186"/>
      <c r="J1946" s="186">
        <f ca="1">OFFSET(card_type!$F$1,MATCH(Q1946,card_type!A:A,0)-1,0)</f>
        <v>1</v>
      </c>
      <c r="K1946" s="243">
        <f ca="1">OFFSET(card_type!$G$1,MATCH(Q1946,card_type!A:A,0)-1,0)</f>
        <v>2</v>
      </c>
      <c r="L1946" s="157">
        <v>2</v>
      </c>
      <c r="M1946" s="157">
        <v>2</v>
      </c>
      <c r="N1946" s="153">
        <f t="shared" si="327"/>
        <v>10</v>
      </c>
      <c r="O1946" s="157"/>
      <c r="P1946" s="157"/>
      <c r="Q1946" s="153">
        <f ca="1">OFFSET(card_type!$A$1,MATCH(card!B1946,card_type!B:B,0)-1,0)</f>
        <v>3014</v>
      </c>
      <c r="R1946" s="153">
        <v>1</v>
      </c>
      <c r="S1946" s="157">
        <f ca="1">ROUND(IF(R1946=0,0,IF(R1946=1,X1946*$S$1,IF(R1946=2,X1946*$S$1*buff的资质计算!$E$2,IF(R1946=3,X1946*$S$1*buff的资质计算!$E$3,0)))),0)*0</f>
        <v>0</v>
      </c>
      <c r="T1946" s="153">
        <v>3</v>
      </c>
      <c r="U1946" s="153">
        <f ca="1" t="shared" si="328"/>
        <v>12</v>
      </c>
      <c r="V1946" s="153">
        <f ca="1">ROUND((OFFSET(卡牌辅助配置表!$O$1,MATCH(U1946,卡牌辅助配置表!M:M,0)-1,0)+(N1946-1)*OFFSET(卡牌辅助配置表!$P$1,MATCH(U1946,卡牌辅助配置表!M:M,0)-1,0))*M1946,2)</f>
        <v>24.7</v>
      </c>
      <c r="W1946" s="157">
        <f ca="1">ROUND(IF(R1946=0,0,IF(R1946=1,X1946*$W$1,IF(R1946=2,X1946*$W$1*buff的资质计算!$E$2,IF(R1946=3,X1946*$W$1*buff的资质计算!$E$3,0)))),2)</f>
        <v>6.75</v>
      </c>
      <c r="X1946" s="157">
        <f ca="1" t="shared" si="323"/>
        <v>22.5</v>
      </c>
      <c r="Y1946" s="157">
        <f ca="1" t="shared" si="331"/>
        <v>32.5</v>
      </c>
      <c r="Z1946" s="304">
        <f ca="1" t="shared" si="324"/>
        <v>16.25</v>
      </c>
      <c r="AA1946" s="304">
        <f ca="1">OFFSET(卡牌辅助配置表!$AD$1,MATCH(AB1946,卡牌辅助配置表!AB:AB,0)-1,0)</f>
        <v>360</v>
      </c>
      <c r="AB1946" s="304">
        <f ca="1" t="shared" si="329"/>
        <v>1210</v>
      </c>
      <c r="AC1946" s="153">
        <v>12</v>
      </c>
      <c r="AF1946" s="153" t="str">
        <f ca="1" t="shared" si="322"/>
        <v>30140011|</v>
      </c>
      <c r="AJ1946" s="205" t="str">
        <f ca="1" t="shared" si="330"/>
        <v>400023|4050|;</v>
      </c>
      <c r="AK1946" s="205">
        <f ca="1">OFFSET([1]item_type!$A$1,MATCH(Q1946,[1]item_type!$G:$G,0)-1,0)</f>
        <v>303014</v>
      </c>
      <c r="AL1946" s="205"/>
      <c r="AM1946" s="205">
        <f ca="1">IF(B1946=B1947,OFFSET(卡牌辅助配置表!$AE$1,MATCH(AB1946,卡牌辅助配置表!AB:AB,0),0),0)</f>
        <v>4050</v>
      </c>
      <c r="AN1946" s="153">
        <f ca="1" t="shared" si="325"/>
        <v>3014011</v>
      </c>
      <c r="AP1946" s="153">
        <f ca="1">IF(AC1946=0,0,IF(AC1946=12,0,OFFSET(effect!$N$1,MATCH(K1946,effect!M:M,0)-1,0)))</f>
        <v>0</v>
      </c>
    </row>
    <row r="1947" spans="1:42">
      <c r="A1947" s="153">
        <f ca="1" t="shared" si="326"/>
        <v>3014011</v>
      </c>
      <c r="B1947" s="91" t="s">
        <v>361</v>
      </c>
      <c r="C1947" s="186">
        <v>3</v>
      </c>
      <c r="D1947" s="186">
        <v>3</v>
      </c>
      <c r="E1947" s="165" t="s">
        <v>1069</v>
      </c>
      <c r="F1947" s="179" t="s">
        <v>1072</v>
      </c>
      <c r="G1947" s="186">
        <f ca="1">OFFSET(卡牌辅助配置表!$C$1,MATCH(AC1947,卡牌辅助配置表!A:A,0)-1,0)</f>
        <v>0</v>
      </c>
      <c r="H1947" s="186">
        <f ca="1">OFFSET(skill!$Q$1,MATCH(B1947,skill!B:B,0)-1,0)</f>
        <v>10</v>
      </c>
      <c r="I1947" s="186"/>
      <c r="J1947" s="186">
        <f ca="1">OFFSET(card_type!$F$1,MATCH(Q1947,card_type!A:A,0)-1,0)</f>
        <v>1</v>
      </c>
      <c r="K1947" s="243">
        <f ca="1">OFFSET(card_type!$G$1,MATCH(Q1947,card_type!A:A,0)-1,0)</f>
        <v>2</v>
      </c>
      <c r="L1947" s="157">
        <v>2</v>
      </c>
      <c r="M1947" s="157">
        <v>2</v>
      </c>
      <c r="N1947" s="153">
        <f t="shared" si="327"/>
        <v>11</v>
      </c>
      <c r="O1947" s="157"/>
      <c r="P1947" s="157"/>
      <c r="Q1947" s="153">
        <f ca="1">OFFSET(card_type!$A$1,MATCH(card!B1947,card_type!B:B,0)-1,0)</f>
        <v>3014</v>
      </c>
      <c r="R1947" s="153">
        <v>1</v>
      </c>
      <c r="S1947" s="157">
        <f ca="1">ROUND(IF(R1947=0,0,IF(R1947=1,X1947*$S$1,IF(R1947=2,X1947*$S$1*buff的资质计算!$E$2,IF(R1947=3,X1947*$S$1*buff的资质计算!$E$3,0)))),0)*0</f>
        <v>0</v>
      </c>
      <c r="T1947" s="153">
        <v>3</v>
      </c>
      <c r="U1947" s="153">
        <f ca="1" t="shared" si="328"/>
        <v>12</v>
      </c>
      <c r="V1947" s="153">
        <f ca="1">ROUND((OFFSET(卡牌辅助配置表!$O$1,MATCH(U1947,卡牌辅助配置表!M:M,0)-1,0)+(N1947-1)*OFFSET(卡牌辅助配置表!$P$1,MATCH(U1947,卡牌辅助配置表!M:M,0)-1,0))*M1947,2)</f>
        <v>25.33</v>
      </c>
      <c r="W1947" s="157">
        <f ca="1">ROUND(IF(R1947=0,0,IF(R1947=1,X1947*$W$1,IF(R1947=2,X1947*$W$1*buff的资质计算!$E$2,IF(R1947=3,X1947*$W$1*buff的资质计算!$E$3,0)))),2)</f>
        <v>6.9</v>
      </c>
      <c r="X1947" s="157">
        <f ca="1" t="shared" si="323"/>
        <v>23</v>
      </c>
      <c r="Y1947" s="157">
        <f ca="1" t="shared" si="331"/>
        <v>33</v>
      </c>
      <c r="Z1947" s="304">
        <f ca="1" t="shared" si="324"/>
        <v>16.5</v>
      </c>
      <c r="AA1947" s="304">
        <f ca="1">OFFSET(卡牌辅助配置表!$AD$1,MATCH(AB1947,卡牌辅助配置表!AB:AB,0)-1,0)</f>
        <v>415</v>
      </c>
      <c r="AB1947" s="304">
        <f ca="1" t="shared" si="329"/>
        <v>1211</v>
      </c>
      <c r="AC1947" s="153">
        <v>12</v>
      </c>
      <c r="AF1947" s="153" t="str">
        <f ca="1" t="shared" si="322"/>
        <v>30140011|</v>
      </c>
      <c r="AJ1947" s="205" t="str">
        <f ca="1" t="shared" si="330"/>
        <v>400023|4650|;</v>
      </c>
      <c r="AK1947" s="205">
        <f ca="1">OFFSET([1]item_type!$A$1,MATCH(Q1947,[1]item_type!$G:$G,0)-1,0)</f>
        <v>303014</v>
      </c>
      <c r="AL1947" s="205"/>
      <c r="AM1947" s="205">
        <f ca="1">IF(B1947=B1948,OFFSET(卡牌辅助配置表!$AE$1,MATCH(AB1947,卡牌辅助配置表!AB:AB,0),0),0)</f>
        <v>4650</v>
      </c>
      <c r="AN1947" s="153">
        <f ca="1" t="shared" si="325"/>
        <v>3014012</v>
      </c>
      <c r="AP1947" s="153">
        <f ca="1">IF(AC1947=0,0,IF(AC1947=12,0,OFFSET(effect!$N$1,MATCH(K1947,effect!M:M,0)-1,0)))</f>
        <v>0</v>
      </c>
    </row>
    <row r="1948" spans="1:42">
      <c r="A1948" s="153">
        <f ca="1" t="shared" si="326"/>
        <v>3014012</v>
      </c>
      <c r="B1948" s="91" t="s">
        <v>361</v>
      </c>
      <c r="C1948" s="186">
        <v>3</v>
      </c>
      <c r="D1948" s="186">
        <v>3</v>
      </c>
      <c r="E1948" s="165" t="s">
        <v>1069</v>
      </c>
      <c r="F1948" s="179" t="s">
        <v>1072</v>
      </c>
      <c r="G1948" s="186">
        <f ca="1">OFFSET(卡牌辅助配置表!$C$1,MATCH(AC1948,卡牌辅助配置表!A:A,0)-1,0)</f>
        <v>0</v>
      </c>
      <c r="H1948" s="186">
        <f ca="1">OFFSET(skill!$Q$1,MATCH(B1948,skill!B:B,0)-1,0)</f>
        <v>10</v>
      </c>
      <c r="I1948" s="186"/>
      <c r="J1948" s="186">
        <f ca="1">OFFSET(card_type!$F$1,MATCH(Q1948,card_type!A:A,0)-1,0)</f>
        <v>1</v>
      </c>
      <c r="K1948" s="243">
        <f ca="1">OFFSET(card_type!$G$1,MATCH(Q1948,card_type!A:A,0)-1,0)</f>
        <v>2</v>
      </c>
      <c r="L1948" s="157">
        <v>2</v>
      </c>
      <c r="M1948" s="157">
        <v>2</v>
      </c>
      <c r="N1948" s="153">
        <f t="shared" si="327"/>
        <v>12</v>
      </c>
      <c r="O1948" s="157"/>
      <c r="P1948" s="157"/>
      <c r="Q1948" s="153">
        <f ca="1">OFFSET(card_type!$A$1,MATCH(card!B1948,card_type!B:B,0)-1,0)</f>
        <v>3014</v>
      </c>
      <c r="R1948" s="153">
        <v>1</v>
      </c>
      <c r="S1948" s="157">
        <f ca="1">ROUND(IF(R1948=0,0,IF(R1948=1,X1948*$S$1,IF(R1948=2,X1948*$S$1*buff的资质计算!$E$2,IF(R1948=3,X1948*$S$1*buff的资质计算!$E$3,0)))),0)*0</f>
        <v>0</v>
      </c>
      <c r="T1948" s="153">
        <v>3</v>
      </c>
      <c r="U1948" s="153">
        <f ca="1" t="shared" si="328"/>
        <v>12</v>
      </c>
      <c r="V1948" s="153">
        <f ca="1">ROUND((OFFSET(卡牌辅助配置表!$O$1,MATCH(U1948,卡牌辅助配置表!M:M,0)-1,0)+(N1948-1)*OFFSET(卡牌辅助配置表!$P$1,MATCH(U1948,卡牌辅助配置表!M:M,0)-1,0))*M1948,2)</f>
        <v>25.97</v>
      </c>
      <c r="W1948" s="157">
        <f ca="1">ROUND(IF(R1948=0,0,IF(R1948=1,X1948*$W$1,IF(R1948=2,X1948*$W$1*buff的资质计算!$E$2,IF(R1948=3,X1948*$W$1*buff的资质计算!$E$3,0)))),2)</f>
        <v>7.05</v>
      </c>
      <c r="X1948" s="157">
        <f ca="1" t="shared" si="323"/>
        <v>23.5</v>
      </c>
      <c r="Y1948" s="157">
        <f ca="1" t="shared" si="331"/>
        <v>33.5</v>
      </c>
      <c r="Z1948" s="304">
        <f ca="1" t="shared" si="324"/>
        <v>16.75</v>
      </c>
      <c r="AA1948" s="304">
        <f ca="1">OFFSET(卡牌辅助配置表!$AD$1,MATCH(AB1948,卡牌辅助配置表!AB:AB,0)-1,0)</f>
        <v>470</v>
      </c>
      <c r="AB1948" s="304">
        <f ca="1" t="shared" si="329"/>
        <v>1212</v>
      </c>
      <c r="AC1948" s="153">
        <v>12</v>
      </c>
      <c r="AF1948" s="153" t="str">
        <f ca="1" t="shared" si="322"/>
        <v>30140011|</v>
      </c>
      <c r="AJ1948" s="205" t="str">
        <f ca="1" t="shared" si="330"/>
        <v>400023|5250|;</v>
      </c>
      <c r="AK1948" s="205">
        <f ca="1">OFFSET([1]item_type!$A$1,MATCH(Q1948,[1]item_type!$G:$G,0)-1,0)</f>
        <v>303014</v>
      </c>
      <c r="AL1948" s="205"/>
      <c r="AM1948" s="205">
        <f ca="1">IF(B1948=B1949,OFFSET(卡牌辅助配置表!$AE$1,MATCH(AB1948,卡牌辅助配置表!AB:AB,0),0),0)</f>
        <v>5250</v>
      </c>
      <c r="AN1948" s="153">
        <f ca="1" t="shared" si="325"/>
        <v>3014013</v>
      </c>
      <c r="AP1948" s="153">
        <f ca="1">IF(AC1948=0,0,IF(AC1948=12,0,OFFSET(effect!$N$1,MATCH(K1948,effect!M:M,0)-1,0)))</f>
        <v>0</v>
      </c>
    </row>
    <row r="1949" spans="1:42">
      <c r="A1949" s="153">
        <f ca="1" t="shared" si="326"/>
        <v>3014013</v>
      </c>
      <c r="B1949" s="91" t="s">
        <v>361</v>
      </c>
      <c r="C1949" s="186">
        <v>3</v>
      </c>
      <c r="D1949" s="186">
        <v>3</v>
      </c>
      <c r="E1949" s="165" t="s">
        <v>1069</v>
      </c>
      <c r="F1949" s="179" t="s">
        <v>1072</v>
      </c>
      <c r="G1949" s="186">
        <f ca="1">OFFSET(卡牌辅助配置表!$C$1,MATCH(AC1949,卡牌辅助配置表!A:A,0)-1,0)</f>
        <v>0</v>
      </c>
      <c r="H1949" s="186">
        <f ca="1">OFFSET(skill!$Q$1,MATCH(B1949,skill!B:B,0)-1,0)</f>
        <v>10</v>
      </c>
      <c r="I1949" s="186"/>
      <c r="J1949" s="186">
        <f ca="1">OFFSET(card_type!$F$1,MATCH(Q1949,card_type!A:A,0)-1,0)</f>
        <v>1</v>
      </c>
      <c r="K1949" s="243">
        <f ca="1">OFFSET(card_type!$G$1,MATCH(Q1949,card_type!A:A,0)-1,0)</f>
        <v>2</v>
      </c>
      <c r="L1949" s="157">
        <v>2</v>
      </c>
      <c r="M1949" s="157">
        <v>2</v>
      </c>
      <c r="N1949" s="153">
        <f t="shared" si="327"/>
        <v>13</v>
      </c>
      <c r="O1949" s="157"/>
      <c r="P1949" s="157"/>
      <c r="Q1949" s="153">
        <f ca="1">OFFSET(card_type!$A$1,MATCH(card!B1949,card_type!B:B,0)-1,0)</f>
        <v>3014</v>
      </c>
      <c r="R1949" s="153">
        <v>1</v>
      </c>
      <c r="S1949" s="157">
        <f ca="1">ROUND(IF(R1949=0,0,IF(R1949=1,X1949*$S$1,IF(R1949=2,X1949*$S$1*buff的资质计算!$E$2,IF(R1949=3,X1949*$S$1*buff的资质计算!$E$3,0)))),0)*0</f>
        <v>0</v>
      </c>
      <c r="T1949" s="153">
        <v>3</v>
      </c>
      <c r="U1949" s="153">
        <f ca="1" t="shared" si="328"/>
        <v>12</v>
      </c>
      <c r="V1949" s="153">
        <f ca="1">ROUND((OFFSET(卡牌辅助配置表!$O$1,MATCH(U1949,卡牌辅助配置表!M:M,0)-1,0)+(N1949-1)*OFFSET(卡牌辅助配置表!$P$1,MATCH(U1949,卡牌辅助配置表!M:M,0)-1,0))*M1949,2)</f>
        <v>26.6</v>
      </c>
      <c r="W1949" s="157">
        <f ca="1">ROUND(IF(R1949=0,0,IF(R1949=1,X1949*$W$1,IF(R1949=2,X1949*$W$1*buff的资质计算!$E$2,IF(R1949=3,X1949*$W$1*buff的资质计算!$E$3,0)))),2)</f>
        <v>7.2</v>
      </c>
      <c r="X1949" s="157">
        <f ca="1" t="shared" si="323"/>
        <v>24</v>
      </c>
      <c r="Y1949" s="157">
        <f ca="1" t="shared" si="331"/>
        <v>34</v>
      </c>
      <c r="Z1949" s="304">
        <f ca="1" t="shared" si="324"/>
        <v>17</v>
      </c>
      <c r="AA1949" s="304">
        <f ca="1">OFFSET(卡牌辅助配置表!$AD$1,MATCH(AB1949,卡牌辅助配置表!AB:AB,0)-1,0)</f>
        <v>525</v>
      </c>
      <c r="AB1949" s="304">
        <f ca="1" t="shared" si="329"/>
        <v>1213</v>
      </c>
      <c r="AC1949" s="153">
        <v>12</v>
      </c>
      <c r="AF1949" s="153" t="str">
        <f ca="1" t="shared" si="322"/>
        <v>30140011|</v>
      </c>
      <c r="AJ1949" s="205" t="str">
        <f ca="1" t="shared" si="330"/>
        <v>400023|5850|;</v>
      </c>
      <c r="AK1949" s="205">
        <f ca="1">OFFSET([1]item_type!$A$1,MATCH(Q1949,[1]item_type!$G:$G,0)-1,0)</f>
        <v>303014</v>
      </c>
      <c r="AL1949" s="205"/>
      <c r="AM1949" s="205">
        <f ca="1">IF(B1949=B1950,OFFSET(卡牌辅助配置表!$AE$1,MATCH(AB1949,卡牌辅助配置表!AB:AB,0),0),0)</f>
        <v>5850</v>
      </c>
      <c r="AN1949" s="153">
        <f ca="1" t="shared" si="325"/>
        <v>3014014</v>
      </c>
      <c r="AP1949" s="153">
        <f ca="1">IF(AC1949=0,0,IF(AC1949=12,0,OFFSET(effect!$N$1,MATCH(K1949,effect!M:M,0)-1,0)))</f>
        <v>0</v>
      </c>
    </row>
    <row r="1950" spans="1:42">
      <c r="A1950" s="153">
        <f ca="1" t="shared" si="326"/>
        <v>3014014</v>
      </c>
      <c r="B1950" s="91" t="s">
        <v>361</v>
      </c>
      <c r="C1950" s="186">
        <v>3</v>
      </c>
      <c r="D1950" s="186">
        <v>3</v>
      </c>
      <c r="E1950" s="165" t="s">
        <v>1069</v>
      </c>
      <c r="F1950" s="179" t="s">
        <v>1072</v>
      </c>
      <c r="G1950" s="186">
        <f ca="1">OFFSET(卡牌辅助配置表!$C$1,MATCH(AC1950,卡牌辅助配置表!A:A,0)-1,0)</f>
        <v>0</v>
      </c>
      <c r="H1950" s="186">
        <f ca="1">OFFSET(skill!$Q$1,MATCH(B1950,skill!B:B,0)-1,0)</f>
        <v>10</v>
      </c>
      <c r="I1950" s="186"/>
      <c r="J1950" s="186">
        <f ca="1">OFFSET(card_type!$F$1,MATCH(Q1950,card_type!A:A,0)-1,0)</f>
        <v>1</v>
      </c>
      <c r="K1950" s="243">
        <f ca="1">OFFSET(card_type!$G$1,MATCH(Q1950,card_type!A:A,0)-1,0)</f>
        <v>2</v>
      </c>
      <c r="L1950" s="157">
        <v>2</v>
      </c>
      <c r="M1950" s="157">
        <v>2</v>
      </c>
      <c r="N1950" s="153">
        <f t="shared" si="327"/>
        <v>14</v>
      </c>
      <c r="O1950" s="157"/>
      <c r="P1950" s="157"/>
      <c r="Q1950" s="153">
        <f ca="1">OFFSET(card_type!$A$1,MATCH(card!B1950,card_type!B:B,0)-1,0)</f>
        <v>3014</v>
      </c>
      <c r="R1950" s="153">
        <v>1</v>
      </c>
      <c r="S1950" s="157">
        <f ca="1">ROUND(IF(R1950=0,0,IF(R1950=1,X1950*$S$1,IF(R1950=2,X1950*$S$1*buff的资质计算!$E$2,IF(R1950=3,X1950*$S$1*buff的资质计算!$E$3,0)))),0)*0</f>
        <v>0</v>
      </c>
      <c r="T1950" s="153">
        <v>3</v>
      </c>
      <c r="U1950" s="153">
        <f ca="1" t="shared" si="328"/>
        <v>12</v>
      </c>
      <c r="V1950" s="153">
        <f ca="1">ROUND((OFFSET(卡牌辅助配置表!$O$1,MATCH(U1950,卡牌辅助配置表!M:M,0)-1,0)+(N1950-1)*OFFSET(卡牌辅助配置表!$P$1,MATCH(U1950,卡牌辅助配置表!M:M,0)-1,0))*M1950,2)</f>
        <v>27.23</v>
      </c>
      <c r="W1950" s="157">
        <f ca="1">ROUND(IF(R1950=0,0,IF(R1950=1,X1950*$W$1,IF(R1950=2,X1950*$W$1*buff的资质计算!$E$2,IF(R1950=3,X1950*$W$1*buff的资质计算!$E$3,0)))),2)</f>
        <v>7.35</v>
      </c>
      <c r="X1950" s="157">
        <f ca="1" t="shared" si="323"/>
        <v>24.5</v>
      </c>
      <c r="Y1950" s="157">
        <f ca="1" t="shared" si="331"/>
        <v>34.5</v>
      </c>
      <c r="Z1950" s="304">
        <f ca="1" t="shared" si="324"/>
        <v>17.25</v>
      </c>
      <c r="AA1950" s="304">
        <f ca="1">OFFSET(卡牌辅助配置表!$AD$1,MATCH(AB1950,卡牌辅助配置表!AB:AB,0)-1,0)</f>
        <v>580</v>
      </c>
      <c r="AB1950" s="304">
        <f ca="1" t="shared" si="329"/>
        <v>1214</v>
      </c>
      <c r="AC1950" s="153">
        <v>12</v>
      </c>
      <c r="AF1950" s="153" t="str">
        <f ca="1" t="shared" si="322"/>
        <v>30140011|</v>
      </c>
      <c r="AJ1950" s="205" t="str">
        <f ca="1" t="shared" si="330"/>
        <v>400023|6450|;</v>
      </c>
      <c r="AK1950" s="205">
        <f ca="1">OFFSET([1]item_type!$A$1,MATCH(Q1950,[1]item_type!$G:$G,0)-1,0)</f>
        <v>303014</v>
      </c>
      <c r="AL1950" s="205"/>
      <c r="AM1950" s="205">
        <f ca="1">IF(B1950=B1951,OFFSET(卡牌辅助配置表!$AE$1,MATCH(AB1950,卡牌辅助配置表!AB:AB,0),0),0)</f>
        <v>6450</v>
      </c>
      <c r="AN1950" s="153">
        <f ca="1" t="shared" si="325"/>
        <v>3014015</v>
      </c>
      <c r="AP1950" s="153">
        <f ca="1">IF(AC1950=0,0,IF(AC1950=12,0,OFFSET(effect!$N$1,MATCH(K1950,effect!M:M,0)-1,0)))</f>
        <v>0</v>
      </c>
    </row>
    <row r="1951" spans="1:42">
      <c r="A1951" s="153">
        <f ca="1" t="shared" si="326"/>
        <v>3014015</v>
      </c>
      <c r="B1951" s="91" t="s">
        <v>361</v>
      </c>
      <c r="C1951" s="186">
        <v>3</v>
      </c>
      <c r="D1951" s="186">
        <v>3</v>
      </c>
      <c r="E1951" s="165" t="s">
        <v>1069</v>
      </c>
      <c r="F1951" s="179" t="s">
        <v>1072</v>
      </c>
      <c r="G1951" s="186">
        <f ca="1">OFFSET(卡牌辅助配置表!$C$1,MATCH(AC1951,卡牌辅助配置表!A:A,0)-1,0)</f>
        <v>0</v>
      </c>
      <c r="H1951" s="186">
        <f ca="1">OFFSET(skill!$Q$1,MATCH(B1951,skill!B:B,0)-1,0)</f>
        <v>10</v>
      </c>
      <c r="I1951" s="186"/>
      <c r="J1951" s="186">
        <f ca="1">OFFSET(card_type!$F$1,MATCH(Q1951,card_type!A:A,0)-1,0)</f>
        <v>1</v>
      </c>
      <c r="K1951" s="243">
        <f ca="1">OFFSET(card_type!$G$1,MATCH(Q1951,card_type!A:A,0)-1,0)</f>
        <v>2</v>
      </c>
      <c r="L1951" s="157">
        <v>2</v>
      </c>
      <c r="M1951" s="157">
        <v>2</v>
      </c>
      <c r="N1951" s="153">
        <f t="shared" si="327"/>
        <v>15</v>
      </c>
      <c r="O1951" s="157"/>
      <c r="P1951" s="157"/>
      <c r="Q1951" s="153">
        <f ca="1">OFFSET(card_type!$A$1,MATCH(card!B1951,card_type!B:B,0)-1,0)</f>
        <v>3014</v>
      </c>
      <c r="R1951" s="153">
        <v>1</v>
      </c>
      <c r="S1951" s="157">
        <f ca="1">ROUND(IF(R1951=0,0,IF(R1951=1,X1951*$S$1,IF(R1951=2,X1951*$S$1*buff的资质计算!$E$2,IF(R1951=3,X1951*$S$1*buff的资质计算!$E$3,0)))),0)*0</f>
        <v>0</v>
      </c>
      <c r="T1951" s="153">
        <v>3</v>
      </c>
      <c r="U1951" s="153">
        <f ca="1" t="shared" si="328"/>
        <v>12</v>
      </c>
      <c r="V1951" s="153">
        <f ca="1">ROUND((OFFSET(卡牌辅助配置表!$O$1,MATCH(U1951,卡牌辅助配置表!M:M,0)-1,0)+(N1951-1)*OFFSET(卡牌辅助配置表!$P$1,MATCH(U1951,卡牌辅助配置表!M:M,0)-1,0))*M1951,2)</f>
        <v>27.87</v>
      </c>
      <c r="W1951" s="157">
        <f ca="1">ROUND(IF(R1951=0,0,IF(R1951=1,X1951*$W$1,IF(R1951=2,X1951*$W$1*buff的资质计算!$E$2,IF(R1951=3,X1951*$W$1*buff的资质计算!$E$3,0)))),2)</f>
        <v>7.5</v>
      </c>
      <c r="X1951" s="157">
        <f ca="1" t="shared" si="323"/>
        <v>25</v>
      </c>
      <c r="Y1951" s="157">
        <f ca="1" t="shared" si="331"/>
        <v>35</v>
      </c>
      <c r="Z1951" s="304">
        <f ca="1" t="shared" si="324"/>
        <v>17.5</v>
      </c>
      <c r="AA1951" s="304">
        <f ca="1">OFFSET(卡牌辅助配置表!$AD$1,MATCH(AB1951,卡牌辅助配置表!AB:AB,0)-1,0)</f>
        <v>635</v>
      </c>
      <c r="AB1951" s="304">
        <f ca="1" t="shared" si="329"/>
        <v>1215</v>
      </c>
      <c r="AC1951" s="153">
        <v>12</v>
      </c>
      <c r="AF1951" s="153" t="str">
        <f ca="1" t="shared" si="322"/>
        <v>30140011|</v>
      </c>
      <c r="AJ1951" s="205" t="str">
        <f ca="1" t="shared" si="330"/>
        <v>400023|7050|;</v>
      </c>
      <c r="AK1951" s="205">
        <f ca="1">OFFSET([1]item_type!$A$1,MATCH(Q1951,[1]item_type!$G:$G,0)-1,0)</f>
        <v>303014</v>
      </c>
      <c r="AL1951" s="205"/>
      <c r="AM1951" s="205">
        <f ca="1">IF(B1951=B1952,OFFSET(卡牌辅助配置表!$AE$1,MATCH(AB1951,卡牌辅助配置表!AB:AB,0),0),0)</f>
        <v>7050</v>
      </c>
      <c r="AN1951" s="153">
        <f ca="1" t="shared" si="325"/>
        <v>3014016</v>
      </c>
      <c r="AP1951" s="153">
        <f ca="1">IF(AC1951=0,0,IF(AC1951=12,0,OFFSET(effect!$N$1,MATCH(K1951,effect!M:M,0)-1,0)))</f>
        <v>0</v>
      </c>
    </row>
    <row r="1952" spans="1:42">
      <c r="A1952" s="153">
        <f ca="1" t="shared" si="326"/>
        <v>3014016</v>
      </c>
      <c r="B1952" s="91" t="s">
        <v>361</v>
      </c>
      <c r="C1952" s="186">
        <v>3</v>
      </c>
      <c r="D1952" s="186">
        <v>3</v>
      </c>
      <c r="E1952" s="165" t="s">
        <v>1069</v>
      </c>
      <c r="F1952" s="179" t="s">
        <v>1072</v>
      </c>
      <c r="G1952" s="186">
        <f ca="1">OFFSET(卡牌辅助配置表!$C$1,MATCH(AC1952,卡牌辅助配置表!A:A,0)-1,0)</f>
        <v>0</v>
      </c>
      <c r="H1952" s="186">
        <f ca="1">OFFSET(skill!$Q$1,MATCH(B1952,skill!B:B,0)-1,0)</f>
        <v>10</v>
      </c>
      <c r="I1952" s="186"/>
      <c r="J1952" s="186">
        <f ca="1">OFFSET(card_type!$F$1,MATCH(Q1952,card_type!A:A,0)-1,0)</f>
        <v>1</v>
      </c>
      <c r="K1952" s="243">
        <f ca="1">OFFSET(card_type!$G$1,MATCH(Q1952,card_type!A:A,0)-1,0)</f>
        <v>2</v>
      </c>
      <c r="L1952" s="157">
        <v>2</v>
      </c>
      <c r="M1952" s="157">
        <v>2</v>
      </c>
      <c r="N1952" s="153">
        <f t="shared" si="327"/>
        <v>16</v>
      </c>
      <c r="O1952" s="157"/>
      <c r="P1952" s="157"/>
      <c r="Q1952" s="153">
        <f ca="1">OFFSET(card_type!$A$1,MATCH(card!B1952,card_type!B:B,0)-1,0)</f>
        <v>3014</v>
      </c>
      <c r="R1952" s="153">
        <v>1</v>
      </c>
      <c r="S1952" s="157">
        <f ca="1">ROUND(IF(R1952=0,0,IF(R1952=1,X1952*$S$1,IF(R1952=2,X1952*$S$1*buff的资质计算!$E$2,IF(R1952=3,X1952*$S$1*buff的资质计算!$E$3,0)))),0)*0</f>
        <v>0</v>
      </c>
      <c r="T1952" s="153">
        <v>3</v>
      </c>
      <c r="U1952" s="153">
        <f ca="1" t="shared" si="328"/>
        <v>12</v>
      </c>
      <c r="V1952" s="153">
        <f ca="1">ROUND((OFFSET(卡牌辅助配置表!$O$1,MATCH(U1952,卡牌辅助配置表!M:M,0)-1,0)+(N1952-1)*OFFSET(卡牌辅助配置表!$P$1,MATCH(U1952,卡牌辅助配置表!M:M,0)-1,0))*M1952,2)</f>
        <v>28.5</v>
      </c>
      <c r="W1952" s="157">
        <f ca="1">ROUND(IF(R1952=0,0,IF(R1952=1,X1952*$W$1,IF(R1952=2,X1952*$W$1*buff的资质计算!$E$2,IF(R1952=3,X1952*$W$1*buff的资质计算!$E$3,0)))),2)</f>
        <v>7.65</v>
      </c>
      <c r="X1952" s="157">
        <f ca="1" t="shared" si="323"/>
        <v>25.5</v>
      </c>
      <c r="Y1952" s="157">
        <f ca="1" t="shared" si="331"/>
        <v>35.5</v>
      </c>
      <c r="Z1952" s="304">
        <f ca="1" t="shared" si="324"/>
        <v>17.75</v>
      </c>
      <c r="AA1952" s="304">
        <f ca="1">OFFSET(卡牌辅助配置表!$AD$1,MATCH(AB1952,卡牌辅助配置表!AB:AB,0)-1,0)</f>
        <v>690</v>
      </c>
      <c r="AB1952" s="304">
        <f ca="1" t="shared" si="329"/>
        <v>1216</v>
      </c>
      <c r="AC1952" s="153">
        <v>12</v>
      </c>
      <c r="AF1952" s="153" t="str">
        <f ca="1" t="shared" si="322"/>
        <v>30140011|</v>
      </c>
      <c r="AJ1952" s="205" t="str">
        <f ca="1" t="shared" si="330"/>
        <v>400023|7650|;</v>
      </c>
      <c r="AK1952" s="205">
        <f ca="1">OFFSET([1]item_type!$A$1,MATCH(Q1952,[1]item_type!$G:$G,0)-1,0)</f>
        <v>303014</v>
      </c>
      <c r="AL1952" s="205"/>
      <c r="AM1952" s="205">
        <f ca="1">IF(B1952=B1953,OFFSET(卡牌辅助配置表!$AE$1,MATCH(AB1952,卡牌辅助配置表!AB:AB,0),0),0)</f>
        <v>7650</v>
      </c>
      <c r="AN1952" s="153">
        <f ca="1" t="shared" si="325"/>
        <v>3014017</v>
      </c>
      <c r="AP1952" s="153">
        <f ca="1">IF(AC1952=0,0,IF(AC1952=12,0,OFFSET(effect!$N$1,MATCH(K1952,effect!M:M,0)-1,0)))</f>
        <v>0</v>
      </c>
    </row>
    <row r="1953" spans="1:42">
      <c r="A1953" s="153">
        <f ca="1" t="shared" si="326"/>
        <v>3014017</v>
      </c>
      <c r="B1953" s="91" t="s">
        <v>361</v>
      </c>
      <c r="C1953" s="186">
        <v>3</v>
      </c>
      <c r="D1953" s="186">
        <v>3</v>
      </c>
      <c r="E1953" s="165" t="s">
        <v>1069</v>
      </c>
      <c r="F1953" s="179" t="s">
        <v>1072</v>
      </c>
      <c r="G1953" s="186">
        <f ca="1">OFFSET(卡牌辅助配置表!$C$1,MATCH(AC1953,卡牌辅助配置表!A:A,0)-1,0)</f>
        <v>0</v>
      </c>
      <c r="H1953" s="186">
        <f ca="1">OFFSET(skill!$Q$1,MATCH(B1953,skill!B:B,0)-1,0)</f>
        <v>10</v>
      </c>
      <c r="I1953" s="186"/>
      <c r="J1953" s="186">
        <f ca="1">OFFSET(card_type!$F$1,MATCH(Q1953,card_type!A:A,0)-1,0)</f>
        <v>1</v>
      </c>
      <c r="K1953" s="243">
        <f ca="1">OFFSET(card_type!$G$1,MATCH(Q1953,card_type!A:A,0)-1,0)</f>
        <v>2</v>
      </c>
      <c r="L1953" s="157">
        <v>2</v>
      </c>
      <c r="M1953" s="157">
        <v>2</v>
      </c>
      <c r="N1953" s="153">
        <f t="shared" si="327"/>
        <v>17</v>
      </c>
      <c r="O1953" s="157"/>
      <c r="P1953" s="157"/>
      <c r="Q1953" s="153">
        <f ca="1">OFFSET(card_type!$A$1,MATCH(card!B1953,card_type!B:B,0)-1,0)</f>
        <v>3014</v>
      </c>
      <c r="R1953" s="153">
        <v>1</v>
      </c>
      <c r="S1953" s="157">
        <f ca="1">ROUND(IF(R1953=0,0,IF(R1953=1,X1953*$S$1,IF(R1953=2,X1953*$S$1*buff的资质计算!$E$2,IF(R1953=3,X1953*$S$1*buff的资质计算!$E$3,0)))),0)*0</f>
        <v>0</v>
      </c>
      <c r="T1953" s="153">
        <v>3</v>
      </c>
      <c r="U1953" s="153">
        <f ca="1" t="shared" si="328"/>
        <v>12</v>
      </c>
      <c r="V1953" s="153">
        <f ca="1">ROUND((OFFSET(卡牌辅助配置表!$O$1,MATCH(U1953,卡牌辅助配置表!M:M,0)-1,0)+(N1953-1)*OFFSET(卡牌辅助配置表!$P$1,MATCH(U1953,卡牌辅助配置表!M:M,0)-1,0))*M1953,2)</f>
        <v>29.13</v>
      </c>
      <c r="W1953" s="157">
        <f ca="1">ROUND(IF(R1953=0,0,IF(R1953=1,X1953*$W$1,IF(R1953=2,X1953*$W$1*buff的资质计算!$E$2,IF(R1953=3,X1953*$W$1*buff的资质计算!$E$3,0)))),2)</f>
        <v>7.8</v>
      </c>
      <c r="X1953" s="157">
        <f ca="1" t="shared" si="323"/>
        <v>26</v>
      </c>
      <c r="Y1953" s="157">
        <f ca="1" t="shared" si="331"/>
        <v>36</v>
      </c>
      <c r="Z1953" s="304">
        <f ca="1" t="shared" si="324"/>
        <v>18</v>
      </c>
      <c r="AA1953" s="304">
        <f ca="1">OFFSET(卡牌辅助配置表!$AD$1,MATCH(AB1953,卡牌辅助配置表!AB:AB,0)-1,0)</f>
        <v>745</v>
      </c>
      <c r="AB1953" s="304">
        <f ca="1" t="shared" si="329"/>
        <v>1217</v>
      </c>
      <c r="AC1953" s="153">
        <v>12</v>
      </c>
      <c r="AF1953" s="153" t="str">
        <f ca="1" t="shared" si="322"/>
        <v>30140011|</v>
      </c>
      <c r="AJ1953" s="205" t="str">
        <f ca="1" t="shared" si="330"/>
        <v>400023|8250|;</v>
      </c>
      <c r="AK1953" s="205">
        <f ca="1">OFFSET([1]item_type!$A$1,MATCH(Q1953,[1]item_type!$G:$G,0)-1,0)</f>
        <v>303014</v>
      </c>
      <c r="AL1953" s="205"/>
      <c r="AM1953" s="205">
        <f ca="1">IF(B1953=B1954,OFFSET(卡牌辅助配置表!$AE$1,MATCH(AB1953,卡牌辅助配置表!AB:AB,0),0),0)</f>
        <v>8250</v>
      </c>
      <c r="AN1953" s="153">
        <f ca="1" t="shared" si="325"/>
        <v>3014018</v>
      </c>
      <c r="AP1953" s="153">
        <f ca="1">IF(AC1953=0,0,IF(AC1953=12,0,OFFSET(effect!$N$1,MATCH(K1953,effect!M:M,0)-1,0)))</f>
        <v>0</v>
      </c>
    </row>
    <row r="1954" spans="1:42">
      <c r="A1954" s="153">
        <f ca="1" t="shared" si="326"/>
        <v>3014018</v>
      </c>
      <c r="B1954" s="91" t="s">
        <v>361</v>
      </c>
      <c r="C1954" s="186">
        <v>3</v>
      </c>
      <c r="D1954" s="186">
        <v>3</v>
      </c>
      <c r="E1954" s="165" t="s">
        <v>1069</v>
      </c>
      <c r="F1954" s="179" t="s">
        <v>1072</v>
      </c>
      <c r="G1954" s="186">
        <f ca="1">OFFSET(卡牌辅助配置表!$C$1,MATCH(AC1954,卡牌辅助配置表!A:A,0)-1,0)</f>
        <v>0</v>
      </c>
      <c r="H1954" s="186">
        <f ca="1">OFFSET(skill!$Q$1,MATCH(B1954,skill!B:B,0)-1,0)</f>
        <v>10</v>
      </c>
      <c r="I1954" s="186"/>
      <c r="J1954" s="186">
        <f ca="1">OFFSET(card_type!$F$1,MATCH(Q1954,card_type!A:A,0)-1,0)</f>
        <v>1</v>
      </c>
      <c r="K1954" s="243">
        <f ca="1">OFFSET(card_type!$G$1,MATCH(Q1954,card_type!A:A,0)-1,0)</f>
        <v>2</v>
      </c>
      <c r="L1954" s="157">
        <v>2</v>
      </c>
      <c r="M1954" s="157">
        <v>2</v>
      </c>
      <c r="N1954" s="153">
        <f t="shared" si="327"/>
        <v>18</v>
      </c>
      <c r="O1954" s="157"/>
      <c r="P1954" s="157"/>
      <c r="Q1954" s="153">
        <f ca="1">OFFSET(card_type!$A$1,MATCH(card!B1954,card_type!B:B,0)-1,0)</f>
        <v>3014</v>
      </c>
      <c r="R1954" s="153">
        <v>1</v>
      </c>
      <c r="S1954" s="157">
        <f ca="1">ROUND(IF(R1954=0,0,IF(R1954=1,X1954*$S$1,IF(R1954=2,X1954*$S$1*buff的资质计算!$E$2,IF(R1954=3,X1954*$S$1*buff的资质计算!$E$3,0)))),0)*0</f>
        <v>0</v>
      </c>
      <c r="T1954" s="153">
        <v>3</v>
      </c>
      <c r="U1954" s="153">
        <f ca="1" t="shared" si="328"/>
        <v>12</v>
      </c>
      <c r="V1954" s="153">
        <f ca="1">ROUND((OFFSET(卡牌辅助配置表!$O$1,MATCH(U1954,卡牌辅助配置表!M:M,0)-1,0)+(N1954-1)*OFFSET(卡牌辅助配置表!$P$1,MATCH(U1954,卡牌辅助配置表!M:M,0)-1,0))*M1954,2)</f>
        <v>29.77</v>
      </c>
      <c r="W1954" s="157">
        <f ca="1">ROUND(IF(R1954=0,0,IF(R1954=1,X1954*$W$1,IF(R1954=2,X1954*$W$1*buff的资质计算!$E$2,IF(R1954=3,X1954*$W$1*buff的资质计算!$E$3,0)))),2)</f>
        <v>7.95</v>
      </c>
      <c r="X1954" s="157">
        <f ca="1" t="shared" si="323"/>
        <v>26.5</v>
      </c>
      <c r="Y1954" s="157">
        <f ca="1" t="shared" si="331"/>
        <v>36.5</v>
      </c>
      <c r="Z1954" s="304">
        <f ca="1" t="shared" si="324"/>
        <v>18.25</v>
      </c>
      <c r="AA1954" s="304">
        <f ca="1">OFFSET(卡牌辅助配置表!$AD$1,MATCH(AB1954,卡牌辅助配置表!AB:AB,0)-1,0)</f>
        <v>800</v>
      </c>
      <c r="AB1954" s="304">
        <f ca="1" t="shared" si="329"/>
        <v>1218</v>
      </c>
      <c r="AC1954" s="153">
        <v>12</v>
      </c>
      <c r="AF1954" s="153" t="str">
        <f ca="1" t="shared" si="322"/>
        <v>30140011|</v>
      </c>
      <c r="AJ1954" s="205" t="str">
        <f ca="1" t="shared" si="330"/>
        <v>400023|8850|;</v>
      </c>
      <c r="AK1954" s="205">
        <f ca="1">OFFSET([1]item_type!$A$1,MATCH(Q1954,[1]item_type!$G:$G,0)-1,0)</f>
        <v>303014</v>
      </c>
      <c r="AL1954" s="205"/>
      <c r="AM1954" s="205">
        <f ca="1">IF(B1954=B1955,OFFSET(卡牌辅助配置表!$AE$1,MATCH(AB1954,卡牌辅助配置表!AB:AB,0),0),0)</f>
        <v>8850</v>
      </c>
      <c r="AN1954" s="153">
        <f ca="1" t="shared" si="325"/>
        <v>3014019</v>
      </c>
      <c r="AP1954" s="153">
        <f ca="1">IF(AC1954=0,0,IF(AC1954=12,0,OFFSET(effect!$N$1,MATCH(K1954,effect!M:M,0)-1,0)))</f>
        <v>0</v>
      </c>
    </row>
    <row r="1955" spans="1:42">
      <c r="A1955" s="153">
        <f ca="1" t="shared" si="326"/>
        <v>3014019</v>
      </c>
      <c r="B1955" s="91" t="s">
        <v>361</v>
      </c>
      <c r="C1955" s="186">
        <v>3</v>
      </c>
      <c r="D1955" s="186">
        <v>3</v>
      </c>
      <c r="E1955" s="165" t="s">
        <v>1069</v>
      </c>
      <c r="F1955" s="179" t="s">
        <v>1072</v>
      </c>
      <c r="G1955" s="186">
        <f ca="1">OFFSET(卡牌辅助配置表!$C$1,MATCH(AC1955,卡牌辅助配置表!A:A,0)-1,0)</f>
        <v>0</v>
      </c>
      <c r="H1955" s="186">
        <f ca="1">OFFSET(skill!$Q$1,MATCH(B1955,skill!B:B,0)-1,0)</f>
        <v>10</v>
      </c>
      <c r="I1955" s="186"/>
      <c r="J1955" s="186">
        <f ca="1">OFFSET(card_type!$F$1,MATCH(Q1955,card_type!A:A,0)-1,0)</f>
        <v>1</v>
      </c>
      <c r="K1955" s="243">
        <f ca="1">OFFSET(card_type!$G$1,MATCH(Q1955,card_type!A:A,0)-1,0)</f>
        <v>2</v>
      </c>
      <c r="L1955" s="157">
        <v>2</v>
      </c>
      <c r="M1955" s="157">
        <v>2</v>
      </c>
      <c r="N1955" s="153">
        <f t="shared" si="327"/>
        <v>19</v>
      </c>
      <c r="O1955" s="157"/>
      <c r="P1955" s="157"/>
      <c r="Q1955" s="153">
        <f ca="1">OFFSET(card_type!$A$1,MATCH(card!B1955,card_type!B:B,0)-1,0)</f>
        <v>3014</v>
      </c>
      <c r="R1955" s="153">
        <v>1</v>
      </c>
      <c r="S1955" s="157">
        <f ca="1">ROUND(IF(R1955=0,0,IF(R1955=1,X1955*$S$1,IF(R1955=2,X1955*$S$1*buff的资质计算!$E$2,IF(R1955=3,X1955*$S$1*buff的资质计算!$E$3,0)))),0)*0</f>
        <v>0</v>
      </c>
      <c r="T1955" s="153">
        <v>3</v>
      </c>
      <c r="U1955" s="153">
        <f ca="1" t="shared" si="328"/>
        <v>12</v>
      </c>
      <c r="V1955" s="153">
        <f ca="1">ROUND((OFFSET(卡牌辅助配置表!$O$1,MATCH(U1955,卡牌辅助配置表!M:M,0)-1,0)+(N1955-1)*OFFSET(卡牌辅助配置表!$P$1,MATCH(U1955,卡牌辅助配置表!M:M,0)-1,0))*M1955,2)</f>
        <v>30.4</v>
      </c>
      <c r="W1955" s="157">
        <f ca="1">ROUND(IF(R1955=0,0,IF(R1955=1,X1955*$W$1,IF(R1955=2,X1955*$W$1*buff的资质计算!$E$2,IF(R1955=3,X1955*$W$1*buff的资质计算!$E$3,0)))),2)</f>
        <v>8.1</v>
      </c>
      <c r="X1955" s="157">
        <f ca="1" t="shared" si="323"/>
        <v>27</v>
      </c>
      <c r="Y1955" s="157">
        <f ca="1" t="shared" si="331"/>
        <v>37</v>
      </c>
      <c r="Z1955" s="304">
        <f ca="1" t="shared" si="324"/>
        <v>18.5</v>
      </c>
      <c r="AA1955" s="304">
        <f ca="1">OFFSET(卡牌辅助配置表!$AD$1,MATCH(AB1955,卡牌辅助配置表!AB:AB,0)-1,0)</f>
        <v>855</v>
      </c>
      <c r="AB1955" s="304">
        <f ca="1" t="shared" si="329"/>
        <v>1219</v>
      </c>
      <c r="AC1955" s="153">
        <v>12</v>
      </c>
      <c r="AF1955" s="153" t="str">
        <f ca="1" t="shared" si="322"/>
        <v>30140011|</v>
      </c>
      <c r="AJ1955" s="205" t="str">
        <f ca="1" t="shared" si="330"/>
        <v>303014|20|;400023|9450|;</v>
      </c>
      <c r="AK1955" s="205">
        <f ca="1">OFFSET([1]item_type!$A$1,MATCH(Q1955,[1]item_type!$G:$G,0)-1,0)</f>
        <v>303014</v>
      </c>
      <c r="AL1955" s="205">
        <v>20</v>
      </c>
      <c r="AM1955" s="205">
        <f ca="1">IF(B1955=B1956,OFFSET(卡牌辅助配置表!$AE$1,MATCH(AB1955,卡牌辅助配置表!AB:AB,0),0),0)</f>
        <v>9450</v>
      </c>
      <c r="AN1955" s="153">
        <f ca="1" t="shared" si="325"/>
        <v>3014020</v>
      </c>
      <c r="AP1955" s="153">
        <f ca="1">IF(AC1955=0,0,IF(AC1955=12,0,OFFSET(effect!$N$1,MATCH(K1955,effect!M:M,0)-1,0)))</f>
        <v>0</v>
      </c>
    </row>
    <row r="1956" spans="1:42">
      <c r="A1956" s="153">
        <f ca="1" t="shared" si="326"/>
        <v>3014020</v>
      </c>
      <c r="B1956" s="91" t="s">
        <v>361</v>
      </c>
      <c r="C1956" s="186">
        <v>3</v>
      </c>
      <c r="D1956" s="186">
        <v>3</v>
      </c>
      <c r="E1956" s="165" t="s">
        <v>1069</v>
      </c>
      <c r="F1956" s="179" t="s">
        <v>1072</v>
      </c>
      <c r="G1956" s="186">
        <f ca="1">OFFSET(卡牌辅助配置表!$C$1,MATCH(AC1956,卡牌辅助配置表!A:A,0)-1,0)</f>
        <v>0</v>
      </c>
      <c r="H1956" s="186">
        <f ca="1">OFFSET(skill!$Q$1,MATCH(B1956,skill!B:B,0)-1,0)</f>
        <v>10</v>
      </c>
      <c r="I1956" s="186"/>
      <c r="J1956" s="186">
        <f ca="1">OFFSET(card_type!$F$1,MATCH(Q1956,card_type!A:A,0)-1,0)</f>
        <v>1</v>
      </c>
      <c r="K1956" s="243">
        <f ca="1">OFFSET(card_type!$G$1,MATCH(Q1956,card_type!A:A,0)-1,0)</f>
        <v>2</v>
      </c>
      <c r="L1956" s="157">
        <v>2</v>
      </c>
      <c r="M1956" s="157">
        <v>2</v>
      </c>
      <c r="N1956" s="153">
        <f t="shared" si="327"/>
        <v>20</v>
      </c>
      <c r="O1956" s="157"/>
      <c r="P1956" s="157"/>
      <c r="Q1956" s="153">
        <f ca="1">OFFSET(card_type!$A$1,MATCH(card!B1956,card_type!B:B,0)-1,0)</f>
        <v>3014</v>
      </c>
      <c r="R1956" s="153">
        <v>1</v>
      </c>
      <c r="S1956" s="157">
        <f ca="1">ROUND(IF(R1956=0,0,IF(R1956=1,X1956*$S$1,IF(R1956=2,X1956*$S$1*buff的资质计算!$E$2,IF(R1956=3,X1956*$S$1*buff的资质计算!$E$3,0)))),0)*0</f>
        <v>0</v>
      </c>
      <c r="T1956" s="153">
        <v>3</v>
      </c>
      <c r="U1956" s="153">
        <f ca="1" t="shared" si="328"/>
        <v>12</v>
      </c>
      <c r="V1956" s="153">
        <f ca="1">ROUND((OFFSET(卡牌辅助配置表!$O$1,MATCH(U1956,卡牌辅助配置表!M:M,0)-1,0)+(N1956-1)*OFFSET(卡牌辅助配置表!$P$1,MATCH(U1956,卡牌辅助配置表!M:M,0)-1,0))*M1956,2)</f>
        <v>31.03</v>
      </c>
      <c r="W1956" s="157">
        <f ca="1">ROUND(IF(R1956=0,0,IF(R1956=1,X1956*$W$1,IF(R1956=2,X1956*$W$1*buff的资质计算!$E$2,IF(R1956=3,X1956*$W$1*buff的资质计算!$E$3,0)))),2)</f>
        <v>8.25</v>
      </c>
      <c r="X1956" s="157">
        <f ca="1" t="shared" si="323"/>
        <v>27.5</v>
      </c>
      <c r="Y1956" s="157">
        <f ca="1" t="shared" si="331"/>
        <v>37.5</v>
      </c>
      <c r="Z1956" s="304">
        <f ca="1" t="shared" si="324"/>
        <v>18.75</v>
      </c>
      <c r="AA1956" s="304">
        <f ca="1">OFFSET(卡牌辅助配置表!$AD$1,MATCH(AB1956,卡牌辅助配置表!AB:AB,0)-1,0)</f>
        <v>910</v>
      </c>
      <c r="AB1956" s="304">
        <f ca="1" t="shared" si="329"/>
        <v>1220</v>
      </c>
      <c r="AC1956" s="153">
        <v>12</v>
      </c>
      <c r="AF1956" s="153" t="str">
        <f ca="1" t="shared" si="322"/>
        <v>30140011|</v>
      </c>
      <c r="AJ1956" s="205" t="str">
        <f ca="1" t="shared" si="330"/>
        <v>400023|10650|;</v>
      </c>
      <c r="AK1956" s="205">
        <f ca="1">OFFSET([1]item_type!$A$1,MATCH(Q1956,[1]item_type!$G:$G,0)-1,0)</f>
        <v>303014</v>
      </c>
      <c r="AL1956" s="205"/>
      <c r="AM1956" s="205">
        <f ca="1">IF(B1956=B1957,OFFSET(卡牌辅助配置表!$AE$1,MATCH(AB1956,卡牌辅助配置表!AB:AB,0),0),0)</f>
        <v>10650</v>
      </c>
      <c r="AN1956" s="153">
        <f ca="1" t="shared" si="325"/>
        <v>3014021</v>
      </c>
      <c r="AP1956" s="153">
        <f ca="1">IF(AC1956=0,0,IF(AC1956=12,0,OFFSET(effect!$N$1,MATCH(K1956,effect!M:M,0)-1,0)))</f>
        <v>0</v>
      </c>
    </row>
    <row r="1957" spans="1:42">
      <c r="A1957" s="153">
        <f ca="1" t="shared" si="326"/>
        <v>3014021</v>
      </c>
      <c r="B1957" s="91" t="s">
        <v>361</v>
      </c>
      <c r="C1957" s="186">
        <v>3</v>
      </c>
      <c r="D1957" s="186">
        <v>3</v>
      </c>
      <c r="E1957" s="165" t="s">
        <v>1069</v>
      </c>
      <c r="F1957" s="179" t="s">
        <v>1072</v>
      </c>
      <c r="G1957" s="186">
        <f ca="1">OFFSET(卡牌辅助配置表!$C$1,MATCH(AC1957,卡牌辅助配置表!A:A,0)-1,0)</f>
        <v>0</v>
      </c>
      <c r="H1957" s="186">
        <f ca="1">OFFSET(skill!$Q$1,MATCH(B1957,skill!B:B,0)-1,0)</f>
        <v>10</v>
      </c>
      <c r="I1957" s="186"/>
      <c r="J1957" s="186">
        <f ca="1">OFFSET(card_type!$F$1,MATCH(Q1957,card_type!A:A,0)-1,0)</f>
        <v>1</v>
      </c>
      <c r="K1957" s="243">
        <f ca="1">OFFSET(card_type!$G$1,MATCH(Q1957,card_type!A:A,0)-1,0)</f>
        <v>2</v>
      </c>
      <c r="L1957" s="157">
        <v>2</v>
      </c>
      <c r="M1957" s="157">
        <v>2</v>
      </c>
      <c r="N1957" s="153">
        <f t="shared" si="327"/>
        <v>21</v>
      </c>
      <c r="O1957" s="157"/>
      <c r="P1957" s="157"/>
      <c r="Q1957" s="153">
        <f ca="1">OFFSET(card_type!$A$1,MATCH(card!B1957,card_type!B:B,0)-1,0)</f>
        <v>3014</v>
      </c>
      <c r="R1957" s="153">
        <v>1</v>
      </c>
      <c r="S1957" s="157">
        <f ca="1">ROUND(IF(R1957=0,0,IF(R1957=1,X1957*$S$1,IF(R1957=2,X1957*$S$1*buff的资质计算!$E$2,IF(R1957=3,X1957*$S$1*buff的资质计算!$E$3,0)))),0)*0</f>
        <v>0</v>
      </c>
      <c r="T1957" s="153">
        <v>3</v>
      </c>
      <c r="U1957" s="153">
        <f ca="1" t="shared" si="328"/>
        <v>12</v>
      </c>
      <c r="V1957" s="153">
        <f ca="1">ROUND((OFFSET(卡牌辅助配置表!$O$1,MATCH(U1957,卡牌辅助配置表!M:M,0)-1,0)+(N1957-1)*OFFSET(卡牌辅助配置表!$P$1,MATCH(U1957,卡牌辅助配置表!M:M,0)-1,0))*M1957,2)</f>
        <v>31.67</v>
      </c>
      <c r="W1957" s="157">
        <f ca="1">ROUND(IF(R1957=0,0,IF(R1957=1,X1957*$W$1,IF(R1957=2,X1957*$W$1*buff的资质计算!$E$2,IF(R1957=3,X1957*$W$1*buff的资质计算!$E$3,0)))),2)</f>
        <v>8.4</v>
      </c>
      <c r="X1957" s="157">
        <f ca="1" t="shared" si="323"/>
        <v>28</v>
      </c>
      <c r="Y1957" s="157">
        <f ca="1" t="shared" si="331"/>
        <v>38</v>
      </c>
      <c r="Z1957" s="304">
        <f ca="1" t="shared" si="324"/>
        <v>19</v>
      </c>
      <c r="AA1957" s="304">
        <f ca="1">OFFSET(卡牌辅助配置表!$AD$1,MATCH(AB1957,卡牌辅助配置表!AB:AB,0)-1,0)</f>
        <v>983</v>
      </c>
      <c r="AB1957" s="304">
        <f ca="1" t="shared" si="329"/>
        <v>1221</v>
      </c>
      <c r="AC1957" s="153">
        <v>12</v>
      </c>
      <c r="AF1957" s="153" t="str">
        <f ca="1" t="shared" si="322"/>
        <v>30140011|</v>
      </c>
      <c r="AJ1957" s="205" t="str">
        <f ca="1" t="shared" si="330"/>
        <v>400023|11850|;</v>
      </c>
      <c r="AK1957" s="205">
        <f ca="1">OFFSET([1]item_type!$A$1,MATCH(Q1957,[1]item_type!$G:$G,0)-1,0)</f>
        <v>303014</v>
      </c>
      <c r="AL1957" s="205"/>
      <c r="AM1957" s="205">
        <f ca="1">IF(B1957=B1958,OFFSET(卡牌辅助配置表!$AE$1,MATCH(AB1957,卡牌辅助配置表!AB:AB,0),0),0)</f>
        <v>11850</v>
      </c>
      <c r="AN1957" s="153">
        <f ca="1" t="shared" si="325"/>
        <v>3014022</v>
      </c>
      <c r="AP1957" s="153">
        <f ca="1">IF(AC1957=0,0,IF(AC1957=12,0,OFFSET(effect!$N$1,MATCH(K1957,effect!M:M,0)-1,0)))</f>
        <v>0</v>
      </c>
    </row>
    <row r="1958" spans="1:42">
      <c r="A1958" s="153">
        <f ca="1" t="shared" si="326"/>
        <v>3014022</v>
      </c>
      <c r="B1958" s="91" t="s">
        <v>361</v>
      </c>
      <c r="C1958" s="186">
        <v>3</v>
      </c>
      <c r="D1958" s="186">
        <v>3</v>
      </c>
      <c r="E1958" s="165" t="s">
        <v>1069</v>
      </c>
      <c r="F1958" s="179" t="s">
        <v>1072</v>
      </c>
      <c r="G1958" s="186">
        <f ca="1">OFFSET(卡牌辅助配置表!$C$1,MATCH(AC1958,卡牌辅助配置表!A:A,0)-1,0)</f>
        <v>0</v>
      </c>
      <c r="H1958" s="186">
        <f ca="1">OFFSET(skill!$Q$1,MATCH(B1958,skill!B:B,0)-1,0)</f>
        <v>10</v>
      </c>
      <c r="I1958" s="186"/>
      <c r="J1958" s="186">
        <f ca="1">OFFSET(card_type!$F$1,MATCH(Q1958,card_type!A:A,0)-1,0)</f>
        <v>1</v>
      </c>
      <c r="K1958" s="243">
        <f ca="1">OFFSET(card_type!$G$1,MATCH(Q1958,card_type!A:A,0)-1,0)</f>
        <v>2</v>
      </c>
      <c r="L1958" s="157">
        <v>2</v>
      </c>
      <c r="M1958" s="157">
        <v>2</v>
      </c>
      <c r="N1958" s="153">
        <f t="shared" si="327"/>
        <v>22</v>
      </c>
      <c r="O1958" s="157"/>
      <c r="P1958" s="157"/>
      <c r="Q1958" s="153">
        <f ca="1">OFFSET(card_type!$A$1,MATCH(card!B1958,card_type!B:B,0)-1,0)</f>
        <v>3014</v>
      </c>
      <c r="R1958" s="153">
        <v>1</v>
      </c>
      <c r="S1958" s="157">
        <f ca="1">ROUND(IF(R1958=0,0,IF(R1958=1,X1958*$S$1,IF(R1958=2,X1958*$S$1*buff的资质计算!$E$2,IF(R1958=3,X1958*$S$1*buff的资质计算!$E$3,0)))),0)*0</f>
        <v>0</v>
      </c>
      <c r="T1958" s="153">
        <v>3</v>
      </c>
      <c r="U1958" s="153">
        <f ca="1" t="shared" si="328"/>
        <v>12</v>
      </c>
      <c r="V1958" s="153">
        <f ca="1">ROUND((OFFSET(卡牌辅助配置表!$O$1,MATCH(U1958,卡牌辅助配置表!M:M,0)-1,0)+(N1958-1)*OFFSET(卡牌辅助配置表!$P$1,MATCH(U1958,卡牌辅助配置表!M:M,0)-1,0))*M1958,2)</f>
        <v>32.3</v>
      </c>
      <c r="W1958" s="157">
        <f ca="1">ROUND(IF(R1958=0,0,IF(R1958=1,X1958*$W$1,IF(R1958=2,X1958*$W$1*buff的资质计算!$E$2,IF(R1958=3,X1958*$W$1*buff的资质计算!$E$3,0)))),2)</f>
        <v>8.55</v>
      </c>
      <c r="X1958" s="157">
        <f ca="1" t="shared" si="323"/>
        <v>28.5</v>
      </c>
      <c r="Y1958" s="157">
        <f ca="1" t="shared" si="331"/>
        <v>38.5</v>
      </c>
      <c r="Z1958" s="304">
        <f ca="1" t="shared" si="324"/>
        <v>19.25</v>
      </c>
      <c r="AA1958" s="304">
        <f ca="1">OFFSET(卡牌辅助配置表!$AD$1,MATCH(AB1958,卡牌辅助配置表!AB:AB,0)-1,0)</f>
        <v>1056</v>
      </c>
      <c r="AB1958" s="304">
        <f ca="1" t="shared" si="329"/>
        <v>1222</v>
      </c>
      <c r="AC1958" s="153">
        <v>12</v>
      </c>
      <c r="AF1958" s="153" t="str">
        <f ca="1" t="shared" si="322"/>
        <v>30140011|</v>
      </c>
      <c r="AJ1958" s="205" t="str">
        <f ca="1" t="shared" si="330"/>
        <v>400023|13050|;</v>
      </c>
      <c r="AK1958" s="205">
        <f ca="1">OFFSET([1]item_type!$A$1,MATCH(Q1958,[1]item_type!$G:$G,0)-1,0)</f>
        <v>303014</v>
      </c>
      <c r="AL1958" s="205"/>
      <c r="AM1958" s="205">
        <f ca="1">IF(B1958=B1959,OFFSET(卡牌辅助配置表!$AE$1,MATCH(AB1958,卡牌辅助配置表!AB:AB,0),0),0)</f>
        <v>13050</v>
      </c>
      <c r="AN1958" s="153">
        <f ca="1" t="shared" si="325"/>
        <v>3014023</v>
      </c>
      <c r="AP1958" s="153">
        <f ca="1">IF(AC1958=0,0,IF(AC1958=12,0,OFFSET(effect!$N$1,MATCH(K1958,effect!M:M,0)-1,0)))</f>
        <v>0</v>
      </c>
    </row>
    <row r="1959" spans="1:42">
      <c r="A1959" s="153">
        <f ca="1" t="shared" si="326"/>
        <v>3014023</v>
      </c>
      <c r="B1959" s="91" t="s">
        <v>361</v>
      </c>
      <c r="C1959" s="186">
        <v>3</v>
      </c>
      <c r="D1959" s="186">
        <v>3</v>
      </c>
      <c r="E1959" s="165" t="s">
        <v>1069</v>
      </c>
      <c r="F1959" s="179" t="s">
        <v>1072</v>
      </c>
      <c r="G1959" s="186">
        <f ca="1">OFFSET(卡牌辅助配置表!$C$1,MATCH(AC1959,卡牌辅助配置表!A:A,0)-1,0)</f>
        <v>0</v>
      </c>
      <c r="H1959" s="186">
        <f ca="1">OFFSET(skill!$Q$1,MATCH(B1959,skill!B:B,0)-1,0)</f>
        <v>10</v>
      </c>
      <c r="I1959" s="186"/>
      <c r="J1959" s="186">
        <f ca="1">OFFSET(card_type!$F$1,MATCH(Q1959,card_type!A:A,0)-1,0)</f>
        <v>1</v>
      </c>
      <c r="K1959" s="243">
        <f ca="1">OFFSET(card_type!$G$1,MATCH(Q1959,card_type!A:A,0)-1,0)</f>
        <v>2</v>
      </c>
      <c r="L1959" s="157">
        <v>2</v>
      </c>
      <c r="M1959" s="157">
        <v>2</v>
      </c>
      <c r="N1959" s="153">
        <f t="shared" si="327"/>
        <v>23</v>
      </c>
      <c r="O1959" s="157"/>
      <c r="P1959" s="157"/>
      <c r="Q1959" s="153">
        <f ca="1">OFFSET(card_type!$A$1,MATCH(card!B1959,card_type!B:B,0)-1,0)</f>
        <v>3014</v>
      </c>
      <c r="R1959" s="153">
        <v>1</v>
      </c>
      <c r="S1959" s="157">
        <f ca="1">ROUND(IF(R1959=0,0,IF(R1959=1,X1959*$S$1,IF(R1959=2,X1959*$S$1*buff的资质计算!$E$2,IF(R1959=3,X1959*$S$1*buff的资质计算!$E$3,0)))),0)*0</f>
        <v>0</v>
      </c>
      <c r="T1959" s="153">
        <v>3</v>
      </c>
      <c r="U1959" s="153">
        <f ca="1" t="shared" si="328"/>
        <v>12</v>
      </c>
      <c r="V1959" s="153">
        <f ca="1">ROUND((OFFSET(卡牌辅助配置表!$O$1,MATCH(U1959,卡牌辅助配置表!M:M,0)-1,0)+(N1959-1)*OFFSET(卡牌辅助配置表!$P$1,MATCH(U1959,卡牌辅助配置表!M:M,0)-1,0))*M1959,2)</f>
        <v>32.93</v>
      </c>
      <c r="W1959" s="157">
        <f ca="1">ROUND(IF(R1959=0,0,IF(R1959=1,X1959*$W$1,IF(R1959=2,X1959*$W$1*buff的资质计算!$E$2,IF(R1959=3,X1959*$W$1*buff的资质计算!$E$3,0)))),2)</f>
        <v>8.7</v>
      </c>
      <c r="X1959" s="157">
        <f ca="1" t="shared" si="323"/>
        <v>29</v>
      </c>
      <c r="Y1959" s="157">
        <f ca="1" t="shared" si="331"/>
        <v>39</v>
      </c>
      <c r="Z1959" s="304">
        <f ca="1" t="shared" si="324"/>
        <v>19.5</v>
      </c>
      <c r="AA1959" s="304">
        <f ca="1">OFFSET(卡牌辅助配置表!$AD$1,MATCH(AB1959,卡牌辅助配置表!AB:AB,0)-1,0)</f>
        <v>1129</v>
      </c>
      <c r="AB1959" s="304">
        <f ca="1" t="shared" si="329"/>
        <v>1223</v>
      </c>
      <c r="AC1959" s="153">
        <v>12</v>
      </c>
      <c r="AF1959" s="153" t="str">
        <f ca="1" t="shared" si="322"/>
        <v>30140011|</v>
      </c>
      <c r="AJ1959" s="205" t="str">
        <f ca="1" t="shared" si="330"/>
        <v>400023|14250|;</v>
      </c>
      <c r="AK1959" s="205">
        <f ca="1">OFFSET([1]item_type!$A$1,MATCH(Q1959,[1]item_type!$G:$G,0)-1,0)</f>
        <v>303014</v>
      </c>
      <c r="AL1959" s="205"/>
      <c r="AM1959" s="205">
        <f ca="1">IF(B1959=B1960,OFFSET(卡牌辅助配置表!$AE$1,MATCH(AB1959,卡牌辅助配置表!AB:AB,0),0),0)</f>
        <v>14250</v>
      </c>
      <c r="AN1959" s="153">
        <f ca="1" t="shared" si="325"/>
        <v>3014024</v>
      </c>
      <c r="AP1959" s="153">
        <f ca="1">IF(AC1959=0,0,IF(AC1959=12,0,OFFSET(effect!$N$1,MATCH(K1959,effect!M:M,0)-1,0)))</f>
        <v>0</v>
      </c>
    </row>
    <row r="1960" spans="1:42">
      <c r="A1960" s="153">
        <f ca="1" t="shared" si="326"/>
        <v>3014024</v>
      </c>
      <c r="B1960" s="91" t="s">
        <v>361</v>
      </c>
      <c r="C1960" s="186">
        <v>3</v>
      </c>
      <c r="D1960" s="186">
        <v>3</v>
      </c>
      <c r="E1960" s="165" t="s">
        <v>1069</v>
      </c>
      <c r="F1960" s="179" t="s">
        <v>1072</v>
      </c>
      <c r="G1960" s="186">
        <f ca="1">OFFSET(卡牌辅助配置表!$C$1,MATCH(AC1960,卡牌辅助配置表!A:A,0)-1,0)</f>
        <v>0</v>
      </c>
      <c r="H1960" s="186">
        <f ca="1">OFFSET(skill!$Q$1,MATCH(B1960,skill!B:B,0)-1,0)</f>
        <v>10</v>
      </c>
      <c r="I1960" s="186"/>
      <c r="J1960" s="186">
        <f ca="1">OFFSET(card_type!$F$1,MATCH(Q1960,card_type!A:A,0)-1,0)</f>
        <v>1</v>
      </c>
      <c r="K1960" s="243">
        <f ca="1">OFFSET(card_type!$G$1,MATCH(Q1960,card_type!A:A,0)-1,0)</f>
        <v>2</v>
      </c>
      <c r="L1960" s="157">
        <v>2</v>
      </c>
      <c r="M1960" s="157">
        <v>2</v>
      </c>
      <c r="N1960" s="153">
        <f t="shared" si="327"/>
        <v>24</v>
      </c>
      <c r="O1960" s="157"/>
      <c r="P1960" s="157"/>
      <c r="Q1960" s="153">
        <f ca="1">OFFSET(card_type!$A$1,MATCH(card!B1960,card_type!B:B,0)-1,0)</f>
        <v>3014</v>
      </c>
      <c r="R1960" s="153">
        <v>1</v>
      </c>
      <c r="S1960" s="157">
        <f ca="1">ROUND(IF(R1960=0,0,IF(R1960=1,X1960*$S$1,IF(R1960=2,X1960*$S$1*buff的资质计算!$E$2,IF(R1960=3,X1960*$S$1*buff的资质计算!$E$3,0)))),0)*0</f>
        <v>0</v>
      </c>
      <c r="T1960" s="153">
        <v>3</v>
      </c>
      <c r="U1960" s="153">
        <f ca="1" t="shared" si="328"/>
        <v>12</v>
      </c>
      <c r="V1960" s="153">
        <f ca="1">ROUND((OFFSET(卡牌辅助配置表!$O$1,MATCH(U1960,卡牌辅助配置表!M:M,0)-1,0)+(N1960-1)*OFFSET(卡牌辅助配置表!$P$1,MATCH(U1960,卡牌辅助配置表!M:M,0)-1,0))*M1960,2)</f>
        <v>33.57</v>
      </c>
      <c r="W1960" s="157">
        <f ca="1">ROUND(IF(R1960=0,0,IF(R1960=1,X1960*$W$1,IF(R1960=2,X1960*$W$1*buff的资质计算!$E$2,IF(R1960=3,X1960*$W$1*buff的资质计算!$E$3,0)))),2)</f>
        <v>8.85</v>
      </c>
      <c r="X1960" s="157">
        <f ca="1" t="shared" si="323"/>
        <v>29.5</v>
      </c>
      <c r="Y1960" s="157">
        <f ca="1" t="shared" si="331"/>
        <v>39.5</v>
      </c>
      <c r="Z1960" s="304">
        <f ca="1" t="shared" si="324"/>
        <v>19.75</v>
      </c>
      <c r="AA1960" s="304">
        <f ca="1">OFFSET(卡牌辅助配置表!$AD$1,MATCH(AB1960,卡牌辅助配置表!AB:AB,0)-1,0)</f>
        <v>1202</v>
      </c>
      <c r="AB1960" s="304">
        <f ca="1" t="shared" si="329"/>
        <v>1224</v>
      </c>
      <c r="AC1960" s="153">
        <v>12</v>
      </c>
      <c r="AF1960" s="153" t="str">
        <f ca="1" t="shared" si="322"/>
        <v>30140011|</v>
      </c>
      <c r="AJ1960" s="205" t="str">
        <f ca="1" t="shared" si="330"/>
        <v>400023|15450|;</v>
      </c>
      <c r="AK1960" s="205">
        <f ca="1">OFFSET([1]item_type!$A$1,MATCH(Q1960,[1]item_type!$G:$G,0)-1,0)</f>
        <v>303014</v>
      </c>
      <c r="AL1960" s="205"/>
      <c r="AM1960" s="205">
        <f ca="1">IF(B1960=B1961,OFFSET(卡牌辅助配置表!$AE$1,MATCH(AB1960,卡牌辅助配置表!AB:AB,0),0),0)</f>
        <v>15450</v>
      </c>
      <c r="AN1960" s="153">
        <f ca="1" t="shared" si="325"/>
        <v>3014025</v>
      </c>
      <c r="AP1960" s="153">
        <f ca="1">IF(AC1960=0,0,IF(AC1960=12,0,OFFSET(effect!$N$1,MATCH(K1960,effect!M:M,0)-1,0)))</f>
        <v>0</v>
      </c>
    </row>
    <row r="1961" spans="1:42">
      <c r="A1961" s="153">
        <f ca="1" t="shared" si="326"/>
        <v>3014025</v>
      </c>
      <c r="B1961" s="91" t="s">
        <v>361</v>
      </c>
      <c r="C1961" s="186">
        <v>3</v>
      </c>
      <c r="D1961" s="186">
        <v>3</v>
      </c>
      <c r="E1961" s="165" t="s">
        <v>1069</v>
      </c>
      <c r="F1961" s="179" t="s">
        <v>1072</v>
      </c>
      <c r="G1961" s="186">
        <f ca="1">OFFSET(卡牌辅助配置表!$C$1,MATCH(AC1961,卡牌辅助配置表!A:A,0)-1,0)</f>
        <v>0</v>
      </c>
      <c r="H1961" s="186">
        <f ca="1">OFFSET(skill!$Q$1,MATCH(B1961,skill!B:B,0)-1,0)</f>
        <v>10</v>
      </c>
      <c r="I1961" s="186"/>
      <c r="J1961" s="186">
        <f ca="1">OFFSET(card_type!$F$1,MATCH(Q1961,card_type!A:A,0)-1,0)</f>
        <v>1</v>
      </c>
      <c r="K1961" s="243">
        <f ca="1">OFFSET(card_type!$G$1,MATCH(Q1961,card_type!A:A,0)-1,0)</f>
        <v>2</v>
      </c>
      <c r="L1961" s="157">
        <v>2</v>
      </c>
      <c r="M1961" s="157">
        <v>2</v>
      </c>
      <c r="N1961" s="153">
        <f t="shared" si="327"/>
        <v>25</v>
      </c>
      <c r="O1961" s="157"/>
      <c r="P1961" s="157"/>
      <c r="Q1961" s="153">
        <f ca="1">OFFSET(card_type!$A$1,MATCH(card!B1961,card_type!B:B,0)-1,0)</f>
        <v>3014</v>
      </c>
      <c r="R1961" s="153">
        <v>1</v>
      </c>
      <c r="S1961" s="157">
        <f ca="1">ROUND(IF(R1961=0,0,IF(R1961=1,X1961*$S$1,IF(R1961=2,X1961*$S$1*buff的资质计算!$E$2,IF(R1961=3,X1961*$S$1*buff的资质计算!$E$3,0)))),0)*0</f>
        <v>0</v>
      </c>
      <c r="T1961" s="153">
        <v>3</v>
      </c>
      <c r="U1961" s="153">
        <f ca="1" t="shared" si="328"/>
        <v>12</v>
      </c>
      <c r="V1961" s="153">
        <f ca="1">ROUND((OFFSET(卡牌辅助配置表!$O$1,MATCH(U1961,卡牌辅助配置表!M:M,0)-1,0)+(N1961-1)*OFFSET(卡牌辅助配置表!$P$1,MATCH(U1961,卡牌辅助配置表!M:M,0)-1,0))*M1961,2)</f>
        <v>34.2</v>
      </c>
      <c r="W1961" s="157">
        <f ca="1">ROUND(IF(R1961=0,0,IF(R1961=1,X1961*$W$1,IF(R1961=2,X1961*$W$1*buff的资质计算!$E$2,IF(R1961=3,X1961*$W$1*buff的资质计算!$E$3,0)))),2)</f>
        <v>9</v>
      </c>
      <c r="X1961" s="157">
        <f ca="1" t="shared" si="323"/>
        <v>30</v>
      </c>
      <c r="Y1961" s="157">
        <f ca="1" t="shared" si="331"/>
        <v>40</v>
      </c>
      <c r="Z1961" s="304">
        <f ca="1" t="shared" si="324"/>
        <v>20</v>
      </c>
      <c r="AA1961" s="304">
        <f ca="1">OFFSET(卡牌辅助配置表!$AD$1,MATCH(AB1961,卡牌辅助配置表!AB:AB,0)-1,0)</f>
        <v>1275</v>
      </c>
      <c r="AB1961" s="304">
        <f ca="1" t="shared" si="329"/>
        <v>1225</v>
      </c>
      <c r="AC1961" s="153">
        <v>12</v>
      </c>
      <c r="AF1961" s="153" t="str">
        <f ca="1" t="shared" si="322"/>
        <v>30140011|</v>
      </c>
      <c r="AJ1961" s="205" t="str">
        <f ca="1" t="shared" si="330"/>
        <v>400023|16650|;</v>
      </c>
      <c r="AK1961" s="205">
        <f ca="1">OFFSET([1]item_type!$A$1,MATCH(Q1961,[1]item_type!$G:$G,0)-1,0)</f>
        <v>303014</v>
      </c>
      <c r="AL1961" s="205"/>
      <c r="AM1961" s="205">
        <f ca="1">IF(B1961=B1962,OFFSET(卡牌辅助配置表!$AE$1,MATCH(AB1961,卡牌辅助配置表!AB:AB,0),0),0)</f>
        <v>16650</v>
      </c>
      <c r="AN1961" s="153">
        <f ca="1" t="shared" si="325"/>
        <v>3014026</v>
      </c>
      <c r="AP1961" s="153">
        <f ca="1">IF(AC1961=0,0,IF(AC1961=12,0,OFFSET(effect!$N$1,MATCH(K1961,effect!M:M,0)-1,0)))</f>
        <v>0</v>
      </c>
    </row>
    <row r="1962" spans="1:42">
      <c r="A1962" s="153">
        <f ca="1" t="shared" si="326"/>
        <v>3014026</v>
      </c>
      <c r="B1962" s="91" t="s">
        <v>361</v>
      </c>
      <c r="C1962" s="186">
        <v>3</v>
      </c>
      <c r="D1962" s="186">
        <v>3</v>
      </c>
      <c r="E1962" s="165" t="s">
        <v>1069</v>
      </c>
      <c r="F1962" s="179" t="s">
        <v>1072</v>
      </c>
      <c r="G1962" s="186">
        <f ca="1">OFFSET(卡牌辅助配置表!$C$1,MATCH(AC1962,卡牌辅助配置表!A:A,0)-1,0)</f>
        <v>0</v>
      </c>
      <c r="H1962" s="186">
        <f ca="1">OFFSET(skill!$Q$1,MATCH(B1962,skill!B:B,0)-1,0)</f>
        <v>10</v>
      </c>
      <c r="I1962" s="186"/>
      <c r="J1962" s="186">
        <f ca="1">OFFSET(card_type!$F$1,MATCH(Q1962,card_type!A:A,0)-1,0)</f>
        <v>1</v>
      </c>
      <c r="K1962" s="243">
        <f ca="1">OFFSET(card_type!$G$1,MATCH(Q1962,card_type!A:A,0)-1,0)</f>
        <v>2</v>
      </c>
      <c r="L1962" s="157">
        <v>2</v>
      </c>
      <c r="M1962" s="157">
        <v>2</v>
      </c>
      <c r="N1962" s="153">
        <f t="shared" si="327"/>
        <v>26</v>
      </c>
      <c r="O1962" s="157"/>
      <c r="P1962" s="157"/>
      <c r="Q1962" s="153">
        <f ca="1">OFFSET(card_type!$A$1,MATCH(card!B1962,card_type!B:B,0)-1,0)</f>
        <v>3014</v>
      </c>
      <c r="R1962" s="153">
        <v>1</v>
      </c>
      <c r="S1962" s="157">
        <f ca="1">ROUND(IF(R1962=0,0,IF(R1962=1,X1962*$S$1,IF(R1962=2,X1962*$S$1*buff的资质计算!$E$2,IF(R1962=3,X1962*$S$1*buff的资质计算!$E$3,0)))),0)*0</f>
        <v>0</v>
      </c>
      <c r="T1962" s="153">
        <v>3</v>
      </c>
      <c r="U1962" s="153">
        <f ca="1" t="shared" si="328"/>
        <v>12</v>
      </c>
      <c r="V1962" s="153">
        <f ca="1">ROUND((OFFSET(卡牌辅助配置表!$O$1,MATCH(U1962,卡牌辅助配置表!M:M,0)-1,0)+(N1962-1)*OFFSET(卡牌辅助配置表!$P$1,MATCH(U1962,卡牌辅助配置表!M:M,0)-1,0))*M1962,2)</f>
        <v>34.83</v>
      </c>
      <c r="W1962" s="157">
        <f ca="1">ROUND(IF(R1962=0,0,IF(R1962=1,X1962*$W$1,IF(R1962=2,X1962*$W$1*buff的资质计算!$E$2,IF(R1962=3,X1962*$W$1*buff的资质计算!$E$3,0)))),2)</f>
        <v>9.15</v>
      </c>
      <c r="X1962" s="157">
        <f ca="1" t="shared" si="323"/>
        <v>30.5</v>
      </c>
      <c r="Y1962" s="157">
        <f ca="1" t="shared" si="331"/>
        <v>40.5</v>
      </c>
      <c r="Z1962" s="304">
        <f ca="1" t="shared" si="324"/>
        <v>20.25</v>
      </c>
      <c r="AA1962" s="304">
        <f ca="1">OFFSET(卡牌辅助配置表!$AD$1,MATCH(AB1962,卡牌辅助配置表!AB:AB,0)-1,0)</f>
        <v>1348</v>
      </c>
      <c r="AB1962" s="304">
        <f ca="1" t="shared" si="329"/>
        <v>1226</v>
      </c>
      <c r="AC1962" s="153">
        <v>12</v>
      </c>
      <c r="AF1962" s="153" t="str">
        <f ca="1" t="shared" si="322"/>
        <v>30140011|</v>
      </c>
      <c r="AJ1962" s="205" t="str">
        <f ca="1" t="shared" si="330"/>
        <v>400023|17850|;</v>
      </c>
      <c r="AK1962" s="205">
        <f ca="1">OFFSET([1]item_type!$A$1,MATCH(Q1962,[1]item_type!$G:$G,0)-1,0)</f>
        <v>303014</v>
      </c>
      <c r="AL1962" s="205"/>
      <c r="AM1962" s="205">
        <f ca="1">IF(B1962=B1963,OFFSET(卡牌辅助配置表!$AE$1,MATCH(AB1962,卡牌辅助配置表!AB:AB,0),0),0)</f>
        <v>17850</v>
      </c>
      <c r="AN1962" s="153">
        <f ca="1" t="shared" si="325"/>
        <v>3014027</v>
      </c>
      <c r="AP1962" s="153">
        <f ca="1">IF(AC1962=0,0,IF(AC1962=12,0,OFFSET(effect!$N$1,MATCH(K1962,effect!M:M,0)-1,0)))</f>
        <v>0</v>
      </c>
    </row>
    <row r="1963" spans="1:42">
      <c r="A1963" s="153">
        <f ca="1" t="shared" si="326"/>
        <v>3014027</v>
      </c>
      <c r="B1963" s="91" t="s">
        <v>361</v>
      </c>
      <c r="C1963" s="186">
        <v>3</v>
      </c>
      <c r="D1963" s="186">
        <v>3</v>
      </c>
      <c r="E1963" s="165" t="s">
        <v>1069</v>
      </c>
      <c r="F1963" s="179" t="s">
        <v>1072</v>
      </c>
      <c r="G1963" s="186">
        <f ca="1">OFFSET(卡牌辅助配置表!$C$1,MATCH(AC1963,卡牌辅助配置表!A:A,0)-1,0)</f>
        <v>0</v>
      </c>
      <c r="H1963" s="186">
        <f ca="1">OFFSET(skill!$Q$1,MATCH(B1963,skill!B:B,0)-1,0)</f>
        <v>10</v>
      </c>
      <c r="I1963" s="186"/>
      <c r="J1963" s="186">
        <f ca="1">OFFSET(card_type!$F$1,MATCH(Q1963,card_type!A:A,0)-1,0)</f>
        <v>1</v>
      </c>
      <c r="K1963" s="243">
        <f ca="1">OFFSET(card_type!$G$1,MATCH(Q1963,card_type!A:A,0)-1,0)</f>
        <v>2</v>
      </c>
      <c r="L1963" s="157">
        <v>2</v>
      </c>
      <c r="M1963" s="157">
        <v>2</v>
      </c>
      <c r="N1963" s="153">
        <f t="shared" si="327"/>
        <v>27</v>
      </c>
      <c r="O1963" s="157"/>
      <c r="P1963" s="157"/>
      <c r="Q1963" s="153">
        <f ca="1">OFFSET(card_type!$A$1,MATCH(card!B1963,card_type!B:B,0)-1,0)</f>
        <v>3014</v>
      </c>
      <c r="R1963" s="153">
        <v>1</v>
      </c>
      <c r="S1963" s="157">
        <f ca="1">ROUND(IF(R1963=0,0,IF(R1963=1,X1963*$S$1,IF(R1963=2,X1963*$S$1*buff的资质计算!$E$2,IF(R1963=3,X1963*$S$1*buff的资质计算!$E$3,0)))),0)*0</f>
        <v>0</v>
      </c>
      <c r="T1963" s="153">
        <v>3</v>
      </c>
      <c r="U1963" s="153">
        <f ca="1" t="shared" si="328"/>
        <v>12</v>
      </c>
      <c r="V1963" s="153">
        <f ca="1">ROUND((OFFSET(卡牌辅助配置表!$O$1,MATCH(U1963,卡牌辅助配置表!M:M,0)-1,0)+(N1963-1)*OFFSET(卡牌辅助配置表!$P$1,MATCH(U1963,卡牌辅助配置表!M:M,0)-1,0))*M1963,2)</f>
        <v>35.47</v>
      </c>
      <c r="W1963" s="157">
        <f ca="1">ROUND(IF(R1963=0,0,IF(R1963=1,X1963*$W$1,IF(R1963=2,X1963*$W$1*buff的资质计算!$E$2,IF(R1963=3,X1963*$W$1*buff的资质计算!$E$3,0)))),2)</f>
        <v>9.3</v>
      </c>
      <c r="X1963" s="157">
        <f ca="1" t="shared" si="323"/>
        <v>31</v>
      </c>
      <c r="Y1963" s="157">
        <f ca="1" t="shared" si="331"/>
        <v>41</v>
      </c>
      <c r="Z1963" s="304">
        <f ca="1" t="shared" si="324"/>
        <v>20.5</v>
      </c>
      <c r="AA1963" s="304">
        <f ca="1">OFFSET(卡牌辅助配置表!$AD$1,MATCH(AB1963,卡牌辅助配置表!AB:AB,0)-1,0)</f>
        <v>1421</v>
      </c>
      <c r="AB1963" s="304">
        <f ca="1" t="shared" si="329"/>
        <v>1227</v>
      </c>
      <c r="AC1963" s="153">
        <v>12</v>
      </c>
      <c r="AF1963" s="153" t="str">
        <f ca="1" t="shared" si="322"/>
        <v>30140011|</v>
      </c>
      <c r="AJ1963" s="205" t="str">
        <f ca="1" t="shared" si="330"/>
        <v>400023|19050|;</v>
      </c>
      <c r="AK1963" s="205">
        <f ca="1">OFFSET([1]item_type!$A$1,MATCH(Q1963,[1]item_type!$G:$G,0)-1,0)</f>
        <v>303014</v>
      </c>
      <c r="AL1963" s="205"/>
      <c r="AM1963" s="205">
        <f ca="1">IF(B1963=B1964,OFFSET(卡牌辅助配置表!$AE$1,MATCH(AB1963,卡牌辅助配置表!AB:AB,0),0),0)</f>
        <v>19050</v>
      </c>
      <c r="AN1963" s="153">
        <f ca="1" t="shared" si="325"/>
        <v>3014028</v>
      </c>
      <c r="AP1963" s="153">
        <f ca="1">IF(AC1963=0,0,IF(AC1963=12,0,OFFSET(effect!$N$1,MATCH(K1963,effect!M:M,0)-1,0)))</f>
        <v>0</v>
      </c>
    </row>
    <row r="1964" spans="1:42">
      <c r="A1964" s="153">
        <f ca="1" t="shared" si="326"/>
        <v>3014028</v>
      </c>
      <c r="B1964" s="91" t="s">
        <v>361</v>
      </c>
      <c r="C1964" s="186">
        <v>3</v>
      </c>
      <c r="D1964" s="186">
        <v>3</v>
      </c>
      <c r="E1964" s="165" t="s">
        <v>1069</v>
      </c>
      <c r="F1964" s="179" t="s">
        <v>1072</v>
      </c>
      <c r="G1964" s="186">
        <f ca="1">OFFSET(卡牌辅助配置表!$C$1,MATCH(AC1964,卡牌辅助配置表!A:A,0)-1,0)</f>
        <v>0</v>
      </c>
      <c r="H1964" s="186">
        <f ca="1">OFFSET(skill!$Q$1,MATCH(B1964,skill!B:B,0)-1,0)</f>
        <v>10</v>
      </c>
      <c r="I1964" s="186"/>
      <c r="J1964" s="186">
        <f ca="1">OFFSET(card_type!$F$1,MATCH(Q1964,card_type!A:A,0)-1,0)</f>
        <v>1</v>
      </c>
      <c r="K1964" s="243">
        <f ca="1">OFFSET(card_type!$G$1,MATCH(Q1964,card_type!A:A,0)-1,0)</f>
        <v>2</v>
      </c>
      <c r="L1964" s="157">
        <v>2</v>
      </c>
      <c r="M1964" s="157">
        <v>2</v>
      </c>
      <c r="N1964" s="153">
        <f t="shared" si="327"/>
        <v>28</v>
      </c>
      <c r="O1964" s="157"/>
      <c r="P1964" s="157"/>
      <c r="Q1964" s="153">
        <f ca="1">OFFSET(card_type!$A$1,MATCH(card!B1964,card_type!B:B,0)-1,0)</f>
        <v>3014</v>
      </c>
      <c r="R1964" s="153">
        <v>1</v>
      </c>
      <c r="S1964" s="157">
        <f ca="1">ROUND(IF(R1964=0,0,IF(R1964=1,X1964*$S$1,IF(R1964=2,X1964*$S$1*buff的资质计算!$E$2,IF(R1964=3,X1964*$S$1*buff的资质计算!$E$3,0)))),0)*0</f>
        <v>0</v>
      </c>
      <c r="T1964" s="153">
        <v>3</v>
      </c>
      <c r="U1964" s="153">
        <f ca="1" t="shared" si="328"/>
        <v>12</v>
      </c>
      <c r="V1964" s="153">
        <f ca="1">ROUND((OFFSET(卡牌辅助配置表!$O$1,MATCH(U1964,卡牌辅助配置表!M:M,0)-1,0)+(N1964-1)*OFFSET(卡牌辅助配置表!$P$1,MATCH(U1964,卡牌辅助配置表!M:M,0)-1,0))*M1964,2)</f>
        <v>36.1</v>
      </c>
      <c r="W1964" s="157">
        <f ca="1">ROUND(IF(R1964=0,0,IF(R1964=1,X1964*$W$1,IF(R1964=2,X1964*$W$1*buff的资质计算!$E$2,IF(R1964=3,X1964*$W$1*buff的资质计算!$E$3,0)))),2)</f>
        <v>9.45</v>
      </c>
      <c r="X1964" s="157">
        <f ca="1" t="shared" si="323"/>
        <v>31.5</v>
      </c>
      <c r="Y1964" s="157">
        <f ca="1" t="shared" si="331"/>
        <v>41.5</v>
      </c>
      <c r="Z1964" s="304">
        <f ca="1" t="shared" si="324"/>
        <v>20.75</v>
      </c>
      <c r="AA1964" s="304">
        <f ca="1">OFFSET(卡牌辅助配置表!$AD$1,MATCH(AB1964,卡牌辅助配置表!AB:AB,0)-1,0)</f>
        <v>1494</v>
      </c>
      <c r="AB1964" s="304">
        <f ca="1" t="shared" si="329"/>
        <v>1228</v>
      </c>
      <c r="AC1964" s="153">
        <v>12</v>
      </c>
      <c r="AF1964" s="153" t="str">
        <f ca="1" t="shared" si="322"/>
        <v>30140011|</v>
      </c>
      <c r="AJ1964" s="205" t="str">
        <f ca="1" t="shared" si="330"/>
        <v>400023|20250|;</v>
      </c>
      <c r="AK1964" s="205">
        <f ca="1">OFFSET([1]item_type!$A$1,MATCH(Q1964,[1]item_type!$G:$G,0)-1,0)</f>
        <v>303014</v>
      </c>
      <c r="AL1964" s="205"/>
      <c r="AM1964" s="205">
        <f ca="1">IF(B1964=B1965,OFFSET(卡牌辅助配置表!$AE$1,MATCH(AB1964,卡牌辅助配置表!AB:AB,0),0),0)</f>
        <v>20250</v>
      </c>
      <c r="AN1964" s="153">
        <f ca="1" t="shared" si="325"/>
        <v>3014029</v>
      </c>
      <c r="AP1964" s="153">
        <f ca="1">IF(AC1964=0,0,IF(AC1964=12,0,OFFSET(effect!$N$1,MATCH(K1964,effect!M:M,0)-1,0)))</f>
        <v>0</v>
      </c>
    </row>
    <row r="1965" spans="1:42">
      <c r="A1965" s="153">
        <f ca="1" t="shared" si="326"/>
        <v>3014029</v>
      </c>
      <c r="B1965" s="91" t="s">
        <v>361</v>
      </c>
      <c r="C1965" s="186">
        <v>3</v>
      </c>
      <c r="D1965" s="186">
        <v>3</v>
      </c>
      <c r="E1965" s="165" t="s">
        <v>1069</v>
      </c>
      <c r="F1965" s="179" t="s">
        <v>1072</v>
      </c>
      <c r="G1965" s="186">
        <f ca="1">OFFSET(卡牌辅助配置表!$C$1,MATCH(AC1965,卡牌辅助配置表!A:A,0)-1,0)</f>
        <v>0</v>
      </c>
      <c r="H1965" s="186">
        <f ca="1">OFFSET(skill!$Q$1,MATCH(B1965,skill!B:B,0)-1,0)</f>
        <v>10</v>
      </c>
      <c r="I1965" s="186"/>
      <c r="J1965" s="186">
        <f ca="1">OFFSET(card_type!$F$1,MATCH(Q1965,card_type!A:A,0)-1,0)</f>
        <v>1</v>
      </c>
      <c r="K1965" s="243">
        <f ca="1">OFFSET(card_type!$G$1,MATCH(Q1965,card_type!A:A,0)-1,0)</f>
        <v>2</v>
      </c>
      <c r="L1965" s="157">
        <v>2</v>
      </c>
      <c r="M1965" s="157">
        <v>2</v>
      </c>
      <c r="N1965" s="153">
        <f t="shared" si="327"/>
        <v>29</v>
      </c>
      <c r="O1965" s="157"/>
      <c r="P1965" s="157"/>
      <c r="Q1965" s="153">
        <f ca="1">OFFSET(card_type!$A$1,MATCH(card!B1965,card_type!B:B,0)-1,0)</f>
        <v>3014</v>
      </c>
      <c r="R1965" s="153">
        <v>1</v>
      </c>
      <c r="S1965" s="157">
        <f ca="1">ROUND(IF(R1965=0,0,IF(R1965=1,X1965*$S$1,IF(R1965=2,X1965*$S$1*buff的资质计算!$E$2,IF(R1965=3,X1965*$S$1*buff的资质计算!$E$3,0)))),0)*0</f>
        <v>0</v>
      </c>
      <c r="T1965" s="153">
        <v>3</v>
      </c>
      <c r="U1965" s="153">
        <f ca="1" t="shared" si="328"/>
        <v>12</v>
      </c>
      <c r="V1965" s="153">
        <f ca="1">ROUND((OFFSET(卡牌辅助配置表!$O$1,MATCH(U1965,卡牌辅助配置表!M:M,0)-1,0)+(N1965-1)*OFFSET(卡牌辅助配置表!$P$1,MATCH(U1965,卡牌辅助配置表!M:M,0)-1,0))*M1965,2)</f>
        <v>36.73</v>
      </c>
      <c r="W1965" s="157">
        <f ca="1">ROUND(IF(R1965=0,0,IF(R1965=1,X1965*$W$1,IF(R1965=2,X1965*$W$1*buff的资质计算!$E$2,IF(R1965=3,X1965*$W$1*buff的资质计算!$E$3,0)))),2)</f>
        <v>9.6</v>
      </c>
      <c r="X1965" s="157">
        <f ca="1" t="shared" si="323"/>
        <v>32</v>
      </c>
      <c r="Y1965" s="157">
        <f ca="1" t="shared" si="331"/>
        <v>42</v>
      </c>
      <c r="Z1965" s="304">
        <f ca="1" t="shared" si="324"/>
        <v>21</v>
      </c>
      <c r="AA1965" s="304">
        <f ca="1">OFFSET(卡牌辅助配置表!$AD$1,MATCH(AB1965,卡牌辅助配置表!AB:AB,0)-1,0)</f>
        <v>1567</v>
      </c>
      <c r="AB1965" s="304">
        <f ca="1" t="shared" si="329"/>
        <v>1229</v>
      </c>
      <c r="AC1965" s="153">
        <v>12</v>
      </c>
      <c r="AF1965" s="153" t="str">
        <f ca="1" t="shared" si="322"/>
        <v>30140011|</v>
      </c>
      <c r="AJ1965" s="205" t="str">
        <f ca="1" t="shared" si="330"/>
        <v>303014|30|;400023|21450|;</v>
      </c>
      <c r="AK1965" s="205">
        <f ca="1">OFFSET([1]item_type!$A$1,MATCH(Q1965,[1]item_type!$G:$G,0)-1,0)</f>
        <v>303014</v>
      </c>
      <c r="AL1965" s="205">
        <v>30</v>
      </c>
      <c r="AM1965" s="205">
        <f ca="1">IF(B1965=B1966,OFFSET(卡牌辅助配置表!$AE$1,MATCH(AB1965,卡牌辅助配置表!AB:AB,0),0),0)</f>
        <v>21450</v>
      </c>
      <c r="AN1965" s="153">
        <f ca="1" t="shared" si="325"/>
        <v>3014030</v>
      </c>
      <c r="AP1965" s="153">
        <f ca="1">IF(AC1965=0,0,IF(AC1965=12,0,OFFSET(effect!$N$1,MATCH(K1965,effect!M:M,0)-1,0)))</f>
        <v>0</v>
      </c>
    </row>
    <row r="1966" spans="1:42">
      <c r="A1966" s="153">
        <f ca="1" t="shared" si="326"/>
        <v>3014030</v>
      </c>
      <c r="B1966" s="91" t="s">
        <v>361</v>
      </c>
      <c r="C1966" s="186">
        <v>3</v>
      </c>
      <c r="D1966" s="186">
        <v>3</v>
      </c>
      <c r="E1966" s="165" t="s">
        <v>1069</v>
      </c>
      <c r="F1966" s="179" t="s">
        <v>1072</v>
      </c>
      <c r="G1966" s="186">
        <f ca="1">OFFSET(卡牌辅助配置表!$C$1,MATCH(AC1966,卡牌辅助配置表!A:A,0)-1,0)</f>
        <v>0</v>
      </c>
      <c r="H1966" s="186">
        <f ca="1">OFFSET(skill!$Q$1,MATCH(B1966,skill!B:B,0)-1,0)</f>
        <v>10</v>
      </c>
      <c r="I1966" s="186"/>
      <c r="J1966" s="186">
        <f ca="1">OFFSET(card_type!$F$1,MATCH(Q1966,card_type!A:A,0)-1,0)</f>
        <v>1</v>
      </c>
      <c r="K1966" s="243">
        <f ca="1">OFFSET(card_type!$G$1,MATCH(Q1966,card_type!A:A,0)-1,0)</f>
        <v>2</v>
      </c>
      <c r="L1966" s="157">
        <v>2</v>
      </c>
      <c r="M1966" s="157">
        <v>2</v>
      </c>
      <c r="N1966" s="153">
        <f t="shared" si="327"/>
        <v>30</v>
      </c>
      <c r="O1966" s="157"/>
      <c r="P1966" s="157"/>
      <c r="Q1966" s="153">
        <f ca="1">OFFSET(card_type!$A$1,MATCH(card!B1966,card_type!B:B,0)-1,0)</f>
        <v>3014</v>
      </c>
      <c r="R1966" s="153">
        <v>1</v>
      </c>
      <c r="S1966" s="157">
        <f ca="1">ROUND(IF(R1966=0,0,IF(R1966=1,X1966*$S$1,IF(R1966=2,X1966*$S$1*buff的资质计算!$E$2,IF(R1966=3,X1966*$S$1*buff的资质计算!$E$3,0)))),0)*0</f>
        <v>0</v>
      </c>
      <c r="T1966" s="153">
        <v>3</v>
      </c>
      <c r="U1966" s="153">
        <f ca="1" t="shared" si="328"/>
        <v>12</v>
      </c>
      <c r="V1966" s="153">
        <f ca="1">ROUND((OFFSET(卡牌辅助配置表!$O$1,MATCH(U1966,卡牌辅助配置表!M:M,0)-1,0)+(N1966-1)*OFFSET(卡牌辅助配置表!$P$1,MATCH(U1966,卡牌辅助配置表!M:M,0)-1,0))*M1966,2)</f>
        <v>37.37</v>
      </c>
      <c r="W1966" s="157">
        <f ca="1">ROUND(IF(R1966=0,0,IF(R1966=1,X1966*$W$1,IF(R1966=2,X1966*$W$1*buff的资质计算!$E$2,IF(R1966=3,X1966*$W$1*buff的资质计算!$E$3,0)))),2)</f>
        <v>9.75</v>
      </c>
      <c r="X1966" s="157">
        <f ca="1" t="shared" si="323"/>
        <v>32.5</v>
      </c>
      <c r="Y1966" s="157">
        <f ca="1" t="shared" si="331"/>
        <v>42.5</v>
      </c>
      <c r="Z1966" s="304">
        <f ca="1" t="shared" si="324"/>
        <v>21.25</v>
      </c>
      <c r="AA1966" s="304">
        <f ca="1">OFFSET(卡牌辅助配置表!$AD$1,MATCH(AB1966,卡牌辅助配置表!AB:AB,0)-1,0)</f>
        <v>1640</v>
      </c>
      <c r="AB1966" s="304">
        <f ca="1" t="shared" si="329"/>
        <v>1230</v>
      </c>
      <c r="AC1966" s="153">
        <v>12</v>
      </c>
      <c r="AF1966" s="153" t="str">
        <f ca="1" t="shared" si="322"/>
        <v>30140011|</v>
      </c>
      <c r="AJ1966" s="205">
        <f ca="1" t="shared" si="330"/>
        <v>0</v>
      </c>
      <c r="AK1966" s="205">
        <f ca="1">OFFSET([1]item_type!$A$1,MATCH(Q1966,[1]item_type!$G:$G,0)-1,0)</f>
        <v>303014</v>
      </c>
      <c r="AL1966" s="205"/>
      <c r="AM1966" s="205">
        <f ca="1">IF(B1966=B1967,OFFSET(卡牌辅助配置表!$AE$1,MATCH(AB1966,卡牌辅助配置表!AB:AB,0),0),0)</f>
        <v>0</v>
      </c>
      <c r="AN1966" s="153">
        <f ca="1" t="shared" si="325"/>
        <v>0</v>
      </c>
      <c r="AP1966" s="153">
        <f ca="1">IF(AC1966=0,0,IF(AC1966=12,0,OFFSET(effect!$N$1,MATCH(K1966,effect!M:M,0)-1,0)))</f>
        <v>0</v>
      </c>
    </row>
    <row r="1967" spans="1:42">
      <c r="A1967" s="153">
        <f ca="1" t="shared" si="326"/>
        <v>3015001</v>
      </c>
      <c r="B1967" s="91" t="s">
        <v>367</v>
      </c>
      <c r="C1967" s="186">
        <v>3</v>
      </c>
      <c r="D1967" s="186">
        <v>3</v>
      </c>
      <c r="E1967" s="165" t="s">
        <v>1069</v>
      </c>
      <c r="F1967" s="179" t="s">
        <v>1073</v>
      </c>
      <c r="G1967" s="186">
        <f ca="1">OFFSET(卡牌辅助配置表!$C$1,MATCH(AC1967,卡牌辅助配置表!A:A,0)-1,0)</f>
        <v>6</v>
      </c>
      <c r="H1967" s="186" t="e">
        <f ca="1">OFFSET(skill!$Q$1,MATCH(B1967,skill!B:B,0)-1,0)</f>
        <v>#VALUE!</v>
      </c>
      <c r="I1967" s="186"/>
      <c r="J1967" s="186">
        <f ca="1">OFFSET(card_type!$F$1,MATCH(Q1967,card_type!A:A,0)-1,0)</f>
        <v>2</v>
      </c>
      <c r="K1967" s="243">
        <f ca="1">OFFSET(card_type!$G$1,MATCH(Q1967,card_type!A:A,0)-1,0)</f>
        <v>1</v>
      </c>
      <c r="L1967" s="157">
        <v>3</v>
      </c>
      <c r="M1967" s="157">
        <v>3</v>
      </c>
      <c r="N1967" s="153">
        <f t="shared" si="327"/>
        <v>1</v>
      </c>
      <c r="O1967" s="157"/>
      <c r="P1967" s="157"/>
      <c r="Q1967" s="153">
        <f ca="1">OFFSET(card_type!$A$1,MATCH(card!B1967,card_type!B:B,0)-1,0)</f>
        <v>3015</v>
      </c>
      <c r="R1967" s="153">
        <v>1</v>
      </c>
      <c r="S1967" s="157">
        <f ca="1">ROUND(IF(R1967=0,0,IF(R1967=1,X1967*$S$1,IF(R1967=2,X1967*$S$1*buff的资质计算!$E$2,IF(R1967=3,X1967*$S$1*buff的资质计算!$E$3,0)))),0)*0</f>
        <v>0</v>
      </c>
      <c r="T1967" s="153">
        <v>3</v>
      </c>
      <c r="U1967" s="153">
        <f ca="1" t="shared" si="328"/>
        <v>21</v>
      </c>
      <c r="V1967" s="153">
        <f ca="1">ROUND((OFFSET(卡牌辅助配置表!$O$1,MATCH(U1967,卡牌辅助配置表!M:M,0)-1,0)+(N1967-1)*OFFSET(卡牌辅助配置表!$P$1,MATCH(U1967,卡牌辅助配置表!M:M,0)-1,0))*M1967,2)</f>
        <v>20.79</v>
      </c>
      <c r="W1967" s="157">
        <f ca="1">ROUND(IF(R1967=0,0,IF(R1967=1,X1967*$W$1,IF(R1967=2,X1967*$W$1*buff的资质计算!$E$2,IF(R1967=3,X1967*$W$1*buff的资质计算!$E$3,0)))),2)</f>
        <v>10.8</v>
      </c>
      <c r="X1967" s="157">
        <f ca="1" t="shared" si="323"/>
        <v>36</v>
      </c>
      <c r="Y1967" s="157" t="e">
        <f ca="1" t="shared" si="331"/>
        <v>#VALUE!</v>
      </c>
      <c r="Z1967" s="304" t="e">
        <f ca="1" t="shared" si="324"/>
        <v>#VALUE!</v>
      </c>
      <c r="AA1967" s="304">
        <f ca="1">OFFSET(卡牌辅助配置表!$AD$1,MATCH(AB1967,卡牌辅助配置表!AB:AB,0)-1,0)</f>
        <v>42</v>
      </c>
      <c r="AB1967" s="304">
        <f ca="1" t="shared" si="329"/>
        <v>2101</v>
      </c>
      <c r="AC1967" s="153">
        <v>7</v>
      </c>
      <c r="AD1967" s="153">
        <v>2</v>
      </c>
      <c r="AE1967" s="153">
        <v>1</v>
      </c>
      <c r="AF1967" s="153" t="str">
        <f ca="1" t="shared" si="322"/>
        <v>30150011|</v>
      </c>
      <c r="AI1967" s="153">
        <v>1</v>
      </c>
      <c r="AJ1967" s="205" t="str">
        <f ca="1" t="shared" si="330"/>
        <v>400023|700|;</v>
      </c>
      <c r="AK1967" s="205">
        <f ca="1">OFFSET([1]item_type!$A$1,MATCH(Q1967,[1]item_type!$G:$G,0)-1,0)</f>
        <v>303015</v>
      </c>
      <c r="AL1967" s="205"/>
      <c r="AM1967" s="205">
        <f ca="1">IF(B1967=B1968,OFFSET(卡牌辅助配置表!$AE$1,MATCH(AB1967,卡牌辅助配置表!AB:AB,0),0),0)</f>
        <v>700</v>
      </c>
      <c r="AN1967" s="153">
        <f ca="1" t="shared" si="325"/>
        <v>3015002</v>
      </c>
      <c r="AP1967" s="153" t="str">
        <f ca="1">IF(AC1967=0,0,IF(AC1967=12,0,OFFSET(effect!$N$1,MATCH(K1967,effect!M:M,0)-1,0)))</f>
        <v>kpsx_pt</v>
      </c>
    </row>
    <row r="1968" spans="1:42">
      <c r="A1968" s="153">
        <f ca="1" t="shared" si="326"/>
        <v>3015002</v>
      </c>
      <c r="B1968" s="91" t="s">
        <v>367</v>
      </c>
      <c r="C1968" s="186">
        <v>3</v>
      </c>
      <c r="D1968" s="186">
        <v>3</v>
      </c>
      <c r="E1968" s="165" t="s">
        <v>1069</v>
      </c>
      <c r="F1968" s="179" t="s">
        <v>1073</v>
      </c>
      <c r="G1968" s="186">
        <f ca="1">OFFSET(卡牌辅助配置表!$C$1,MATCH(AC1968,卡牌辅助配置表!A:A,0)-1,0)</f>
        <v>6</v>
      </c>
      <c r="H1968" s="186" t="e">
        <f ca="1">OFFSET(skill!$Q$1,MATCH(B1968,skill!B:B,0)-1,0)</f>
        <v>#VALUE!</v>
      </c>
      <c r="I1968" s="186"/>
      <c r="J1968" s="186">
        <f ca="1">OFFSET(card_type!$F$1,MATCH(Q1968,card_type!A:A,0)-1,0)</f>
        <v>2</v>
      </c>
      <c r="K1968" s="243">
        <f ca="1">OFFSET(card_type!$G$1,MATCH(Q1968,card_type!A:A,0)-1,0)</f>
        <v>1</v>
      </c>
      <c r="L1968" s="157">
        <v>3</v>
      </c>
      <c r="M1968" s="157">
        <v>3</v>
      </c>
      <c r="N1968" s="153">
        <f t="shared" si="327"/>
        <v>2</v>
      </c>
      <c r="O1968" s="157"/>
      <c r="P1968" s="157"/>
      <c r="Q1968" s="153">
        <f ca="1">OFFSET(card_type!$A$1,MATCH(card!B1968,card_type!B:B,0)-1,0)</f>
        <v>3015</v>
      </c>
      <c r="R1968" s="153">
        <v>1</v>
      </c>
      <c r="S1968" s="157">
        <f ca="1">ROUND(IF(R1968=0,0,IF(R1968=1,X1968*$S$1,IF(R1968=2,X1968*$S$1*buff的资质计算!$E$2,IF(R1968=3,X1968*$S$1*buff的资质计算!$E$3,0)))),0)*0</f>
        <v>0</v>
      </c>
      <c r="T1968" s="153">
        <v>3</v>
      </c>
      <c r="U1968" s="153">
        <f ca="1" t="shared" si="328"/>
        <v>21</v>
      </c>
      <c r="V1968" s="153">
        <f ca="1">ROUND((OFFSET(卡牌辅助配置表!$O$1,MATCH(U1968,卡牌辅助配置表!M:M,0)-1,0)+(N1968-1)*OFFSET(卡牌辅助配置表!$P$1,MATCH(U1968,卡牌辅助配置表!M:M,0)-1,0))*M1968,2)</f>
        <v>22.47</v>
      </c>
      <c r="W1968" s="157">
        <f ca="1">ROUND(IF(R1968=0,0,IF(R1968=1,X1968*$W$1,IF(R1968=2,X1968*$W$1*buff的资质计算!$E$2,IF(R1968=3,X1968*$W$1*buff的资质计算!$E$3,0)))),2)</f>
        <v>10.95</v>
      </c>
      <c r="X1968" s="157">
        <f ca="1" t="shared" si="323"/>
        <v>36.5</v>
      </c>
      <c r="Y1968" s="157" t="e">
        <f ca="1" t="shared" si="331"/>
        <v>#VALUE!</v>
      </c>
      <c r="Z1968" s="304" t="e">
        <f ca="1" t="shared" si="324"/>
        <v>#VALUE!</v>
      </c>
      <c r="AA1968" s="304">
        <f ca="1">OFFSET(卡牌辅助配置表!$AD$1,MATCH(AB1968,卡牌辅助配置表!AB:AB,0)-1,0)</f>
        <v>84</v>
      </c>
      <c r="AB1968" s="304">
        <f ca="1" t="shared" si="329"/>
        <v>2102</v>
      </c>
      <c r="AC1968" s="153">
        <v>7</v>
      </c>
      <c r="AD1968" s="153">
        <v>2</v>
      </c>
      <c r="AE1968" s="153">
        <v>1</v>
      </c>
      <c r="AF1968" s="153" t="str">
        <f ca="1" t="shared" si="322"/>
        <v>30150011|</v>
      </c>
      <c r="AI1968" s="153">
        <v>1</v>
      </c>
      <c r="AJ1968" s="205" t="str">
        <f ca="1" t="shared" si="330"/>
        <v>400023|900|;</v>
      </c>
      <c r="AK1968" s="205">
        <f ca="1">OFFSET([1]item_type!$A$1,MATCH(Q1968,[1]item_type!$G:$G,0)-1,0)</f>
        <v>303015</v>
      </c>
      <c r="AL1968" s="205"/>
      <c r="AM1968" s="205">
        <f ca="1">IF(B1968=B1969,OFFSET(卡牌辅助配置表!$AE$1,MATCH(AB1968,卡牌辅助配置表!AB:AB,0),0),0)</f>
        <v>900</v>
      </c>
      <c r="AN1968" s="153">
        <f ca="1" t="shared" si="325"/>
        <v>3015003</v>
      </c>
      <c r="AP1968" s="153" t="str">
        <f ca="1">IF(AC1968=0,0,IF(AC1968=12,0,OFFSET(effect!$N$1,MATCH(K1968,effect!M:M,0)-1,0)))</f>
        <v>kpsx_pt</v>
      </c>
    </row>
    <row r="1969" spans="1:42">
      <c r="A1969" s="153">
        <f ca="1" t="shared" si="326"/>
        <v>3015003</v>
      </c>
      <c r="B1969" s="91" t="s">
        <v>367</v>
      </c>
      <c r="C1969" s="186">
        <v>3</v>
      </c>
      <c r="D1969" s="186">
        <v>3</v>
      </c>
      <c r="E1969" s="165" t="s">
        <v>1069</v>
      </c>
      <c r="F1969" s="179" t="s">
        <v>1073</v>
      </c>
      <c r="G1969" s="186">
        <f ca="1">OFFSET(卡牌辅助配置表!$C$1,MATCH(AC1969,卡牌辅助配置表!A:A,0)-1,0)</f>
        <v>6</v>
      </c>
      <c r="H1969" s="186" t="e">
        <f ca="1">OFFSET(skill!$Q$1,MATCH(B1969,skill!B:B,0)-1,0)</f>
        <v>#VALUE!</v>
      </c>
      <c r="I1969" s="186"/>
      <c r="J1969" s="186">
        <f ca="1">OFFSET(card_type!$F$1,MATCH(Q1969,card_type!A:A,0)-1,0)</f>
        <v>2</v>
      </c>
      <c r="K1969" s="243">
        <f ca="1">OFFSET(card_type!$G$1,MATCH(Q1969,card_type!A:A,0)-1,0)</f>
        <v>1</v>
      </c>
      <c r="L1969" s="157">
        <v>3</v>
      </c>
      <c r="M1969" s="157">
        <v>3</v>
      </c>
      <c r="N1969" s="153">
        <f t="shared" si="327"/>
        <v>3</v>
      </c>
      <c r="O1969" s="157"/>
      <c r="P1969" s="157"/>
      <c r="Q1969" s="153">
        <f ca="1">OFFSET(card_type!$A$1,MATCH(card!B1969,card_type!B:B,0)-1,0)</f>
        <v>3015</v>
      </c>
      <c r="R1969" s="153">
        <v>1</v>
      </c>
      <c r="S1969" s="157">
        <f ca="1">ROUND(IF(R1969=0,0,IF(R1969=1,X1969*$S$1,IF(R1969=2,X1969*$S$1*buff的资质计算!$E$2,IF(R1969=3,X1969*$S$1*buff的资质计算!$E$3,0)))),0)*0</f>
        <v>0</v>
      </c>
      <c r="T1969" s="153">
        <v>3</v>
      </c>
      <c r="U1969" s="153">
        <f ca="1" t="shared" si="328"/>
        <v>21</v>
      </c>
      <c r="V1969" s="153">
        <f ca="1">ROUND((OFFSET(卡牌辅助配置表!$O$1,MATCH(U1969,卡牌辅助配置表!M:M,0)-1,0)+(N1969-1)*OFFSET(卡牌辅助配置表!$P$1,MATCH(U1969,卡牌辅助配置表!M:M,0)-1,0))*M1969,2)</f>
        <v>24.16</v>
      </c>
      <c r="W1969" s="157">
        <f ca="1">ROUND(IF(R1969=0,0,IF(R1969=1,X1969*$W$1,IF(R1969=2,X1969*$W$1*buff的资质计算!$E$2,IF(R1969=3,X1969*$W$1*buff的资质计算!$E$3,0)))),2)</f>
        <v>11.1</v>
      </c>
      <c r="X1969" s="157">
        <f ca="1" t="shared" si="323"/>
        <v>37</v>
      </c>
      <c r="Y1969" s="157" t="e">
        <f ca="1" t="shared" si="331"/>
        <v>#VALUE!</v>
      </c>
      <c r="Z1969" s="304" t="e">
        <f ca="1" t="shared" si="324"/>
        <v>#VALUE!</v>
      </c>
      <c r="AA1969" s="304">
        <f ca="1">OFFSET(卡牌辅助配置表!$AD$1,MATCH(AB1969,卡牌辅助配置表!AB:AB,0)-1,0)</f>
        <v>126</v>
      </c>
      <c r="AB1969" s="304">
        <f ca="1" t="shared" si="329"/>
        <v>2103</v>
      </c>
      <c r="AC1969" s="153">
        <v>7</v>
      </c>
      <c r="AD1969" s="153">
        <v>2</v>
      </c>
      <c r="AE1969" s="153">
        <v>1</v>
      </c>
      <c r="AF1969" s="153" t="str">
        <f ca="1" t="shared" si="322"/>
        <v>30150011|</v>
      </c>
      <c r="AI1969" s="153">
        <v>1</v>
      </c>
      <c r="AJ1969" s="205" t="str">
        <f ca="1" t="shared" si="330"/>
        <v>400023|1100|;</v>
      </c>
      <c r="AK1969" s="205">
        <f ca="1">OFFSET([1]item_type!$A$1,MATCH(Q1969,[1]item_type!$G:$G,0)-1,0)</f>
        <v>303015</v>
      </c>
      <c r="AL1969" s="205"/>
      <c r="AM1969" s="205">
        <f ca="1">IF(B1969=B1970,OFFSET(卡牌辅助配置表!$AE$1,MATCH(AB1969,卡牌辅助配置表!AB:AB,0),0),0)</f>
        <v>1100</v>
      </c>
      <c r="AN1969" s="153">
        <f ca="1" t="shared" si="325"/>
        <v>3015004</v>
      </c>
      <c r="AP1969" s="153" t="str">
        <f ca="1">IF(AC1969=0,0,IF(AC1969=12,0,OFFSET(effect!$N$1,MATCH(K1969,effect!M:M,0)-1,0)))</f>
        <v>kpsx_pt</v>
      </c>
    </row>
    <row r="1970" spans="1:42">
      <c r="A1970" s="153">
        <f ca="1" t="shared" si="326"/>
        <v>3015004</v>
      </c>
      <c r="B1970" s="91" t="s">
        <v>367</v>
      </c>
      <c r="C1970" s="186">
        <v>3</v>
      </c>
      <c r="D1970" s="186">
        <v>3</v>
      </c>
      <c r="E1970" s="165" t="s">
        <v>1069</v>
      </c>
      <c r="F1970" s="179" t="s">
        <v>1073</v>
      </c>
      <c r="G1970" s="186">
        <f ca="1">OFFSET(卡牌辅助配置表!$C$1,MATCH(AC1970,卡牌辅助配置表!A:A,0)-1,0)</f>
        <v>6</v>
      </c>
      <c r="H1970" s="186" t="e">
        <f ca="1">OFFSET(skill!$Q$1,MATCH(B1970,skill!B:B,0)-1,0)</f>
        <v>#VALUE!</v>
      </c>
      <c r="I1970" s="186"/>
      <c r="J1970" s="186">
        <f ca="1">OFFSET(card_type!$F$1,MATCH(Q1970,card_type!A:A,0)-1,0)</f>
        <v>2</v>
      </c>
      <c r="K1970" s="243">
        <f ca="1">OFFSET(card_type!$G$1,MATCH(Q1970,card_type!A:A,0)-1,0)</f>
        <v>1</v>
      </c>
      <c r="L1970" s="157">
        <v>3</v>
      </c>
      <c r="M1970" s="157">
        <v>3</v>
      </c>
      <c r="N1970" s="153">
        <f t="shared" si="327"/>
        <v>4</v>
      </c>
      <c r="O1970" s="157"/>
      <c r="P1970" s="157"/>
      <c r="Q1970" s="153">
        <f ca="1">OFFSET(card_type!$A$1,MATCH(card!B1970,card_type!B:B,0)-1,0)</f>
        <v>3015</v>
      </c>
      <c r="R1970" s="153">
        <v>1</v>
      </c>
      <c r="S1970" s="157">
        <f ca="1">ROUND(IF(R1970=0,0,IF(R1970=1,X1970*$S$1,IF(R1970=2,X1970*$S$1*buff的资质计算!$E$2,IF(R1970=3,X1970*$S$1*buff的资质计算!$E$3,0)))),0)*0</f>
        <v>0</v>
      </c>
      <c r="T1970" s="153">
        <v>3</v>
      </c>
      <c r="U1970" s="153">
        <f ca="1" t="shared" si="328"/>
        <v>21</v>
      </c>
      <c r="V1970" s="153">
        <f ca="1">ROUND((OFFSET(卡牌辅助配置表!$O$1,MATCH(U1970,卡牌辅助配置表!M:M,0)-1,0)+(N1970-1)*OFFSET(卡牌辅助配置表!$P$1,MATCH(U1970,卡牌辅助配置表!M:M,0)-1,0))*M1970,2)</f>
        <v>25.84</v>
      </c>
      <c r="W1970" s="157">
        <f ca="1">ROUND(IF(R1970=0,0,IF(R1970=1,X1970*$W$1,IF(R1970=2,X1970*$W$1*buff的资质计算!$E$2,IF(R1970=3,X1970*$W$1*buff的资质计算!$E$3,0)))),2)</f>
        <v>11.25</v>
      </c>
      <c r="X1970" s="157">
        <f ca="1" t="shared" si="323"/>
        <v>37.5</v>
      </c>
      <c r="Y1970" s="157" t="e">
        <f ca="1" t="shared" si="331"/>
        <v>#VALUE!</v>
      </c>
      <c r="Z1970" s="304" t="e">
        <f ca="1" t="shared" si="324"/>
        <v>#VALUE!</v>
      </c>
      <c r="AA1970" s="304">
        <f ca="1">OFFSET(卡牌辅助配置表!$AD$1,MATCH(AB1970,卡牌辅助配置表!AB:AB,0)-1,0)</f>
        <v>168</v>
      </c>
      <c r="AB1970" s="304">
        <f ca="1" t="shared" si="329"/>
        <v>2104</v>
      </c>
      <c r="AC1970" s="153">
        <v>7</v>
      </c>
      <c r="AD1970" s="153">
        <v>2</v>
      </c>
      <c r="AE1970" s="153">
        <v>1</v>
      </c>
      <c r="AF1970" s="153" t="str">
        <f ca="1" t="shared" si="322"/>
        <v>30150011|</v>
      </c>
      <c r="AI1970" s="153">
        <v>1</v>
      </c>
      <c r="AJ1970" s="205" t="str">
        <f ca="1" t="shared" si="330"/>
        <v>400023|1300|;</v>
      </c>
      <c r="AK1970" s="205">
        <f ca="1">OFFSET([1]item_type!$A$1,MATCH(Q1970,[1]item_type!$G:$G,0)-1,0)</f>
        <v>303015</v>
      </c>
      <c r="AL1970" s="205"/>
      <c r="AM1970" s="205">
        <f ca="1">IF(B1970=B1971,OFFSET(卡牌辅助配置表!$AE$1,MATCH(AB1970,卡牌辅助配置表!AB:AB,0),0),0)</f>
        <v>1300</v>
      </c>
      <c r="AN1970" s="153">
        <f ca="1" t="shared" si="325"/>
        <v>3015005</v>
      </c>
      <c r="AP1970" s="153" t="str">
        <f ca="1">IF(AC1970=0,0,IF(AC1970=12,0,OFFSET(effect!$N$1,MATCH(K1970,effect!M:M,0)-1,0)))</f>
        <v>kpsx_pt</v>
      </c>
    </row>
    <row r="1971" spans="1:42">
      <c r="A1971" s="153">
        <f ca="1" t="shared" si="326"/>
        <v>3015005</v>
      </c>
      <c r="B1971" s="91" t="s">
        <v>367</v>
      </c>
      <c r="C1971" s="186">
        <v>3</v>
      </c>
      <c r="D1971" s="186">
        <v>3</v>
      </c>
      <c r="E1971" s="165" t="s">
        <v>1069</v>
      </c>
      <c r="F1971" s="179" t="s">
        <v>1073</v>
      </c>
      <c r="G1971" s="186">
        <f ca="1">OFFSET(卡牌辅助配置表!$C$1,MATCH(AC1971,卡牌辅助配置表!A:A,0)-1,0)</f>
        <v>6</v>
      </c>
      <c r="H1971" s="186" t="e">
        <f ca="1">OFFSET(skill!$Q$1,MATCH(B1971,skill!B:B,0)-1,0)</f>
        <v>#VALUE!</v>
      </c>
      <c r="I1971" s="186"/>
      <c r="J1971" s="186">
        <f ca="1">OFFSET(card_type!$F$1,MATCH(Q1971,card_type!A:A,0)-1,0)</f>
        <v>2</v>
      </c>
      <c r="K1971" s="243">
        <f ca="1">OFFSET(card_type!$G$1,MATCH(Q1971,card_type!A:A,0)-1,0)</f>
        <v>1</v>
      </c>
      <c r="L1971" s="157">
        <v>3</v>
      </c>
      <c r="M1971" s="157">
        <v>3</v>
      </c>
      <c r="N1971" s="153">
        <f t="shared" si="327"/>
        <v>5</v>
      </c>
      <c r="O1971" s="157"/>
      <c r="P1971" s="157"/>
      <c r="Q1971" s="153">
        <f ca="1">OFFSET(card_type!$A$1,MATCH(card!B1971,card_type!B:B,0)-1,0)</f>
        <v>3015</v>
      </c>
      <c r="R1971" s="153">
        <v>1</v>
      </c>
      <c r="S1971" s="157">
        <f ca="1">ROUND(IF(R1971=0,0,IF(R1971=1,X1971*$S$1,IF(R1971=2,X1971*$S$1*buff的资质计算!$E$2,IF(R1971=3,X1971*$S$1*buff的资质计算!$E$3,0)))),0)*0</f>
        <v>0</v>
      </c>
      <c r="T1971" s="153">
        <v>3</v>
      </c>
      <c r="U1971" s="153">
        <f ca="1" t="shared" si="328"/>
        <v>21</v>
      </c>
      <c r="V1971" s="153">
        <f ca="1">ROUND((OFFSET(卡牌辅助配置表!$O$1,MATCH(U1971,卡牌辅助配置表!M:M,0)-1,0)+(N1971-1)*OFFSET(卡牌辅助配置表!$P$1,MATCH(U1971,卡牌辅助配置表!M:M,0)-1,0))*M1971,2)</f>
        <v>27.52</v>
      </c>
      <c r="W1971" s="157">
        <f ca="1">ROUND(IF(R1971=0,0,IF(R1971=1,X1971*$W$1,IF(R1971=2,X1971*$W$1*buff的资质计算!$E$2,IF(R1971=3,X1971*$W$1*buff的资质计算!$E$3,0)))),2)</f>
        <v>11.4</v>
      </c>
      <c r="X1971" s="157">
        <f ca="1" t="shared" si="323"/>
        <v>38</v>
      </c>
      <c r="Y1971" s="157" t="e">
        <f ca="1" t="shared" si="331"/>
        <v>#VALUE!</v>
      </c>
      <c r="Z1971" s="304" t="e">
        <f ca="1" t="shared" si="324"/>
        <v>#VALUE!</v>
      </c>
      <c r="AA1971" s="304">
        <f ca="1">OFFSET(卡牌辅助配置表!$AD$1,MATCH(AB1971,卡牌辅助配置表!AB:AB,0)-1,0)</f>
        <v>210</v>
      </c>
      <c r="AB1971" s="304">
        <f ca="1" t="shared" si="329"/>
        <v>2105</v>
      </c>
      <c r="AC1971" s="153">
        <v>7</v>
      </c>
      <c r="AD1971" s="153">
        <v>2</v>
      </c>
      <c r="AE1971" s="153">
        <v>1</v>
      </c>
      <c r="AF1971" s="153" t="str">
        <f ca="1" t="shared" ref="AF1971:AF2034" si="332">((Q1971*1000+1)*10+1)&amp;$AF$1</f>
        <v>30150011|</v>
      </c>
      <c r="AI1971" s="153">
        <v>1</v>
      </c>
      <c r="AJ1971" s="205" t="str">
        <f ca="1" t="shared" si="330"/>
        <v>400023|1500|;</v>
      </c>
      <c r="AK1971" s="205">
        <f ca="1">OFFSET([1]item_type!$A$1,MATCH(Q1971,[1]item_type!$G:$G,0)-1,0)</f>
        <v>303015</v>
      </c>
      <c r="AL1971" s="205"/>
      <c r="AM1971" s="205">
        <f ca="1">IF(B1971=B1972,OFFSET(卡牌辅助配置表!$AE$1,MATCH(AB1971,卡牌辅助配置表!AB:AB,0),0),0)</f>
        <v>1500</v>
      </c>
      <c r="AN1971" s="153">
        <f ca="1" t="shared" si="325"/>
        <v>3015006</v>
      </c>
      <c r="AP1971" s="153" t="str">
        <f ca="1">IF(AC1971=0,0,IF(AC1971=12,0,OFFSET(effect!$N$1,MATCH(K1971,effect!M:M,0)-1,0)))</f>
        <v>kpsx_pt</v>
      </c>
    </row>
    <row r="1972" spans="1:42">
      <c r="A1972" s="153">
        <f ca="1" t="shared" si="326"/>
        <v>3015006</v>
      </c>
      <c r="B1972" s="91" t="s">
        <v>367</v>
      </c>
      <c r="C1972" s="186">
        <v>3</v>
      </c>
      <c r="D1972" s="186">
        <v>3</v>
      </c>
      <c r="E1972" s="165" t="s">
        <v>1069</v>
      </c>
      <c r="F1972" s="179" t="s">
        <v>1073</v>
      </c>
      <c r="G1972" s="186">
        <f ca="1">OFFSET(卡牌辅助配置表!$C$1,MATCH(AC1972,卡牌辅助配置表!A:A,0)-1,0)</f>
        <v>6</v>
      </c>
      <c r="H1972" s="186" t="e">
        <f ca="1">OFFSET(skill!$Q$1,MATCH(B1972,skill!B:B,0)-1,0)</f>
        <v>#VALUE!</v>
      </c>
      <c r="I1972" s="186"/>
      <c r="J1972" s="186">
        <f ca="1">OFFSET(card_type!$F$1,MATCH(Q1972,card_type!A:A,0)-1,0)</f>
        <v>2</v>
      </c>
      <c r="K1972" s="243">
        <f ca="1">OFFSET(card_type!$G$1,MATCH(Q1972,card_type!A:A,0)-1,0)</f>
        <v>1</v>
      </c>
      <c r="L1972" s="157">
        <v>3</v>
      </c>
      <c r="M1972" s="157">
        <v>3</v>
      </c>
      <c r="N1972" s="153">
        <f t="shared" si="327"/>
        <v>6</v>
      </c>
      <c r="O1972" s="157"/>
      <c r="P1972" s="157"/>
      <c r="Q1972" s="153">
        <f ca="1">OFFSET(card_type!$A$1,MATCH(card!B1972,card_type!B:B,0)-1,0)</f>
        <v>3015</v>
      </c>
      <c r="R1972" s="153">
        <v>1</v>
      </c>
      <c r="S1972" s="157">
        <f ca="1">ROUND(IF(R1972=0,0,IF(R1972=1,X1972*$S$1,IF(R1972=2,X1972*$S$1*buff的资质计算!$E$2,IF(R1972=3,X1972*$S$1*buff的资质计算!$E$3,0)))),0)*0</f>
        <v>0</v>
      </c>
      <c r="T1972" s="153">
        <v>3</v>
      </c>
      <c r="U1972" s="153">
        <f ca="1" t="shared" si="328"/>
        <v>21</v>
      </c>
      <c r="V1972" s="153">
        <f ca="1">ROUND((OFFSET(卡牌辅助配置表!$O$1,MATCH(U1972,卡牌辅助配置表!M:M,0)-1,0)+(N1972-1)*OFFSET(卡牌辅助配置表!$P$1,MATCH(U1972,卡牌辅助配置表!M:M,0)-1,0))*M1972,2)</f>
        <v>29.21</v>
      </c>
      <c r="W1972" s="157">
        <f ca="1">ROUND(IF(R1972=0,0,IF(R1972=1,X1972*$W$1,IF(R1972=2,X1972*$W$1*buff的资质计算!$E$2,IF(R1972=3,X1972*$W$1*buff的资质计算!$E$3,0)))),2)</f>
        <v>11.55</v>
      </c>
      <c r="X1972" s="157">
        <f ca="1" t="shared" ref="X1972:X2035" si="333">M1972*($M$1+(J1972-1)*$J$1+(K1972-1)*$K$1)+G1972+$J$1*(N1972-1)/$N$1</f>
        <v>38.5</v>
      </c>
      <c r="Y1972" s="157" t="e">
        <f ca="1" t="shared" si="331"/>
        <v>#VALUE!</v>
      </c>
      <c r="Z1972" s="304" t="e">
        <f ca="1" t="shared" ref="Z1972:Z2035" si="334">Y1972/M1972</f>
        <v>#VALUE!</v>
      </c>
      <c r="AA1972" s="304">
        <f ca="1">OFFSET(卡牌辅助配置表!$AD$1,MATCH(AB1972,卡牌辅助配置表!AB:AB,0)-1,0)</f>
        <v>252</v>
      </c>
      <c r="AB1972" s="304">
        <f ca="1" t="shared" si="329"/>
        <v>2106</v>
      </c>
      <c r="AC1972" s="153">
        <v>7</v>
      </c>
      <c r="AD1972" s="153">
        <v>2</v>
      </c>
      <c r="AE1972" s="153">
        <v>1</v>
      </c>
      <c r="AF1972" s="153" t="str">
        <f ca="1" t="shared" si="332"/>
        <v>30150011|</v>
      </c>
      <c r="AI1972" s="153">
        <v>1</v>
      </c>
      <c r="AJ1972" s="205" t="str">
        <f ca="1" t="shared" si="330"/>
        <v>400023|1700|;</v>
      </c>
      <c r="AK1972" s="205">
        <f ca="1">OFFSET([1]item_type!$A$1,MATCH(Q1972,[1]item_type!$G:$G,0)-1,0)</f>
        <v>303015</v>
      </c>
      <c r="AL1972" s="205"/>
      <c r="AM1972" s="205">
        <f ca="1">IF(B1972=B1973,OFFSET(卡牌辅助配置表!$AE$1,MATCH(AB1972,卡牌辅助配置表!AB:AB,0),0),0)</f>
        <v>1700</v>
      </c>
      <c r="AN1972" s="153">
        <f ca="1" t="shared" si="325"/>
        <v>3015007</v>
      </c>
      <c r="AP1972" s="153" t="str">
        <f ca="1">IF(AC1972=0,0,IF(AC1972=12,0,OFFSET(effect!$N$1,MATCH(K1972,effect!M:M,0)-1,0)))</f>
        <v>kpsx_pt</v>
      </c>
    </row>
    <row r="1973" spans="1:42">
      <c r="A1973" s="153">
        <f ca="1" t="shared" si="326"/>
        <v>3015007</v>
      </c>
      <c r="B1973" s="91" t="s">
        <v>367</v>
      </c>
      <c r="C1973" s="186">
        <v>3</v>
      </c>
      <c r="D1973" s="186">
        <v>3</v>
      </c>
      <c r="E1973" s="165" t="s">
        <v>1069</v>
      </c>
      <c r="F1973" s="179" t="s">
        <v>1073</v>
      </c>
      <c r="G1973" s="186">
        <f ca="1">OFFSET(卡牌辅助配置表!$C$1,MATCH(AC1973,卡牌辅助配置表!A:A,0)-1,0)</f>
        <v>6</v>
      </c>
      <c r="H1973" s="186" t="e">
        <f ca="1">OFFSET(skill!$Q$1,MATCH(B1973,skill!B:B,0)-1,0)</f>
        <v>#VALUE!</v>
      </c>
      <c r="I1973" s="186"/>
      <c r="J1973" s="186">
        <f ca="1">OFFSET(card_type!$F$1,MATCH(Q1973,card_type!A:A,0)-1,0)</f>
        <v>2</v>
      </c>
      <c r="K1973" s="243">
        <f ca="1">OFFSET(card_type!$G$1,MATCH(Q1973,card_type!A:A,0)-1,0)</f>
        <v>1</v>
      </c>
      <c r="L1973" s="157">
        <v>3</v>
      </c>
      <c r="M1973" s="157">
        <v>3</v>
      </c>
      <c r="N1973" s="153">
        <f t="shared" si="327"/>
        <v>7</v>
      </c>
      <c r="O1973" s="157"/>
      <c r="P1973" s="157"/>
      <c r="Q1973" s="153">
        <f ca="1">OFFSET(card_type!$A$1,MATCH(card!B1973,card_type!B:B,0)-1,0)</f>
        <v>3015</v>
      </c>
      <c r="R1973" s="153">
        <v>1</v>
      </c>
      <c r="S1973" s="157">
        <f ca="1">ROUND(IF(R1973=0,0,IF(R1973=1,X1973*$S$1,IF(R1973=2,X1973*$S$1*buff的资质计算!$E$2,IF(R1973=3,X1973*$S$1*buff的资质计算!$E$3,0)))),0)*0</f>
        <v>0</v>
      </c>
      <c r="T1973" s="153">
        <v>3</v>
      </c>
      <c r="U1973" s="153">
        <f ca="1" t="shared" si="328"/>
        <v>21</v>
      </c>
      <c r="V1973" s="153">
        <f ca="1">ROUND((OFFSET(卡牌辅助配置表!$O$1,MATCH(U1973,卡牌辅助配置表!M:M,0)-1,0)+(N1973-1)*OFFSET(卡牌辅助配置表!$P$1,MATCH(U1973,卡牌辅助配置表!M:M,0)-1,0))*M1973,2)</f>
        <v>30.89</v>
      </c>
      <c r="W1973" s="157">
        <f ca="1">ROUND(IF(R1973=0,0,IF(R1973=1,X1973*$W$1,IF(R1973=2,X1973*$W$1*buff的资质计算!$E$2,IF(R1973=3,X1973*$W$1*buff的资质计算!$E$3,0)))),2)</f>
        <v>11.7</v>
      </c>
      <c r="X1973" s="157">
        <f ca="1" t="shared" si="333"/>
        <v>39</v>
      </c>
      <c r="Y1973" s="157" t="e">
        <f ca="1" t="shared" si="331"/>
        <v>#VALUE!</v>
      </c>
      <c r="Z1973" s="304" t="e">
        <f ca="1" t="shared" si="334"/>
        <v>#VALUE!</v>
      </c>
      <c r="AA1973" s="304">
        <f ca="1">OFFSET(卡牌辅助配置表!$AD$1,MATCH(AB1973,卡牌辅助配置表!AB:AB,0)-1,0)</f>
        <v>294</v>
      </c>
      <c r="AB1973" s="304">
        <f ca="1" t="shared" si="329"/>
        <v>2107</v>
      </c>
      <c r="AC1973" s="153">
        <v>7</v>
      </c>
      <c r="AD1973" s="153">
        <v>2</v>
      </c>
      <c r="AE1973" s="153">
        <v>1</v>
      </c>
      <c r="AF1973" s="153" t="str">
        <f ca="1" t="shared" si="332"/>
        <v>30150011|</v>
      </c>
      <c r="AI1973" s="153">
        <v>1</v>
      </c>
      <c r="AJ1973" s="205" t="str">
        <f ca="1" t="shared" si="330"/>
        <v>400023|1900|;</v>
      </c>
      <c r="AK1973" s="205">
        <f ca="1">OFFSET([1]item_type!$A$1,MATCH(Q1973,[1]item_type!$G:$G,0)-1,0)</f>
        <v>303015</v>
      </c>
      <c r="AL1973" s="205"/>
      <c r="AM1973" s="205">
        <f ca="1">IF(B1973=B1974,OFFSET(卡牌辅助配置表!$AE$1,MATCH(AB1973,卡牌辅助配置表!AB:AB,0),0),0)</f>
        <v>1900</v>
      </c>
      <c r="AN1973" s="153">
        <f ca="1" t="shared" si="325"/>
        <v>3015008</v>
      </c>
      <c r="AP1973" s="153" t="str">
        <f ca="1">IF(AC1973=0,0,IF(AC1973=12,0,OFFSET(effect!$N$1,MATCH(K1973,effect!M:M,0)-1,0)))</f>
        <v>kpsx_pt</v>
      </c>
    </row>
    <row r="1974" spans="1:42">
      <c r="A1974" s="153">
        <f ca="1" t="shared" si="326"/>
        <v>3015008</v>
      </c>
      <c r="B1974" s="91" t="s">
        <v>367</v>
      </c>
      <c r="C1974" s="186">
        <v>3</v>
      </c>
      <c r="D1974" s="186">
        <v>3</v>
      </c>
      <c r="E1974" s="165" t="s">
        <v>1069</v>
      </c>
      <c r="F1974" s="179" t="s">
        <v>1073</v>
      </c>
      <c r="G1974" s="186">
        <f ca="1">OFFSET(卡牌辅助配置表!$C$1,MATCH(AC1974,卡牌辅助配置表!A:A,0)-1,0)</f>
        <v>6</v>
      </c>
      <c r="H1974" s="186" t="e">
        <f ca="1">OFFSET(skill!$Q$1,MATCH(B1974,skill!B:B,0)-1,0)</f>
        <v>#VALUE!</v>
      </c>
      <c r="I1974" s="186"/>
      <c r="J1974" s="186">
        <f ca="1">OFFSET(card_type!$F$1,MATCH(Q1974,card_type!A:A,0)-1,0)</f>
        <v>2</v>
      </c>
      <c r="K1974" s="243">
        <f ca="1">OFFSET(card_type!$G$1,MATCH(Q1974,card_type!A:A,0)-1,0)</f>
        <v>1</v>
      </c>
      <c r="L1974" s="157">
        <v>3</v>
      </c>
      <c r="M1974" s="157">
        <v>3</v>
      </c>
      <c r="N1974" s="153">
        <f t="shared" si="327"/>
        <v>8</v>
      </c>
      <c r="O1974" s="157"/>
      <c r="P1974" s="157"/>
      <c r="Q1974" s="153">
        <f ca="1">OFFSET(card_type!$A$1,MATCH(card!B1974,card_type!B:B,0)-1,0)</f>
        <v>3015</v>
      </c>
      <c r="R1974" s="153">
        <v>1</v>
      </c>
      <c r="S1974" s="157">
        <f ca="1">ROUND(IF(R1974=0,0,IF(R1974=1,X1974*$S$1,IF(R1974=2,X1974*$S$1*buff的资质计算!$E$2,IF(R1974=3,X1974*$S$1*buff的资质计算!$E$3,0)))),0)*0</f>
        <v>0</v>
      </c>
      <c r="T1974" s="153">
        <v>3</v>
      </c>
      <c r="U1974" s="153">
        <f ca="1" t="shared" si="328"/>
        <v>21</v>
      </c>
      <c r="V1974" s="153">
        <f ca="1">ROUND((OFFSET(卡牌辅助配置表!$O$1,MATCH(U1974,卡牌辅助配置表!M:M,0)-1,0)+(N1974-1)*OFFSET(卡牌辅助配置表!$P$1,MATCH(U1974,卡牌辅助配置表!M:M,0)-1,0))*M1974,2)</f>
        <v>32.57</v>
      </c>
      <c r="W1974" s="157">
        <f ca="1">ROUND(IF(R1974=0,0,IF(R1974=1,X1974*$W$1,IF(R1974=2,X1974*$W$1*buff的资质计算!$E$2,IF(R1974=3,X1974*$W$1*buff的资质计算!$E$3,0)))),2)</f>
        <v>11.85</v>
      </c>
      <c r="X1974" s="157">
        <f ca="1" t="shared" si="333"/>
        <v>39.5</v>
      </c>
      <c r="Y1974" s="157" t="e">
        <f ca="1" t="shared" si="331"/>
        <v>#VALUE!</v>
      </c>
      <c r="Z1974" s="304" t="e">
        <f ca="1" t="shared" si="334"/>
        <v>#VALUE!</v>
      </c>
      <c r="AA1974" s="304">
        <f ca="1">OFFSET(卡牌辅助配置表!$AD$1,MATCH(AB1974,卡牌辅助配置表!AB:AB,0)-1,0)</f>
        <v>336</v>
      </c>
      <c r="AB1974" s="304">
        <f ca="1" t="shared" si="329"/>
        <v>2108</v>
      </c>
      <c r="AC1974" s="153">
        <v>7</v>
      </c>
      <c r="AD1974" s="153">
        <v>2</v>
      </c>
      <c r="AE1974" s="153">
        <v>1</v>
      </c>
      <c r="AF1974" s="153" t="str">
        <f ca="1" t="shared" si="332"/>
        <v>30150011|</v>
      </c>
      <c r="AI1974" s="153">
        <v>1</v>
      </c>
      <c r="AJ1974" s="205" t="str">
        <f ca="1" t="shared" si="330"/>
        <v>400023|2100|;</v>
      </c>
      <c r="AK1974" s="205">
        <f ca="1">OFFSET([1]item_type!$A$1,MATCH(Q1974,[1]item_type!$G:$G,0)-1,0)</f>
        <v>303015</v>
      </c>
      <c r="AL1974" s="205"/>
      <c r="AM1974" s="205">
        <f ca="1">IF(B1974=B1975,OFFSET(卡牌辅助配置表!$AE$1,MATCH(AB1974,卡牌辅助配置表!AB:AB,0),0),0)</f>
        <v>2100</v>
      </c>
      <c r="AN1974" s="153">
        <f ca="1" t="shared" si="325"/>
        <v>3015009</v>
      </c>
      <c r="AP1974" s="153" t="str">
        <f ca="1">IF(AC1974=0,0,IF(AC1974=12,0,OFFSET(effect!$N$1,MATCH(K1974,effect!M:M,0)-1,0)))</f>
        <v>kpsx_pt</v>
      </c>
    </row>
    <row r="1975" spans="1:42">
      <c r="A1975" s="153">
        <f ca="1" t="shared" si="326"/>
        <v>3015009</v>
      </c>
      <c r="B1975" s="91" t="s">
        <v>367</v>
      </c>
      <c r="C1975" s="186">
        <v>3</v>
      </c>
      <c r="D1975" s="186">
        <v>3</v>
      </c>
      <c r="E1975" s="165" t="s">
        <v>1069</v>
      </c>
      <c r="F1975" s="179" t="s">
        <v>1073</v>
      </c>
      <c r="G1975" s="186">
        <f ca="1">OFFSET(卡牌辅助配置表!$C$1,MATCH(AC1975,卡牌辅助配置表!A:A,0)-1,0)</f>
        <v>6</v>
      </c>
      <c r="H1975" s="186" t="e">
        <f ca="1">OFFSET(skill!$Q$1,MATCH(B1975,skill!B:B,0)-1,0)</f>
        <v>#VALUE!</v>
      </c>
      <c r="I1975" s="186"/>
      <c r="J1975" s="186">
        <f ca="1">OFFSET(card_type!$F$1,MATCH(Q1975,card_type!A:A,0)-1,0)</f>
        <v>2</v>
      </c>
      <c r="K1975" s="243">
        <f ca="1">OFFSET(card_type!$G$1,MATCH(Q1975,card_type!A:A,0)-1,0)</f>
        <v>1</v>
      </c>
      <c r="L1975" s="157">
        <v>3</v>
      </c>
      <c r="M1975" s="157">
        <v>3</v>
      </c>
      <c r="N1975" s="153">
        <f t="shared" si="327"/>
        <v>9</v>
      </c>
      <c r="O1975" s="157"/>
      <c r="P1975" s="157"/>
      <c r="Q1975" s="153">
        <f ca="1">OFFSET(card_type!$A$1,MATCH(card!B1975,card_type!B:B,0)-1,0)</f>
        <v>3015</v>
      </c>
      <c r="R1975" s="153">
        <v>1</v>
      </c>
      <c r="S1975" s="157">
        <f ca="1">ROUND(IF(R1975=0,0,IF(R1975=1,X1975*$S$1,IF(R1975=2,X1975*$S$1*buff的资质计算!$E$2,IF(R1975=3,X1975*$S$1*buff的资质计算!$E$3,0)))),0)*0</f>
        <v>0</v>
      </c>
      <c r="T1975" s="153">
        <v>3</v>
      </c>
      <c r="U1975" s="153">
        <f ca="1" t="shared" si="328"/>
        <v>21</v>
      </c>
      <c r="V1975" s="153">
        <f ca="1">ROUND((OFFSET(卡牌辅助配置表!$O$1,MATCH(U1975,卡牌辅助配置表!M:M,0)-1,0)+(N1975-1)*OFFSET(卡牌辅助配置表!$P$1,MATCH(U1975,卡牌辅助配置表!M:M,0)-1,0))*M1975,2)</f>
        <v>34.25</v>
      </c>
      <c r="W1975" s="157">
        <f ca="1">ROUND(IF(R1975=0,0,IF(R1975=1,X1975*$W$1,IF(R1975=2,X1975*$W$1*buff的资质计算!$E$2,IF(R1975=3,X1975*$W$1*buff的资质计算!$E$3,0)))),2)</f>
        <v>12</v>
      </c>
      <c r="X1975" s="157">
        <f ca="1" t="shared" si="333"/>
        <v>40</v>
      </c>
      <c r="Y1975" s="157" t="e">
        <f ca="1" t="shared" si="331"/>
        <v>#VALUE!</v>
      </c>
      <c r="Z1975" s="304" t="e">
        <f ca="1" t="shared" si="334"/>
        <v>#VALUE!</v>
      </c>
      <c r="AA1975" s="304">
        <f ca="1">OFFSET(卡牌辅助配置表!$AD$1,MATCH(AB1975,卡牌辅助配置表!AB:AB,0)-1,0)</f>
        <v>378</v>
      </c>
      <c r="AB1975" s="304">
        <f ca="1" t="shared" si="329"/>
        <v>2109</v>
      </c>
      <c r="AC1975" s="153">
        <v>7</v>
      </c>
      <c r="AD1975" s="153">
        <v>2</v>
      </c>
      <c r="AE1975" s="153">
        <v>1</v>
      </c>
      <c r="AF1975" s="153" t="str">
        <f ca="1" t="shared" si="332"/>
        <v>30150011|</v>
      </c>
      <c r="AI1975" s="153">
        <v>1</v>
      </c>
      <c r="AJ1975" s="205" t="str">
        <f ca="1" t="shared" si="330"/>
        <v>303015|15|;400023|2300|;</v>
      </c>
      <c r="AK1975" s="205">
        <f ca="1">OFFSET([1]item_type!$A$1,MATCH(Q1975,[1]item_type!$G:$G,0)-1,0)</f>
        <v>303015</v>
      </c>
      <c r="AL1975" s="205">
        <v>15</v>
      </c>
      <c r="AM1975" s="205">
        <f ca="1">IF(B1975=B1976,OFFSET(卡牌辅助配置表!$AE$1,MATCH(AB1975,卡牌辅助配置表!AB:AB,0),0),0)</f>
        <v>2300</v>
      </c>
      <c r="AN1975" s="153">
        <f ca="1" t="shared" si="325"/>
        <v>3015010</v>
      </c>
      <c r="AP1975" s="153" t="str">
        <f ca="1">IF(AC1975=0,0,IF(AC1975=12,0,OFFSET(effect!$N$1,MATCH(K1975,effect!M:M,0)-1,0)))</f>
        <v>kpsx_pt</v>
      </c>
    </row>
    <row r="1976" spans="1:42">
      <c r="A1976" s="153">
        <f ca="1" t="shared" si="326"/>
        <v>3015010</v>
      </c>
      <c r="B1976" s="91" t="s">
        <v>367</v>
      </c>
      <c r="C1976" s="186">
        <v>3</v>
      </c>
      <c r="D1976" s="186">
        <v>3</v>
      </c>
      <c r="E1976" s="165" t="s">
        <v>1069</v>
      </c>
      <c r="F1976" s="179" t="s">
        <v>1073</v>
      </c>
      <c r="G1976" s="186">
        <f ca="1">OFFSET(卡牌辅助配置表!$C$1,MATCH(AC1976,卡牌辅助配置表!A:A,0)-1,0)</f>
        <v>6</v>
      </c>
      <c r="H1976" s="186" t="e">
        <f ca="1">OFFSET(skill!$Q$1,MATCH(B1976,skill!B:B,0)-1,0)</f>
        <v>#VALUE!</v>
      </c>
      <c r="I1976" s="186"/>
      <c r="J1976" s="186">
        <f ca="1">OFFSET(card_type!$F$1,MATCH(Q1976,card_type!A:A,0)-1,0)</f>
        <v>2</v>
      </c>
      <c r="K1976" s="243">
        <f ca="1">OFFSET(card_type!$G$1,MATCH(Q1976,card_type!A:A,0)-1,0)</f>
        <v>1</v>
      </c>
      <c r="L1976" s="157">
        <v>3</v>
      </c>
      <c r="M1976" s="157">
        <v>3</v>
      </c>
      <c r="N1976" s="153">
        <f t="shared" si="327"/>
        <v>10</v>
      </c>
      <c r="O1976" s="157"/>
      <c r="P1976" s="157"/>
      <c r="Q1976" s="153">
        <f ca="1">OFFSET(card_type!$A$1,MATCH(card!B1976,card_type!B:B,0)-1,0)</f>
        <v>3015</v>
      </c>
      <c r="R1976" s="153">
        <v>1</v>
      </c>
      <c r="S1976" s="157">
        <f ca="1">ROUND(IF(R1976=0,0,IF(R1976=1,X1976*$S$1,IF(R1976=2,X1976*$S$1*buff的资质计算!$E$2,IF(R1976=3,X1976*$S$1*buff的资质计算!$E$3,0)))),0)*0</f>
        <v>0</v>
      </c>
      <c r="T1976" s="153">
        <v>3</v>
      </c>
      <c r="U1976" s="153">
        <f ca="1" t="shared" si="328"/>
        <v>21</v>
      </c>
      <c r="V1976" s="153">
        <f ca="1">ROUND((OFFSET(卡牌辅助配置表!$O$1,MATCH(U1976,卡牌辅助配置表!M:M,0)-1,0)+(N1976-1)*OFFSET(卡牌辅助配置表!$P$1,MATCH(U1976,卡牌辅助配置表!M:M,0)-1,0))*M1976,2)</f>
        <v>35.94</v>
      </c>
      <c r="W1976" s="157">
        <f ca="1">ROUND(IF(R1976=0,0,IF(R1976=1,X1976*$W$1,IF(R1976=2,X1976*$W$1*buff的资质计算!$E$2,IF(R1976=3,X1976*$W$1*buff的资质计算!$E$3,0)))),2)</f>
        <v>12.15</v>
      </c>
      <c r="X1976" s="157">
        <f ca="1" t="shared" si="333"/>
        <v>40.5</v>
      </c>
      <c r="Y1976" s="157" t="e">
        <f ca="1" t="shared" si="331"/>
        <v>#VALUE!</v>
      </c>
      <c r="Z1976" s="304" t="e">
        <f ca="1" t="shared" si="334"/>
        <v>#VALUE!</v>
      </c>
      <c r="AA1976" s="304">
        <f ca="1">OFFSET(卡牌辅助配置表!$AD$1,MATCH(AB1976,卡牌辅助配置表!AB:AB,0)-1,0)</f>
        <v>420</v>
      </c>
      <c r="AB1976" s="304">
        <f ca="1" t="shared" si="329"/>
        <v>2110</v>
      </c>
      <c r="AC1976" s="153">
        <v>7</v>
      </c>
      <c r="AD1976" s="153">
        <v>2</v>
      </c>
      <c r="AE1976" s="153">
        <v>1</v>
      </c>
      <c r="AF1976" s="153" t="str">
        <f ca="1" t="shared" si="332"/>
        <v>30150011|</v>
      </c>
      <c r="AI1976" s="153">
        <v>1</v>
      </c>
      <c r="AJ1976" s="205" t="str">
        <f ca="1" t="shared" si="330"/>
        <v>400023|2700|;</v>
      </c>
      <c r="AK1976" s="205">
        <f ca="1">OFFSET([1]item_type!$A$1,MATCH(Q1976,[1]item_type!$G:$G,0)-1,0)</f>
        <v>303015</v>
      </c>
      <c r="AL1976" s="205"/>
      <c r="AM1976" s="205">
        <f ca="1">IF(B1976=B1977,OFFSET(卡牌辅助配置表!$AE$1,MATCH(AB1976,卡牌辅助配置表!AB:AB,0),0),0)</f>
        <v>2700</v>
      </c>
      <c r="AN1976" s="153">
        <f ca="1" t="shared" si="325"/>
        <v>3015011</v>
      </c>
      <c r="AP1976" s="153" t="str">
        <f ca="1">IF(AC1976=0,0,IF(AC1976=12,0,OFFSET(effect!$N$1,MATCH(K1976,effect!M:M,0)-1,0)))</f>
        <v>kpsx_pt</v>
      </c>
    </row>
    <row r="1977" spans="1:42">
      <c r="A1977" s="153">
        <f ca="1" t="shared" si="326"/>
        <v>3015011</v>
      </c>
      <c r="B1977" s="91" t="s">
        <v>367</v>
      </c>
      <c r="C1977" s="186">
        <v>3</v>
      </c>
      <c r="D1977" s="186">
        <v>3</v>
      </c>
      <c r="E1977" s="165" t="s">
        <v>1069</v>
      </c>
      <c r="F1977" s="179" t="s">
        <v>1073</v>
      </c>
      <c r="G1977" s="186">
        <f ca="1">OFFSET(卡牌辅助配置表!$C$1,MATCH(AC1977,卡牌辅助配置表!A:A,0)-1,0)</f>
        <v>6</v>
      </c>
      <c r="H1977" s="186" t="e">
        <f ca="1">OFFSET(skill!$Q$1,MATCH(B1977,skill!B:B,0)-1,0)</f>
        <v>#VALUE!</v>
      </c>
      <c r="I1977" s="186"/>
      <c r="J1977" s="186">
        <f ca="1">OFFSET(card_type!$F$1,MATCH(Q1977,card_type!A:A,0)-1,0)</f>
        <v>2</v>
      </c>
      <c r="K1977" s="243">
        <f ca="1">OFFSET(card_type!$G$1,MATCH(Q1977,card_type!A:A,0)-1,0)</f>
        <v>1</v>
      </c>
      <c r="L1977" s="157">
        <v>3</v>
      </c>
      <c r="M1977" s="157">
        <v>3</v>
      </c>
      <c r="N1977" s="153">
        <f t="shared" si="327"/>
        <v>11</v>
      </c>
      <c r="O1977" s="157"/>
      <c r="P1977" s="157"/>
      <c r="Q1977" s="153">
        <f ca="1">OFFSET(card_type!$A$1,MATCH(card!B1977,card_type!B:B,0)-1,0)</f>
        <v>3015</v>
      </c>
      <c r="R1977" s="153">
        <v>1</v>
      </c>
      <c r="S1977" s="157">
        <f ca="1">ROUND(IF(R1977=0,0,IF(R1977=1,X1977*$S$1,IF(R1977=2,X1977*$S$1*buff的资质计算!$E$2,IF(R1977=3,X1977*$S$1*buff的资质计算!$E$3,0)))),0)*0</f>
        <v>0</v>
      </c>
      <c r="T1977" s="153">
        <v>3</v>
      </c>
      <c r="U1977" s="153">
        <f ca="1" t="shared" si="328"/>
        <v>21</v>
      </c>
      <c r="V1977" s="153">
        <f ca="1">ROUND((OFFSET(卡牌辅助配置表!$O$1,MATCH(U1977,卡牌辅助配置表!M:M,0)-1,0)+(N1977-1)*OFFSET(卡牌辅助配置表!$P$1,MATCH(U1977,卡牌辅助配置表!M:M,0)-1,0))*M1977,2)</f>
        <v>37.62</v>
      </c>
      <c r="W1977" s="157">
        <f ca="1">ROUND(IF(R1977=0,0,IF(R1977=1,X1977*$W$1,IF(R1977=2,X1977*$W$1*buff的资质计算!$E$2,IF(R1977=3,X1977*$W$1*buff的资质计算!$E$3,0)))),2)</f>
        <v>12.3</v>
      </c>
      <c r="X1977" s="157">
        <f ca="1" t="shared" si="333"/>
        <v>41</v>
      </c>
      <c r="Y1977" s="157" t="e">
        <f ca="1" t="shared" si="331"/>
        <v>#VALUE!</v>
      </c>
      <c r="Z1977" s="304" t="e">
        <f ca="1" t="shared" si="334"/>
        <v>#VALUE!</v>
      </c>
      <c r="AA1977" s="304">
        <f ca="1">OFFSET(卡牌辅助配置表!$AD$1,MATCH(AB1977,卡牌辅助配置表!AB:AB,0)-1,0)</f>
        <v>483</v>
      </c>
      <c r="AB1977" s="304">
        <f ca="1" t="shared" si="329"/>
        <v>2111</v>
      </c>
      <c r="AC1977" s="153">
        <v>7</v>
      </c>
      <c r="AD1977" s="153">
        <v>2</v>
      </c>
      <c r="AE1977" s="153">
        <v>1</v>
      </c>
      <c r="AF1977" s="153" t="str">
        <f ca="1" t="shared" si="332"/>
        <v>30150011|</v>
      </c>
      <c r="AI1977" s="153">
        <v>1</v>
      </c>
      <c r="AJ1977" s="205" t="str">
        <f ca="1" t="shared" si="330"/>
        <v>400023|3100|;</v>
      </c>
      <c r="AK1977" s="205">
        <f ca="1">OFFSET([1]item_type!$A$1,MATCH(Q1977,[1]item_type!$G:$G,0)-1,0)</f>
        <v>303015</v>
      </c>
      <c r="AL1977" s="205"/>
      <c r="AM1977" s="205">
        <f ca="1">IF(B1977=B1978,OFFSET(卡牌辅助配置表!$AE$1,MATCH(AB1977,卡牌辅助配置表!AB:AB,0),0),0)</f>
        <v>3100</v>
      </c>
      <c r="AN1977" s="153">
        <f ca="1" t="shared" si="325"/>
        <v>3015012</v>
      </c>
      <c r="AP1977" s="153" t="str">
        <f ca="1">IF(AC1977=0,0,IF(AC1977=12,0,OFFSET(effect!$N$1,MATCH(K1977,effect!M:M,0)-1,0)))</f>
        <v>kpsx_pt</v>
      </c>
    </row>
    <row r="1978" spans="1:42">
      <c r="A1978" s="153">
        <f ca="1" t="shared" si="326"/>
        <v>3015012</v>
      </c>
      <c r="B1978" s="91" t="s">
        <v>367</v>
      </c>
      <c r="C1978" s="186">
        <v>3</v>
      </c>
      <c r="D1978" s="186">
        <v>3</v>
      </c>
      <c r="E1978" s="165" t="s">
        <v>1069</v>
      </c>
      <c r="F1978" s="179" t="s">
        <v>1073</v>
      </c>
      <c r="G1978" s="186">
        <f ca="1">OFFSET(卡牌辅助配置表!$C$1,MATCH(AC1978,卡牌辅助配置表!A:A,0)-1,0)</f>
        <v>6</v>
      </c>
      <c r="H1978" s="186" t="e">
        <f ca="1">OFFSET(skill!$Q$1,MATCH(B1978,skill!B:B,0)-1,0)</f>
        <v>#VALUE!</v>
      </c>
      <c r="I1978" s="186"/>
      <c r="J1978" s="186">
        <f ca="1">OFFSET(card_type!$F$1,MATCH(Q1978,card_type!A:A,0)-1,0)</f>
        <v>2</v>
      </c>
      <c r="K1978" s="243">
        <f ca="1">OFFSET(card_type!$G$1,MATCH(Q1978,card_type!A:A,0)-1,0)</f>
        <v>1</v>
      </c>
      <c r="L1978" s="157">
        <v>3</v>
      </c>
      <c r="M1978" s="157">
        <v>3</v>
      </c>
      <c r="N1978" s="153">
        <f t="shared" si="327"/>
        <v>12</v>
      </c>
      <c r="O1978" s="157"/>
      <c r="P1978" s="157"/>
      <c r="Q1978" s="153">
        <f ca="1">OFFSET(card_type!$A$1,MATCH(card!B1978,card_type!B:B,0)-1,0)</f>
        <v>3015</v>
      </c>
      <c r="R1978" s="153">
        <v>1</v>
      </c>
      <c r="S1978" s="157">
        <f ca="1">ROUND(IF(R1978=0,0,IF(R1978=1,X1978*$S$1,IF(R1978=2,X1978*$S$1*buff的资质计算!$E$2,IF(R1978=3,X1978*$S$1*buff的资质计算!$E$3,0)))),0)*0</f>
        <v>0</v>
      </c>
      <c r="T1978" s="153">
        <v>3</v>
      </c>
      <c r="U1978" s="153">
        <f ca="1" t="shared" si="328"/>
        <v>21</v>
      </c>
      <c r="V1978" s="153">
        <f ca="1">ROUND((OFFSET(卡牌辅助配置表!$O$1,MATCH(U1978,卡牌辅助配置表!M:M,0)-1,0)+(N1978-1)*OFFSET(卡牌辅助配置表!$P$1,MATCH(U1978,卡牌辅助配置表!M:M,0)-1,0))*M1978,2)</f>
        <v>39.3</v>
      </c>
      <c r="W1978" s="157">
        <f ca="1">ROUND(IF(R1978=0,0,IF(R1978=1,X1978*$W$1,IF(R1978=2,X1978*$W$1*buff的资质计算!$E$2,IF(R1978=3,X1978*$W$1*buff的资质计算!$E$3,0)))),2)</f>
        <v>12.45</v>
      </c>
      <c r="X1978" s="157">
        <f ca="1" t="shared" si="333"/>
        <v>41.5</v>
      </c>
      <c r="Y1978" s="157" t="e">
        <f ca="1" t="shared" si="331"/>
        <v>#VALUE!</v>
      </c>
      <c r="Z1978" s="304" t="e">
        <f ca="1" t="shared" si="334"/>
        <v>#VALUE!</v>
      </c>
      <c r="AA1978" s="304">
        <f ca="1">OFFSET(卡牌辅助配置表!$AD$1,MATCH(AB1978,卡牌辅助配置表!AB:AB,0)-1,0)</f>
        <v>546</v>
      </c>
      <c r="AB1978" s="304">
        <f ca="1" t="shared" si="329"/>
        <v>2112</v>
      </c>
      <c r="AC1978" s="153">
        <v>7</v>
      </c>
      <c r="AD1978" s="153">
        <v>2</v>
      </c>
      <c r="AE1978" s="153">
        <v>1</v>
      </c>
      <c r="AF1978" s="153" t="str">
        <f ca="1" t="shared" si="332"/>
        <v>30150011|</v>
      </c>
      <c r="AI1978" s="153">
        <v>1</v>
      </c>
      <c r="AJ1978" s="205" t="str">
        <f ca="1" t="shared" si="330"/>
        <v>400023|3500|;</v>
      </c>
      <c r="AK1978" s="205">
        <f ca="1">OFFSET([1]item_type!$A$1,MATCH(Q1978,[1]item_type!$G:$G,0)-1,0)</f>
        <v>303015</v>
      </c>
      <c r="AL1978" s="205"/>
      <c r="AM1978" s="205">
        <f ca="1">IF(B1978=B1979,OFFSET(卡牌辅助配置表!$AE$1,MATCH(AB1978,卡牌辅助配置表!AB:AB,0),0),0)</f>
        <v>3500</v>
      </c>
      <c r="AN1978" s="153">
        <f ca="1" t="shared" si="325"/>
        <v>3015013</v>
      </c>
      <c r="AP1978" s="153" t="str">
        <f ca="1">IF(AC1978=0,0,IF(AC1978=12,0,OFFSET(effect!$N$1,MATCH(K1978,effect!M:M,0)-1,0)))</f>
        <v>kpsx_pt</v>
      </c>
    </row>
    <row r="1979" spans="1:42">
      <c r="A1979" s="153">
        <f ca="1" t="shared" si="326"/>
        <v>3015013</v>
      </c>
      <c r="B1979" s="91" t="s">
        <v>367</v>
      </c>
      <c r="C1979" s="186">
        <v>3</v>
      </c>
      <c r="D1979" s="186">
        <v>3</v>
      </c>
      <c r="E1979" s="165" t="s">
        <v>1069</v>
      </c>
      <c r="F1979" s="179" t="s">
        <v>1073</v>
      </c>
      <c r="G1979" s="186">
        <f ca="1">OFFSET(卡牌辅助配置表!$C$1,MATCH(AC1979,卡牌辅助配置表!A:A,0)-1,0)</f>
        <v>6</v>
      </c>
      <c r="H1979" s="186" t="e">
        <f ca="1">OFFSET(skill!$Q$1,MATCH(B1979,skill!B:B,0)-1,0)</f>
        <v>#VALUE!</v>
      </c>
      <c r="I1979" s="186"/>
      <c r="J1979" s="186">
        <f ca="1">OFFSET(card_type!$F$1,MATCH(Q1979,card_type!A:A,0)-1,0)</f>
        <v>2</v>
      </c>
      <c r="K1979" s="243">
        <f ca="1">OFFSET(card_type!$G$1,MATCH(Q1979,card_type!A:A,0)-1,0)</f>
        <v>1</v>
      </c>
      <c r="L1979" s="157">
        <v>3</v>
      </c>
      <c r="M1979" s="157">
        <v>3</v>
      </c>
      <c r="N1979" s="153">
        <f t="shared" si="327"/>
        <v>13</v>
      </c>
      <c r="O1979" s="157"/>
      <c r="P1979" s="157"/>
      <c r="Q1979" s="153">
        <f ca="1">OFFSET(card_type!$A$1,MATCH(card!B1979,card_type!B:B,0)-1,0)</f>
        <v>3015</v>
      </c>
      <c r="R1979" s="153">
        <v>1</v>
      </c>
      <c r="S1979" s="157">
        <f ca="1">ROUND(IF(R1979=0,0,IF(R1979=1,X1979*$S$1,IF(R1979=2,X1979*$S$1*buff的资质计算!$E$2,IF(R1979=3,X1979*$S$1*buff的资质计算!$E$3,0)))),0)*0</f>
        <v>0</v>
      </c>
      <c r="T1979" s="153">
        <v>3</v>
      </c>
      <c r="U1979" s="153">
        <f ca="1" t="shared" si="328"/>
        <v>21</v>
      </c>
      <c r="V1979" s="153">
        <f ca="1">ROUND((OFFSET(卡牌辅助配置表!$O$1,MATCH(U1979,卡牌辅助配置表!M:M,0)-1,0)+(N1979-1)*OFFSET(卡牌辅助配置表!$P$1,MATCH(U1979,卡牌辅助配置表!M:M,0)-1,0))*M1979,2)</f>
        <v>40.99</v>
      </c>
      <c r="W1979" s="157">
        <f ca="1">ROUND(IF(R1979=0,0,IF(R1979=1,X1979*$W$1,IF(R1979=2,X1979*$W$1*buff的资质计算!$E$2,IF(R1979=3,X1979*$W$1*buff的资质计算!$E$3,0)))),2)</f>
        <v>12.6</v>
      </c>
      <c r="X1979" s="157">
        <f ca="1" t="shared" si="333"/>
        <v>42</v>
      </c>
      <c r="Y1979" s="157" t="e">
        <f ca="1" t="shared" si="331"/>
        <v>#VALUE!</v>
      </c>
      <c r="Z1979" s="304" t="e">
        <f ca="1" t="shared" si="334"/>
        <v>#VALUE!</v>
      </c>
      <c r="AA1979" s="304">
        <f ca="1">OFFSET(卡牌辅助配置表!$AD$1,MATCH(AB1979,卡牌辅助配置表!AB:AB,0)-1,0)</f>
        <v>609</v>
      </c>
      <c r="AB1979" s="304">
        <f ca="1" t="shared" si="329"/>
        <v>2113</v>
      </c>
      <c r="AC1979" s="153">
        <v>7</v>
      </c>
      <c r="AD1979" s="153">
        <v>2</v>
      </c>
      <c r="AE1979" s="153">
        <v>1</v>
      </c>
      <c r="AF1979" s="153" t="str">
        <f ca="1" t="shared" si="332"/>
        <v>30150011|</v>
      </c>
      <c r="AI1979" s="153">
        <v>1</v>
      </c>
      <c r="AJ1979" s="205" t="str">
        <f ca="1" t="shared" si="330"/>
        <v>400023|3900|;</v>
      </c>
      <c r="AK1979" s="205">
        <f ca="1">OFFSET([1]item_type!$A$1,MATCH(Q1979,[1]item_type!$G:$G,0)-1,0)</f>
        <v>303015</v>
      </c>
      <c r="AL1979" s="205"/>
      <c r="AM1979" s="205">
        <f ca="1">IF(B1979=B1980,OFFSET(卡牌辅助配置表!$AE$1,MATCH(AB1979,卡牌辅助配置表!AB:AB,0),0),0)</f>
        <v>3900</v>
      </c>
      <c r="AN1979" s="153">
        <f ca="1" t="shared" si="325"/>
        <v>3015014</v>
      </c>
      <c r="AP1979" s="153" t="str">
        <f ca="1">IF(AC1979=0,0,IF(AC1979=12,0,OFFSET(effect!$N$1,MATCH(K1979,effect!M:M,0)-1,0)))</f>
        <v>kpsx_pt</v>
      </c>
    </row>
    <row r="1980" spans="1:42">
      <c r="A1980" s="153">
        <f ca="1" t="shared" si="326"/>
        <v>3015014</v>
      </c>
      <c r="B1980" s="91" t="s">
        <v>367</v>
      </c>
      <c r="C1980" s="186">
        <v>3</v>
      </c>
      <c r="D1980" s="186">
        <v>3</v>
      </c>
      <c r="E1980" s="165" t="s">
        <v>1069</v>
      </c>
      <c r="F1980" s="179" t="s">
        <v>1073</v>
      </c>
      <c r="G1980" s="186">
        <f ca="1">OFFSET(卡牌辅助配置表!$C$1,MATCH(AC1980,卡牌辅助配置表!A:A,0)-1,0)</f>
        <v>6</v>
      </c>
      <c r="H1980" s="186" t="e">
        <f ca="1">OFFSET(skill!$Q$1,MATCH(B1980,skill!B:B,0)-1,0)</f>
        <v>#VALUE!</v>
      </c>
      <c r="I1980" s="186"/>
      <c r="J1980" s="186">
        <f ca="1">OFFSET(card_type!$F$1,MATCH(Q1980,card_type!A:A,0)-1,0)</f>
        <v>2</v>
      </c>
      <c r="K1980" s="243">
        <f ca="1">OFFSET(card_type!$G$1,MATCH(Q1980,card_type!A:A,0)-1,0)</f>
        <v>1</v>
      </c>
      <c r="L1980" s="157">
        <v>3</v>
      </c>
      <c r="M1980" s="157">
        <v>3</v>
      </c>
      <c r="N1980" s="153">
        <f t="shared" si="327"/>
        <v>14</v>
      </c>
      <c r="O1980" s="157"/>
      <c r="P1980" s="157"/>
      <c r="Q1980" s="153">
        <f ca="1">OFFSET(card_type!$A$1,MATCH(card!B1980,card_type!B:B,0)-1,0)</f>
        <v>3015</v>
      </c>
      <c r="R1980" s="153">
        <v>1</v>
      </c>
      <c r="S1980" s="157">
        <f ca="1">ROUND(IF(R1980=0,0,IF(R1980=1,X1980*$S$1,IF(R1980=2,X1980*$S$1*buff的资质计算!$E$2,IF(R1980=3,X1980*$S$1*buff的资质计算!$E$3,0)))),0)*0</f>
        <v>0</v>
      </c>
      <c r="T1980" s="153">
        <v>3</v>
      </c>
      <c r="U1980" s="153">
        <f ca="1" t="shared" si="328"/>
        <v>21</v>
      </c>
      <c r="V1980" s="153">
        <f ca="1">ROUND((OFFSET(卡牌辅助配置表!$O$1,MATCH(U1980,卡牌辅助配置表!M:M,0)-1,0)+(N1980-1)*OFFSET(卡牌辅助配置表!$P$1,MATCH(U1980,卡牌辅助配置表!M:M,0)-1,0))*M1980,2)</f>
        <v>42.67</v>
      </c>
      <c r="W1980" s="157">
        <f ca="1">ROUND(IF(R1980=0,0,IF(R1980=1,X1980*$W$1,IF(R1980=2,X1980*$W$1*buff的资质计算!$E$2,IF(R1980=3,X1980*$W$1*buff的资质计算!$E$3,0)))),2)</f>
        <v>12.75</v>
      </c>
      <c r="X1980" s="157">
        <f ca="1" t="shared" si="333"/>
        <v>42.5</v>
      </c>
      <c r="Y1980" s="157" t="e">
        <f ca="1" t="shared" si="331"/>
        <v>#VALUE!</v>
      </c>
      <c r="Z1980" s="304" t="e">
        <f ca="1" t="shared" si="334"/>
        <v>#VALUE!</v>
      </c>
      <c r="AA1980" s="304">
        <f ca="1">OFFSET(卡牌辅助配置表!$AD$1,MATCH(AB1980,卡牌辅助配置表!AB:AB,0)-1,0)</f>
        <v>672</v>
      </c>
      <c r="AB1980" s="304">
        <f ca="1" t="shared" si="329"/>
        <v>2114</v>
      </c>
      <c r="AC1980" s="153">
        <v>7</v>
      </c>
      <c r="AD1980" s="153">
        <v>2</v>
      </c>
      <c r="AE1980" s="153">
        <v>1</v>
      </c>
      <c r="AF1980" s="153" t="str">
        <f ca="1" t="shared" si="332"/>
        <v>30150011|</v>
      </c>
      <c r="AI1980" s="153">
        <v>1</v>
      </c>
      <c r="AJ1980" s="205" t="str">
        <f ca="1" t="shared" si="330"/>
        <v>400023|4300|;</v>
      </c>
      <c r="AK1980" s="205">
        <f ca="1">OFFSET([1]item_type!$A$1,MATCH(Q1980,[1]item_type!$G:$G,0)-1,0)</f>
        <v>303015</v>
      </c>
      <c r="AL1980" s="205"/>
      <c r="AM1980" s="205">
        <f ca="1">IF(B1980=B1981,OFFSET(卡牌辅助配置表!$AE$1,MATCH(AB1980,卡牌辅助配置表!AB:AB,0),0),0)</f>
        <v>4300</v>
      </c>
      <c r="AN1980" s="153">
        <f ca="1" t="shared" si="325"/>
        <v>3015015</v>
      </c>
      <c r="AP1980" s="153" t="str">
        <f ca="1">IF(AC1980=0,0,IF(AC1980=12,0,OFFSET(effect!$N$1,MATCH(K1980,effect!M:M,0)-1,0)))</f>
        <v>kpsx_pt</v>
      </c>
    </row>
    <row r="1981" spans="1:42">
      <c r="A1981" s="153">
        <f ca="1" t="shared" si="326"/>
        <v>3015015</v>
      </c>
      <c r="B1981" s="91" t="s">
        <v>367</v>
      </c>
      <c r="C1981" s="186">
        <v>3</v>
      </c>
      <c r="D1981" s="186">
        <v>3</v>
      </c>
      <c r="E1981" s="165" t="s">
        <v>1069</v>
      </c>
      <c r="F1981" s="179" t="s">
        <v>1073</v>
      </c>
      <c r="G1981" s="186">
        <f ca="1">OFFSET(卡牌辅助配置表!$C$1,MATCH(AC1981,卡牌辅助配置表!A:A,0)-1,0)</f>
        <v>6</v>
      </c>
      <c r="H1981" s="186" t="e">
        <f ca="1">OFFSET(skill!$Q$1,MATCH(B1981,skill!B:B,0)-1,0)</f>
        <v>#VALUE!</v>
      </c>
      <c r="I1981" s="186"/>
      <c r="J1981" s="186">
        <f ca="1">OFFSET(card_type!$F$1,MATCH(Q1981,card_type!A:A,0)-1,0)</f>
        <v>2</v>
      </c>
      <c r="K1981" s="243">
        <f ca="1">OFFSET(card_type!$G$1,MATCH(Q1981,card_type!A:A,0)-1,0)</f>
        <v>1</v>
      </c>
      <c r="L1981" s="157">
        <v>3</v>
      </c>
      <c r="M1981" s="157">
        <v>3</v>
      </c>
      <c r="N1981" s="153">
        <f t="shared" si="327"/>
        <v>15</v>
      </c>
      <c r="O1981" s="157"/>
      <c r="P1981" s="157"/>
      <c r="Q1981" s="153">
        <f ca="1">OFFSET(card_type!$A$1,MATCH(card!B1981,card_type!B:B,0)-1,0)</f>
        <v>3015</v>
      </c>
      <c r="R1981" s="153">
        <v>1</v>
      </c>
      <c r="S1981" s="157">
        <f ca="1">ROUND(IF(R1981=0,0,IF(R1981=1,X1981*$S$1,IF(R1981=2,X1981*$S$1*buff的资质计算!$E$2,IF(R1981=3,X1981*$S$1*buff的资质计算!$E$3,0)))),0)*0</f>
        <v>0</v>
      </c>
      <c r="T1981" s="153">
        <v>3</v>
      </c>
      <c r="U1981" s="153">
        <f ca="1" t="shared" si="328"/>
        <v>21</v>
      </c>
      <c r="V1981" s="153">
        <f ca="1">ROUND((OFFSET(卡牌辅助配置表!$O$1,MATCH(U1981,卡牌辅助配置表!M:M,0)-1,0)+(N1981-1)*OFFSET(卡牌辅助配置表!$P$1,MATCH(U1981,卡牌辅助配置表!M:M,0)-1,0))*M1981,2)</f>
        <v>44.35</v>
      </c>
      <c r="W1981" s="157">
        <f ca="1">ROUND(IF(R1981=0,0,IF(R1981=1,X1981*$W$1,IF(R1981=2,X1981*$W$1*buff的资质计算!$E$2,IF(R1981=3,X1981*$W$1*buff的资质计算!$E$3,0)))),2)</f>
        <v>12.9</v>
      </c>
      <c r="X1981" s="157">
        <f ca="1" t="shared" si="333"/>
        <v>43</v>
      </c>
      <c r="Y1981" s="157" t="e">
        <f ca="1" t="shared" si="331"/>
        <v>#VALUE!</v>
      </c>
      <c r="Z1981" s="304" t="e">
        <f ca="1" t="shared" si="334"/>
        <v>#VALUE!</v>
      </c>
      <c r="AA1981" s="304">
        <f ca="1">OFFSET(卡牌辅助配置表!$AD$1,MATCH(AB1981,卡牌辅助配置表!AB:AB,0)-1,0)</f>
        <v>735</v>
      </c>
      <c r="AB1981" s="304">
        <f ca="1" t="shared" si="329"/>
        <v>2115</v>
      </c>
      <c r="AC1981" s="153">
        <v>7</v>
      </c>
      <c r="AD1981" s="153">
        <v>2</v>
      </c>
      <c r="AE1981" s="153">
        <v>1</v>
      </c>
      <c r="AF1981" s="153" t="str">
        <f ca="1" t="shared" si="332"/>
        <v>30150011|</v>
      </c>
      <c r="AI1981" s="153">
        <v>1</v>
      </c>
      <c r="AJ1981" s="205" t="str">
        <f ca="1" t="shared" si="330"/>
        <v>400023|4700|;</v>
      </c>
      <c r="AK1981" s="205">
        <f ca="1">OFFSET([1]item_type!$A$1,MATCH(Q1981,[1]item_type!$G:$G,0)-1,0)</f>
        <v>303015</v>
      </c>
      <c r="AL1981" s="205"/>
      <c r="AM1981" s="205">
        <f ca="1">IF(B1981=B1982,OFFSET(卡牌辅助配置表!$AE$1,MATCH(AB1981,卡牌辅助配置表!AB:AB,0),0),0)</f>
        <v>4700</v>
      </c>
      <c r="AN1981" s="153">
        <f ca="1" t="shared" si="325"/>
        <v>3015016</v>
      </c>
      <c r="AP1981" s="153" t="str">
        <f ca="1">IF(AC1981=0,0,IF(AC1981=12,0,OFFSET(effect!$N$1,MATCH(K1981,effect!M:M,0)-1,0)))</f>
        <v>kpsx_pt</v>
      </c>
    </row>
    <row r="1982" spans="1:42">
      <c r="A1982" s="153">
        <f ca="1" t="shared" si="326"/>
        <v>3015016</v>
      </c>
      <c r="B1982" s="91" t="s">
        <v>367</v>
      </c>
      <c r="C1982" s="186">
        <v>3</v>
      </c>
      <c r="D1982" s="186">
        <v>3</v>
      </c>
      <c r="E1982" s="165" t="s">
        <v>1069</v>
      </c>
      <c r="F1982" s="179" t="s">
        <v>1073</v>
      </c>
      <c r="G1982" s="186">
        <f ca="1">OFFSET(卡牌辅助配置表!$C$1,MATCH(AC1982,卡牌辅助配置表!A:A,0)-1,0)</f>
        <v>6</v>
      </c>
      <c r="H1982" s="186" t="e">
        <f ca="1">OFFSET(skill!$Q$1,MATCH(B1982,skill!B:B,0)-1,0)</f>
        <v>#VALUE!</v>
      </c>
      <c r="I1982" s="186"/>
      <c r="J1982" s="186">
        <f ca="1">OFFSET(card_type!$F$1,MATCH(Q1982,card_type!A:A,0)-1,0)</f>
        <v>2</v>
      </c>
      <c r="K1982" s="243">
        <f ca="1">OFFSET(card_type!$G$1,MATCH(Q1982,card_type!A:A,0)-1,0)</f>
        <v>1</v>
      </c>
      <c r="L1982" s="157">
        <v>3</v>
      </c>
      <c r="M1982" s="157">
        <v>3</v>
      </c>
      <c r="N1982" s="153">
        <f t="shared" si="327"/>
        <v>16</v>
      </c>
      <c r="O1982" s="157"/>
      <c r="P1982" s="157"/>
      <c r="Q1982" s="153">
        <f ca="1">OFFSET(card_type!$A$1,MATCH(card!B1982,card_type!B:B,0)-1,0)</f>
        <v>3015</v>
      </c>
      <c r="R1982" s="153">
        <v>1</v>
      </c>
      <c r="S1982" s="157">
        <f ca="1">ROUND(IF(R1982=0,0,IF(R1982=1,X1982*$S$1,IF(R1982=2,X1982*$S$1*buff的资质计算!$E$2,IF(R1982=3,X1982*$S$1*buff的资质计算!$E$3,0)))),0)*0</f>
        <v>0</v>
      </c>
      <c r="T1982" s="153">
        <v>3</v>
      </c>
      <c r="U1982" s="153">
        <f ca="1" t="shared" si="328"/>
        <v>21</v>
      </c>
      <c r="V1982" s="153">
        <f ca="1">ROUND((OFFSET(卡牌辅助配置表!$O$1,MATCH(U1982,卡牌辅助配置表!M:M,0)-1,0)+(N1982-1)*OFFSET(卡牌辅助配置表!$P$1,MATCH(U1982,卡牌辅助配置表!M:M,0)-1,0))*M1982,2)</f>
        <v>46.04</v>
      </c>
      <c r="W1982" s="157">
        <f ca="1">ROUND(IF(R1982=0,0,IF(R1982=1,X1982*$W$1,IF(R1982=2,X1982*$W$1*buff的资质计算!$E$2,IF(R1982=3,X1982*$W$1*buff的资质计算!$E$3,0)))),2)</f>
        <v>13.05</v>
      </c>
      <c r="X1982" s="157">
        <f ca="1" t="shared" si="333"/>
        <v>43.5</v>
      </c>
      <c r="Y1982" s="157" t="e">
        <f ca="1" t="shared" si="331"/>
        <v>#VALUE!</v>
      </c>
      <c r="Z1982" s="304" t="e">
        <f ca="1" t="shared" si="334"/>
        <v>#VALUE!</v>
      </c>
      <c r="AA1982" s="304">
        <f ca="1">OFFSET(卡牌辅助配置表!$AD$1,MATCH(AB1982,卡牌辅助配置表!AB:AB,0)-1,0)</f>
        <v>798</v>
      </c>
      <c r="AB1982" s="304">
        <f ca="1" t="shared" si="329"/>
        <v>2116</v>
      </c>
      <c r="AC1982" s="153">
        <v>7</v>
      </c>
      <c r="AD1982" s="153">
        <v>2</v>
      </c>
      <c r="AE1982" s="153">
        <v>1</v>
      </c>
      <c r="AF1982" s="153" t="str">
        <f ca="1" t="shared" si="332"/>
        <v>30150011|</v>
      </c>
      <c r="AI1982" s="153">
        <v>1</v>
      </c>
      <c r="AJ1982" s="205" t="str">
        <f ca="1" t="shared" si="330"/>
        <v>400023|5100|;</v>
      </c>
      <c r="AK1982" s="205">
        <f ca="1">OFFSET([1]item_type!$A$1,MATCH(Q1982,[1]item_type!$G:$G,0)-1,0)</f>
        <v>303015</v>
      </c>
      <c r="AL1982" s="205"/>
      <c r="AM1982" s="205">
        <f ca="1">IF(B1982=B1983,OFFSET(卡牌辅助配置表!$AE$1,MATCH(AB1982,卡牌辅助配置表!AB:AB,0),0),0)</f>
        <v>5100</v>
      </c>
      <c r="AN1982" s="153">
        <f ca="1" t="shared" si="325"/>
        <v>3015017</v>
      </c>
      <c r="AP1982" s="153" t="str">
        <f ca="1">IF(AC1982=0,0,IF(AC1982=12,0,OFFSET(effect!$N$1,MATCH(K1982,effect!M:M,0)-1,0)))</f>
        <v>kpsx_pt</v>
      </c>
    </row>
    <row r="1983" spans="1:42">
      <c r="A1983" s="153">
        <f ca="1" t="shared" si="326"/>
        <v>3015017</v>
      </c>
      <c r="B1983" s="91" t="s">
        <v>367</v>
      </c>
      <c r="C1983" s="186">
        <v>3</v>
      </c>
      <c r="D1983" s="186">
        <v>3</v>
      </c>
      <c r="E1983" s="165" t="s">
        <v>1069</v>
      </c>
      <c r="F1983" s="179" t="s">
        <v>1073</v>
      </c>
      <c r="G1983" s="186">
        <f ca="1">OFFSET(卡牌辅助配置表!$C$1,MATCH(AC1983,卡牌辅助配置表!A:A,0)-1,0)</f>
        <v>6</v>
      </c>
      <c r="H1983" s="186" t="e">
        <f ca="1">OFFSET(skill!$Q$1,MATCH(B1983,skill!B:B,0)-1,0)</f>
        <v>#VALUE!</v>
      </c>
      <c r="I1983" s="186"/>
      <c r="J1983" s="186">
        <f ca="1">OFFSET(card_type!$F$1,MATCH(Q1983,card_type!A:A,0)-1,0)</f>
        <v>2</v>
      </c>
      <c r="K1983" s="243">
        <f ca="1">OFFSET(card_type!$G$1,MATCH(Q1983,card_type!A:A,0)-1,0)</f>
        <v>1</v>
      </c>
      <c r="L1983" s="157">
        <v>3</v>
      </c>
      <c r="M1983" s="157">
        <v>3</v>
      </c>
      <c r="N1983" s="153">
        <f t="shared" si="327"/>
        <v>17</v>
      </c>
      <c r="O1983" s="157"/>
      <c r="P1983" s="157"/>
      <c r="Q1983" s="153">
        <f ca="1">OFFSET(card_type!$A$1,MATCH(card!B1983,card_type!B:B,0)-1,0)</f>
        <v>3015</v>
      </c>
      <c r="R1983" s="153">
        <v>1</v>
      </c>
      <c r="S1983" s="157">
        <f ca="1">ROUND(IF(R1983=0,0,IF(R1983=1,X1983*$S$1,IF(R1983=2,X1983*$S$1*buff的资质计算!$E$2,IF(R1983=3,X1983*$S$1*buff的资质计算!$E$3,0)))),0)*0</f>
        <v>0</v>
      </c>
      <c r="T1983" s="153">
        <v>3</v>
      </c>
      <c r="U1983" s="153">
        <f ca="1" t="shared" si="328"/>
        <v>21</v>
      </c>
      <c r="V1983" s="153">
        <f ca="1">ROUND((OFFSET(卡牌辅助配置表!$O$1,MATCH(U1983,卡牌辅助配置表!M:M,0)-1,0)+(N1983-1)*OFFSET(卡牌辅助配置表!$P$1,MATCH(U1983,卡牌辅助配置表!M:M,0)-1,0))*M1983,2)</f>
        <v>47.72</v>
      </c>
      <c r="W1983" s="157">
        <f ca="1">ROUND(IF(R1983=0,0,IF(R1983=1,X1983*$W$1,IF(R1983=2,X1983*$W$1*buff的资质计算!$E$2,IF(R1983=3,X1983*$W$1*buff的资质计算!$E$3,0)))),2)</f>
        <v>13.2</v>
      </c>
      <c r="X1983" s="157">
        <f ca="1" t="shared" si="333"/>
        <v>44</v>
      </c>
      <c r="Y1983" s="157" t="e">
        <f ca="1" t="shared" si="331"/>
        <v>#VALUE!</v>
      </c>
      <c r="Z1983" s="304" t="e">
        <f ca="1" t="shared" si="334"/>
        <v>#VALUE!</v>
      </c>
      <c r="AA1983" s="304">
        <f ca="1">OFFSET(卡牌辅助配置表!$AD$1,MATCH(AB1983,卡牌辅助配置表!AB:AB,0)-1,0)</f>
        <v>861</v>
      </c>
      <c r="AB1983" s="304">
        <f ca="1" t="shared" si="329"/>
        <v>2117</v>
      </c>
      <c r="AC1983" s="153">
        <v>7</v>
      </c>
      <c r="AD1983" s="153">
        <v>2</v>
      </c>
      <c r="AE1983" s="153">
        <v>1</v>
      </c>
      <c r="AF1983" s="153" t="str">
        <f ca="1" t="shared" si="332"/>
        <v>30150011|</v>
      </c>
      <c r="AI1983" s="153">
        <v>1</v>
      </c>
      <c r="AJ1983" s="205" t="str">
        <f ca="1" t="shared" si="330"/>
        <v>400023|5500|;</v>
      </c>
      <c r="AK1983" s="205">
        <f ca="1">OFFSET([1]item_type!$A$1,MATCH(Q1983,[1]item_type!$G:$G,0)-1,0)</f>
        <v>303015</v>
      </c>
      <c r="AL1983" s="205"/>
      <c r="AM1983" s="205">
        <f ca="1">IF(B1983=B1984,OFFSET(卡牌辅助配置表!$AE$1,MATCH(AB1983,卡牌辅助配置表!AB:AB,0),0),0)</f>
        <v>5500</v>
      </c>
      <c r="AN1983" s="153">
        <f ca="1" t="shared" si="325"/>
        <v>3015018</v>
      </c>
      <c r="AP1983" s="153" t="str">
        <f ca="1">IF(AC1983=0,0,IF(AC1983=12,0,OFFSET(effect!$N$1,MATCH(K1983,effect!M:M,0)-1,0)))</f>
        <v>kpsx_pt</v>
      </c>
    </row>
    <row r="1984" spans="1:42">
      <c r="A1984" s="153">
        <f ca="1" t="shared" si="326"/>
        <v>3015018</v>
      </c>
      <c r="B1984" s="91" t="s">
        <v>367</v>
      </c>
      <c r="C1984" s="186">
        <v>3</v>
      </c>
      <c r="D1984" s="186">
        <v>3</v>
      </c>
      <c r="E1984" s="165" t="s">
        <v>1069</v>
      </c>
      <c r="F1984" s="179" t="s">
        <v>1073</v>
      </c>
      <c r="G1984" s="186">
        <f ca="1">OFFSET(卡牌辅助配置表!$C$1,MATCH(AC1984,卡牌辅助配置表!A:A,0)-1,0)</f>
        <v>6</v>
      </c>
      <c r="H1984" s="186" t="e">
        <f ca="1">OFFSET(skill!$Q$1,MATCH(B1984,skill!B:B,0)-1,0)</f>
        <v>#VALUE!</v>
      </c>
      <c r="I1984" s="186"/>
      <c r="J1984" s="186">
        <f ca="1">OFFSET(card_type!$F$1,MATCH(Q1984,card_type!A:A,0)-1,0)</f>
        <v>2</v>
      </c>
      <c r="K1984" s="243">
        <f ca="1">OFFSET(card_type!$G$1,MATCH(Q1984,card_type!A:A,0)-1,0)</f>
        <v>1</v>
      </c>
      <c r="L1984" s="157">
        <v>3</v>
      </c>
      <c r="M1984" s="157">
        <v>3</v>
      </c>
      <c r="N1984" s="153">
        <f t="shared" si="327"/>
        <v>18</v>
      </c>
      <c r="O1984" s="157"/>
      <c r="P1984" s="157"/>
      <c r="Q1984" s="153">
        <f ca="1">OFFSET(card_type!$A$1,MATCH(card!B1984,card_type!B:B,0)-1,0)</f>
        <v>3015</v>
      </c>
      <c r="R1984" s="153">
        <v>1</v>
      </c>
      <c r="S1984" s="157">
        <f ca="1">ROUND(IF(R1984=0,0,IF(R1984=1,X1984*$S$1,IF(R1984=2,X1984*$S$1*buff的资质计算!$E$2,IF(R1984=3,X1984*$S$1*buff的资质计算!$E$3,0)))),0)*0</f>
        <v>0</v>
      </c>
      <c r="T1984" s="153">
        <v>3</v>
      </c>
      <c r="U1984" s="153">
        <f ca="1" t="shared" si="328"/>
        <v>21</v>
      </c>
      <c r="V1984" s="153">
        <f ca="1">ROUND((OFFSET(卡牌辅助配置表!$O$1,MATCH(U1984,卡牌辅助配置表!M:M,0)-1,0)+(N1984-1)*OFFSET(卡牌辅助配置表!$P$1,MATCH(U1984,卡牌辅助配置表!M:M,0)-1,0))*M1984,2)</f>
        <v>49.4</v>
      </c>
      <c r="W1984" s="157">
        <f ca="1">ROUND(IF(R1984=0,0,IF(R1984=1,X1984*$W$1,IF(R1984=2,X1984*$W$1*buff的资质计算!$E$2,IF(R1984=3,X1984*$W$1*buff的资质计算!$E$3,0)))),2)</f>
        <v>13.35</v>
      </c>
      <c r="X1984" s="157">
        <f ca="1" t="shared" si="333"/>
        <v>44.5</v>
      </c>
      <c r="Y1984" s="157" t="e">
        <f ca="1" t="shared" si="331"/>
        <v>#VALUE!</v>
      </c>
      <c r="Z1984" s="304" t="e">
        <f ca="1" t="shared" si="334"/>
        <v>#VALUE!</v>
      </c>
      <c r="AA1984" s="304">
        <f ca="1">OFFSET(卡牌辅助配置表!$AD$1,MATCH(AB1984,卡牌辅助配置表!AB:AB,0)-1,0)</f>
        <v>924</v>
      </c>
      <c r="AB1984" s="304">
        <f ca="1" t="shared" si="329"/>
        <v>2118</v>
      </c>
      <c r="AC1984" s="153">
        <v>7</v>
      </c>
      <c r="AD1984" s="153">
        <v>2</v>
      </c>
      <c r="AE1984" s="153">
        <v>1</v>
      </c>
      <c r="AF1984" s="153" t="str">
        <f ca="1" t="shared" si="332"/>
        <v>30150011|</v>
      </c>
      <c r="AI1984" s="153">
        <v>1</v>
      </c>
      <c r="AJ1984" s="205" t="str">
        <f ca="1" t="shared" si="330"/>
        <v>400023|5900|;</v>
      </c>
      <c r="AK1984" s="205">
        <f ca="1">OFFSET([1]item_type!$A$1,MATCH(Q1984,[1]item_type!$G:$G,0)-1,0)</f>
        <v>303015</v>
      </c>
      <c r="AL1984" s="205"/>
      <c r="AM1984" s="205">
        <f ca="1">IF(B1984=B1985,OFFSET(卡牌辅助配置表!$AE$1,MATCH(AB1984,卡牌辅助配置表!AB:AB,0),0),0)</f>
        <v>5900</v>
      </c>
      <c r="AN1984" s="153">
        <f ca="1" t="shared" si="325"/>
        <v>3015019</v>
      </c>
      <c r="AP1984" s="153" t="str">
        <f ca="1">IF(AC1984=0,0,IF(AC1984=12,0,OFFSET(effect!$N$1,MATCH(K1984,effect!M:M,0)-1,0)))</f>
        <v>kpsx_pt</v>
      </c>
    </row>
    <row r="1985" spans="1:42">
      <c r="A1985" s="153">
        <f ca="1" t="shared" si="326"/>
        <v>3015019</v>
      </c>
      <c r="B1985" s="91" t="s">
        <v>367</v>
      </c>
      <c r="C1985" s="186">
        <v>3</v>
      </c>
      <c r="D1985" s="186">
        <v>3</v>
      </c>
      <c r="E1985" s="165" t="s">
        <v>1069</v>
      </c>
      <c r="F1985" s="179" t="s">
        <v>1073</v>
      </c>
      <c r="G1985" s="186">
        <f ca="1">OFFSET(卡牌辅助配置表!$C$1,MATCH(AC1985,卡牌辅助配置表!A:A,0)-1,0)</f>
        <v>6</v>
      </c>
      <c r="H1985" s="186" t="e">
        <f ca="1">OFFSET(skill!$Q$1,MATCH(B1985,skill!B:B,0)-1,0)</f>
        <v>#VALUE!</v>
      </c>
      <c r="I1985" s="186"/>
      <c r="J1985" s="186">
        <f ca="1">OFFSET(card_type!$F$1,MATCH(Q1985,card_type!A:A,0)-1,0)</f>
        <v>2</v>
      </c>
      <c r="K1985" s="243">
        <f ca="1">OFFSET(card_type!$G$1,MATCH(Q1985,card_type!A:A,0)-1,0)</f>
        <v>1</v>
      </c>
      <c r="L1985" s="157">
        <v>3</v>
      </c>
      <c r="M1985" s="157">
        <v>3</v>
      </c>
      <c r="N1985" s="153">
        <f t="shared" si="327"/>
        <v>19</v>
      </c>
      <c r="O1985" s="157"/>
      <c r="P1985" s="157"/>
      <c r="Q1985" s="153">
        <f ca="1">OFFSET(card_type!$A$1,MATCH(card!B1985,card_type!B:B,0)-1,0)</f>
        <v>3015</v>
      </c>
      <c r="R1985" s="153">
        <v>1</v>
      </c>
      <c r="S1985" s="157">
        <f ca="1">ROUND(IF(R1985=0,0,IF(R1985=1,X1985*$S$1,IF(R1985=2,X1985*$S$1*buff的资质计算!$E$2,IF(R1985=3,X1985*$S$1*buff的资质计算!$E$3,0)))),0)*0</f>
        <v>0</v>
      </c>
      <c r="T1985" s="153">
        <v>3</v>
      </c>
      <c r="U1985" s="153">
        <f ca="1" t="shared" si="328"/>
        <v>21</v>
      </c>
      <c r="V1985" s="153">
        <f ca="1">ROUND((OFFSET(卡牌辅助配置表!$O$1,MATCH(U1985,卡牌辅助配置表!M:M,0)-1,0)+(N1985-1)*OFFSET(卡牌辅助配置表!$P$1,MATCH(U1985,卡牌辅助配置表!M:M,0)-1,0))*M1985,2)</f>
        <v>51.08</v>
      </c>
      <c r="W1985" s="157">
        <f ca="1">ROUND(IF(R1985=0,0,IF(R1985=1,X1985*$W$1,IF(R1985=2,X1985*$W$1*buff的资质计算!$E$2,IF(R1985=3,X1985*$W$1*buff的资质计算!$E$3,0)))),2)</f>
        <v>13.5</v>
      </c>
      <c r="X1985" s="157">
        <f ca="1" t="shared" si="333"/>
        <v>45</v>
      </c>
      <c r="Y1985" s="157" t="e">
        <f ca="1" t="shared" si="331"/>
        <v>#VALUE!</v>
      </c>
      <c r="Z1985" s="304" t="e">
        <f ca="1" t="shared" si="334"/>
        <v>#VALUE!</v>
      </c>
      <c r="AA1985" s="304">
        <f ca="1">OFFSET(卡牌辅助配置表!$AD$1,MATCH(AB1985,卡牌辅助配置表!AB:AB,0)-1,0)</f>
        <v>987</v>
      </c>
      <c r="AB1985" s="304">
        <f ca="1" t="shared" si="329"/>
        <v>2119</v>
      </c>
      <c r="AC1985" s="153">
        <v>7</v>
      </c>
      <c r="AD1985" s="153">
        <v>2</v>
      </c>
      <c r="AE1985" s="153">
        <v>1</v>
      </c>
      <c r="AF1985" s="153" t="str">
        <f ca="1" t="shared" si="332"/>
        <v>30150011|</v>
      </c>
      <c r="AI1985" s="153">
        <v>1</v>
      </c>
      <c r="AJ1985" s="205" t="str">
        <f ca="1" t="shared" si="330"/>
        <v>303015|20|;400023|6300|;</v>
      </c>
      <c r="AK1985" s="205">
        <f ca="1">OFFSET([1]item_type!$A$1,MATCH(Q1985,[1]item_type!$G:$G,0)-1,0)</f>
        <v>303015</v>
      </c>
      <c r="AL1985" s="205">
        <v>20</v>
      </c>
      <c r="AM1985" s="205">
        <f ca="1">IF(B1985=B1986,OFFSET(卡牌辅助配置表!$AE$1,MATCH(AB1985,卡牌辅助配置表!AB:AB,0),0),0)</f>
        <v>6300</v>
      </c>
      <c r="AN1985" s="153">
        <f ca="1" t="shared" si="325"/>
        <v>3015020</v>
      </c>
      <c r="AP1985" s="153" t="str">
        <f ca="1">IF(AC1985=0,0,IF(AC1985=12,0,OFFSET(effect!$N$1,MATCH(K1985,effect!M:M,0)-1,0)))</f>
        <v>kpsx_pt</v>
      </c>
    </row>
    <row r="1986" spans="1:42">
      <c r="A1986" s="153">
        <f ca="1" t="shared" si="326"/>
        <v>3015020</v>
      </c>
      <c r="B1986" s="91" t="s">
        <v>367</v>
      </c>
      <c r="C1986" s="186">
        <v>3</v>
      </c>
      <c r="D1986" s="186">
        <v>3</v>
      </c>
      <c r="E1986" s="165" t="s">
        <v>1069</v>
      </c>
      <c r="F1986" s="179" t="s">
        <v>1073</v>
      </c>
      <c r="G1986" s="186">
        <f ca="1">OFFSET(卡牌辅助配置表!$C$1,MATCH(AC1986,卡牌辅助配置表!A:A,0)-1,0)</f>
        <v>6</v>
      </c>
      <c r="H1986" s="186" t="e">
        <f ca="1">OFFSET(skill!$Q$1,MATCH(B1986,skill!B:B,0)-1,0)</f>
        <v>#VALUE!</v>
      </c>
      <c r="I1986" s="186"/>
      <c r="J1986" s="186">
        <f ca="1">OFFSET(card_type!$F$1,MATCH(Q1986,card_type!A:A,0)-1,0)</f>
        <v>2</v>
      </c>
      <c r="K1986" s="243">
        <f ca="1">OFFSET(card_type!$G$1,MATCH(Q1986,card_type!A:A,0)-1,0)</f>
        <v>1</v>
      </c>
      <c r="L1986" s="157">
        <v>3</v>
      </c>
      <c r="M1986" s="157">
        <v>3</v>
      </c>
      <c r="N1986" s="153">
        <f t="shared" si="327"/>
        <v>20</v>
      </c>
      <c r="O1986" s="157"/>
      <c r="P1986" s="157"/>
      <c r="Q1986" s="153">
        <f ca="1">OFFSET(card_type!$A$1,MATCH(card!B1986,card_type!B:B,0)-1,0)</f>
        <v>3015</v>
      </c>
      <c r="R1986" s="153">
        <v>1</v>
      </c>
      <c r="S1986" s="157">
        <f ca="1">ROUND(IF(R1986=0,0,IF(R1986=1,X1986*$S$1,IF(R1986=2,X1986*$S$1*buff的资质计算!$E$2,IF(R1986=3,X1986*$S$1*buff的资质计算!$E$3,0)))),0)*0</f>
        <v>0</v>
      </c>
      <c r="T1986" s="153">
        <v>3</v>
      </c>
      <c r="U1986" s="153">
        <f ca="1" t="shared" si="328"/>
        <v>21</v>
      </c>
      <c r="V1986" s="153">
        <f ca="1">ROUND((OFFSET(卡牌辅助配置表!$O$1,MATCH(U1986,卡牌辅助配置表!M:M,0)-1,0)+(N1986-1)*OFFSET(卡牌辅助配置表!$P$1,MATCH(U1986,卡牌辅助配置表!M:M,0)-1,0))*M1986,2)</f>
        <v>52.77</v>
      </c>
      <c r="W1986" s="157">
        <f ca="1">ROUND(IF(R1986=0,0,IF(R1986=1,X1986*$W$1,IF(R1986=2,X1986*$W$1*buff的资质计算!$E$2,IF(R1986=3,X1986*$W$1*buff的资质计算!$E$3,0)))),2)</f>
        <v>13.65</v>
      </c>
      <c r="X1986" s="157">
        <f ca="1" t="shared" si="333"/>
        <v>45.5</v>
      </c>
      <c r="Y1986" s="157" t="e">
        <f ca="1" t="shared" si="331"/>
        <v>#VALUE!</v>
      </c>
      <c r="Z1986" s="304" t="e">
        <f ca="1" t="shared" si="334"/>
        <v>#VALUE!</v>
      </c>
      <c r="AA1986" s="304">
        <f ca="1">OFFSET(卡牌辅助配置表!$AD$1,MATCH(AB1986,卡牌辅助配置表!AB:AB,0)-1,0)</f>
        <v>1050</v>
      </c>
      <c r="AB1986" s="304">
        <f ca="1" t="shared" si="329"/>
        <v>2120</v>
      </c>
      <c r="AC1986" s="153">
        <v>7</v>
      </c>
      <c r="AD1986" s="153">
        <v>2</v>
      </c>
      <c r="AE1986" s="153">
        <v>1</v>
      </c>
      <c r="AF1986" s="153" t="str">
        <f ca="1" t="shared" si="332"/>
        <v>30150011|</v>
      </c>
      <c r="AI1986" s="153">
        <v>1</v>
      </c>
      <c r="AJ1986" s="205" t="str">
        <f ca="1" t="shared" si="330"/>
        <v>400023|7100|;</v>
      </c>
      <c r="AK1986" s="205">
        <f ca="1">OFFSET([1]item_type!$A$1,MATCH(Q1986,[1]item_type!$G:$G,0)-1,0)</f>
        <v>303015</v>
      </c>
      <c r="AL1986" s="205"/>
      <c r="AM1986" s="205">
        <f ca="1">IF(B1986=B1987,OFFSET(卡牌辅助配置表!$AE$1,MATCH(AB1986,卡牌辅助配置表!AB:AB,0),0),0)</f>
        <v>7100</v>
      </c>
      <c r="AN1986" s="153">
        <f ca="1" t="shared" si="325"/>
        <v>3015021</v>
      </c>
      <c r="AP1986" s="153" t="str">
        <f ca="1">IF(AC1986=0,0,IF(AC1986=12,0,OFFSET(effect!$N$1,MATCH(K1986,effect!M:M,0)-1,0)))</f>
        <v>kpsx_pt</v>
      </c>
    </row>
    <row r="1987" spans="1:42">
      <c r="A1987" s="153">
        <f ca="1" t="shared" si="326"/>
        <v>3015021</v>
      </c>
      <c r="B1987" s="91" t="s">
        <v>367</v>
      </c>
      <c r="C1987" s="186">
        <v>3</v>
      </c>
      <c r="D1987" s="186">
        <v>3</v>
      </c>
      <c r="E1987" s="165" t="s">
        <v>1069</v>
      </c>
      <c r="F1987" s="179" t="s">
        <v>1073</v>
      </c>
      <c r="G1987" s="186">
        <f ca="1">OFFSET(卡牌辅助配置表!$C$1,MATCH(AC1987,卡牌辅助配置表!A:A,0)-1,0)</f>
        <v>6</v>
      </c>
      <c r="H1987" s="186" t="e">
        <f ca="1">OFFSET(skill!$Q$1,MATCH(B1987,skill!B:B,0)-1,0)</f>
        <v>#VALUE!</v>
      </c>
      <c r="I1987" s="186"/>
      <c r="J1987" s="186">
        <f ca="1">OFFSET(card_type!$F$1,MATCH(Q1987,card_type!A:A,0)-1,0)</f>
        <v>2</v>
      </c>
      <c r="K1987" s="243">
        <f ca="1">OFFSET(card_type!$G$1,MATCH(Q1987,card_type!A:A,0)-1,0)</f>
        <v>1</v>
      </c>
      <c r="L1987" s="157">
        <v>3</v>
      </c>
      <c r="M1987" s="157">
        <v>3</v>
      </c>
      <c r="N1987" s="153">
        <f t="shared" si="327"/>
        <v>21</v>
      </c>
      <c r="O1987" s="157"/>
      <c r="P1987" s="157"/>
      <c r="Q1987" s="153">
        <f ca="1">OFFSET(card_type!$A$1,MATCH(card!B1987,card_type!B:B,0)-1,0)</f>
        <v>3015</v>
      </c>
      <c r="R1987" s="153">
        <v>1</v>
      </c>
      <c r="S1987" s="157">
        <f ca="1">ROUND(IF(R1987=0,0,IF(R1987=1,X1987*$S$1,IF(R1987=2,X1987*$S$1*buff的资质计算!$E$2,IF(R1987=3,X1987*$S$1*buff的资质计算!$E$3,0)))),0)*0</f>
        <v>0</v>
      </c>
      <c r="T1987" s="153">
        <v>3</v>
      </c>
      <c r="U1987" s="153">
        <f ca="1" t="shared" si="328"/>
        <v>21</v>
      </c>
      <c r="V1987" s="153">
        <f ca="1">ROUND((OFFSET(卡牌辅助配置表!$O$1,MATCH(U1987,卡牌辅助配置表!M:M,0)-1,0)+(N1987-1)*OFFSET(卡牌辅助配置表!$P$1,MATCH(U1987,卡牌辅助配置表!M:M,0)-1,0))*M1987,2)</f>
        <v>54.45</v>
      </c>
      <c r="W1987" s="157">
        <f ca="1">ROUND(IF(R1987=0,0,IF(R1987=1,X1987*$W$1,IF(R1987=2,X1987*$W$1*buff的资质计算!$E$2,IF(R1987=3,X1987*$W$1*buff的资质计算!$E$3,0)))),2)</f>
        <v>13.8</v>
      </c>
      <c r="X1987" s="157">
        <f ca="1" t="shared" si="333"/>
        <v>46</v>
      </c>
      <c r="Y1987" s="157" t="e">
        <f ca="1" t="shared" si="331"/>
        <v>#VALUE!</v>
      </c>
      <c r="Z1987" s="304" t="e">
        <f ca="1" t="shared" si="334"/>
        <v>#VALUE!</v>
      </c>
      <c r="AA1987" s="304">
        <f ca="1">OFFSET(卡牌辅助配置表!$AD$1,MATCH(AB1987,卡牌辅助配置表!AB:AB,0)-1,0)</f>
        <v>1135</v>
      </c>
      <c r="AB1987" s="304">
        <f ca="1" t="shared" si="329"/>
        <v>2121</v>
      </c>
      <c r="AC1987" s="153">
        <v>7</v>
      </c>
      <c r="AD1987" s="153">
        <v>2</v>
      </c>
      <c r="AE1987" s="153">
        <v>1</v>
      </c>
      <c r="AF1987" s="153" t="str">
        <f ca="1" t="shared" si="332"/>
        <v>30150011|</v>
      </c>
      <c r="AI1987" s="153">
        <v>1</v>
      </c>
      <c r="AJ1987" s="205" t="str">
        <f ca="1" t="shared" si="330"/>
        <v>400023|7900|;</v>
      </c>
      <c r="AK1987" s="205">
        <f ca="1">OFFSET([1]item_type!$A$1,MATCH(Q1987,[1]item_type!$G:$G,0)-1,0)</f>
        <v>303015</v>
      </c>
      <c r="AL1987" s="205"/>
      <c r="AM1987" s="205">
        <f ca="1">IF(B1987=B1988,OFFSET(卡牌辅助配置表!$AE$1,MATCH(AB1987,卡牌辅助配置表!AB:AB,0),0),0)</f>
        <v>7900</v>
      </c>
      <c r="AN1987" s="153">
        <f ca="1" t="shared" si="325"/>
        <v>3015022</v>
      </c>
      <c r="AP1987" s="153" t="str">
        <f ca="1">IF(AC1987=0,0,IF(AC1987=12,0,OFFSET(effect!$N$1,MATCH(K1987,effect!M:M,0)-1,0)))</f>
        <v>kpsx_pt</v>
      </c>
    </row>
    <row r="1988" spans="1:42">
      <c r="A1988" s="153">
        <f ca="1" t="shared" si="326"/>
        <v>3015022</v>
      </c>
      <c r="B1988" s="91" t="s">
        <v>367</v>
      </c>
      <c r="C1988" s="186">
        <v>3</v>
      </c>
      <c r="D1988" s="186">
        <v>3</v>
      </c>
      <c r="E1988" s="165" t="s">
        <v>1069</v>
      </c>
      <c r="F1988" s="179" t="s">
        <v>1073</v>
      </c>
      <c r="G1988" s="186">
        <f ca="1">OFFSET(卡牌辅助配置表!$C$1,MATCH(AC1988,卡牌辅助配置表!A:A,0)-1,0)</f>
        <v>6</v>
      </c>
      <c r="H1988" s="186" t="e">
        <f ca="1">OFFSET(skill!$Q$1,MATCH(B1988,skill!B:B,0)-1,0)</f>
        <v>#VALUE!</v>
      </c>
      <c r="I1988" s="186"/>
      <c r="J1988" s="186">
        <f ca="1">OFFSET(card_type!$F$1,MATCH(Q1988,card_type!A:A,0)-1,0)</f>
        <v>2</v>
      </c>
      <c r="K1988" s="243">
        <f ca="1">OFFSET(card_type!$G$1,MATCH(Q1988,card_type!A:A,0)-1,0)</f>
        <v>1</v>
      </c>
      <c r="L1988" s="157">
        <v>3</v>
      </c>
      <c r="M1988" s="157">
        <v>3</v>
      </c>
      <c r="N1988" s="153">
        <f t="shared" si="327"/>
        <v>22</v>
      </c>
      <c r="O1988" s="157"/>
      <c r="P1988" s="157"/>
      <c r="Q1988" s="153">
        <f ca="1">OFFSET(card_type!$A$1,MATCH(card!B1988,card_type!B:B,0)-1,0)</f>
        <v>3015</v>
      </c>
      <c r="R1988" s="153">
        <v>1</v>
      </c>
      <c r="S1988" s="157">
        <f ca="1">ROUND(IF(R1988=0,0,IF(R1988=1,X1988*$S$1,IF(R1988=2,X1988*$S$1*buff的资质计算!$E$2,IF(R1988=3,X1988*$S$1*buff的资质计算!$E$3,0)))),0)*0</f>
        <v>0</v>
      </c>
      <c r="T1988" s="153">
        <v>3</v>
      </c>
      <c r="U1988" s="153">
        <f ca="1" t="shared" si="328"/>
        <v>21</v>
      </c>
      <c r="V1988" s="153">
        <f ca="1">ROUND((OFFSET(卡牌辅助配置表!$O$1,MATCH(U1988,卡牌辅助配置表!M:M,0)-1,0)+(N1988-1)*OFFSET(卡牌辅助配置表!$P$1,MATCH(U1988,卡牌辅助配置表!M:M,0)-1,0))*M1988,2)</f>
        <v>56.13</v>
      </c>
      <c r="W1988" s="157">
        <f ca="1">ROUND(IF(R1988=0,0,IF(R1988=1,X1988*$W$1,IF(R1988=2,X1988*$W$1*buff的资质计算!$E$2,IF(R1988=3,X1988*$W$1*buff的资质计算!$E$3,0)))),2)</f>
        <v>13.95</v>
      </c>
      <c r="X1988" s="157">
        <f ca="1" t="shared" si="333"/>
        <v>46.5</v>
      </c>
      <c r="Y1988" s="157" t="e">
        <f ca="1" t="shared" si="331"/>
        <v>#VALUE!</v>
      </c>
      <c r="Z1988" s="304" t="e">
        <f ca="1" t="shared" si="334"/>
        <v>#VALUE!</v>
      </c>
      <c r="AA1988" s="304">
        <f ca="1">OFFSET(卡牌辅助配置表!$AD$1,MATCH(AB1988,卡牌辅助配置表!AB:AB,0)-1,0)</f>
        <v>1220</v>
      </c>
      <c r="AB1988" s="304">
        <f ca="1" t="shared" si="329"/>
        <v>2122</v>
      </c>
      <c r="AC1988" s="153">
        <v>7</v>
      </c>
      <c r="AD1988" s="153">
        <v>2</v>
      </c>
      <c r="AE1988" s="153">
        <v>1</v>
      </c>
      <c r="AF1988" s="153" t="str">
        <f ca="1" t="shared" si="332"/>
        <v>30150011|</v>
      </c>
      <c r="AI1988" s="153">
        <v>1</v>
      </c>
      <c r="AJ1988" s="205" t="str">
        <f ca="1" t="shared" si="330"/>
        <v>400023|8700|;</v>
      </c>
      <c r="AK1988" s="205">
        <f ca="1">OFFSET([1]item_type!$A$1,MATCH(Q1988,[1]item_type!$G:$G,0)-1,0)</f>
        <v>303015</v>
      </c>
      <c r="AL1988" s="205"/>
      <c r="AM1988" s="205">
        <f ca="1">IF(B1988=B1989,OFFSET(卡牌辅助配置表!$AE$1,MATCH(AB1988,卡牌辅助配置表!AB:AB,0),0),0)</f>
        <v>8700</v>
      </c>
      <c r="AN1988" s="153">
        <f ca="1" t="shared" si="325"/>
        <v>3015023</v>
      </c>
      <c r="AP1988" s="153" t="str">
        <f ca="1">IF(AC1988=0,0,IF(AC1988=12,0,OFFSET(effect!$N$1,MATCH(K1988,effect!M:M,0)-1,0)))</f>
        <v>kpsx_pt</v>
      </c>
    </row>
    <row r="1989" spans="1:42">
      <c r="A1989" s="153">
        <f ca="1" t="shared" si="326"/>
        <v>3015023</v>
      </c>
      <c r="B1989" s="91" t="s">
        <v>367</v>
      </c>
      <c r="C1989" s="186">
        <v>3</v>
      </c>
      <c r="D1989" s="186">
        <v>3</v>
      </c>
      <c r="E1989" s="165" t="s">
        <v>1069</v>
      </c>
      <c r="F1989" s="179" t="s">
        <v>1073</v>
      </c>
      <c r="G1989" s="186">
        <f ca="1">OFFSET(卡牌辅助配置表!$C$1,MATCH(AC1989,卡牌辅助配置表!A:A,0)-1,0)</f>
        <v>6</v>
      </c>
      <c r="H1989" s="186" t="e">
        <f ca="1">OFFSET(skill!$Q$1,MATCH(B1989,skill!B:B,0)-1,0)</f>
        <v>#VALUE!</v>
      </c>
      <c r="I1989" s="186"/>
      <c r="J1989" s="186">
        <f ca="1">OFFSET(card_type!$F$1,MATCH(Q1989,card_type!A:A,0)-1,0)</f>
        <v>2</v>
      </c>
      <c r="K1989" s="243">
        <f ca="1">OFFSET(card_type!$G$1,MATCH(Q1989,card_type!A:A,0)-1,0)</f>
        <v>1</v>
      </c>
      <c r="L1989" s="157">
        <v>3</v>
      </c>
      <c r="M1989" s="157">
        <v>3</v>
      </c>
      <c r="N1989" s="153">
        <f t="shared" si="327"/>
        <v>23</v>
      </c>
      <c r="O1989" s="157"/>
      <c r="P1989" s="157"/>
      <c r="Q1989" s="153">
        <f ca="1">OFFSET(card_type!$A$1,MATCH(card!B1989,card_type!B:B,0)-1,0)</f>
        <v>3015</v>
      </c>
      <c r="R1989" s="153">
        <v>1</v>
      </c>
      <c r="S1989" s="157">
        <f ca="1">ROUND(IF(R1989=0,0,IF(R1989=1,X1989*$S$1,IF(R1989=2,X1989*$S$1*buff的资质计算!$E$2,IF(R1989=3,X1989*$S$1*buff的资质计算!$E$3,0)))),0)*0</f>
        <v>0</v>
      </c>
      <c r="T1989" s="153">
        <v>3</v>
      </c>
      <c r="U1989" s="153">
        <f ca="1" t="shared" si="328"/>
        <v>21</v>
      </c>
      <c r="V1989" s="153">
        <f ca="1">ROUND((OFFSET(卡牌辅助配置表!$O$1,MATCH(U1989,卡牌辅助配置表!M:M,0)-1,0)+(N1989-1)*OFFSET(卡牌辅助配置表!$P$1,MATCH(U1989,卡牌辅助配置表!M:M,0)-1,0))*M1989,2)</f>
        <v>57.82</v>
      </c>
      <c r="W1989" s="157">
        <f ca="1">ROUND(IF(R1989=0,0,IF(R1989=1,X1989*$W$1,IF(R1989=2,X1989*$W$1*buff的资质计算!$E$2,IF(R1989=3,X1989*$W$1*buff的资质计算!$E$3,0)))),2)</f>
        <v>14.1</v>
      </c>
      <c r="X1989" s="157">
        <f ca="1" t="shared" si="333"/>
        <v>47</v>
      </c>
      <c r="Y1989" s="157" t="e">
        <f ca="1" t="shared" si="331"/>
        <v>#VALUE!</v>
      </c>
      <c r="Z1989" s="304" t="e">
        <f ca="1" t="shared" si="334"/>
        <v>#VALUE!</v>
      </c>
      <c r="AA1989" s="304">
        <f ca="1">OFFSET(卡牌辅助配置表!$AD$1,MATCH(AB1989,卡牌辅助配置表!AB:AB,0)-1,0)</f>
        <v>1305</v>
      </c>
      <c r="AB1989" s="304">
        <f ca="1" t="shared" si="329"/>
        <v>2123</v>
      </c>
      <c r="AC1989" s="153">
        <v>7</v>
      </c>
      <c r="AD1989" s="153">
        <v>2</v>
      </c>
      <c r="AE1989" s="153">
        <v>1</v>
      </c>
      <c r="AF1989" s="153" t="str">
        <f ca="1" t="shared" si="332"/>
        <v>30150011|</v>
      </c>
      <c r="AI1989" s="153">
        <v>1</v>
      </c>
      <c r="AJ1989" s="205" t="str">
        <f ca="1" t="shared" si="330"/>
        <v>400023|9500|;</v>
      </c>
      <c r="AK1989" s="205">
        <f ca="1">OFFSET([1]item_type!$A$1,MATCH(Q1989,[1]item_type!$G:$G,0)-1,0)</f>
        <v>303015</v>
      </c>
      <c r="AL1989" s="205"/>
      <c r="AM1989" s="205">
        <f ca="1">IF(B1989=B1990,OFFSET(卡牌辅助配置表!$AE$1,MATCH(AB1989,卡牌辅助配置表!AB:AB,0),0),0)</f>
        <v>9500</v>
      </c>
      <c r="AN1989" s="153">
        <f ca="1" t="shared" ref="AN1989:AN2052" si="335">IF(B1989=B1990,A1989+1,0)</f>
        <v>3015024</v>
      </c>
      <c r="AP1989" s="153" t="str">
        <f ca="1">IF(AC1989=0,0,IF(AC1989=12,0,OFFSET(effect!$N$1,MATCH(K1989,effect!M:M,0)-1,0)))</f>
        <v>kpsx_pt</v>
      </c>
    </row>
    <row r="1990" spans="1:42">
      <c r="A1990" s="153">
        <f ca="1" t="shared" ref="A1990:A2053" si="336">Q1990*1000+N1990</f>
        <v>3015024</v>
      </c>
      <c r="B1990" s="91" t="s">
        <v>367</v>
      </c>
      <c r="C1990" s="186">
        <v>3</v>
      </c>
      <c r="D1990" s="186">
        <v>3</v>
      </c>
      <c r="E1990" s="165" t="s">
        <v>1069</v>
      </c>
      <c r="F1990" s="179" t="s">
        <v>1073</v>
      </c>
      <c r="G1990" s="186">
        <f ca="1">OFFSET(卡牌辅助配置表!$C$1,MATCH(AC1990,卡牌辅助配置表!A:A,0)-1,0)</f>
        <v>6</v>
      </c>
      <c r="H1990" s="186" t="e">
        <f ca="1">OFFSET(skill!$Q$1,MATCH(B1990,skill!B:B,0)-1,0)</f>
        <v>#VALUE!</v>
      </c>
      <c r="I1990" s="186"/>
      <c r="J1990" s="186">
        <f ca="1">OFFSET(card_type!$F$1,MATCH(Q1990,card_type!A:A,0)-1,0)</f>
        <v>2</v>
      </c>
      <c r="K1990" s="243">
        <f ca="1">OFFSET(card_type!$G$1,MATCH(Q1990,card_type!A:A,0)-1,0)</f>
        <v>1</v>
      </c>
      <c r="L1990" s="157">
        <v>3</v>
      </c>
      <c r="M1990" s="157">
        <v>3</v>
      </c>
      <c r="N1990" s="153">
        <f t="shared" ref="N1990:N2053" si="337">IF(B1989=B1990,N1989+1,1)</f>
        <v>24</v>
      </c>
      <c r="O1990" s="157"/>
      <c r="P1990" s="157"/>
      <c r="Q1990" s="153">
        <f ca="1">OFFSET(card_type!$A$1,MATCH(card!B1990,card_type!B:B,0)-1,0)</f>
        <v>3015</v>
      </c>
      <c r="R1990" s="153">
        <v>1</v>
      </c>
      <c r="S1990" s="157">
        <f ca="1">ROUND(IF(R1990=0,0,IF(R1990=1,X1990*$S$1,IF(R1990=2,X1990*$S$1*buff的资质计算!$E$2,IF(R1990=3,X1990*$S$1*buff的资质计算!$E$3,0)))),0)*0</f>
        <v>0</v>
      </c>
      <c r="T1990" s="153">
        <v>3</v>
      </c>
      <c r="U1990" s="153">
        <f ca="1" t="shared" ref="U1990:U2053" si="338">J1990*10+K1990</f>
        <v>21</v>
      </c>
      <c r="V1990" s="153">
        <f ca="1">ROUND((OFFSET(卡牌辅助配置表!$O$1,MATCH(U1990,卡牌辅助配置表!M:M,0)-1,0)+(N1990-1)*OFFSET(卡牌辅助配置表!$P$1,MATCH(U1990,卡牌辅助配置表!M:M,0)-1,0))*M1990,2)</f>
        <v>59.5</v>
      </c>
      <c r="W1990" s="157">
        <f ca="1">ROUND(IF(R1990=0,0,IF(R1990=1,X1990*$W$1,IF(R1990=2,X1990*$W$1*buff的资质计算!$E$2,IF(R1990=3,X1990*$W$1*buff的资质计算!$E$3,0)))),2)</f>
        <v>14.25</v>
      </c>
      <c r="X1990" s="157">
        <f ca="1" t="shared" si="333"/>
        <v>47.5</v>
      </c>
      <c r="Y1990" s="157" t="e">
        <f ca="1" t="shared" si="331"/>
        <v>#VALUE!</v>
      </c>
      <c r="Z1990" s="304" t="e">
        <f ca="1" t="shared" si="334"/>
        <v>#VALUE!</v>
      </c>
      <c r="AA1990" s="304">
        <f ca="1">OFFSET(卡牌辅助配置表!$AD$1,MATCH(AB1990,卡牌辅助配置表!AB:AB,0)-1,0)</f>
        <v>1390</v>
      </c>
      <c r="AB1990" s="304">
        <f ca="1" t="shared" ref="AB1990:AB2053" si="339">J1990*1000+K1990*100+N1990</f>
        <v>2124</v>
      </c>
      <c r="AC1990" s="153">
        <v>7</v>
      </c>
      <c r="AD1990" s="153">
        <v>2</v>
      </c>
      <c r="AE1990" s="153">
        <v>1</v>
      </c>
      <c r="AF1990" s="153" t="str">
        <f ca="1" t="shared" si="332"/>
        <v>30150011|</v>
      </c>
      <c r="AI1990" s="153">
        <v>1</v>
      </c>
      <c r="AJ1990" s="205" t="str">
        <f ca="1" t="shared" ref="AJ1990:AJ2053" si="340">IF(AN1990=0,0,IF(AL1990=0,$AM$1&amp;$AF$1&amp;AM1990&amp;$AF$1&amp;$AJ$1,AK1990&amp;$AF$1&amp;AL1990&amp;$AF$1&amp;$AJ$1&amp;$AM$1&amp;$AF$1&amp;AM1990&amp;$AF$1&amp;$AJ$1))</f>
        <v>400023|10300|;</v>
      </c>
      <c r="AK1990" s="205">
        <f ca="1">OFFSET([1]item_type!$A$1,MATCH(Q1990,[1]item_type!$G:$G,0)-1,0)</f>
        <v>303015</v>
      </c>
      <c r="AL1990" s="205"/>
      <c r="AM1990" s="205">
        <f ca="1">IF(B1990=B1991,OFFSET(卡牌辅助配置表!$AE$1,MATCH(AB1990,卡牌辅助配置表!AB:AB,0),0),0)</f>
        <v>10300</v>
      </c>
      <c r="AN1990" s="153">
        <f ca="1" t="shared" si="335"/>
        <v>3015025</v>
      </c>
      <c r="AP1990" s="153" t="str">
        <f ca="1">IF(AC1990=0,0,IF(AC1990=12,0,OFFSET(effect!$N$1,MATCH(K1990,effect!M:M,0)-1,0)))</f>
        <v>kpsx_pt</v>
      </c>
    </row>
    <row r="1991" spans="1:42">
      <c r="A1991" s="153">
        <f ca="1" t="shared" si="336"/>
        <v>3015025</v>
      </c>
      <c r="B1991" s="91" t="s">
        <v>367</v>
      </c>
      <c r="C1991" s="186">
        <v>3</v>
      </c>
      <c r="D1991" s="186">
        <v>3</v>
      </c>
      <c r="E1991" s="165" t="s">
        <v>1069</v>
      </c>
      <c r="F1991" s="179" t="s">
        <v>1073</v>
      </c>
      <c r="G1991" s="186">
        <f ca="1">OFFSET(卡牌辅助配置表!$C$1,MATCH(AC1991,卡牌辅助配置表!A:A,0)-1,0)</f>
        <v>6</v>
      </c>
      <c r="H1991" s="186" t="e">
        <f ca="1">OFFSET(skill!$Q$1,MATCH(B1991,skill!B:B,0)-1,0)</f>
        <v>#VALUE!</v>
      </c>
      <c r="I1991" s="186"/>
      <c r="J1991" s="186">
        <f ca="1">OFFSET(card_type!$F$1,MATCH(Q1991,card_type!A:A,0)-1,0)</f>
        <v>2</v>
      </c>
      <c r="K1991" s="243">
        <f ca="1">OFFSET(card_type!$G$1,MATCH(Q1991,card_type!A:A,0)-1,0)</f>
        <v>1</v>
      </c>
      <c r="L1991" s="157">
        <v>3</v>
      </c>
      <c r="M1991" s="157">
        <v>3</v>
      </c>
      <c r="N1991" s="153">
        <f t="shared" si="337"/>
        <v>25</v>
      </c>
      <c r="O1991" s="157"/>
      <c r="P1991" s="157"/>
      <c r="Q1991" s="153">
        <f ca="1">OFFSET(card_type!$A$1,MATCH(card!B1991,card_type!B:B,0)-1,0)</f>
        <v>3015</v>
      </c>
      <c r="R1991" s="153">
        <v>1</v>
      </c>
      <c r="S1991" s="157">
        <f ca="1">ROUND(IF(R1991=0,0,IF(R1991=1,X1991*$S$1,IF(R1991=2,X1991*$S$1*buff的资质计算!$E$2,IF(R1991=3,X1991*$S$1*buff的资质计算!$E$3,0)))),0)*0</f>
        <v>0</v>
      </c>
      <c r="T1991" s="153">
        <v>3</v>
      </c>
      <c r="U1991" s="153">
        <f ca="1" t="shared" si="338"/>
        <v>21</v>
      </c>
      <c r="V1991" s="153">
        <f ca="1">ROUND((OFFSET(卡牌辅助配置表!$O$1,MATCH(U1991,卡牌辅助配置表!M:M,0)-1,0)+(N1991-1)*OFFSET(卡牌辅助配置表!$P$1,MATCH(U1991,卡牌辅助配置表!M:M,0)-1,0))*M1991,2)</f>
        <v>61.18</v>
      </c>
      <c r="W1991" s="157">
        <f ca="1">ROUND(IF(R1991=0,0,IF(R1991=1,X1991*$W$1,IF(R1991=2,X1991*$W$1*buff的资质计算!$E$2,IF(R1991=3,X1991*$W$1*buff的资质计算!$E$3,0)))),2)</f>
        <v>14.4</v>
      </c>
      <c r="X1991" s="157">
        <f ca="1" t="shared" si="333"/>
        <v>48</v>
      </c>
      <c r="Y1991" s="157" t="e">
        <f ca="1" t="shared" si="331"/>
        <v>#VALUE!</v>
      </c>
      <c r="Z1991" s="304" t="e">
        <f ca="1" t="shared" si="334"/>
        <v>#VALUE!</v>
      </c>
      <c r="AA1991" s="304">
        <f ca="1">OFFSET(卡牌辅助配置表!$AD$1,MATCH(AB1991,卡牌辅助配置表!AB:AB,0)-1,0)</f>
        <v>1475</v>
      </c>
      <c r="AB1991" s="304">
        <f ca="1" t="shared" si="339"/>
        <v>2125</v>
      </c>
      <c r="AC1991" s="153">
        <v>7</v>
      </c>
      <c r="AD1991" s="153">
        <v>2</v>
      </c>
      <c r="AE1991" s="153">
        <v>1</v>
      </c>
      <c r="AF1991" s="153" t="str">
        <f ca="1" t="shared" si="332"/>
        <v>30150011|</v>
      </c>
      <c r="AI1991" s="153">
        <v>1</v>
      </c>
      <c r="AJ1991" s="205" t="str">
        <f ca="1" t="shared" si="340"/>
        <v>400023|11100|;</v>
      </c>
      <c r="AK1991" s="205">
        <f ca="1">OFFSET([1]item_type!$A$1,MATCH(Q1991,[1]item_type!$G:$G,0)-1,0)</f>
        <v>303015</v>
      </c>
      <c r="AL1991" s="205"/>
      <c r="AM1991" s="205">
        <f ca="1">IF(B1991=B1992,OFFSET(卡牌辅助配置表!$AE$1,MATCH(AB1991,卡牌辅助配置表!AB:AB,0),0),0)</f>
        <v>11100</v>
      </c>
      <c r="AN1991" s="153">
        <f ca="1" t="shared" si="335"/>
        <v>3015026</v>
      </c>
      <c r="AP1991" s="153" t="str">
        <f ca="1">IF(AC1991=0,0,IF(AC1991=12,0,OFFSET(effect!$N$1,MATCH(K1991,effect!M:M,0)-1,0)))</f>
        <v>kpsx_pt</v>
      </c>
    </row>
    <row r="1992" spans="1:42">
      <c r="A1992" s="153">
        <f ca="1" t="shared" si="336"/>
        <v>3015026</v>
      </c>
      <c r="B1992" s="91" t="s">
        <v>367</v>
      </c>
      <c r="C1992" s="186">
        <v>3</v>
      </c>
      <c r="D1992" s="186">
        <v>3</v>
      </c>
      <c r="E1992" s="165" t="s">
        <v>1069</v>
      </c>
      <c r="F1992" s="179" t="s">
        <v>1073</v>
      </c>
      <c r="G1992" s="186">
        <f ca="1">OFFSET(卡牌辅助配置表!$C$1,MATCH(AC1992,卡牌辅助配置表!A:A,0)-1,0)</f>
        <v>6</v>
      </c>
      <c r="H1992" s="186" t="e">
        <f ca="1">OFFSET(skill!$Q$1,MATCH(B1992,skill!B:B,0)-1,0)</f>
        <v>#VALUE!</v>
      </c>
      <c r="I1992" s="186"/>
      <c r="J1992" s="186">
        <f ca="1">OFFSET(card_type!$F$1,MATCH(Q1992,card_type!A:A,0)-1,0)</f>
        <v>2</v>
      </c>
      <c r="K1992" s="243">
        <f ca="1">OFFSET(card_type!$G$1,MATCH(Q1992,card_type!A:A,0)-1,0)</f>
        <v>1</v>
      </c>
      <c r="L1992" s="157">
        <v>3</v>
      </c>
      <c r="M1992" s="157">
        <v>3</v>
      </c>
      <c r="N1992" s="153">
        <f t="shared" si="337"/>
        <v>26</v>
      </c>
      <c r="O1992" s="157"/>
      <c r="P1992" s="157"/>
      <c r="Q1992" s="153">
        <f ca="1">OFFSET(card_type!$A$1,MATCH(card!B1992,card_type!B:B,0)-1,0)</f>
        <v>3015</v>
      </c>
      <c r="R1992" s="153">
        <v>1</v>
      </c>
      <c r="S1992" s="157">
        <f ca="1">ROUND(IF(R1992=0,0,IF(R1992=1,X1992*$S$1,IF(R1992=2,X1992*$S$1*buff的资质计算!$E$2,IF(R1992=3,X1992*$S$1*buff的资质计算!$E$3,0)))),0)*0</f>
        <v>0</v>
      </c>
      <c r="T1992" s="153">
        <v>3</v>
      </c>
      <c r="U1992" s="153">
        <f ca="1" t="shared" si="338"/>
        <v>21</v>
      </c>
      <c r="V1992" s="153">
        <f ca="1">ROUND((OFFSET(卡牌辅助配置表!$O$1,MATCH(U1992,卡牌辅助配置表!M:M,0)-1,0)+(N1992-1)*OFFSET(卡牌辅助配置表!$P$1,MATCH(U1992,卡牌辅助配置表!M:M,0)-1,0))*M1992,2)</f>
        <v>62.87</v>
      </c>
      <c r="W1992" s="157">
        <f ca="1">ROUND(IF(R1992=0,0,IF(R1992=1,X1992*$W$1,IF(R1992=2,X1992*$W$1*buff的资质计算!$E$2,IF(R1992=3,X1992*$W$1*buff的资质计算!$E$3,0)))),2)</f>
        <v>14.55</v>
      </c>
      <c r="X1992" s="157">
        <f ca="1" t="shared" si="333"/>
        <v>48.5</v>
      </c>
      <c r="Y1992" s="157" t="e">
        <f ca="1" t="shared" si="331"/>
        <v>#VALUE!</v>
      </c>
      <c r="Z1992" s="304" t="e">
        <f ca="1" t="shared" si="334"/>
        <v>#VALUE!</v>
      </c>
      <c r="AA1992" s="304">
        <f ca="1">OFFSET(卡牌辅助配置表!$AD$1,MATCH(AB1992,卡牌辅助配置表!AB:AB,0)-1,0)</f>
        <v>1560</v>
      </c>
      <c r="AB1992" s="304">
        <f ca="1" t="shared" si="339"/>
        <v>2126</v>
      </c>
      <c r="AC1992" s="153">
        <v>7</v>
      </c>
      <c r="AD1992" s="153">
        <v>2</v>
      </c>
      <c r="AE1992" s="153">
        <v>1</v>
      </c>
      <c r="AF1992" s="153" t="str">
        <f ca="1" t="shared" si="332"/>
        <v>30150011|</v>
      </c>
      <c r="AI1992" s="153">
        <v>1</v>
      </c>
      <c r="AJ1992" s="205" t="str">
        <f ca="1" t="shared" si="340"/>
        <v>400023|11900|;</v>
      </c>
      <c r="AK1992" s="205">
        <f ca="1">OFFSET([1]item_type!$A$1,MATCH(Q1992,[1]item_type!$G:$G,0)-1,0)</f>
        <v>303015</v>
      </c>
      <c r="AL1992" s="205"/>
      <c r="AM1992" s="205">
        <f ca="1">IF(B1992=B1993,OFFSET(卡牌辅助配置表!$AE$1,MATCH(AB1992,卡牌辅助配置表!AB:AB,0),0),0)</f>
        <v>11900</v>
      </c>
      <c r="AN1992" s="153">
        <f ca="1" t="shared" si="335"/>
        <v>3015027</v>
      </c>
      <c r="AP1992" s="153" t="str">
        <f ca="1">IF(AC1992=0,0,IF(AC1992=12,0,OFFSET(effect!$N$1,MATCH(K1992,effect!M:M,0)-1,0)))</f>
        <v>kpsx_pt</v>
      </c>
    </row>
    <row r="1993" spans="1:42">
      <c r="A1993" s="153">
        <f ca="1" t="shared" si="336"/>
        <v>3015027</v>
      </c>
      <c r="B1993" s="91" t="s">
        <v>367</v>
      </c>
      <c r="C1993" s="186">
        <v>3</v>
      </c>
      <c r="D1993" s="186">
        <v>3</v>
      </c>
      <c r="E1993" s="165" t="s">
        <v>1069</v>
      </c>
      <c r="F1993" s="179" t="s">
        <v>1073</v>
      </c>
      <c r="G1993" s="186">
        <f ca="1">OFFSET(卡牌辅助配置表!$C$1,MATCH(AC1993,卡牌辅助配置表!A:A,0)-1,0)</f>
        <v>6</v>
      </c>
      <c r="H1993" s="186" t="e">
        <f ca="1">OFFSET(skill!$Q$1,MATCH(B1993,skill!B:B,0)-1,0)</f>
        <v>#VALUE!</v>
      </c>
      <c r="I1993" s="186"/>
      <c r="J1993" s="186">
        <f ca="1">OFFSET(card_type!$F$1,MATCH(Q1993,card_type!A:A,0)-1,0)</f>
        <v>2</v>
      </c>
      <c r="K1993" s="243">
        <f ca="1">OFFSET(card_type!$G$1,MATCH(Q1993,card_type!A:A,0)-1,0)</f>
        <v>1</v>
      </c>
      <c r="L1993" s="157">
        <v>3</v>
      </c>
      <c r="M1993" s="157">
        <v>3</v>
      </c>
      <c r="N1993" s="153">
        <f t="shared" si="337"/>
        <v>27</v>
      </c>
      <c r="O1993" s="157"/>
      <c r="P1993" s="157"/>
      <c r="Q1993" s="153">
        <f ca="1">OFFSET(card_type!$A$1,MATCH(card!B1993,card_type!B:B,0)-1,0)</f>
        <v>3015</v>
      </c>
      <c r="R1993" s="153">
        <v>1</v>
      </c>
      <c r="S1993" s="157">
        <f ca="1">ROUND(IF(R1993=0,0,IF(R1993=1,X1993*$S$1,IF(R1993=2,X1993*$S$1*buff的资质计算!$E$2,IF(R1993=3,X1993*$S$1*buff的资质计算!$E$3,0)))),0)*0</f>
        <v>0</v>
      </c>
      <c r="T1993" s="153">
        <v>3</v>
      </c>
      <c r="U1993" s="153">
        <f ca="1" t="shared" si="338"/>
        <v>21</v>
      </c>
      <c r="V1993" s="153">
        <f ca="1">ROUND((OFFSET(卡牌辅助配置表!$O$1,MATCH(U1993,卡牌辅助配置表!M:M,0)-1,0)+(N1993-1)*OFFSET(卡牌辅助配置表!$P$1,MATCH(U1993,卡牌辅助配置表!M:M,0)-1,0))*M1993,2)</f>
        <v>64.55</v>
      </c>
      <c r="W1993" s="157">
        <f ca="1">ROUND(IF(R1993=0,0,IF(R1993=1,X1993*$W$1,IF(R1993=2,X1993*$W$1*buff的资质计算!$E$2,IF(R1993=3,X1993*$W$1*buff的资质计算!$E$3,0)))),2)</f>
        <v>14.7</v>
      </c>
      <c r="X1993" s="157">
        <f ca="1" t="shared" si="333"/>
        <v>49</v>
      </c>
      <c r="Y1993" s="157" t="e">
        <f ca="1" t="shared" si="331"/>
        <v>#VALUE!</v>
      </c>
      <c r="Z1993" s="304" t="e">
        <f ca="1" t="shared" si="334"/>
        <v>#VALUE!</v>
      </c>
      <c r="AA1993" s="304">
        <f ca="1">OFFSET(卡牌辅助配置表!$AD$1,MATCH(AB1993,卡牌辅助配置表!AB:AB,0)-1,0)</f>
        <v>1645</v>
      </c>
      <c r="AB1993" s="304">
        <f ca="1" t="shared" si="339"/>
        <v>2127</v>
      </c>
      <c r="AC1993" s="153">
        <v>7</v>
      </c>
      <c r="AD1993" s="153">
        <v>2</v>
      </c>
      <c r="AE1993" s="153">
        <v>1</v>
      </c>
      <c r="AF1993" s="153" t="str">
        <f ca="1" t="shared" si="332"/>
        <v>30150011|</v>
      </c>
      <c r="AI1993" s="153">
        <v>1</v>
      </c>
      <c r="AJ1993" s="205" t="str">
        <f ca="1" t="shared" si="340"/>
        <v>400023|12700|;</v>
      </c>
      <c r="AK1993" s="205">
        <f ca="1">OFFSET([1]item_type!$A$1,MATCH(Q1993,[1]item_type!$G:$G,0)-1,0)</f>
        <v>303015</v>
      </c>
      <c r="AL1993" s="205"/>
      <c r="AM1993" s="205">
        <f ca="1">IF(B1993=B1994,OFFSET(卡牌辅助配置表!$AE$1,MATCH(AB1993,卡牌辅助配置表!AB:AB,0),0),0)</f>
        <v>12700</v>
      </c>
      <c r="AN1993" s="153">
        <f ca="1" t="shared" si="335"/>
        <v>3015028</v>
      </c>
      <c r="AP1993" s="153" t="str">
        <f ca="1">IF(AC1993=0,0,IF(AC1993=12,0,OFFSET(effect!$N$1,MATCH(K1993,effect!M:M,0)-1,0)))</f>
        <v>kpsx_pt</v>
      </c>
    </row>
    <row r="1994" spans="1:42">
      <c r="A1994" s="153">
        <f ca="1" t="shared" si="336"/>
        <v>3015028</v>
      </c>
      <c r="B1994" s="91" t="s">
        <v>367</v>
      </c>
      <c r="C1994" s="186">
        <v>3</v>
      </c>
      <c r="D1994" s="186">
        <v>3</v>
      </c>
      <c r="E1994" s="165" t="s">
        <v>1069</v>
      </c>
      <c r="F1994" s="179" t="s">
        <v>1073</v>
      </c>
      <c r="G1994" s="186">
        <f ca="1">OFFSET(卡牌辅助配置表!$C$1,MATCH(AC1994,卡牌辅助配置表!A:A,0)-1,0)</f>
        <v>6</v>
      </c>
      <c r="H1994" s="186" t="e">
        <f ca="1">OFFSET(skill!$Q$1,MATCH(B1994,skill!B:B,0)-1,0)</f>
        <v>#VALUE!</v>
      </c>
      <c r="I1994" s="186"/>
      <c r="J1994" s="186">
        <f ca="1">OFFSET(card_type!$F$1,MATCH(Q1994,card_type!A:A,0)-1,0)</f>
        <v>2</v>
      </c>
      <c r="K1994" s="243">
        <f ca="1">OFFSET(card_type!$G$1,MATCH(Q1994,card_type!A:A,0)-1,0)</f>
        <v>1</v>
      </c>
      <c r="L1994" s="157">
        <v>3</v>
      </c>
      <c r="M1994" s="157">
        <v>3</v>
      </c>
      <c r="N1994" s="153">
        <f t="shared" si="337"/>
        <v>28</v>
      </c>
      <c r="O1994" s="157"/>
      <c r="P1994" s="157"/>
      <c r="Q1994" s="153">
        <f ca="1">OFFSET(card_type!$A$1,MATCH(card!B1994,card_type!B:B,0)-1,0)</f>
        <v>3015</v>
      </c>
      <c r="R1994" s="153">
        <v>1</v>
      </c>
      <c r="S1994" s="157">
        <f ca="1">ROUND(IF(R1994=0,0,IF(R1994=1,X1994*$S$1,IF(R1994=2,X1994*$S$1*buff的资质计算!$E$2,IF(R1994=3,X1994*$S$1*buff的资质计算!$E$3,0)))),0)*0</f>
        <v>0</v>
      </c>
      <c r="T1994" s="153">
        <v>3</v>
      </c>
      <c r="U1994" s="153">
        <f ca="1" t="shared" si="338"/>
        <v>21</v>
      </c>
      <c r="V1994" s="153">
        <f ca="1">ROUND((OFFSET(卡牌辅助配置表!$O$1,MATCH(U1994,卡牌辅助配置表!M:M,0)-1,0)+(N1994-1)*OFFSET(卡牌辅助配置表!$P$1,MATCH(U1994,卡牌辅助配置表!M:M,0)-1,0))*M1994,2)</f>
        <v>66.23</v>
      </c>
      <c r="W1994" s="157">
        <f ca="1">ROUND(IF(R1994=0,0,IF(R1994=1,X1994*$W$1,IF(R1994=2,X1994*$W$1*buff的资质计算!$E$2,IF(R1994=3,X1994*$W$1*buff的资质计算!$E$3,0)))),2)</f>
        <v>14.85</v>
      </c>
      <c r="X1994" s="157">
        <f ca="1" t="shared" si="333"/>
        <v>49.5</v>
      </c>
      <c r="Y1994" s="157" t="e">
        <f ca="1" t="shared" ref="Y1994:Y2057" si="341">X1994+H1994</f>
        <v>#VALUE!</v>
      </c>
      <c r="Z1994" s="304" t="e">
        <f ca="1" t="shared" si="334"/>
        <v>#VALUE!</v>
      </c>
      <c r="AA1994" s="304">
        <f ca="1">OFFSET(卡牌辅助配置表!$AD$1,MATCH(AB1994,卡牌辅助配置表!AB:AB,0)-1,0)</f>
        <v>1730</v>
      </c>
      <c r="AB1994" s="304">
        <f ca="1" t="shared" si="339"/>
        <v>2128</v>
      </c>
      <c r="AC1994" s="153">
        <v>7</v>
      </c>
      <c r="AD1994" s="153">
        <v>2</v>
      </c>
      <c r="AE1994" s="153">
        <v>1</v>
      </c>
      <c r="AF1994" s="153" t="str">
        <f ca="1" t="shared" si="332"/>
        <v>30150011|</v>
      </c>
      <c r="AI1994" s="153">
        <v>1</v>
      </c>
      <c r="AJ1994" s="205" t="str">
        <f ca="1" t="shared" si="340"/>
        <v>400023|13500|;</v>
      </c>
      <c r="AK1994" s="205">
        <f ca="1">OFFSET([1]item_type!$A$1,MATCH(Q1994,[1]item_type!$G:$G,0)-1,0)</f>
        <v>303015</v>
      </c>
      <c r="AL1994" s="205"/>
      <c r="AM1994" s="205">
        <f ca="1">IF(B1994=B1995,OFFSET(卡牌辅助配置表!$AE$1,MATCH(AB1994,卡牌辅助配置表!AB:AB,0),0),0)</f>
        <v>13500</v>
      </c>
      <c r="AN1994" s="153">
        <f ca="1" t="shared" si="335"/>
        <v>3015029</v>
      </c>
      <c r="AP1994" s="153" t="str">
        <f ca="1">IF(AC1994=0,0,IF(AC1994=12,0,OFFSET(effect!$N$1,MATCH(K1994,effect!M:M,0)-1,0)))</f>
        <v>kpsx_pt</v>
      </c>
    </row>
    <row r="1995" spans="1:42">
      <c r="A1995" s="153">
        <f ca="1" t="shared" si="336"/>
        <v>3015029</v>
      </c>
      <c r="B1995" s="91" t="s">
        <v>367</v>
      </c>
      <c r="C1995" s="186">
        <v>3</v>
      </c>
      <c r="D1995" s="186">
        <v>3</v>
      </c>
      <c r="E1995" s="165" t="s">
        <v>1069</v>
      </c>
      <c r="F1995" s="179" t="s">
        <v>1073</v>
      </c>
      <c r="G1995" s="186">
        <f ca="1">OFFSET(卡牌辅助配置表!$C$1,MATCH(AC1995,卡牌辅助配置表!A:A,0)-1,0)</f>
        <v>6</v>
      </c>
      <c r="H1995" s="186" t="e">
        <f ca="1">OFFSET(skill!$Q$1,MATCH(B1995,skill!B:B,0)-1,0)</f>
        <v>#VALUE!</v>
      </c>
      <c r="I1995" s="186"/>
      <c r="J1995" s="186">
        <f ca="1">OFFSET(card_type!$F$1,MATCH(Q1995,card_type!A:A,0)-1,0)</f>
        <v>2</v>
      </c>
      <c r="K1995" s="243">
        <f ca="1">OFFSET(card_type!$G$1,MATCH(Q1995,card_type!A:A,0)-1,0)</f>
        <v>1</v>
      </c>
      <c r="L1995" s="157">
        <v>3</v>
      </c>
      <c r="M1995" s="157">
        <v>3</v>
      </c>
      <c r="N1995" s="153">
        <f t="shared" si="337"/>
        <v>29</v>
      </c>
      <c r="O1995" s="157"/>
      <c r="P1995" s="157"/>
      <c r="Q1995" s="153">
        <f ca="1">OFFSET(card_type!$A$1,MATCH(card!B1995,card_type!B:B,0)-1,0)</f>
        <v>3015</v>
      </c>
      <c r="R1995" s="153">
        <v>1</v>
      </c>
      <c r="S1995" s="157">
        <f ca="1">ROUND(IF(R1995=0,0,IF(R1995=1,X1995*$S$1,IF(R1995=2,X1995*$S$1*buff的资质计算!$E$2,IF(R1995=3,X1995*$S$1*buff的资质计算!$E$3,0)))),0)*0</f>
        <v>0</v>
      </c>
      <c r="T1995" s="153">
        <v>3</v>
      </c>
      <c r="U1995" s="153">
        <f ca="1" t="shared" si="338"/>
        <v>21</v>
      </c>
      <c r="V1995" s="153">
        <f ca="1">ROUND((OFFSET(卡牌辅助配置表!$O$1,MATCH(U1995,卡牌辅助配置表!M:M,0)-1,0)+(N1995-1)*OFFSET(卡牌辅助配置表!$P$1,MATCH(U1995,卡牌辅助配置表!M:M,0)-1,0))*M1995,2)</f>
        <v>67.91</v>
      </c>
      <c r="W1995" s="157">
        <f ca="1">ROUND(IF(R1995=0,0,IF(R1995=1,X1995*$W$1,IF(R1995=2,X1995*$W$1*buff的资质计算!$E$2,IF(R1995=3,X1995*$W$1*buff的资质计算!$E$3,0)))),2)</f>
        <v>15</v>
      </c>
      <c r="X1995" s="157">
        <f ca="1" t="shared" si="333"/>
        <v>50</v>
      </c>
      <c r="Y1995" s="157" t="e">
        <f ca="1" t="shared" si="341"/>
        <v>#VALUE!</v>
      </c>
      <c r="Z1995" s="304" t="e">
        <f ca="1" t="shared" si="334"/>
        <v>#VALUE!</v>
      </c>
      <c r="AA1995" s="304">
        <f ca="1">OFFSET(卡牌辅助配置表!$AD$1,MATCH(AB1995,卡牌辅助配置表!AB:AB,0)-1,0)</f>
        <v>1815</v>
      </c>
      <c r="AB1995" s="304">
        <f ca="1" t="shared" si="339"/>
        <v>2129</v>
      </c>
      <c r="AC1995" s="153">
        <v>7</v>
      </c>
      <c r="AD1995" s="153">
        <v>2</v>
      </c>
      <c r="AE1995" s="153">
        <v>1</v>
      </c>
      <c r="AF1995" s="153" t="str">
        <f ca="1" t="shared" si="332"/>
        <v>30150011|</v>
      </c>
      <c r="AI1995" s="153">
        <v>1</v>
      </c>
      <c r="AJ1995" s="205" t="str">
        <f ca="1" t="shared" si="340"/>
        <v>303015|30|;400023|14300|;</v>
      </c>
      <c r="AK1995" s="205">
        <f ca="1">OFFSET([1]item_type!$A$1,MATCH(Q1995,[1]item_type!$G:$G,0)-1,0)</f>
        <v>303015</v>
      </c>
      <c r="AL1995" s="205">
        <v>30</v>
      </c>
      <c r="AM1995" s="205">
        <f ca="1">IF(B1995=B1996,OFFSET(卡牌辅助配置表!$AE$1,MATCH(AB1995,卡牌辅助配置表!AB:AB,0),0),0)</f>
        <v>14300</v>
      </c>
      <c r="AN1995" s="153">
        <f ca="1" t="shared" si="335"/>
        <v>3015030</v>
      </c>
      <c r="AP1995" s="153" t="str">
        <f ca="1">IF(AC1995=0,0,IF(AC1995=12,0,OFFSET(effect!$N$1,MATCH(K1995,effect!M:M,0)-1,0)))</f>
        <v>kpsx_pt</v>
      </c>
    </row>
    <row r="1996" spans="1:42">
      <c r="A1996" s="153">
        <f ca="1" t="shared" si="336"/>
        <v>3015030</v>
      </c>
      <c r="B1996" s="91" t="s">
        <v>367</v>
      </c>
      <c r="C1996" s="186">
        <v>3</v>
      </c>
      <c r="D1996" s="186">
        <v>3</v>
      </c>
      <c r="E1996" s="165" t="s">
        <v>1069</v>
      </c>
      <c r="F1996" s="179" t="s">
        <v>1073</v>
      </c>
      <c r="G1996" s="186">
        <f ca="1">OFFSET(卡牌辅助配置表!$C$1,MATCH(AC1996,卡牌辅助配置表!A:A,0)-1,0)</f>
        <v>6</v>
      </c>
      <c r="H1996" s="186" t="e">
        <f ca="1">OFFSET(skill!$Q$1,MATCH(B1996,skill!B:B,0)-1,0)</f>
        <v>#VALUE!</v>
      </c>
      <c r="I1996" s="186"/>
      <c r="J1996" s="186">
        <f ca="1">OFFSET(card_type!$F$1,MATCH(Q1996,card_type!A:A,0)-1,0)</f>
        <v>2</v>
      </c>
      <c r="K1996" s="243">
        <f ca="1">OFFSET(card_type!$G$1,MATCH(Q1996,card_type!A:A,0)-1,0)</f>
        <v>1</v>
      </c>
      <c r="L1996" s="157">
        <v>3</v>
      </c>
      <c r="M1996" s="157">
        <v>3</v>
      </c>
      <c r="N1996" s="153">
        <f t="shared" si="337"/>
        <v>30</v>
      </c>
      <c r="O1996" s="157"/>
      <c r="P1996" s="157"/>
      <c r="Q1996" s="153">
        <f ca="1">OFFSET(card_type!$A$1,MATCH(card!B1996,card_type!B:B,0)-1,0)</f>
        <v>3015</v>
      </c>
      <c r="R1996" s="153">
        <v>1</v>
      </c>
      <c r="S1996" s="157">
        <f ca="1">ROUND(IF(R1996=0,0,IF(R1996=1,X1996*$S$1,IF(R1996=2,X1996*$S$1*buff的资质计算!$E$2,IF(R1996=3,X1996*$S$1*buff的资质计算!$E$3,0)))),0)*0</f>
        <v>0</v>
      </c>
      <c r="T1996" s="153">
        <v>3</v>
      </c>
      <c r="U1996" s="153">
        <f ca="1" t="shared" si="338"/>
        <v>21</v>
      </c>
      <c r="V1996" s="153">
        <f ca="1">ROUND((OFFSET(卡牌辅助配置表!$O$1,MATCH(U1996,卡牌辅助配置表!M:M,0)-1,0)+(N1996-1)*OFFSET(卡牌辅助配置表!$P$1,MATCH(U1996,卡牌辅助配置表!M:M,0)-1,0))*M1996,2)</f>
        <v>69.6</v>
      </c>
      <c r="W1996" s="157">
        <f ca="1">ROUND(IF(R1996=0,0,IF(R1996=1,X1996*$W$1,IF(R1996=2,X1996*$W$1*buff的资质计算!$E$2,IF(R1996=3,X1996*$W$1*buff的资质计算!$E$3,0)))),2)</f>
        <v>15.15</v>
      </c>
      <c r="X1996" s="157">
        <f ca="1" t="shared" si="333"/>
        <v>50.5</v>
      </c>
      <c r="Y1996" s="157" t="e">
        <f ca="1" t="shared" si="341"/>
        <v>#VALUE!</v>
      </c>
      <c r="Z1996" s="304" t="e">
        <f ca="1" t="shared" si="334"/>
        <v>#VALUE!</v>
      </c>
      <c r="AA1996" s="304">
        <f ca="1">OFFSET(卡牌辅助配置表!$AD$1,MATCH(AB1996,卡牌辅助配置表!AB:AB,0)-1,0)</f>
        <v>1900</v>
      </c>
      <c r="AB1996" s="304">
        <f ca="1" t="shared" si="339"/>
        <v>2130</v>
      </c>
      <c r="AC1996" s="153">
        <v>7</v>
      </c>
      <c r="AD1996" s="153">
        <v>2</v>
      </c>
      <c r="AE1996" s="153">
        <v>1</v>
      </c>
      <c r="AF1996" s="153" t="str">
        <f ca="1" t="shared" si="332"/>
        <v>30150011|</v>
      </c>
      <c r="AI1996" s="153">
        <v>1</v>
      </c>
      <c r="AJ1996" s="205">
        <f ca="1" t="shared" si="340"/>
        <v>0</v>
      </c>
      <c r="AK1996" s="205">
        <f ca="1">OFFSET([1]item_type!$A$1,MATCH(Q1996,[1]item_type!$G:$G,0)-1,0)</f>
        <v>303015</v>
      </c>
      <c r="AL1996" s="205"/>
      <c r="AM1996" s="205">
        <f ca="1">IF(B1996=B1997,OFFSET(卡牌辅助配置表!$AE$1,MATCH(AB1996,卡牌辅助配置表!AB:AB,0),0),0)</f>
        <v>0</v>
      </c>
      <c r="AN1996" s="153">
        <f ca="1" t="shared" si="335"/>
        <v>0</v>
      </c>
      <c r="AP1996" s="153" t="str">
        <f ca="1">IF(AC1996=0,0,IF(AC1996=12,0,OFFSET(effect!$N$1,MATCH(K1996,effect!M:M,0)-1,0)))</f>
        <v>kpsx_pt</v>
      </c>
    </row>
    <row r="1997" spans="1:42">
      <c r="A1997" s="153">
        <f ca="1" t="shared" si="336"/>
        <v>3016001</v>
      </c>
      <c r="B1997" s="91" t="s">
        <v>369</v>
      </c>
      <c r="C1997" s="186">
        <v>3</v>
      </c>
      <c r="D1997" s="186">
        <v>3</v>
      </c>
      <c r="E1997" s="165" t="s">
        <v>1069</v>
      </c>
      <c r="F1997" s="165" t="str">
        <f>"若自身处在冰冻中，伤害增加冰冻层数*"&amp;skill!$O$143/100&amp;"%"</f>
        <v>若自身处在冰冻中，伤害增加冰冻层数*35%</v>
      </c>
      <c r="G1997" s="186">
        <f ca="1">OFFSET(卡牌辅助配置表!$C$1,MATCH(AC1997,卡牌辅助配置表!A:A,0)-1,0)</f>
        <v>6</v>
      </c>
      <c r="H1997" s="186">
        <f ca="1">OFFSET(skill!$Q$1,MATCH(B1997,skill!B:B,0)-1,0)</f>
        <v>0.518518518518518</v>
      </c>
      <c r="I1997" s="186"/>
      <c r="J1997" s="186">
        <f ca="1">OFFSET(card_type!$F$1,MATCH(Q1997,card_type!A:A,0)-1,0)</f>
        <v>2</v>
      </c>
      <c r="K1997" s="243">
        <f ca="1">OFFSET(card_type!$G$1,MATCH(Q1997,card_type!A:A,0)-1,0)</f>
        <v>4</v>
      </c>
      <c r="L1997" s="157">
        <v>3</v>
      </c>
      <c r="M1997" s="157">
        <v>3</v>
      </c>
      <c r="N1997" s="153">
        <f t="shared" si="337"/>
        <v>1</v>
      </c>
      <c r="O1997" s="157"/>
      <c r="P1997" s="157"/>
      <c r="Q1997" s="153">
        <f ca="1">OFFSET(card_type!$A$1,MATCH(card!B1997,card_type!B:B,0)-1,0)</f>
        <v>3016</v>
      </c>
      <c r="R1997" s="153">
        <v>1</v>
      </c>
      <c r="S1997" s="157">
        <f ca="1">ROUND(IF(R1997=0,0,IF(R1997=1,X1997*$S$1,IF(R1997=2,X1997*$S$1*buff的资质计算!$E$2,IF(R1997=3,X1997*$S$1*buff的资质计算!$E$3,0)))),0)*0</f>
        <v>0</v>
      </c>
      <c r="T1997" s="153">
        <v>3</v>
      </c>
      <c r="U1997" s="153">
        <f ca="1" t="shared" si="338"/>
        <v>24</v>
      </c>
      <c r="V1997" s="153">
        <f ca="1">ROUND((OFFSET(卡牌辅助配置表!$O$1,MATCH(U1997,卡牌辅助配置表!M:M,0)-1,0)+(N1997-1)*OFFSET(卡牌辅助配置表!$P$1,MATCH(U1997,卡牌辅助配置表!M:M,0)-1,0))*M1997,2)</f>
        <v>75.6</v>
      </c>
      <c r="W1997" s="157">
        <f ca="1">ROUND(IF(R1997=0,0,IF(R1997=1,X1997*$W$1,IF(R1997=2,X1997*$W$1*buff的资质计算!$E$2,IF(R1997=3,X1997*$W$1*buff的资质计算!$E$3,0)))),2)</f>
        <v>21.6</v>
      </c>
      <c r="X1997" s="157">
        <f ca="1" t="shared" si="333"/>
        <v>72</v>
      </c>
      <c r="Y1997" s="157">
        <f ca="1" t="shared" si="341"/>
        <v>72.5185185185185</v>
      </c>
      <c r="Z1997" s="304">
        <f ca="1" t="shared" si="334"/>
        <v>24.1728395061728</v>
      </c>
      <c r="AA1997" s="304">
        <f ca="1">OFFSET(卡牌辅助配置表!$AD$1,MATCH(AB1997,卡牌辅助配置表!AB:AB,0)-1,0)</f>
        <v>352</v>
      </c>
      <c r="AB1997" s="304">
        <f ca="1" t="shared" si="339"/>
        <v>2401</v>
      </c>
      <c r="AC1997" s="153">
        <v>7</v>
      </c>
      <c r="AD1997" s="153">
        <v>2</v>
      </c>
      <c r="AE1997" s="153">
        <v>1</v>
      </c>
      <c r="AF1997" s="153" t="str">
        <f ca="1" t="shared" si="332"/>
        <v>30160011|</v>
      </c>
      <c r="AJ1997" s="205" t="str">
        <f ca="1" t="shared" si="340"/>
        <v>400023|2100|;</v>
      </c>
      <c r="AK1997" s="205">
        <f ca="1">OFFSET([1]item_type!$A$1,MATCH(Q1997,[1]item_type!$G:$G,0)-1,0)</f>
        <v>303016</v>
      </c>
      <c r="AL1997" s="205"/>
      <c r="AM1997" s="205">
        <f ca="1">IF(B1997=B1998,OFFSET(卡牌辅助配置表!$AE$1,MATCH(AB1997,卡牌辅助配置表!AB:AB,0),0),0)</f>
        <v>2100</v>
      </c>
      <c r="AN1997" s="153">
        <f ca="1" t="shared" si="335"/>
        <v>3016002</v>
      </c>
      <c r="AP1997" s="153" t="str">
        <f ca="1">IF(AC1997=0,0,IF(AC1997=12,0,OFFSET(effect!$N$1,MATCH(K1997,effect!M:M,0)-1,0)))</f>
        <v>kpsx_huangse</v>
      </c>
    </row>
    <row r="1998" spans="1:42">
      <c r="A1998" s="153">
        <f ca="1" t="shared" si="336"/>
        <v>3016002</v>
      </c>
      <c r="B1998" s="91" t="s">
        <v>369</v>
      </c>
      <c r="C1998" s="186">
        <v>3</v>
      </c>
      <c r="D1998" s="186">
        <v>3</v>
      </c>
      <c r="E1998" s="165" t="s">
        <v>1069</v>
      </c>
      <c r="F1998" s="165" t="str">
        <f>"若自身处在冰冻中，伤害增加冰冻层数*"&amp;skill!$O$143/100&amp;"%"</f>
        <v>若自身处在冰冻中，伤害增加冰冻层数*35%</v>
      </c>
      <c r="G1998" s="186">
        <f ca="1">OFFSET(卡牌辅助配置表!$C$1,MATCH(AC1998,卡牌辅助配置表!A:A,0)-1,0)</f>
        <v>6</v>
      </c>
      <c r="H1998" s="186">
        <f ca="1">OFFSET(skill!$Q$1,MATCH(B1998,skill!B:B,0)-1,0)</f>
        <v>0.518518518518518</v>
      </c>
      <c r="I1998" s="186"/>
      <c r="J1998" s="186">
        <f ca="1">OFFSET(card_type!$F$1,MATCH(Q1998,card_type!A:A,0)-1,0)</f>
        <v>2</v>
      </c>
      <c r="K1998" s="243">
        <f ca="1">OFFSET(card_type!$G$1,MATCH(Q1998,card_type!A:A,0)-1,0)</f>
        <v>4</v>
      </c>
      <c r="L1998" s="157">
        <v>3</v>
      </c>
      <c r="M1998" s="157">
        <v>3</v>
      </c>
      <c r="N1998" s="153">
        <f t="shared" si="337"/>
        <v>2</v>
      </c>
      <c r="O1998" s="157"/>
      <c r="P1998" s="157"/>
      <c r="Q1998" s="153">
        <f ca="1">OFFSET(card_type!$A$1,MATCH(card!B1998,card_type!B:B,0)-1,0)</f>
        <v>3016</v>
      </c>
      <c r="R1998" s="153">
        <v>1</v>
      </c>
      <c r="S1998" s="157">
        <f ca="1">ROUND(IF(R1998=0,0,IF(R1998=1,X1998*$S$1,IF(R1998=2,X1998*$S$1*buff的资质计算!$E$2,IF(R1998=3,X1998*$S$1*buff的资质计算!$E$3,0)))),0)*0</f>
        <v>0</v>
      </c>
      <c r="T1998" s="153">
        <v>3</v>
      </c>
      <c r="U1998" s="153">
        <f ca="1" t="shared" si="338"/>
        <v>24</v>
      </c>
      <c r="V1998" s="153">
        <f ca="1">ROUND((OFFSET(卡牌辅助配置表!$O$1,MATCH(U1998,卡牌辅助配置表!M:M,0)-1,0)+(N1998-1)*OFFSET(卡牌辅助配置表!$P$1,MATCH(U1998,卡牌辅助配置表!M:M,0)-1,0))*M1998,2)</f>
        <v>80.64</v>
      </c>
      <c r="W1998" s="157">
        <f ca="1">ROUND(IF(R1998=0,0,IF(R1998=1,X1998*$W$1,IF(R1998=2,X1998*$W$1*buff的资质计算!$E$2,IF(R1998=3,X1998*$W$1*buff的资质计算!$E$3,0)))),2)</f>
        <v>21.75</v>
      </c>
      <c r="X1998" s="157">
        <f ca="1" t="shared" si="333"/>
        <v>72.5</v>
      </c>
      <c r="Y1998" s="157">
        <f ca="1" t="shared" si="341"/>
        <v>73.0185185185185</v>
      </c>
      <c r="Z1998" s="304">
        <f ca="1" t="shared" si="334"/>
        <v>24.3395061728395</v>
      </c>
      <c r="AA1998" s="304">
        <f ca="1">OFFSET(卡牌辅助配置表!$AD$1,MATCH(AB1998,卡牌辅助配置表!AB:AB,0)-1,0)</f>
        <v>704</v>
      </c>
      <c r="AB1998" s="304">
        <f ca="1" t="shared" si="339"/>
        <v>2402</v>
      </c>
      <c r="AC1998" s="153">
        <v>7</v>
      </c>
      <c r="AD1998" s="153">
        <v>2</v>
      </c>
      <c r="AE1998" s="153">
        <v>1</v>
      </c>
      <c r="AF1998" s="153" t="str">
        <f ca="1" t="shared" si="332"/>
        <v>30160011|</v>
      </c>
      <c r="AJ1998" s="205" t="str">
        <f ca="1" t="shared" si="340"/>
        <v>400023|2700|;</v>
      </c>
      <c r="AK1998" s="205">
        <f ca="1">OFFSET([1]item_type!$A$1,MATCH(Q1998,[1]item_type!$G:$G,0)-1,0)</f>
        <v>303016</v>
      </c>
      <c r="AL1998" s="205"/>
      <c r="AM1998" s="205">
        <f ca="1">IF(B1998=B1999,OFFSET(卡牌辅助配置表!$AE$1,MATCH(AB1998,卡牌辅助配置表!AB:AB,0),0),0)</f>
        <v>2700</v>
      </c>
      <c r="AN1998" s="153">
        <f ca="1" t="shared" si="335"/>
        <v>3016003</v>
      </c>
      <c r="AP1998" s="153" t="str">
        <f ca="1">IF(AC1998=0,0,IF(AC1998=12,0,OFFSET(effect!$N$1,MATCH(K1998,effect!M:M,0)-1,0)))</f>
        <v>kpsx_huangse</v>
      </c>
    </row>
    <row r="1999" spans="1:42">
      <c r="A1999" s="153">
        <f ca="1" t="shared" si="336"/>
        <v>3016003</v>
      </c>
      <c r="B1999" s="91" t="s">
        <v>369</v>
      </c>
      <c r="C1999" s="186">
        <v>3</v>
      </c>
      <c r="D1999" s="186">
        <v>3</v>
      </c>
      <c r="E1999" s="165" t="s">
        <v>1069</v>
      </c>
      <c r="F1999" s="165" t="str">
        <f>"若自身处在冰冻中，伤害增加冰冻层数*"&amp;skill!$O$143/100&amp;"%"</f>
        <v>若自身处在冰冻中，伤害增加冰冻层数*35%</v>
      </c>
      <c r="G1999" s="186">
        <f ca="1">OFFSET(卡牌辅助配置表!$C$1,MATCH(AC1999,卡牌辅助配置表!A:A,0)-1,0)</f>
        <v>6</v>
      </c>
      <c r="H1999" s="186">
        <f ca="1">OFFSET(skill!$Q$1,MATCH(B1999,skill!B:B,0)-1,0)</f>
        <v>0.518518518518518</v>
      </c>
      <c r="I1999" s="186"/>
      <c r="J1999" s="186">
        <f ca="1">OFFSET(card_type!$F$1,MATCH(Q1999,card_type!A:A,0)-1,0)</f>
        <v>2</v>
      </c>
      <c r="K1999" s="243">
        <f ca="1">OFFSET(card_type!$G$1,MATCH(Q1999,card_type!A:A,0)-1,0)</f>
        <v>4</v>
      </c>
      <c r="L1999" s="157">
        <v>3</v>
      </c>
      <c r="M1999" s="157">
        <v>3</v>
      </c>
      <c r="N1999" s="153">
        <f t="shared" si="337"/>
        <v>3</v>
      </c>
      <c r="O1999" s="157"/>
      <c r="P1999" s="157"/>
      <c r="Q1999" s="153">
        <f ca="1">OFFSET(card_type!$A$1,MATCH(card!B1999,card_type!B:B,0)-1,0)</f>
        <v>3016</v>
      </c>
      <c r="R1999" s="153">
        <v>1</v>
      </c>
      <c r="S1999" s="157">
        <f ca="1">ROUND(IF(R1999=0,0,IF(R1999=1,X1999*$S$1,IF(R1999=2,X1999*$S$1*buff的资质计算!$E$2,IF(R1999=3,X1999*$S$1*buff的资质计算!$E$3,0)))),0)*0</f>
        <v>0</v>
      </c>
      <c r="T1999" s="153">
        <v>3</v>
      </c>
      <c r="U1999" s="153">
        <f ca="1" t="shared" si="338"/>
        <v>24</v>
      </c>
      <c r="V1999" s="153">
        <f ca="1">ROUND((OFFSET(卡牌辅助配置表!$O$1,MATCH(U1999,卡牌辅助配置表!M:M,0)-1,0)+(N1999-1)*OFFSET(卡牌辅助配置表!$P$1,MATCH(U1999,卡牌辅助配置表!M:M,0)-1,0))*M1999,2)</f>
        <v>85.68</v>
      </c>
      <c r="W1999" s="157">
        <f ca="1">ROUND(IF(R1999=0,0,IF(R1999=1,X1999*$W$1,IF(R1999=2,X1999*$W$1*buff的资质计算!$E$2,IF(R1999=3,X1999*$W$1*buff的资质计算!$E$3,0)))),2)</f>
        <v>21.9</v>
      </c>
      <c r="X1999" s="157">
        <f ca="1" t="shared" si="333"/>
        <v>73</v>
      </c>
      <c r="Y1999" s="157">
        <f ca="1" t="shared" si="341"/>
        <v>73.5185185185185</v>
      </c>
      <c r="Z1999" s="304">
        <f ca="1" t="shared" si="334"/>
        <v>24.5061728395062</v>
      </c>
      <c r="AA1999" s="304">
        <f ca="1">OFFSET(卡牌辅助配置表!$AD$1,MATCH(AB1999,卡牌辅助配置表!AB:AB,0)-1,0)</f>
        <v>1056</v>
      </c>
      <c r="AB1999" s="304">
        <f ca="1" t="shared" si="339"/>
        <v>2403</v>
      </c>
      <c r="AC1999" s="153">
        <v>7</v>
      </c>
      <c r="AD1999" s="153">
        <v>2</v>
      </c>
      <c r="AE1999" s="153">
        <v>1</v>
      </c>
      <c r="AF1999" s="153" t="str">
        <f ca="1" t="shared" si="332"/>
        <v>30160011|</v>
      </c>
      <c r="AJ1999" s="205" t="str">
        <f ca="1" t="shared" si="340"/>
        <v>400023|3300|;</v>
      </c>
      <c r="AK1999" s="205">
        <f ca="1">OFFSET([1]item_type!$A$1,MATCH(Q1999,[1]item_type!$G:$G,0)-1,0)</f>
        <v>303016</v>
      </c>
      <c r="AL1999" s="205"/>
      <c r="AM1999" s="205">
        <f ca="1">IF(B1999=B2000,OFFSET(卡牌辅助配置表!$AE$1,MATCH(AB1999,卡牌辅助配置表!AB:AB,0),0),0)</f>
        <v>3300</v>
      </c>
      <c r="AN1999" s="153">
        <f ca="1" t="shared" si="335"/>
        <v>3016004</v>
      </c>
      <c r="AP1999" s="153" t="str">
        <f ca="1">IF(AC1999=0,0,IF(AC1999=12,0,OFFSET(effect!$N$1,MATCH(K1999,effect!M:M,0)-1,0)))</f>
        <v>kpsx_huangse</v>
      </c>
    </row>
    <row r="2000" spans="1:42">
      <c r="A2000" s="153">
        <f ca="1" t="shared" si="336"/>
        <v>3016004</v>
      </c>
      <c r="B2000" s="91" t="s">
        <v>369</v>
      </c>
      <c r="C2000" s="186">
        <v>3</v>
      </c>
      <c r="D2000" s="186">
        <v>3</v>
      </c>
      <c r="E2000" s="165" t="s">
        <v>1069</v>
      </c>
      <c r="F2000" s="165" t="str">
        <f>"若自身处在冰冻中，伤害增加冰冻层数*"&amp;skill!$O$143/100&amp;"%"</f>
        <v>若自身处在冰冻中，伤害增加冰冻层数*35%</v>
      </c>
      <c r="G2000" s="186">
        <f ca="1">OFFSET(卡牌辅助配置表!$C$1,MATCH(AC2000,卡牌辅助配置表!A:A,0)-1,0)</f>
        <v>6</v>
      </c>
      <c r="H2000" s="186">
        <f ca="1">OFFSET(skill!$Q$1,MATCH(B2000,skill!B:B,0)-1,0)</f>
        <v>0.518518518518518</v>
      </c>
      <c r="I2000" s="186"/>
      <c r="J2000" s="186">
        <f ca="1">OFFSET(card_type!$F$1,MATCH(Q2000,card_type!A:A,0)-1,0)</f>
        <v>2</v>
      </c>
      <c r="K2000" s="243">
        <f ca="1">OFFSET(card_type!$G$1,MATCH(Q2000,card_type!A:A,0)-1,0)</f>
        <v>4</v>
      </c>
      <c r="L2000" s="157">
        <v>3</v>
      </c>
      <c r="M2000" s="157">
        <v>3</v>
      </c>
      <c r="N2000" s="153">
        <f t="shared" si="337"/>
        <v>4</v>
      </c>
      <c r="O2000" s="157"/>
      <c r="P2000" s="157"/>
      <c r="Q2000" s="153">
        <f ca="1">OFFSET(card_type!$A$1,MATCH(card!B2000,card_type!B:B,0)-1,0)</f>
        <v>3016</v>
      </c>
      <c r="R2000" s="153">
        <v>1</v>
      </c>
      <c r="S2000" s="157">
        <f ca="1">ROUND(IF(R2000=0,0,IF(R2000=1,X2000*$S$1,IF(R2000=2,X2000*$S$1*buff的资质计算!$E$2,IF(R2000=3,X2000*$S$1*buff的资质计算!$E$3,0)))),0)*0</f>
        <v>0</v>
      </c>
      <c r="T2000" s="153">
        <v>3</v>
      </c>
      <c r="U2000" s="153">
        <f ca="1" t="shared" si="338"/>
        <v>24</v>
      </c>
      <c r="V2000" s="153">
        <f ca="1">ROUND((OFFSET(卡牌辅助配置表!$O$1,MATCH(U2000,卡牌辅助配置表!M:M,0)-1,0)+(N2000-1)*OFFSET(卡牌辅助配置表!$P$1,MATCH(U2000,卡牌辅助配置表!M:M,0)-1,0))*M2000,2)</f>
        <v>90.72</v>
      </c>
      <c r="W2000" s="157">
        <f ca="1">ROUND(IF(R2000=0,0,IF(R2000=1,X2000*$W$1,IF(R2000=2,X2000*$W$1*buff的资质计算!$E$2,IF(R2000=3,X2000*$W$1*buff的资质计算!$E$3,0)))),2)</f>
        <v>22.05</v>
      </c>
      <c r="X2000" s="157">
        <f ca="1" t="shared" si="333"/>
        <v>73.5</v>
      </c>
      <c r="Y2000" s="157">
        <f ca="1" t="shared" si="341"/>
        <v>74.0185185185185</v>
      </c>
      <c r="Z2000" s="304">
        <f ca="1" t="shared" si="334"/>
        <v>24.6728395061728</v>
      </c>
      <c r="AA2000" s="304">
        <f ca="1">OFFSET(卡牌辅助配置表!$AD$1,MATCH(AB2000,卡牌辅助配置表!AB:AB,0)-1,0)</f>
        <v>1408</v>
      </c>
      <c r="AB2000" s="304">
        <f ca="1" t="shared" si="339"/>
        <v>2404</v>
      </c>
      <c r="AC2000" s="153">
        <v>7</v>
      </c>
      <c r="AD2000" s="153">
        <v>2</v>
      </c>
      <c r="AE2000" s="153">
        <v>1</v>
      </c>
      <c r="AF2000" s="153" t="str">
        <f ca="1" t="shared" si="332"/>
        <v>30160011|</v>
      </c>
      <c r="AJ2000" s="205" t="str">
        <f ca="1" t="shared" si="340"/>
        <v>400023|3900|;</v>
      </c>
      <c r="AK2000" s="205">
        <f ca="1">OFFSET([1]item_type!$A$1,MATCH(Q2000,[1]item_type!$G:$G,0)-1,0)</f>
        <v>303016</v>
      </c>
      <c r="AL2000" s="205"/>
      <c r="AM2000" s="205">
        <f ca="1">IF(B2000=B2001,OFFSET(卡牌辅助配置表!$AE$1,MATCH(AB2000,卡牌辅助配置表!AB:AB,0),0),0)</f>
        <v>3900</v>
      </c>
      <c r="AN2000" s="153">
        <f ca="1" t="shared" si="335"/>
        <v>3016005</v>
      </c>
      <c r="AP2000" s="153" t="str">
        <f ca="1">IF(AC2000=0,0,IF(AC2000=12,0,OFFSET(effect!$N$1,MATCH(K2000,effect!M:M,0)-1,0)))</f>
        <v>kpsx_huangse</v>
      </c>
    </row>
    <row r="2001" spans="1:42">
      <c r="A2001" s="153">
        <f ca="1" t="shared" si="336"/>
        <v>3016005</v>
      </c>
      <c r="B2001" s="91" t="s">
        <v>369</v>
      </c>
      <c r="C2001" s="186">
        <v>3</v>
      </c>
      <c r="D2001" s="186">
        <v>3</v>
      </c>
      <c r="E2001" s="165" t="s">
        <v>1069</v>
      </c>
      <c r="F2001" s="165" t="str">
        <f>"若自身处在冰冻中，伤害增加冰冻层数*"&amp;skill!$O$143/100&amp;"%"</f>
        <v>若自身处在冰冻中，伤害增加冰冻层数*35%</v>
      </c>
      <c r="G2001" s="186">
        <f ca="1">OFFSET(卡牌辅助配置表!$C$1,MATCH(AC2001,卡牌辅助配置表!A:A,0)-1,0)</f>
        <v>6</v>
      </c>
      <c r="H2001" s="186">
        <f ca="1">OFFSET(skill!$Q$1,MATCH(B2001,skill!B:B,0)-1,0)</f>
        <v>0.518518518518518</v>
      </c>
      <c r="I2001" s="186"/>
      <c r="J2001" s="186">
        <f ca="1">OFFSET(card_type!$F$1,MATCH(Q2001,card_type!A:A,0)-1,0)</f>
        <v>2</v>
      </c>
      <c r="K2001" s="243">
        <f ca="1">OFFSET(card_type!$G$1,MATCH(Q2001,card_type!A:A,0)-1,0)</f>
        <v>4</v>
      </c>
      <c r="L2001" s="157">
        <v>3</v>
      </c>
      <c r="M2001" s="157">
        <v>3</v>
      </c>
      <c r="N2001" s="153">
        <f t="shared" si="337"/>
        <v>5</v>
      </c>
      <c r="O2001" s="157"/>
      <c r="P2001" s="157"/>
      <c r="Q2001" s="153">
        <f ca="1">OFFSET(card_type!$A$1,MATCH(card!B2001,card_type!B:B,0)-1,0)</f>
        <v>3016</v>
      </c>
      <c r="R2001" s="153">
        <v>1</v>
      </c>
      <c r="S2001" s="157">
        <f ca="1">ROUND(IF(R2001=0,0,IF(R2001=1,X2001*$S$1,IF(R2001=2,X2001*$S$1*buff的资质计算!$E$2,IF(R2001=3,X2001*$S$1*buff的资质计算!$E$3,0)))),0)*0</f>
        <v>0</v>
      </c>
      <c r="T2001" s="153">
        <v>3</v>
      </c>
      <c r="U2001" s="153">
        <f ca="1" t="shared" si="338"/>
        <v>24</v>
      </c>
      <c r="V2001" s="153">
        <f ca="1">ROUND((OFFSET(卡牌辅助配置表!$O$1,MATCH(U2001,卡牌辅助配置表!M:M,0)-1,0)+(N2001-1)*OFFSET(卡牌辅助配置表!$P$1,MATCH(U2001,卡牌辅助配置表!M:M,0)-1,0))*M2001,2)</f>
        <v>95.76</v>
      </c>
      <c r="W2001" s="157">
        <f ca="1">ROUND(IF(R2001=0,0,IF(R2001=1,X2001*$W$1,IF(R2001=2,X2001*$W$1*buff的资质计算!$E$2,IF(R2001=3,X2001*$W$1*buff的资质计算!$E$3,0)))),2)</f>
        <v>22.2</v>
      </c>
      <c r="X2001" s="157">
        <f ca="1" t="shared" si="333"/>
        <v>74</v>
      </c>
      <c r="Y2001" s="157">
        <f ca="1" t="shared" si="341"/>
        <v>74.5185185185185</v>
      </c>
      <c r="Z2001" s="304">
        <f ca="1" t="shared" si="334"/>
        <v>24.8395061728395</v>
      </c>
      <c r="AA2001" s="304">
        <f ca="1">OFFSET(卡牌辅助配置表!$AD$1,MATCH(AB2001,卡牌辅助配置表!AB:AB,0)-1,0)</f>
        <v>1760</v>
      </c>
      <c r="AB2001" s="304">
        <f ca="1" t="shared" si="339"/>
        <v>2405</v>
      </c>
      <c r="AC2001" s="153">
        <v>7</v>
      </c>
      <c r="AD2001" s="153">
        <v>2</v>
      </c>
      <c r="AE2001" s="153">
        <v>1</v>
      </c>
      <c r="AF2001" s="153" t="str">
        <f ca="1" t="shared" si="332"/>
        <v>30160011|</v>
      </c>
      <c r="AJ2001" s="205" t="str">
        <f ca="1" t="shared" si="340"/>
        <v>400023|4500|;</v>
      </c>
      <c r="AK2001" s="205">
        <f ca="1">OFFSET([1]item_type!$A$1,MATCH(Q2001,[1]item_type!$G:$G,0)-1,0)</f>
        <v>303016</v>
      </c>
      <c r="AL2001" s="205"/>
      <c r="AM2001" s="205">
        <f ca="1">IF(B2001=B2002,OFFSET(卡牌辅助配置表!$AE$1,MATCH(AB2001,卡牌辅助配置表!AB:AB,0),0),0)</f>
        <v>4500</v>
      </c>
      <c r="AN2001" s="153">
        <f ca="1" t="shared" si="335"/>
        <v>3016006</v>
      </c>
      <c r="AP2001" s="153" t="str">
        <f ca="1">IF(AC2001=0,0,IF(AC2001=12,0,OFFSET(effect!$N$1,MATCH(K2001,effect!M:M,0)-1,0)))</f>
        <v>kpsx_huangse</v>
      </c>
    </row>
    <row r="2002" spans="1:42">
      <c r="A2002" s="153">
        <f ca="1" t="shared" si="336"/>
        <v>3016006</v>
      </c>
      <c r="B2002" s="91" t="s">
        <v>369</v>
      </c>
      <c r="C2002" s="186">
        <v>3</v>
      </c>
      <c r="D2002" s="186">
        <v>3</v>
      </c>
      <c r="E2002" s="165" t="s">
        <v>1069</v>
      </c>
      <c r="F2002" s="165" t="str">
        <f>"若自身处在冰冻中，伤害增加冰冻层数*"&amp;skill!$O$143/100&amp;"%"</f>
        <v>若自身处在冰冻中，伤害增加冰冻层数*35%</v>
      </c>
      <c r="G2002" s="186">
        <f ca="1">OFFSET(卡牌辅助配置表!$C$1,MATCH(AC2002,卡牌辅助配置表!A:A,0)-1,0)</f>
        <v>6</v>
      </c>
      <c r="H2002" s="186">
        <f ca="1">OFFSET(skill!$Q$1,MATCH(B2002,skill!B:B,0)-1,0)</f>
        <v>0.518518518518518</v>
      </c>
      <c r="I2002" s="186"/>
      <c r="J2002" s="186">
        <f ca="1">OFFSET(card_type!$F$1,MATCH(Q2002,card_type!A:A,0)-1,0)</f>
        <v>2</v>
      </c>
      <c r="K2002" s="243">
        <f ca="1">OFFSET(card_type!$G$1,MATCH(Q2002,card_type!A:A,0)-1,0)</f>
        <v>4</v>
      </c>
      <c r="L2002" s="157">
        <v>3</v>
      </c>
      <c r="M2002" s="157">
        <v>3</v>
      </c>
      <c r="N2002" s="153">
        <f t="shared" si="337"/>
        <v>6</v>
      </c>
      <c r="O2002" s="157"/>
      <c r="P2002" s="157"/>
      <c r="Q2002" s="153">
        <f ca="1">OFFSET(card_type!$A$1,MATCH(card!B2002,card_type!B:B,0)-1,0)</f>
        <v>3016</v>
      </c>
      <c r="R2002" s="153">
        <v>1</v>
      </c>
      <c r="S2002" s="157">
        <f ca="1">ROUND(IF(R2002=0,0,IF(R2002=1,X2002*$S$1,IF(R2002=2,X2002*$S$1*buff的资质计算!$E$2,IF(R2002=3,X2002*$S$1*buff的资质计算!$E$3,0)))),0)*0</f>
        <v>0</v>
      </c>
      <c r="T2002" s="153">
        <v>3</v>
      </c>
      <c r="U2002" s="153">
        <f ca="1" t="shared" si="338"/>
        <v>24</v>
      </c>
      <c r="V2002" s="153">
        <f ca="1">ROUND((OFFSET(卡牌辅助配置表!$O$1,MATCH(U2002,卡牌辅助配置表!M:M,0)-1,0)+(N2002-1)*OFFSET(卡牌辅助配置表!$P$1,MATCH(U2002,卡牌辅助配置表!M:M,0)-1,0))*M2002,2)</f>
        <v>100.8</v>
      </c>
      <c r="W2002" s="157">
        <f ca="1">ROUND(IF(R2002=0,0,IF(R2002=1,X2002*$W$1,IF(R2002=2,X2002*$W$1*buff的资质计算!$E$2,IF(R2002=3,X2002*$W$1*buff的资质计算!$E$3,0)))),2)</f>
        <v>22.35</v>
      </c>
      <c r="X2002" s="157">
        <f ca="1" t="shared" si="333"/>
        <v>74.5</v>
      </c>
      <c r="Y2002" s="157">
        <f ca="1" t="shared" si="341"/>
        <v>75.0185185185185</v>
      </c>
      <c r="Z2002" s="304">
        <f ca="1" t="shared" si="334"/>
        <v>25.0061728395062</v>
      </c>
      <c r="AA2002" s="304">
        <f ca="1">OFFSET(卡牌辅助配置表!$AD$1,MATCH(AB2002,卡牌辅助配置表!AB:AB,0)-1,0)</f>
        <v>2112</v>
      </c>
      <c r="AB2002" s="304">
        <f ca="1" t="shared" si="339"/>
        <v>2406</v>
      </c>
      <c r="AC2002" s="153">
        <v>7</v>
      </c>
      <c r="AD2002" s="153">
        <v>2</v>
      </c>
      <c r="AE2002" s="153">
        <v>1</v>
      </c>
      <c r="AF2002" s="153" t="str">
        <f ca="1" t="shared" si="332"/>
        <v>30160011|</v>
      </c>
      <c r="AJ2002" s="205" t="str">
        <f ca="1" t="shared" si="340"/>
        <v>400023|5100|;</v>
      </c>
      <c r="AK2002" s="205">
        <f ca="1">OFFSET([1]item_type!$A$1,MATCH(Q2002,[1]item_type!$G:$G,0)-1,0)</f>
        <v>303016</v>
      </c>
      <c r="AL2002" s="205"/>
      <c r="AM2002" s="205">
        <f ca="1">IF(B2002=B2003,OFFSET(卡牌辅助配置表!$AE$1,MATCH(AB2002,卡牌辅助配置表!AB:AB,0),0),0)</f>
        <v>5100</v>
      </c>
      <c r="AN2002" s="153">
        <f ca="1" t="shared" si="335"/>
        <v>3016007</v>
      </c>
      <c r="AP2002" s="153" t="str">
        <f ca="1">IF(AC2002=0,0,IF(AC2002=12,0,OFFSET(effect!$N$1,MATCH(K2002,effect!M:M,0)-1,0)))</f>
        <v>kpsx_huangse</v>
      </c>
    </row>
    <row r="2003" spans="1:42">
      <c r="A2003" s="153">
        <f ca="1" t="shared" si="336"/>
        <v>3016007</v>
      </c>
      <c r="B2003" s="91" t="s">
        <v>369</v>
      </c>
      <c r="C2003" s="186">
        <v>3</v>
      </c>
      <c r="D2003" s="186">
        <v>3</v>
      </c>
      <c r="E2003" s="165" t="s">
        <v>1069</v>
      </c>
      <c r="F2003" s="165" t="str">
        <f>"若自身处在冰冻中，伤害增加冰冻层数*"&amp;skill!$O$143/100&amp;"%"</f>
        <v>若自身处在冰冻中，伤害增加冰冻层数*35%</v>
      </c>
      <c r="G2003" s="186">
        <f ca="1">OFFSET(卡牌辅助配置表!$C$1,MATCH(AC2003,卡牌辅助配置表!A:A,0)-1,0)</f>
        <v>6</v>
      </c>
      <c r="H2003" s="186">
        <f ca="1">OFFSET(skill!$Q$1,MATCH(B2003,skill!B:B,0)-1,0)</f>
        <v>0.518518518518518</v>
      </c>
      <c r="I2003" s="186"/>
      <c r="J2003" s="186">
        <f ca="1">OFFSET(card_type!$F$1,MATCH(Q2003,card_type!A:A,0)-1,0)</f>
        <v>2</v>
      </c>
      <c r="K2003" s="243">
        <f ca="1">OFFSET(card_type!$G$1,MATCH(Q2003,card_type!A:A,0)-1,0)</f>
        <v>4</v>
      </c>
      <c r="L2003" s="157">
        <v>3</v>
      </c>
      <c r="M2003" s="157">
        <v>3</v>
      </c>
      <c r="N2003" s="153">
        <f t="shared" si="337"/>
        <v>7</v>
      </c>
      <c r="O2003" s="157"/>
      <c r="P2003" s="157"/>
      <c r="Q2003" s="153">
        <f ca="1">OFFSET(card_type!$A$1,MATCH(card!B2003,card_type!B:B,0)-1,0)</f>
        <v>3016</v>
      </c>
      <c r="R2003" s="153">
        <v>1</v>
      </c>
      <c r="S2003" s="157">
        <f ca="1">ROUND(IF(R2003=0,0,IF(R2003=1,X2003*$S$1,IF(R2003=2,X2003*$S$1*buff的资质计算!$E$2,IF(R2003=3,X2003*$S$1*buff的资质计算!$E$3,0)))),0)*0</f>
        <v>0</v>
      </c>
      <c r="T2003" s="153">
        <v>3</v>
      </c>
      <c r="U2003" s="153">
        <f ca="1" t="shared" si="338"/>
        <v>24</v>
      </c>
      <c r="V2003" s="153">
        <f ca="1">ROUND((OFFSET(卡牌辅助配置表!$O$1,MATCH(U2003,卡牌辅助配置表!M:M,0)-1,0)+(N2003-1)*OFFSET(卡牌辅助配置表!$P$1,MATCH(U2003,卡牌辅助配置表!M:M,0)-1,0))*M2003,2)</f>
        <v>105.84</v>
      </c>
      <c r="W2003" s="157">
        <f ca="1">ROUND(IF(R2003=0,0,IF(R2003=1,X2003*$W$1,IF(R2003=2,X2003*$W$1*buff的资质计算!$E$2,IF(R2003=3,X2003*$W$1*buff的资质计算!$E$3,0)))),2)</f>
        <v>22.5</v>
      </c>
      <c r="X2003" s="157">
        <f ca="1" t="shared" si="333"/>
        <v>75</v>
      </c>
      <c r="Y2003" s="157">
        <f ca="1" t="shared" si="341"/>
        <v>75.5185185185185</v>
      </c>
      <c r="Z2003" s="304">
        <f ca="1" t="shared" si="334"/>
        <v>25.1728395061728</v>
      </c>
      <c r="AA2003" s="304">
        <f ca="1">OFFSET(卡牌辅助配置表!$AD$1,MATCH(AB2003,卡牌辅助配置表!AB:AB,0)-1,0)</f>
        <v>2464</v>
      </c>
      <c r="AB2003" s="304">
        <f ca="1" t="shared" si="339"/>
        <v>2407</v>
      </c>
      <c r="AC2003" s="153">
        <v>7</v>
      </c>
      <c r="AD2003" s="153">
        <v>2</v>
      </c>
      <c r="AE2003" s="153">
        <v>1</v>
      </c>
      <c r="AF2003" s="153" t="str">
        <f ca="1" t="shared" si="332"/>
        <v>30160011|</v>
      </c>
      <c r="AJ2003" s="205" t="str">
        <f ca="1" t="shared" si="340"/>
        <v>400023|5700|;</v>
      </c>
      <c r="AK2003" s="205">
        <f ca="1">OFFSET([1]item_type!$A$1,MATCH(Q2003,[1]item_type!$G:$G,0)-1,0)</f>
        <v>303016</v>
      </c>
      <c r="AL2003" s="205"/>
      <c r="AM2003" s="205">
        <f ca="1">IF(B2003=B2004,OFFSET(卡牌辅助配置表!$AE$1,MATCH(AB2003,卡牌辅助配置表!AB:AB,0),0),0)</f>
        <v>5700</v>
      </c>
      <c r="AN2003" s="153">
        <f ca="1" t="shared" si="335"/>
        <v>3016008</v>
      </c>
      <c r="AP2003" s="153" t="str">
        <f ca="1">IF(AC2003=0,0,IF(AC2003=12,0,OFFSET(effect!$N$1,MATCH(K2003,effect!M:M,0)-1,0)))</f>
        <v>kpsx_huangse</v>
      </c>
    </row>
    <row r="2004" spans="1:42">
      <c r="A2004" s="153">
        <f ca="1" t="shared" si="336"/>
        <v>3016008</v>
      </c>
      <c r="B2004" s="91" t="s">
        <v>369</v>
      </c>
      <c r="C2004" s="186">
        <v>3</v>
      </c>
      <c r="D2004" s="186">
        <v>3</v>
      </c>
      <c r="E2004" s="165" t="s">
        <v>1069</v>
      </c>
      <c r="F2004" s="165" t="str">
        <f>"若自身处在冰冻中，伤害增加冰冻层数*"&amp;skill!$O$143/100&amp;"%"</f>
        <v>若自身处在冰冻中，伤害增加冰冻层数*35%</v>
      </c>
      <c r="G2004" s="186">
        <f ca="1">OFFSET(卡牌辅助配置表!$C$1,MATCH(AC2004,卡牌辅助配置表!A:A,0)-1,0)</f>
        <v>6</v>
      </c>
      <c r="H2004" s="186">
        <f ca="1">OFFSET(skill!$Q$1,MATCH(B2004,skill!B:B,0)-1,0)</f>
        <v>0.518518518518518</v>
      </c>
      <c r="I2004" s="186"/>
      <c r="J2004" s="186">
        <f ca="1">OFFSET(card_type!$F$1,MATCH(Q2004,card_type!A:A,0)-1,0)</f>
        <v>2</v>
      </c>
      <c r="K2004" s="243">
        <f ca="1">OFFSET(card_type!$G$1,MATCH(Q2004,card_type!A:A,0)-1,0)</f>
        <v>4</v>
      </c>
      <c r="L2004" s="157">
        <v>3</v>
      </c>
      <c r="M2004" s="157">
        <v>3</v>
      </c>
      <c r="N2004" s="153">
        <f t="shared" si="337"/>
        <v>8</v>
      </c>
      <c r="O2004" s="157"/>
      <c r="P2004" s="157"/>
      <c r="Q2004" s="153">
        <f ca="1">OFFSET(card_type!$A$1,MATCH(card!B2004,card_type!B:B,0)-1,0)</f>
        <v>3016</v>
      </c>
      <c r="R2004" s="153">
        <v>1</v>
      </c>
      <c r="S2004" s="157">
        <f ca="1">ROUND(IF(R2004=0,0,IF(R2004=1,X2004*$S$1,IF(R2004=2,X2004*$S$1*buff的资质计算!$E$2,IF(R2004=3,X2004*$S$1*buff的资质计算!$E$3,0)))),0)*0</f>
        <v>0</v>
      </c>
      <c r="T2004" s="153">
        <v>3</v>
      </c>
      <c r="U2004" s="153">
        <f ca="1" t="shared" si="338"/>
        <v>24</v>
      </c>
      <c r="V2004" s="153">
        <f ca="1">ROUND((OFFSET(卡牌辅助配置表!$O$1,MATCH(U2004,卡牌辅助配置表!M:M,0)-1,0)+(N2004-1)*OFFSET(卡牌辅助配置表!$P$1,MATCH(U2004,卡牌辅助配置表!M:M,0)-1,0))*M2004,2)</f>
        <v>110.88</v>
      </c>
      <c r="W2004" s="157">
        <f ca="1">ROUND(IF(R2004=0,0,IF(R2004=1,X2004*$W$1,IF(R2004=2,X2004*$W$1*buff的资质计算!$E$2,IF(R2004=3,X2004*$W$1*buff的资质计算!$E$3,0)))),2)</f>
        <v>22.65</v>
      </c>
      <c r="X2004" s="157">
        <f ca="1" t="shared" si="333"/>
        <v>75.5</v>
      </c>
      <c r="Y2004" s="157">
        <f ca="1" t="shared" si="341"/>
        <v>76.0185185185185</v>
      </c>
      <c r="Z2004" s="304">
        <f ca="1" t="shared" si="334"/>
        <v>25.3395061728395</v>
      </c>
      <c r="AA2004" s="304">
        <f ca="1">OFFSET(卡牌辅助配置表!$AD$1,MATCH(AB2004,卡牌辅助配置表!AB:AB,0)-1,0)</f>
        <v>2816</v>
      </c>
      <c r="AB2004" s="304">
        <f ca="1" t="shared" si="339"/>
        <v>2408</v>
      </c>
      <c r="AC2004" s="153">
        <v>7</v>
      </c>
      <c r="AD2004" s="153">
        <v>2</v>
      </c>
      <c r="AE2004" s="153">
        <v>1</v>
      </c>
      <c r="AF2004" s="153" t="str">
        <f ca="1" t="shared" si="332"/>
        <v>30160011|</v>
      </c>
      <c r="AJ2004" s="205" t="str">
        <f ca="1" t="shared" si="340"/>
        <v>400023|6300|;</v>
      </c>
      <c r="AK2004" s="205">
        <f ca="1">OFFSET([1]item_type!$A$1,MATCH(Q2004,[1]item_type!$G:$G,0)-1,0)</f>
        <v>303016</v>
      </c>
      <c r="AL2004" s="205"/>
      <c r="AM2004" s="205">
        <f ca="1">IF(B2004=B2005,OFFSET(卡牌辅助配置表!$AE$1,MATCH(AB2004,卡牌辅助配置表!AB:AB,0),0),0)</f>
        <v>6300</v>
      </c>
      <c r="AN2004" s="153">
        <f ca="1" t="shared" si="335"/>
        <v>3016009</v>
      </c>
      <c r="AP2004" s="153" t="str">
        <f ca="1">IF(AC2004=0,0,IF(AC2004=12,0,OFFSET(effect!$N$1,MATCH(K2004,effect!M:M,0)-1,0)))</f>
        <v>kpsx_huangse</v>
      </c>
    </row>
    <row r="2005" spans="1:42">
      <c r="A2005" s="153">
        <f ca="1" t="shared" si="336"/>
        <v>3016009</v>
      </c>
      <c r="B2005" s="91" t="s">
        <v>369</v>
      </c>
      <c r="C2005" s="186">
        <v>3</v>
      </c>
      <c r="D2005" s="186">
        <v>3</v>
      </c>
      <c r="E2005" s="165" t="s">
        <v>1069</v>
      </c>
      <c r="F2005" s="165" t="str">
        <f>"若自身处在冰冻中，伤害增加冰冻层数*"&amp;skill!$O$143/100&amp;"%"</f>
        <v>若自身处在冰冻中，伤害增加冰冻层数*35%</v>
      </c>
      <c r="G2005" s="186">
        <f ca="1">OFFSET(卡牌辅助配置表!$C$1,MATCH(AC2005,卡牌辅助配置表!A:A,0)-1,0)</f>
        <v>6</v>
      </c>
      <c r="H2005" s="186">
        <f ca="1">OFFSET(skill!$Q$1,MATCH(B2005,skill!B:B,0)-1,0)</f>
        <v>0.518518518518518</v>
      </c>
      <c r="I2005" s="186"/>
      <c r="J2005" s="186">
        <f ca="1">OFFSET(card_type!$F$1,MATCH(Q2005,card_type!A:A,0)-1,0)</f>
        <v>2</v>
      </c>
      <c r="K2005" s="243">
        <f ca="1">OFFSET(card_type!$G$1,MATCH(Q2005,card_type!A:A,0)-1,0)</f>
        <v>4</v>
      </c>
      <c r="L2005" s="157">
        <v>3</v>
      </c>
      <c r="M2005" s="157">
        <v>3</v>
      </c>
      <c r="N2005" s="153">
        <f t="shared" si="337"/>
        <v>9</v>
      </c>
      <c r="O2005" s="157"/>
      <c r="P2005" s="157"/>
      <c r="Q2005" s="153">
        <f ca="1">OFFSET(card_type!$A$1,MATCH(card!B2005,card_type!B:B,0)-1,0)</f>
        <v>3016</v>
      </c>
      <c r="R2005" s="153">
        <v>1</v>
      </c>
      <c r="S2005" s="157">
        <f ca="1">ROUND(IF(R2005=0,0,IF(R2005=1,X2005*$S$1,IF(R2005=2,X2005*$S$1*buff的资质计算!$E$2,IF(R2005=3,X2005*$S$1*buff的资质计算!$E$3,0)))),0)*0</f>
        <v>0</v>
      </c>
      <c r="T2005" s="153">
        <v>3</v>
      </c>
      <c r="U2005" s="153">
        <f ca="1" t="shared" si="338"/>
        <v>24</v>
      </c>
      <c r="V2005" s="153">
        <f ca="1">ROUND((OFFSET(卡牌辅助配置表!$O$1,MATCH(U2005,卡牌辅助配置表!M:M,0)-1,0)+(N2005-1)*OFFSET(卡牌辅助配置表!$P$1,MATCH(U2005,卡牌辅助配置表!M:M,0)-1,0))*M2005,2)</f>
        <v>115.92</v>
      </c>
      <c r="W2005" s="157">
        <f ca="1">ROUND(IF(R2005=0,0,IF(R2005=1,X2005*$W$1,IF(R2005=2,X2005*$W$1*buff的资质计算!$E$2,IF(R2005=3,X2005*$W$1*buff的资质计算!$E$3,0)))),2)</f>
        <v>22.8</v>
      </c>
      <c r="X2005" s="157">
        <f ca="1" t="shared" si="333"/>
        <v>76</v>
      </c>
      <c r="Y2005" s="157">
        <f ca="1" t="shared" si="341"/>
        <v>76.5185185185185</v>
      </c>
      <c r="Z2005" s="304">
        <f ca="1" t="shared" si="334"/>
        <v>25.5061728395062</v>
      </c>
      <c r="AA2005" s="304">
        <f ca="1">OFFSET(卡牌辅助配置表!$AD$1,MATCH(AB2005,卡牌辅助配置表!AB:AB,0)-1,0)</f>
        <v>3168</v>
      </c>
      <c r="AB2005" s="304">
        <f ca="1" t="shared" si="339"/>
        <v>2409</v>
      </c>
      <c r="AC2005" s="153">
        <v>7</v>
      </c>
      <c r="AD2005" s="153">
        <v>2</v>
      </c>
      <c r="AE2005" s="153">
        <v>1</v>
      </c>
      <c r="AF2005" s="153" t="str">
        <f ca="1" t="shared" si="332"/>
        <v>30160011|</v>
      </c>
      <c r="AJ2005" s="205" t="str">
        <f ca="1" t="shared" si="340"/>
        <v>303016|15|;400023|6900|;</v>
      </c>
      <c r="AK2005" s="205">
        <f ca="1">OFFSET([1]item_type!$A$1,MATCH(Q2005,[1]item_type!$G:$G,0)-1,0)</f>
        <v>303016</v>
      </c>
      <c r="AL2005" s="205">
        <v>15</v>
      </c>
      <c r="AM2005" s="205">
        <f ca="1">IF(B2005=B2006,OFFSET(卡牌辅助配置表!$AE$1,MATCH(AB2005,卡牌辅助配置表!AB:AB,0),0),0)</f>
        <v>6900</v>
      </c>
      <c r="AN2005" s="153">
        <f ca="1" t="shared" si="335"/>
        <v>3016010</v>
      </c>
      <c r="AP2005" s="153" t="str">
        <f ca="1">IF(AC2005=0,0,IF(AC2005=12,0,OFFSET(effect!$N$1,MATCH(K2005,effect!M:M,0)-1,0)))</f>
        <v>kpsx_huangse</v>
      </c>
    </row>
    <row r="2006" spans="1:42">
      <c r="A2006" s="153">
        <f ca="1" t="shared" si="336"/>
        <v>3016010</v>
      </c>
      <c r="B2006" s="91" t="s">
        <v>369</v>
      </c>
      <c r="C2006" s="186">
        <v>3</v>
      </c>
      <c r="D2006" s="186">
        <v>3</v>
      </c>
      <c r="E2006" s="165" t="s">
        <v>1069</v>
      </c>
      <c r="F2006" s="165" t="str">
        <f>"若自身处在冰冻中，伤害增加冰冻层数*"&amp;skill!$O$143/100&amp;"%"</f>
        <v>若自身处在冰冻中，伤害增加冰冻层数*35%</v>
      </c>
      <c r="G2006" s="186">
        <f ca="1">OFFSET(卡牌辅助配置表!$C$1,MATCH(AC2006,卡牌辅助配置表!A:A,0)-1,0)</f>
        <v>6</v>
      </c>
      <c r="H2006" s="186">
        <f ca="1">OFFSET(skill!$Q$1,MATCH(B2006,skill!B:B,0)-1,0)</f>
        <v>0.518518518518518</v>
      </c>
      <c r="I2006" s="186"/>
      <c r="J2006" s="186">
        <f ca="1">OFFSET(card_type!$F$1,MATCH(Q2006,card_type!A:A,0)-1,0)</f>
        <v>2</v>
      </c>
      <c r="K2006" s="243">
        <f ca="1">OFFSET(card_type!$G$1,MATCH(Q2006,card_type!A:A,0)-1,0)</f>
        <v>4</v>
      </c>
      <c r="L2006" s="157">
        <v>3</v>
      </c>
      <c r="M2006" s="157">
        <v>3</v>
      </c>
      <c r="N2006" s="153">
        <f t="shared" si="337"/>
        <v>10</v>
      </c>
      <c r="O2006" s="157"/>
      <c r="P2006" s="157"/>
      <c r="Q2006" s="153">
        <f ca="1">OFFSET(card_type!$A$1,MATCH(card!B2006,card_type!B:B,0)-1,0)</f>
        <v>3016</v>
      </c>
      <c r="R2006" s="153">
        <v>1</v>
      </c>
      <c r="S2006" s="157">
        <f ca="1">ROUND(IF(R2006=0,0,IF(R2006=1,X2006*$S$1,IF(R2006=2,X2006*$S$1*buff的资质计算!$E$2,IF(R2006=3,X2006*$S$1*buff的资质计算!$E$3,0)))),0)*0</f>
        <v>0</v>
      </c>
      <c r="T2006" s="153">
        <v>3</v>
      </c>
      <c r="U2006" s="153">
        <f ca="1" t="shared" si="338"/>
        <v>24</v>
      </c>
      <c r="V2006" s="153">
        <f ca="1">ROUND((OFFSET(卡牌辅助配置表!$O$1,MATCH(U2006,卡牌辅助配置表!M:M,0)-1,0)+(N2006-1)*OFFSET(卡牌辅助配置表!$P$1,MATCH(U2006,卡牌辅助配置表!M:M,0)-1,0))*M2006,2)</f>
        <v>120.96</v>
      </c>
      <c r="W2006" s="157">
        <f ca="1">ROUND(IF(R2006=0,0,IF(R2006=1,X2006*$W$1,IF(R2006=2,X2006*$W$1*buff的资质计算!$E$2,IF(R2006=3,X2006*$W$1*buff的资质计算!$E$3,0)))),2)</f>
        <v>22.95</v>
      </c>
      <c r="X2006" s="157">
        <f ca="1" t="shared" si="333"/>
        <v>76.5</v>
      </c>
      <c r="Y2006" s="157">
        <f ca="1" t="shared" si="341"/>
        <v>77.0185185185185</v>
      </c>
      <c r="Z2006" s="304">
        <f ca="1" t="shared" si="334"/>
        <v>25.6728395061728</v>
      </c>
      <c r="AA2006" s="304">
        <f ca="1">OFFSET(卡牌辅助配置表!$AD$1,MATCH(AB2006,卡牌辅助配置表!AB:AB,0)-1,0)</f>
        <v>3520</v>
      </c>
      <c r="AB2006" s="304">
        <f ca="1" t="shared" si="339"/>
        <v>2410</v>
      </c>
      <c r="AC2006" s="153">
        <v>7</v>
      </c>
      <c r="AD2006" s="153">
        <v>2</v>
      </c>
      <c r="AE2006" s="153">
        <v>1</v>
      </c>
      <c r="AF2006" s="153" t="str">
        <f ca="1" t="shared" si="332"/>
        <v>30160011|</v>
      </c>
      <c r="AJ2006" s="205" t="str">
        <f ca="1" t="shared" si="340"/>
        <v>400023|8100|;</v>
      </c>
      <c r="AK2006" s="205">
        <f ca="1">OFFSET([1]item_type!$A$1,MATCH(Q2006,[1]item_type!$G:$G,0)-1,0)</f>
        <v>303016</v>
      </c>
      <c r="AL2006" s="205"/>
      <c r="AM2006" s="205">
        <f ca="1">IF(B2006=B2007,OFFSET(卡牌辅助配置表!$AE$1,MATCH(AB2006,卡牌辅助配置表!AB:AB,0),0),0)</f>
        <v>8100</v>
      </c>
      <c r="AN2006" s="153">
        <f ca="1" t="shared" si="335"/>
        <v>3016011</v>
      </c>
      <c r="AP2006" s="153" t="str">
        <f ca="1">IF(AC2006=0,0,IF(AC2006=12,0,OFFSET(effect!$N$1,MATCH(K2006,effect!M:M,0)-1,0)))</f>
        <v>kpsx_huangse</v>
      </c>
    </row>
    <row r="2007" spans="1:42">
      <c r="A2007" s="153">
        <f ca="1" t="shared" si="336"/>
        <v>3016011</v>
      </c>
      <c r="B2007" s="91" t="s">
        <v>369</v>
      </c>
      <c r="C2007" s="186">
        <v>3</v>
      </c>
      <c r="D2007" s="186">
        <v>3</v>
      </c>
      <c r="E2007" s="165" t="s">
        <v>1069</v>
      </c>
      <c r="F2007" s="165" t="str">
        <f>"若自身处在冰冻中，伤害增加冰冻层数*"&amp;skill!$O$143/100&amp;"%"</f>
        <v>若自身处在冰冻中，伤害增加冰冻层数*35%</v>
      </c>
      <c r="G2007" s="186">
        <f ca="1">OFFSET(卡牌辅助配置表!$C$1,MATCH(AC2007,卡牌辅助配置表!A:A,0)-1,0)</f>
        <v>6</v>
      </c>
      <c r="H2007" s="186">
        <f ca="1">OFFSET(skill!$Q$1,MATCH(B2007,skill!B:B,0)-1,0)</f>
        <v>0.518518518518518</v>
      </c>
      <c r="I2007" s="186"/>
      <c r="J2007" s="186">
        <f ca="1">OFFSET(card_type!$F$1,MATCH(Q2007,card_type!A:A,0)-1,0)</f>
        <v>2</v>
      </c>
      <c r="K2007" s="243">
        <f ca="1">OFFSET(card_type!$G$1,MATCH(Q2007,card_type!A:A,0)-1,0)</f>
        <v>4</v>
      </c>
      <c r="L2007" s="157">
        <v>3</v>
      </c>
      <c r="M2007" s="157">
        <v>3</v>
      </c>
      <c r="N2007" s="153">
        <f t="shared" si="337"/>
        <v>11</v>
      </c>
      <c r="O2007" s="157"/>
      <c r="P2007" s="157"/>
      <c r="Q2007" s="153">
        <f ca="1">OFFSET(card_type!$A$1,MATCH(card!B2007,card_type!B:B,0)-1,0)</f>
        <v>3016</v>
      </c>
      <c r="R2007" s="153">
        <v>1</v>
      </c>
      <c r="S2007" s="157">
        <f ca="1">ROUND(IF(R2007=0,0,IF(R2007=1,X2007*$S$1,IF(R2007=2,X2007*$S$1*buff的资质计算!$E$2,IF(R2007=3,X2007*$S$1*buff的资质计算!$E$3,0)))),0)*0</f>
        <v>0</v>
      </c>
      <c r="T2007" s="153">
        <v>3</v>
      </c>
      <c r="U2007" s="153">
        <f ca="1" t="shared" si="338"/>
        <v>24</v>
      </c>
      <c r="V2007" s="153">
        <f ca="1">ROUND((OFFSET(卡牌辅助配置表!$O$1,MATCH(U2007,卡牌辅助配置表!M:M,0)-1,0)+(N2007-1)*OFFSET(卡牌辅助配置表!$P$1,MATCH(U2007,卡牌辅助配置表!M:M,0)-1,0))*M2007,2)</f>
        <v>126</v>
      </c>
      <c r="W2007" s="157">
        <f ca="1">ROUND(IF(R2007=0,0,IF(R2007=1,X2007*$W$1,IF(R2007=2,X2007*$W$1*buff的资质计算!$E$2,IF(R2007=3,X2007*$W$1*buff的资质计算!$E$3,0)))),2)</f>
        <v>23.1</v>
      </c>
      <c r="X2007" s="157">
        <f ca="1" t="shared" si="333"/>
        <v>77</v>
      </c>
      <c r="Y2007" s="157">
        <f ca="1" t="shared" si="341"/>
        <v>77.5185185185185</v>
      </c>
      <c r="Z2007" s="304">
        <f ca="1" t="shared" si="334"/>
        <v>25.8395061728395</v>
      </c>
      <c r="AA2007" s="304">
        <f ca="1">OFFSET(卡牌辅助配置表!$AD$1,MATCH(AB2007,卡牌辅助配置表!AB:AB,0)-1,0)</f>
        <v>4049</v>
      </c>
      <c r="AB2007" s="304">
        <f ca="1" t="shared" si="339"/>
        <v>2411</v>
      </c>
      <c r="AC2007" s="153">
        <v>7</v>
      </c>
      <c r="AD2007" s="153">
        <v>2</v>
      </c>
      <c r="AE2007" s="153">
        <v>1</v>
      </c>
      <c r="AF2007" s="153" t="str">
        <f ca="1" t="shared" si="332"/>
        <v>30160011|</v>
      </c>
      <c r="AJ2007" s="205" t="str">
        <f ca="1" t="shared" si="340"/>
        <v>400023|9300|;</v>
      </c>
      <c r="AK2007" s="205">
        <f ca="1">OFFSET([1]item_type!$A$1,MATCH(Q2007,[1]item_type!$G:$G,0)-1,0)</f>
        <v>303016</v>
      </c>
      <c r="AL2007" s="205"/>
      <c r="AM2007" s="205">
        <f ca="1">IF(B2007=B2008,OFFSET(卡牌辅助配置表!$AE$1,MATCH(AB2007,卡牌辅助配置表!AB:AB,0),0),0)</f>
        <v>9300</v>
      </c>
      <c r="AN2007" s="153">
        <f ca="1" t="shared" si="335"/>
        <v>3016012</v>
      </c>
      <c r="AP2007" s="153" t="str">
        <f ca="1">IF(AC2007=0,0,IF(AC2007=12,0,OFFSET(effect!$N$1,MATCH(K2007,effect!M:M,0)-1,0)))</f>
        <v>kpsx_huangse</v>
      </c>
    </row>
    <row r="2008" spans="1:42">
      <c r="A2008" s="153">
        <f ca="1" t="shared" si="336"/>
        <v>3016012</v>
      </c>
      <c r="B2008" s="91" t="s">
        <v>369</v>
      </c>
      <c r="C2008" s="186">
        <v>3</v>
      </c>
      <c r="D2008" s="186">
        <v>3</v>
      </c>
      <c r="E2008" s="165" t="s">
        <v>1069</v>
      </c>
      <c r="F2008" s="165" t="str">
        <f>"若自身处在冰冻中，伤害增加冰冻层数*"&amp;skill!$O$143/100&amp;"%"</f>
        <v>若自身处在冰冻中，伤害增加冰冻层数*35%</v>
      </c>
      <c r="G2008" s="186">
        <f ca="1">OFFSET(卡牌辅助配置表!$C$1,MATCH(AC2008,卡牌辅助配置表!A:A,0)-1,0)</f>
        <v>6</v>
      </c>
      <c r="H2008" s="186">
        <f ca="1">OFFSET(skill!$Q$1,MATCH(B2008,skill!B:B,0)-1,0)</f>
        <v>0.518518518518518</v>
      </c>
      <c r="I2008" s="186"/>
      <c r="J2008" s="186">
        <f ca="1">OFFSET(card_type!$F$1,MATCH(Q2008,card_type!A:A,0)-1,0)</f>
        <v>2</v>
      </c>
      <c r="K2008" s="243">
        <f ca="1">OFFSET(card_type!$G$1,MATCH(Q2008,card_type!A:A,0)-1,0)</f>
        <v>4</v>
      </c>
      <c r="L2008" s="157">
        <v>3</v>
      </c>
      <c r="M2008" s="157">
        <v>3</v>
      </c>
      <c r="N2008" s="153">
        <f t="shared" si="337"/>
        <v>12</v>
      </c>
      <c r="O2008" s="157"/>
      <c r="P2008" s="157"/>
      <c r="Q2008" s="153">
        <f ca="1">OFFSET(card_type!$A$1,MATCH(card!B2008,card_type!B:B,0)-1,0)</f>
        <v>3016</v>
      </c>
      <c r="R2008" s="153">
        <v>1</v>
      </c>
      <c r="S2008" s="157">
        <f ca="1">ROUND(IF(R2008=0,0,IF(R2008=1,X2008*$S$1,IF(R2008=2,X2008*$S$1*buff的资质计算!$E$2,IF(R2008=3,X2008*$S$1*buff的资质计算!$E$3,0)))),0)*0</f>
        <v>0</v>
      </c>
      <c r="T2008" s="153">
        <v>3</v>
      </c>
      <c r="U2008" s="153">
        <f ca="1" t="shared" si="338"/>
        <v>24</v>
      </c>
      <c r="V2008" s="153">
        <f ca="1">ROUND((OFFSET(卡牌辅助配置表!$O$1,MATCH(U2008,卡牌辅助配置表!M:M,0)-1,0)+(N2008-1)*OFFSET(卡牌辅助配置表!$P$1,MATCH(U2008,卡牌辅助配置表!M:M,0)-1,0))*M2008,2)</f>
        <v>131.04</v>
      </c>
      <c r="W2008" s="157">
        <f ca="1">ROUND(IF(R2008=0,0,IF(R2008=1,X2008*$W$1,IF(R2008=2,X2008*$W$1*buff的资质计算!$E$2,IF(R2008=3,X2008*$W$1*buff的资质计算!$E$3,0)))),2)</f>
        <v>23.25</v>
      </c>
      <c r="X2008" s="157">
        <f ca="1" t="shared" si="333"/>
        <v>77.5</v>
      </c>
      <c r="Y2008" s="157">
        <f ca="1" t="shared" si="341"/>
        <v>78.0185185185185</v>
      </c>
      <c r="Z2008" s="304">
        <f ca="1" t="shared" si="334"/>
        <v>26.0061728395062</v>
      </c>
      <c r="AA2008" s="304">
        <f ca="1">OFFSET(卡牌辅助配置表!$AD$1,MATCH(AB2008,卡牌辅助配置表!AB:AB,0)-1,0)</f>
        <v>4578</v>
      </c>
      <c r="AB2008" s="304">
        <f ca="1" t="shared" si="339"/>
        <v>2412</v>
      </c>
      <c r="AC2008" s="153">
        <v>7</v>
      </c>
      <c r="AD2008" s="153">
        <v>2</v>
      </c>
      <c r="AE2008" s="153">
        <v>1</v>
      </c>
      <c r="AF2008" s="153" t="str">
        <f ca="1" t="shared" si="332"/>
        <v>30160011|</v>
      </c>
      <c r="AJ2008" s="205" t="str">
        <f ca="1" t="shared" si="340"/>
        <v>400023|10500|;</v>
      </c>
      <c r="AK2008" s="205">
        <f ca="1">OFFSET([1]item_type!$A$1,MATCH(Q2008,[1]item_type!$G:$G,0)-1,0)</f>
        <v>303016</v>
      </c>
      <c r="AL2008" s="205"/>
      <c r="AM2008" s="205">
        <f ca="1">IF(B2008=B2009,OFFSET(卡牌辅助配置表!$AE$1,MATCH(AB2008,卡牌辅助配置表!AB:AB,0),0),0)</f>
        <v>10500</v>
      </c>
      <c r="AN2008" s="153">
        <f ca="1" t="shared" si="335"/>
        <v>3016013</v>
      </c>
      <c r="AP2008" s="153" t="str">
        <f ca="1">IF(AC2008=0,0,IF(AC2008=12,0,OFFSET(effect!$N$1,MATCH(K2008,effect!M:M,0)-1,0)))</f>
        <v>kpsx_huangse</v>
      </c>
    </row>
    <row r="2009" spans="1:42">
      <c r="A2009" s="153">
        <f ca="1" t="shared" si="336"/>
        <v>3016013</v>
      </c>
      <c r="B2009" s="91" t="s">
        <v>369</v>
      </c>
      <c r="C2009" s="186">
        <v>3</v>
      </c>
      <c r="D2009" s="186">
        <v>3</v>
      </c>
      <c r="E2009" s="165" t="s">
        <v>1069</v>
      </c>
      <c r="F2009" s="165" t="str">
        <f>"若自身处在冰冻中，伤害增加冰冻层数*"&amp;skill!$O$143/100&amp;"%"</f>
        <v>若自身处在冰冻中，伤害增加冰冻层数*35%</v>
      </c>
      <c r="G2009" s="186">
        <f ca="1">OFFSET(卡牌辅助配置表!$C$1,MATCH(AC2009,卡牌辅助配置表!A:A,0)-1,0)</f>
        <v>6</v>
      </c>
      <c r="H2009" s="186">
        <f ca="1">OFFSET(skill!$Q$1,MATCH(B2009,skill!B:B,0)-1,0)</f>
        <v>0.518518518518518</v>
      </c>
      <c r="I2009" s="186"/>
      <c r="J2009" s="186">
        <f ca="1">OFFSET(card_type!$F$1,MATCH(Q2009,card_type!A:A,0)-1,0)</f>
        <v>2</v>
      </c>
      <c r="K2009" s="243">
        <f ca="1">OFFSET(card_type!$G$1,MATCH(Q2009,card_type!A:A,0)-1,0)</f>
        <v>4</v>
      </c>
      <c r="L2009" s="157">
        <v>3</v>
      </c>
      <c r="M2009" s="157">
        <v>3</v>
      </c>
      <c r="N2009" s="153">
        <f t="shared" si="337"/>
        <v>13</v>
      </c>
      <c r="O2009" s="157"/>
      <c r="P2009" s="157"/>
      <c r="Q2009" s="153">
        <f ca="1">OFFSET(card_type!$A$1,MATCH(card!B2009,card_type!B:B,0)-1,0)</f>
        <v>3016</v>
      </c>
      <c r="R2009" s="153">
        <v>1</v>
      </c>
      <c r="S2009" s="157">
        <f ca="1">ROUND(IF(R2009=0,0,IF(R2009=1,X2009*$S$1,IF(R2009=2,X2009*$S$1*buff的资质计算!$E$2,IF(R2009=3,X2009*$S$1*buff的资质计算!$E$3,0)))),0)*0</f>
        <v>0</v>
      </c>
      <c r="T2009" s="153">
        <v>3</v>
      </c>
      <c r="U2009" s="153">
        <f ca="1" t="shared" si="338"/>
        <v>24</v>
      </c>
      <c r="V2009" s="153">
        <f ca="1">ROUND((OFFSET(卡牌辅助配置表!$O$1,MATCH(U2009,卡牌辅助配置表!M:M,0)-1,0)+(N2009-1)*OFFSET(卡牌辅助配置表!$P$1,MATCH(U2009,卡牌辅助配置表!M:M,0)-1,0))*M2009,2)</f>
        <v>136.08</v>
      </c>
      <c r="W2009" s="157">
        <f ca="1">ROUND(IF(R2009=0,0,IF(R2009=1,X2009*$W$1,IF(R2009=2,X2009*$W$1*buff的资质计算!$E$2,IF(R2009=3,X2009*$W$1*buff的资质计算!$E$3,0)))),2)</f>
        <v>23.4</v>
      </c>
      <c r="X2009" s="157">
        <f ca="1" t="shared" si="333"/>
        <v>78</v>
      </c>
      <c r="Y2009" s="157">
        <f ca="1" t="shared" si="341"/>
        <v>78.5185185185185</v>
      </c>
      <c r="Z2009" s="304">
        <f ca="1" t="shared" si="334"/>
        <v>26.1728395061728</v>
      </c>
      <c r="AA2009" s="304">
        <f ca="1">OFFSET(卡牌辅助配置表!$AD$1,MATCH(AB2009,卡牌辅助配置表!AB:AB,0)-1,0)</f>
        <v>5107</v>
      </c>
      <c r="AB2009" s="304">
        <f ca="1" t="shared" si="339"/>
        <v>2413</v>
      </c>
      <c r="AC2009" s="153">
        <v>7</v>
      </c>
      <c r="AD2009" s="153">
        <v>2</v>
      </c>
      <c r="AE2009" s="153">
        <v>1</v>
      </c>
      <c r="AF2009" s="153" t="str">
        <f ca="1" t="shared" si="332"/>
        <v>30160011|</v>
      </c>
      <c r="AJ2009" s="205" t="str">
        <f ca="1" t="shared" si="340"/>
        <v>400023|11700|;</v>
      </c>
      <c r="AK2009" s="205">
        <f ca="1">OFFSET([1]item_type!$A$1,MATCH(Q2009,[1]item_type!$G:$G,0)-1,0)</f>
        <v>303016</v>
      </c>
      <c r="AL2009" s="205"/>
      <c r="AM2009" s="205">
        <f ca="1">IF(B2009=B2010,OFFSET(卡牌辅助配置表!$AE$1,MATCH(AB2009,卡牌辅助配置表!AB:AB,0),0),0)</f>
        <v>11700</v>
      </c>
      <c r="AN2009" s="153">
        <f ca="1" t="shared" si="335"/>
        <v>3016014</v>
      </c>
      <c r="AP2009" s="153" t="str">
        <f ca="1">IF(AC2009=0,0,IF(AC2009=12,0,OFFSET(effect!$N$1,MATCH(K2009,effect!M:M,0)-1,0)))</f>
        <v>kpsx_huangse</v>
      </c>
    </row>
    <row r="2010" spans="1:42">
      <c r="A2010" s="153">
        <f ca="1" t="shared" si="336"/>
        <v>3016014</v>
      </c>
      <c r="B2010" s="91" t="s">
        <v>369</v>
      </c>
      <c r="C2010" s="186">
        <v>3</v>
      </c>
      <c r="D2010" s="186">
        <v>3</v>
      </c>
      <c r="E2010" s="165" t="s">
        <v>1069</v>
      </c>
      <c r="F2010" s="165" t="str">
        <f>"若自身处在冰冻中，伤害增加冰冻层数*"&amp;skill!$O$143/100&amp;"%"</f>
        <v>若自身处在冰冻中，伤害增加冰冻层数*35%</v>
      </c>
      <c r="G2010" s="186">
        <f ca="1">OFFSET(卡牌辅助配置表!$C$1,MATCH(AC2010,卡牌辅助配置表!A:A,0)-1,0)</f>
        <v>6</v>
      </c>
      <c r="H2010" s="186">
        <f ca="1">OFFSET(skill!$Q$1,MATCH(B2010,skill!B:B,0)-1,0)</f>
        <v>0.518518518518518</v>
      </c>
      <c r="I2010" s="186"/>
      <c r="J2010" s="186">
        <f ca="1">OFFSET(card_type!$F$1,MATCH(Q2010,card_type!A:A,0)-1,0)</f>
        <v>2</v>
      </c>
      <c r="K2010" s="243">
        <f ca="1">OFFSET(card_type!$G$1,MATCH(Q2010,card_type!A:A,0)-1,0)</f>
        <v>4</v>
      </c>
      <c r="L2010" s="157">
        <v>3</v>
      </c>
      <c r="M2010" s="157">
        <v>3</v>
      </c>
      <c r="N2010" s="153">
        <f t="shared" si="337"/>
        <v>14</v>
      </c>
      <c r="O2010" s="157"/>
      <c r="P2010" s="157"/>
      <c r="Q2010" s="153">
        <f ca="1">OFFSET(card_type!$A$1,MATCH(card!B2010,card_type!B:B,0)-1,0)</f>
        <v>3016</v>
      </c>
      <c r="R2010" s="153">
        <v>1</v>
      </c>
      <c r="S2010" s="157">
        <f ca="1">ROUND(IF(R2010=0,0,IF(R2010=1,X2010*$S$1,IF(R2010=2,X2010*$S$1*buff的资质计算!$E$2,IF(R2010=3,X2010*$S$1*buff的资质计算!$E$3,0)))),0)*0</f>
        <v>0</v>
      </c>
      <c r="T2010" s="153">
        <v>3</v>
      </c>
      <c r="U2010" s="153">
        <f ca="1" t="shared" si="338"/>
        <v>24</v>
      </c>
      <c r="V2010" s="153">
        <f ca="1">ROUND((OFFSET(卡牌辅助配置表!$O$1,MATCH(U2010,卡牌辅助配置表!M:M,0)-1,0)+(N2010-1)*OFFSET(卡牌辅助配置表!$P$1,MATCH(U2010,卡牌辅助配置表!M:M,0)-1,0))*M2010,2)</f>
        <v>141.12</v>
      </c>
      <c r="W2010" s="157">
        <f ca="1">ROUND(IF(R2010=0,0,IF(R2010=1,X2010*$W$1,IF(R2010=2,X2010*$W$1*buff的资质计算!$E$2,IF(R2010=3,X2010*$W$1*buff的资质计算!$E$3,0)))),2)</f>
        <v>23.55</v>
      </c>
      <c r="X2010" s="157">
        <f ca="1" t="shared" si="333"/>
        <v>78.5</v>
      </c>
      <c r="Y2010" s="157">
        <f ca="1" t="shared" si="341"/>
        <v>79.0185185185185</v>
      </c>
      <c r="Z2010" s="304">
        <f ca="1" t="shared" si="334"/>
        <v>26.3395061728395</v>
      </c>
      <c r="AA2010" s="304">
        <f ca="1">OFFSET(卡牌辅助配置表!$AD$1,MATCH(AB2010,卡牌辅助配置表!AB:AB,0)-1,0)</f>
        <v>5636</v>
      </c>
      <c r="AB2010" s="304">
        <f ca="1" t="shared" si="339"/>
        <v>2414</v>
      </c>
      <c r="AC2010" s="153">
        <v>7</v>
      </c>
      <c r="AD2010" s="153">
        <v>2</v>
      </c>
      <c r="AE2010" s="153">
        <v>1</v>
      </c>
      <c r="AF2010" s="153" t="str">
        <f ca="1" t="shared" si="332"/>
        <v>30160011|</v>
      </c>
      <c r="AJ2010" s="205" t="str">
        <f ca="1" t="shared" si="340"/>
        <v>400023|12900|;</v>
      </c>
      <c r="AK2010" s="205">
        <f ca="1">OFFSET([1]item_type!$A$1,MATCH(Q2010,[1]item_type!$G:$G,0)-1,0)</f>
        <v>303016</v>
      </c>
      <c r="AL2010" s="205"/>
      <c r="AM2010" s="205">
        <f ca="1">IF(B2010=B2011,OFFSET(卡牌辅助配置表!$AE$1,MATCH(AB2010,卡牌辅助配置表!AB:AB,0),0),0)</f>
        <v>12900</v>
      </c>
      <c r="AN2010" s="153">
        <f ca="1" t="shared" si="335"/>
        <v>3016015</v>
      </c>
      <c r="AP2010" s="153" t="str">
        <f ca="1">IF(AC2010=0,0,IF(AC2010=12,0,OFFSET(effect!$N$1,MATCH(K2010,effect!M:M,0)-1,0)))</f>
        <v>kpsx_huangse</v>
      </c>
    </row>
    <row r="2011" spans="1:42">
      <c r="A2011" s="153">
        <f ca="1" t="shared" si="336"/>
        <v>3016015</v>
      </c>
      <c r="B2011" s="91" t="s">
        <v>369</v>
      </c>
      <c r="C2011" s="186">
        <v>3</v>
      </c>
      <c r="D2011" s="186">
        <v>3</v>
      </c>
      <c r="E2011" s="165" t="s">
        <v>1069</v>
      </c>
      <c r="F2011" s="165" t="str">
        <f>"若自身处在冰冻中，伤害增加冰冻层数*"&amp;skill!$O$143/100&amp;"%"</f>
        <v>若自身处在冰冻中，伤害增加冰冻层数*35%</v>
      </c>
      <c r="G2011" s="186">
        <f ca="1">OFFSET(卡牌辅助配置表!$C$1,MATCH(AC2011,卡牌辅助配置表!A:A,0)-1,0)</f>
        <v>6</v>
      </c>
      <c r="H2011" s="186">
        <f ca="1">OFFSET(skill!$Q$1,MATCH(B2011,skill!B:B,0)-1,0)</f>
        <v>0.518518518518518</v>
      </c>
      <c r="I2011" s="186"/>
      <c r="J2011" s="186">
        <f ca="1">OFFSET(card_type!$F$1,MATCH(Q2011,card_type!A:A,0)-1,0)</f>
        <v>2</v>
      </c>
      <c r="K2011" s="243">
        <f ca="1">OFFSET(card_type!$G$1,MATCH(Q2011,card_type!A:A,0)-1,0)</f>
        <v>4</v>
      </c>
      <c r="L2011" s="157">
        <v>3</v>
      </c>
      <c r="M2011" s="157">
        <v>3</v>
      </c>
      <c r="N2011" s="153">
        <f t="shared" si="337"/>
        <v>15</v>
      </c>
      <c r="O2011" s="157"/>
      <c r="P2011" s="157"/>
      <c r="Q2011" s="153">
        <f ca="1">OFFSET(card_type!$A$1,MATCH(card!B2011,card_type!B:B,0)-1,0)</f>
        <v>3016</v>
      </c>
      <c r="R2011" s="153">
        <v>1</v>
      </c>
      <c r="S2011" s="157">
        <f ca="1">ROUND(IF(R2011=0,0,IF(R2011=1,X2011*$S$1,IF(R2011=2,X2011*$S$1*buff的资质计算!$E$2,IF(R2011=3,X2011*$S$1*buff的资质计算!$E$3,0)))),0)*0</f>
        <v>0</v>
      </c>
      <c r="T2011" s="153">
        <v>3</v>
      </c>
      <c r="U2011" s="153">
        <f ca="1" t="shared" si="338"/>
        <v>24</v>
      </c>
      <c r="V2011" s="153">
        <f ca="1">ROUND((OFFSET(卡牌辅助配置表!$O$1,MATCH(U2011,卡牌辅助配置表!M:M,0)-1,0)+(N2011-1)*OFFSET(卡牌辅助配置表!$P$1,MATCH(U2011,卡牌辅助配置表!M:M,0)-1,0))*M2011,2)</f>
        <v>146.16</v>
      </c>
      <c r="W2011" s="157">
        <f ca="1">ROUND(IF(R2011=0,0,IF(R2011=1,X2011*$W$1,IF(R2011=2,X2011*$W$1*buff的资质计算!$E$2,IF(R2011=3,X2011*$W$1*buff的资质计算!$E$3,0)))),2)</f>
        <v>23.7</v>
      </c>
      <c r="X2011" s="157">
        <f ca="1" t="shared" si="333"/>
        <v>79</v>
      </c>
      <c r="Y2011" s="157">
        <f ca="1" t="shared" si="341"/>
        <v>79.5185185185185</v>
      </c>
      <c r="Z2011" s="304">
        <f ca="1" t="shared" si="334"/>
        <v>26.5061728395062</v>
      </c>
      <c r="AA2011" s="304">
        <f ca="1">OFFSET(卡牌辅助配置表!$AD$1,MATCH(AB2011,卡牌辅助配置表!AB:AB,0)-1,0)</f>
        <v>6165</v>
      </c>
      <c r="AB2011" s="304">
        <f ca="1" t="shared" si="339"/>
        <v>2415</v>
      </c>
      <c r="AC2011" s="153">
        <v>7</v>
      </c>
      <c r="AD2011" s="153">
        <v>2</v>
      </c>
      <c r="AE2011" s="153">
        <v>1</v>
      </c>
      <c r="AF2011" s="153" t="str">
        <f ca="1" t="shared" si="332"/>
        <v>30160011|</v>
      </c>
      <c r="AJ2011" s="205" t="str">
        <f ca="1" t="shared" si="340"/>
        <v>400023|14100|;</v>
      </c>
      <c r="AK2011" s="205">
        <f ca="1">OFFSET([1]item_type!$A$1,MATCH(Q2011,[1]item_type!$G:$G,0)-1,0)</f>
        <v>303016</v>
      </c>
      <c r="AL2011" s="205"/>
      <c r="AM2011" s="205">
        <f ca="1">IF(B2011=B2012,OFFSET(卡牌辅助配置表!$AE$1,MATCH(AB2011,卡牌辅助配置表!AB:AB,0),0),0)</f>
        <v>14100</v>
      </c>
      <c r="AN2011" s="153">
        <f ca="1" t="shared" si="335"/>
        <v>3016016</v>
      </c>
      <c r="AP2011" s="153" t="str">
        <f ca="1">IF(AC2011=0,0,IF(AC2011=12,0,OFFSET(effect!$N$1,MATCH(K2011,effect!M:M,0)-1,0)))</f>
        <v>kpsx_huangse</v>
      </c>
    </row>
    <row r="2012" spans="1:42">
      <c r="A2012" s="153">
        <f ca="1" t="shared" si="336"/>
        <v>3016016</v>
      </c>
      <c r="B2012" s="91" t="s">
        <v>369</v>
      </c>
      <c r="C2012" s="186">
        <v>3</v>
      </c>
      <c r="D2012" s="186">
        <v>3</v>
      </c>
      <c r="E2012" s="165" t="s">
        <v>1069</v>
      </c>
      <c r="F2012" s="165" t="str">
        <f>"若自身处在冰冻中，伤害增加冰冻层数*"&amp;skill!$O$143/100&amp;"%"</f>
        <v>若自身处在冰冻中，伤害增加冰冻层数*35%</v>
      </c>
      <c r="G2012" s="186">
        <f ca="1">OFFSET(卡牌辅助配置表!$C$1,MATCH(AC2012,卡牌辅助配置表!A:A,0)-1,0)</f>
        <v>6</v>
      </c>
      <c r="H2012" s="186">
        <f ca="1">OFFSET(skill!$Q$1,MATCH(B2012,skill!B:B,0)-1,0)</f>
        <v>0.518518518518518</v>
      </c>
      <c r="I2012" s="186"/>
      <c r="J2012" s="186">
        <f ca="1">OFFSET(card_type!$F$1,MATCH(Q2012,card_type!A:A,0)-1,0)</f>
        <v>2</v>
      </c>
      <c r="K2012" s="243">
        <f ca="1">OFFSET(card_type!$G$1,MATCH(Q2012,card_type!A:A,0)-1,0)</f>
        <v>4</v>
      </c>
      <c r="L2012" s="157">
        <v>3</v>
      </c>
      <c r="M2012" s="157">
        <v>3</v>
      </c>
      <c r="N2012" s="153">
        <f t="shared" si="337"/>
        <v>16</v>
      </c>
      <c r="O2012" s="157"/>
      <c r="P2012" s="157"/>
      <c r="Q2012" s="153">
        <f ca="1">OFFSET(card_type!$A$1,MATCH(card!B2012,card_type!B:B,0)-1,0)</f>
        <v>3016</v>
      </c>
      <c r="R2012" s="153">
        <v>1</v>
      </c>
      <c r="S2012" s="157">
        <f ca="1">ROUND(IF(R2012=0,0,IF(R2012=1,X2012*$S$1,IF(R2012=2,X2012*$S$1*buff的资质计算!$E$2,IF(R2012=3,X2012*$S$1*buff的资质计算!$E$3,0)))),0)*0</f>
        <v>0</v>
      </c>
      <c r="T2012" s="153">
        <v>3</v>
      </c>
      <c r="U2012" s="153">
        <f ca="1" t="shared" si="338"/>
        <v>24</v>
      </c>
      <c r="V2012" s="153">
        <f ca="1">ROUND((OFFSET(卡牌辅助配置表!$O$1,MATCH(U2012,卡牌辅助配置表!M:M,0)-1,0)+(N2012-1)*OFFSET(卡牌辅助配置表!$P$1,MATCH(U2012,卡牌辅助配置表!M:M,0)-1,0))*M2012,2)</f>
        <v>151.2</v>
      </c>
      <c r="W2012" s="157">
        <f ca="1">ROUND(IF(R2012=0,0,IF(R2012=1,X2012*$W$1,IF(R2012=2,X2012*$W$1*buff的资质计算!$E$2,IF(R2012=3,X2012*$W$1*buff的资质计算!$E$3,0)))),2)</f>
        <v>23.85</v>
      </c>
      <c r="X2012" s="157">
        <f ca="1" t="shared" si="333"/>
        <v>79.5</v>
      </c>
      <c r="Y2012" s="157">
        <f ca="1" t="shared" si="341"/>
        <v>80.0185185185185</v>
      </c>
      <c r="Z2012" s="304">
        <f ca="1" t="shared" si="334"/>
        <v>26.6728395061728</v>
      </c>
      <c r="AA2012" s="304">
        <f ca="1">OFFSET(卡牌辅助配置表!$AD$1,MATCH(AB2012,卡牌辅助配置表!AB:AB,0)-1,0)</f>
        <v>6694</v>
      </c>
      <c r="AB2012" s="304">
        <f ca="1" t="shared" si="339"/>
        <v>2416</v>
      </c>
      <c r="AC2012" s="153">
        <v>7</v>
      </c>
      <c r="AD2012" s="153">
        <v>2</v>
      </c>
      <c r="AE2012" s="153">
        <v>1</v>
      </c>
      <c r="AF2012" s="153" t="str">
        <f ca="1" t="shared" si="332"/>
        <v>30160011|</v>
      </c>
      <c r="AJ2012" s="205" t="str">
        <f ca="1" t="shared" si="340"/>
        <v>400023|15300|;</v>
      </c>
      <c r="AK2012" s="205">
        <f ca="1">OFFSET([1]item_type!$A$1,MATCH(Q2012,[1]item_type!$G:$G,0)-1,0)</f>
        <v>303016</v>
      </c>
      <c r="AL2012" s="205"/>
      <c r="AM2012" s="205">
        <f ca="1">IF(B2012=B2013,OFFSET(卡牌辅助配置表!$AE$1,MATCH(AB2012,卡牌辅助配置表!AB:AB,0),0),0)</f>
        <v>15300</v>
      </c>
      <c r="AN2012" s="153">
        <f ca="1" t="shared" si="335"/>
        <v>3016017</v>
      </c>
      <c r="AP2012" s="153" t="str">
        <f ca="1">IF(AC2012=0,0,IF(AC2012=12,0,OFFSET(effect!$N$1,MATCH(K2012,effect!M:M,0)-1,0)))</f>
        <v>kpsx_huangse</v>
      </c>
    </row>
    <row r="2013" spans="1:42">
      <c r="A2013" s="153">
        <f ca="1" t="shared" si="336"/>
        <v>3016017</v>
      </c>
      <c r="B2013" s="91" t="s">
        <v>369</v>
      </c>
      <c r="C2013" s="186">
        <v>3</v>
      </c>
      <c r="D2013" s="186">
        <v>3</v>
      </c>
      <c r="E2013" s="165" t="s">
        <v>1069</v>
      </c>
      <c r="F2013" s="165" t="str">
        <f>"若自身处在冰冻中，伤害增加冰冻层数*"&amp;skill!$O$143/100&amp;"%"</f>
        <v>若自身处在冰冻中，伤害增加冰冻层数*35%</v>
      </c>
      <c r="G2013" s="186">
        <f ca="1">OFFSET(卡牌辅助配置表!$C$1,MATCH(AC2013,卡牌辅助配置表!A:A,0)-1,0)</f>
        <v>6</v>
      </c>
      <c r="H2013" s="186">
        <f ca="1">OFFSET(skill!$Q$1,MATCH(B2013,skill!B:B,0)-1,0)</f>
        <v>0.518518518518518</v>
      </c>
      <c r="I2013" s="186"/>
      <c r="J2013" s="186">
        <f ca="1">OFFSET(card_type!$F$1,MATCH(Q2013,card_type!A:A,0)-1,0)</f>
        <v>2</v>
      </c>
      <c r="K2013" s="243">
        <f ca="1">OFFSET(card_type!$G$1,MATCH(Q2013,card_type!A:A,0)-1,0)</f>
        <v>4</v>
      </c>
      <c r="L2013" s="157">
        <v>3</v>
      </c>
      <c r="M2013" s="157">
        <v>3</v>
      </c>
      <c r="N2013" s="153">
        <f t="shared" si="337"/>
        <v>17</v>
      </c>
      <c r="O2013" s="157"/>
      <c r="P2013" s="157"/>
      <c r="Q2013" s="153">
        <f ca="1">OFFSET(card_type!$A$1,MATCH(card!B2013,card_type!B:B,0)-1,0)</f>
        <v>3016</v>
      </c>
      <c r="R2013" s="153">
        <v>1</v>
      </c>
      <c r="S2013" s="157">
        <f ca="1">ROUND(IF(R2013=0,0,IF(R2013=1,X2013*$S$1,IF(R2013=2,X2013*$S$1*buff的资质计算!$E$2,IF(R2013=3,X2013*$S$1*buff的资质计算!$E$3,0)))),0)*0</f>
        <v>0</v>
      </c>
      <c r="T2013" s="153">
        <v>3</v>
      </c>
      <c r="U2013" s="153">
        <f ca="1" t="shared" si="338"/>
        <v>24</v>
      </c>
      <c r="V2013" s="153">
        <f ca="1">ROUND((OFFSET(卡牌辅助配置表!$O$1,MATCH(U2013,卡牌辅助配置表!M:M,0)-1,0)+(N2013-1)*OFFSET(卡牌辅助配置表!$P$1,MATCH(U2013,卡牌辅助配置表!M:M,0)-1,0))*M2013,2)</f>
        <v>156.24</v>
      </c>
      <c r="W2013" s="157">
        <f ca="1">ROUND(IF(R2013=0,0,IF(R2013=1,X2013*$W$1,IF(R2013=2,X2013*$W$1*buff的资质计算!$E$2,IF(R2013=3,X2013*$W$1*buff的资质计算!$E$3,0)))),2)</f>
        <v>24</v>
      </c>
      <c r="X2013" s="157">
        <f ca="1" t="shared" si="333"/>
        <v>80</v>
      </c>
      <c r="Y2013" s="157">
        <f ca="1" t="shared" si="341"/>
        <v>80.5185185185185</v>
      </c>
      <c r="Z2013" s="304">
        <f ca="1" t="shared" si="334"/>
        <v>26.8395061728395</v>
      </c>
      <c r="AA2013" s="304">
        <f ca="1">OFFSET(卡牌辅助配置表!$AD$1,MATCH(AB2013,卡牌辅助配置表!AB:AB,0)-1,0)</f>
        <v>7223</v>
      </c>
      <c r="AB2013" s="304">
        <f ca="1" t="shared" si="339"/>
        <v>2417</v>
      </c>
      <c r="AC2013" s="153">
        <v>7</v>
      </c>
      <c r="AD2013" s="153">
        <v>2</v>
      </c>
      <c r="AE2013" s="153">
        <v>1</v>
      </c>
      <c r="AF2013" s="153" t="str">
        <f ca="1" t="shared" si="332"/>
        <v>30160011|</v>
      </c>
      <c r="AJ2013" s="205" t="str">
        <f ca="1" t="shared" si="340"/>
        <v>400023|16500|;</v>
      </c>
      <c r="AK2013" s="205">
        <f ca="1">OFFSET([1]item_type!$A$1,MATCH(Q2013,[1]item_type!$G:$G,0)-1,0)</f>
        <v>303016</v>
      </c>
      <c r="AL2013" s="205"/>
      <c r="AM2013" s="205">
        <f ca="1">IF(B2013=B2014,OFFSET(卡牌辅助配置表!$AE$1,MATCH(AB2013,卡牌辅助配置表!AB:AB,0),0),0)</f>
        <v>16500</v>
      </c>
      <c r="AN2013" s="153">
        <f ca="1" t="shared" si="335"/>
        <v>3016018</v>
      </c>
      <c r="AP2013" s="153" t="str">
        <f ca="1">IF(AC2013=0,0,IF(AC2013=12,0,OFFSET(effect!$N$1,MATCH(K2013,effect!M:M,0)-1,0)))</f>
        <v>kpsx_huangse</v>
      </c>
    </row>
    <row r="2014" spans="1:42">
      <c r="A2014" s="153">
        <f ca="1" t="shared" si="336"/>
        <v>3016018</v>
      </c>
      <c r="B2014" s="91" t="s">
        <v>369</v>
      </c>
      <c r="C2014" s="186">
        <v>3</v>
      </c>
      <c r="D2014" s="186">
        <v>3</v>
      </c>
      <c r="E2014" s="165" t="s">
        <v>1069</v>
      </c>
      <c r="F2014" s="165" t="str">
        <f>"若自身处在冰冻中，伤害增加冰冻层数*"&amp;skill!$O$143/100&amp;"%"</f>
        <v>若自身处在冰冻中，伤害增加冰冻层数*35%</v>
      </c>
      <c r="G2014" s="186">
        <f ca="1">OFFSET(卡牌辅助配置表!$C$1,MATCH(AC2014,卡牌辅助配置表!A:A,0)-1,0)</f>
        <v>6</v>
      </c>
      <c r="H2014" s="186">
        <f ca="1">OFFSET(skill!$Q$1,MATCH(B2014,skill!B:B,0)-1,0)</f>
        <v>0.518518518518518</v>
      </c>
      <c r="I2014" s="186"/>
      <c r="J2014" s="186">
        <f ca="1">OFFSET(card_type!$F$1,MATCH(Q2014,card_type!A:A,0)-1,0)</f>
        <v>2</v>
      </c>
      <c r="K2014" s="243">
        <f ca="1">OFFSET(card_type!$G$1,MATCH(Q2014,card_type!A:A,0)-1,0)</f>
        <v>4</v>
      </c>
      <c r="L2014" s="157">
        <v>3</v>
      </c>
      <c r="M2014" s="157">
        <v>3</v>
      </c>
      <c r="N2014" s="153">
        <f t="shared" si="337"/>
        <v>18</v>
      </c>
      <c r="O2014" s="157"/>
      <c r="P2014" s="157"/>
      <c r="Q2014" s="153">
        <f ca="1">OFFSET(card_type!$A$1,MATCH(card!B2014,card_type!B:B,0)-1,0)</f>
        <v>3016</v>
      </c>
      <c r="R2014" s="153">
        <v>1</v>
      </c>
      <c r="S2014" s="157">
        <f ca="1">ROUND(IF(R2014=0,0,IF(R2014=1,X2014*$S$1,IF(R2014=2,X2014*$S$1*buff的资质计算!$E$2,IF(R2014=3,X2014*$S$1*buff的资质计算!$E$3,0)))),0)*0</f>
        <v>0</v>
      </c>
      <c r="T2014" s="153">
        <v>3</v>
      </c>
      <c r="U2014" s="153">
        <f ca="1" t="shared" si="338"/>
        <v>24</v>
      </c>
      <c r="V2014" s="153">
        <f ca="1">ROUND((OFFSET(卡牌辅助配置表!$O$1,MATCH(U2014,卡牌辅助配置表!M:M,0)-1,0)+(N2014-1)*OFFSET(卡牌辅助配置表!$P$1,MATCH(U2014,卡牌辅助配置表!M:M,0)-1,0))*M2014,2)</f>
        <v>161.28</v>
      </c>
      <c r="W2014" s="157">
        <f ca="1">ROUND(IF(R2014=0,0,IF(R2014=1,X2014*$W$1,IF(R2014=2,X2014*$W$1*buff的资质计算!$E$2,IF(R2014=3,X2014*$W$1*buff的资质计算!$E$3,0)))),2)</f>
        <v>24.15</v>
      </c>
      <c r="X2014" s="157">
        <f ca="1" t="shared" si="333"/>
        <v>80.5</v>
      </c>
      <c r="Y2014" s="157">
        <f ca="1" t="shared" si="341"/>
        <v>81.0185185185185</v>
      </c>
      <c r="Z2014" s="304">
        <f ca="1" t="shared" si="334"/>
        <v>27.0061728395062</v>
      </c>
      <c r="AA2014" s="304">
        <f ca="1">OFFSET(卡牌辅助配置表!$AD$1,MATCH(AB2014,卡牌辅助配置表!AB:AB,0)-1,0)</f>
        <v>7752</v>
      </c>
      <c r="AB2014" s="304">
        <f ca="1" t="shared" si="339"/>
        <v>2418</v>
      </c>
      <c r="AC2014" s="153">
        <v>7</v>
      </c>
      <c r="AD2014" s="153">
        <v>2</v>
      </c>
      <c r="AE2014" s="153">
        <v>1</v>
      </c>
      <c r="AF2014" s="153" t="str">
        <f ca="1" t="shared" si="332"/>
        <v>30160011|</v>
      </c>
      <c r="AJ2014" s="205" t="str">
        <f ca="1" t="shared" si="340"/>
        <v>400023|17700|;</v>
      </c>
      <c r="AK2014" s="205">
        <f ca="1">OFFSET([1]item_type!$A$1,MATCH(Q2014,[1]item_type!$G:$G,0)-1,0)</f>
        <v>303016</v>
      </c>
      <c r="AL2014" s="205"/>
      <c r="AM2014" s="205">
        <f ca="1">IF(B2014=B2015,OFFSET(卡牌辅助配置表!$AE$1,MATCH(AB2014,卡牌辅助配置表!AB:AB,0),0),0)</f>
        <v>17700</v>
      </c>
      <c r="AN2014" s="153">
        <f ca="1" t="shared" si="335"/>
        <v>3016019</v>
      </c>
      <c r="AP2014" s="153" t="str">
        <f ca="1">IF(AC2014=0,0,IF(AC2014=12,0,OFFSET(effect!$N$1,MATCH(K2014,effect!M:M,0)-1,0)))</f>
        <v>kpsx_huangse</v>
      </c>
    </row>
    <row r="2015" spans="1:42">
      <c r="A2015" s="153">
        <f ca="1" t="shared" si="336"/>
        <v>3016019</v>
      </c>
      <c r="B2015" s="91" t="s">
        <v>369</v>
      </c>
      <c r="C2015" s="186">
        <v>3</v>
      </c>
      <c r="D2015" s="186">
        <v>3</v>
      </c>
      <c r="E2015" s="165" t="s">
        <v>1069</v>
      </c>
      <c r="F2015" s="165" t="str">
        <f>"若自身处在冰冻中，伤害增加冰冻层数*"&amp;skill!$O$143/100&amp;"%"</f>
        <v>若自身处在冰冻中，伤害增加冰冻层数*35%</v>
      </c>
      <c r="G2015" s="186">
        <f ca="1">OFFSET(卡牌辅助配置表!$C$1,MATCH(AC2015,卡牌辅助配置表!A:A,0)-1,0)</f>
        <v>6</v>
      </c>
      <c r="H2015" s="186">
        <f ca="1">OFFSET(skill!$Q$1,MATCH(B2015,skill!B:B,0)-1,0)</f>
        <v>0.518518518518518</v>
      </c>
      <c r="I2015" s="186"/>
      <c r="J2015" s="186">
        <f ca="1">OFFSET(card_type!$F$1,MATCH(Q2015,card_type!A:A,0)-1,0)</f>
        <v>2</v>
      </c>
      <c r="K2015" s="243">
        <f ca="1">OFFSET(card_type!$G$1,MATCH(Q2015,card_type!A:A,0)-1,0)</f>
        <v>4</v>
      </c>
      <c r="L2015" s="157">
        <v>3</v>
      </c>
      <c r="M2015" s="157">
        <v>3</v>
      </c>
      <c r="N2015" s="153">
        <f t="shared" si="337"/>
        <v>19</v>
      </c>
      <c r="O2015" s="157"/>
      <c r="P2015" s="157"/>
      <c r="Q2015" s="153">
        <f ca="1">OFFSET(card_type!$A$1,MATCH(card!B2015,card_type!B:B,0)-1,0)</f>
        <v>3016</v>
      </c>
      <c r="R2015" s="153">
        <v>1</v>
      </c>
      <c r="S2015" s="157">
        <f ca="1">ROUND(IF(R2015=0,0,IF(R2015=1,X2015*$S$1,IF(R2015=2,X2015*$S$1*buff的资质计算!$E$2,IF(R2015=3,X2015*$S$1*buff的资质计算!$E$3,0)))),0)*0</f>
        <v>0</v>
      </c>
      <c r="T2015" s="153">
        <v>3</v>
      </c>
      <c r="U2015" s="153">
        <f ca="1" t="shared" si="338"/>
        <v>24</v>
      </c>
      <c r="V2015" s="153">
        <f ca="1">ROUND((OFFSET(卡牌辅助配置表!$O$1,MATCH(U2015,卡牌辅助配置表!M:M,0)-1,0)+(N2015-1)*OFFSET(卡牌辅助配置表!$P$1,MATCH(U2015,卡牌辅助配置表!M:M,0)-1,0))*M2015,2)</f>
        <v>166.32</v>
      </c>
      <c r="W2015" s="157">
        <f ca="1">ROUND(IF(R2015=0,0,IF(R2015=1,X2015*$W$1,IF(R2015=2,X2015*$W$1*buff的资质计算!$E$2,IF(R2015=3,X2015*$W$1*buff的资质计算!$E$3,0)))),2)</f>
        <v>24.3</v>
      </c>
      <c r="X2015" s="157">
        <f ca="1" t="shared" si="333"/>
        <v>81</v>
      </c>
      <c r="Y2015" s="157">
        <f ca="1" t="shared" si="341"/>
        <v>81.5185185185185</v>
      </c>
      <c r="Z2015" s="304">
        <f ca="1" t="shared" si="334"/>
        <v>27.1728395061728</v>
      </c>
      <c r="AA2015" s="304">
        <f ca="1">OFFSET(卡牌辅助配置表!$AD$1,MATCH(AB2015,卡牌辅助配置表!AB:AB,0)-1,0)</f>
        <v>8281</v>
      </c>
      <c r="AB2015" s="304">
        <f ca="1" t="shared" si="339"/>
        <v>2419</v>
      </c>
      <c r="AC2015" s="153">
        <v>7</v>
      </c>
      <c r="AD2015" s="153">
        <v>2</v>
      </c>
      <c r="AE2015" s="153">
        <v>1</v>
      </c>
      <c r="AF2015" s="153" t="str">
        <f ca="1" t="shared" si="332"/>
        <v>30160011|</v>
      </c>
      <c r="AJ2015" s="205" t="str">
        <f ca="1" t="shared" si="340"/>
        <v>303016|20|;400023|18900|;</v>
      </c>
      <c r="AK2015" s="205">
        <f ca="1">OFFSET([1]item_type!$A$1,MATCH(Q2015,[1]item_type!$G:$G,0)-1,0)</f>
        <v>303016</v>
      </c>
      <c r="AL2015" s="205">
        <v>20</v>
      </c>
      <c r="AM2015" s="205">
        <f ca="1">IF(B2015=B2016,OFFSET(卡牌辅助配置表!$AE$1,MATCH(AB2015,卡牌辅助配置表!AB:AB,0),0),0)</f>
        <v>18900</v>
      </c>
      <c r="AN2015" s="153">
        <f ca="1" t="shared" si="335"/>
        <v>3016020</v>
      </c>
      <c r="AP2015" s="153" t="str">
        <f ca="1">IF(AC2015=0,0,IF(AC2015=12,0,OFFSET(effect!$N$1,MATCH(K2015,effect!M:M,0)-1,0)))</f>
        <v>kpsx_huangse</v>
      </c>
    </row>
    <row r="2016" spans="1:42">
      <c r="A2016" s="153">
        <f ca="1" t="shared" si="336"/>
        <v>3016020</v>
      </c>
      <c r="B2016" s="91" t="s">
        <v>369</v>
      </c>
      <c r="C2016" s="186">
        <v>3</v>
      </c>
      <c r="D2016" s="186">
        <v>3</v>
      </c>
      <c r="E2016" s="165" t="s">
        <v>1069</v>
      </c>
      <c r="F2016" s="165" t="str">
        <f>"若自身处在冰冻中，伤害增加冰冻层数*"&amp;skill!$O$143/100&amp;"%"</f>
        <v>若自身处在冰冻中，伤害增加冰冻层数*35%</v>
      </c>
      <c r="G2016" s="186">
        <f ca="1">OFFSET(卡牌辅助配置表!$C$1,MATCH(AC2016,卡牌辅助配置表!A:A,0)-1,0)</f>
        <v>6</v>
      </c>
      <c r="H2016" s="186">
        <f ca="1">OFFSET(skill!$Q$1,MATCH(B2016,skill!B:B,0)-1,0)</f>
        <v>0.518518518518518</v>
      </c>
      <c r="I2016" s="186"/>
      <c r="J2016" s="186">
        <f ca="1">OFFSET(card_type!$F$1,MATCH(Q2016,card_type!A:A,0)-1,0)</f>
        <v>2</v>
      </c>
      <c r="K2016" s="243">
        <f ca="1">OFFSET(card_type!$G$1,MATCH(Q2016,card_type!A:A,0)-1,0)</f>
        <v>4</v>
      </c>
      <c r="L2016" s="157">
        <v>3</v>
      </c>
      <c r="M2016" s="157">
        <v>3</v>
      </c>
      <c r="N2016" s="153">
        <f t="shared" si="337"/>
        <v>20</v>
      </c>
      <c r="O2016" s="157"/>
      <c r="P2016" s="157"/>
      <c r="Q2016" s="153">
        <f ca="1">OFFSET(card_type!$A$1,MATCH(card!B2016,card_type!B:B,0)-1,0)</f>
        <v>3016</v>
      </c>
      <c r="R2016" s="153">
        <v>1</v>
      </c>
      <c r="S2016" s="157">
        <f ca="1">ROUND(IF(R2016=0,0,IF(R2016=1,X2016*$S$1,IF(R2016=2,X2016*$S$1*buff的资质计算!$E$2,IF(R2016=3,X2016*$S$1*buff的资质计算!$E$3,0)))),0)*0</f>
        <v>0</v>
      </c>
      <c r="T2016" s="153">
        <v>3</v>
      </c>
      <c r="U2016" s="153">
        <f ca="1" t="shared" si="338"/>
        <v>24</v>
      </c>
      <c r="V2016" s="153">
        <f ca="1">ROUND((OFFSET(卡牌辅助配置表!$O$1,MATCH(U2016,卡牌辅助配置表!M:M,0)-1,0)+(N2016-1)*OFFSET(卡牌辅助配置表!$P$1,MATCH(U2016,卡牌辅助配置表!M:M,0)-1,0))*M2016,2)</f>
        <v>171.36</v>
      </c>
      <c r="W2016" s="157">
        <f ca="1">ROUND(IF(R2016=0,0,IF(R2016=1,X2016*$W$1,IF(R2016=2,X2016*$W$1*buff的资质计算!$E$2,IF(R2016=3,X2016*$W$1*buff的资质计算!$E$3,0)))),2)</f>
        <v>24.45</v>
      </c>
      <c r="X2016" s="157">
        <f ca="1" t="shared" si="333"/>
        <v>81.5</v>
      </c>
      <c r="Y2016" s="157">
        <f ca="1" t="shared" si="341"/>
        <v>82.0185185185185</v>
      </c>
      <c r="Z2016" s="304">
        <f ca="1" t="shared" si="334"/>
        <v>27.3395061728395</v>
      </c>
      <c r="AA2016" s="304">
        <f ca="1">OFFSET(卡牌辅助配置表!$AD$1,MATCH(AB2016,卡牌辅助配置表!AB:AB,0)-1,0)</f>
        <v>8810</v>
      </c>
      <c r="AB2016" s="304">
        <f ca="1" t="shared" si="339"/>
        <v>2420</v>
      </c>
      <c r="AC2016" s="153">
        <v>7</v>
      </c>
      <c r="AD2016" s="153">
        <v>2</v>
      </c>
      <c r="AE2016" s="153">
        <v>1</v>
      </c>
      <c r="AF2016" s="153" t="str">
        <f ca="1" t="shared" si="332"/>
        <v>30160011|</v>
      </c>
      <c r="AJ2016" s="205" t="str">
        <f ca="1" t="shared" si="340"/>
        <v>400023|21300|;</v>
      </c>
      <c r="AK2016" s="205">
        <f ca="1">OFFSET([1]item_type!$A$1,MATCH(Q2016,[1]item_type!$G:$G,0)-1,0)</f>
        <v>303016</v>
      </c>
      <c r="AL2016" s="205"/>
      <c r="AM2016" s="205">
        <f ca="1">IF(B2016=B2017,OFFSET(卡牌辅助配置表!$AE$1,MATCH(AB2016,卡牌辅助配置表!AB:AB,0),0),0)</f>
        <v>21300</v>
      </c>
      <c r="AN2016" s="153">
        <f ca="1" t="shared" si="335"/>
        <v>3016021</v>
      </c>
      <c r="AP2016" s="153" t="str">
        <f ca="1">IF(AC2016=0,0,IF(AC2016=12,0,OFFSET(effect!$N$1,MATCH(K2016,effect!M:M,0)-1,0)))</f>
        <v>kpsx_huangse</v>
      </c>
    </row>
    <row r="2017" spans="1:42">
      <c r="A2017" s="153">
        <f ca="1" t="shared" si="336"/>
        <v>3016021</v>
      </c>
      <c r="B2017" s="91" t="s">
        <v>369</v>
      </c>
      <c r="C2017" s="186">
        <v>3</v>
      </c>
      <c r="D2017" s="186">
        <v>3</v>
      </c>
      <c r="E2017" s="165" t="s">
        <v>1069</v>
      </c>
      <c r="F2017" s="165" t="str">
        <f>"若自身处在冰冻中，伤害增加冰冻层数*"&amp;skill!$O$143/100&amp;"%"</f>
        <v>若自身处在冰冻中，伤害增加冰冻层数*35%</v>
      </c>
      <c r="G2017" s="186">
        <f ca="1">OFFSET(卡牌辅助配置表!$C$1,MATCH(AC2017,卡牌辅助配置表!A:A,0)-1,0)</f>
        <v>6</v>
      </c>
      <c r="H2017" s="186">
        <f ca="1">OFFSET(skill!$Q$1,MATCH(B2017,skill!B:B,0)-1,0)</f>
        <v>0.518518518518518</v>
      </c>
      <c r="I2017" s="186"/>
      <c r="J2017" s="186">
        <f ca="1">OFFSET(card_type!$F$1,MATCH(Q2017,card_type!A:A,0)-1,0)</f>
        <v>2</v>
      </c>
      <c r="K2017" s="243">
        <f ca="1">OFFSET(card_type!$G$1,MATCH(Q2017,card_type!A:A,0)-1,0)</f>
        <v>4</v>
      </c>
      <c r="L2017" s="157">
        <v>3</v>
      </c>
      <c r="M2017" s="157">
        <v>3</v>
      </c>
      <c r="N2017" s="153">
        <f t="shared" si="337"/>
        <v>21</v>
      </c>
      <c r="O2017" s="157"/>
      <c r="P2017" s="157"/>
      <c r="Q2017" s="153">
        <f ca="1">OFFSET(card_type!$A$1,MATCH(card!B2017,card_type!B:B,0)-1,0)</f>
        <v>3016</v>
      </c>
      <c r="R2017" s="153">
        <v>1</v>
      </c>
      <c r="S2017" s="157">
        <f ca="1">ROUND(IF(R2017=0,0,IF(R2017=1,X2017*$S$1,IF(R2017=2,X2017*$S$1*buff的资质计算!$E$2,IF(R2017=3,X2017*$S$1*buff的资质计算!$E$3,0)))),0)*0</f>
        <v>0</v>
      </c>
      <c r="T2017" s="153">
        <v>3</v>
      </c>
      <c r="U2017" s="153">
        <f ca="1" t="shared" si="338"/>
        <v>24</v>
      </c>
      <c r="V2017" s="153">
        <f ca="1">ROUND((OFFSET(卡牌辅助配置表!$O$1,MATCH(U2017,卡牌辅助配置表!M:M,0)-1,0)+(N2017-1)*OFFSET(卡牌辅助配置表!$P$1,MATCH(U2017,卡牌辅助配置表!M:M,0)-1,0))*M2017,2)</f>
        <v>176.4</v>
      </c>
      <c r="W2017" s="157">
        <f ca="1">ROUND(IF(R2017=0,0,IF(R2017=1,X2017*$W$1,IF(R2017=2,X2017*$W$1*buff的资质计算!$E$2,IF(R2017=3,X2017*$W$1*buff的资质计算!$E$3,0)))),2)</f>
        <v>24.6</v>
      </c>
      <c r="X2017" s="157">
        <f ca="1" t="shared" si="333"/>
        <v>82</v>
      </c>
      <c r="Y2017" s="157">
        <f ca="1" t="shared" si="341"/>
        <v>82.5185185185185</v>
      </c>
      <c r="Z2017" s="304">
        <f ca="1" t="shared" si="334"/>
        <v>27.5061728395062</v>
      </c>
      <c r="AA2017" s="304">
        <f ca="1">OFFSET(卡牌辅助配置表!$AD$1,MATCH(AB2017,卡牌辅助配置表!AB:AB,0)-1,0)</f>
        <v>9515</v>
      </c>
      <c r="AB2017" s="304">
        <f ca="1" t="shared" si="339"/>
        <v>2421</v>
      </c>
      <c r="AC2017" s="153">
        <v>7</v>
      </c>
      <c r="AD2017" s="153">
        <v>2</v>
      </c>
      <c r="AE2017" s="153">
        <v>1</v>
      </c>
      <c r="AF2017" s="153" t="str">
        <f ca="1" t="shared" si="332"/>
        <v>30160011|</v>
      </c>
      <c r="AJ2017" s="205" t="str">
        <f ca="1" t="shared" si="340"/>
        <v>400023|23700|;</v>
      </c>
      <c r="AK2017" s="205">
        <f ca="1">OFFSET([1]item_type!$A$1,MATCH(Q2017,[1]item_type!$G:$G,0)-1,0)</f>
        <v>303016</v>
      </c>
      <c r="AL2017" s="205"/>
      <c r="AM2017" s="205">
        <f ca="1">IF(B2017=B2018,OFFSET(卡牌辅助配置表!$AE$1,MATCH(AB2017,卡牌辅助配置表!AB:AB,0),0),0)</f>
        <v>23700</v>
      </c>
      <c r="AN2017" s="153">
        <f ca="1" t="shared" si="335"/>
        <v>3016022</v>
      </c>
      <c r="AP2017" s="153" t="str">
        <f ca="1">IF(AC2017=0,0,IF(AC2017=12,0,OFFSET(effect!$N$1,MATCH(K2017,effect!M:M,0)-1,0)))</f>
        <v>kpsx_huangse</v>
      </c>
    </row>
    <row r="2018" spans="1:42">
      <c r="A2018" s="153">
        <f ca="1" t="shared" si="336"/>
        <v>3016022</v>
      </c>
      <c r="B2018" s="91" t="s">
        <v>369</v>
      </c>
      <c r="C2018" s="186">
        <v>3</v>
      </c>
      <c r="D2018" s="186">
        <v>3</v>
      </c>
      <c r="E2018" s="165" t="s">
        <v>1069</v>
      </c>
      <c r="F2018" s="165" t="str">
        <f>"若自身处在冰冻中，伤害增加冰冻层数*"&amp;skill!$O$143/100&amp;"%"</f>
        <v>若自身处在冰冻中，伤害增加冰冻层数*35%</v>
      </c>
      <c r="G2018" s="186">
        <f ca="1">OFFSET(卡牌辅助配置表!$C$1,MATCH(AC2018,卡牌辅助配置表!A:A,0)-1,0)</f>
        <v>6</v>
      </c>
      <c r="H2018" s="186">
        <f ca="1">OFFSET(skill!$Q$1,MATCH(B2018,skill!B:B,0)-1,0)</f>
        <v>0.518518518518518</v>
      </c>
      <c r="I2018" s="186"/>
      <c r="J2018" s="186">
        <f ca="1">OFFSET(card_type!$F$1,MATCH(Q2018,card_type!A:A,0)-1,0)</f>
        <v>2</v>
      </c>
      <c r="K2018" s="243">
        <f ca="1">OFFSET(card_type!$G$1,MATCH(Q2018,card_type!A:A,0)-1,0)</f>
        <v>4</v>
      </c>
      <c r="L2018" s="157">
        <v>3</v>
      </c>
      <c r="M2018" s="157">
        <v>3</v>
      </c>
      <c r="N2018" s="153">
        <f t="shared" si="337"/>
        <v>22</v>
      </c>
      <c r="O2018" s="157"/>
      <c r="P2018" s="157"/>
      <c r="Q2018" s="153">
        <f ca="1">OFFSET(card_type!$A$1,MATCH(card!B2018,card_type!B:B,0)-1,0)</f>
        <v>3016</v>
      </c>
      <c r="R2018" s="153">
        <v>1</v>
      </c>
      <c r="S2018" s="157">
        <f ca="1">ROUND(IF(R2018=0,0,IF(R2018=1,X2018*$S$1,IF(R2018=2,X2018*$S$1*buff的资质计算!$E$2,IF(R2018=3,X2018*$S$1*buff的资质计算!$E$3,0)))),0)*0</f>
        <v>0</v>
      </c>
      <c r="T2018" s="153">
        <v>3</v>
      </c>
      <c r="U2018" s="153">
        <f ca="1" t="shared" si="338"/>
        <v>24</v>
      </c>
      <c r="V2018" s="153">
        <f ca="1">ROUND((OFFSET(卡牌辅助配置表!$O$1,MATCH(U2018,卡牌辅助配置表!M:M,0)-1,0)+(N2018-1)*OFFSET(卡牌辅助配置表!$P$1,MATCH(U2018,卡牌辅助配置表!M:M,0)-1,0))*M2018,2)</f>
        <v>181.44</v>
      </c>
      <c r="W2018" s="157">
        <f ca="1">ROUND(IF(R2018=0,0,IF(R2018=1,X2018*$W$1,IF(R2018=2,X2018*$W$1*buff的资质计算!$E$2,IF(R2018=3,X2018*$W$1*buff的资质计算!$E$3,0)))),2)</f>
        <v>24.75</v>
      </c>
      <c r="X2018" s="157">
        <f ca="1" t="shared" si="333"/>
        <v>82.5</v>
      </c>
      <c r="Y2018" s="157">
        <f ca="1" t="shared" si="341"/>
        <v>83.0185185185185</v>
      </c>
      <c r="Z2018" s="304">
        <f ca="1" t="shared" si="334"/>
        <v>27.6728395061728</v>
      </c>
      <c r="AA2018" s="304">
        <f ca="1">OFFSET(卡牌辅助配置表!$AD$1,MATCH(AB2018,卡牌辅助配置表!AB:AB,0)-1,0)</f>
        <v>10220</v>
      </c>
      <c r="AB2018" s="304">
        <f ca="1" t="shared" si="339"/>
        <v>2422</v>
      </c>
      <c r="AC2018" s="153">
        <v>7</v>
      </c>
      <c r="AD2018" s="153">
        <v>2</v>
      </c>
      <c r="AE2018" s="153">
        <v>1</v>
      </c>
      <c r="AF2018" s="153" t="str">
        <f ca="1" t="shared" si="332"/>
        <v>30160011|</v>
      </c>
      <c r="AJ2018" s="205" t="str">
        <f ca="1" t="shared" si="340"/>
        <v>400023|26100|;</v>
      </c>
      <c r="AK2018" s="205">
        <f ca="1">OFFSET([1]item_type!$A$1,MATCH(Q2018,[1]item_type!$G:$G,0)-1,0)</f>
        <v>303016</v>
      </c>
      <c r="AL2018" s="205"/>
      <c r="AM2018" s="205">
        <f ca="1">IF(B2018=B2019,OFFSET(卡牌辅助配置表!$AE$1,MATCH(AB2018,卡牌辅助配置表!AB:AB,0),0),0)</f>
        <v>26100</v>
      </c>
      <c r="AN2018" s="153">
        <f ca="1" t="shared" si="335"/>
        <v>3016023</v>
      </c>
      <c r="AP2018" s="153" t="str">
        <f ca="1">IF(AC2018=0,0,IF(AC2018=12,0,OFFSET(effect!$N$1,MATCH(K2018,effect!M:M,0)-1,0)))</f>
        <v>kpsx_huangse</v>
      </c>
    </row>
    <row r="2019" spans="1:42">
      <c r="A2019" s="153">
        <f ca="1" t="shared" si="336"/>
        <v>3016023</v>
      </c>
      <c r="B2019" s="91" t="s">
        <v>369</v>
      </c>
      <c r="C2019" s="186">
        <v>3</v>
      </c>
      <c r="D2019" s="186">
        <v>3</v>
      </c>
      <c r="E2019" s="165" t="s">
        <v>1069</v>
      </c>
      <c r="F2019" s="165" t="str">
        <f>"若自身处在冰冻中，伤害增加冰冻层数*"&amp;skill!$O$143/100&amp;"%"</f>
        <v>若自身处在冰冻中，伤害增加冰冻层数*35%</v>
      </c>
      <c r="G2019" s="186">
        <f ca="1">OFFSET(卡牌辅助配置表!$C$1,MATCH(AC2019,卡牌辅助配置表!A:A,0)-1,0)</f>
        <v>6</v>
      </c>
      <c r="H2019" s="186">
        <f ca="1">OFFSET(skill!$Q$1,MATCH(B2019,skill!B:B,0)-1,0)</f>
        <v>0.518518518518518</v>
      </c>
      <c r="I2019" s="186"/>
      <c r="J2019" s="186">
        <f ca="1">OFFSET(card_type!$F$1,MATCH(Q2019,card_type!A:A,0)-1,0)</f>
        <v>2</v>
      </c>
      <c r="K2019" s="243">
        <f ca="1">OFFSET(card_type!$G$1,MATCH(Q2019,card_type!A:A,0)-1,0)</f>
        <v>4</v>
      </c>
      <c r="L2019" s="157">
        <v>3</v>
      </c>
      <c r="M2019" s="157">
        <v>3</v>
      </c>
      <c r="N2019" s="153">
        <f t="shared" si="337"/>
        <v>23</v>
      </c>
      <c r="O2019" s="157"/>
      <c r="P2019" s="157"/>
      <c r="Q2019" s="153">
        <f ca="1">OFFSET(card_type!$A$1,MATCH(card!B2019,card_type!B:B,0)-1,0)</f>
        <v>3016</v>
      </c>
      <c r="R2019" s="153">
        <v>1</v>
      </c>
      <c r="S2019" s="157">
        <f ca="1">ROUND(IF(R2019=0,0,IF(R2019=1,X2019*$S$1,IF(R2019=2,X2019*$S$1*buff的资质计算!$E$2,IF(R2019=3,X2019*$S$1*buff的资质计算!$E$3,0)))),0)*0</f>
        <v>0</v>
      </c>
      <c r="T2019" s="153">
        <v>3</v>
      </c>
      <c r="U2019" s="153">
        <f ca="1" t="shared" si="338"/>
        <v>24</v>
      </c>
      <c r="V2019" s="153">
        <f ca="1">ROUND((OFFSET(卡牌辅助配置表!$O$1,MATCH(U2019,卡牌辅助配置表!M:M,0)-1,0)+(N2019-1)*OFFSET(卡牌辅助配置表!$P$1,MATCH(U2019,卡牌辅助配置表!M:M,0)-1,0))*M2019,2)</f>
        <v>186.48</v>
      </c>
      <c r="W2019" s="157">
        <f ca="1">ROUND(IF(R2019=0,0,IF(R2019=1,X2019*$W$1,IF(R2019=2,X2019*$W$1*buff的资质计算!$E$2,IF(R2019=3,X2019*$W$1*buff的资质计算!$E$3,0)))),2)</f>
        <v>24.9</v>
      </c>
      <c r="X2019" s="157">
        <f ca="1" t="shared" si="333"/>
        <v>83</v>
      </c>
      <c r="Y2019" s="157">
        <f ca="1" t="shared" si="341"/>
        <v>83.5185185185185</v>
      </c>
      <c r="Z2019" s="304">
        <f ca="1" t="shared" si="334"/>
        <v>27.8395061728395</v>
      </c>
      <c r="AA2019" s="304">
        <f ca="1">OFFSET(卡牌辅助配置表!$AD$1,MATCH(AB2019,卡牌辅助配置表!AB:AB,0)-1,0)</f>
        <v>10925</v>
      </c>
      <c r="AB2019" s="304">
        <f ca="1" t="shared" si="339"/>
        <v>2423</v>
      </c>
      <c r="AC2019" s="153">
        <v>7</v>
      </c>
      <c r="AD2019" s="153">
        <v>2</v>
      </c>
      <c r="AE2019" s="153">
        <v>1</v>
      </c>
      <c r="AF2019" s="153" t="str">
        <f ca="1" t="shared" si="332"/>
        <v>30160011|</v>
      </c>
      <c r="AJ2019" s="205" t="str">
        <f ca="1" t="shared" si="340"/>
        <v>400023|28500|;</v>
      </c>
      <c r="AK2019" s="205">
        <f ca="1">OFFSET([1]item_type!$A$1,MATCH(Q2019,[1]item_type!$G:$G,0)-1,0)</f>
        <v>303016</v>
      </c>
      <c r="AL2019" s="205"/>
      <c r="AM2019" s="205">
        <f ca="1">IF(B2019=B2020,OFFSET(卡牌辅助配置表!$AE$1,MATCH(AB2019,卡牌辅助配置表!AB:AB,0),0),0)</f>
        <v>28500</v>
      </c>
      <c r="AN2019" s="153">
        <f ca="1" t="shared" si="335"/>
        <v>3016024</v>
      </c>
      <c r="AP2019" s="153" t="str">
        <f ca="1">IF(AC2019=0,0,IF(AC2019=12,0,OFFSET(effect!$N$1,MATCH(K2019,effect!M:M,0)-1,0)))</f>
        <v>kpsx_huangse</v>
      </c>
    </row>
    <row r="2020" spans="1:42">
      <c r="A2020" s="153">
        <f ca="1" t="shared" si="336"/>
        <v>3016024</v>
      </c>
      <c r="B2020" s="91" t="s">
        <v>369</v>
      </c>
      <c r="C2020" s="186">
        <v>3</v>
      </c>
      <c r="D2020" s="186">
        <v>3</v>
      </c>
      <c r="E2020" s="165" t="s">
        <v>1069</v>
      </c>
      <c r="F2020" s="165" t="str">
        <f>"若自身处在冰冻中，伤害增加冰冻层数*"&amp;skill!$O$143/100&amp;"%"</f>
        <v>若自身处在冰冻中，伤害增加冰冻层数*35%</v>
      </c>
      <c r="G2020" s="186">
        <f ca="1">OFFSET(卡牌辅助配置表!$C$1,MATCH(AC2020,卡牌辅助配置表!A:A,0)-1,0)</f>
        <v>6</v>
      </c>
      <c r="H2020" s="186">
        <f ca="1">OFFSET(skill!$Q$1,MATCH(B2020,skill!B:B,0)-1,0)</f>
        <v>0.518518518518518</v>
      </c>
      <c r="I2020" s="186"/>
      <c r="J2020" s="186">
        <f ca="1">OFFSET(card_type!$F$1,MATCH(Q2020,card_type!A:A,0)-1,0)</f>
        <v>2</v>
      </c>
      <c r="K2020" s="243">
        <f ca="1">OFFSET(card_type!$G$1,MATCH(Q2020,card_type!A:A,0)-1,0)</f>
        <v>4</v>
      </c>
      <c r="L2020" s="157">
        <v>3</v>
      </c>
      <c r="M2020" s="157">
        <v>3</v>
      </c>
      <c r="N2020" s="153">
        <f t="shared" si="337"/>
        <v>24</v>
      </c>
      <c r="O2020" s="157"/>
      <c r="P2020" s="157"/>
      <c r="Q2020" s="153">
        <f ca="1">OFFSET(card_type!$A$1,MATCH(card!B2020,card_type!B:B,0)-1,0)</f>
        <v>3016</v>
      </c>
      <c r="R2020" s="153">
        <v>1</v>
      </c>
      <c r="S2020" s="157">
        <f ca="1">ROUND(IF(R2020=0,0,IF(R2020=1,X2020*$S$1,IF(R2020=2,X2020*$S$1*buff的资质计算!$E$2,IF(R2020=3,X2020*$S$1*buff的资质计算!$E$3,0)))),0)*0</f>
        <v>0</v>
      </c>
      <c r="T2020" s="153">
        <v>3</v>
      </c>
      <c r="U2020" s="153">
        <f ca="1" t="shared" si="338"/>
        <v>24</v>
      </c>
      <c r="V2020" s="153">
        <f ca="1">ROUND((OFFSET(卡牌辅助配置表!$O$1,MATCH(U2020,卡牌辅助配置表!M:M,0)-1,0)+(N2020-1)*OFFSET(卡牌辅助配置表!$P$1,MATCH(U2020,卡牌辅助配置表!M:M,0)-1,0))*M2020,2)</f>
        <v>191.52</v>
      </c>
      <c r="W2020" s="157">
        <f ca="1">ROUND(IF(R2020=0,0,IF(R2020=1,X2020*$W$1,IF(R2020=2,X2020*$W$1*buff的资质计算!$E$2,IF(R2020=3,X2020*$W$1*buff的资质计算!$E$3,0)))),2)</f>
        <v>25.05</v>
      </c>
      <c r="X2020" s="157">
        <f ca="1" t="shared" si="333"/>
        <v>83.5</v>
      </c>
      <c r="Y2020" s="157">
        <f ca="1" t="shared" si="341"/>
        <v>84.0185185185185</v>
      </c>
      <c r="Z2020" s="304">
        <f ca="1" t="shared" si="334"/>
        <v>28.0061728395062</v>
      </c>
      <c r="AA2020" s="304">
        <f ca="1">OFFSET(卡牌辅助配置表!$AD$1,MATCH(AB2020,卡牌辅助配置表!AB:AB,0)-1,0)</f>
        <v>11630</v>
      </c>
      <c r="AB2020" s="304">
        <f ca="1" t="shared" si="339"/>
        <v>2424</v>
      </c>
      <c r="AC2020" s="153">
        <v>7</v>
      </c>
      <c r="AD2020" s="153">
        <v>2</v>
      </c>
      <c r="AE2020" s="153">
        <v>1</v>
      </c>
      <c r="AF2020" s="153" t="str">
        <f ca="1" t="shared" si="332"/>
        <v>30160011|</v>
      </c>
      <c r="AJ2020" s="205" t="str">
        <f ca="1" t="shared" si="340"/>
        <v>400023|30900|;</v>
      </c>
      <c r="AK2020" s="205">
        <f ca="1">OFFSET([1]item_type!$A$1,MATCH(Q2020,[1]item_type!$G:$G,0)-1,0)</f>
        <v>303016</v>
      </c>
      <c r="AL2020" s="205"/>
      <c r="AM2020" s="205">
        <f ca="1">IF(B2020=B2021,OFFSET(卡牌辅助配置表!$AE$1,MATCH(AB2020,卡牌辅助配置表!AB:AB,0),0),0)</f>
        <v>30900</v>
      </c>
      <c r="AN2020" s="153">
        <f ca="1" t="shared" si="335"/>
        <v>3016025</v>
      </c>
      <c r="AP2020" s="153" t="str">
        <f ca="1">IF(AC2020=0,0,IF(AC2020=12,0,OFFSET(effect!$N$1,MATCH(K2020,effect!M:M,0)-1,0)))</f>
        <v>kpsx_huangse</v>
      </c>
    </row>
    <row r="2021" spans="1:42">
      <c r="A2021" s="153">
        <f ca="1" t="shared" si="336"/>
        <v>3016025</v>
      </c>
      <c r="B2021" s="91" t="s">
        <v>369</v>
      </c>
      <c r="C2021" s="186">
        <v>3</v>
      </c>
      <c r="D2021" s="186">
        <v>3</v>
      </c>
      <c r="E2021" s="165" t="s">
        <v>1069</v>
      </c>
      <c r="F2021" s="165" t="str">
        <f>"若自身处在冰冻中，伤害增加冰冻层数*"&amp;skill!$O$143/100&amp;"%"</f>
        <v>若自身处在冰冻中，伤害增加冰冻层数*35%</v>
      </c>
      <c r="G2021" s="186">
        <f ca="1">OFFSET(卡牌辅助配置表!$C$1,MATCH(AC2021,卡牌辅助配置表!A:A,0)-1,0)</f>
        <v>6</v>
      </c>
      <c r="H2021" s="186">
        <f ca="1">OFFSET(skill!$Q$1,MATCH(B2021,skill!B:B,0)-1,0)</f>
        <v>0.518518518518518</v>
      </c>
      <c r="I2021" s="186"/>
      <c r="J2021" s="186">
        <f ca="1">OFFSET(card_type!$F$1,MATCH(Q2021,card_type!A:A,0)-1,0)</f>
        <v>2</v>
      </c>
      <c r="K2021" s="243">
        <f ca="1">OFFSET(card_type!$G$1,MATCH(Q2021,card_type!A:A,0)-1,0)</f>
        <v>4</v>
      </c>
      <c r="L2021" s="157">
        <v>3</v>
      </c>
      <c r="M2021" s="157">
        <v>3</v>
      </c>
      <c r="N2021" s="153">
        <f t="shared" si="337"/>
        <v>25</v>
      </c>
      <c r="O2021" s="157"/>
      <c r="P2021" s="157"/>
      <c r="Q2021" s="153">
        <f ca="1">OFFSET(card_type!$A$1,MATCH(card!B2021,card_type!B:B,0)-1,0)</f>
        <v>3016</v>
      </c>
      <c r="R2021" s="153">
        <v>1</v>
      </c>
      <c r="S2021" s="157">
        <f ca="1">ROUND(IF(R2021=0,0,IF(R2021=1,X2021*$S$1,IF(R2021=2,X2021*$S$1*buff的资质计算!$E$2,IF(R2021=3,X2021*$S$1*buff的资质计算!$E$3,0)))),0)*0</f>
        <v>0</v>
      </c>
      <c r="T2021" s="153">
        <v>3</v>
      </c>
      <c r="U2021" s="153">
        <f ca="1" t="shared" si="338"/>
        <v>24</v>
      </c>
      <c r="V2021" s="153">
        <f ca="1">ROUND((OFFSET(卡牌辅助配置表!$O$1,MATCH(U2021,卡牌辅助配置表!M:M,0)-1,0)+(N2021-1)*OFFSET(卡牌辅助配置表!$P$1,MATCH(U2021,卡牌辅助配置表!M:M,0)-1,0))*M2021,2)</f>
        <v>196.56</v>
      </c>
      <c r="W2021" s="157">
        <f ca="1">ROUND(IF(R2021=0,0,IF(R2021=1,X2021*$W$1,IF(R2021=2,X2021*$W$1*buff的资质计算!$E$2,IF(R2021=3,X2021*$W$1*buff的资质计算!$E$3,0)))),2)</f>
        <v>25.2</v>
      </c>
      <c r="X2021" s="157">
        <f ca="1" t="shared" si="333"/>
        <v>84</v>
      </c>
      <c r="Y2021" s="157">
        <f ca="1" t="shared" si="341"/>
        <v>84.5185185185185</v>
      </c>
      <c r="Z2021" s="304">
        <f ca="1" t="shared" si="334"/>
        <v>28.1728395061728</v>
      </c>
      <c r="AA2021" s="304">
        <f ca="1">OFFSET(卡牌辅助配置表!$AD$1,MATCH(AB2021,卡牌辅助配置表!AB:AB,0)-1,0)</f>
        <v>12335</v>
      </c>
      <c r="AB2021" s="304">
        <f ca="1" t="shared" si="339"/>
        <v>2425</v>
      </c>
      <c r="AC2021" s="153">
        <v>7</v>
      </c>
      <c r="AD2021" s="153">
        <v>2</v>
      </c>
      <c r="AE2021" s="153">
        <v>1</v>
      </c>
      <c r="AF2021" s="153" t="str">
        <f ca="1" t="shared" si="332"/>
        <v>30160011|</v>
      </c>
      <c r="AJ2021" s="205" t="str">
        <f ca="1" t="shared" si="340"/>
        <v>400023|33300|;</v>
      </c>
      <c r="AK2021" s="205">
        <f ca="1">OFFSET([1]item_type!$A$1,MATCH(Q2021,[1]item_type!$G:$G,0)-1,0)</f>
        <v>303016</v>
      </c>
      <c r="AL2021" s="205"/>
      <c r="AM2021" s="205">
        <f ca="1">IF(B2021=B2022,OFFSET(卡牌辅助配置表!$AE$1,MATCH(AB2021,卡牌辅助配置表!AB:AB,0),0),0)</f>
        <v>33300</v>
      </c>
      <c r="AN2021" s="153">
        <f ca="1" t="shared" si="335"/>
        <v>3016026</v>
      </c>
      <c r="AP2021" s="153" t="str">
        <f ca="1">IF(AC2021=0,0,IF(AC2021=12,0,OFFSET(effect!$N$1,MATCH(K2021,effect!M:M,0)-1,0)))</f>
        <v>kpsx_huangse</v>
      </c>
    </row>
    <row r="2022" spans="1:42">
      <c r="A2022" s="153">
        <f ca="1" t="shared" si="336"/>
        <v>3016026</v>
      </c>
      <c r="B2022" s="91" t="s">
        <v>369</v>
      </c>
      <c r="C2022" s="186">
        <v>3</v>
      </c>
      <c r="D2022" s="186">
        <v>3</v>
      </c>
      <c r="E2022" s="165" t="s">
        <v>1069</v>
      </c>
      <c r="F2022" s="165" t="str">
        <f>"若自身处在冰冻中，伤害增加冰冻层数*"&amp;skill!$O$143/100&amp;"%"</f>
        <v>若自身处在冰冻中，伤害增加冰冻层数*35%</v>
      </c>
      <c r="G2022" s="186">
        <f ca="1">OFFSET(卡牌辅助配置表!$C$1,MATCH(AC2022,卡牌辅助配置表!A:A,0)-1,0)</f>
        <v>6</v>
      </c>
      <c r="H2022" s="186">
        <f ca="1">OFFSET(skill!$Q$1,MATCH(B2022,skill!B:B,0)-1,0)</f>
        <v>0.518518518518518</v>
      </c>
      <c r="I2022" s="186"/>
      <c r="J2022" s="186">
        <f ca="1">OFFSET(card_type!$F$1,MATCH(Q2022,card_type!A:A,0)-1,0)</f>
        <v>2</v>
      </c>
      <c r="K2022" s="243">
        <f ca="1">OFFSET(card_type!$G$1,MATCH(Q2022,card_type!A:A,0)-1,0)</f>
        <v>4</v>
      </c>
      <c r="L2022" s="157">
        <v>3</v>
      </c>
      <c r="M2022" s="157">
        <v>3</v>
      </c>
      <c r="N2022" s="153">
        <f t="shared" si="337"/>
        <v>26</v>
      </c>
      <c r="O2022" s="157"/>
      <c r="P2022" s="157"/>
      <c r="Q2022" s="153">
        <f ca="1">OFFSET(card_type!$A$1,MATCH(card!B2022,card_type!B:B,0)-1,0)</f>
        <v>3016</v>
      </c>
      <c r="R2022" s="153">
        <v>1</v>
      </c>
      <c r="S2022" s="157">
        <f ca="1">ROUND(IF(R2022=0,0,IF(R2022=1,X2022*$S$1,IF(R2022=2,X2022*$S$1*buff的资质计算!$E$2,IF(R2022=3,X2022*$S$1*buff的资质计算!$E$3,0)))),0)*0</f>
        <v>0</v>
      </c>
      <c r="T2022" s="153">
        <v>3</v>
      </c>
      <c r="U2022" s="153">
        <f ca="1" t="shared" si="338"/>
        <v>24</v>
      </c>
      <c r="V2022" s="153">
        <f ca="1">ROUND((OFFSET(卡牌辅助配置表!$O$1,MATCH(U2022,卡牌辅助配置表!M:M,0)-1,0)+(N2022-1)*OFFSET(卡牌辅助配置表!$P$1,MATCH(U2022,卡牌辅助配置表!M:M,0)-1,0))*M2022,2)</f>
        <v>201.6</v>
      </c>
      <c r="W2022" s="157">
        <f ca="1">ROUND(IF(R2022=0,0,IF(R2022=1,X2022*$W$1,IF(R2022=2,X2022*$W$1*buff的资质计算!$E$2,IF(R2022=3,X2022*$W$1*buff的资质计算!$E$3,0)))),2)</f>
        <v>25.35</v>
      </c>
      <c r="X2022" s="157">
        <f ca="1" t="shared" si="333"/>
        <v>84.5</v>
      </c>
      <c r="Y2022" s="157">
        <f ca="1" t="shared" si="341"/>
        <v>85.0185185185185</v>
      </c>
      <c r="Z2022" s="304">
        <f ca="1" t="shared" si="334"/>
        <v>28.3395061728395</v>
      </c>
      <c r="AA2022" s="304">
        <f ca="1">OFFSET(卡牌辅助配置表!$AD$1,MATCH(AB2022,卡牌辅助配置表!AB:AB,0)-1,0)</f>
        <v>13040</v>
      </c>
      <c r="AB2022" s="304">
        <f ca="1" t="shared" si="339"/>
        <v>2426</v>
      </c>
      <c r="AC2022" s="153">
        <v>7</v>
      </c>
      <c r="AD2022" s="153">
        <v>2</v>
      </c>
      <c r="AE2022" s="153">
        <v>1</v>
      </c>
      <c r="AF2022" s="153" t="str">
        <f ca="1" t="shared" si="332"/>
        <v>30160011|</v>
      </c>
      <c r="AJ2022" s="205" t="str">
        <f ca="1" t="shared" si="340"/>
        <v>400023|35700|;</v>
      </c>
      <c r="AK2022" s="205">
        <f ca="1">OFFSET([1]item_type!$A$1,MATCH(Q2022,[1]item_type!$G:$G,0)-1,0)</f>
        <v>303016</v>
      </c>
      <c r="AL2022" s="205"/>
      <c r="AM2022" s="205">
        <f ca="1">IF(B2022=B2023,OFFSET(卡牌辅助配置表!$AE$1,MATCH(AB2022,卡牌辅助配置表!AB:AB,0),0),0)</f>
        <v>35700</v>
      </c>
      <c r="AN2022" s="153">
        <f ca="1" t="shared" si="335"/>
        <v>3016027</v>
      </c>
      <c r="AP2022" s="153" t="str">
        <f ca="1">IF(AC2022=0,0,IF(AC2022=12,0,OFFSET(effect!$N$1,MATCH(K2022,effect!M:M,0)-1,0)))</f>
        <v>kpsx_huangse</v>
      </c>
    </row>
    <row r="2023" spans="1:42">
      <c r="A2023" s="153">
        <f ca="1" t="shared" si="336"/>
        <v>3016027</v>
      </c>
      <c r="B2023" s="91" t="s">
        <v>369</v>
      </c>
      <c r="C2023" s="186">
        <v>3</v>
      </c>
      <c r="D2023" s="186">
        <v>3</v>
      </c>
      <c r="E2023" s="165" t="s">
        <v>1069</v>
      </c>
      <c r="F2023" s="165" t="str">
        <f>"若自身处在冰冻中，伤害增加冰冻层数*"&amp;skill!$O$143/100&amp;"%"</f>
        <v>若自身处在冰冻中，伤害增加冰冻层数*35%</v>
      </c>
      <c r="G2023" s="186">
        <f ca="1">OFFSET(卡牌辅助配置表!$C$1,MATCH(AC2023,卡牌辅助配置表!A:A,0)-1,0)</f>
        <v>6</v>
      </c>
      <c r="H2023" s="186">
        <f ca="1">OFFSET(skill!$Q$1,MATCH(B2023,skill!B:B,0)-1,0)</f>
        <v>0.518518518518518</v>
      </c>
      <c r="I2023" s="186"/>
      <c r="J2023" s="186">
        <f ca="1">OFFSET(card_type!$F$1,MATCH(Q2023,card_type!A:A,0)-1,0)</f>
        <v>2</v>
      </c>
      <c r="K2023" s="243">
        <f ca="1">OFFSET(card_type!$G$1,MATCH(Q2023,card_type!A:A,0)-1,0)</f>
        <v>4</v>
      </c>
      <c r="L2023" s="157">
        <v>3</v>
      </c>
      <c r="M2023" s="157">
        <v>3</v>
      </c>
      <c r="N2023" s="153">
        <f t="shared" si="337"/>
        <v>27</v>
      </c>
      <c r="O2023" s="157"/>
      <c r="P2023" s="157"/>
      <c r="Q2023" s="153">
        <f ca="1">OFFSET(card_type!$A$1,MATCH(card!B2023,card_type!B:B,0)-1,0)</f>
        <v>3016</v>
      </c>
      <c r="R2023" s="153">
        <v>1</v>
      </c>
      <c r="S2023" s="157">
        <f ca="1">ROUND(IF(R2023=0,0,IF(R2023=1,X2023*$S$1,IF(R2023=2,X2023*$S$1*buff的资质计算!$E$2,IF(R2023=3,X2023*$S$1*buff的资质计算!$E$3,0)))),0)*0</f>
        <v>0</v>
      </c>
      <c r="T2023" s="153">
        <v>3</v>
      </c>
      <c r="U2023" s="153">
        <f ca="1" t="shared" si="338"/>
        <v>24</v>
      </c>
      <c r="V2023" s="153">
        <f ca="1">ROUND((OFFSET(卡牌辅助配置表!$O$1,MATCH(U2023,卡牌辅助配置表!M:M,0)-1,0)+(N2023-1)*OFFSET(卡牌辅助配置表!$P$1,MATCH(U2023,卡牌辅助配置表!M:M,0)-1,0))*M2023,2)</f>
        <v>206.64</v>
      </c>
      <c r="W2023" s="157">
        <f ca="1">ROUND(IF(R2023=0,0,IF(R2023=1,X2023*$W$1,IF(R2023=2,X2023*$W$1*buff的资质计算!$E$2,IF(R2023=3,X2023*$W$1*buff的资质计算!$E$3,0)))),2)</f>
        <v>25.5</v>
      </c>
      <c r="X2023" s="157">
        <f ca="1" t="shared" si="333"/>
        <v>85</v>
      </c>
      <c r="Y2023" s="157">
        <f ca="1" t="shared" si="341"/>
        <v>85.5185185185185</v>
      </c>
      <c r="Z2023" s="304">
        <f ca="1" t="shared" si="334"/>
        <v>28.5061728395062</v>
      </c>
      <c r="AA2023" s="304">
        <f ca="1">OFFSET(卡牌辅助配置表!$AD$1,MATCH(AB2023,卡牌辅助配置表!AB:AB,0)-1,0)</f>
        <v>13745</v>
      </c>
      <c r="AB2023" s="304">
        <f ca="1" t="shared" si="339"/>
        <v>2427</v>
      </c>
      <c r="AC2023" s="153">
        <v>7</v>
      </c>
      <c r="AD2023" s="153">
        <v>2</v>
      </c>
      <c r="AE2023" s="153">
        <v>1</v>
      </c>
      <c r="AF2023" s="153" t="str">
        <f ca="1" t="shared" si="332"/>
        <v>30160011|</v>
      </c>
      <c r="AJ2023" s="205" t="str">
        <f ca="1" t="shared" si="340"/>
        <v>400023|38100|;</v>
      </c>
      <c r="AK2023" s="205">
        <f ca="1">OFFSET([1]item_type!$A$1,MATCH(Q2023,[1]item_type!$G:$G,0)-1,0)</f>
        <v>303016</v>
      </c>
      <c r="AL2023" s="205"/>
      <c r="AM2023" s="205">
        <f ca="1">IF(B2023=B2024,OFFSET(卡牌辅助配置表!$AE$1,MATCH(AB2023,卡牌辅助配置表!AB:AB,0),0),0)</f>
        <v>38100</v>
      </c>
      <c r="AN2023" s="153">
        <f ca="1" t="shared" si="335"/>
        <v>3016028</v>
      </c>
      <c r="AP2023" s="153" t="str">
        <f ca="1">IF(AC2023=0,0,IF(AC2023=12,0,OFFSET(effect!$N$1,MATCH(K2023,effect!M:M,0)-1,0)))</f>
        <v>kpsx_huangse</v>
      </c>
    </row>
    <row r="2024" spans="1:42">
      <c r="A2024" s="153">
        <f ca="1" t="shared" si="336"/>
        <v>3016028</v>
      </c>
      <c r="B2024" s="91" t="s">
        <v>369</v>
      </c>
      <c r="C2024" s="186">
        <v>3</v>
      </c>
      <c r="D2024" s="186">
        <v>3</v>
      </c>
      <c r="E2024" s="165" t="s">
        <v>1069</v>
      </c>
      <c r="F2024" s="165" t="str">
        <f>"若自身处在冰冻中，伤害增加冰冻层数*"&amp;skill!$O$143/100&amp;"%"</f>
        <v>若自身处在冰冻中，伤害增加冰冻层数*35%</v>
      </c>
      <c r="G2024" s="186">
        <f ca="1">OFFSET(卡牌辅助配置表!$C$1,MATCH(AC2024,卡牌辅助配置表!A:A,0)-1,0)</f>
        <v>6</v>
      </c>
      <c r="H2024" s="186">
        <f ca="1">OFFSET(skill!$Q$1,MATCH(B2024,skill!B:B,0)-1,0)</f>
        <v>0.518518518518518</v>
      </c>
      <c r="I2024" s="186"/>
      <c r="J2024" s="186">
        <f ca="1">OFFSET(card_type!$F$1,MATCH(Q2024,card_type!A:A,0)-1,0)</f>
        <v>2</v>
      </c>
      <c r="K2024" s="243">
        <f ca="1">OFFSET(card_type!$G$1,MATCH(Q2024,card_type!A:A,0)-1,0)</f>
        <v>4</v>
      </c>
      <c r="L2024" s="157">
        <v>3</v>
      </c>
      <c r="M2024" s="157">
        <v>3</v>
      </c>
      <c r="N2024" s="153">
        <f t="shared" si="337"/>
        <v>28</v>
      </c>
      <c r="O2024" s="157"/>
      <c r="P2024" s="157"/>
      <c r="Q2024" s="153">
        <f ca="1">OFFSET(card_type!$A$1,MATCH(card!B2024,card_type!B:B,0)-1,0)</f>
        <v>3016</v>
      </c>
      <c r="R2024" s="153">
        <v>1</v>
      </c>
      <c r="S2024" s="157">
        <f ca="1">ROUND(IF(R2024=0,0,IF(R2024=1,X2024*$S$1,IF(R2024=2,X2024*$S$1*buff的资质计算!$E$2,IF(R2024=3,X2024*$S$1*buff的资质计算!$E$3,0)))),0)*0</f>
        <v>0</v>
      </c>
      <c r="T2024" s="153">
        <v>3</v>
      </c>
      <c r="U2024" s="153">
        <f ca="1" t="shared" si="338"/>
        <v>24</v>
      </c>
      <c r="V2024" s="153">
        <f ca="1">ROUND((OFFSET(卡牌辅助配置表!$O$1,MATCH(U2024,卡牌辅助配置表!M:M,0)-1,0)+(N2024-1)*OFFSET(卡牌辅助配置表!$P$1,MATCH(U2024,卡牌辅助配置表!M:M,0)-1,0))*M2024,2)</f>
        <v>211.68</v>
      </c>
      <c r="W2024" s="157">
        <f ca="1">ROUND(IF(R2024=0,0,IF(R2024=1,X2024*$W$1,IF(R2024=2,X2024*$W$1*buff的资质计算!$E$2,IF(R2024=3,X2024*$W$1*buff的资质计算!$E$3,0)))),2)</f>
        <v>25.65</v>
      </c>
      <c r="X2024" s="157">
        <f ca="1" t="shared" si="333"/>
        <v>85.5</v>
      </c>
      <c r="Y2024" s="157">
        <f ca="1" t="shared" si="341"/>
        <v>86.0185185185185</v>
      </c>
      <c r="Z2024" s="304">
        <f ca="1" t="shared" si="334"/>
        <v>28.6728395061728</v>
      </c>
      <c r="AA2024" s="304">
        <f ca="1">OFFSET(卡牌辅助配置表!$AD$1,MATCH(AB2024,卡牌辅助配置表!AB:AB,0)-1,0)</f>
        <v>14450</v>
      </c>
      <c r="AB2024" s="304">
        <f ca="1" t="shared" si="339"/>
        <v>2428</v>
      </c>
      <c r="AC2024" s="153">
        <v>7</v>
      </c>
      <c r="AD2024" s="153">
        <v>2</v>
      </c>
      <c r="AE2024" s="153">
        <v>1</v>
      </c>
      <c r="AF2024" s="153" t="str">
        <f ca="1" t="shared" si="332"/>
        <v>30160011|</v>
      </c>
      <c r="AJ2024" s="205" t="str">
        <f ca="1" t="shared" si="340"/>
        <v>400023|40500|;</v>
      </c>
      <c r="AK2024" s="205">
        <f ca="1">OFFSET([1]item_type!$A$1,MATCH(Q2024,[1]item_type!$G:$G,0)-1,0)</f>
        <v>303016</v>
      </c>
      <c r="AL2024" s="205"/>
      <c r="AM2024" s="205">
        <f ca="1">IF(B2024=B2025,OFFSET(卡牌辅助配置表!$AE$1,MATCH(AB2024,卡牌辅助配置表!AB:AB,0),0),0)</f>
        <v>40500</v>
      </c>
      <c r="AN2024" s="153">
        <f ca="1" t="shared" si="335"/>
        <v>3016029</v>
      </c>
      <c r="AP2024" s="153" t="str">
        <f ca="1">IF(AC2024=0,0,IF(AC2024=12,0,OFFSET(effect!$N$1,MATCH(K2024,effect!M:M,0)-1,0)))</f>
        <v>kpsx_huangse</v>
      </c>
    </row>
    <row r="2025" spans="1:42">
      <c r="A2025" s="153">
        <f ca="1" t="shared" si="336"/>
        <v>3016029</v>
      </c>
      <c r="B2025" s="91" t="s">
        <v>369</v>
      </c>
      <c r="C2025" s="186">
        <v>3</v>
      </c>
      <c r="D2025" s="186">
        <v>3</v>
      </c>
      <c r="E2025" s="165" t="s">
        <v>1069</v>
      </c>
      <c r="F2025" s="165" t="str">
        <f>"若自身处在冰冻中，伤害增加冰冻层数*"&amp;skill!$O$143/100&amp;"%"</f>
        <v>若自身处在冰冻中，伤害增加冰冻层数*35%</v>
      </c>
      <c r="G2025" s="186">
        <f ca="1">OFFSET(卡牌辅助配置表!$C$1,MATCH(AC2025,卡牌辅助配置表!A:A,0)-1,0)</f>
        <v>6</v>
      </c>
      <c r="H2025" s="186">
        <f ca="1">OFFSET(skill!$Q$1,MATCH(B2025,skill!B:B,0)-1,0)</f>
        <v>0.518518518518518</v>
      </c>
      <c r="I2025" s="186"/>
      <c r="J2025" s="186">
        <f ca="1">OFFSET(card_type!$F$1,MATCH(Q2025,card_type!A:A,0)-1,0)</f>
        <v>2</v>
      </c>
      <c r="K2025" s="243">
        <f ca="1">OFFSET(card_type!$G$1,MATCH(Q2025,card_type!A:A,0)-1,0)</f>
        <v>4</v>
      </c>
      <c r="L2025" s="157">
        <v>3</v>
      </c>
      <c r="M2025" s="157">
        <v>3</v>
      </c>
      <c r="N2025" s="153">
        <f t="shared" si="337"/>
        <v>29</v>
      </c>
      <c r="O2025" s="157"/>
      <c r="P2025" s="157"/>
      <c r="Q2025" s="153">
        <f ca="1">OFFSET(card_type!$A$1,MATCH(card!B2025,card_type!B:B,0)-1,0)</f>
        <v>3016</v>
      </c>
      <c r="R2025" s="153">
        <v>1</v>
      </c>
      <c r="S2025" s="157">
        <f ca="1">ROUND(IF(R2025=0,0,IF(R2025=1,X2025*$S$1,IF(R2025=2,X2025*$S$1*buff的资质计算!$E$2,IF(R2025=3,X2025*$S$1*buff的资质计算!$E$3,0)))),0)*0</f>
        <v>0</v>
      </c>
      <c r="T2025" s="153">
        <v>3</v>
      </c>
      <c r="U2025" s="153">
        <f ca="1" t="shared" si="338"/>
        <v>24</v>
      </c>
      <c r="V2025" s="153">
        <f ca="1">ROUND((OFFSET(卡牌辅助配置表!$O$1,MATCH(U2025,卡牌辅助配置表!M:M,0)-1,0)+(N2025-1)*OFFSET(卡牌辅助配置表!$P$1,MATCH(U2025,卡牌辅助配置表!M:M,0)-1,0))*M2025,2)</f>
        <v>216.72</v>
      </c>
      <c r="W2025" s="157">
        <f ca="1">ROUND(IF(R2025=0,0,IF(R2025=1,X2025*$W$1,IF(R2025=2,X2025*$W$1*buff的资质计算!$E$2,IF(R2025=3,X2025*$W$1*buff的资质计算!$E$3,0)))),2)</f>
        <v>25.8</v>
      </c>
      <c r="X2025" s="157">
        <f ca="1" t="shared" si="333"/>
        <v>86</v>
      </c>
      <c r="Y2025" s="157">
        <f ca="1" t="shared" si="341"/>
        <v>86.5185185185185</v>
      </c>
      <c r="Z2025" s="304">
        <f ca="1" t="shared" si="334"/>
        <v>28.8395061728395</v>
      </c>
      <c r="AA2025" s="304">
        <f ca="1">OFFSET(卡牌辅助配置表!$AD$1,MATCH(AB2025,卡牌辅助配置表!AB:AB,0)-1,0)</f>
        <v>15155</v>
      </c>
      <c r="AB2025" s="304">
        <f ca="1" t="shared" si="339"/>
        <v>2429</v>
      </c>
      <c r="AC2025" s="153">
        <v>7</v>
      </c>
      <c r="AD2025" s="153">
        <v>2</v>
      </c>
      <c r="AE2025" s="153">
        <v>1</v>
      </c>
      <c r="AF2025" s="153" t="str">
        <f ca="1" t="shared" si="332"/>
        <v>30160011|</v>
      </c>
      <c r="AJ2025" s="205" t="str">
        <f ca="1" t="shared" si="340"/>
        <v>303016|30|;400023|42900|;</v>
      </c>
      <c r="AK2025" s="205">
        <f ca="1">OFFSET([1]item_type!$A$1,MATCH(Q2025,[1]item_type!$G:$G,0)-1,0)</f>
        <v>303016</v>
      </c>
      <c r="AL2025" s="205">
        <v>30</v>
      </c>
      <c r="AM2025" s="205">
        <f ca="1">IF(B2025=B2026,OFFSET(卡牌辅助配置表!$AE$1,MATCH(AB2025,卡牌辅助配置表!AB:AB,0),0),0)</f>
        <v>42900</v>
      </c>
      <c r="AN2025" s="153">
        <f ca="1" t="shared" si="335"/>
        <v>3016030</v>
      </c>
      <c r="AP2025" s="153" t="str">
        <f ca="1">IF(AC2025=0,0,IF(AC2025=12,0,OFFSET(effect!$N$1,MATCH(K2025,effect!M:M,0)-1,0)))</f>
        <v>kpsx_huangse</v>
      </c>
    </row>
    <row r="2026" spans="1:42">
      <c r="A2026" s="153">
        <f ca="1" t="shared" si="336"/>
        <v>3016030</v>
      </c>
      <c r="B2026" s="91" t="s">
        <v>369</v>
      </c>
      <c r="C2026" s="186">
        <v>3</v>
      </c>
      <c r="D2026" s="186">
        <v>3</v>
      </c>
      <c r="E2026" s="165" t="s">
        <v>1069</v>
      </c>
      <c r="F2026" s="165" t="str">
        <f>"若自身处在冰冻中，伤害增加冰冻层数*"&amp;skill!$O$143/100&amp;"%"</f>
        <v>若自身处在冰冻中，伤害增加冰冻层数*35%</v>
      </c>
      <c r="G2026" s="186">
        <f ca="1">OFFSET(卡牌辅助配置表!$C$1,MATCH(AC2026,卡牌辅助配置表!A:A,0)-1,0)</f>
        <v>6</v>
      </c>
      <c r="H2026" s="186">
        <f ca="1">OFFSET(skill!$Q$1,MATCH(B2026,skill!B:B,0)-1,0)</f>
        <v>0.518518518518518</v>
      </c>
      <c r="I2026" s="186"/>
      <c r="J2026" s="186">
        <f ca="1">OFFSET(card_type!$F$1,MATCH(Q2026,card_type!A:A,0)-1,0)</f>
        <v>2</v>
      </c>
      <c r="K2026" s="243">
        <f ca="1">OFFSET(card_type!$G$1,MATCH(Q2026,card_type!A:A,0)-1,0)</f>
        <v>4</v>
      </c>
      <c r="L2026" s="157">
        <v>3</v>
      </c>
      <c r="M2026" s="157">
        <v>3</v>
      </c>
      <c r="N2026" s="153">
        <f t="shared" si="337"/>
        <v>30</v>
      </c>
      <c r="O2026" s="157"/>
      <c r="P2026" s="157"/>
      <c r="Q2026" s="153">
        <f ca="1">OFFSET(card_type!$A$1,MATCH(card!B2026,card_type!B:B,0)-1,0)</f>
        <v>3016</v>
      </c>
      <c r="R2026" s="153">
        <v>1</v>
      </c>
      <c r="S2026" s="157">
        <f ca="1">ROUND(IF(R2026=0,0,IF(R2026=1,X2026*$S$1,IF(R2026=2,X2026*$S$1*buff的资质计算!$E$2,IF(R2026=3,X2026*$S$1*buff的资质计算!$E$3,0)))),0)*0</f>
        <v>0</v>
      </c>
      <c r="T2026" s="153">
        <v>3</v>
      </c>
      <c r="U2026" s="153">
        <f ca="1" t="shared" si="338"/>
        <v>24</v>
      </c>
      <c r="V2026" s="153">
        <f ca="1">ROUND((OFFSET(卡牌辅助配置表!$O$1,MATCH(U2026,卡牌辅助配置表!M:M,0)-1,0)+(N2026-1)*OFFSET(卡牌辅助配置表!$P$1,MATCH(U2026,卡牌辅助配置表!M:M,0)-1,0))*M2026,2)</f>
        <v>221.76</v>
      </c>
      <c r="W2026" s="157">
        <f ca="1">ROUND(IF(R2026=0,0,IF(R2026=1,X2026*$W$1,IF(R2026=2,X2026*$W$1*buff的资质计算!$E$2,IF(R2026=3,X2026*$W$1*buff的资质计算!$E$3,0)))),2)</f>
        <v>25.95</v>
      </c>
      <c r="X2026" s="157">
        <f ca="1" t="shared" si="333"/>
        <v>86.5</v>
      </c>
      <c r="Y2026" s="157">
        <f ca="1" t="shared" si="341"/>
        <v>87.0185185185185</v>
      </c>
      <c r="Z2026" s="304">
        <f ca="1" t="shared" si="334"/>
        <v>29.0061728395062</v>
      </c>
      <c r="AA2026" s="304">
        <f ca="1">OFFSET(卡牌辅助配置表!$AD$1,MATCH(AB2026,卡牌辅助配置表!AB:AB,0)-1,0)</f>
        <v>15860</v>
      </c>
      <c r="AB2026" s="304">
        <f ca="1" t="shared" si="339"/>
        <v>2430</v>
      </c>
      <c r="AC2026" s="153">
        <v>7</v>
      </c>
      <c r="AD2026" s="153">
        <v>2</v>
      </c>
      <c r="AE2026" s="153">
        <v>1</v>
      </c>
      <c r="AF2026" s="153" t="str">
        <f ca="1" t="shared" si="332"/>
        <v>30160011|</v>
      </c>
      <c r="AJ2026" s="205">
        <f ca="1" t="shared" si="340"/>
        <v>0</v>
      </c>
      <c r="AK2026" s="205">
        <f ca="1">OFFSET([1]item_type!$A$1,MATCH(Q2026,[1]item_type!$G:$G,0)-1,0)</f>
        <v>303016</v>
      </c>
      <c r="AL2026" s="205"/>
      <c r="AM2026" s="205">
        <f ca="1">IF(B2026=B2027,OFFSET(卡牌辅助配置表!$AE$1,MATCH(AB2026,卡牌辅助配置表!AB:AB,0),0),0)</f>
        <v>0</v>
      </c>
      <c r="AN2026" s="153">
        <f ca="1" t="shared" si="335"/>
        <v>0</v>
      </c>
      <c r="AP2026" s="153" t="str">
        <f ca="1">IF(AC2026=0,0,IF(AC2026=12,0,OFFSET(effect!$N$1,MATCH(K2026,effect!M:M,0)-1,0)))</f>
        <v>kpsx_huangse</v>
      </c>
    </row>
    <row r="2027" spans="1:42">
      <c r="A2027" s="153">
        <f ca="1" t="shared" si="336"/>
        <v>3017001</v>
      </c>
      <c r="B2027" s="91" t="s">
        <v>904</v>
      </c>
      <c r="C2027" s="186">
        <v>3</v>
      </c>
      <c r="D2027" s="186">
        <v>3</v>
      </c>
      <c r="E2027" s="165" t="s">
        <v>1069</v>
      </c>
      <c r="F2027" s="179" t="s">
        <v>1074</v>
      </c>
      <c r="G2027" s="186">
        <f ca="1">OFFSET(卡牌辅助配置表!$C$1,MATCH(AC2027,卡牌辅助配置表!A:A,0)-1,0)</f>
        <v>3</v>
      </c>
      <c r="H2027" s="186">
        <f ca="1">OFFSET(skill!$Q$1,MATCH(B2027,skill!B:B,0)-1,0)</f>
        <v>15</v>
      </c>
      <c r="I2027" s="186"/>
      <c r="J2027" s="186">
        <f ca="1">OFFSET(card_type!$F$1,MATCH(Q2027,card_type!A:A,0)-1,0)</f>
        <v>3</v>
      </c>
      <c r="K2027" s="243">
        <f ca="1">OFFSET(card_type!$G$1,MATCH(Q2027,card_type!A:A,0)-1,0)</f>
        <v>3</v>
      </c>
      <c r="L2027" s="157">
        <v>2</v>
      </c>
      <c r="M2027" s="157">
        <v>2</v>
      </c>
      <c r="N2027" s="153">
        <f t="shared" si="337"/>
        <v>1</v>
      </c>
      <c r="O2027" s="157"/>
      <c r="P2027" s="157"/>
      <c r="Q2027" s="153">
        <f ca="1">OFFSET(card_type!$A$1,MATCH(card!B2027,card_type!B:B,0)-1,0)</f>
        <v>3017</v>
      </c>
      <c r="R2027" s="153">
        <v>1</v>
      </c>
      <c r="S2027" s="157">
        <f ca="1">ROUND(IF(R2027=0,0,IF(R2027=1,X2027*$S$1,IF(R2027=2,X2027*$S$1*buff的资质计算!$E$2,IF(R2027=3,X2027*$S$1*buff的资质计算!$E$3,0)))),0)*0</f>
        <v>0</v>
      </c>
      <c r="T2027" s="153">
        <v>3</v>
      </c>
      <c r="U2027" s="153">
        <f ca="1" t="shared" si="338"/>
        <v>33</v>
      </c>
      <c r="V2027" s="153">
        <f ca="1">ROUND((OFFSET(卡牌辅助配置表!$O$1,MATCH(U2027,卡牌辅助配置表!M:M,0)-1,0)+(N2027-1)*OFFSET(卡牌辅助配置表!$P$1,MATCH(U2027,卡牌辅助配置表!M:M,0)-1,0))*M2027,2)</f>
        <v>45.94</v>
      </c>
      <c r="W2027" s="157">
        <f ca="1">ROUND(IF(R2027=0,0,IF(R2027=1,X2027*$W$1,IF(R2027=2,X2027*$W$1*buff的资质计算!$E$2,IF(R2027=3,X2027*$W$1*buff的资质计算!$E$3,0)))),2)</f>
        <v>14.7</v>
      </c>
      <c r="X2027" s="157">
        <f ca="1" t="shared" si="333"/>
        <v>49</v>
      </c>
      <c r="Y2027" s="157">
        <f ca="1" t="shared" si="341"/>
        <v>64</v>
      </c>
      <c r="Z2027" s="304">
        <f ca="1" t="shared" si="334"/>
        <v>32</v>
      </c>
      <c r="AA2027" s="304">
        <f ca="1">OFFSET(卡牌辅助配置表!$AD$1,MATCH(AB2027,卡牌辅助配置表!AB:AB,0)-1,0)</f>
        <v>498</v>
      </c>
      <c r="AB2027" s="304">
        <f ca="1" t="shared" si="339"/>
        <v>3301</v>
      </c>
      <c r="AC2027" s="153">
        <v>1</v>
      </c>
      <c r="AE2027" s="153">
        <v>3</v>
      </c>
      <c r="AF2027" s="153" t="str">
        <f ca="1" t="shared" si="332"/>
        <v>30170011|</v>
      </c>
      <c r="AJ2027" s="205" t="str">
        <f ca="1" t="shared" si="340"/>
        <v>400023|1400|;</v>
      </c>
      <c r="AK2027" s="205">
        <f ca="1">OFFSET([1]item_type!$A$1,MATCH(Q2027,[1]item_type!$G:$G,0)-1,0)</f>
        <v>303017</v>
      </c>
      <c r="AL2027" s="205"/>
      <c r="AM2027" s="205">
        <f ca="1">IF(B2027=B2028,OFFSET(卡牌辅助配置表!$AE$1,MATCH(AB2027,卡牌辅助配置表!AB:AB,0),0),0)</f>
        <v>1400</v>
      </c>
      <c r="AN2027" s="153">
        <f ca="1" t="shared" si="335"/>
        <v>3017002</v>
      </c>
      <c r="AP2027" s="153" t="str">
        <f ca="1">IF(AC2027=0,0,IF(AC2027=12,0,OFFSET(effect!$N$1,MATCH(K2027,effect!M:M,0)-1,0)))</f>
        <v>kpsx_zise</v>
      </c>
    </row>
    <row r="2028" spans="1:42">
      <c r="A2028" s="153">
        <f ca="1" t="shared" si="336"/>
        <v>3017002</v>
      </c>
      <c r="B2028" s="91" t="s">
        <v>904</v>
      </c>
      <c r="C2028" s="186">
        <v>3</v>
      </c>
      <c r="D2028" s="186">
        <v>3</v>
      </c>
      <c r="E2028" s="165" t="s">
        <v>1069</v>
      </c>
      <c r="F2028" s="179" t="s">
        <v>1074</v>
      </c>
      <c r="G2028" s="186">
        <f ca="1">OFFSET(卡牌辅助配置表!$C$1,MATCH(AC2028,卡牌辅助配置表!A:A,0)-1,0)</f>
        <v>3</v>
      </c>
      <c r="H2028" s="186">
        <f ca="1">OFFSET(skill!$Q$1,MATCH(B2028,skill!B:B,0)-1,0)</f>
        <v>15</v>
      </c>
      <c r="I2028" s="186"/>
      <c r="J2028" s="186">
        <f ca="1">OFFSET(card_type!$F$1,MATCH(Q2028,card_type!A:A,0)-1,0)</f>
        <v>3</v>
      </c>
      <c r="K2028" s="243">
        <f ca="1">OFFSET(card_type!$G$1,MATCH(Q2028,card_type!A:A,0)-1,0)</f>
        <v>3</v>
      </c>
      <c r="L2028" s="157">
        <v>2</v>
      </c>
      <c r="M2028" s="157">
        <v>2</v>
      </c>
      <c r="N2028" s="153">
        <f t="shared" si="337"/>
        <v>2</v>
      </c>
      <c r="O2028" s="157"/>
      <c r="P2028" s="157"/>
      <c r="Q2028" s="153">
        <f ca="1">OFFSET(card_type!$A$1,MATCH(card!B2028,card_type!B:B,0)-1,0)</f>
        <v>3017</v>
      </c>
      <c r="R2028" s="153">
        <v>1</v>
      </c>
      <c r="S2028" s="157">
        <f ca="1">ROUND(IF(R2028=0,0,IF(R2028=1,X2028*$S$1,IF(R2028=2,X2028*$S$1*buff的资质计算!$E$2,IF(R2028=3,X2028*$S$1*buff的资质计算!$E$3,0)))),0)*0</f>
        <v>0</v>
      </c>
      <c r="T2028" s="153">
        <v>3</v>
      </c>
      <c r="U2028" s="153">
        <f ca="1" t="shared" si="338"/>
        <v>33</v>
      </c>
      <c r="V2028" s="153">
        <f ca="1">ROUND((OFFSET(卡牌辅助配置表!$O$1,MATCH(U2028,卡牌辅助配置表!M:M,0)-1,0)+(N2028-1)*OFFSET(卡牌辅助配置表!$P$1,MATCH(U2028,卡牌辅助配置表!M:M,0)-1,0))*M2028,2)</f>
        <v>50.58</v>
      </c>
      <c r="W2028" s="157">
        <f ca="1">ROUND(IF(R2028=0,0,IF(R2028=1,X2028*$W$1,IF(R2028=2,X2028*$W$1*buff的资质计算!$E$2,IF(R2028=3,X2028*$W$1*buff的资质计算!$E$3,0)))),2)</f>
        <v>14.85</v>
      </c>
      <c r="X2028" s="157">
        <f ca="1" t="shared" si="333"/>
        <v>49.5</v>
      </c>
      <c r="Y2028" s="157">
        <f ca="1" t="shared" si="341"/>
        <v>64.5</v>
      </c>
      <c r="Z2028" s="304">
        <f ca="1" t="shared" si="334"/>
        <v>32.25</v>
      </c>
      <c r="AA2028" s="304">
        <f ca="1">OFFSET(卡牌辅助配置表!$AD$1,MATCH(AB2028,卡牌辅助配置表!AB:AB,0)-1,0)</f>
        <v>996</v>
      </c>
      <c r="AB2028" s="304">
        <f ca="1" t="shared" si="339"/>
        <v>3302</v>
      </c>
      <c r="AC2028" s="153">
        <v>1</v>
      </c>
      <c r="AE2028" s="153">
        <v>3</v>
      </c>
      <c r="AF2028" s="153" t="str">
        <f ca="1" t="shared" si="332"/>
        <v>30170011|</v>
      </c>
      <c r="AJ2028" s="205" t="str">
        <f ca="1" t="shared" si="340"/>
        <v>400023|1800|;</v>
      </c>
      <c r="AK2028" s="205">
        <f ca="1">OFFSET([1]item_type!$A$1,MATCH(Q2028,[1]item_type!$G:$G,0)-1,0)</f>
        <v>303017</v>
      </c>
      <c r="AL2028" s="205"/>
      <c r="AM2028" s="205">
        <f ca="1">IF(B2028=B2029,OFFSET(卡牌辅助配置表!$AE$1,MATCH(AB2028,卡牌辅助配置表!AB:AB,0),0),0)</f>
        <v>1800</v>
      </c>
      <c r="AN2028" s="153">
        <f ca="1" t="shared" si="335"/>
        <v>3017003</v>
      </c>
      <c r="AP2028" s="153" t="str">
        <f ca="1">IF(AC2028=0,0,IF(AC2028=12,0,OFFSET(effect!$N$1,MATCH(K2028,effect!M:M,0)-1,0)))</f>
        <v>kpsx_zise</v>
      </c>
    </row>
    <row r="2029" spans="1:42">
      <c r="A2029" s="153">
        <f ca="1" t="shared" si="336"/>
        <v>3017003</v>
      </c>
      <c r="B2029" s="91" t="s">
        <v>904</v>
      </c>
      <c r="C2029" s="186">
        <v>3</v>
      </c>
      <c r="D2029" s="186">
        <v>3</v>
      </c>
      <c r="E2029" s="165" t="s">
        <v>1069</v>
      </c>
      <c r="F2029" s="179" t="s">
        <v>1074</v>
      </c>
      <c r="G2029" s="186">
        <f ca="1">OFFSET(卡牌辅助配置表!$C$1,MATCH(AC2029,卡牌辅助配置表!A:A,0)-1,0)</f>
        <v>3</v>
      </c>
      <c r="H2029" s="186">
        <f ca="1">OFFSET(skill!$Q$1,MATCH(B2029,skill!B:B,0)-1,0)</f>
        <v>15</v>
      </c>
      <c r="I2029" s="186"/>
      <c r="J2029" s="186">
        <f ca="1">OFFSET(card_type!$F$1,MATCH(Q2029,card_type!A:A,0)-1,0)</f>
        <v>3</v>
      </c>
      <c r="K2029" s="243">
        <f ca="1">OFFSET(card_type!$G$1,MATCH(Q2029,card_type!A:A,0)-1,0)</f>
        <v>3</v>
      </c>
      <c r="L2029" s="157">
        <v>2</v>
      </c>
      <c r="M2029" s="157">
        <v>2</v>
      </c>
      <c r="N2029" s="153">
        <f t="shared" si="337"/>
        <v>3</v>
      </c>
      <c r="O2029" s="157"/>
      <c r="P2029" s="157"/>
      <c r="Q2029" s="153">
        <f ca="1">OFFSET(card_type!$A$1,MATCH(card!B2029,card_type!B:B,0)-1,0)</f>
        <v>3017</v>
      </c>
      <c r="R2029" s="153">
        <v>1</v>
      </c>
      <c r="S2029" s="157">
        <f ca="1">ROUND(IF(R2029=0,0,IF(R2029=1,X2029*$S$1,IF(R2029=2,X2029*$S$1*buff的资质计算!$E$2,IF(R2029=3,X2029*$S$1*buff的资质计算!$E$3,0)))),0)*0</f>
        <v>0</v>
      </c>
      <c r="T2029" s="153">
        <v>3</v>
      </c>
      <c r="U2029" s="153">
        <f ca="1" t="shared" si="338"/>
        <v>33</v>
      </c>
      <c r="V2029" s="153">
        <f ca="1">ROUND((OFFSET(卡牌辅助配置表!$O$1,MATCH(U2029,卡牌辅助配置表!M:M,0)-1,0)+(N2029-1)*OFFSET(卡牌辅助配置表!$P$1,MATCH(U2029,卡牌辅助配置表!M:M,0)-1,0))*M2029,2)</f>
        <v>55.22</v>
      </c>
      <c r="W2029" s="157">
        <f ca="1">ROUND(IF(R2029=0,0,IF(R2029=1,X2029*$W$1,IF(R2029=2,X2029*$W$1*buff的资质计算!$E$2,IF(R2029=3,X2029*$W$1*buff的资质计算!$E$3,0)))),2)</f>
        <v>15</v>
      </c>
      <c r="X2029" s="157">
        <f ca="1" t="shared" si="333"/>
        <v>50</v>
      </c>
      <c r="Y2029" s="157">
        <f ca="1" t="shared" si="341"/>
        <v>65</v>
      </c>
      <c r="Z2029" s="304">
        <f ca="1" t="shared" si="334"/>
        <v>32.5</v>
      </c>
      <c r="AA2029" s="304">
        <f ca="1">OFFSET(卡牌辅助配置表!$AD$1,MATCH(AB2029,卡牌辅助配置表!AB:AB,0)-1,0)</f>
        <v>1494</v>
      </c>
      <c r="AB2029" s="304">
        <f ca="1" t="shared" si="339"/>
        <v>3303</v>
      </c>
      <c r="AC2029" s="153">
        <v>1</v>
      </c>
      <c r="AE2029" s="153">
        <v>3</v>
      </c>
      <c r="AF2029" s="153" t="str">
        <f ca="1" t="shared" si="332"/>
        <v>30170011|</v>
      </c>
      <c r="AJ2029" s="205" t="str">
        <f ca="1" t="shared" si="340"/>
        <v>400023|2200|;</v>
      </c>
      <c r="AK2029" s="205">
        <f ca="1">OFFSET([1]item_type!$A$1,MATCH(Q2029,[1]item_type!$G:$G,0)-1,0)</f>
        <v>303017</v>
      </c>
      <c r="AL2029" s="205"/>
      <c r="AM2029" s="205">
        <f ca="1">IF(B2029=B2030,OFFSET(卡牌辅助配置表!$AE$1,MATCH(AB2029,卡牌辅助配置表!AB:AB,0),0),0)</f>
        <v>2200</v>
      </c>
      <c r="AN2029" s="153">
        <f ca="1" t="shared" si="335"/>
        <v>3017004</v>
      </c>
      <c r="AP2029" s="153" t="str">
        <f ca="1">IF(AC2029=0,0,IF(AC2029=12,0,OFFSET(effect!$N$1,MATCH(K2029,effect!M:M,0)-1,0)))</f>
        <v>kpsx_zise</v>
      </c>
    </row>
    <row r="2030" spans="1:42">
      <c r="A2030" s="153">
        <f ca="1" t="shared" si="336"/>
        <v>3017004</v>
      </c>
      <c r="B2030" s="91" t="s">
        <v>904</v>
      </c>
      <c r="C2030" s="186">
        <v>3</v>
      </c>
      <c r="D2030" s="186">
        <v>3</v>
      </c>
      <c r="E2030" s="165" t="s">
        <v>1069</v>
      </c>
      <c r="F2030" s="179" t="s">
        <v>1074</v>
      </c>
      <c r="G2030" s="186">
        <f ca="1">OFFSET(卡牌辅助配置表!$C$1,MATCH(AC2030,卡牌辅助配置表!A:A,0)-1,0)</f>
        <v>3</v>
      </c>
      <c r="H2030" s="186">
        <f ca="1">OFFSET(skill!$Q$1,MATCH(B2030,skill!B:B,0)-1,0)</f>
        <v>15</v>
      </c>
      <c r="I2030" s="186"/>
      <c r="J2030" s="186">
        <f ca="1">OFFSET(card_type!$F$1,MATCH(Q2030,card_type!A:A,0)-1,0)</f>
        <v>3</v>
      </c>
      <c r="K2030" s="243">
        <f ca="1">OFFSET(card_type!$G$1,MATCH(Q2030,card_type!A:A,0)-1,0)</f>
        <v>3</v>
      </c>
      <c r="L2030" s="157">
        <v>2</v>
      </c>
      <c r="M2030" s="157">
        <v>2</v>
      </c>
      <c r="N2030" s="153">
        <f t="shared" si="337"/>
        <v>4</v>
      </c>
      <c r="O2030" s="157"/>
      <c r="P2030" s="157"/>
      <c r="Q2030" s="153">
        <f ca="1">OFFSET(card_type!$A$1,MATCH(card!B2030,card_type!B:B,0)-1,0)</f>
        <v>3017</v>
      </c>
      <c r="R2030" s="153">
        <v>1</v>
      </c>
      <c r="S2030" s="157">
        <f ca="1">ROUND(IF(R2030=0,0,IF(R2030=1,X2030*$S$1,IF(R2030=2,X2030*$S$1*buff的资质计算!$E$2,IF(R2030=3,X2030*$S$1*buff的资质计算!$E$3,0)))),0)*0</f>
        <v>0</v>
      </c>
      <c r="T2030" s="153">
        <v>3</v>
      </c>
      <c r="U2030" s="153">
        <f ca="1" t="shared" si="338"/>
        <v>33</v>
      </c>
      <c r="V2030" s="153">
        <f ca="1">ROUND((OFFSET(卡牌辅助配置表!$O$1,MATCH(U2030,卡牌辅助配置表!M:M,0)-1,0)+(N2030-1)*OFFSET(卡牌辅助配置表!$P$1,MATCH(U2030,卡牌辅助配置表!M:M,0)-1,0))*M2030,2)</f>
        <v>59.86</v>
      </c>
      <c r="W2030" s="157">
        <f ca="1">ROUND(IF(R2030=0,0,IF(R2030=1,X2030*$W$1,IF(R2030=2,X2030*$W$1*buff的资质计算!$E$2,IF(R2030=3,X2030*$W$1*buff的资质计算!$E$3,0)))),2)</f>
        <v>15.15</v>
      </c>
      <c r="X2030" s="157">
        <f ca="1" t="shared" si="333"/>
        <v>50.5</v>
      </c>
      <c r="Y2030" s="157">
        <f ca="1" t="shared" si="341"/>
        <v>65.5</v>
      </c>
      <c r="Z2030" s="304">
        <f ca="1" t="shared" si="334"/>
        <v>32.75</v>
      </c>
      <c r="AA2030" s="304">
        <f ca="1">OFFSET(卡牌辅助配置表!$AD$1,MATCH(AB2030,卡牌辅助配置表!AB:AB,0)-1,0)</f>
        <v>1992</v>
      </c>
      <c r="AB2030" s="304">
        <f ca="1" t="shared" si="339"/>
        <v>3304</v>
      </c>
      <c r="AC2030" s="153">
        <v>1</v>
      </c>
      <c r="AE2030" s="153">
        <v>3</v>
      </c>
      <c r="AF2030" s="153" t="str">
        <f ca="1" t="shared" si="332"/>
        <v>30170011|</v>
      </c>
      <c r="AJ2030" s="205" t="str">
        <f ca="1" t="shared" si="340"/>
        <v>400023|2600|;</v>
      </c>
      <c r="AK2030" s="205">
        <f ca="1">OFFSET([1]item_type!$A$1,MATCH(Q2030,[1]item_type!$G:$G,0)-1,0)</f>
        <v>303017</v>
      </c>
      <c r="AL2030" s="205"/>
      <c r="AM2030" s="205">
        <f ca="1">IF(B2030=B2031,OFFSET(卡牌辅助配置表!$AE$1,MATCH(AB2030,卡牌辅助配置表!AB:AB,0),0),0)</f>
        <v>2600</v>
      </c>
      <c r="AN2030" s="153">
        <f ca="1" t="shared" si="335"/>
        <v>3017005</v>
      </c>
      <c r="AP2030" s="153" t="str">
        <f ca="1">IF(AC2030=0,0,IF(AC2030=12,0,OFFSET(effect!$N$1,MATCH(K2030,effect!M:M,0)-1,0)))</f>
        <v>kpsx_zise</v>
      </c>
    </row>
    <row r="2031" spans="1:42">
      <c r="A2031" s="153">
        <f ca="1" t="shared" si="336"/>
        <v>3017005</v>
      </c>
      <c r="B2031" s="91" t="s">
        <v>904</v>
      </c>
      <c r="C2031" s="186">
        <v>3</v>
      </c>
      <c r="D2031" s="186">
        <v>3</v>
      </c>
      <c r="E2031" s="165" t="s">
        <v>1069</v>
      </c>
      <c r="F2031" s="179" t="s">
        <v>1074</v>
      </c>
      <c r="G2031" s="186">
        <f ca="1">OFFSET(卡牌辅助配置表!$C$1,MATCH(AC2031,卡牌辅助配置表!A:A,0)-1,0)</f>
        <v>3</v>
      </c>
      <c r="H2031" s="186">
        <f ca="1">OFFSET(skill!$Q$1,MATCH(B2031,skill!B:B,0)-1,0)</f>
        <v>15</v>
      </c>
      <c r="I2031" s="186"/>
      <c r="J2031" s="186">
        <f ca="1">OFFSET(card_type!$F$1,MATCH(Q2031,card_type!A:A,0)-1,0)</f>
        <v>3</v>
      </c>
      <c r="K2031" s="243">
        <f ca="1">OFFSET(card_type!$G$1,MATCH(Q2031,card_type!A:A,0)-1,0)</f>
        <v>3</v>
      </c>
      <c r="L2031" s="157">
        <v>2</v>
      </c>
      <c r="M2031" s="157">
        <v>2</v>
      </c>
      <c r="N2031" s="153">
        <f t="shared" si="337"/>
        <v>5</v>
      </c>
      <c r="O2031" s="157"/>
      <c r="P2031" s="157"/>
      <c r="Q2031" s="153">
        <f ca="1">OFFSET(card_type!$A$1,MATCH(card!B2031,card_type!B:B,0)-1,0)</f>
        <v>3017</v>
      </c>
      <c r="R2031" s="153">
        <v>1</v>
      </c>
      <c r="S2031" s="157">
        <f ca="1">ROUND(IF(R2031=0,0,IF(R2031=1,X2031*$S$1,IF(R2031=2,X2031*$S$1*buff的资质计算!$E$2,IF(R2031=3,X2031*$S$1*buff的资质计算!$E$3,0)))),0)*0</f>
        <v>0</v>
      </c>
      <c r="T2031" s="153">
        <v>3</v>
      </c>
      <c r="U2031" s="153">
        <f ca="1" t="shared" si="338"/>
        <v>33</v>
      </c>
      <c r="V2031" s="153">
        <f ca="1">ROUND((OFFSET(卡牌辅助配置表!$O$1,MATCH(U2031,卡牌辅助配置表!M:M,0)-1,0)+(N2031-1)*OFFSET(卡牌辅助配置表!$P$1,MATCH(U2031,卡牌辅助配置表!M:M,0)-1,0))*M2031,2)</f>
        <v>64.5</v>
      </c>
      <c r="W2031" s="157">
        <f ca="1">ROUND(IF(R2031=0,0,IF(R2031=1,X2031*$W$1,IF(R2031=2,X2031*$W$1*buff的资质计算!$E$2,IF(R2031=3,X2031*$W$1*buff的资质计算!$E$3,0)))),2)</f>
        <v>15.3</v>
      </c>
      <c r="X2031" s="157">
        <f ca="1" t="shared" si="333"/>
        <v>51</v>
      </c>
      <c r="Y2031" s="157">
        <f ca="1" t="shared" si="341"/>
        <v>66</v>
      </c>
      <c r="Z2031" s="304">
        <f ca="1" t="shared" si="334"/>
        <v>33</v>
      </c>
      <c r="AA2031" s="304">
        <f ca="1">OFFSET(卡牌辅助配置表!$AD$1,MATCH(AB2031,卡牌辅助配置表!AB:AB,0)-1,0)</f>
        <v>2490</v>
      </c>
      <c r="AB2031" s="304">
        <f ca="1" t="shared" si="339"/>
        <v>3305</v>
      </c>
      <c r="AC2031" s="153">
        <v>1</v>
      </c>
      <c r="AE2031" s="153">
        <v>3</v>
      </c>
      <c r="AF2031" s="153" t="str">
        <f ca="1" t="shared" si="332"/>
        <v>30170011|</v>
      </c>
      <c r="AJ2031" s="205" t="str">
        <f ca="1" t="shared" si="340"/>
        <v>400023|3000|;</v>
      </c>
      <c r="AK2031" s="205">
        <f ca="1">OFFSET([1]item_type!$A$1,MATCH(Q2031,[1]item_type!$G:$G,0)-1,0)</f>
        <v>303017</v>
      </c>
      <c r="AL2031" s="205"/>
      <c r="AM2031" s="205">
        <f ca="1">IF(B2031=B2032,OFFSET(卡牌辅助配置表!$AE$1,MATCH(AB2031,卡牌辅助配置表!AB:AB,0),0),0)</f>
        <v>3000</v>
      </c>
      <c r="AN2031" s="153">
        <f ca="1" t="shared" si="335"/>
        <v>3017006</v>
      </c>
      <c r="AP2031" s="153" t="str">
        <f ca="1">IF(AC2031=0,0,IF(AC2031=12,0,OFFSET(effect!$N$1,MATCH(K2031,effect!M:M,0)-1,0)))</f>
        <v>kpsx_zise</v>
      </c>
    </row>
    <row r="2032" spans="1:42">
      <c r="A2032" s="153">
        <f ca="1" t="shared" si="336"/>
        <v>3017006</v>
      </c>
      <c r="B2032" s="91" t="s">
        <v>904</v>
      </c>
      <c r="C2032" s="186">
        <v>3</v>
      </c>
      <c r="D2032" s="186">
        <v>3</v>
      </c>
      <c r="E2032" s="165" t="s">
        <v>1069</v>
      </c>
      <c r="F2032" s="179" t="s">
        <v>1074</v>
      </c>
      <c r="G2032" s="186">
        <f ca="1">OFFSET(卡牌辅助配置表!$C$1,MATCH(AC2032,卡牌辅助配置表!A:A,0)-1,0)</f>
        <v>3</v>
      </c>
      <c r="H2032" s="186">
        <f ca="1">OFFSET(skill!$Q$1,MATCH(B2032,skill!B:B,0)-1,0)</f>
        <v>15</v>
      </c>
      <c r="I2032" s="186"/>
      <c r="J2032" s="186">
        <f ca="1">OFFSET(card_type!$F$1,MATCH(Q2032,card_type!A:A,0)-1,0)</f>
        <v>3</v>
      </c>
      <c r="K2032" s="243">
        <f ca="1">OFFSET(card_type!$G$1,MATCH(Q2032,card_type!A:A,0)-1,0)</f>
        <v>3</v>
      </c>
      <c r="L2032" s="157">
        <v>2</v>
      </c>
      <c r="M2032" s="157">
        <v>2</v>
      </c>
      <c r="N2032" s="153">
        <f t="shared" si="337"/>
        <v>6</v>
      </c>
      <c r="O2032" s="157"/>
      <c r="P2032" s="157"/>
      <c r="Q2032" s="153">
        <f ca="1">OFFSET(card_type!$A$1,MATCH(card!B2032,card_type!B:B,0)-1,0)</f>
        <v>3017</v>
      </c>
      <c r="R2032" s="153">
        <v>1</v>
      </c>
      <c r="S2032" s="157">
        <f ca="1">ROUND(IF(R2032=0,0,IF(R2032=1,X2032*$S$1,IF(R2032=2,X2032*$S$1*buff的资质计算!$E$2,IF(R2032=3,X2032*$S$1*buff的资质计算!$E$3,0)))),0)*0</f>
        <v>0</v>
      </c>
      <c r="T2032" s="153">
        <v>3</v>
      </c>
      <c r="U2032" s="153">
        <f ca="1" t="shared" si="338"/>
        <v>33</v>
      </c>
      <c r="V2032" s="153">
        <f ca="1">ROUND((OFFSET(卡牌辅助配置表!$O$1,MATCH(U2032,卡牌辅助配置表!M:M,0)-1,0)+(N2032-1)*OFFSET(卡牌辅助配置表!$P$1,MATCH(U2032,卡牌辅助配置表!M:M,0)-1,0))*M2032,2)</f>
        <v>69.14</v>
      </c>
      <c r="W2032" s="157">
        <f ca="1">ROUND(IF(R2032=0,0,IF(R2032=1,X2032*$W$1,IF(R2032=2,X2032*$W$1*buff的资质计算!$E$2,IF(R2032=3,X2032*$W$1*buff的资质计算!$E$3,0)))),2)</f>
        <v>15.45</v>
      </c>
      <c r="X2032" s="157">
        <f ca="1" t="shared" si="333"/>
        <v>51.5</v>
      </c>
      <c r="Y2032" s="157">
        <f ca="1" t="shared" si="341"/>
        <v>66.5</v>
      </c>
      <c r="Z2032" s="304">
        <f ca="1" t="shared" si="334"/>
        <v>33.25</v>
      </c>
      <c r="AA2032" s="304">
        <f ca="1">OFFSET(卡牌辅助配置表!$AD$1,MATCH(AB2032,卡牌辅助配置表!AB:AB,0)-1,0)</f>
        <v>2988</v>
      </c>
      <c r="AB2032" s="304">
        <f ca="1" t="shared" si="339"/>
        <v>3306</v>
      </c>
      <c r="AC2032" s="153">
        <v>1</v>
      </c>
      <c r="AE2032" s="153">
        <v>3</v>
      </c>
      <c r="AF2032" s="153" t="str">
        <f ca="1" t="shared" si="332"/>
        <v>30170011|</v>
      </c>
      <c r="AJ2032" s="205" t="str">
        <f ca="1" t="shared" si="340"/>
        <v>400023|3400|;</v>
      </c>
      <c r="AK2032" s="205">
        <f ca="1">OFFSET([1]item_type!$A$1,MATCH(Q2032,[1]item_type!$G:$G,0)-1,0)</f>
        <v>303017</v>
      </c>
      <c r="AL2032" s="205"/>
      <c r="AM2032" s="205">
        <f ca="1">IF(B2032=B2033,OFFSET(卡牌辅助配置表!$AE$1,MATCH(AB2032,卡牌辅助配置表!AB:AB,0),0),0)</f>
        <v>3400</v>
      </c>
      <c r="AN2032" s="153">
        <f ca="1" t="shared" si="335"/>
        <v>3017007</v>
      </c>
      <c r="AP2032" s="153" t="str">
        <f ca="1">IF(AC2032=0,0,IF(AC2032=12,0,OFFSET(effect!$N$1,MATCH(K2032,effect!M:M,0)-1,0)))</f>
        <v>kpsx_zise</v>
      </c>
    </row>
    <row r="2033" spans="1:42">
      <c r="A2033" s="153">
        <f ca="1" t="shared" si="336"/>
        <v>3017007</v>
      </c>
      <c r="B2033" s="91" t="s">
        <v>904</v>
      </c>
      <c r="C2033" s="186">
        <v>3</v>
      </c>
      <c r="D2033" s="186">
        <v>3</v>
      </c>
      <c r="E2033" s="165" t="s">
        <v>1069</v>
      </c>
      <c r="F2033" s="179" t="s">
        <v>1074</v>
      </c>
      <c r="G2033" s="186">
        <f ca="1">OFFSET(卡牌辅助配置表!$C$1,MATCH(AC2033,卡牌辅助配置表!A:A,0)-1,0)</f>
        <v>3</v>
      </c>
      <c r="H2033" s="186">
        <f ca="1">OFFSET(skill!$Q$1,MATCH(B2033,skill!B:B,0)-1,0)</f>
        <v>15</v>
      </c>
      <c r="I2033" s="186"/>
      <c r="J2033" s="186">
        <f ca="1">OFFSET(card_type!$F$1,MATCH(Q2033,card_type!A:A,0)-1,0)</f>
        <v>3</v>
      </c>
      <c r="K2033" s="243">
        <f ca="1">OFFSET(card_type!$G$1,MATCH(Q2033,card_type!A:A,0)-1,0)</f>
        <v>3</v>
      </c>
      <c r="L2033" s="157">
        <v>2</v>
      </c>
      <c r="M2033" s="157">
        <v>2</v>
      </c>
      <c r="N2033" s="153">
        <f t="shared" si="337"/>
        <v>7</v>
      </c>
      <c r="O2033" s="157"/>
      <c r="P2033" s="157"/>
      <c r="Q2033" s="153">
        <f ca="1">OFFSET(card_type!$A$1,MATCH(card!B2033,card_type!B:B,0)-1,0)</f>
        <v>3017</v>
      </c>
      <c r="R2033" s="153">
        <v>1</v>
      </c>
      <c r="S2033" s="157">
        <f ca="1">ROUND(IF(R2033=0,0,IF(R2033=1,X2033*$S$1,IF(R2033=2,X2033*$S$1*buff的资质计算!$E$2,IF(R2033=3,X2033*$S$1*buff的资质计算!$E$3,0)))),0)*0</f>
        <v>0</v>
      </c>
      <c r="T2033" s="153">
        <v>3</v>
      </c>
      <c r="U2033" s="153">
        <f ca="1" t="shared" si="338"/>
        <v>33</v>
      </c>
      <c r="V2033" s="153">
        <f ca="1">ROUND((OFFSET(卡牌辅助配置表!$O$1,MATCH(U2033,卡牌辅助配置表!M:M,0)-1,0)+(N2033-1)*OFFSET(卡牌辅助配置表!$P$1,MATCH(U2033,卡牌辅助配置表!M:M,0)-1,0))*M2033,2)</f>
        <v>73.78</v>
      </c>
      <c r="W2033" s="157">
        <f ca="1">ROUND(IF(R2033=0,0,IF(R2033=1,X2033*$W$1,IF(R2033=2,X2033*$W$1*buff的资质计算!$E$2,IF(R2033=3,X2033*$W$1*buff的资质计算!$E$3,0)))),2)</f>
        <v>15.6</v>
      </c>
      <c r="X2033" s="157">
        <f ca="1" t="shared" si="333"/>
        <v>52</v>
      </c>
      <c r="Y2033" s="157">
        <f ca="1" t="shared" si="341"/>
        <v>67</v>
      </c>
      <c r="Z2033" s="304">
        <f ca="1" t="shared" si="334"/>
        <v>33.5</v>
      </c>
      <c r="AA2033" s="304">
        <f ca="1">OFFSET(卡牌辅助配置表!$AD$1,MATCH(AB2033,卡牌辅助配置表!AB:AB,0)-1,0)</f>
        <v>3486</v>
      </c>
      <c r="AB2033" s="304">
        <f ca="1" t="shared" si="339"/>
        <v>3307</v>
      </c>
      <c r="AC2033" s="153">
        <v>1</v>
      </c>
      <c r="AE2033" s="153">
        <v>3</v>
      </c>
      <c r="AF2033" s="153" t="str">
        <f ca="1" t="shared" si="332"/>
        <v>30170011|</v>
      </c>
      <c r="AJ2033" s="205" t="str">
        <f ca="1" t="shared" si="340"/>
        <v>400023|3800|;</v>
      </c>
      <c r="AK2033" s="205">
        <f ca="1">OFFSET([1]item_type!$A$1,MATCH(Q2033,[1]item_type!$G:$G,0)-1,0)</f>
        <v>303017</v>
      </c>
      <c r="AL2033" s="205"/>
      <c r="AM2033" s="205">
        <f ca="1">IF(B2033=B2034,OFFSET(卡牌辅助配置表!$AE$1,MATCH(AB2033,卡牌辅助配置表!AB:AB,0),0),0)</f>
        <v>3800</v>
      </c>
      <c r="AN2033" s="153">
        <f ca="1" t="shared" si="335"/>
        <v>3017008</v>
      </c>
      <c r="AP2033" s="153" t="str">
        <f ca="1">IF(AC2033=0,0,IF(AC2033=12,0,OFFSET(effect!$N$1,MATCH(K2033,effect!M:M,0)-1,0)))</f>
        <v>kpsx_zise</v>
      </c>
    </row>
    <row r="2034" spans="1:42">
      <c r="A2034" s="153">
        <f ca="1" t="shared" si="336"/>
        <v>3017008</v>
      </c>
      <c r="B2034" s="91" t="s">
        <v>904</v>
      </c>
      <c r="C2034" s="186">
        <v>3</v>
      </c>
      <c r="D2034" s="186">
        <v>3</v>
      </c>
      <c r="E2034" s="165" t="s">
        <v>1069</v>
      </c>
      <c r="F2034" s="179" t="s">
        <v>1074</v>
      </c>
      <c r="G2034" s="186">
        <f ca="1">OFFSET(卡牌辅助配置表!$C$1,MATCH(AC2034,卡牌辅助配置表!A:A,0)-1,0)</f>
        <v>3</v>
      </c>
      <c r="H2034" s="186">
        <f ca="1">OFFSET(skill!$Q$1,MATCH(B2034,skill!B:B,0)-1,0)</f>
        <v>15</v>
      </c>
      <c r="I2034" s="186"/>
      <c r="J2034" s="186">
        <f ca="1">OFFSET(card_type!$F$1,MATCH(Q2034,card_type!A:A,0)-1,0)</f>
        <v>3</v>
      </c>
      <c r="K2034" s="243">
        <f ca="1">OFFSET(card_type!$G$1,MATCH(Q2034,card_type!A:A,0)-1,0)</f>
        <v>3</v>
      </c>
      <c r="L2034" s="157">
        <v>2</v>
      </c>
      <c r="M2034" s="157">
        <v>2</v>
      </c>
      <c r="N2034" s="153">
        <f t="shared" si="337"/>
        <v>8</v>
      </c>
      <c r="O2034" s="157"/>
      <c r="P2034" s="157"/>
      <c r="Q2034" s="153">
        <f ca="1">OFFSET(card_type!$A$1,MATCH(card!B2034,card_type!B:B,0)-1,0)</f>
        <v>3017</v>
      </c>
      <c r="R2034" s="153">
        <v>1</v>
      </c>
      <c r="S2034" s="157">
        <f ca="1">ROUND(IF(R2034=0,0,IF(R2034=1,X2034*$S$1,IF(R2034=2,X2034*$S$1*buff的资质计算!$E$2,IF(R2034=3,X2034*$S$1*buff的资质计算!$E$3,0)))),0)*0</f>
        <v>0</v>
      </c>
      <c r="T2034" s="153">
        <v>3</v>
      </c>
      <c r="U2034" s="153">
        <f ca="1" t="shared" si="338"/>
        <v>33</v>
      </c>
      <c r="V2034" s="153">
        <f ca="1">ROUND((OFFSET(卡牌辅助配置表!$O$1,MATCH(U2034,卡牌辅助配置表!M:M,0)-1,0)+(N2034-1)*OFFSET(卡牌辅助配置表!$P$1,MATCH(U2034,卡牌辅助配置表!M:M,0)-1,0))*M2034,2)</f>
        <v>78.42</v>
      </c>
      <c r="W2034" s="157">
        <f ca="1">ROUND(IF(R2034=0,0,IF(R2034=1,X2034*$W$1,IF(R2034=2,X2034*$W$1*buff的资质计算!$E$2,IF(R2034=3,X2034*$W$1*buff的资质计算!$E$3,0)))),2)</f>
        <v>15.75</v>
      </c>
      <c r="X2034" s="157">
        <f ca="1" t="shared" si="333"/>
        <v>52.5</v>
      </c>
      <c r="Y2034" s="157">
        <f ca="1" t="shared" si="341"/>
        <v>67.5</v>
      </c>
      <c r="Z2034" s="304">
        <f ca="1" t="shared" si="334"/>
        <v>33.75</v>
      </c>
      <c r="AA2034" s="304">
        <f ca="1">OFFSET(卡牌辅助配置表!$AD$1,MATCH(AB2034,卡牌辅助配置表!AB:AB,0)-1,0)</f>
        <v>3984</v>
      </c>
      <c r="AB2034" s="304">
        <f ca="1" t="shared" si="339"/>
        <v>3308</v>
      </c>
      <c r="AC2034" s="153">
        <v>1</v>
      </c>
      <c r="AE2034" s="153">
        <v>3</v>
      </c>
      <c r="AF2034" s="153" t="str">
        <f ca="1" t="shared" si="332"/>
        <v>30170011|</v>
      </c>
      <c r="AJ2034" s="205" t="str">
        <f ca="1" t="shared" si="340"/>
        <v>400023|4200|;</v>
      </c>
      <c r="AK2034" s="205">
        <f ca="1">OFFSET([1]item_type!$A$1,MATCH(Q2034,[1]item_type!$G:$G,0)-1,0)</f>
        <v>303017</v>
      </c>
      <c r="AL2034" s="205"/>
      <c r="AM2034" s="205">
        <f ca="1">IF(B2034=B2035,OFFSET(卡牌辅助配置表!$AE$1,MATCH(AB2034,卡牌辅助配置表!AB:AB,0),0),0)</f>
        <v>4200</v>
      </c>
      <c r="AN2034" s="153">
        <f ca="1" t="shared" si="335"/>
        <v>3017009</v>
      </c>
      <c r="AP2034" s="153" t="str">
        <f ca="1">IF(AC2034=0,0,IF(AC2034=12,0,OFFSET(effect!$N$1,MATCH(K2034,effect!M:M,0)-1,0)))</f>
        <v>kpsx_zise</v>
      </c>
    </row>
    <row r="2035" spans="1:42">
      <c r="A2035" s="153">
        <f ca="1" t="shared" si="336"/>
        <v>3017009</v>
      </c>
      <c r="B2035" s="91" t="s">
        <v>904</v>
      </c>
      <c r="C2035" s="186">
        <v>3</v>
      </c>
      <c r="D2035" s="186">
        <v>3</v>
      </c>
      <c r="E2035" s="165" t="s">
        <v>1069</v>
      </c>
      <c r="F2035" s="179" t="s">
        <v>1074</v>
      </c>
      <c r="G2035" s="186">
        <f ca="1">OFFSET(卡牌辅助配置表!$C$1,MATCH(AC2035,卡牌辅助配置表!A:A,0)-1,0)</f>
        <v>3</v>
      </c>
      <c r="H2035" s="186">
        <f ca="1">OFFSET(skill!$Q$1,MATCH(B2035,skill!B:B,0)-1,0)</f>
        <v>15</v>
      </c>
      <c r="I2035" s="186"/>
      <c r="J2035" s="186">
        <f ca="1">OFFSET(card_type!$F$1,MATCH(Q2035,card_type!A:A,0)-1,0)</f>
        <v>3</v>
      </c>
      <c r="K2035" s="243">
        <f ca="1">OFFSET(card_type!$G$1,MATCH(Q2035,card_type!A:A,0)-1,0)</f>
        <v>3</v>
      </c>
      <c r="L2035" s="157">
        <v>2</v>
      </c>
      <c r="M2035" s="157">
        <v>2</v>
      </c>
      <c r="N2035" s="153">
        <f t="shared" si="337"/>
        <v>9</v>
      </c>
      <c r="O2035" s="157"/>
      <c r="P2035" s="157"/>
      <c r="Q2035" s="153">
        <f ca="1">OFFSET(card_type!$A$1,MATCH(card!B2035,card_type!B:B,0)-1,0)</f>
        <v>3017</v>
      </c>
      <c r="R2035" s="153">
        <v>1</v>
      </c>
      <c r="S2035" s="157">
        <f ca="1">ROUND(IF(R2035=0,0,IF(R2035=1,X2035*$S$1,IF(R2035=2,X2035*$S$1*buff的资质计算!$E$2,IF(R2035=3,X2035*$S$1*buff的资质计算!$E$3,0)))),0)*0</f>
        <v>0</v>
      </c>
      <c r="T2035" s="153">
        <v>3</v>
      </c>
      <c r="U2035" s="153">
        <f ca="1" t="shared" si="338"/>
        <v>33</v>
      </c>
      <c r="V2035" s="153">
        <f ca="1">ROUND((OFFSET(卡牌辅助配置表!$O$1,MATCH(U2035,卡牌辅助配置表!M:M,0)-1,0)+(N2035-1)*OFFSET(卡牌辅助配置表!$P$1,MATCH(U2035,卡牌辅助配置表!M:M,0)-1,0))*M2035,2)</f>
        <v>83.06</v>
      </c>
      <c r="W2035" s="157">
        <f ca="1">ROUND(IF(R2035=0,0,IF(R2035=1,X2035*$W$1,IF(R2035=2,X2035*$W$1*buff的资质计算!$E$2,IF(R2035=3,X2035*$W$1*buff的资质计算!$E$3,0)))),2)</f>
        <v>15.9</v>
      </c>
      <c r="X2035" s="157">
        <f ca="1" t="shared" si="333"/>
        <v>53</v>
      </c>
      <c r="Y2035" s="157">
        <f ca="1" t="shared" si="341"/>
        <v>68</v>
      </c>
      <c r="Z2035" s="304">
        <f ca="1" t="shared" si="334"/>
        <v>34</v>
      </c>
      <c r="AA2035" s="304">
        <f ca="1">OFFSET(卡牌辅助配置表!$AD$1,MATCH(AB2035,卡牌辅助配置表!AB:AB,0)-1,0)</f>
        <v>4482</v>
      </c>
      <c r="AB2035" s="304">
        <f ca="1" t="shared" si="339"/>
        <v>3309</v>
      </c>
      <c r="AC2035" s="153">
        <v>1</v>
      </c>
      <c r="AE2035" s="153">
        <v>3</v>
      </c>
      <c r="AF2035" s="153" t="str">
        <f ca="1" t="shared" ref="AF2035:AF2098" si="342">((Q2035*1000+1)*10+1)&amp;$AF$1</f>
        <v>30170011|</v>
      </c>
      <c r="AJ2035" s="205" t="str">
        <f ca="1" t="shared" si="340"/>
        <v>303017|15|;400023|4600|;</v>
      </c>
      <c r="AK2035" s="205">
        <f ca="1">OFFSET([1]item_type!$A$1,MATCH(Q2035,[1]item_type!$G:$G,0)-1,0)</f>
        <v>303017</v>
      </c>
      <c r="AL2035" s="205">
        <v>15</v>
      </c>
      <c r="AM2035" s="205">
        <f ca="1">IF(B2035=B2036,OFFSET(卡牌辅助配置表!$AE$1,MATCH(AB2035,卡牌辅助配置表!AB:AB,0),0),0)</f>
        <v>4600</v>
      </c>
      <c r="AN2035" s="153">
        <f ca="1" t="shared" si="335"/>
        <v>3017010</v>
      </c>
      <c r="AP2035" s="153" t="str">
        <f ca="1">IF(AC2035=0,0,IF(AC2035=12,0,OFFSET(effect!$N$1,MATCH(K2035,effect!M:M,0)-1,0)))</f>
        <v>kpsx_zise</v>
      </c>
    </row>
    <row r="2036" spans="1:42">
      <c r="A2036" s="153">
        <f ca="1" t="shared" si="336"/>
        <v>3017010</v>
      </c>
      <c r="B2036" s="91" t="s">
        <v>904</v>
      </c>
      <c r="C2036" s="186">
        <v>3</v>
      </c>
      <c r="D2036" s="186">
        <v>3</v>
      </c>
      <c r="E2036" s="165" t="s">
        <v>1069</v>
      </c>
      <c r="F2036" s="179" t="s">
        <v>1074</v>
      </c>
      <c r="G2036" s="186">
        <f ca="1">OFFSET(卡牌辅助配置表!$C$1,MATCH(AC2036,卡牌辅助配置表!A:A,0)-1,0)</f>
        <v>3</v>
      </c>
      <c r="H2036" s="186">
        <f ca="1">OFFSET(skill!$Q$1,MATCH(B2036,skill!B:B,0)-1,0)</f>
        <v>15</v>
      </c>
      <c r="I2036" s="186"/>
      <c r="J2036" s="186">
        <f ca="1">OFFSET(card_type!$F$1,MATCH(Q2036,card_type!A:A,0)-1,0)</f>
        <v>3</v>
      </c>
      <c r="K2036" s="243">
        <f ca="1">OFFSET(card_type!$G$1,MATCH(Q2036,card_type!A:A,0)-1,0)</f>
        <v>3</v>
      </c>
      <c r="L2036" s="157">
        <v>2</v>
      </c>
      <c r="M2036" s="157">
        <v>2</v>
      </c>
      <c r="N2036" s="153">
        <f t="shared" si="337"/>
        <v>10</v>
      </c>
      <c r="O2036" s="157"/>
      <c r="P2036" s="157"/>
      <c r="Q2036" s="153">
        <f ca="1">OFFSET(card_type!$A$1,MATCH(card!B2036,card_type!B:B,0)-1,0)</f>
        <v>3017</v>
      </c>
      <c r="R2036" s="153">
        <v>1</v>
      </c>
      <c r="S2036" s="157">
        <f ca="1">ROUND(IF(R2036=0,0,IF(R2036=1,X2036*$S$1,IF(R2036=2,X2036*$S$1*buff的资质计算!$E$2,IF(R2036=3,X2036*$S$1*buff的资质计算!$E$3,0)))),0)*0</f>
        <v>0</v>
      </c>
      <c r="T2036" s="153">
        <v>3</v>
      </c>
      <c r="U2036" s="153">
        <f ca="1" t="shared" si="338"/>
        <v>33</v>
      </c>
      <c r="V2036" s="153">
        <f ca="1">ROUND((OFFSET(卡牌辅助配置表!$O$1,MATCH(U2036,卡牌辅助配置表!M:M,0)-1,0)+(N2036-1)*OFFSET(卡牌辅助配置表!$P$1,MATCH(U2036,卡牌辅助配置表!M:M,0)-1,0))*M2036,2)</f>
        <v>87.7</v>
      </c>
      <c r="W2036" s="157">
        <f ca="1">ROUND(IF(R2036=0,0,IF(R2036=1,X2036*$W$1,IF(R2036=2,X2036*$W$1*buff的资质计算!$E$2,IF(R2036=3,X2036*$W$1*buff的资质计算!$E$3,0)))),2)</f>
        <v>16.05</v>
      </c>
      <c r="X2036" s="157">
        <f ca="1" t="shared" ref="X2036:X2099" si="343">M2036*($M$1+(J2036-1)*$J$1+(K2036-1)*$K$1)+G2036+$J$1*(N2036-1)/$N$1</f>
        <v>53.5</v>
      </c>
      <c r="Y2036" s="157">
        <f ca="1" t="shared" si="341"/>
        <v>68.5</v>
      </c>
      <c r="Z2036" s="304">
        <f ca="1" t="shared" ref="Z2036:Z2099" si="344">Y2036/M2036</f>
        <v>34.25</v>
      </c>
      <c r="AA2036" s="304">
        <f ca="1">OFFSET(卡牌辅助配置表!$AD$1,MATCH(AB2036,卡牌辅助配置表!AB:AB,0)-1,0)</f>
        <v>4980</v>
      </c>
      <c r="AB2036" s="304">
        <f ca="1" t="shared" si="339"/>
        <v>3310</v>
      </c>
      <c r="AC2036" s="153">
        <v>1</v>
      </c>
      <c r="AE2036" s="153">
        <v>3</v>
      </c>
      <c r="AF2036" s="153" t="str">
        <f ca="1" t="shared" si="342"/>
        <v>30170011|</v>
      </c>
      <c r="AJ2036" s="205" t="str">
        <f ca="1" t="shared" si="340"/>
        <v>400023|5400|;</v>
      </c>
      <c r="AK2036" s="205">
        <f ca="1">OFFSET([1]item_type!$A$1,MATCH(Q2036,[1]item_type!$G:$G,0)-1,0)</f>
        <v>303017</v>
      </c>
      <c r="AL2036" s="205"/>
      <c r="AM2036" s="205">
        <f ca="1">IF(B2036=B2037,OFFSET(卡牌辅助配置表!$AE$1,MATCH(AB2036,卡牌辅助配置表!AB:AB,0),0),0)</f>
        <v>5400</v>
      </c>
      <c r="AN2036" s="153">
        <f ca="1" t="shared" si="335"/>
        <v>3017011</v>
      </c>
      <c r="AP2036" s="153" t="str">
        <f ca="1">IF(AC2036=0,0,IF(AC2036=12,0,OFFSET(effect!$N$1,MATCH(K2036,effect!M:M,0)-1,0)))</f>
        <v>kpsx_zise</v>
      </c>
    </row>
    <row r="2037" spans="1:42">
      <c r="A2037" s="153">
        <f ca="1" t="shared" si="336"/>
        <v>3017011</v>
      </c>
      <c r="B2037" s="91" t="s">
        <v>904</v>
      </c>
      <c r="C2037" s="186">
        <v>3</v>
      </c>
      <c r="D2037" s="186">
        <v>3</v>
      </c>
      <c r="E2037" s="165" t="s">
        <v>1069</v>
      </c>
      <c r="F2037" s="179" t="s">
        <v>1074</v>
      </c>
      <c r="G2037" s="186">
        <f ca="1">OFFSET(卡牌辅助配置表!$C$1,MATCH(AC2037,卡牌辅助配置表!A:A,0)-1,0)</f>
        <v>3</v>
      </c>
      <c r="H2037" s="186">
        <f ca="1">OFFSET(skill!$Q$1,MATCH(B2037,skill!B:B,0)-1,0)</f>
        <v>15</v>
      </c>
      <c r="I2037" s="186"/>
      <c r="J2037" s="186">
        <f ca="1">OFFSET(card_type!$F$1,MATCH(Q2037,card_type!A:A,0)-1,0)</f>
        <v>3</v>
      </c>
      <c r="K2037" s="243">
        <f ca="1">OFFSET(card_type!$G$1,MATCH(Q2037,card_type!A:A,0)-1,0)</f>
        <v>3</v>
      </c>
      <c r="L2037" s="157">
        <v>2</v>
      </c>
      <c r="M2037" s="157">
        <v>2</v>
      </c>
      <c r="N2037" s="153">
        <f t="shared" si="337"/>
        <v>11</v>
      </c>
      <c r="O2037" s="157"/>
      <c r="P2037" s="157"/>
      <c r="Q2037" s="153">
        <f ca="1">OFFSET(card_type!$A$1,MATCH(card!B2037,card_type!B:B,0)-1,0)</f>
        <v>3017</v>
      </c>
      <c r="R2037" s="153">
        <v>1</v>
      </c>
      <c r="S2037" s="157">
        <f ca="1">ROUND(IF(R2037=0,0,IF(R2037=1,X2037*$S$1,IF(R2037=2,X2037*$S$1*buff的资质计算!$E$2,IF(R2037=3,X2037*$S$1*buff的资质计算!$E$3,0)))),0)*0</f>
        <v>0</v>
      </c>
      <c r="T2037" s="153">
        <v>3</v>
      </c>
      <c r="U2037" s="153">
        <f ca="1" t="shared" si="338"/>
        <v>33</v>
      </c>
      <c r="V2037" s="153">
        <f ca="1">ROUND((OFFSET(卡牌辅助配置表!$O$1,MATCH(U2037,卡牌辅助配置表!M:M,0)-1,0)+(N2037-1)*OFFSET(卡牌辅助配置表!$P$1,MATCH(U2037,卡牌辅助配置表!M:M,0)-1,0))*M2037,2)</f>
        <v>92.34</v>
      </c>
      <c r="W2037" s="157">
        <f ca="1">ROUND(IF(R2037=0,0,IF(R2037=1,X2037*$W$1,IF(R2037=2,X2037*$W$1*buff的资质计算!$E$2,IF(R2037=3,X2037*$W$1*buff的资质计算!$E$3,0)))),2)</f>
        <v>16.2</v>
      </c>
      <c r="X2037" s="157">
        <f ca="1" t="shared" si="343"/>
        <v>54</v>
      </c>
      <c r="Y2037" s="157">
        <f ca="1" t="shared" si="341"/>
        <v>69</v>
      </c>
      <c r="Z2037" s="304">
        <f ca="1" t="shared" si="344"/>
        <v>34.5</v>
      </c>
      <c r="AA2037" s="304">
        <f ca="1">OFFSET(卡牌辅助配置表!$AD$1,MATCH(AB2037,卡牌辅助配置表!AB:AB,0)-1,0)</f>
        <v>5727</v>
      </c>
      <c r="AB2037" s="304">
        <f ca="1" t="shared" si="339"/>
        <v>3311</v>
      </c>
      <c r="AC2037" s="153">
        <v>1</v>
      </c>
      <c r="AE2037" s="153">
        <v>3</v>
      </c>
      <c r="AF2037" s="153" t="str">
        <f ca="1" t="shared" si="342"/>
        <v>30170011|</v>
      </c>
      <c r="AJ2037" s="205" t="str">
        <f ca="1" t="shared" si="340"/>
        <v>400023|6200|;</v>
      </c>
      <c r="AK2037" s="205">
        <f ca="1">OFFSET([1]item_type!$A$1,MATCH(Q2037,[1]item_type!$G:$G,0)-1,0)</f>
        <v>303017</v>
      </c>
      <c r="AL2037" s="205"/>
      <c r="AM2037" s="205">
        <f ca="1">IF(B2037=B2038,OFFSET(卡牌辅助配置表!$AE$1,MATCH(AB2037,卡牌辅助配置表!AB:AB,0),0),0)</f>
        <v>6200</v>
      </c>
      <c r="AN2037" s="153">
        <f ca="1" t="shared" si="335"/>
        <v>3017012</v>
      </c>
      <c r="AP2037" s="153" t="str">
        <f ca="1">IF(AC2037=0,0,IF(AC2037=12,0,OFFSET(effect!$N$1,MATCH(K2037,effect!M:M,0)-1,0)))</f>
        <v>kpsx_zise</v>
      </c>
    </row>
    <row r="2038" spans="1:42">
      <c r="A2038" s="153">
        <f ca="1" t="shared" si="336"/>
        <v>3017012</v>
      </c>
      <c r="B2038" s="91" t="s">
        <v>904</v>
      </c>
      <c r="C2038" s="186">
        <v>3</v>
      </c>
      <c r="D2038" s="186">
        <v>3</v>
      </c>
      <c r="E2038" s="165" t="s">
        <v>1069</v>
      </c>
      <c r="F2038" s="179" t="s">
        <v>1074</v>
      </c>
      <c r="G2038" s="186">
        <f ca="1">OFFSET(卡牌辅助配置表!$C$1,MATCH(AC2038,卡牌辅助配置表!A:A,0)-1,0)</f>
        <v>3</v>
      </c>
      <c r="H2038" s="186">
        <f ca="1">OFFSET(skill!$Q$1,MATCH(B2038,skill!B:B,0)-1,0)</f>
        <v>15</v>
      </c>
      <c r="I2038" s="186"/>
      <c r="J2038" s="186">
        <f ca="1">OFFSET(card_type!$F$1,MATCH(Q2038,card_type!A:A,0)-1,0)</f>
        <v>3</v>
      </c>
      <c r="K2038" s="243">
        <f ca="1">OFFSET(card_type!$G$1,MATCH(Q2038,card_type!A:A,0)-1,0)</f>
        <v>3</v>
      </c>
      <c r="L2038" s="157">
        <v>2</v>
      </c>
      <c r="M2038" s="157">
        <v>2</v>
      </c>
      <c r="N2038" s="153">
        <f t="shared" si="337"/>
        <v>12</v>
      </c>
      <c r="O2038" s="157"/>
      <c r="P2038" s="157"/>
      <c r="Q2038" s="153">
        <f ca="1">OFFSET(card_type!$A$1,MATCH(card!B2038,card_type!B:B,0)-1,0)</f>
        <v>3017</v>
      </c>
      <c r="R2038" s="153">
        <v>1</v>
      </c>
      <c r="S2038" s="157">
        <f ca="1">ROUND(IF(R2038=0,0,IF(R2038=1,X2038*$S$1,IF(R2038=2,X2038*$S$1*buff的资质计算!$E$2,IF(R2038=3,X2038*$S$1*buff的资质计算!$E$3,0)))),0)*0</f>
        <v>0</v>
      </c>
      <c r="T2038" s="153">
        <v>3</v>
      </c>
      <c r="U2038" s="153">
        <f ca="1" t="shared" si="338"/>
        <v>33</v>
      </c>
      <c r="V2038" s="153">
        <f ca="1">ROUND((OFFSET(卡牌辅助配置表!$O$1,MATCH(U2038,卡牌辅助配置表!M:M,0)-1,0)+(N2038-1)*OFFSET(卡牌辅助配置表!$P$1,MATCH(U2038,卡牌辅助配置表!M:M,0)-1,0))*M2038,2)</f>
        <v>96.98</v>
      </c>
      <c r="W2038" s="157">
        <f ca="1">ROUND(IF(R2038=0,0,IF(R2038=1,X2038*$W$1,IF(R2038=2,X2038*$W$1*buff的资质计算!$E$2,IF(R2038=3,X2038*$W$1*buff的资质计算!$E$3,0)))),2)</f>
        <v>16.35</v>
      </c>
      <c r="X2038" s="157">
        <f ca="1" t="shared" si="343"/>
        <v>54.5</v>
      </c>
      <c r="Y2038" s="157">
        <f ca="1" t="shared" si="341"/>
        <v>69.5</v>
      </c>
      <c r="Z2038" s="304">
        <f ca="1" t="shared" si="344"/>
        <v>34.75</v>
      </c>
      <c r="AA2038" s="304">
        <f ca="1">OFFSET(卡牌辅助配置表!$AD$1,MATCH(AB2038,卡牌辅助配置表!AB:AB,0)-1,0)</f>
        <v>6474</v>
      </c>
      <c r="AB2038" s="304">
        <f ca="1" t="shared" si="339"/>
        <v>3312</v>
      </c>
      <c r="AC2038" s="153">
        <v>1</v>
      </c>
      <c r="AE2038" s="153">
        <v>3</v>
      </c>
      <c r="AF2038" s="153" t="str">
        <f ca="1" t="shared" si="342"/>
        <v>30170011|</v>
      </c>
      <c r="AJ2038" s="205" t="str">
        <f ca="1" t="shared" si="340"/>
        <v>400023|7000|;</v>
      </c>
      <c r="AK2038" s="205">
        <f ca="1">OFFSET([1]item_type!$A$1,MATCH(Q2038,[1]item_type!$G:$G,0)-1,0)</f>
        <v>303017</v>
      </c>
      <c r="AL2038" s="205"/>
      <c r="AM2038" s="205">
        <f ca="1">IF(B2038=B2039,OFFSET(卡牌辅助配置表!$AE$1,MATCH(AB2038,卡牌辅助配置表!AB:AB,0),0),0)</f>
        <v>7000</v>
      </c>
      <c r="AN2038" s="153">
        <f ca="1" t="shared" si="335"/>
        <v>3017013</v>
      </c>
      <c r="AP2038" s="153" t="str">
        <f ca="1">IF(AC2038=0,0,IF(AC2038=12,0,OFFSET(effect!$N$1,MATCH(K2038,effect!M:M,0)-1,0)))</f>
        <v>kpsx_zise</v>
      </c>
    </row>
    <row r="2039" spans="1:42">
      <c r="A2039" s="153">
        <f ca="1" t="shared" si="336"/>
        <v>3017013</v>
      </c>
      <c r="B2039" s="91" t="s">
        <v>904</v>
      </c>
      <c r="C2039" s="186">
        <v>3</v>
      </c>
      <c r="D2039" s="186">
        <v>3</v>
      </c>
      <c r="E2039" s="165" t="s">
        <v>1069</v>
      </c>
      <c r="F2039" s="179" t="s">
        <v>1074</v>
      </c>
      <c r="G2039" s="186">
        <f ca="1">OFFSET(卡牌辅助配置表!$C$1,MATCH(AC2039,卡牌辅助配置表!A:A,0)-1,0)</f>
        <v>3</v>
      </c>
      <c r="H2039" s="186">
        <f ca="1">OFFSET(skill!$Q$1,MATCH(B2039,skill!B:B,0)-1,0)</f>
        <v>15</v>
      </c>
      <c r="I2039" s="186"/>
      <c r="J2039" s="186">
        <f ca="1">OFFSET(card_type!$F$1,MATCH(Q2039,card_type!A:A,0)-1,0)</f>
        <v>3</v>
      </c>
      <c r="K2039" s="243">
        <f ca="1">OFFSET(card_type!$G$1,MATCH(Q2039,card_type!A:A,0)-1,0)</f>
        <v>3</v>
      </c>
      <c r="L2039" s="157">
        <v>2</v>
      </c>
      <c r="M2039" s="157">
        <v>2</v>
      </c>
      <c r="N2039" s="153">
        <f t="shared" si="337"/>
        <v>13</v>
      </c>
      <c r="O2039" s="157"/>
      <c r="P2039" s="157"/>
      <c r="Q2039" s="153">
        <f ca="1">OFFSET(card_type!$A$1,MATCH(card!B2039,card_type!B:B,0)-1,0)</f>
        <v>3017</v>
      </c>
      <c r="R2039" s="153">
        <v>1</v>
      </c>
      <c r="S2039" s="157">
        <f ca="1">ROUND(IF(R2039=0,0,IF(R2039=1,X2039*$S$1,IF(R2039=2,X2039*$S$1*buff的资质计算!$E$2,IF(R2039=3,X2039*$S$1*buff的资质计算!$E$3,0)))),0)*0</f>
        <v>0</v>
      </c>
      <c r="T2039" s="153">
        <v>3</v>
      </c>
      <c r="U2039" s="153">
        <f ca="1" t="shared" si="338"/>
        <v>33</v>
      </c>
      <c r="V2039" s="153">
        <f ca="1">ROUND((OFFSET(卡牌辅助配置表!$O$1,MATCH(U2039,卡牌辅助配置表!M:M,0)-1,0)+(N2039-1)*OFFSET(卡牌辅助配置表!$P$1,MATCH(U2039,卡牌辅助配置表!M:M,0)-1,0))*M2039,2)</f>
        <v>101.62</v>
      </c>
      <c r="W2039" s="157">
        <f ca="1">ROUND(IF(R2039=0,0,IF(R2039=1,X2039*$W$1,IF(R2039=2,X2039*$W$1*buff的资质计算!$E$2,IF(R2039=3,X2039*$W$1*buff的资质计算!$E$3,0)))),2)</f>
        <v>16.5</v>
      </c>
      <c r="X2039" s="157">
        <f ca="1" t="shared" si="343"/>
        <v>55</v>
      </c>
      <c r="Y2039" s="157">
        <f ca="1" t="shared" si="341"/>
        <v>70</v>
      </c>
      <c r="Z2039" s="304">
        <f ca="1" t="shared" si="344"/>
        <v>35</v>
      </c>
      <c r="AA2039" s="304">
        <f ca="1">OFFSET(卡牌辅助配置表!$AD$1,MATCH(AB2039,卡牌辅助配置表!AB:AB,0)-1,0)</f>
        <v>7221</v>
      </c>
      <c r="AB2039" s="304">
        <f ca="1" t="shared" si="339"/>
        <v>3313</v>
      </c>
      <c r="AC2039" s="153">
        <v>1</v>
      </c>
      <c r="AE2039" s="153">
        <v>3</v>
      </c>
      <c r="AF2039" s="153" t="str">
        <f ca="1" t="shared" si="342"/>
        <v>30170011|</v>
      </c>
      <c r="AJ2039" s="205" t="str">
        <f ca="1" t="shared" si="340"/>
        <v>400023|7800|;</v>
      </c>
      <c r="AK2039" s="205">
        <f ca="1">OFFSET([1]item_type!$A$1,MATCH(Q2039,[1]item_type!$G:$G,0)-1,0)</f>
        <v>303017</v>
      </c>
      <c r="AL2039" s="205"/>
      <c r="AM2039" s="205">
        <f ca="1">IF(B2039=B2040,OFFSET(卡牌辅助配置表!$AE$1,MATCH(AB2039,卡牌辅助配置表!AB:AB,0),0),0)</f>
        <v>7800</v>
      </c>
      <c r="AN2039" s="153">
        <f ca="1" t="shared" si="335"/>
        <v>3017014</v>
      </c>
      <c r="AP2039" s="153" t="str">
        <f ca="1">IF(AC2039=0,0,IF(AC2039=12,0,OFFSET(effect!$N$1,MATCH(K2039,effect!M:M,0)-1,0)))</f>
        <v>kpsx_zise</v>
      </c>
    </row>
    <row r="2040" spans="1:42">
      <c r="A2040" s="153">
        <f ca="1" t="shared" si="336"/>
        <v>3017014</v>
      </c>
      <c r="B2040" s="91" t="s">
        <v>904</v>
      </c>
      <c r="C2040" s="186">
        <v>3</v>
      </c>
      <c r="D2040" s="186">
        <v>3</v>
      </c>
      <c r="E2040" s="165" t="s">
        <v>1069</v>
      </c>
      <c r="F2040" s="179" t="s">
        <v>1074</v>
      </c>
      <c r="G2040" s="186">
        <f ca="1">OFFSET(卡牌辅助配置表!$C$1,MATCH(AC2040,卡牌辅助配置表!A:A,0)-1,0)</f>
        <v>3</v>
      </c>
      <c r="H2040" s="186">
        <f ca="1">OFFSET(skill!$Q$1,MATCH(B2040,skill!B:B,0)-1,0)</f>
        <v>15</v>
      </c>
      <c r="I2040" s="186"/>
      <c r="J2040" s="186">
        <f ca="1">OFFSET(card_type!$F$1,MATCH(Q2040,card_type!A:A,0)-1,0)</f>
        <v>3</v>
      </c>
      <c r="K2040" s="243">
        <f ca="1">OFFSET(card_type!$G$1,MATCH(Q2040,card_type!A:A,0)-1,0)</f>
        <v>3</v>
      </c>
      <c r="L2040" s="157">
        <v>2</v>
      </c>
      <c r="M2040" s="157">
        <v>2</v>
      </c>
      <c r="N2040" s="153">
        <f t="shared" si="337"/>
        <v>14</v>
      </c>
      <c r="O2040" s="157"/>
      <c r="P2040" s="157"/>
      <c r="Q2040" s="153">
        <f ca="1">OFFSET(card_type!$A$1,MATCH(card!B2040,card_type!B:B,0)-1,0)</f>
        <v>3017</v>
      </c>
      <c r="R2040" s="153">
        <v>1</v>
      </c>
      <c r="S2040" s="157">
        <f ca="1">ROUND(IF(R2040=0,0,IF(R2040=1,X2040*$S$1,IF(R2040=2,X2040*$S$1*buff的资质计算!$E$2,IF(R2040=3,X2040*$S$1*buff的资质计算!$E$3,0)))),0)*0</f>
        <v>0</v>
      </c>
      <c r="T2040" s="153">
        <v>3</v>
      </c>
      <c r="U2040" s="153">
        <f ca="1" t="shared" si="338"/>
        <v>33</v>
      </c>
      <c r="V2040" s="153">
        <f ca="1">ROUND((OFFSET(卡牌辅助配置表!$O$1,MATCH(U2040,卡牌辅助配置表!M:M,0)-1,0)+(N2040-1)*OFFSET(卡牌辅助配置表!$P$1,MATCH(U2040,卡牌辅助配置表!M:M,0)-1,0))*M2040,2)</f>
        <v>106.26</v>
      </c>
      <c r="W2040" s="157">
        <f ca="1">ROUND(IF(R2040=0,0,IF(R2040=1,X2040*$W$1,IF(R2040=2,X2040*$W$1*buff的资质计算!$E$2,IF(R2040=3,X2040*$W$1*buff的资质计算!$E$3,0)))),2)</f>
        <v>16.65</v>
      </c>
      <c r="X2040" s="157">
        <f ca="1" t="shared" si="343"/>
        <v>55.5</v>
      </c>
      <c r="Y2040" s="157">
        <f ca="1" t="shared" si="341"/>
        <v>70.5</v>
      </c>
      <c r="Z2040" s="304">
        <f ca="1" t="shared" si="344"/>
        <v>35.25</v>
      </c>
      <c r="AA2040" s="304">
        <f ca="1">OFFSET(卡牌辅助配置表!$AD$1,MATCH(AB2040,卡牌辅助配置表!AB:AB,0)-1,0)</f>
        <v>7968</v>
      </c>
      <c r="AB2040" s="304">
        <f ca="1" t="shared" si="339"/>
        <v>3314</v>
      </c>
      <c r="AC2040" s="153">
        <v>1</v>
      </c>
      <c r="AE2040" s="153">
        <v>3</v>
      </c>
      <c r="AF2040" s="153" t="str">
        <f ca="1" t="shared" si="342"/>
        <v>30170011|</v>
      </c>
      <c r="AJ2040" s="205" t="str">
        <f ca="1" t="shared" si="340"/>
        <v>400023|8600|;</v>
      </c>
      <c r="AK2040" s="205">
        <f ca="1">OFFSET([1]item_type!$A$1,MATCH(Q2040,[1]item_type!$G:$G,0)-1,0)</f>
        <v>303017</v>
      </c>
      <c r="AL2040" s="205"/>
      <c r="AM2040" s="205">
        <f ca="1">IF(B2040=B2041,OFFSET(卡牌辅助配置表!$AE$1,MATCH(AB2040,卡牌辅助配置表!AB:AB,0),0),0)</f>
        <v>8600</v>
      </c>
      <c r="AN2040" s="153">
        <f ca="1" t="shared" si="335"/>
        <v>3017015</v>
      </c>
      <c r="AP2040" s="153" t="str">
        <f ca="1">IF(AC2040=0,0,IF(AC2040=12,0,OFFSET(effect!$N$1,MATCH(K2040,effect!M:M,0)-1,0)))</f>
        <v>kpsx_zise</v>
      </c>
    </row>
    <row r="2041" spans="1:42">
      <c r="A2041" s="153">
        <f ca="1" t="shared" si="336"/>
        <v>3017015</v>
      </c>
      <c r="B2041" s="91" t="s">
        <v>904</v>
      </c>
      <c r="C2041" s="186">
        <v>3</v>
      </c>
      <c r="D2041" s="186">
        <v>3</v>
      </c>
      <c r="E2041" s="165" t="s">
        <v>1069</v>
      </c>
      <c r="F2041" s="179" t="s">
        <v>1074</v>
      </c>
      <c r="G2041" s="186">
        <f ca="1">OFFSET(卡牌辅助配置表!$C$1,MATCH(AC2041,卡牌辅助配置表!A:A,0)-1,0)</f>
        <v>3</v>
      </c>
      <c r="H2041" s="186">
        <f ca="1">OFFSET(skill!$Q$1,MATCH(B2041,skill!B:B,0)-1,0)</f>
        <v>15</v>
      </c>
      <c r="I2041" s="186"/>
      <c r="J2041" s="186">
        <f ca="1">OFFSET(card_type!$F$1,MATCH(Q2041,card_type!A:A,0)-1,0)</f>
        <v>3</v>
      </c>
      <c r="K2041" s="243">
        <f ca="1">OFFSET(card_type!$G$1,MATCH(Q2041,card_type!A:A,0)-1,0)</f>
        <v>3</v>
      </c>
      <c r="L2041" s="157">
        <v>2</v>
      </c>
      <c r="M2041" s="157">
        <v>2</v>
      </c>
      <c r="N2041" s="153">
        <f t="shared" si="337"/>
        <v>15</v>
      </c>
      <c r="O2041" s="157"/>
      <c r="P2041" s="157"/>
      <c r="Q2041" s="153">
        <f ca="1">OFFSET(card_type!$A$1,MATCH(card!B2041,card_type!B:B,0)-1,0)</f>
        <v>3017</v>
      </c>
      <c r="R2041" s="153">
        <v>1</v>
      </c>
      <c r="S2041" s="157">
        <f ca="1">ROUND(IF(R2041=0,0,IF(R2041=1,X2041*$S$1,IF(R2041=2,X2041*$S$1*buff的资质计算!$E$2,IF(R2041=3,X2041*$S$1*buff的资质计算!$E$3,0)))),0)*0</f>
        <v>0</v>
      </c>
      <c r="T2041" s="153">
        <v>3</v>
      </c>
      <c r="U2041" s="153">
        <f ca="1" t="shared" si="338"/>
        <v>33</v>
      </c>
      <c r="V2041" s="153">
        <f ca="1">ROUND((OFFSET(卡牌辅助配置表!$O$1,MATCH(U2041,卡牌辅助配置表!M:M,0)-1,0)+(N2041-1)*OFFSET(卡牌辅助配置表!$P$1,MATCH(U2041,卡牌辅助配置表!M:M,0)-1,0))*M2041,2)</f>
        <v>110.9</v>
      </c>
      <c r="W2041" s="157">
        <f ca="1">ROUND(IF(R2041=0,0,IF(R2041=1,X2041*$W$1,IF(R2041=2,X2041*$W$1*buff的资质计算!$E$2,IF(R2041=3,X2041*$W$1*buff的资质计算!$E$3,0)))),2)</f>
        <v>16.8</v>
      </c>
      <c r="X2041" s="157">
        <f ca="1" t="shared" si="343"/>
        <v>56</v>
      </c>
      <c r="Y2041" s="157">
        <f ca="1" t="shared" si="341"/>
        <v>71</v>
      </c>
      <c r="Z2041" s="304">
        <f ca="1" t="shared" si="344"/>
        <v>35.5</v>
      </c>
      <c r="AA2041" s="304">
        <f ca="1">OFFSET(卡牌辅助配置表!$AD$1,MATCH(AB2041,卡牌辅助配置表!AB:AB,0)-1,0)</f>
        <v>8715</v>
      </c>
      <c r="AB2041" s="304">
        <f ca="1" t="shared" si="339"/>
        <v>3315</v>
      </c>
      <c r="AC2041" s="153">
        <v>1</v>
      </c>
      <c r="AE2041" s="153">
        <v>3</v>
      </c>
      <c r="AF2041" s="153" t="str">
        <f ca="1" t="shared" si="342"/>
        <v>30170011|</v>
      </c>
      <c r="AJ2041" s="205" t="str">
        <f ca="1" t="shared" si="340"/>
        <v>400023|9400|;</v>
      </c>
      <c r="AK2041" s="205">
        <f ca="1">OFFSET([1]item_type!$A$1,MATCH(Q2041,[1]item_type!$G:$G,0)-1,0)</f>
        <v>303017</v>
      </c>
      <c r="AL2041" s="205"/>
      <c r="AM2041" s="205">
        <f ca="1">IF(B2041=B2042,OFFSET(卡牌辅助配置表!$AE$1,MATCH(AB2041,卡牌辅助配置表!AB:AB,0),0),0)</f>
        <v>9400</v>
      </c>
      <c r="AN2041" s="153">
        <f ca="1" t="shared" si="335"/>
        <v>3017016</v>
      </c>
      <c r="AP2041" s="153" t="str">
        <f ca="1">IF(AC2041=0,0,IF(AC2041=12,0,OFFSET(effect!$N$1,MATCH(K2041,effect!M:M,0)-1,0)))</f>
        <v>kpsx_zise</v>
      </c>
    </row>
    <row r="2042" spans="1:42">
      <c r="A2042" s="153">
        <f ca="1" t="shared" si="336"/>
        <v>3017016</v>
      </c>
      <c r="B2042" s="91" t="s">
        <v>904</v>
      </c>
      <c r="C2042" s="186">
        <v>3</v>
      </c>
      <c r="D2042" s="186">
        <v>3</v>
      </c>
      <c r="E2042" s="165" t="s">
        <v>1069</v>
      </c>
      <c r="F2042" s="179" t="s">
        <v>1074</v>
      </c>
      <c r="G2042" s="186">
        <f ca="1">OFFSET(卡牌辅助配置表!$C$1,MATCH(AC2042,卡牌辅助配置表!A:A,0)-1,0)</f>
        <v>3</v>
      </c>
      <c r="H2042" s="186">
        <f ca="1">OFFSET(skill!$Q$1,MATCH(B2042,skill!B:B,0)-1,0)</f>
        <v>15</v>
      </c>
      <c r="I2042" s="186"/>
      <c r="J2042" s="186">
        <f ca="1">OFFSET(card_type!$F$1,MATCH(Q2042,card_type!A:A,0)-1,0)</f>
        <v>3</v>
      </c>
      <c r="K2042" s="243">
        <f ca="1">OFFSET(card_type!$G$1,MATCH(Q2042,card_type!A:A,0)-1,0)</f>
        <v>3</v>
      </c>
      <c r="L2042" s="157">
        <v>2</v>
      </c>
      <c r="M2042" s="157">
        <v>2</v>
      </c>
      <c r="N2042" s="153">
        <f t="shared" si="337"/>
        <v>16</v>
      </c>
      <c r="O2042" s="157"/>
      <c r="P2042" s="157"/>
      <c r="Q2042" s="153">
        <f ca="1">OFFSET(card_type!$A$1,MATCH(card!B2042,card_type!B:B,0)-1,0)</f>
        <v>3017</v>
      </c>
      <c r="R2042" s="153">
        <v>1</v>
      </c>
      <c r="S2042" s="157">
        <f ca="1">ROUND(IF(R2042=0,0,IF(R2042=1,X2042*$S$1,IF(R2042=2,X2042*$S$1*buff的资质计算!$E$2,IF(R2042=3,X2042*$S$1*buff的资质计算!$E$3,0)))),0)*0</f>
        <v>0</v>
      </c>
      <c r="T2042" s="153">
        <v>3</v>
      </c>
      <c r="U2042" s="153">
        <f ca="1" t="shared" si="338"/>
        <v>33</v>
      </c>
      <c r="V2042" s="153">
        <f ca="1">ROUND((OFFSET(卡牌辅助配置表!$O$1,MATCH(U2042,卡牌辅助配置表!M:M,0)-1,0)+(N2042-1)*OFFSET(卡牌辅助配置表!$P$1,MATCH(U2042,卡牌辅助配置表!M:M,0)-1,0))*M2042,2)</f>
        <v>115.54</v>
      </c>
      <c r="W2042" s="157">
        <f ca="1">ROUND(IF(R2042=0,0,IF(R2042=1,X2042*$W$1,IF(R2042=2,X2042*$W$1*buff的资质计算!$E$2,IF(R2042=3,X2042*$W$1*buff的资质计算!$E$3,0)))),2)</f>
        <v>16.95</v>
      </c>
      <c r="X2042" s="157">
        <f ca="1" t="shared" si="343"/>
        <v>56.5</v>
      </c>
      <c r="Y2042" s="157">
        <f ca="1" t="shared" si="341"/>
        <v>71.5</v>
      </c>
      <c r="Z2042" s="304">
        <f ca="1" t="shared" si="344"/>
        <v>35.75</v>
      </c>
      <c r="AA2042" s="304">
        <f ca="1">OFFSET(卡牌辅助配置表!$AD$1,MATCH(AB2042,卡牌辅助配置表!AB:AB,0)-1,0)</f>
        <v>9462</v>
      </c>
      <c r="AB2042" s="304">
        <f ca="1" t="shared" si="339"/>
        <v>3316</v>
      </c>
      <c r="AC2042" s="153">
        <v>1</v>
      </c>
      <c r="AE2042" s="153">
        <v>3</v>
      </c>
      <c r="AF2042" s="153" t="str">
        <f ca="1" t="shared" si="342"/>
        <v>30170011|</v>
      </c>
      <c r="AJ2042" s="205" t="str">
        <f ca="1" t="shared" si="340"/>
        <v>400023|10200|;</v>
      </c>
      <c r="AK2042" s="205">
        <f ca="1">OFFSET([1]item_type!$A$1,MATCH(Q2042,[1]item_type!$G:$G,0)-1,0)</f>
        <v>303017</v>
      </c>
      <c r="AL2042" s="205"/>
      <c r="AM2042" s="205">
        <f ca="1">IF(B2042=B2043,OFFSET(卡牌辅助配置表!$AE$1,MATCH(AB2042,卡牌辅助配置表!AB:AB,0),0),0)</f>
        <v>10200</v>
      </c>
      <c r="AN2042" s="153">
        <f ca="1" t="shared" si="335"/>
        <v>3017017</v>
      </c>
      <c r="AP2042" s="153" t="str">
        <f ca="1">IF(AC2042=0,0,IF(AC2042=12,0,OFFSET(effect!$N$1,MATCH(K2042,effect!M:M,0)-1,0)))</f>
        <v>kpsx_zise</v>
      </c>
    </row>
    <row r="2043" spans="1:42">
      <c r="A2043" s="153">
        <f ca="1" t="shared" si="336"/>
        <v>3017017</v>
      </c>
      <c r="B2043" s="91" t="s">
        <v>904</v>
      </c>
      <c r="C2043" s="186">
        <v>3</v>
      </c>
      <c r="D2043" s="186">
        <v>3</v>
      </c>
      <c r="E2043" s="165" t="s">
        <v>1069</v>
      </c>
      <c r="F2043" s="179" t="s">
        <v>1074</v>
      </c>
      <c r="G2043" s="186">
        <f ca="1">OFFSET(卡牌辅助配置表!$C$1,MATCH(AC2043,卡牌辅助配置表!A:A,0)-1,0)</f>
        <v>3</v>
      </c>
      <c r="H2043" s="186">
        <f ca="1">OFFSET(skill!$Q$1,MATCH(B2043,skill!B:B,0)-1,0)</f>
        <v>15</v>
      </c>
      <c r="I2043" s="186"/>
      <c r="J2043" s="186">
        <f ca="1">OFFSET(card_type!$F$1,MATCH(Q2043,card_type!A:A,0)-1,0)</f>
        <v>3</v>
      </c>
      <c r="K2043" s="243">
        <f ca="1">OFFSET(card_type!$G$1,MATCH(Q2043,card_type!A:A,0)-1,0)</f>
        <v>3</v>
      </c>
      <c r="L2043" s="157">
        <v>2</v>
      </c>
      <c r="M2043" s="157">
        <v>2</v>
      </c>
      <c r="N2043" s="153">
        <f t="shared" si="337"/>
        <v>17</v>
      </c>
      <c r="O2043" s="157"/>
      <c r="P2043" s="157"/>
      <c r="Q2043" s="153">
        <f ca="1">OFFSET(card_type!$A$1,MATCH(card!B2043,card_type!B:B,0)-1,0)</f>
        <v>3017</v>
      </c>
      <c r="R2043" s="153">
        <v>1</v>
      </c>
      <c r="S2043" s="157">
        <f ca="1">ROUND(IF(R2043=0,0,IF(R2043=1,X2043*$S$1,IF(R2043=2,X2043*$S$1*buff的资质计算!$E$2,IF(R2043=3,X2043*$S$1*buff的资质计算!$E$3,0)))),0)*0</f>
        <v>0</v>
      </c>
      <c r="T2043" s="153">
        <v>3</v>
      </c>
      <c r="U2043" s="153">
        <f ca="1" t="shared" si="338"/>
        <v>33</v>
      </c>
      <c r="V2043" s="153">
        <f ca="1">ROUND((OFFSET(卡牌辅助配置表!$O$1,MATCH(U2043,卡牌辅助配置表!M:M,0)-1,0)+(N2043-1)*OFFSET(卡牌辅助配置表!$P$1,MATCH(U2043,卡牌辅助配置表!M:M,0)-1,0))*M2043,2)</f>
        <v>120.18</v>
      </c>
      <c r="W2043" s="157">
        <f ca="1">ROUND(IF(R2043=0,0,IF(R2043=1,X2043*$W$1,IF(R2043=2,X2043*$W$1*buff的资质计算!$E$2,IF(R2043=3,X2043*$W$1*buff的资质计算!$E$3,0)))),2)</f>
        <v>17.1</v>
      </c>
      <c r="X2043" s="157">
        <f ca="1" t="shared" si="343"/>
        <v>57</v>
      </c>
      <c r="Y2043" s="157">
        <f ca="1" t="shared" si="341"/>
        <v>72</v>
      </c>
      <c r="Z2043" s="304">
        <f ca="1" t="shared" si="344"/>
        <v>36</v>
      </c>
      <c r="AA2043" s="304">
        <f ca="1">OFFSET(卡牌辅助配置表!$AD$1,MATCH(AB2043,卡牌辅助配置表!AB:AB,0)-1,0)</f>
        <v>10209</v>
      </c>
      <c r="AB2043" s="304">
        <f ca="1" t="shared" si="339"/>
        <v>3317</v>
      </c>
      <c r="AC2043" s="153">
        <v>1</v>
      </c>
      <c r="AE2043" s="153">
        <v>3</v>
      </c>
      <c r="AF2043" s="153" t="str">
        <f ca="1" t="shared" si="342"/>
        <v>30170011|</v>
      </c>
      <c r="AJ2043" s="205" t="str">
        <f ca="1" t="shared" si="340"/>
        <v>400023|11000|;</v>
      </c>
      <c r="AK2043" s="205">
        <f ca="1">OFFSET([1]item_type!$A$1,MATCH(Q2043,[1]item_type!$G:$G,0)-1,0)</f>
        <v>303017</v>
      </c>
      <c r="AL2043" s="205"/>
      <c r="AM2043" s="205">
        <f ca="1">IF(B2043=B2044,OFFSET(卡牌辅助配置表!$AE$1,MATCH(AB2043,卡牌辅助配置表!AB:AB,0),0),0)</f>
        <v>11000</v>
      </c>
      <c r="AN2043" s="153">
        <f ca="1" t="shared" si="335"/>
        <v>3017018</v>
      </c>
      <c r="AP2043" s="153" t="str">
        <f ca="1">IF(AC2043=0,0,IF(AC2043=12,0,OFFSET(effect!$N$1,MATCH(K2043,effect!M:M,0)-1,0)))</f>
        <v>kpsx_zise</v>
      </c>
    </row>
    <row r="2044" spans="1:42">
      <c r="A2044" s="153">
        <f ca="1" t="shared" si="336"/>
        <v>3017018</v>
      </c>
      <c r="B2044" s="91" t="s">
        <v>904</v>
      </c>
      <c r="C2044" s="186">
        <v>3</v>
      </c>
      <c r="D2044" s="186">
        <v>3</v>
      </c>
      <c r="E2044" s="165" t="s">
        <v>1069</v>
      </c>
      <c r="F2044" s="179" t="s">
        <v>1074</v>
      </c>
      <c r="G2044" s="186">
        <f ca="1">OFFSET(卡牌辅助配置表!$C$1,MATCH(AC2044,卡牌辅助配置表!A:A,0)-1,0)</f>
        <v>3</v>
      </c>
      <c r="H2044" s="186">
        <f ca="1">OFFSET(skill!$Q$1,MATCH(B2044,skill!B:B,0)-1,0)</f>
        <v>15</v>
      </c>
      <c r="I2044" s="186"/>
      <c r="J2044" s="186">
        <f ca="1">OFFSET(card_type!$F$1,MATCH(Q2044,card_type!A:A,0)-1,0)</f>
        <v>3</v>
      </c>
      <c r="K2044" s="243">
        <f ca="1">OFFSET(card_type!$G$1,MATCH(Q2044,card_type!A:A,0)-1,0)</f>
        <v>3</v>
      </c>
      <c r="L2044" s="157">
        <v>2</v>
      </c>
      <c r="M2044" s="157">
        <v>2</v>
      </c>
      <c r="N2044" s="153">
        <f t="shared" si="337"/>
        <v>18</v>
      </c>
      <c r="O2044" s="157"/>
      <c r="P2044" s="157"/>
      <c r="Q2044" s="153">
        <f ca="1">OFFSET(card_type!$A$1,MATCH(card!B2044,card_type!B:B,0)-1,0)</f>
        <v>3017</v>
      </c>
      <c r="R2044" s="153">
        <v>1</v>
      </c>
      <c r="S2044" s="157">
        <f ca="1">ROUND(IF(R2044=0,0,IF(R2044=1,X2044*$S$1,IF(R2044=2,X2044*$S$1*buff的资质计算!$E$2,IF(R2044=3,X2044*$S$1*buff的资质计算!$E$3,0)))),0)*0</f>
        <v>0</v>
      </c>
      <c r="T2044" s="153">
        <v>3</v>
      </c>
      <c r="U2044" s="153">
        <f ca="1" t="shared" si="338"/>
        <v>33</v>
      </c>
      <c r="V2044" s="153">
        <f ca="1">ROUND((OFFSET(卡牌辅助配置表!$O$1,MATCH(U2044,卡牌辅助配置表!M:M,0)-1,0)+(N2044-1)*OFFSET(卡牌辅助配置表!$P$1,MATCH(U2044,卡牌辅助配置表!M:M,0)-1,0))*M2044,2)</f>
        <v>124.82</v>
      </c>
      <c r="W2044" s="157">
        <f ca="1">ROUND(IF(R2044=0,0,IF(R2044=1,X2044*$W$1,IF(R2044=2,X2044*$W$1*buff的资质计算!$E$2,IF(R2044=3,X2044*$W$1*buff的资质计算!$E$3,0)))),2)</f>
        <v>17.25</v>
      </c>
      <c r="X2044" s="157">
        <f ca="1" t="shared" si="343"/>
        <v>57.5</v>
      </c>
      <c r="Y2044" s="157">
        <f ca="1" t="shared" si="341"/>
        <v>72.5</v>
      </c>
      <c r="Z2044" s="304">
        <f ca="1" t="shared" si="344"/>
        <v>36.25</v>
      </c>
      <c r="AA2044" s="304">
        <f ca="1">OFFSET(卡牌辅助配置表!$AD$1,MATCH(AB2044,卡牌辅助配置表!AB:AB,0)-1,0)</f>
        <v>10956</v>
      </c>
      <c r="AB2044" s="304">
        <f ca="1" t="shared" si="339"/>
        <v>3318</v>
      </c>
      <c r="AC2044" s="153">
        <v>1</v>
      </c>
      <c r="AE2044" s="153">
        <v>3</v>
      </c>
      <c r="AF2044" s="153" t="str">
        <f ca="1" t="shared" si="342"/>
        <v>30170011|</v>
      </c>
      <c r="AJ2044" s="205" t="str">
        <f ca="1" t="shared" si="340"/>
        <v>400023|11800|;</v>
      </c>
      <c r="AK2044" s="205">
        <f ca="1">OFFSET([1]item_type!$A$1,MATCH(Q2044,[1]item_type!$G:$G,0)-1,0)</f>
        <v>303017</v>
      </c>
      <c r="AL2044" s="205"/>
      <c r="AM2044" s="205">
        <f ca="1">IF(B2044=B2045,OFFSET(卡牌辅助配置表!$AE$1,MATCH(AB2044,卡牌辅助配置表!AB:AB,0),0),0)</f>
        <v>11800</v>
      </c>
      <c r="AN2044" s="153">
        <f ca="1" t="shared" si="335"/>
        <v>3017019</v>
      </c>
      <c r="AP2044" s="153" t="str">
        <f ca="1">IF(AC2044=0,0,IF(AC2044=12,0,OFFSET(effect!$N$1,MATCH(K2044,effect!M:M,0)-1,0)))</f>
        <v>kpsx_zise</v>
      </c>
    </row>
    <row r="2045" spans="1:42">
      <c r="A2045" s="153">
        <f ca="1" t="shared" si="336"/>
        <v>3017019</v>
      </c>
      <c r="B2045" s="91" t="s">
        <v>904</v>
      </c>
      <c r="C2045" s="186">
        <v>3</v>
      </c>
      <c r="D2045" s="186">
        <v>3</v>
      </c>
      <c r="E2045" s="165" t="s">
        <v>1069</v>
      </c>
      <c r="F2045" s="179" t="s">
        <v>1074</v>
      </c>
      <c r="G2045" s="186">
        <f ca="1">OFFSET(卡牌辅助配置表!$C$1,MATCH(AC2045,卡牌辅助配置表!A:A,0)-1,0)</f>
        <v>3</v>
      </c>
      <c r="H2045" s="186">
        <f ca="1">OFFSET(skill!$Q$1,MATCH(B2045,skill!B:B,0)-1,0)</f>
        <v>15</v>
      </c>
      <c r="I2045" s="186"/>
      <c r="J2045" s="186">
        <f ca="1">OFFSET(card_type!$F$1,MATCH(Q2045,card_type!A:A,0)-1,0)</f>
        <v>3</v>
      </c>
      <c r="K2045" s="243">
        <f ca="1">OFFSET(card_type!$G$1,MATCH(Q2045,card_type!A:A,0)-1,0)</f>
        <v>3</v>
      </c>
      <c r="L2045" s="157">
        <v>2</v>
      </c>
      <c r="M2045" s="157">
        <v>2</v>
      </c>
      <c r="N2045" s="153">
        <f t="shared" si="337"/>
        <v>19</v>
      </c>
      <c r="O2045" s="157"/>
      <c r="P2045" s="157"/>
      <c r="Q2045" s="153">
        <f ca="1">OFFSET(card_type!$A$1,MATCH(card!B2045,card_type!B:B,0)-1,0)</f>
        <v>3017</v>
      </c>
      <c r="R2045" s="153">
        <v>1</v>
      </c>
      <c r="S2045" s="157">
        <f ca="1">ROUND(IF(R2045=0,0,IF(R2045=1,X2045*$S$1,IF(R2045=2,X2045*$S$1*buff的资质计算!$E$2,IF(R2045=3,X2045*$S$1*buff的资质计算!$E$3,0)))),0)*0</f>
        <v>0</v>
      </c>
      <c r="T2045" s="153">
        <v>3</v>
      </c>
      <c r="U2045" s="153">
        <f ca="1" t="shared" si="338"/>
        <v>33</v>
      </c>
      <c r="V2045" s="153">
        <f ca="1">ROUND((OFFSET(卡牌辅助配置表!$O$1,MATCH(U2045,卡牌辅助配置表!M:M,0)-1,0)+(N2045-1)*OFFSET(卡牌辅助配置表!$P$1,MATCH(U2045,卡牌辅助配置表!M:M,0)-1,0))*M2045,2)</f>
        <v>129.46</v>
      </c>
      <c r="W2045" s="157">
        <f ca="1">ROUND(IF(R2045=0,0,IF(R2045=1,X2045*$W$1,IF(R2045=2,X2045*$W$1*buff的资质计算!$E$2,IF(R2045=3,X2045*$W$1*buff的资质计算!$E$3,0)))),2)</f>
        <v>17.4</v>
      </c>
      <c r="X2045" s="157">
        <f ca="1" t="shared" si="343"/>
        <v>58</v>
      </c>
      <c r="Y2045" s="157">
        <f ca="1" t="shared" si="341"/>
        <v>73</v>
      </c>
      <c r="Z2045" s="304">
        <f ca="1" t="shared" si="344"/>
        <v>36.5</v>
      </c>
      <c r="AA2045" s="304">
        <f ca="1">OFFSET(卡牌辅助配置表!$AD$1,MATCH(AB2045,卡牌辅助配置表!AB:AB,0)-1,0)</f>
        <v>11703</v>
      </c>
      <c r="AB2045" s="304">
        <f ca="1" t="shared" si="339"/>
        <v>3319</v>
      </c>
      <c r="AC2045" s="153">
        <v>1</v>
      </c>
      <c r="AE2045" s="153">
        <v>3</v>
      </c>
      <c r="AF2045" s="153" t="str">
        <f ca="1" t="shared" si="342"/>
        <v>30170011|</v>
      </c>
      <c r="AJ2045" s="205" t="str">
        <f ca="1" t="shared" si="340"/>
        <v>303017|20|;400023|12600|;</v>
      </c>
      <c r="AK2045" s="205">
        <f ca="1">OFFSET([1]item_type!$A$1,MATCH(Q2045,[1]item_type!$G:$G,0)-1,0)</f>
        <v>303017</v>
      </c>
      <c r="AL2045" s="205">
        <v>20</v>
      </c>
      <c r="AM2045" s="205">
        <f ca="1">IF(B2045=B2046,OFFSET(卡牌辅助配置表!$AE$1,MATCH(AB2045,卡牌辅助配置表!AB:AB,0),0),0)</f>
        <v>12600</v>
      </c>
      <c r="AN2045" s="153">
        <f ca="1" t="shared" si="335"/>
        <v>3017020</v>
      </c>
      <c r="AP2045" s="153" t="str">
        <f ca="1">IF(AC2045=0,0,IF(AC2045=12,0,OFFSET(effect!$N$1,MATCH(K2045,effect!M:M,0)-1,0)))</f>
        <v>kpsx_zise</v>
      </c>
    </row>
    <row r="2046" spans="1:42">
      <c r="A2046" s="153">
        <f ca="1" t="shared" si="336"/>
        <v>3017020</v>
      </c>
      <c r="B2046" s="91" t="s">
        <v>904</v>
      </c>
      <c r="C2046" s="186">
        <v>3</v>
      </c>
      <c r="D2046" s="186">
        <v>3</v>
      </c>
      <c r="E2046" s="165" t="s">
        <v>1069</v>
      </c>
      <c r="F2046" s="179" t="s">
        <v>1074</v>
      </c>
      <c r="G2046" s="186">
        <f ca="1">OFFSET(卡牌辅助配置表!$C$1,MATCH(AC2046,卡牌辅助配置表!A:A,0)-1,0)</f>
        <v>3</v>
      </c>
      <c r="H2046" s="186">
        <f ca="1">OFFSET(skill!$Q$1,MATCH(B2046,skill!B:B,0)-1,0)</f>
        <v>15</v>
      </c>
      <c r="I2046" s="186"/>
      <c r="J2046" s="186">
        <f ca="1">OFFSET(card_type!$F$1,MATCH(Q2046,card_type!A:A,0)-1,0)</f>
        <v>3</v>
      </c>
      <c r="K2046" s="243">
        <f ca="1">OFFSET(card_type!$G$1,MATCH(Q2046,card_type!A:A,0)-1,0)</f>
        <v>3</v>
      </c>
      <c r="L2046" s="157">
        <v>2</v>
      </c>
      <c r="M2046" s="157">
        <v>2</v>
      </c>
      <c r="N2046" s="153">
        <f t="shared" si="337"/>
        <v>20</v>
      </c>
      <c r="O2046" s="157"/>
      <c r="P2046" s="157"/>
      <c r="Q2046" s="153">
        <f ca="1">OFFSET(card_type!$A$1,MATCH(card!B2046,card_type!B:B,0)-1,0)</f>
        <v>3017</v>
      </c>
      <c r="R2046" s="153">
        <v>1</v>
      </c>
      <c r="S2046" s="157">
        <f ca="1">ROUND(IF(R2046=0,0,IF(R2046=1,X2046*$S$1,IF(R2046=2,X2046*$S$1*buff的资质计算!$E$2,IF(R2046=3,X2046*$S$1*buff的资质计算!$E$3,0)))),0)*0</f>
        <v>0</v>
      </c>
      <c r="T2046" s="153">
        <v>3</v>
      </c>
      <c r="U2046" s="153">
        <f ca="1" t="shared" si="338"/>
        <v>33</v>
      </c>
      <c r="V2046" s="153">
        <f ca="1">ROUND((OFFSET(卡牌辅助配置表!$O$1,MATCH(U2046,卡牌辅助配置表!M:M,0)-1,0)+(N2046-1)*OFFSET(卡牌辅助配置表!$P$1,MATCH(U2046,卡牌辅助配置表!M:M,0)-1,0))*M2046,2)</f>
        <v>134.1</v>
      </c>
      <c r="W2046" s="157">
        <f ca="1">ROUND(IF(R2046=0,0,IF(R2046=1,X2046*$W$1,IF(R2046=2,X2046*$W$1*buff的资质计算!$E$2,IF(R2046=3,X2046*$W$1*buff的资质计算!$E$3,0)))),2)</f>
        <v>17.55</v>
      </c>
      <c r="X2046" s="157">
        <f ca="1" t="shared" si="343"/>
        <v>58.5</v>
      </c>
      <c r="Y2046" s="157">
        <f ca="1" t="shared" si="341"/>
        <v>73.5</v>
      </c>
      <c r="Z2046" s="304">
        <f ca="1" t="shared" si="344"/>
        <v>36.75</v>
      </c>
      <c r="AA2046" s="304">
        <f ca="1">OFFSET(卡牌辅助配置表!$AD$1,MATCH(AB2046,卡牌辅助配置表!AB:AB,0)-1,0)</f>
        <v>12450</v>
      </c>
      <c r="AB2046" s="304">
        <f ca="1" t="shared" si="339"/>
        <v>3320</v>
      </c>
      <c r="AC2046" s="153">
        <v>1</v>
      </c>
      <c r="AE2046" s="153">
        <v>3</v>
      </c>
      <c r="AF2046" s="153" t="str">
        <f ca="1" t="shared" si="342"/>
        <v>30170011|</v>
      </c>
      <c r="AJ2046" s="205" t="str">
        <f ca="1" t="shared" si="340"/>
        <v>400023|14200|;</v>
      </c>
      <c r="AK2046" s="205">
        <f ca="1">OFFSET([1]item_type!$A$1,MATCH(Q2046,[1]item_type!$G:$G,0)-1,0)</f>
        <v>303017</v>
      </c>
      <c r="AL2046" s="205"/>
      <c r="AM2046" s="205">
        <f ca="1">IF(B2046=B2047,OFFSET(卡牌辅助配置表!$AE$1,MATCH(AB2046,卡牌辅助配置表!AB:AB,0),0),0)</f>
        <v>14200</v>
      </c>
      <c r="AN2046" s="153">
        <f ca="1" t="shared" si="335"/>
        <v>3017021</v>
      </c>
      <c r="AP2046" s="153" t="str">
        <f ca="1">IF(AC2046=0,0,IF(AC2046=12,0,OFFSET(effect!$N$1,MATCH(K2046,effect!M:M,0)-1,0)))</f>
        <v>kpsx_zise</v>
      </c>
    </row>
    <row r="2047" spans="1:42">
      <c r="A2047" s="153">
        <f ca="1" t="shared" si="336"/>
        <v>3017021</v>
      </c>
      <c r="B2047" s="91" t="s">
        <v>904</v>
      </c>
      <c r="C2047" s="186">
        <v>3</v>
      </c>
      <c r="D2047" s="186">
        <v>3</v>
      </c>
      <c r="E2047" s="165" t="s">
        <v>1069</v>
      </c>
      <c r="F2047" s="179" t="s">
        <v>1074</v>
      </c>
      <c r="G2047" s="186">
        <f ca="1">OFFSET(卡牌辅助配置表!$C$1,MATCH(AC2047,卡牌辅助配置表!A:A,0)-1,0)</f>
        <v>3</v>
      </c>
      <c r="H2047" s="186">
        <f ca="1">OFFSET(skill!$Q$1,MATCH(B2047,skill!B:B,0)-1,0)</f>
        <v>15</v>
      </c>
      <c r="I2047" s="186"/>
      <c r="J2047" s="186">
        <f ca="1">OFFSET(card_type!$F$1,MATCH(Q2047,card_type!A:A,0)-1,0)</f>
        <v>3</v>
      </c>
      <c r="K2047" s="243">
        <f ca="1">OFFSET(card_type!$G$1,MATCH(Q2047,card_type!A:A,0)-1,0)</f>
        <v>3</v>
      </c>
      <c r="L2047" s="157">
        <v>2</v>
      </c>
      <c r="M2047" s="157">
        <v>2</v>
      </c>
      <c r="N2047" s="153">
        <f t="shared" si="337"/>
        <v>21</v>
      </c>
      <c r="O2047" s="157"/>
      <c r="P2047" s="157"/>
      <c r="Q2047" s="153">
        <f ca="1">OFFSET(card_type!$A$1,MATCH(card!B2047,card_type!B:B,0)-1,0)</f>
        <v>3017</v>
      </c>
      <c r="R2047" s="153">
        <v>1</v>
      </c>
      <c r="S2047" s="157">
        <f ca="1">ROUND(IF(R2047=0,0,IF(R2047=1,X2047*$S$1,IF(R2047=2,X2047*$S$1*buff的资质计算!$E$2,IF(R2047=3,X2047*$S$1*buff的资质计算!$E$3,0)))),0)*0</f>
        <v>0</v>
      </c>
      <c r="T2047" s="153">
        <v>3</v>
      </c>
      <c r="U2047" s="153">
        <f ca="1" t="shared" si="338"/>
        <v>33</v>
      </c>
      <c r="V2047" s="153">
        <f ca="1">ROUND((OFFSET(卡牌辅助配置表!$O$1,MATCH(U2047,卡牌辅助配置表!M:M,0)-1,0)+(N2047-1)*OFFSET(卡牌辅助配置表!$P$1,MATCH(U2047,卡牌辅助配置表!M:M,0)-1,0))*M2047,2)</f>
        <v>138.74</v>
      </c>
      <c r="W2047" s="157">
        <f ca="1">ROUND(IF(R2047=0,0,IF(R2047=1,X2047*$W$1,IF(R2047=2,X2047*$W$1*buff的资质计算!$E$2,IF(R2047=3,X2047*$W$1*buff的资质计算!$E$3,0)))),2)</f>
        <v>17.7</v>
      </c>
      <c r="X2047" s="157">
        <f ca="1" t="shared" si="343"/>
        <v>59</v>
      </c>
      <c r="Y2047" s="157">
        <f ca="1" t="shared" si="341"/>
        <v>74</v>
      </c>
      <c r="Z2047" s="304">
        <f ca="1" t="shared" si="344"/>
        <v>37</v>
      </c>
      <c r="AA2047" s="304">
        <f ca="1">OFFSET(卡牌辅助配置表!$AD$1,MATCH(AB2047,卡牌辅助配置表!AB:AB,0)-1,0)</f>
        <v>13446</v>
      </c>
      <c r="AB2047" s="304">
        <f ca="1" t="shared" si="339"/>
        <v>3321</v>
      </c>
      <c r="AC2047" s="153">
        <v>1</v>
      </c>
      <c r="AE2047" s="153">
        <v>3</v>
      </c>
      <c r="AF2047" s="153" t="str">
        <f ca="1" t="shared" si="342"/>
        <v>30170011|</v>
      </c>
      <c r="AJ2047" s="205" t="str">
        <f ca="1" t="shared" si="340"/>
        <v>400023|15800|;</v>
      </c>
      <c r="AK2047" s="205">
        <f ca="1">OFFSET([1]item_type!$A$1,MATCH(Q2047,[1]item_type!$G:$G,0)-1,0)</f>
        <v>303017</v>
      </c>
      <c r="AL2047" s="205"/>
      <c r="AM2047" s="205">
        <f ca="1">IF(B2047=B2048,OFFSET(卡牌辅助配置表!$AE$1,MATCH(AB2047,卡牌辅助配置表!AB:AB,0),0),0)</f>
        <v>15800</v>
      </c>
      <c r="AN2047" s="153">
        <f ca="1" t="shared" si="335"/>
        <v>3017022</v>
      </c>
      <c r="AP2047" s="153" t="str">
        <f ca="1">IF(AC2047=0,0,IF(AC2047=12,0,OFFSET(effect!$N$1,MATCH(K2047,effect!M:M,0)-1,0)))</f>
        <v>kpsx_zise</v>
      </c>
    </row>
    <row r="2048" spans="1:42">
      <c r="A2048" s="153">
        <f ca="1" t="shared" si="336"/>
        <v>3017022</v>
      </c>
      <c r="B2048" s="91" t="s">
        <v>904</v>
      </c>
      <c r="C2048" s="186">
        <v>3</v>
      </c>
      <c r="D2048" s="186">
        <v>3</v>
      </c>
      <c r="E2048" s="165" t="s">
        <v>1069</v>
      </c>
      <c r="F2048" s="179" t="s">
        <v>1074</v>
      </c>
      <c r="G2048" s="186">
        <f ca="1">OFFSET(卡牌辅助配置表!$C$1,MATCH(AC2048,卡牌辅助配置表!A:A,0)-1,0)</f>
        <v>3</v>
      </c>
      <c r="H2048" s="186">
        <f ca="1">OFFSET(skill!$Q$1,MATCH(B2048,skill!B:B,0)-1,0)</f>
        <v>15</v>
      </c>
      <c r="I2048" s="186"/>
      <c r="J2048" s="186">
        <f ca="1">OFFSET(card_type!$F$1,MATCH(Q2048,card_type!A:A,0)-1,0)</f>
        <v>3</v>
      </c>
      <c r="K2048" s="243">
        <f ca="1">OFFSET(card_type!$G$1,MATCH(Q2048,card_type!A:A,0)-1,0)</f>
        <v>3</v>
      </c>
      <c r="L2048" s="157">
        <v>2</v>
      </c>
      <c r="M2048" s="157">
        <v>2</v>
      </c>
      <c r="N2048" s="153">
        <f t="shared" si="337"/>
        <v>22</v>
      </c>
      <c r="O2048" s="157"/>
      <c r="P2048" s="157"/>
      <c r="Q2048" s="153">
        <f ca="1">OFFSET(card_type!$A$1,MATCH(card!B2048,card_type!B:B,0)-1,0)</f>
        <v>3017</v>
      </c>
      <c r="R2048" s="153">
        <v>1</v>
      </c>
      <c r="S2048" s="157">
        <f ca="1">ROUND(IF(R2048=0,0,IF(R2048=1,X2048*$S$1,IF(R2048=2,X2048*$S$1*buff的资质计算!$E$2,IF(R2048=3,X2048*$S$1*buff的资质计算!$E$3,0)))),0)*0</f>
        <v>0</v>
      </c>
      <c r="T2048" s="153">
        <v>3</v>
      </c>
      <c r="U2048" s="153">
        <f ca="1" t="shared" si="338"/>
        <v>33</v>
      </c>
      <c r="V2048" s="153">
        <f ca="1">ROUND((OFFSET(卡牌辅助配置表!$O$1,MATCH(U2048,卡牌辅助配置表!M:M,0)-1,0)+(N2048-1)*OFFSET(卡牌辅助配置表!$P$1,MATCH(U2048,卡牌辅助配置表!M:M,0)-1,0))*M2048,2)</f>
        <v>143.38</v>
      </c>
      <c r="W2048" s="157">
        <f ca="1">ROUND(IF(R2048=0,0,IF(R2048=1,X2048*$W$1,IF(R2048=2,X2048*$W$1*buff的资质计算!$E$2,IF(R2048=3,X2048*$W$1*buff的资质计算!$E$3,0)))),2)</f>
        <v>17.85</v>
      </c>
      <c r="X2048" s="157">
        <f ca="1" t="shared" si="343"/>
        <v>59.5</v>
      </c>
      <c r="Y2048" s="157">
        <f ca="1" t="shared" si="341"/>
        <v>74.5</v>
      </c>
      <c r="Z2048" s="304">
        <f ca="1" t="shared" si="344"/>
        <v>37.25</v>
      </c>
      <c r="AA2048" s="304">
        <f ca="1">OFFSET(卡牌辅助配置表!$AD$1,MATCH(AB2048,卡牌辅助配置表!AB:AB,0)-1,0)</f>
        <v>14442</v>
      </c>
      <c r="AB2048" s="304">
        <f ca="1" t="shared" si="339"/>
        <v>3322</v>
      </c>
      <c r="AC2048" s="153">
        <v>1</v>
      </c>
      <c r="AE2048" s="153">
        <v>3</v>
      </c>
      <c r="AF2048" s="153" t="str">
        <f ca="1" t="shared" si="342"/>
        <v>30170011|</v>
      </c>
      <c r="AJ2048" s="205" t="str">
        <f ca="1" t="shared" si="340"/>
        <v>400023|17400|;</v>
      </c>
      <c r="AK2048" s="205">
        <f ca="1">OFFSET([1]item_type!$A$1,MATCH(Q2048,[1]item_type!$G:$G,0)-1,0)</f>
        <v>303017</v>
      </c>
      <c r="AL2048" s="205"/>
      <c r="AM2048" s="205">
        <f ca="1">IF(B2048=B2049,OFFSET(卡牌辅助配置表!$AE$1,MATCH(AB2048,卡牌辅助配置表!AB:AB,0),0),0)</f>
        <v>17400</v>
      </c>
      <c r="AN2048" s="153">
        <f ca="1" t="shared" si="335"/>
        <v>3017023</v>
      </c>
      <c r="AP2048" s="153" t="str">
        <f ca="1">IF(AC2048=0,0,IF(AC2048=12,0,OFFSET(effect!$N$1,MATCH(K2048,effect!M:M,0)-1,0)))</f>
        <v>kpsx_zise</v>
      </c>
    </row>
    <row r="2049" spans="1:42">
      <c r="A2049" s="153">
        <f ca="1" t="shared" si="336"/>
        <v>3017023</v>
      </c>
      <c r="B2049" s="91" t="s">
        <v>904</v>
      </c>
      <c r="C2049" s="186">
        <v>3</v>
      </c>
      <c r="D2049" s="186">
        <v>3</v>
      </c>
      <c r="E2049" s="165" t="s">
        <v>1069</v>
      </c>
      <c r="F2049" s="179" t="s">
        <v>1074</v>
      </c>
      <c r="G2049" s="186">
        <f ca="1">OFFSET(卡牌辅助配置表!$C$1,MATCH(AC2049,卡牌辅助配置表!A:A,0)-1,0)</f>
        <v>3</v>
      </c>
      <c r="H2049" s="186">
        <f ca="1">OFFSET(skill!$Q$1,MATCH(B2049,skill!B:B,0)-1,0)</f>
        <v>15</v>
      </c>
      <c r="I2049" s="186"/>
      <c r="J2049" s="186">
        <f ca="1">OFFSET(card_type!$F$1,MATCH(Q2049,card_type!A:A,0)-1,0)</f>
        <v>3</v>
      </c>
      <c r="K2049" s="243">
        <f ca="1">OFFSET(card_type!$G$1,MATCH(Q2049,card_type!A:A,0)-1,0)</f>
        <v>3</v>
      </c>
      <c r="L2049" s="157">
        <v>2</v>
      </c>
      <c r="M2049" s="157">
        <v>2</v>
      </c>
      <c r="N2049" s="153">
        <f t="shared" si="337"/>
        <v>23</v>
      </c>
      <c r="O2049" s="157"/>
      <c r="P2049" s="157"/>
      <c r="Q2049" s="153">
        <f ca="1">OFFSET(card_type!$A$1,MATCH(card!B2049,card_type!B:B,0)-1,0)</f>
        <v>3017</v>
      </c>
      <c r="R2049" s="153">
        <v>1</v>
      </c>
      <c r="S2049" s="157">
        <f ca="1">ROUND(IF(R2049=0,0,IF(R2049=1,X2049*$S$1,IF(R2049=2,X2049*$S$1*buff的资质计算!$E$2,IF(R2049=3,X2049*$S$1*buff的资质计算!$E$3,0)))),0)*0</f>
        <v>0</v>
      </c>
      <c r="T2049" s="153">
        <v>3</v>
      </c>
      <c r="U2049" s="153">
        <f ca="1" t="shared" si="338"/>
        <v>33</v>
      </c>
      <c r="V2049" s="153">
        <f ca="1">ROUND((OFFSET(卡牌辅助配置表!$O$1,MATCH(U2049,卡牌辅助配置表!M:M,0)-1,0)+(N2049-1)*OFFSET(卡牌辅助配置表!$P$1,MATCH(U2049,卡牌辅助配置表!M:M,0)-1,0))*M2049,2)</f>
        <v>148.02</v>
      </c>
      <c r="W2049" s="157">
        <f ca="1">ROUND(IF(R2049=0,0,IF(R2049=1,X2049*$W$1,IF(R2049=2,X2049*$W$1*buff的资质计算!$E$2,IF(R2049=3,X2049*$W$1*buff的资质计算!$E$3,0)))),2)</f>
        <v>18</v>
      </c>
      <c r="X2049" s="157">
        <f ca="1" t="shared" si="343"/>
        <v>60</v>
      </c>
      <c r="Y2049" s="157">
        <f ca="1" t="shared" si="341"/>
        <v>75</v>
      </c>
      <c r="Z2049" s="304">
        <f ca="1" t="shared" si="344"/>
        <v>37.5</v>
      </c>
      <c r="AA2049" s="304">
        <f ca="1">OFFSET(卡牌辅助配置表!$AD$1,MATCH(AB2049,卡牌辅助配置表!AB:AB,0)-1,0)</f>
        <v>15438</v>
      </c>
      <c r="AB2049" s="304">
        <f ca="1" t="shared" si="339"/>
        <v>3323</v>
      </c>
      <c r="AC2049" s="153">
        <v>1</v>
      </c>
      <c r="AE2049" s="153">
        <v>3</v>
      </c>
      <c r="AF2049" s="153" t="str">
        <f ca="1" t="shared" si="342"/>
        <v>30170011|</v>
      </c>
      <c r="AJ2049" s="205" t="str">
        <f ca="1" t="shared" si="340"/>
        <v>400023|19000|;</v>
      </c>
      <c r="AK2049" s="205">
        <f ca="1">OFFSET([1]item_type!$A$1,MATCH(Q2049,[1]item_type!$G:$G,0)-1,0)</f>
        <v>303017</v>
      </c>
      <c r="AL2049" s="205"/>
      <c r="AM2049" s="205">
        <f ca="1">IF(B2049=B2050,OFFSET(卡牌辅助配置表!$AE$1,MATCH(AB2049,卡牌辅助配置表!AB:AB,0),0),0)</f>
        <v>19000</v>
      </c>
      <c r="AN2049" s="153">
        <f ca="1" t="shared" si="335"/>
        <v>3017024</v>
      </c>
      <c r="AP2049" s="153" t="str">
        <f ca="1">IF(AC2049=0,0,IF(AC2049=12,0,OFFSET(effect!$N$1,MATCH(K2049,effect!M:M,0)-1,0)))</f>
        <v>kpsx_zise</v>
      </c>
    </row>
    <row r="2050" spans="1:42">
      <c r="A2050" s="153">
        <f ca="1" t="shared" si="336"/>
        <v>3017024</v>
      </c>
      <c r="B2050" s="91" t="s">
        <v>904</v>
      </c>
      <c r="C2050" s="186">
        <v>3</v>
      </c>
      <c r="D2050" s="186">
        <v>3</v>
      </c>
      <c r="E2050" s="165" t="s">
        <v>1069</v>
      </c>
      <c r="F2050" s="179" t="s">
        <v>1074</v>
      </c>
      <c r="G2050" s="186">
        <f ca="1">OFFSET(卡牌辅助配置表!$C$1,MATCH(AC2050,卡牌辅助配置表!A:A,0)-1,0)</f>
        <v>3</v>
      </c>
      <c r="H2050" s="186">
        <f ca="1">OFFSET(skill!$Q$1,MATCH(B2050,skill!B:B,0)-1,0)</f>
        <v>15</v>
      </c>
      <c r="I2050" s="186"/>
      <c r="J2050" s="186">
        <f ca="1">OFFSET(card_type!$F$1,MATCH(Q2050,card_type!A:A,0)-1,0)</f>
        <v>3</v>
      </c>
      <c r="K2050" s="243">
        <f ca="1">OFFSET(card_type!$G$1,MATCH(Q2050,card_type!A:A,0)-1,0)</f>
        <v>3</v>
      </c>
      <c r="L2050" s="157">
        <v>2</v>
      </c>
      <c r="M2050" s="157">
        <v>2</v>
      </c>
      <c r="N2050" s="153">
        <f t="shared" si="337"/>
        <v>24</v>
      </c>
      <c r="O2050" s="157"/>
      <c r="P2050" s="157"/>
      <c r="Q2050" s="153">
        <f ca="1">OFFSET(card_type!$A$1,MATCH(card!B2050,card_type!B:B,0)-1,0)</f>
        <v>3017</v>
      </c>
      <c r="R2050" s="153">
        <v>1</v>
      </c>
      <c r="S2050" s="157">
        <f ca="1">ROUND(IF(R2050=0,0,IF(R2050=1,X2050*$S$1,IF(R2050=2,X2050*$S$1*buff的资质计算!$E$2,IF(R2050=3,X2050*$S$1*buff的资质计算!$E$3,0)))),0)*0</f>
        <v>0</v>
      </c>
      <c r="T2050" s="153">
        <v>3</v>
      </c>
      <c r="U2050" s="153">
        <f ca="1" t="shared" si="338"/>
        <v>33</v>
      </c>
      <c r="V2050" s="153">
        <f ca="1">ROUND((OFFSET(卡牌辅助配置表!$O$1,MATCH(U2050,卡牌辅助配置表!M:M,0)-1,0)+(N2050-1)*OFFSET(卡牌辅助配置表!$P$1,MATCH(U2050,卡牌辅助配置表!M:M,0)-1,0))*M2050,2)</f>
        <v>152.66</v>
      </c>
      <c r="W2050" s="157">
        <f ca="1">ROUND(IF(R2050=0,0,IF(R2050=1,X2050*$W$1,IF(R2050=2,X2050*$W$1*buff的资质计算!$E$2,IF(R2050=3,X2050*$W$1*buff的资质计算!$E$3,0)))),2)</f>
        <v>18.15</v>
      </c>
      <c r="X2050" s="157">
        <f ca="1" t="shared" si="343"/>
        <v>60.5</v>
      </c>
      <c r="Y2050" s="157">
        <f ca="1" t="shared" si="341"/>
        <v>75.5</v>
      </c>
      <c r="Z2050" s="304">
        <f ca="1" t="shared" si="344"/>
        <v>37.75</v>
      </c>
      <c r="AA2050" s="304">
        <f ca="1">OFFSET(卡牌辅助配置表!$AD$1,MATCH(AB2050,卡牌辅助配置表!AB:AB,0)-1,0)</f>
        <v>16434</v>
      </c>
      <c r="AB2050" s="304">
        <f ca="1" t="shared" si="339"/>
        <v>3324</v>
      </c>
      <c r="AC2050" s="153">
        <v>1</v>
      </c>
      <c r="AE2050" s="153">
        <v>3</v>
      </c>
      <c r="AF2050" s="153" t="str">
        <f ca="1" t="shared" si="342"/>
        <v>30170011|</v>
      </c>
      <c r="AJ2050" s="205" t="str">
        <f ca="1" t="shared" si="340"/>
        <v>400023|20600|;</v>
      </c>
      <c r="AK2050" s="205">
        <f ca="1">OFFSET([1]item_type!$A$1,MATCH(Q2050,[1]item_type!$G:$G,0)-1,0)</f>
        <v>303017</v>
      </c>
      <c r="AL2050" s="205"/>
      <c r="AM2050" s="205">
        <f ca="1">IF(B2050=B2051,OFFSET(卡牌辅助配置表!$AE$1,MATCH(AB2050,卡牌辅助配置表!AB:AB,0),0),0)</f>
        <v>20600</v>
      </c>
      <c r="AN2050" s="153">
        <f ca="1" t="shared" si="335"/>
        <v>3017025</v>
      </c>
      <c r="AP2050" s="153" t="str">
        <f ca="1">IF(AC2050=0,0,IF(AC2050=12,0,OFFSET(effect!$N$1,MATCH(K2050,effect!M:M,0)-1,0)))</f>
        <v>kpsx_zise</v>
      </c>
    </row>
    <row r="2051" spans="1:42">
      <c r="A2051" s="153">
        <f ca="1" t="shared" si="336"/>
        <v>3017025</v>
      </c>
      <c r="B2051" s="91" t="s">
        <v>904</v>
      </c>
      <c r="C2051" s="186">
        <v>3</v>
      </c>
      <c r="D2051" s="186">
        <v>3</v>
      </c>
      <c r="E2051" s="165" t="s">
        <v>1069</v>
      </c>
      <c r="F2051" s="179" t="s">
        <v>1074</v>
      </c>
      <c r="G2051" s="186">
        <f ca="1">OFFSET(卡牌辅助配置表!$C$1,MATCH(AC2051,卡牌辅助配置表!A:A,0)-1,0)</f>
        <v>3</v>
      </c>
      <c r="H2051" s="186">
        <f ca="1">OFFSET(skill!$Q$1,MATCH(B2051,skill!B:B,0)-1,0)</f>
        <v>15</v>
      </c>
      <c r="I2051" s="186"/>
      <c r="J2051" s="186">
        <f ca="1">OFFSET(card_type!$F$1,MATCH(Q2051,card_type!A:A,0)-1,0)</f>
        <v>3</v>
      </c>
      <c r="K2051" s="243">
        <f ca="1">OFFSET(card_type!$G$1,MATCH(Q2051,card_type!A:A,0)-1,0)</f>
        <v>3</v>
      </c>
      <c r="L2051" s="157">
        <v>2</v>
      </c>
      <c r="M2051" s="157">
        <v>2</v>
      </c>
      <c r="N2051" s="153">
        <f t="shared" si="337"/>
        <v>25</v>
      </c>
      <c r="O2051" s="157"/>
      <c r="P2051" s="157"/>
      <c r="Q2051" s="153">
        <f ca="1">OFFSET(card_type!$A$1,MATCH(card!B2051,card_type!B:B,0)-1,0)</f>
        <v>3017</v>
      </c>
      <c r="R2051" s="153">
        <v>1</v>
      </c>
      <c r="S2051" s="157">
        <f ca="1">ROUND(IF(R2051=0,0,IF(R2051=1,X2051*$S$1,IF(R2051=2,X2051*$S$1*buff的资质计算!$E$2,IF(R2051=3,X2051*$S$1*buff的资质计算!$E$3,0)))),0)*0</f>
        <v>0</v>
      </c>
      <c r="T2051" s="153">
        <v>3</v>
      </c>
      <c r="U2051" s="153">
        <f ca="1" t="shared" si="338"/>
        <v>33</v>
      </c>
      <c r="V2051" s="153">
        <f ca="1">ROUND((OFFSET(卡牌辅助配置表!$O$1,MATCH(U2051,卡牌辅助配置表!M:M,0)-1,0)+(N2051-1)*OFFSET(卡牌辅助配置表!$P$1,MATCH(U2051,卡牌辅助配置表!M:M,0)-1,0))*M2051,2)</f>
        <v>157.3</v>
      </c>
      <c r="W2051" s="157">
        <f ca="1">ROUND(IF(R2051=0,0,IF(R2051=1,X2051*$W$1,IF(R2051=2,X2051*$W$1*buff的资质计算!$E$2,IF(R2051=3,X2051*$W$1*buff的资质计算!$E$3,0)))),2)</f>
        <v>18.3</v>
      </c>
      <c r="X2051" s="157">
        <f ca="1" t="shared" si="343"/>
        <v>61</v>
      </c>
      <c r="Y2051" s="157">
        <f ca="1" t="shared" si="341"/>
        <v>76</v>
      </c>
      <c r="Z2051" s="304">
        <f ca="1" t="shared" si="344"/>
        <v>38</v>
      </c>
      <c r="AA2051" s="304">
        <f ca="1">OFFSET(卡牌辅助配置表!$AD$1,MATCH(AB2051,卡牌辅助配置表!AB:AB,0)-1,0)</f>
        <v>17430</v>
      </c>
      <c r="AB2051" s="304">
        <f ca="1" t="shared" si="339"/>
        <v>3325</v>
      </c>
      <c r="AC2051" s="153">
        <v>1</v>
      </c>
      <c r="AE2051" s="153">
        <v>3</v>
      </c>
      <c r="AF2051" s="153" t="str">
        <f ca="1" t="shared" si="342"/>
        <v>30170011|</v>
      </c>
      <c r="AJ2051" s="205" t="str">
        <f ca="1" t="shared" si="340"/>
        <v>400023|22200|;</v>
      </c>
      <c r="AK2051" s="205">
        <f ca="1">OFFSET([1]item_type!$A$1,MATCH(Q2051,[1]item_type!$G:$G,0)-1,0)</f>
        <v>303017</v>
      </c>
      <c r="AL2051" s="205"/>
      <c r="AM2051" s="205">
        <f ca="1">IF(B2051=B2052,OFFSET(卡牌辅助配置表!$AE$1,MATCH(AB2051,卡牌辅助配置表!AB:AB,0),0),0)</f>
        <v>22200</v>
      </c>
      <c r="AN2051" s="153">
        <f ca="1" t="shared" si="335"/>
        <v>3017026</v>
      </c>
      <c r="AP2051" s="153" t="str">
        <f ca="1">IF(AC2051=0,0,IF(AC2051=12,0,OFFSET(effect!$N$1,MATCH(K2051,effect!M:M,0)-1,0)))</f>
        <v>kpsx_zise</v>
      </c>
    </row>
    <row r="2052" spans="1:42">
      <c r="A2052" s="153">
        <f ca="1" t="shared" si="336"/>
        <v>3017026</v>
      </c>
      <c r="B2052" s="91" t="s">
        <v>904</v>
      </c>
      <c r="C2052" s="186">
        <v>3</v>
      </c>
      <c r="D2052" s="186">
        <v>3</v>
      </c>
      <c r="E2052" s="165" t="s">
        <v>1069</v>
      </c>
      <c r="F2052" s="179" t="s">
        <v>1074</v>
      </c>
      <c r="G2052" s="186">
        <f ca="1">OFFSET(卡牌辅助配置表!$C$1,MATCH(AC2052,卡牌辅助配置表!A:A,0)-1,0)</f>
        <v>3</v>
      </c>
      <c r="H2052" s="186">
        <f ca="1">OFFSET(skill!$Q$1,MATCH(B2052,skill!B:B,0)-1,0)</f>
        <v>15</v>
      </c>
      <c r="I2052" s="186"/>
      <c r="J2052" s="186">
        <f ca="1">OFFSET(card_type!$F$1,MATCH(Q2052,card_type!A:A,0)-1,0)</f>
        <v>3</v>
      </c>
      <c r="K2052" s="243">
        <f ca="1">OFFSET(card_type!$G$1,MATCH(Q2052,card_type!A:A,0)-1,0)</f>
        <v>3</v>
      </c>
      <c r="L2052" s="157">
        <v>2</v>
      </c>
      <c r="M2052" s="157">
        <v>2</v>
      </c>
      <c r="N2052" s="153">
        <f t="shared" si="337"/>
        <v>26</v>
      </c>
      <c r="O2052" s="157"/>
      <c r="P2052" s="157"/>
      <c r="Q2052" s="153">
        <f ca="1">OFFSET(card_type!$A$1,MATCH(card!B2052,card_type!B:B,0)-1,0)</f>
        <v>3017</v>
      </c>
      <c r="R2052" s="153">
        <v>1</v>
      </c>
      <c r="S2052" s="157">
        <f ca="1">ROUND(IF(R2052=0,0,IF(R2052=1,X2052*$S$1,IF(R2052=2,X2052*$S$1*buff的资质计算!$E$2,IF(R2052=3,X2052*$S$1*buff的资质计算!$E$3,0)))),0)*0</f>
        <v>0</v>
      </c>
      <c r="T2052" s="153">
        <v>3</v>
      </c>
      <c r="U2052" s="153">
        <f ca="1" t="shared" si="338"/>
        <v>33</v>
      </c>
      <c r="V2052" s="153">
        <f ca="1">ROUND((OFFSET(卡牌辅助配置表!$O$1,MATCH(U2052,卡牌辅助配置表!M:M,0)-1,0)+(N2052-1)*OFFSET(卡牌辅助配置表!$P$1,MATCH(U2052,卡牌辅助配置表!M:M,0)-1,0))*M2052,2)</f>
        <v>161.94</v>
      </c>
      <c r="W2052" s="157">
        <f ca="1">ROUND(IF(R2052=0,0,IF(R2052=1,X2052*$W$1,IF(R2052=2,X2052*$W$1*buff的资质计算!$E$2,IF(R2052=3,X2052*$W$1*buff的资质计算!$E$3,0)))),2)</f>
        <v>18.45</v>
      </c>
      <c r="X2052" s="157">
        <f ca="1" t="shared" si="343"/>
        <v>61.5</v>
      </c>
      <c r="Y2052" s="157">
        <f ca="1" t="shared" si="341"/>
        <v>76.5</v>
      </c>
      <c r="Z2052" s="304">
        <f ca="1" t="shared" si="344"/>
        <v>38.25</v>
      </c>
      <c r="AA2052" s="304">
        <f ca="1">OFFSET(卡牌辅助配置表!$AD$1,MATCH(AB2052,卡牌辅助配置表!AB:AB,0)-1,0)</f>
        <v>18426</v>
      </c>
      <c r="AB2052" s="304">
        <f ca="1" t="shared" si="339"/>
        <v>3326</v>
      </c>
      <c r="AC2052" s="153">
        <v>1</v>
      </c>
      <c r="AE2052" s="153">
        <v>3</v>
      </c>
      <c r="AF2052" s="153" t="str">
        <f ca="1" t="shared" si="342"/>
        <v>30170011|</v>
      </c>
      <c r="AJ2052" s="205" t="str">
        <f ca="1" t="shared" si="340"/>
        <v>400023|23800|;</v>
      </c>
      <c r="AK2052" s="205">
        <f ca="1">OFFSET([1]item_type!$A$1,MATCH(Q2052,[1]item_type!$G:$G,0)-1,0)</f>
        <v>303017</v>
      </c>
      <c r="AL2052" s="205"/>
      <c r="AM2052" s="205">
        <f ca="1">IF(B2052=B2053,OFFSET(卡牌辅助配置表!$AE$1,MATCH(AB2052,卡牌辅助配置表!AB:AB,0),0),0)</f>
        <v>23800</v>
      </c>
      <c r="AN2052" s="153">
        <f ca="1" t="shared" si="335"/>
        <v>3017027</v>
      </c>
      <c r="AP2052" s="153" t="str">
        <f ca="1">IF(AC2052=0,0,IF(AC2052=12,0,OFFSET(effect!$N$1,MATCH(K2052,effect!M:M,0)-1,0)))</f>
        <v>kpsx_zise</v>
      </c>
    </row>
    <row r="2053" spans="1:42">
      <c r="A2053" s="153">
        <f ca="1" t="shared" si="336"/>
        <v>3017027</v>
      </c>
      <c r="B2053" s="91" t="s">
        <v>904</v>
      </c>
      <c r="C2053" s="186">
        <v>3</v>
      </c>
      <c r="D2053" s="186">
        <v>3</v>
      </c>
      <c r="E2053" s="165" t="s">
        <v>1069</v>
      </c>
      <c r="F2053" s="179" t="s">
        <v>1074</v>
      </c>
      <c r="G2053" s="186">
        <f ca="1">OFFSET(卡牌辅助配置表!$C$1,MATCH(AC2053,卡牌辅助配置表!A:A,0)-1,0)</f>
        <v>3</v>
      </c>
      <c r="H2053" s="186">
        <f ca="1">OFFSET(skill!$Q$1,MATCH(B2053,skill!B:B,0)-1,0)</f>
        <v>15</v>
      </c>
      <c r="I2053" s="186"/>
      <c r="J2053" s="186">
        <f ca="1">OFFSET(card_type!$F$1,MATCH(Q2053,card_type!A:A,0)-1,0)</f>
        <v>3</v>
      </c>
      <c r="K2053" s="243">
        <f ca="1">OFFSET(card_type!$G$1,MATCH(Q2053,card_type!A:A,0)-1,0)</f>
        <v>3</v>
      </c>
      <c r="L2053" s="157">
        <v>2</v>
      </c>
      <c r="M2053" s="157">
        <v>2</v>
      </c>
      <c r="N2053" s="153">
        <f t="shared" si="337"/>
        <v>27</v>
      </c>
      <c r="O2053" s="157"/>
      <c r="P2053" s="157"/>
      <c r="Q2053" s="153">
        <f ca="1">OFFSET(card_type!$A$1,MATCH(card!B2053,card_type!B:B,0)-1,0)</f>
        <v>3017</v>
      </c>
      <c r="R2053" s="153">
        <v>1</v>
      </c>
      <c r="S2053" s="157">
        <f ca="1">ROUND(IF(R2053=0,0,IF(R2053=1,X2053*$S$1,IF(R2053=2,X2053*$S$1*buff的资质计算!$E$2,IF(R2053=3,X2053*$S$1*buff的资质计算!$E$3,0)))),0)*0</f>
        <v>0</v>
      </c>
      <c r="T2053" s="153">
        <v>3</v>
      </c>
      <c r="U2053" s="153">
        <f ca="1" t="shared" si="338"/>
        <v>33</v>
      </c>
      <c r="V2053" s="153">
        <f ca="1">ROUND((OFFSET(卡牌辅助配置表!$O$1,MATCH(U2053,卡牌辅助配置表!M:M,0)-1,0)+(N2053-1)*OFFSET(卡牌辅助配置表!$P$1,MATCH(U2053,卡牌辅助配置表!M:M,0)-1,0))*M2053,2)</f>
        <v>166.58</v>
      </c>
      <c r="W2053" s="157">
        <f ca="1">ROUND(IF(R2053=0,0,IF(R2053=1,X2053*$W$1,IF(R2053=2,X2053*$W$1*buff的资质计算!$E$2,IF(R2053=3,X2053*$W$1*buff的资质计算!$E$3,0)))),2)</f>
        <v>18.6</v>
      </c>
      <c r="X2053" s="157">
        <f ca="1" t="shared" si="343"/>
        <v>62</v>
      </c>
      <c r="Y2053" s="157">
        <f ca="1" t="shared" si="341"/>
        <v>77</v>
      </c>
      <c r="Z2053" s="304">
        <f ca="1" t="shared" si="344"/>
        <v>38.5</v>
      </c>
      <c r="AA2053" s="304">
        <f ca="1">OFFSET(卡牌辅助配置表!$AD$1,MATCH(AB2053,卡牌辅助配置表!AB:AB,0)-1,0)</f>
        <v>19422</v>
      </c>
      <c r="AB2053" s="304">
        <f ca="1" t="shared" si="339"/>
        <v>3327</v>
      </c>
      <c r="AC2053" s="153">
        <v>1</v>
      </c>
      <c r="AE2053" s="153">
        <v>3</v>
      </c>
      <c r="AF2053" s="153" t="str">
        <f ca="1" t="shared" si="342"/>
        <v>30170011|</v>
      </c>
      <c r="AJ2053" s="205" t="str">
        <f ca="1" t="shared" si="340"/>
        <v>400023|25400|;</v>
      </c>
      <c r="AK2053" s="205">
        <f ca="1">OFFSET([1]item_type!$A$1,MATCH(Q2053,[1]item_type!$G:$G,0)-1,0)</f>
        <v>303017</v>
      </c>
      <c r="AL2053" s="205"/>
      <c r="AM2053" s="205">
        <f ca="1">IF(B2053=B2054,OFFSET(卡牌辅助配置表!$AE$1,MATCH(AB2053,卡牌辅助配置表!AB:AB,0),0),0)</f>
        <v>25400</v>
      </c>
      <c r="AN2053" s="153">
        <f ca="1" t="shared" ref="AN2053:AN2085" si="345">IF(B2053=B2054,A2053+1,0)</f>
        <v>3017028</v>
      </c>
      <c r="AP2053" s="153" t="str">
        <f ca="1">IF(AC2053=0,0,IF(AC2053=12,0,OFFSET(effect!$N$1,MATCH(K2053,effect!M:M,0)-1,0)))</f>
        <v>kpsx_zise</v>
      </c>
    </row>
    <row r="2054" spans="1:42">
      <c r="A2054" s="153">
        <f ca="1" t="shared" ref="A2054:A2117" si="346">Q2054*1000+N2054</f>
        <v>3017028</v>
      </c>
      <c r="B2054" s="91" t="s">
        <v>904</v>
      </c>
      <c r="C2054" s="186">
        <v>3</v>
      </c>
      <c r="D2054" s="186">
        <v>3</v>
      </c>
      <c r="E2054" s="165" t="s">
        <v>1069</v>
      </c>
      <c r="F2054" s="179" t="s">
        <v>1074</v>
      </c>
      <c r="G2054" s="186">
        <f ca="1">OFFSET(卡牌辅助配置表!$C$1,MATCH(AC2054,卡牌辅助配置表!A:A,0)-1,0)</f>
        <v>3</v>
      </c>
      <c r="H2054" s="186">
        <f ca="1">OFFSET(skill!$Q$1,MATCH(B2054,skill!B:B,0)-1,0)</f>
        <v>15</v>
      </c>
      <c r="I2054" s="186"/>
      <c r="J2054" s="186">
        <f ca="1">OFFSET(card_type!$F$1,MATCH(Q2054,card_type!A:A,0)-1,0)</f>
        <v>3</v>
      </c>
      <c r="K2054" s="243">
        <f ca="1">OFFSET(card_type!$G$1,MATCH(Q2054,card_type!A:A,0)-1,0)</f>
        <v>3</v>
      </c>
      <c r="L2054" s="157">
        <v>2</v>
      </c>
      <c r="M2054" s="157">
        <v>2</v>
      </c>
      <c r="N2054" s="153">
        <f t="shared" ref="N2054:N2117" si="347">IF(B2053=B2054,N2053+1,1)</f>
        <v>28</v>
      </c>
      <c r="O2054" s="157"/>
      <c r="P2054" s="157"/>
      <c r="Q2054" s="153">
        <f ca="1">OFFSET(card_type!$A$1,MATCH(card!B2054,card_type!B:B,0)-1,0)</f>
        <v>3017</v>
      </c>
      <c r="R2054" s="153">
        <v>1</v>
      </c>
      <c r="S2054" s="157">
        <f ca="1">ROUND(IF(R2054=0,0,IF(R2054=1,X2054*$S$1,IF(R2054=2,X2054*$S$1*buff的资质计算!$E$2,IF(R2054=3,X2054*$S$1*buff的资质计算!$E$3,0)))),0)*0</f>
        <v>0</v>
      </c>
      <c r="T2054" s="153">
        <v>3</v>
      </c>
      <c r="U2054" s="153">
        <f ca="1" t="shared" ref="U2054:U2117" si="348">J2054*10+K2054</f>
        <v>33</v>
      </c>
      <c r="V2054" s="153">
        <f ca="1">ROUND((OFFSET(卡牌辅助配置表!$O$1,MATCH(U2054,卡牌辅助配置表!M:M,0)-1,0)+(N2054-1)*OFFSET(卡牌辅助配置表!$P$1,MATCH(U2054,卡牌辅助配置表!M:M,0)-1,0))*M2054,2)</f>
        <v>171.22</v>
      </c>
      <c r="W2054" s="157">
        <f ca="1">ROUND(IF(R2054=0,0,IF(R2054=1,X2054*$W$1,IF(R2054=2,X2054*$W$1*buff的资质计算!$E$2,IF(R2054=3,X2054*$W$1*buff的资质计算!$E$3,0)))),2)</f>
        <v>18.75</v>
      </c>
      <c r="X2054" s="157">
        <f ca="1" t="shared" si="343"/>
        <v>62.5</v>
      </c>
      <c r="Y2054" s="157">
        <f ca="1" t="shared" si="341"/>
        <v>77.5</v>
      </c>
      <c r="Z2054" s="304">
        <f ca="1" t="shared" si="344"/>
        <v>38.75</v>
      </c>
      <c r="AA2054" s="304">
        <f ca="1">OFFSET(卡牌辅助配置表!$AD$1,MATCH(AB2054,卡牌辅助配置表!AB:AB,0)-1,0)</f>
        <v>20418</v>
      </c>
      <c r="AB2054" s="304">
        <f ca="1" t="shared" ref="AB2054:AB2117" si="349">J2054*1000+K2054*100+N2054</f>
        <v>3328</v>
      </c>
      <c r="AC2054" s="153">
        <v>1</v>
      </c>
      <c r="AE2054" s="153">
        <v>3</v>
      </c>
      <c r="AF2054" s="153" t="str">
        <f ca="1" t="shared" si="342"/>
        <v>30170011|</v>
      </c>
      <c r="AJ2054" s="205" t="str">
        <f ca="1" t="shared" ref="AJ2054:AJ2117" si="350">IF(AN2054=0,0,IF(AL2054=0,$AM$1&amp;$AF$1&amp;AM2054&amp;$AF$1&amp;$AJ$1,AK2054&amp;$AF$1&amp;AL2054&amp;$AF$1&amp;$AJ$1&amp;$AM$1&amp;$AF$1&amp;AM2054&amp;$AF$1&amp;$AJ$1))</f>
        <v>400023|27000|;</v>
      </c>
      <c r="AK2054" s="205">
        <f ca="1">OFFSET([1]item_type!$A$1,MATCH(Q2054,[1]item_type!$G:$G,0)-1,0)</f>
        <v>303017</v>
      </c>
      <c r="AL2054" s="205"/>
      <c r="AM2054" s="205">
        <f ca="1">IF(B2054=B2055,OFFSET(卡牌辅助配置表!$AE$1,MATCH(AB2054,卡牌辅助配置表!AB:AB,0),0),0)</f>
        <v>27000</v>
      </c>
      <c r="AN2054" s="153">
        <f ca="1" t="shared" si="345"/>
        <v>3017029</v>
      </c>
      <c r="AP2054" s="153" t="str">
        <f ca="1">IF(AC2054=0,0,IF(AC2054=12,0,OFFSET(effect!$N$1,MATCH(K2054,effect!M:M,0)-1,0)))</f>
        <v>kpsx_zise</v>
      </c>
    </row>
    <row r="2055" spans="1:42">
      <c r="A2055" s="153">
        <f ca="1" t="shared" si="346"/>
        <v>3017029</v>
      </c>
      <c r="B2055" s="91" t="s">
        <v>904</v>
      </c>
      <c r="C2055" s="186">
        <v>3</v>
      </c>
      <c r="D2055" s="186">
        <v>3</v>
      </c>
      <c r="E2055" s="165" t="s">
        <v>1069</v>
      </c>
      <c r="F2055" s="179" t="s">
        <v>1074</v>
      </c>
      <c r="G2055" s="186">
        <f ca="1">OFFSET(卡牌辅助配置表!$C$1,MATCH(AC2055,卡牌辅助配置表!A:A,0)-1,0)</f>
        <v>3</v>
      </c>
      <c r="H2055" s="186">
        <f ca="1">OFFSET(skill!$Q$1,MATCH(B2055,skill!B:B,0)-1,0)</f>
        <v>15</v>
      </c>
      <c r="I2055" s="186"/>
      <c r="J2055" s="186">
        <f ca="1">OFFSET(card_type!$F$1,MATCH(Q2055,card_type!A:A,0)-1,0)</f>
        <v>3</v>
      </c>
      <c r="K2055" s="243">
        <f ca="1">OFFSET(card_type!$G$1,MATCH(Q2055,card_type!A:A,0)-1,0)</f>
        <v>3</v>
      </c>
      <c r="L2055" s="157">
        <v>2</v>
      </c>
      <c r="M2055" s="157">
        <v>2</v>
      </c>
      <c r="N2055" s="153">
        <f t="shared" si="347"/>
        <v>29</v>
      </c>
      <c r="O2055" s="157"/>
      <c r="P2055" s="157"/>
      <c r="Q2055" s="153">
        <f ca="1">OFFSET(card_type!$A$1,MATCH(card!B2055,card_type!B:B,0)-1,0)</f>
        <v>3017</v>
      </c>
      <c r="R2055" s="153">
        <v>1</v>
      </c>
      <c r="S2055" s="157">
        <f ca="1">ROUND(IF(R2055=0,0,IF(R2055=1,X2055*$S$1,IF(R2055=2,X2055*$S$1*buff的资质计算!$E$2,IF(R2055=3,X2055*$S$1*buff的资质计算!$E$3,0)))),0)*0</f>
        <v>0</v>
      </c>
      <c r="T2055" s="153">
        <v>3</v>
      </c>
      <c r="U2055" s="153">
        <f ca="1" t="shared" si="348"/>
        <v>33</v>
      </c>
      <c r="V2055" s="153">
        <f ca="1">ROUND((OFFSET(卡牌辅助配置表!$O$1,MATCH(U2055,卡牌辅助配置表!M:M,0)-1,0)+(N2055-1)*OFFSET(卡牌辅助配置表!$P$1,MATCH(U2055,卡牌辅助配置表!M:M,0)-1,0))*M2055,2)</f>
        <v>175.86</v>
      </c>
      <c r="W2055" s="157">
        <f ca="1">ROUND(IF(R2055=0,0,IF(R2055=1,X2055*$W$1,IF(R2055=2,X2055*$W$1*buff的资质计算!$E$2,IF(R2055=3,X2055*$W$1*buff的资质计算!$E$3,0)))),2)</f>
        <v>18.9</v>
      </c>
      <c r="X2055" s="157">
        <f ca="1" t="shared" si="343"/>
        <v>63</v>
      </c>
      <c r="Y2055" s="157">
        <f ca="1" t="shared" si="341"/>
        <v>78</v>
      </c>
      <c r="Z2055" s="304">
        <f ca="1" t="shared" si="344"/>
        <v>39</v>
      </c>
      <c r="AA2055" s="304">
        <f ca="1">OFFSET(卡牌辅助配置表!$AD$1,MATCH(AB2055,卡牌辅助配置表!AB:AB,0)-1,0)</f>
        <v>21414</v>
      </c>
      <c r="AB2055" s="304">
        <f ca="1" t="shared" si="349"/>
        <v>3329</v>
      </c>
      <c r="AC2055" s="153">
        <v>1</v>
      </c>
      <c r="AE2055" s="153">
        <v>3</v>
      </c>
      <c r="AF2055" s="153" t="str">
        <f ca="1" t="shared" si="342"/>
        <v>30170011|</v>
      </c>
      <c r="AJ2055" s="205" t="str">
        <f ca="1" t="shared" si="350"/>
        <v>303017|30|;400023|28600|;</v>
      </c>
      <c r="AK2055" s="205">
        <f ca="1">OFFSET([1]item_type!$A$1,MATCH(Q2055,[1]item_type!$G:$G,0)-1,0)</f>
        <v>303017</v>
      </c>
      <c r="AL2055" s="205">
        <v>30</v>
      </c>
      <c r="AM2055" s="205">
        <f ca="1">IF(B2055=B2056,OFFSET(卡牌辅助配置表!$AE$1,MATCH(AB2055,卡牌辅助配置表!AB:AB,0),0),0)</f>
        <v>28600</v>
      </c>
      <c r="AN2055" s="153">
        <f ca="1" t="shared" si="345"/>
        <v>3017030</v>
      </c>
      <c r="AP2055" s="153" t="str">
        <f ca="1">IF(AC2055=0,0,IF(AC2055=12,0,OFFSET(effect!$N$1,MATCH(K2055,effect!M:M,0)-1,0)))</f>
        <v>kpsx_zise</v>
      </c>
    </row>
    <row r="2056" spans="1:42">
      <c r="A2056" s="153">
        <f ca="1" t="shared" si="346"/>
        <v>3017030</v>
      </c>
      <c r="B2056" s="91" t="s">
        <v>904</v>
      </c>
      <c r="C2056" s="186">
        <v>3</v>
      </c>
      <c r="D2056" s="186">
        <v>3</v>
      </c>
      <c r="E2056" s="165" t="s">
        <v>1069</v>
      </c>
      <c r="F2056" s="179" t="s">
        <v>1074</v>
      </c>
      <c r="G2056" s="186">
        <f ca="1">OFFSET(卡牌辅助配置表!$C$1,MATCH(AC2056,卡牌辅助配置表!A:A,0)-1,0)</f>
        <v>3</v>
      </c>
      <c r="H2056" s="186">
        <f ca="1">OFFSET(skill!$Q$1,MATCH(B2056,skill!B:B,0)-1,0)</f>
        <v>15</v>
      </c>
      <c r="I2056" s="186"/>
      <c r="J2056" s="186">
        <f ca="1">OFFSET(card_type!$F$1,MATCH(Q2056,card_type!A:A,0)-1,0)</f>
        <v>3</v>
      </c>
      <c r="K2056" s="243">
        <f ca="1">OFFSET(card_type!$G$1,MATCH(Q2056,card_type!A:A,0)-1,0)</f>
        <v>3</v>
      </c>
      <c r="L2056" s="157">
        <v>2</v>
      </c>
      <c r="M2056" s="157">
        <v>2</v>
      </c>
      <c r="N2056" s="153">
        <f t="shared" si="347"/>
        <v>30</v>
      </c>
      <c r="O2056" s="157"/>
      <c r="P2056" s="157"/>
      <c r="Q2056" s="153">
        <f ca="1">OFFSET(card_type!$A$1,MATCH(card!B2056,card_type!B:B,0)-1,0)</f>
        <v>3017</v>
      </c>
      <c r="R2056" s="153">
        <v>1</v>
      </c>
      <c r="S2056" s="157">
        <f ca="1">ROUND(IF(R2056=0,0,IF(R2056=1,X2056*$S$1,IF(R2056=2,X2056*$S$1*buff的资质计算!$E$2,IF(R2056=3,X2056*$S$1*buff的资质计算!$E$3,0)))),0)*0</f>
        <v>0</v>
      </c>
      <c r="T2056" s="153">
        <v>3</v>
      </c>
      <c r="U2056" s="153">
        <f ca="1" t="shared" si="348"/>
        <v>33</v>
      </c>
      <c r="V2056" s="153">
        <f ca="1">ROUND((OFFSET(卡牌辅助配置表!$O$1,MATCH(U2056,卡牌辅助配置表!M:M,0)-1,0)+(N2056-1)*OFFSET(卡牌辅助配置表!$P$1,MATCH(U2056,卡牌辅助配置表!M:M,0)-1,0))*M2056,2)</f>
        <v>180.5</v>
      </c>
      <c r="W2056" s="157">
        <f ca="1">ROUND(IF(R2056=0,0,IF(R2056=1,X2056*$W$1,IF(R2056=2,X2056*$W$1*buff的资质计算!$E$2,IF(R2056=3,X2056*$W$1*buff的资质计算!$E$3,0)))),2)</f>
        <v>19.05</v>
      </c>
      <c r="X2056" s="157">
        <f ca="1" t="shared" si="343"/>
        <v>63.5</v>
      </c>
      <c r="Y2056" s="157">
        <f ca="1" t="shared" si="341"/>
        <v>78.5</v>
      </c>
      <c r="Z2056" s="304">
        <f ca="1" t="shared" si="344"/>
        <v>39.25</v>
      </c>
      <c r="AA2056" s="304">
        <f ca="1">OFFSET(卡牌辅助配置表!$AD$1,MATCH(AB2056,卡牌辅助配置表!AB:AB,0)-1,0)</f>
        <v>22410</v>
      </c>
      <c r="AB2056" s="304">
        <f ca="1" t="shared" si="349"/>
        <v>3330</v>
      </c>
      <c r="AC2056" s="153">
        <v>1</v>
      </c>
      <c r="AE2056" s="153">
        <v>3</v>
      </c>
      <c r="AF2056" s="153" t="str">
        <f ca="1" t="shared" si="342"/>
        <v>30170011|</v>
      </c>
      <c r="AJ2056" s="205">
        <f ca="1" t="shared" si="350"/>
        <v>0</v>
      </c>
      <c r="AK2056" s="205">
        <f ca="1">OFFSET([1]item_type!$A$1,MATCH(Q2056,[1]item_type!$G:$G,0)-1,0)</f>
        <v>303017</v>
      </c>
      <c r="AL2056" s="205"/>
      <c r="AM2056" s="205">
        <f ca="1">IF(B2056=B2057,OFFSET(卡牌辅助配置表!$AE$1,MATCH(AB2056,卡牌辅助配置表!AB:AB,0),0),0)</f>
        <v>0</v>
      </c>
      <c r="AN2056" s="153">
        <f ca="1" t="shared" si="345"/>
        <v>0</v>
      </c>
      <c r="AP2056" s="153" t="str">
        <f ca="1">IF(AC2056=0,0,IF(AC2056=12,0,OFFSET(effect!$N$1,MATCH(K2056,effect!M:M,0)-1,0)))</f>
        <v>kpsx_zise</v>
      </c>
    </row>
    <row r="2057" spans="1:42">
      <c r="A2057" s="153">
        <f ca="1" t="shared" si="346"/>
        <v>3401001</v>
      </c>
      <c r="B2057" s="152" t="s">
        <v>909</v>
      </c>
      <c r="C2057" s="186">
        <v>3</v>
      </c>
      <c r="D2057" s="186">
        <v>3</v>
      </c>
      <c r="E2057" s="165" t="s">
        <v>1069</v>
      </c>
      <c r="F2057" s="179" t="s">
        <v>1073</v>
      </c>
      <c r="G2057" s="186">
        <v>-3</v>
      </c>
      <c r="H2057" s="186">
        <f ca="1" t="shared" ref="H2057:H2120" si="351">IF(R2057=0,Y2057,0)</f>
        <v>0</v>
      </c>
      <c r="I2057" s="186"/>
      <c r="J2057" s="186">
        <f ca="1">OFFSET(card_type!$F$1,MATCH(Q2057,card_type!A:A,0)-1,0)</f>
        <v>4</v>
      </c>
      <c r="K2057" s="243">
        <f ca="1">OFFSET(card_type!$G$1,MATCH(Q2057,card_type!A:A,0)-1,0)</f>
        <v>2</v>
      </c>
      <c r="L2057" s="157">
        <v>3</v>
      </c>
      <c r="M2057" s="157">
        <v>3</v>
      </c>
      <c r="N2057" s="153">
        <f t="shared" si="347"/>
        <v>1</v>
      </c>
      <c r="O2057" s="157"/>
      <c r="P2057" s="157"/>
      <c r="Q2057" s="153">
        <f ca="1">OFFSET(card_type!$A$1,MATCH(card!B2057,card_type!B:B,0)-1,0)</f>
        <v>3401</v>
      </c>
      <c r="R2057" s="153">
        <v>1</v>
      </c>
      <c r="S2057" s="157">
        <f ca="1">ROUND(IF(R2057=0,0,IF(R2057=1,X2057*$S$1,IF(R2057=2,X2057*$S$1*buff的资质计算!$E$2,IF(R2057=3,X2057*$S$1*buff的资质计算!$E$3,0)))),0)*0</f>
        <v>0</v>
      </c>
      <c r="T2057" s="153">
        <v>3</v>
      </c>
      <c r="U2057" s="153">
        <f ca="1" t="shared" si="348"/>
        <v>42</v>
      </c>
      <c r="V2057" s="153">
        <f ca="1">ROUND((OFFSET(卡牌辅助配置表!$O$1,MATCH(U2057,卡牌辅助配置表!M:M,0)-1,0)+(N2057-1)*OFFSET(卡牌辅助配置表!$P$1,MATCH(U2057,卡牌辅助配置表!M:M,0)-1,0))*M2057,2)</f>
        <v>66.38</v>
      </c>
      <c r="W2057" s="157">
        <f ca="1">ROUND(IF(R2057=0,0,IF(R2057=1,X2057*$W$1,IF(R2057=2,X2057*$W$1*buff的资质计算!$E$2,IF(R2057=3,X2057*$W$1*buff的资质计算!$E$3,0)))),2)</f>
        <v>20.7</v>
      </c>
      <c r="X2057" s="157">
        <f ca="1" t="shared" si="343"/>
        <v>69</v>
      </c>
      <c r="Y2057" s="157">
        <f ca="1" t="shared" si="341"/>
        <v>69</v>
      </c>
      <c r="Z2057" s="304">
        <f ca="1" t="shared" si="344"/>
        <v>23</v>
      </c>
      <c r="AA2057" s="304">
        <f ca="1">OFFSET(卡牌辅助配置表!$AD$1,MATCH(AB2057,卡牌辅助配置表!AB:AB,0)-1,0)</f>
        <v>460</v>
      </c>
      <c r="AB2057" s="304">
        <f ca="1" t="shared" si="349"/>
        <v>4201</v>
      </c>
      <c r="AC2057" s="153">
        <v>7</v>
      </c>
      <c r="AD2057" s="153">
        <v>2</v>
      </c>
      <c r="AE2057" s="153">
        <v>1</v>
      </c>
      <c r="AF2057" s="153" t="str">
        <f ca="1" t="shared" si="342"/>
        <v>34010011|</v>
      </c>
      <c r="AI2057" s="153">
        <v>1</v>
      </c>
      <c r="AJ2057" s="205" t="str">
        <f ca="1" t="shared" si="350"/>
        <v>400023|1050|;</v>
      </c>
      <c r="AK2057" s="205">
        <f ca="1">OFFSET([1]item_type!$A$1,MATCH(Q2057,[1]item_type!$G:$G,0)-1,0)</f>
        <v>303401</v>
      </c>
      <c r="AL2057" s="205"/>
      <c r="AM2057" s="205">
        <f ca="1">IF(B2057=B2058,OFFSET(卡牌辅助配置表!$AE$1,MATCH(AB2057,卡牌辅助配置表!AB:AB,0),0),0)</f>
        <v>1050</v>
      </c>
      <c r="AN2057" s="153">
        <f ca="1" t="shared" si="345"/>
        <v>3401002</v>
      </c>
      <c r="AP2057" s="153" t="str">
        <f ca="1">IF(AC2057=0,0,IF(AC2057=12,0,OFFSET(effect!$N$1,MATCH(K2057,effect!M:M,0)-1,0)))</f>
        <v>kpsx_pt</v>
      </c>
    </row>
    <row r="2058" spans="1:42">
      <c r="A2058" s="153">
        <f ca="1" t="shared" si="346"/>
        <v>3401002</v>
      </c>
      <c r="B2058" s="91" t="s">
        <v>909</v>
      </c>
      <c r="C2058" s="186">
        <v>3</v>
      </c>
      <c r="D2058" s="186">
        <v>3</v>
      </c>
      <c r="E2058" s="165" t="s">
        <v>1069</v>
      </c>
      <c r="F2058" s="179" t="s">
        <v>1073</v>
      </c>
      <c r="G2058" s="186">
        <v>-3</v>
      </c>
      <c r="H2058" s="186">
        <f ca="1" t="shared" si="351"/>
        <v>0</v>
      </c>
      <c r="I2058" s="186"/>
      <c r="J2058" s="186">
        <f ca="1">OFFSET(card_type!$F$1,MATCH(Q2058,card_type!A:A,0)-1,0)</f>
        <v>4</v>
      </c>
      <c r="K2058" s="243">
        <f ca="1">OFFSET(card_type!$G$1,MATCH(Q2058,card_type!A:A,0)-1,0)</f>
        <v>2</v>
      </c>
      <c r="L2058" s="157">
        <v>3</v>
      </c>
      <c r="M2058" s="157">
        <v>3</v>
      </c>
      <c r="N2058" s="153">
        <f t="shared" si="347"/>
        <v>2</v>
      </c>
      <c r="O2058" s="157"/>
      <c r="P2058" s="157"/>
      <c r="Q2058" s="153">
        <f ca="1">OFFSET(card_type!$A$1,MATCH(card!B2058,card_type!B:B,0)-1,0)</f>
        <v>3401</v>
      </c>
      <c r="R2058" s="153">
        <v>1</v>
      </c>
      <c r="S2058" s="157">
        <f ca="1">ROUND(IF(R2058=0,0,IF(R2058=1,X2058*$S$1,IF(R2058=2,X2058*$S$1*buff的资质计算!$E$2,IF(R2058=3,X2058*$S$1*buff的资质计算!$E$3,0)))),0)*0</f>
        <v>0</v>
      </c>
      <c r="T2058" s="153">
        <v>3</v>
      </c>
      <c r="U2058" s="153">
        <f ca="1" t="shared" si="348"/>
        <v>42</v>
      </c>
      <c r="V2058" s="153">
        <f ca="1">ROUND((OFFSET(卡牌辅助配置表!$O$1,MATCH(U2058,卡牌辅助配置表!M:M,0)-1,0)+(N2058-1)*OFFSET(卡牌辅助配置表!$P$1,MATCH(U2058,卡牌辅助配置表!M:M,0)-1,0))*M2058,2)</f>
        <v>77.33</v>
      </c>
      <c r="W2058" s="157">
        <f ca="1">ROUND(IF(R2058=0,0,IF(R2058=1,X2058*$W$1,IF(R2058=2,X2058*$W$1*buff的资质计算!$E$2,IF(R2058=3,X2058*$W$1*buff的资质计算!$E$3,0)))),2)</f>
        <v>20.85</v>
      </c>
      <c r="X2058" s="157">
        <f ca="1" t="shared" si="343"/>
        <v>69.5</v>
      </c>
      <c r="Y2058" s="157">
        <f ca="1" t="shared" ref="Y2058:Y2121" si="352">X2058+H2058</f>
        <v>69.5</v>
      </c>
      <c r="Z2058" s="304">
        <f ca="1" t="shared" si="344"/>
        <v>23.1666666666667</v>
      </c>
      <c r="AA2058" s="304">
        <f ca="1">OFFSET(卡牌辅助配置表!$AD$1,MATCH(AB2058,卡牌辅助配置表!AB:AB,0)-1,0)</f>
        <v>920</v>
      </c>
      <c r="AB2058" s="304">
        <f ca="1" t="shared" si="349"/>
        <v>4202</v>
      </c>
      <c r="AC2058" s="153">
        <v>7</v>
      </c>
      <c r="AD2058" s="153">
        <v>2</v>
      </c>
      <c r="AE2058" s="153">
        <v>1</v>
      </c>
      <c r="AF2058" s="153" t="str">
        <f ca="1" t="shared" si="342"/>
        <v>34010011|</v>
      </c>
      <c r="AI2058" s="153">
        <v>1</v>
      </c>
      <c r="AJ2058" s="205" t="str">
        <f ca="1" t="shared" si="350"/>
        <v>400023|1350|;</v>
      </c>
      <c r="AK2058" s="205">
        <f ca="1">OFFSET([1]item_type!$A$1,MATCH(Q2058,[1]item_type!$G:$G,0)-1,0)</f>
        <v>303401</v>
      </c>
      <c r="AL2058" s="205"/>
      <c r="AM2058" s="205">
        <f ca="1">IF(B2058=B2059,OFFSET(卡牌辅助配置表!$AE$1,MATCH(AB2058,卡牌辅助配置表!AB:AB,0),0),0)</f>
        <v>1350</v>
      </c>
      <c r="AN2058" s="153">
        <f ca="1" t="shared" si="345"/>
        <v>3401003</v>
      </c>
      <c r="AP2058" s="153" t="str">
        <f ca="1">IF(AC2058=0,0,IF(AC2058=12,0,OFFSET(effect!$N$1,MATCH(K2058,effect!M:M,0)-1,0)))</f>
        <v>kpsx_pt</v>
      </c>
    </row>
    <row r="2059" spans="1:42">
      <c r="A2059" s="153">
        <f ca="1" t="shared" si="346"/>
        <v>3401003</v>
      </c>
      <c r="B2059" s="91" t="s">
        <v>909</v>
      </c>
      <c r="C2059" s="186">
        <v>3</v>
      </c>
      <c r="D2059" s="186">
        <v>3</v>
      </c>
      <c r="E2059" s="165" t="s">
        <v>1069</v>
      </c>
      <c r="F2059" s="179" t="s">
        <v>1073</v>
      </c>
      <c r="G2059" s="186">
        <v>-3</v>
      </c>
      <c r="H2059" s="186">
        <f ca="1" t="shared" si="351"/>
        <v>0</v>
      </c>
      <c r="I2059" s="186"/>
      <c r="J2059" s="186">
        <f ca="1">OFFSET(card_type!$F$1,MATCH(Q2059,card_type!A:A,0)-1,0)</f>
        <v>4</v>
      </c>
      <c r="K2059" s="243">
        <f ca="1">OFFSET(card_type!$G$1,MATCH(Q2059,card_type!A:A,0)-1,0)</f>
        <v>2</v>
      </c>
      <c r="L2059" s="157">
        <v>3</v>
      </c>
      <c r="M2059" s="157">
        <v>3</v>
      </c>
      <c r="N2059" s="153">
        <f t="shared" si="347"/>
        <v>3</v>
      </c>
      <c r="O2059" s="157"/>
      <c r="P2059" s="157"/>
      <c r="Q2059" s="153">
        <f ca="1">OFFSET(card_type!$A$1,MATCH(card!B2059,card_type!B:B,0)-1,0)</f>
        <v>3401</v>
      </c>
      <c r="R2059" s="153">
        <v>1</v>
      </c>
      <c r="S2059" s="157">
        <f ca="1">ROUND(IF(R2059=0,0,IF(R2059=1,X2059*$S$1,IF(R2059=2,X2059*$S$1*buff的资质计算!$E$2,IF(R2059=3,X2059*$S$1*buff的资质计算!$E$3,0)))),0)*0</f>
        <v>0</v>
      </c>
      <c r="T2059" s="153">
        <v>3</v>
      </c>
      <c r="U2059" s="153">
        <f ca="1" t="shared" si="348"/>
        <v>42</v>
      </c>
      <c r="V2059" s="153">
        <f ca="1">ROUND((OFFSET(卡牌辅助配置表!$O$1,MATCH(U2059,卡牌辅助配置表!M:M,0)-1,0)+(N2059-1)*OFFSET(卡牌辅助配置表!$P$1,MATCH(U2059,卡牌辅助配置表!M:M,0)-1,0))*M2059,2)</f>
        <v>88.28</v>
      </c>
      <c r="W2059" s="157">
        <f ca="1">ROUND(IF(R2059=0,0,IF(R2059=1,X2059*$W$1,IF(R2059=2,X2059*$W$1*buff的资质计算!$E$2,IF(R2059=3,X2059*$W$1*buff的资质计算!$E$3,0)))),2)</f>
        <v>21</v>
      </c>
      <c r="X2059" s="157">
        <f ca="1" t="shared" si="343"/>
        <v>70</v>
      </c>
      <c r="Y2059" s="157">
        <f ca="1" t="shared" si="352"/>
        <v>70</v>
      </c>
      <c r="Z2059" s="304">
        <f ca="1" t="shared" si="344"/>
        <v>23.3333333333333</v>
      </c>
      <c r="AA2059" s="304">
        <f ca="1">OFFSET(卡牌辅助配置表!$AD$1,MATCH(AB2059,卡牌辅助配置表!AB:AB,0)-1,0)</f>
        <v>1380</v>
      </c>
      <c r="AB2059" s="304">
        <f ca="1" t="shared" si="349"/>
        <v>4203</v>
      </c>
      <c r="AC2059" s="153">
        <v>7</v>
      </c>
      <c r="AD2059" s="153">
        <v>2</v>
      </c>
      <c r="AE2059" s="153">
        <v>1</v>
      </c>
      <c r="AF2059" s="153" t="str">
        <f ca="1" t="shared" si="342"/>
        <v>34010011|</v>
      </c>
      <c r="AI2059" s="153">
        <v>1</v>
      </c>
      <c r="AJ2059" s="205" t="str">
        <f ca="1" t="shared" si="350"/>
        <v>400023|1650|;</v>
      </c>
      <c r="AK2059" s="205">
        <f ca="1">OFFSET([1]item_type!$A$1,MATCH(Q2059,[1]item_type!$G:$G,0)-1,0)</f>
        <v>303401</v>
      </c>
      <c r="AL2059" s="205"/>
      <c r="AM2059" s="205">
        <f ca="1">IF(B2059=B2060,OFFSET(卡牌辅助配置表!$AE$1,MATCH(AB2059,卡牌辅助配置表!AB:AB,0),0),0)</f>
        <v>1650</v>
      </c>
      <c r="AN2059" s="153">
        <f ca="1" t="shared" si="345"/>
        <v>3401004</v>
      </c>
      <c r="AP2059" s="153" t="str">
        <f ca="1">IF(AC2059=0,0,IF(AC2059=12,0,OFFSET(effect!$N$1,MATCH(K2059,effect!M:M,0)-1,0)))</f>
        <v>kpsx_pt</v>
      </c>
    </row>
    <row r="2060" spans="1:42">
      <c r="A2060" s="153">
        <f ca="1" t="shared" si="346"/>
        <v>3401004</v>
      </c>
      <c r="B2060" s="91" t="s">
        <v>909</v>
      </c>
      <c r="C2060" s="186">
        <v>3</v>
      </c>
      <c r="D2060" s="186">
        <v>3</v>
      </c>
      <c r="E2060" s="165" t="s">
        <v>1069</v>
      </c>
      <c r="F2060" s="179" t="s">
        <v>1073</v>
      </c>
      <c r="G2060" s="186">
        <v>-3</v>
      </c>
      <c r="H2060" s="186">
        <f ca="1" t="shared" si="351"/>
        <v>0</v>
      </c>
      <c r="I2060" s="186"/>
      <c r="J2060" s="186">
        <f ca="1">OFFSET(card_type!$F$1,MATCH(Q2060,card_type!A:A,0)-1,0)</f>
        <v>4</v>
      </c>
      <c r="K2060" s="243">
        <f ca="1">OFFSET(card_type!$G$1,MATCH(Q2060,card_type!A:A,0)-1,0)</f>
        <v>2</v>
      </c>
      <c r="L2060" s="157">
        <v>3</v>
      </c>
      <c r="M2060" s="157">
        <v>3</v>
      </c>
      <c r="N2060" s="153">
        <f t="shared" si="347"/>
        <v>4</v>
      </c>
      <c r="O2060" s="157"/>
      <c r="P2060" s="157"/>
      <c r="Q2060" s="153">
        <f ca="1">OFFSET(card_type!$A$1,MATCH(card!B2060,card_type!B:B,0)-1,0)</f>
        <v>3401</v>
      </c>
      <c r="R2060" s="153">
        <v>1</v>
      </c>
      <c r="S2060" s="157">
        <f ca="1">ROUND(IF(R2060=0,0,IF(R2060=1,X2060*$S$1,IF(R2060=2,X2060*$S$1*buff的资质计算!$E$2,IF(R2060=3,X2060*$S$1*buff的资质计算!$E$3,0)))),0)*0</f>
        <v>0</v>
      </c>
      <c r="T2060" s="153">
        <v>3</v>
      </c>
      <c r="U2060" s="153">
        <f ca="1" t="shared" si="348"/>
        <v>42</v>
      </c>
      <c r="V2060" s="153">
        <f ca="1">ROUND((OFFSET(卡牌辅助配置表!$O$1,MATCH(U2060,卡牌辅助配置表!M:M,0)-1,0)+(N2060-1)*OFFSET(卡牌辅助配置表!$P$1,MATCH(U2060,卡牌辅助配置表!M:M,0)-1,0))*M2060,2)</f>
        <v>99.23</v>
      </c>
      <c r="W2060" s="157">
        <f ca="1">ROUND(IF(R2060=0,0,IF(R2060=1,X2060*$W$1,IF(R2060=2,X2060*$W$1*buff的资质计算!$E$2,IF(R2060=3,X2060*$W$1*buff的资质计算!$E$3,0)))),2)</f>
        <v>21.15</v>
      </c>
      <c r="X2060" s="157">
        <f ca="1" t="shared" si="343"/>
        <v>70.5</v>
      </c>
      <c r="Y2060" s="157">
        <f ca="1" t="shared" si="352"/>
        <v>70.5</v>
      </c>
      <c r="Z2060" s="304">
        <f ca="1" t="shared" si="344"/>
        <v>23.5</v>
      </c>
      <c r="AA2060" s="304">
        <f ca="1">OFFSET(卡牌辅助配置表!$AD$1,MATCH(AB2060,卡牌辅助配置表!AB:AB,0)-1,0)</f>
        <v>1840</v>
      </c>
      <c r="AB2060" s="304">
        <f ca="1" t="shared" si="349"/>
        <v>4204</v>
      </c>
      <c r="AC2060" s="153">
        <v>7</v>
      </c>
      <c r="AD2060" s="153">
        <v>2</v>
      </c>
      <c r="AE2060" s="153">
        <v>1</v>
      </c>
      <c r="AF2060" s="153" t="str">
        <f ca="1" t="shared" si="342"/>
        <v>34010011|</v>
      </c>
      <c r="AI2060" s="153">
        <v>1</v>
      </c>
      <c r="AJ2060" s="205" t="str">
        <f ca="1" t="shared" si="350"/>
        <v>400023|1950|;</v>
      </c>
      <c r="AK2060" s="205">
        <f ca="1">OFFSET([1]item_type!$A$1,MATCH(Q2060,[1]item_type!$G:$G,0)-1,0)</f>
        <v>303401</v>
      </c>
      <c r="AL2060" s="205"/>
      <c r="AM2060" s="205">
        <f ca="1">IF(B2060=B2061,OFFSET(卡牌辅助配置表!$AE$1,MATCH(AB2060,卡牌辅助配置表!AB:AB,0),0),0)</f>
        <v>1950</v>
      </c>
      <c r="AN2060" s="153">
        <f ca="1" t="shared" si="345"/>
        <v>3401005</v>
      </c>
      <c r="AP2060" s="153" t="str">
        <f ca="1">IF(AC2060=0,0,IF(AC2060=12,0,OFFSET(effect!$N$1,MATCH(K2060,effect!M:M,0)-1,0)))</f>
        <v>kpsx_pt</v>
      </c>
    </row>
    <row r="2061" spans="1:42">
      <c r="A2061" s="153">
        <f ca="1" t="shared" si="346"/>
        <v>3401005</v>
      </c>
      <c r="B2061" s="91" t="s">
        <v>909</v>
      </c>
      <c r="C2061" s="186">
        <v>3</v>
      </c>
      <c r="D2061" s="186">
        <v>3</v>
      </c>
      <c r="E2061" s="165" t="s">
        <v>1069</v>
      </c>
      <c r="F2061" s="179" t="s">
        <v>1073</v>
      </c>
      <c r="G2061" s="186">
        <v>-3</v>
      </c>
      <c r="H2061" s="186">
        <f ca="1" t="shared" si="351"/>
        <v>0</v>
      </c>
      <c r="I2061" s="186"/>
      <c r="J2061" s="186">
        <f ca="1">OFFSET(card_type!$F$1,MATCH(Q2061,card_type!A:A,0)-1,0)</f>
        <v>4</v>
      </c>
      <c r="K2061" s="243">
        <f ca="1">OFFSET(card_type!$G$1,MATCH(Q2061,card_type!A:A,0)-1,0)</f>
        <v>2</v>
      </c>
      <c r="L2061" s="157">
        <v>3</v>
      </c>
      <c r="M2061" s="157">
        <v>3</v>
      </c>
      <c r="N2061" s="153">
        <f t="shared" si="347"/>
        <v>5</v>
      </c>
      <c r="O2061" s="157"/>
      <c r="P2061" s="157"/>
      <c r="Q2061" s="153">
        <f ca="1">OFFSET(card_type!$A$1,MATCH(card!B2061,card_type!B:B,0)-1,0)</f>
        <v>3401</v>
      </c>
      <c r="R2061" s="153">
        <v>1</v>
      </c>
      <c r="S2061" s="157">
        <f ca="1">ROUND(IF(R2061=0,0,IF(R2061=1,X2061*$S$1,IF(R2061=2,X2061*$S$1*buff的资质计算!$E$2,IF(R2061=3,X2061*$S$1*buff的资质计算!$E$3,0)))),0)*0</f>
        <v>0</v>
      </c>
      <c r="T2061" s="153">
        <v>3</v>
      </c>
      <c r="U2061" s="153">
        <f ca="1" t="shared" si="348"/>
        <v>42</v>
      </c>
      <c r="V2061" s="153">
        <f ca="1">ROUND((OFFSET(卡牌辅助配置表!$O$1,MATCH(U2061,卡牌辅助配置表!M:M,0)-1,0)+(N2061-1)*OFFSET(卡牌辅助配置表!$P$1,MATCH(U2061,卡牌辅助配置表!M:M,0)-1,0))*M2061,2)</f>
        <v>110.18</v>
      </c>
      <c r="W2061" s="157">
        <f ca="1">ROUND(IF(R2061=0,0,IF(R2061=1,X2061*$W$1,IF(R2061=2,X2061*$W$1*buff的资质计算!$E$2,IF(R2061=3,X2061*$W$1*buff的资质计算!$E$3,0)))),2)</f>
        <v>21.3</v>
      </c>
      <c r="X2061" s="157">
        <f ca="1" t="shared" si="343"/>
        <v>71</v>
      </c>
      <c r="Y2061" s="157">
        <f ca="1" t="shared" si="352"/>
        <v>71</v>
      </c>
      <c r="Z2061" s="304">
        <f ca="1" t="shared" si="344"/>
        <v>23.6666666666667</v>
      </c>
      <c r="AA2061" s="304">
        <f ca="1">OFFSET(卡牌辅助配置表!$AD$1,MATCH(AB2061,卡牌辅助配置表!AB:AB,0)-1,0)</f>
        <v>2300</v>
      </c>
      <c r="AB2061" s="304">
        <f ca="1" t="shared" si="349"/>
        <v>4205</v>
      </c>
      <c r="AC2061" s="153">
        <v>7</v>
      </c>
      <c r="AD2061" s="153">
        <v>2</v>
      </c>
      <c r="AE2061" s="153">
        <v>1</v>
      </c>
      <c r="AF2061" s="153" t="str">
        <f ca="1" t="shared" si="342"/>
        <v>34010011|</v>
      </c>
      <c r="AI2061" s="153">
        <v>1</v>
      </c>
      <c r="AJ2061" s="205" t="str">
        <f ca="1" t="shared" si="350"/>
        <v>400023|2250|;</v>
      </c>
      <c r="AK2061" s="205">
        <f ca="1">OFFSET([1]item_type!$A$1,MATCH(Q2061,[1]item_type!$G:$G,0)-1,0)</f>
        <v>303401</v>
      </c>
      <c r="AL2061" s="205"/>
      <c r="AM2061" s="205">
        <f ca="1">IF(B2061=B2062,OFFSET(卡牌辅助配置表!$AE$1,MATCH(AB2061,卡牌辅助配置表!AB:AB,0),0),0)</f>
        <v>2250</v>
      </c>
      <c r="AN2061" s="153">
        <f ca="1" t="shared" si="345"/>
        <v>3401006</v>
      </c>
      <c r="AP2061" s="153" t="str">
        <f ca="1">IF(AC2061=0,0,IF(AC2061=12,0,OFFSET(effect!$N$1,MATCH(K2061,effect!M:M,0)-1,0)))</f>
        <v>kpsx_pt</v>
      </c>
    </row>
    <row r="2062" spans="1:42">
      <c r="A2062" s="153">
        <f ca="1" t="shared" si="346"/>
        <v>3401006</v>
      </c>
      <c r="B2062" s="91" t="s">
        <v>909</v>
      </c>
      <c r="C2062" s="186">
        <v>3</v>
      </c>
      <c r="D2062" s="186">
        <v>3</v>
      </c>
      <c r="E2062" s="165" t="s">
        <v>1069</v>
      </c>
      <c r="F2062" s="179" t="s">
        <v>1073</v>
      </c>
      <c r="G2062" s="186">
        <v>-3</v>
      </c>
      <c r="H2062" s="186">
        <f ca="1" t="shared" si="351"/>
        <v>0</v>
      </c>
      <c r="I2062" s="186"/>
      <c r="J2062" s="186">
        <f ca="1">OFFSET(card_type!$F$1,MATCH(Q2062,card_type!A:A,0)-1,0)</f>
        <v>4</v>
      </c>
      <c r="K2062" s="243">
        <f ca="1">OFFSET(card_type!$G$1,MATCH(Q2062,card_type!A:A,0)-1,0)</f>
        <v>2</v>
      </c>
      <c r="L2062" s="157">
        <v>3</v>
      </c>
      <c r="M2062" s="157">
        <v>3</v>
      </c>
      <c r="N2062" s="153">
        <f t="shared" si="347"/>
        <v>6</v>
      </c>
      <c r="O2062" s="157"/>
      <c r="P2062" s="157"/>
      <c r="Q2062" s="153">
        <f ca="1">OFFSET(card_type!$A$1,MATCH(card!B2062,card_type!B:B,0)-1,0)</f>
        <v>3401</v>
      </c>
      <c r="R2062" s="153">
        <v>1</v>
      </c>
      <c r="S2062" s="157">
        <f ca="1">ROUND(IF(R2062=0,0,IF(R2062=1,X2062*$S$1,IF(R2062=2,X2062*$S$1*buff的资质计算!$E$2,IF(R2062=3,X2062*$S$1*buff的资质计算!$E$3,0)))),0)*0</f>
        <v>0</v>
      </c>
      <c r="T2062" s="153">
        <v>3</v>
      </c>
      <c r="U2062" s="153">
        <f ca="1" t="shared" si="348"/>
        <v>42</v>
      </c>
      <c r="V2062" s="153">
        <f ca="1">ROUND((OFFSET(卡牌辅助配置表!$O$1,MATCH(U2062,卡牌辅助配置表!M:M,0)-1,0)+(N2062-1)*OFFSET(卡牌辅助配置表!$P$1,MATCH(U2062,卡牌辅助配置表!M:M,0)-1,0))*M2062,2)</f>
        <v>121.13</v>
      </c>
      <c r="W2062" s="157">
        <f ca="1">ROUND(IF(R2062=0,0,IF(R2062=1,X2062*$W$1,IF(R2062=2,X2062*$W$1*buff的资质计算!$E$2,IF(R2062=3,X2062*$W$1*buff的资质计算!$E$3,0)))),2)</f>
        <v>21.45</v>
      </c>
      <c r="X2062" s="157">
        <f ca="1" t="shared" si="343"/>
        <v>71.5</v>
      </c>
      <c r="Y2062" s="157">
        <f ca="1" t="shared" si="352"/>
        <v>71.5</v>
      </c>
      <c r="Z2062" s="304">
        <f ca="1" t="shared" si="344"/>
        <v>23.8333333333333</v>
      </c>
      <c r="AA2062" s="304">
        <f ca="1">OFFSET(卡牌辅助配置表!$AD$1,MATCH(AB2062,卡牌辅助配置表!AB:AB,0)-1,0)</f>
        <v>2760</v>
      </c>
      <c r="AB2062" s="304">
        <f ca="1" t="shared" si="349"/>
        <v>4206</v>
      </c>
      <c r="AC2062" s="153">
        <v>7</v>
      </c>
      <c r="AD2062" s="153">
        <v>2</v>
      </c>
      <c r="AE2062" s="153">
        <v>1</v>
      </c>
      <c r="AF2062" s="153" t="str">
        <f ca="1" t="shared" si="342"/>
        <v>34010011|</v>
      </c>
      <c r="AI2062" s="153">
        <v>1</v>
      </c>
      <c r="AJ2062" s="205" t="str">
        <f ca="1" t="shared" si="350"/>
        <v>400023|2550|;</v>
      </c>
      <c r="AK2062" s="205">
        <f ca="1">OFFSET([1]item_type!$A$1,MATCH(Q2062,[1]item_type!$G:$G,0)-1,0)</f>
        <v>303401</v>
      </c>
      <c r="AL2062" s="205"/>
      <c r="AM2062" s="205">
        <f ca="1">IF(B2062=B2063,OFFSET(卡牌辅助配置表!$AE$1,MATCH(AB2062,卡牌辅助配置表!AB:AB,0),0),0)</f>
        <v>2550</v>
      </c>
      <c r="AN2062" s="153">
        <f ca="1" t="shared" si="345"/>
        <v>3401007</v>
      </c>
      <c r="AP2062" s="153" t="str">
        <f ca="1">IF(AC2062=0,0,IF(AC2062=12,0,OFFSET(effect!$N$1,MATCH(K2062,effect!M:M,0)-1,0)))</f>
        <v>kpsx_pt</v>
      </c>
    </row>
    <row r="2063" spans="1:42">
      <c r="A2063" s="153">
        <f ca="1" t="shared" si="346"/>
        <v>3401007</v>
      </c>
      <c r="B2063" s="91" t="s">
        <v>909</v>
      </c>
      <c r="C2063" s="186">
        <v>3</v>
      </c>
      <c r="D2063" s="186">
        <v>3</v>
      </c>
      <c r="E2063" s="165" t="s">
        <v>1069</v>
      </c>
      <c r="F2063" s="179" t="s">
        <v>1073</v>
      </c>
      <c r="G2063" s="186">
        <v>-3</v>
      </c>
      <c r="H2063" s="186">
        <f ca="1" t="shared" si="351"/>
        <v>0</v>
      </c>
      <c r="I2063" s="186"/>
      <c r="J2063" s="186">
        <f ca="1">OFFSET(card_type!$F$1,MATCH(Q2063,card_type!A:A,0)-1,0)</f>
        <v>4</v>
      </c>
      <c r="K2063" s="243">
        <f ca="1">OFFSET(card_type!$G$1,MATCH(Q2063,card_type!A:A,0)-1,0)</f>
        <v>2</v>
      </c>
      <c r="L2063" s="157">
        <v>3</v>
      </c>
      <c r="M2063" s="157">
        <v>3</v>
      </c>
      <c r="N2063" s="153">
        <f t="shared" si="347"/>
        <v>7</v>
      </c>
      <c r="O2063" s="157"/>
      <c r="P2063" s="157"/>
      <c r="Q2063" s="153">
        <f ca="1">OFFSET(card_type!$A$1,MATCH(card!B2063,card_type!B:B,0)-1,0)</f>
        <v>3401</v>
      </c>
      <c r="R2063" s="153">
        <v>1</v>
      </c>
      <c r="S2063" s="157">
        <f ca="1">ROUND(IF(R2063=0,0,IF(R2063=1,X2063*$S$1,IF(R2063=2,X2063*$S$1*buff的资质计算!$E$2,IF(R2063=3,X2063*$S$1*buff的资质计算!$E$3,0)))),0)*0</f>
        <v>0</v>
      </c>
      <c r="T2063" s="153">
        <v>3</v>
      </c>
      <c r="U2063" s="153">
        <f ca="1" t="shared" si="348"/>
        <v>42</v>
      </c>
      <c r="V2063" s="153">
        <f ca="1">ROUND((OFFSET(卡牌辅助配置表!$O$1,MATCH(U2063,卡牌辅助配置表!M:M,0)-1,0)+(N2063-1)*OFFSET(卡牌辅助配置表!$P$1,MATCH(U2063,卡牌辅助配置表!M:M,0)-1,0))*M2063,2)</f>
        <v>132.08</v>
      </c>
      <c r="W2063" s="157">
        <f ca="1">ROUND(IF(R2063=0,0,IF(R2063=1,X2063*$W$1,IF(R2063=2,X2063*$W$1*buff的资质计算!$E$2,IF(R2063=3,X2063*$W$1*buff的资质计算!$E$3,0)))),2)</f>
        <v>21.6</v>
      </c>
      <c r="X2063" s="157">
        <f ca="1" t="shared" si="343"/>
        <v>72</v>
      </c>
      <c r="Y2063" s="157">
        <f ca="1" t="shared" si="352"/>
        <v>72</v>
      </c>
      <c r="Z2063" s="304">
        <f ca="1" t="shared" si="344"/>
        <v>24</v>
      </c>
      <c r="AA2063" s="304">
        <f ca="1">OFFSET(卡牌辅助配置表!$AD$1,MATCH(AB2063,卡牌辅助配置表!AB:AB,0)-1,0)</f>
        <v>3220</v>
      </c>
      <c r="AB2063" s="304">
        <f ca="1" t="shared" si="349"/>
        <v>4207</v>
      </c>
      <c r="AC2063" s="153">
        <v>7</v>
      </c>
      <c r="AD2063" s="153">
        <v>2</v>
      </c>
      <c r="AE2063" s="153">
        <v>1</v>
      </c>
      <c r="AF2063" s="153" t="str">
        <f ca="1" t="shared" si="342"/>
        <v>34010011|</v>
      </c>
      <c r="AI2063" s="153">
        <v>1</v>
      </c>
      <c r="AJ2063" s="205" t="str">
        <f ca="1" t="shared" si="350"/>
        <v>400023|2850|;</v>
      </c>
      <c r="AK2063" s="205">
        <f ca="1">OFFSET([1]item_type!$A$1,MATCH(Q2063,[1]item_type!$G:$G,0)-1,0)</f>
        <v>303401</v>
      </c>
      <c r="AL2063" s="205"/>
      <c r="AM2063" s="205">
        <f ca="1">IF(B2063=B2064,OFFSET(卡牌辅助配置表!$AE$1,MATCH(AB2063,卡牌辅助配置表!AB:AB,0),0),0)</f>
        <v>2850</v>
      </c>
      <c r="AN2063" s="153">
        <f ca="1" t="shared" si="345"/>
        <v>3401008</v>
      </c>
      <c r="AP2063" s="153" t="str">
        <f ca="1">IF(AC2063=0,0,IF(AC2063=12,0,OFFSET(effect!$N$1,MATCH(K2063,effect!M:M,0)-1,0)))</f>
        <v>kpsx_pt</v>
      </c>
    </row>
    <row r="2064" spans="1:42">
      <c r="A2064" s="153">
        <f ca="1" t="shared" si="346"/>
        <v>3401008</v>
      </c>
      <c r="B2064" s="91" t="s">
        <v>909</v>
      </c>
      <c r="C2064" s="186">
        <v>3</v>
      </c>
      <c r="D2064" s="186">
        <v>3</v>
      </c>
      <c r="E2064" s="165" t="s">
        <v>1069</v>
      </c>
      <c r="F2064" s="179" t="s">
        <v>1073</v>
      </c>
      <c r="G2064" s="186">
        <v>-3</v>
      </c>
      <c r="H2064" s="186">
        <f ca="1" t="shared" si="351"/>
        <v>0</v>
      </c>
      <c r="I2064" s="186"/>
      <c r="J2064" s="186">
        <f ca="1">OFFSET(card_type!$F$1,MATCH(Q2064,card_type!A:A,0)-1,0)</f>
        <v>4</v>
      </c>
      <c r="K2064" s="243">
        <f ca="1">OFFSET(card_type!$G$1,MATCH(Q2064,card_type!A:A,0)-1,0)</f>
        <v>2</v>
      </c>
      <c r="L2064" s="157">
        <v>3</v>
      </c>
      <c r="M2064" s="157">
        <v>3</v>
      </c>
      <c r="N2064" s="153">
        <f t="shared" si="347"/>
        <v>8</v>
      </c>
      <c r="O2064" s="157"/>
      <c r="P2064" s="157"/>
      <c r="Q2064" s="153">
        <f ca="1">OFFSET(card_type!$A$1,MATCH(card!B2064,card_type!B:B,0)-1,0)</f>
        <v>3401</v>
      </c>
      <c r="R2064" s="153">
        <v>1</v>
      </c>
      <c r="S2064" s="157">
        <f ca="1">ROUND(IF(R2064=0,0,IF(R2064=1,X2064*$S$1,IF(R2064=2,X2064*$S$1*buff的资质计算!$E$2,IF(R2064=3,X2064*$S$1*buff的资质计算!$E$3,0)))),0)*0</f>
        <v>0</v>
      </c>
      <c r="T2064" s="153">
        <v>3</v>
      </c>
      <c r="U2064" s="153">
        <f ca="1" t="shared" si="348"/>
        <v>42</v>
      </c>
      <c r="V2064" s="153">
        <f ca="1">ROUND((OFFSET(卡牌辅助配置表!$O$1,MATCH(U2064,卡牌辅助配置表!M:M,0)-1,0)+(N2064-1)*OFFSET(卡牌辅助配置表!$P$1,MATCH(U2064,卡牌辅助配置表!M:M,0)-1,0))*M2064,2)</f>
        <v>143.03</v>
      </c>
      <c r="W2064" s="157">
        <f ca="1">ROUND(IF(R2064=0,0,IF(R2064=1,X2064*$W$1,IF(R2064=2,X2064*$W$1*buff的资质计算!$E$2,IF(R2064=3,X2064*$W$1*buff的资质计算!$E$3,0)))),2)</f>
        <v>21.75</v>
      </c>
      <c r="X2064" s="157">
        <f ca="1" t="shared" si="343"/>
        <v>72.5</v>
      </c>
      <c r="Y2064" s="157">
        <f ca="1" t="shared" si="352"/>
        <v>72.5</v>
      </c>
      <c r="Z2064" s="304">
        <f ca="1" t="shared" si="344"/>
        <v>24.1666666666667</v>
      </c>
      <c r="AA2064" s="304">
        <f ca="1">OFFSET(卡牌辅助配置表!$AD$1,MATCH(AB2064,卡牌辅助配置表!AB:AB,0)-1,0)</f>
        <v>3680</v>
      </c>
      <c r="AB2064" s="304">
        <f ca="1" t="shared" si="349"/>
        <v>4208</v>
      </c>
      <c r="AC2064" s="153">
        <v>7</v>
      </c>
      <c r="AD2064" s="153">
        <v>2</v>
      </c>
      <c r="AE2064" s="153">
        <v>1</v>
      </c>
      <c r="AF2064" s="153" t="str">
        <f ca="1" t="shared" si="342"/>
        <v>34010011|</v>
      </c>
      <c r="AI2064" s="153">
        <v>1</v>
      </c>
      <c r="AJ2064" s="205" t="str">
        <f ca="1" t="shared" si="350"/>
        <v>400023|3150|;</v>
      </c>
      <c r="AK2064" s="205">
        <f ca="1">OFFSET([1]item_type!$A$1,MATCH(Q2064,[1]item_type!$G:$G,0)-1,0)</f>
        <v>303401</v>
      </c>
      <c r="AL2064" s="205"/>
      <c r="AM2064" s="205">
        <f ca="1">IF(B2064=B2065,OFFSET(卡牌辅助配置表!$AE$1,MATCH(AB2064,卡牌辅助配置表!AB:AB,0),0),0)</f>
        <v>3150</v>
      </c>
      <c r="AN2064" s="153">
        <f ca="1" t="shared" si="345"/>
        <v>3401009</v>
      </c>
      <c r="AP2064" s="153" t="str">
        <f ca="1">IF(AC2064=0,0,IF(AC2064=12,0,OFFSET(effect!$N$1,MATCH(K2064,effect!M:M,0)-1,0)))</f>
        <v>kpsx_pt</v>
      </c>
    </row>
    <row r="2065" spans="1:42">
      <c r="A2065" s="153">
        <f ca="1" t="shared" si="346"/>
        <v>3401009</v>
      </c>
      <c r="B2065" s="91" t="s">
        <v>909</v>
      </c>
      <c r="C2065" s="186">
        <v>3</v>
      </c>
      <c r="D2065" s="186">
        <v>3</v>
      </c>
      <c r="E2065" s="165" t="s">
        <v>1069</v>
      </c>
      <c r="F2065" s="179" t="s">
        <v>1073</v>
      </c>
      <c r="G2065" s="186">
        <v>-3</v>
      </c>
      <c r="H2065" s="186">
        <f ca="1" t="shared" si="351"/>
        <v>0</v>
      </c>
      <c r="I2065" s="186"/>
      <c r="J2065" s="186">
        <f ca="1">OFFSET(card_type!$F$1,MATCH(Q2065,card_type!A:A,0)-1,0)</f>
        <v>4</v>
      </c>
      <c r="K2065" s="243">
        <f ca="1">OFFSET(card_type!$G$1,MATCH(Q2065,card_type!A:A,0)-1,0)</f>
        <v>2</v>
      </c>
      <c r="L2065" s="157">
        <v>3</v>
      </c>
      <c r="M2065" s="157">
        <v>3</v>
      </c>
      <c r="N2065" s="153">
        <f t="shared" si="347"/>
        <v>9</v>
      </c>
      <c r="O2065" s="157"/>
      <c r="P2065" s="157"/>
      <c r="Q2065" s="153">
        <f ca="1">OFFSET(card_type!$A$1,MATCH(card!B2065,card_type!B:B,0)-1,0)</f>
        <v>3401</v>
      </c>
      <c r="R2065" s="153">
        <v>1</v>
      </c>
      <c r="S2065" s="157">
        <f ca="1">ROUND(IF(R2065=0,0,IF(R2065=1,X2065*$S$1,IF(R2065=2,X2065*$S$1*buff的资质计算!$E$2,IF(R2065=3,X2065*$S$1*buff的资质计算!$E$3,0)))),0)*0</f>
        <v>0</v>
      </c>
      <c r="T2065" s="153">
        <v>3</v>
      </c>
      <c r="U2065" s="153">
        <f ca="1" t="shared" si="348"/>
        <v>42</v>
      </c>
      <c r="V2065" s="153">
        <f ca="1">ROUND((OFFSET(卡牌辅助配置表!$O$1,MATCH(U2065,卡牌辅助配置表!M:M,0)-1,0)+(N2065-1)*OFFSET(卡牌辅助配置表!$P$1,MATCH(U2065,卡牌辅助配置表!M:M,0)-1,0))*M2065,2)</f>
        <v>153.98</v>
      </c>
      <c r="W2065" s="157">
        <f ca="1">ROUND(IF(R2065=0,0,IF(R2065=1,X2065*$W$1,IF(R2065=2,X2065*$W$1*buff的资质计算!$E$2,IF(R2065=3,X2065*$W$1*buff的资质计算!$E$3,0)))),2)</f>
        <v>21.9</v>
      </c>
      <c r="X2065" s="157">
        <f ca="1" t="shared" si="343"/>
        <v>73</v>
      </c>
      <c r="Y2065" s="157">
        <f ca="1" t="shared" si="352"/>
        <v>73</v>
      </c>
      <c r="Z2065" s="304">
        <f ca="1" t="shared" si="344"/>
        <v>24.3333333333333</v>
      </c>
      <c r="AA2065" s="304">
        <f ca="1">OFFSET(卡牌辅助配置表!$AD$1,MATCH(AB2065,卡牌辅助配置表!AB:AB,0)-1,0)</f>
        <v>4140</v>
      </c>
      <c r="AB2065" s="304">
        <f ca="1" t="shared" si="349"/>
        <v>4209</v>
      </c>
      <c r="AC2065" s="153">
        <v>7</v>
      </c>
      <c r="AD2065" s="153">
        <v>2</v>
      </c>
      <c r="AE2065" s="153">
        <v>1</v>
      </c>
      <c r="AF2065" s="153" t="str">
        <f ca="1" t="shared" si="342"/>
        <v>34010011|</v>
      </c>
      <c r="AI2065" s="153">
        <v>1</v>
      </c>
      <c r="AJ2065" s="205" t="str">
        <f ca="1" t="shared" si="350"/>
        <v>303401|15|;400023|3450|;</v>
      </c>
      <c r="AK2065" s="205">
        <f ca="1">OFFSET([1]item_type!$A$1,MATCH(Q2065,[1]item_type!$G:$G,0)-1,0)</f>
        <v>303401</v>
      </c>
      <c r="AL2065" s="205">
        <v>15</v>
      </c>
      <c r="AM2065" s="205">
        <f ca="1">IF(B2065=B2066,OFFSET(卡牌辅助配置表!$AE$1,MATCH(AB2065,卡牌辅助配置表!AB:AB,0),0),0)</f>
        <v>3450</v>
      </c>
      <c r="AN2065" s="153">
        <f ca="1" t="shared" si="345"/>
        <v>3401010</v>
      </c>
      <c r="AP2065" s="153" t="str">
        <f ca="1">IF(AC2065=0,0,IF(AC2065=12,0,OFFSET(effect!$N$1,MATCH(K2065,effect!M:M,0)-1,0)))</f>
        <v>kpsx_pt</v>
      </c>
    </row>
    <row r="2066" spans="1:42">
      <c r="A2066" s="153">
        <f ca="1" t="shared" si="346"/>
        <v>3401010</v>
      </c>
      <c r="B2066" s="91" t="s">
        <v>909</v>
      </c>
      <c r="C2066" s="186">
        <v>3</v>
      </c>
      <c r="D2066" s="186">
        <v>3</v>
      </c>
      <c r="E2066" s="165" t="s">
        <v>1069</v>
      </c>
      <c r="F2066" s="179" t="s">
        <v>1073</v>
      </c>
      <c r="G2066" s="186">
        <v>-3</v>
      </c>
      <c r="H2066" s="186">
        <f ca="1" t="shared" si="351"/>
        <v>0</v>
      </c>
      <c r="I2066" s="186"/>
      <c r="J2066" s="186">
        <f ca="1">OFFSET(card_type!$F$1,MATCH(Q2066,card_type!A:A,0)-1,0)</f>
        <v>4</v>
      </c>
      <c r="K2066" s="243">
        <f ca="1">OFFSET(card_type!$G$1,MATCH(Q2066,card_type!A:A,0)-1,0)</f>
        <v>2</v>
      </c>
      <c r="L2066" s="157">
        <v>3</v>
      </c>
      <c r="M2066" s="157">
        <v>3</v>
      </c>
      <c r="N2066" s="153">
        <f t="shared" si="347"/>
        <v>10</v>
      </c>
      <c r="O2066" s="157"/>
      <c r="P2066" s="157"/>
      <c r="Q2066" s="153">
        <f ca="1">OFFSET(card_type!$A$1,MATCH(card!B2066,card_type!B:B,0)-1,0)</f>
        <v>3401</v>
      </c>
      <c r="R2066" s="153">
        <v>1</v>
      </c>
      <c r="S2066" s="157">
        <f ca="1">ROUND(IF(R2066=0,0,IF(R2066=1,X2066*$S$1,IF(R2066=2,X2066*$S$1*buff的资质计算!$E$2,IF(R2066=3,X2066*$S$1*buff的资质计算!$E$3,0)))),0)*0</f>
        <v>0</v>
      </c>
      <c r="T2066" s="153">
        <v>3</v>
      </c>
      <c r="U2066" s="153">
        <f ca="1" t="shared" si="348"/>
        <v>42</v>
      </c>
      <c r="V2066" s="153">
        <f ca="1">ROUND((OFFSET(卡牌辅助配置表!$O$1,MATCH(U2066,卡牌辅助配置表!M:M,0)-1,0)+(N2066-1)*OFFSET(卡牌辅助配置表!$P$1,MATCH(U2066,卡牌辅助配置表!M:M,0)-1,0))*M2066,2)</f>
        <v>164.93</v>
      </c>
      <c r="W2066" s="157">
        <f ca="1">ROUND(IF(R2066=0,0,IF(R2066=1,X2066*$W$1,IF(R2066=2,X2066*$W$1*buff的资质计算!$E$2,IF(R2066=3,X2066*$W$1*buff的资质计算!$E$3,0)))),2)</f>
        <v>22.05</v>
      </c>
      <c r="X2066" s="157">
        <f ca="1" t="shared" si="343"/>
        <v>73.5</v>
      </c>
      <c r="Y2066" s="157">
        <f ca="1" t="shared" si="352"/>
        <v>73.5</v>
      </c>
      <c r="Z2066" s="304">
        <f ca="1" t="shared" si="344"/>
        <v>24.5</v>
      </c>
      <c r="AA2066" s="304">
        <f ca="1">OFFSET(卡牌辅助配置表!$AD$1,MATCH(AB2066,卡牌辅助配置表!AB:AB,0)-1,0)</f>
        <v>4600</v>
      </c>
      <c r="AB2066" s="304">
        <f ca="1" t="shared" si="349"/>
        <v>4210</v>
      </c>
      <c r="AC2066" s="153">
        <v>7</v>
      </c>
      <c r="AD2066" s="153">
        <v>2</v>
      </c>
      <c r="AE2066" s="153">
        <v>1</v>
      </c>
      <c r="AF2066" s="153" t="str">
        <f ca="1" t="shared" si="342"/>
        <v>34010011|</v>
      </c>
      <c r="AI2066" s="153">
        <v>1</v>
      </c>
      <c r="AJ2066" s="205" t="str">
        <f ca="1" t="shared" si="350"/>
        <v>400023|4050|;</v>
      </c>
      <c r="AK2066" s="205">
        <f ca="1">OFFSET([1]item_type!$A$1,MATCH(Q2066,[1]item_type!$G:$G,0)-1,0)</f>
        <v>303401</v>
      </c>
      <c r="AL2066" s="205"/>
      <c r="AM2066" s="205">
        <f ca="1">IF(B2066=B2067,OFFSET(卡牌辅助配置表!$AE$1,MATCH(AB2066,卡牌辅助配置表!AB:AB,0),0),0)</f>
        <v>4050</v>
      </c>
      <c r="AN2066" s="153">
        <f ca="1" t="shared" si="345"/>
        <v>3401011</v>
      </c>
      <c r="AP2066" s="153" t="str">
        <f ca="1">IF(AC2066=0,0,IF(AC2066=12,0,OFFSET(effect!$N$1,MATCH(K2066,effect!M:M,0)-1,0)))</f>
        <v>kpsx_pt</v>
      </c>
    </row>
    <row r="2067" spans="1:42">
      <c r="A2067" s="153">
        <f ca="1" t="shared" si="346"/>
        <v>3401011</v>
      </c>
      <c r="B2067" s="91" t="s">
        <v>909</v>
      </c>
      <c r="C2067" s="186">
        <v>3</v>
      </c>
      <c r="D2067" s="186">
        <v>3</v>
      </c>
      <c r="E2067" s="165" t="s">
        <v>1069</v>
      </c>
      <c r="F2067" s="179" t="s">
        <v>1073</v>
      </c>
      <c r="G2067" s="186">
        <v>-3</v>
      </c>
      <c r="H2067" s="186">
        <f ca="1" t="shared" si="351"/>
        <v>0</v>
      </c>
      <c r="I2067" s="186"/>
      <c r="J2067" s="186">
        <f ca="1">OFFSET(card_type!$F$1,MATCH(Q2067,card_type!A:A,0)-1,0)</f>
        <v>4</v>
      </c>
      <c r="K2067" s="243">
        <f ca="1">OFFSET(card_type!$G$1,MATCH(Q2067,card_type!A:A,0)-1,0)</f>
        <v>2</v>
      </c>
      <c r="L2067" s="157">
        <v>3</v>
      </c>
      <c r="M2067" s="157">
        <v>3</v>
      </c>
      <c r="N2067" s="153">
        <f t="shared" si="347"/>
        <v>11</v>
      </c>
      <c r="O2067" s="157"/>
      <c r="P2067" s="157"/>
      <c r="Q2067" s="153">
        <f ca="1">OFFSET(card_type!$A$1,MATCH(card!B2067,card_type!B:B,0)-1,0)</f>
        <v>3401</v>
      </c>
      <c r="R2067" s="153">
        <v>1</v>
      </c>
      <c r="S2067" s="157">
        <f ca="1">ROUND(IF(R2067=0,0,IF(R2067=1,X2067*$S$1,IF(R2067=2,X2067*$S$1*buff的资质计算!$E$2,IF(R2067=3,X2067*$S$1*buff的资质计算!$E$3,0)))),0)*0</f>
        <v>0</v>
      </c>
      <c r="T2067" s="153">
        <v>3</v>
      </c>
      <c r="U2067" s="153">
        <f ca="1" t="shared" si="348"/>
        <v>42</v>
      </c>
      <c r="V2067" s="153">
        <f ca="1">ROUND((OFFSET(卡牌辅助配置表!$O$1,MATCH(U2067,卡牌辅助配置表!M:M,0)-1,0)+(N2067-1)*OFFSET(卡牌辅助配置表!$P$1,MATCH(U2067,卡牌辅助配置表!M:M,0)-1,0))*M2067,2)</f>
        <v>175.88</v>
      </c>
      <c r="W2067" s="157">
        <f ca="1">ROUND(IF(R2067=0,0,IF(R2067=1,X2067*$W$1,IF(R2067=2,X2067*$W$1*buff的资质计算!$E$2,IF(R2067=3,X2067*$W$1*buff的资质计算!$E$3,0)))),2)</f>
        <v>22.2</v>
      </c>
      <c r="X2067" s="157">
        <f ca="1" t="shared" si="343"/>
        <v>74</v>
      </c>
      <c r="Y2067" s="157">
        <f ca="1" t="shared" si="352"/>
        <v>74</v>
      </c>
      <c r="Z2067" s="304">
        <f ca="1" t="shared" si="344"/>
        <v>24.6666666666667</v>
      </c>
      <c r="AA2067" s="304">
        <f ca="1">OFFSET(卡牌辅助配置表!$AD$1,MATCH(AB2067,卡牌辅助配置表!AB:AB,0)-1,0)</f>
        <v>5290</v>
      </c>
      <c r="AB2067" s="304">
        <f ca="1" t="shared" si="349"/>
        <v>4211</v>
      </c>
      <c r="AC2067" s="153">
        <v>7</v>
      </c>
      <c r="AD2067" s="153">
        <v>2</v>
      </c>
      <c r="AE2067" s="153">
        <v>1</v>
      </c>
      <c r="AF2067" s="153" t="str">
        <f ca="1" t="shared" si="342"/>
        <v>34010011|</v>
      </c>
      <c r="AI2067" s="153">
        <v>1</v>
      </c>
      <c r="AJ2067" s="205" t="str">
        <f ca="1" t="shared" si="350"/>
        <v>400023|4650|;</v>
      </c>
      <c r="AK2067" s="205">
        <f ca="1">OFFSET([1]item_type!$A$1,MATCH(Q2067,[1]item_type!$G:$G,0)-1,0)</f>
        <v>303401</v>
      </c>
      <c r="AL2067" s="205"/>
      <c r="AM2067" s="205">
        <f ca="1">IF(B2067=B2068,OFFSET(卡牌辅助配置表!$AE$1,MATCH(AB2067,卡牌辅助配置表!AB:AB,0),0),0)</f>
        <v>4650</v>
      </c>
      <c r="AN2067" s="153">
        <f ca="1" t="shared" si="345"/>
        <v>3401012</v>
      </c>
      <c r="AP2067" s="153" t="str">
        <f ca="1">IF(AC2067=0,0,IF(AC2067=12,0,OFFSET(effect!$N$1,MATCH(K2067,effect!M:M,0)-1,0)))</f>
        <v>kpsx_pt</v>
      </c>
    </row>
    <row r="2068" spans="1:42">
      <c r="A2068" s="153">
        <f ca="1" t="shared" si="346"/>
        <v>3401012</v>
      </c>
      <c r="B2068" s="91" t="s">
        <v>909</v>
      </c>
      <c r="C2068" s="186">
        <v>3</v>
      </c>
      <c r="D2068" s="186">
        <v>3</v>
      </c>
      <c r="E2068" s="165" t="s">
        <v>1069</v>
      </c>
      <c r="F2068" s="179" t="s">
        <v>1073</v>
      </c>
      <c r="G2068" s="186">
        <v>-3</v>
      </c>
      <c r="H2068" s="186">
        <f ca="1" t="shared" si="351"/>
        <v>0</v>
      </c>
      <c r="I2068" s="186"/>
      <c r="J2068" s="186">
        <f ca="1">OFFSET(card_type!$F$1,MATCH(Q2068,card_type!A:A,0)-1,0)</f>
        <v>4</v>
      </c>
      <c r="K2068" s="243">
        <f ca="1">OFFSET(card_type!$G$1,MATCH(Q2068,card_type!A:A,0)-1,0)</f>
        <v>2</v>
      </c>
      <c r="L2068" s="157">
        <v>3</v>
      </c>
      <c r="M2068" s="157">
        <v>3</v>
      </c>
      <c r="N2068" s="153">
        <f t="shared" si="347"/>
        <v>12</v>
      </c>
      <c r="O2068" s="157"/>
      <c r="P2068" s="157"/>
      <c r="Q2068" s="153">
        <f ca="1">OFFSET(card_type!$A$1,MATCH(card!B2068,card_type!B:B,0)-1,0)</f>
        <v>3401</v>
      </c>
      <c r="R2068" s="153">
        <v>1</v>
      </c>
      <c r="S2068" s="157">
        <f ca="1">ROUND(IF(R2068=0,0,IF(R2068=1,X2068*$S$1,IF(R2068=2,X2068*$S$1*buff的资质计算!$E$2,IF(R2068=3,X2068*$S$1*buff的资质计算!$E$3,0)))),0)*0</f>
        <v>0</v>
      </c>
      <c r="T2068" s="153">
        <v>3</v>
      </c>
      <c r="U2068" s="153">
        <f ca="1" t="shared" si="348"/>
        <v>42</v>
      </c>
      <c r="V2068" s="153">
        <f ca="1">ROUND((OFFSET(卡牌辅助配置表!$O$1,MATCH(U2068,卡牌辅助配置表!M:M,0)-1,0)+(N2068-1)*OFFSET(卡牌辅助配置表!$P$1,MATCH(U2068,卡牌辅助配置表!M:M,0)-1,0))*M2068,2)</f>
        <v>186.83</v>
      </c>
      <c r="W2068" s="157">
        <f ca="1">ROUND(IF(R2068=0,0,IF(R2068=1,X2068*$W$1,IF(R2068=2,X2068*$W$1*buff的资质计算!$E$2,IF(R2068=3,X2068*$W$1*buff的资质计算!$E$3,0)))),2)</f>
        <v>22.35</v>
      </c>
      <c r="X2068" s="157">
        <f ca="1" t="shared" si="343"/>
        <v>74.5</v>
      </c>
      <c r="Y2068" s="157">
        <f ca="1" t="shared" si="352"/>
        <v>74.5</v>
      </c>
      <c r="Z2068" s="304">
        <f ca="1" t="shared" si="344"/>
        <v>24.8333333333333</v>
      </c>
      <c r="AA2068" s="304">
        <f ca="1">OFFSET(卡牌辅助配置表!$AD$1,MATCH(AB2068,卡牌辅助配置表!AB:AB,0)-1,0)</f>
        <v>5980</v>
      </c>
      <c r="AB2068" s="304">
        <f ca="1" t="shared" si="349"/>
        <v>4212</v>
      </c>
      <c r="AC2068" s="153">
        <v>7</v>
      </c>
      <c r="AD2068" s="153">
        <v>2</v>
      </c>
      <c r="AE2068" s="153">
        <v>1</v>
      </c>
      <c r="AF2068" s="153" t="str">
        <f ca="1" t="shared" si="342"/>
        <v>34010011|</v>
      </c>
      <c r="AI2068" s="153">
        <v>1</v>
      </c>
      <c r="AJ2068" s="205" t="str">
        <f ca="1" t="shared" si="350"/>
        <v>400023|5250|;</v>
      </c>
      <c r="AK2068" s="205">
        <f ca="1">OFFSET([1]item_type!$A$1,MATCH(Q2068,[1]item_type!$G:$G,0)-1,0)</f>
        <v>303401</v>
      </c>
      <c r="AL2068" s="205"/>
      <c r="AM2068" s="205">
        <f ca="1">IF(B2068=B2069,OFFSET(卡牌辅助配置表!$AE$1,MATCH(AB2068,卡牌辅助配置表!AB:AB,0),0),0)</f>
        <v>5250</v>
      </c>
      <c r="AN2068" s="153">
        <f ca="1" t="shared" si="345"/>
        <v>3401013</v>
      </c>
      <c r="AP2068" s="153" t="str">
        <f ca="1">IF(AC2068=0,0,IF(AC2068=12,0,OFFSET(effect!$N$1,MATCH(K2068,effect!M:M,0)-1,0)))</f>
        <v>kpsx_pt</v>
      </c>
    </row>
    <row r="2069" spans="1:42">
      <c r="A2069" s="153">
        <f ca="1" t="shared" si="346"/>
        <v>3401013</v>
      </c>
      <c r="B2069" s="91" t="s">
        <v>909</v>
      </c>
      <c r="C2069" s="186">
        <v>3</v>
      </c>
      <c r="D2069" s="186">
        <v>3</v>
      </c>
      <c r="E2069" s="165" t="s">
        <v>1069</v>
      </c>
      <c r="F2069" s="179" t="s">
        <v>1073</v>
      </c>
      <c r="G2069" s="186">
        <v>-3</v>
      </c>
      <c r="H2069" s="186">
        <f ca="1" t="shared" si="351"/>
        <v>0</v>
      </c>
      <c r="I2069" s="186"/>
      <c r="J2069" s="186">
        <f ca="1">OFFSET(card_type!$F$1,MATCH(Q2069,card_type!A:A,0)-1,0)</f>
        <v>4</v>
      </c>
      <c r="K2069" s="243">
        <f ca="1">OFFSET(card_type!$G$1,MATCH(Q2069,card_type!A:A,0)-1,0)</f>
        <v>2</v>
      </c>
      <c r="L2069" s="157">
        <v>3</v>
      </c>
      <c r="M2069" s="157">
        <v>3</v>
      </c>
      <c r="N2069" s="153">
        <f t="shared" si="347"/>
        <v>13</v>
      </c>
      <c r="O2069" s="157"/>
      <c r="P2069" s="157"/>
      <c r="Q2069" s="153">
        <f ca="1">OFFSET(card_type!$A$1,MATCH(card!B2069,card_type!B:B,0)-1,0)</f>
        <v>3401</v>
      </c>
      <c r="R2069" s="153">
        <v>1</v>
      </c>
      <c r="S2069" s="157">
        <f ca="1">ROUND(IF(R2069=0,0,IF(R2069=1,X2069*$S$1,IF(R2069=2,X2069*$S$1*buff的资质计算!$E$2,IF(R2069=3,X2069*$S$1*buff的资质计算!$E$3,0)))),0)*0</f>
        <v>0</v>
      </c>
      <c r="T2069" s="153">
        <v>3</v>
      </c>
      <c r="U2069" s="153">
        <f ca="1" t="shared" si="348"/>
        <v>42</v>
      </c>
      <c r="V2069" s="153">
        <f ca="1">ROUND((OFFSET(卡牌辅助配置表!$O$1,MATCH(U2069,卡牌辅助配置表!M:M,0)-1,0)+(N2069-1)*OFFSET(卡牌辅助配置表!$P$1,MATCH(U2069,卡牌辅助配置表!M:M,0)-1,0))*M2069,2)</f>
        <v>197.78</v>
      </c>
      <c r="W2069" s="157">
        <f ca="1">ROUND(IF(R2069=0,0,IF(R2069=1,X2069*$W$1,IF(R2069=2,X2069*$W$1*buff的资质计算!$E$2,IF(R2069=3,X2069*$W$1*buff的资质计算!$E$3,0)))),2)</f>
        <v>22.5</v>
      </c>
      <c r="X2069" s="157">
        <f ca="1" t="shared" si="343"/>
        <v>75</v>
      </c>
      <c r="Y2069" s="157">
        <f ca="1" t="shared" si="352"/>
        <v>75</v>
      </c>
      <c r="Z2069" s="304">
        <f ca="1" t="shared" si="344"/>
        <v>25</v>
      </c>
      <c r="AA2069" s="304">
        <f ca="1">OFFSET(卡牌辅助配置表!$AD$1,MATCH(AB2069,卡牌辅助配置表!AB:AB,0)-1,0)</f>
        <v>6670</v>
      </c>
      <c r="AB2069" s="304">
        <f ca="1" t="shared" si="349"/>
        <v>4213</v>
      </c>
      <c r="AC2069" s="153">
        <v>7</v>
      </c>
      <c r="AD2069" s="153">
        <v>2</v>
      </c>
      <c r="AE2069" s="153">
        <v>1</v>
      </c>
      <c r="AF2069" s="153" t="str">
        <f ca="1" t="shared" si="342"/>
        <v>34010011|</v>
      </c>
      <c r="AI2069" s="153">
        <v>1</v>
      </c>
      <c r="AJ2069" s="205" t="str">
        <f ca="1" t="shared" si="350"/>
        <v>400023|5850|;</v>
      </c>
      <c r="AK2069" s="205">
        <f ca="1">OFFSET([1]item_type!$A$1,MATCH(Q2069,[1]item_type!$G:$G,0)-1,0)</f>
        <v>303401</v>
      </c>
      <c r="AL2069" s="205"/>
      <c r="AM2069" s="205">
        <f ca="1">IF(B2069=B2070,OFFSET(卡牌辅助配置表!$AE$1,MATCH(AB2069,卡牌辅助配置表!AB:AB,0),0),0)</f>
        <v>5850</v>
      </c>
      <c r="AN2069" s="153">
        <f ca="1" t="shared" si="345"/>
        <v>3401014</v>
      </c>
      <c r="AP2069" s="153" t="str">
        <f ca="1">IF(AC2069=0,0,IF(AC2069=12,0,OFFSET(effect!$N$1,MATCH(K2069,effect!M:M,0)-1,0)))</f>
        <v>kpsx_pt</v>
      </c>
    </row>
    <row r="2070" spans="1:42">
      <c r="A2070" s="153">
        <f ca="1" t="shared" si="346"/>
        <v>3401014</v>
      </c>
      <c r="B2070" s="91" t="s">
        <v>909</v>
      </c>
      <c r="C2070" s="186">
        <v>3</v>
      </c>
      <c r="D2070" s="186">
        <v>3</v>
      </c>
      <c r="E2070" s="165" t="s">
        <v>1069</v>
      </c>
      <c r="F2070" s="179" t="s">
        <v>1073</v>
      </c>
      <c r="G2070" s="186">
        <v>-3</v>
      </c>
      <c r="H2070" s="186">
        <f ca="1" t="shared" si="351"/>
        <v>0</v>
      </c>
      <c r="I2070" s="186"/>
      <c r="J2070" s="186">
        <f ca="1">OFFSET(card_type!$F$1,MATCH(Q2070,card_type!A:A,0)-1,0)</f>
        <v>4</v>
      </c>
      <c r="K2070" s="243">
        <f ca="1">OFFSET(card_type!$G$1,MATCH(Q2070,card_type!A:A,0)-1,0)</f>
        <v>2</v>
      </c>
      <c r="L2070" s="157">
        <v>3</v>
      </c>
      <c r="M2070" s="157">
        <v>3</v>
      </c>
      <c r="N2070" s="153">
        <f t="shared" si="347"/>
        <v>14</v>
      </c>
      <c r="O2070" s="157"/>
      <c r="P2070" s="157"/>
      <c r="Q2070" s="153">
        <f ca="1">OFFSET(card_type!$A$1,MATCH(card!B2070,card_type!B:B,0)-1,0)</f>
        <v>3401</v>
      </c>
      <c r="R2070" s="153">
        <v>1</v>
      </c>
      <c r="S2070" s="157">
        <f ca="1">ROUND(IF(R2070=0,0,IF(R2070=1,X2070*$S$1,IF(R2070=2,X2070*$S$1*buff的资质计算!$E$2,IF(R2070=3,X2070*$S$1*buff的资质计算!$E$3,0)))),0)*0</f>
        <v>0</v>
      </c>
      <c r="T2070" s="153">
        <v>3</v>
      </c>
      <c r="U2070" s="153">
        <f ca="1" t="shared" si="348"/>
        <v>42</v>
      </c>
      <c r="V2070" s="153">
        <f ca="1">ROUND((OFFSET(卡牌辅助配置表!$O$1,MATCH(U2070,卡牌辅助配置表!M:M,0)-1,0)+(N2070-1)*OFFSET(卡牌辅助配置表!$P$1,MATCH(U2070,卡牌辅助配置表!M:M,0)-1,0))*M2070,2)</f>
        <v>208.73</v>
      </c>
      <c r="W2070" s="157">
        <f ca="1">ROUND(IF(R2070=0,0,IF(R2070=1,X2070*$W$1,IF(R2070=2,X2070*$W$1*buff的资质计算!$E$2,IF(R2070=3,X2070*$W$1*buff的资质计算!$E$3,0)))),2)</f>
        <v>22.65</v>
      </c>
      <c r="X2070" s="157">
        <f ca="1" t="shared" si="343"/>
        <v>75.5</v>
      </c>
      <c r="Y2070" s="157">
        <f ca="1" t="shared" si="352"/>
        <v>75.5</v>
      </c>
      <c r="Z2070" s="304">
        <f ca="1" t="shared" si="344"/>
        <v>25.1666666666667</v>
      </c>
      <c r="AA2070" s="304">
        <f ca="1">OFFSET(卡牌辅助配置表!$AD$1,MATCH(AB2070,卡牌辅助配置表!AB:AB,0)-1,0)</f>
        <v>7360</v>
      </c>
      <c r="AB2070" s="304">
        <f ca="1" t="shared" si="349"/>
        <v>4214</v>
      </c>
      <c r="AC2070" s="153">
        <v>7</v>
      </c>
      <c r="AD2070" s="153">
        <v>2</v>
      </c>
      <c r="AE2070" s="153">
        <v>1</v>
      </c>
      <c r="AF2070" s="153" t="str">
        <f ca="1" t="shared" si="342"/>
        <v>34010011|</v>
      </c>
      <c r="AI2070" s="153">
        <v>1</v>
      </c>
      <c r="AJ2070" s="205" t="str">
        <f ca="1" t="shared" si="350"/>
        <v>400023|6450|;</v>
      </c>
      <c r="AK2070" s="205">
        <f ca="1">OFFSET([1]item_type!$A$1,MATCH(Q2070,[1]item_type!$G:$G,0)-1,0)</f>
        <v>303401</v>
      </c>
      <c r="AL2070" s="205"/>
      <c r="AM2070" s="205">
        <f ca="1">IF(B2070=B2071,OFFSET(卡牌辅助配置表!$AE$1,MATCH(AB2070,卡牌辅助配置表!AB:AB,0),0),0)</f>
        <v>6450</v>
      </c>
      <c r="AN2070" s="153">
        <f ca="1" t="shared" si="345"/>
        <v>3401015</v>
      </c>
      <c r="AP2070" s="153" t="str">
        <f ca="1">IF(AC2070=0,0,IF(AC2070=12,0,OFFSET(effect!$N$1,MATCH(K2070,effect!M:M,0)-1,0)))</f>
        <v>kpsx_pt</v>
      </c>
    </row>
    <row r="2071" spans="1:42">
      <c r="A2071" s="153">
        <f ca="1" t="shared" si="346"/>
        <v>3401015</v>
      </c>
      <c r="B2071" s="91" t="s">
        <v>909</v>
      </c>
      <c r="C2071" s="186">
        <v>3</v>
      </c>
      <c r="D2071" s="186">
        <v>3</v>
      </c>
      <c r="E2071" s="165" t="s">
        <v>1069</v>
      </c>
      <c r="F2071" s="179" t="s">
        <v>1073</v>
      </c>
      <c r="G2071" s="186">
        <v>-3</v>
      </c>
      <c r="H2071" s="186">
        <f ca="1" t="shared" si="351"/>
        <v>0</v>
      </c>
      <c r="I2071" s="186"/>
      <c r="J2071" s="186">
        <f ca="1">OFFSET(card_type!$F$1,MATCH(Q2071,card_type!A:A,0)-1,0)</f>
        <v>4</v>
      </c>
      <c r="K2071" s="243">
        <f ca="1">OFFSET(card_type!$G$1,MATCH(Q2071,card_type!A:A,0)-1,0)</f>
        <v>2</v>
      </c>
      <c r="L2071" s="157">
        <v>3</v>
      </c>
      <c r="M2071" s="157">
        <v>3</v>
      </c>
      <c r="N2071" s="153">
        <f t="shared" si="347"/>
        <v>15</v>
      </c>
      <c r="O2071" s="157"/>
      <c r="P2071" s="157"/>
      <c r="Q2071" s="153">
        <f ca="1">OFFSET(card_type!$A$1,MATCH(card!B2071,card_type!B:B,0)-1,0)</f>
        <v>3401</v>
      </c>
      <c r="R2071" s="153">
        <v>1</v>
      </c>
      <c r="S2071" s="157">
        <f ca="1">ROUND(IF(R2071=0,0,IF(R2071=1,X2071*$S$1,IF(R2071=2,X2071*$S$1*buff的资质计算!$E$2,IF(R2071=3,X2071*$S$1*buff的资质计算!$E$3,0)))),0)*0</f>
        <v>0</v>
      </c>
      <c r="T2071" s="153">
        <v>3</v>
      </c>
      <c r="U2071" s="153">
        <f ca="1" t="shared" si="348"/>
        <v>42</v>
      </c>
      <c r="V2071" s="153">
        <f ca="1">ROUND((OFFSET(卡牌辅助配置表!$O$1,MATCH(U2071,卡牌辅助配置表!M:M,0)-1,0)+(N2071-1)*OFFSET(卡牌辅助配置表!$P$1,MATCH(U2071,卡牌辅助配置表!M:M,0)-1,0))*M2071,2)</f>
        <v>219.68</v>
      </c>
      <c r="W2071" s="157">
        <f ca="1">ROUND(IF(R2071=0,0,IF(R2071=1,X2071*$W$1,IF(R2071=2,X2071*$W$1*buff的资质计算!$E$2,IF(R2071=3,X2071*$W$1*buff的资质计算!$E$3,0)))),2)</f>
        <v>22.8</v>
      </c>
      <c r="X2071" s="157">
        <f ca="1" t="shared" si="343"/>
        <v>76</v>
      </c>
      <c r="Y2071" s="157">
        <f ca="1" t="shared" si="352"/>
        <v>76</v>
      </c>
      <c r="Z2071" s="304">
        <f ca="1" t="shared" si="344"/>
        <v>25.3333333333333</v>
      </c>
      <c r="AA2071" s="304">
        <f ca="1">OFFSET(卡牌辅助配置表!$AD$1,MATCH(AB2071,卡牌辅助配置表!AB:AB,0)-1,0)</f>
        <v>8050</v>
      </c>
      <c r="AB2071" s="304">
        <f ca="1" t="shared" si="349"/>
        <v>4215</v>
      </c>
      <c r="AC2071" s="153">
        <v>7</v>
      </c>
      <c r="AD2071" s="153">
        <v>2</v>
      </c>
      <c r="AE2071" s="153">
        <v>1</v>
      </c>
      <c r="AF2071" s="153" t="str">
        <f ca="1" t="shared" si="342"/>
        <v>34010011|</v>
      </c>
      <c r="AI2071" s="153">
        <v>1</v>
      </c>
      <c r="AJ2071" s="205" t="str">
        <f ca="1" t="shared" si="350"/>
        <v>400023|7050|;</v>
      </c>
      <c r="AK2071" s="205">
        <f ca="1">OFFSET([1]item_type!$A$1,MATCH(Q2071,[1]item_type!$G:$G,0)-1,0)</f>
        <v>303401</v>
      </c>
      <c r="AL2071" s="205"/>
      <c r="AM2071" s="205">
        <f ca="1">IF(B2071=B2072,OFFSET(卡牌辅助配置表!$AE$1,MATCH(AB2071,卡牌辅助配置表!AB:AB,0),0),0)</f>
        <v>7050</v>
      </c>
      <c r="AN2071" s="153">
        <f ca="1" t="shared" si="345"/>
        <v>3401016</v>
      </c>
      <c r="AP2071" s="153" t="str">
        <f ca="1">IF(AC2071=0,0,IF(AC2071=12,0,OFFSET(effect!$N$1,MATCH(K2071,effect!M:M,0)-1,0)))</f>
        <v>kpsx_pt</v>
      </c>
    </row>
    <row r="2072" spans="1:42">
      <c r="A2072" s="153">
        <f ca="1" t="shared" si="346"/>
        <v>3401016</v>
      </c>
      <c r="B2072" s="91" t="s">
        <v>909</v>
      </c>
      <c r="C2072" s="186">
        <v>3</v>
      </c>
      <c r="D2072" s="186">
        <v>3</v>
      </c>
      <c r="E2072" s="165" t="s">
        <v>1069</v>
      </c>
      <c r="F2072" s="179" t="s">
        <v>1073</v>
      </c>
      <c r="G2072" s="186">
        <v>-3</v>
      </c>
      <c r="H2072" s="186">
        <f ca="1" t="shared" si="351"/>
        <v>0</v>
      </c>
      <c r="I2072" s="186"/>
      <c r="J2072" s="186">
        <f ca="1">OFFSET(card_type!$F$1,MATCH(Q2072,card_type!A:A,0)-1,0)</f>
        <v>4</v>
      </c>
      <c r="K2072" s="243">
        <f ca="1">OFFSET(card_type!$G$1,MATCH(Q2072,card_type!A:A,0)-1,0)</f>
        <v>2</v>
      </c>
      <c r="L2072" s="157">
        <v>3</v>
      </c>
      <c r="M2072" s="157">
        <v>3</v>
      </c>
      <c r="N2072" s="153">
        <f t="shared" si="347"/>
        <v>16</v>
      </c>
      <c r="O2072" s="157"/>
      <c r="P2072" s="157"/>
      <c r="Q2072" s="153">
        <f ca="1">OFFSET(card_type!$A$1,MATCH(card!B2072,card_type!B:B,0)-1,0)</f>
        <v>3401</v>
      </c>
      <c r="R2072" s="153">
        <v>1</v>
      </c>
      <c r="S2072" s="157">
        <f ca="1">ROUND(IF(R2072=0,0,IF(R2072=1,X2072*$S$1,IF(R2072=2,X2072*$S$1*buff的资质计算!$E$2,IF(R2072=3,X2072*$S$1*buff的资质计算!$E$3,0)))),0)*0</f>
        <v>0</v>
      </c>
      <c r="T2072" s="153">
        <v>3</v>
      </c>
      <c r="U2072" s="153">
        <f ca="1" t="shared" si="348"/>
        <v>42</v>
      </c>
      <c r="V2072" s="153">
        <f ca="1">ROUND((OFFSET(卡牌辅助配置表!$O$1,MATCH(U2072,卡牌辅助配置表!M:M,0)-1,0)+(N2072-1)*OFFSET(卡牌辅助配置表!$P$1,MATCH(U2072,卡牌辅助配置表!M:M,0)-1,0))*M2072,2)</f>
        <v>230.63</v>
      </c>
      <c r="W2072" s="157">
        <f ca="1">ROUND(IF(R2072=0,0,IF(R2072=1,X2072*$W$1,IF(R2072=2,X2072*$W$1*buff的资质计算!$E$2,IF(R2072=3,X2072*$W$1*buff的资质计算!$E$3,0)))),2)</f>
        <v>22.95</v>
      </c>
      <c r="X2072" s="157">
        <f ca="1" t="shared" si="343"/>
        <v>76.5</v>
      </c>
      <c r="Y2072" s="157">
        <f ca="1" t="shared" si="352"/>
        <v>76.5</v>
      </c>
      <c r="Z2072" s="304">
        <f ca="1" t="shared" si="344"/>
        <v>25.5</v>
      </c>
      <c r="AA2072" s="304">
        <f ca="1">OFFSET(卡牌辅助配置表!$AD$1,MATCH(AB2072,卡牌辅助配置表!AB:AB,0)-1,0)</f>
        <v>8740</v>
      </c>
      <c r="AB2072" s="304">
        <f ca="1" t="shared" si="349"/>
        <v>4216</v>
      </c>
      <c r="AC2072" s="153">
        <v>7</v>
      </c>
      <c r="AD2072" s="153">
        <v>2</v>
      </c>
      <c r="AE2072" s="153">
        <v>1</v>
      </c>
      <c r="AF2072" s="153" t="str">
        <f ca="1" t="shared" si="342"/>
        <v>34010011|</v>
      </c>
      <c r="AI2072" s="153">
        <v>1</v>
      </c>
      <c r="AJ2072" s="205" t="str">
        <f ca="1" t="shared" si="350"/>
        <v>400023|7650|;</v>
      </c>
      <c r="AK2072" s="205">
        <f ca="1">OFFSET([1]item_type!$A$1,MATCH(Q2072,[1]item_type!$G:$G,0)-1,0)</f>
        <v>303401</v>
      </c>
      <c r="AL2072" s="205"/>
      <c r="AM2072" s="205">
        <f ca="1">IF(B2072=B2073,OFFSET(卡牌辅助配置表!$AE$1,MATCH(AB2072,卡牌辅助配置表!AB:AB,0),0),0)</f>
        <v>7650</v>
      </c>
      <c r="AN2072" s="153">
        <f ca="1" t="shared" si="345"/>
        <v>3401017</v>
      </c>
      <c r="AP2072" s="153" t="str">
        <f ca="1">IF(AC2072=0,0,IF(AC2072=12,0,OFFSET(effect!$N$1,MATCH(K2072,effect!M:M,0)-1,0)))</f>
        <v>kpsx_pt</v>
      </c>
    </row>
    <row r="2073" spans="1:42">
      <c r="A2073" s="153">
        <f ca="1" t="shared" si="346"/>
        <v>3401017</v>
      </c>
      <c r="B2073" s="91" t="s">
        <v>909</v>
      </c>
      <c r="C2073" s="186">
        <v>3</v>
      </c>
      <c r="D2073" s="186">
        <v>3</v>
      </c>
      <c r="E2073" s="165" t="s">
        <v>1069</v>
      </c>
      <c r="F2073" s="179" t="s">
        <v>1073</v>
      </c>
      <c r="G2073" s="186">
        <v>-3</v>
      </c>
      <c r="H2073" s="186">
        <f ca="1" t="shared" si="351"/>
        <v>0</v>
      </c>
      <c r="I2073" s="186"/>
      <c r="J2073" s="186">
        <f ca="1">OFFSET(card_type!$F$1,MATCH(Q2073,card_type!A:A,0)-1,0)</f>
        <v>4</v>
      </c>
      <c r="K2073" s="243">
        <f ca="1">OFFSET(card_type!$G$1,MATCH(Q2073,card_type!A:A,0)-1,0)</f>
        <v>2</v>
      </c>
      <c r="L2073" s="157">
        <v>3</v>
      </c>
      <c r="M2073" s="157">
        <v>3</v>
      </c>
      <c r="N2073" s="153">
        <f t="shared" si="347"/>
        <v>17</v>
      </c>
      <c r="O2073" s="157"/>
      <c r="P2073" s="157"/>
      <c r="Q2073" s="153">
        <f ca="1">OFFSET(card_type!$A$1,MATCH(card!B2073,card_type!B:B,0)-1,0)</f>
        <v>3401</v>
      </c>
      <c r="R2073" s="153">
        <v>1</v>
      </c>
      <c r="S2073" s="157">
        <f ca="1">ROUND(IF(R2073=0,0,IF(R2073=1,X2073*$S$1,IF(R2073=2,X2073*$S$1*buff的资质计算!$E$2,IF(R2073=3,X2073*$S$1*buff的资质计算!$E$3,0)))),0)*0</f>
        <v>0</v>
      </c>
      <c r="T2073" s="153">
        <v>3</v>
      </c>
      <c r="U2073" s="153">
        <f ca="1" t="shared" si="348"/>
        <v>42</v>
      </c>
      <c r="V2073" s="153">
        <f ca="1">ROUND((OFFSET(卡牌辅助配置表!$O$1,MATCH(U2073,卡牌辅助配置表!M:M,0)-1,0)+(N2073-1)*OFFSET(卡牌辅助配置表!$P$1,MATCH(U2073,卡牌辅助配置表!M:M,0)-1,0))*M2073,2)</f>
        <v>241.58</v>
      </c>
      <c r="W2073" s="157">
        <f ca="1">ROUND(IF(R2073=0,0,IF(R2073=1,X2073*$W$1,IF(R2073=2,X2073*$W$1*buff的资质计算!$E$2,IF(R2073=3,X2073*$W$1*buff的资质计算!$E$3,0)))),2)</f>
        <v>23.1</v>
      </c>
      <c r="X2073" s="157">
        <f ca="1" t="shared" si="343"/>
        <v>77</v>
      </c>
      <c r="Y2073" s="157">
        <f ca="1" t="shared" si="352"/>
        <v>77</v>
      </c>
      <c r="Z2073" s="304">
        <f ca="1" t="shared" si="344"/>
        <v>25.6666666666667</v>
      </c>
      <c r="AA2073" s="304">
        <f ca="1">OFFSET(卡牌辅助配置表!$AD$1,MATCH(AB2073,卡牌辅助配置表!AB:AB,0)-1,0)</f>
        <v>9430</v>
      </c>
      <c r="AB2073" s="304">
        <f ca="1" t="shared" si="349"/>
        <v>4217</v>
      </c>
      <c r="AC2073" s="153">
        <v>7</v>
      </c>
      <c r="AD2073" s="153">
        <v>2</v>
      </c>
      <c r="AE2073" s="153">
        <v>1</v>
      </c>
      <c r="AF2073" s="153" t="str">
        <f ca="1" t="shared" si="342"/>
        <v>34010011|</v>
      </c>
      <c r="AI2073" s="153">
        <v>1</v>
      </c>
      <c r="AJ2073" s="205" t="str">
        <f ca="1" t="shared" si="350"/>
        <v>400023|8250|;</v>
      </c>
      <c r="AK2073" s="205">
        <f ca="1">OFFSET([1]item_type!$A$1,MATCH(Q2073,[1]item_type!$G:$G,0)-1,0)</f>
        <v>303401</v>
      </c>
      <c r="AL2073" s="205"/>
      <c r="AM2073" s="205">
        <f ca="1">IF(B2073=B2074,OFFSET(卡牌辅助配置表!$AE$1,MATCH(AB2073,卡牌辅助配置表!AB:AB,0),0),0)</f>
        <v>8250</v>
      </c>
      <c r="AN2073" s="153">
        <f ca="1" t="shared" si="345"/>
        <v>3401018</v>
      </c>
      <c r="AP2073" s="153" t="str">
        <f ca="1">IF(AC2073=0,0,IF(AC2073=12,0,OFFSET(effect!$N$1,MATCH(K2073,effect!M:M,0)-1,0)))</f>
        <v>kpsx_pt</v>
      </c>
    </row>
    <row r="2074" spans="1:42">
      <c r="A2074" s="153">
        <f ca="1" t="shared" si="346"/>
        <v>3401018</v>
      </c>
      <c r="B2074" s="91" t="s">
        <v>909</v>
      </c>
      <c r="C2074" s="186">
        <v>3</v>
      </c>
      <c r="D2074" s="186">
        <v>3</v>
      </c>
      <c r="E2074" s="165" t="s">
        <v>1069</v>
      </c>
      <c r="F2074" s="179" t="s">
        <v>1073</v>
      </c>
      <c r="G2074" s="186">
        <v>-3</v>
      </c>
      <c r="H2074" s="186">
        <f ca="1" t="shared" si="351"/>
        <v>0</v>
      </c>
      <c r="I2074" s="186"/>
      <c r="J2074" s="186">
        <f ca="1">OFFSET(card_type!$F$1,MATCH(Q2074,card_type!A:A,0)-1,0)</f>
        <v>4</v>
      </c>
      <c r="K2074" s="243">
        <f ca="1">OFFSET(card_type!$G$1,MATCH(Q2074,card_type!A:A,0)-1,0)</f>
        <v>2</v>
      </c>
      <c r="L2074" s="157">
        <v>3</v>
      </c>
      <c r="M2074" s="157">
        <v>3</v>
      </c>
      <c r="N2074" s="153">
        <f t="shared" si="347"/>
        <v>18</v>
      </c>
      <c r="O2074" s="157"/>
      <c r="P2074" s="157"/>
      <c r="Q2074" s="153">
        <f ca="1">OFFSET(card_type!$A$1,MATCH(card!B2074,card_type!B:B,0)-1,0)</f>
        <v>3401</v>
      </c>
      <c r="R2074" s="153">
        <v>1</v>
      </c>
      <c r="S2074" s="157">
        <f ca="1">ROUND(IF(R2074=0,0,IF(R2074=1,X2074*$S$1,IF(R2074=2,X2074*$S$1*buff的资质计算!$E$2,IF(R2074=3,X2074*$S$1*buff的资质计算!$E$3,0)))),0)*0</f>
        <v>0</v>
      </c>
      <c r="T2074" s="153">
        <v>3</v>
      </c>
      <c r="U2074" s="153">
        <f ca="1" t="shared" si="348"/>
        <v>42</v>
      </c>
      <c r="V2074" s="153">
        <f ca="1">ROUND((OFFSET(卡牌辅助配置表!$O$1,MATCH(U2074,卡牌辅助配置表!M:M,0)-1,0)+(N2074-1)*OFFSET(卡牌辅助配置表!$P$1,MATCH(U2074,卡牌辅助配置表!M:M,0)-1,0))*M2074,2)</f>
        <v>252.53</v>
      </c>
      <c r="W2074" s="157">
        <f ca="1">ROUND(IF(R2074=0,0,IF(R2074=1,X2074*$W$1,IF(R2074=2,X2074*$W$1*buff的资质计算!$E$2,IF(R2074=3,X2074*$W$1*buff的资质计算!$E$3,0)))),2)</f>
        <v>23.25</v>
      </c>
      <c r="X2074" s="157">
        <f ca="1" t="shared" si="343"/>
        <v>77.5</v>
      </c>
      <c r="Y2074" s="157">
        <f ca="1" t="shared" si="352"/>
        <v>77.5</v>
      </c>
      <c r="Z2074" s="304">
        <f ca="1" t="shared" si="344"/>
        <v>25.8333333333333</v>
      </c>
      <c r="AA2074" s="304">
        <f ca="1">OFFSET(卡牌辅助配置表!$AD$1,MATCH(AB2074,卡牌辅助配置表!AB:AB,0)-1,0)</f>
        <v>10120</v>
      </c>
      <c r="AB2074" s="304">
        <f ca="1" t="shared" si="349"/>
        <v>4218</v>
      </c>
      <c r="AC2074" s="153">
        <v>7</v>
      </c>
      <c r="AD2074" s="153">
        <v>2</v>
      </c>
      <c r="AE2074" s="153">
        <v>1</v>
      </c>
      <c r="AF2074" s="153" t="str">
        <f ca="1" t="shared" si="342"/>
        <v>34010011|</v>
      </c>
      <c r="AI2074" s="153">
        <v>1</v>
      </c>
      <c r="AJ2074" s="205" t="str">
        <f ca="1" t="shared" si="350"/>
        <v>400023|8850|;</v>
      </c>
      <c r="AK2074" s="205">
        <f ca="1">OFFSET([1]item_type!$A$1,MATCH(Q2074,[1]item_type!$G:$G,0)-1,0)</f>
        <v>303401</v>
      </c>
      <c r="AL2074" s="205"/>
      <c r="AM2074" s="205">
        <f ca="1">IF(B2074=B2075,OFFSET(卡牌辅助配置表!$AE$1,MATCH(AB2074,卡牌辅助配置表!AB:AB,0),0),0)</f>
        <v>8850</v>
      </c>
      <c r="AN2074" s="153">
        <f ca="1" t="shared" si="345"/>
        <v>3401019</v>
      </c>
      <c r="AP2074" s="153" t="str">
        <f ca="1">IF(AC2074=0,0,IF(AC2074=12,0,OFFSET(effect!$N$1,MATCH(K2074,effect!M:M,0)-1,0)))</f>
        <v>kpsx_pt</v>
      </c>
    </row>
    <row r="2075" spans="1:42">
      <c r="A2075" s="153">
        <f ca="1" t="shared" si="346"/>
        <v>3401019</v>
      </c>
      <c r="B2075" s="91" t="s">
        <v>909</v>
      </c>
      <c r="C2075" s="186">
        <v>3</v>
      </c>
      <c r="D2075" s="186">
        <v>3</v>
      </c>
      <c r="E2075" s="165" t="s">
        <v>1069</v>
      </c>
      <c r="F2075" s="179" t="s">
        <v>1073</v>
      </c>
      <c r="G2075" s="186">
        <v>-3</v>
      </c>
      <c r="H2075" s="186">
        <f ca="1" t="shared" si="351"/>
        <v>0</v>
      </c>
      <c r="I2075" s="186"/>
      <c r="J2075" s="186">
        <f ca="1">OFFSET(card_type!$F$1,MATCH(Q2075,card_type!A:A,0)-1,0)</f>
        <v>4</v>
      </c>
      <c r="K2075" s="243">
        <f ca="1">OFFSET(card_type!$G$1,MATCH(Q2075,card_type!A:A,0)-1,0)</f>
        <v>2</v>
      </c>
      <c r="L2075" s="157">
        <v>3</v>
      </c>
      <c r="M2075" s="157">
        <v>3</v>
      </c>
      <c r="N2075" s="153">
        <f t="shared" si="347"/>
        <v>19</v>
      </c>
      <c r="O2075" s="157"/>
      <c r="P2075" s="157"/>
      <c r="Q2075" s="153">
        <f ca="1">OFFSET(card_type!$A$1,MATCH(card!B2075,card_type!B:B,0)-1,0)</f>
        <v>3401</v>
      </c>
      <c r="R2075" s="153">
        <v>1</v>
      </c>
      <c r="S2075" s="157">
        <f ca="1">ROUND(IF(R2075=0,0,IF(R2075=1,X2075*$S$1,IF(R2075=2,X2075*$S$1*buff的资质计算!$E$2,IF(R2075=3,X2075*$S$1*buff的资质计算!$E$3,0)))),0)*0</f>
        <v>0</v>
      </c>
      <c r="T2075" s="153">
        <v>3</v>
      </c>
      <c r="U2075" s="153">
        <f ca="1" t="shared" si="348"/>
        <v>42</v>
      </c>
      <c r="V2075" s="153">
        <f ca="1">ROUND((OFFSET(卡牌辅助配置表!$O$1,MATCH(U2075,卡牌辅助配置表!M:M,0)-1,0)+(N2075-1)*OFFSET(卡牌辅助配置表!$P$1,MATCH(U2075,卡牌辅助配置表!M:M,0)-1,0))*M2075,2)</f>
        <v>263.48</v>
      </c>
      <c r="W2075" s="157">
        <f ca="1">ROUND(IF(R2075=0,0,IF(R2075=1,X2075*$W$1,IF(R2075=2,X2075*$W$1*buff的资质计算!$E$2,IF(R2075=3,X2075*$W$1*buff的资质计算!$E$3,0)))),2)</f>
        <v>23.4</v>
      </c>
      <c r="X2075" s="157">
        <f ca="1" t="shared" si="343"/>
        <v>78</v>
      </c>
      <c r="Y2075" s="157">
        <f ca="1" t="shared" si="352"/>
        <v>78</v>
      </c>
      <c r="Z2075" s="304">
        <f ca="1" t="shared" si="344"/>
        <v>26</v>
      </c>
      <c r="AA2075" s="304">
        <f ca="1">OFFSET(卡牌辅助配置表!$AD$1,MATCH(AB2075,卡牌辅助配置表!AB:AB,0)-1,0)</f>
        <v>10810</v>
      </c>
      <c r="AB2075" s="304">
        <f ca="1" t="shared" si="349"/>
        <v>4219</v>
      </c>
      <c r="AC2075" s="153">
        <v>7</v>
      </c>
      <c r="AD2075" s="153">
        <v>2</v>
      </c>
      <c r="AE2075" s="153">
        <v>1</v>
      </c>
      <c r="AF2075" s="153" t="str">
        <f ca="1" t="shared" si="342"/>
        <v>34010011|</v>
      </c>
      <c r="AI2075" s="153">
        <v>1</v>
      </c>
      <c r="AJ2075" s="205" t="str">
        <f ca="1" t="shared" si="350"/>
        <v>303401|20|;400023|9450|;</v>
      </c>
      <c r="AK2075" s="205">
        <f ca="1">OFFSET([1]item_type!$A$1,MATCH(Q2075,[1]item_type!$G:$G,0)-1,0)</f>
        <v>303401</v>
      </c>
      <c r="AL2075" s="205">
        <v>20</v>
      </c>
      <c r="AM2075" s="205">
        <f ca="1">IF(B2075=B2076,OFFSET(卡牌辅助配置表!$AE$1,MATCH(AB2075,卡牌辅助配置表!AB:AB,0),0),0)</f>
        <v>9450</v>
      </c>
      <c r="AN2075" s="153">
        <f ca="1" t="shared" si="345"/>
        <v>3401020</v>
      </c>
      <c r="AP2075" s="153" t="str">
        <f ca="1">IF(AC2075=0,0,IF(AC2075=12,0,OFFSET(effect!$N$1,MATCH(K2075,effect!M:M,0)-1,0)))</f>
        <v>kpsx_pt</v>
      </c>
    </row>
    <row r="2076" spans="1:42">
      <c r="A2076" s="153">
        <f ca="1" t="shared" si="346"/>
        <v>3401020</v>
      </c>
      <c r="B2076" s="91" t="s">
        <v>909</v>
      </c>
      <c r="C2076" s="186">
        <v>3</v>
      </c>
      <c r="D2076" s="186">
        <v>3</v>
      </c>
      <c r="E2076" s="165" t="s">
        <v>1069</v>
      </c>
      <c r="F2076" s="179" t="s">
        <v>1073</v>
      </c>
      <c r="G2076" s="186">
        <v>-3</v>
      </c>
      <c r="H2076" s="186">
        <f ca="1" t="shared" si="351"/>
        <v>0</v>
      </c>
      <c r="I2076" s="186"/>
      <c r="J2076" s="186">
        <f ca="1">OFFSET(card_type!$F$1,MATCH(Q2076,card_type!A:A,0)-1,0)</f>
        <v>4</v>
      </c>
      <c r="K2076" s="243">
        <f ca="1">OFFSET(card_type!$G$1,MATCH(Q2076,card_type!A:A,0)-1,0)</f>
        <v>2</v>
      </c>
      <c r="L2076" s="157">
        <v>3</v>
      </c>
      <c r="M2076" s="157">
        <v>3</v>
      </c>
      <c r="N2076" s="153">
        <f t="shared" si="347"/>
        <v>20</v>
      </c>
      <c r="O2076" s="157"/>
      <c r="P2076" s="157"/>
      <c r="Q2076" s="153">
        <f ca="1">OFFSET(card_type!$A$1,MATCH(card!B2076,card_type!B:B,0)-1,0)</f>
        <v>3401</v>
      </c>
      <c r="R2076" s="153">
        <v>1</v>
      </c>
      <c r="S2076" s="157">
        <f ca="1">ROUND(IF(R2076=0,0,IF(R2076=1,X2076*$S$1,IF(R2076=2,X2076*$S$1*buff的资质计算!$E$2,IF(R2076=3,X2076*$S$1*buff的资质计算!$E$3,0)))),0)*0</f>
        <v>0</v>
      </c>
      <c r="T2076" s="153">
        <v>3</v>
      </c>
      <c r="U2076" s="153">
        <f ca="1" t="shared" si="348"/>
        <v>42</v>
      </c>
      <c r="V2076" s="153">
        <f ca="1">ROUND((OFFSET(卡牌辅助配置表!$O$1,MATCH(U2076,卡牌辅助配置表!M:M,0)-1,0)+(N2076-1)*OFFSET(卡牌辅助配置表!$P$1,MATCH(U2076,卡牌辅助配置表!M:M,0)-1,0))*M2076,2)</f>
        <v>274.43</v>
      </c>
      <c r="W2076" s="157">
        <f ca="1">ROUND(IF(R2076=0,0,IF(R2076=1,X2076*$W$1,IF(R2076=2,X2076*$W$1*buff的资质计算!$E$2,IF(R2076=3,X2076*$W$1*buff的资质计算!$E$3,0)))),2)</f>
        <v>23.55</v>
      </c>
      <c r="X2076" s="157">
        <f ca="1" t="shared" si="343"/>
        <v>78.5</v>
      </c>
      <c r="Y2076" s="157">
        <f ca="1" t="shared" si="352"/>
        <v>78.5</v>
      </c>
      <c r="Z2076" s="304">
        <f ca="1" t="shared" si="344"/>
        <v>26.1666666666667</v>
      </c>
      <c r="AA2076" s="304">
        <f ca="1">OFFSET(卡牌辅助配置表!$AD$1,MATCH(AB2076,卡牌辅助配置表!AB:AB,0)-1,0)</f>
        <v>11500</v>
      </c>
      <c r="AB2076" s="304">
        <f ca="1" t="shared" si="349"/>
        <v>4220</v>
      </c>
      <c r="AC2076" s="153">
        <v>7</v>
      </c>
      <c r="AD2076" s="153">
        <v>2</v>
      </c>
      <c r="AE2076" s="153">
        <v>1</v>
      </c>
      <c r="AF2076" s="153" t="str">
        <f ca="1" t="shared" si="342"/>
        <v>34010011|</v>
      </c>
      <c r="AI2076" s="153">
        <v>1</v>
      </c>
      <c r="AJ2076" s="205" t="str">
        <f ca="1" t="shared" si="350"/>
        <v>400023|10650|;</v>
      </c>
      <c r="AK2076" s="205">
        <f ca="1">OFFSET([1]item_type!$A$1,MATCH(Q2076,[1]item_type!$G:$G,0)-1,0)</f>
        <v>303401</v>
      </c>
      <c r="AL2076" s="205"/>
      <c r="AM2076" s="205">
        <f ca="1">IF(B2076=B2077,OFFSET(卡牌辅助配置表!$AE$1,MATCH(AB2076,卡牌辅助配置表!AB:AB,0),0),0)</f>
        <v>10650</v>
      </c>
      <c r="AN2076" s="153">
        <f ca="1" t="shared" si="345"/>
        <v>3401021</v>
      </c>
      <c r="AP2076" s="153" t="str">
        <f ca="1">IF(AC2076=0,0,IF(AC2076=12,0,OFFSET(effect!$N$1,MATCH(K2076,effect!M:M,0)-1,0)))</f>
        <v>kpsx_pt</v>
      </c>
    </row>
    <row r="2077" spans="1:42">
      <c r="A2077" s="153">
        <f ca="1" t="shared" si="346"/>
        <v>3401021</v>
      </c>
      <c r="B2077" s="91" t="s">
        <v>909</v>
      </c>
      <c r="C2077" s="186">
        <v>3</v>
      </c>
      <c r="D2077" s="186">
        <v>3</v>
      </c>
      <c r="E2077" s="165" t="s">
        <v>1069</v>
      </c>
      <c r="F2077" s="179" t="s">
        <v>1073</v>
      </c>
      <c r="G2077" s="186">
        <v>-3</v>
      </c>
      <c r="H2077" s="186">
        <f ca="1" t="shared" si="351"/>
        <v>0</v>
      </c>
      <c r="I2077" s="186"/>
      <c r="J2077" s="186">
        <f ca="1">OFFSET(card_type!$F$1,MATCH(Q2077,card_type!A:A,0)-1,0)</f>
        <v>4</v>
      </c>
      <c r="K2077" s="243">
        <f ca="1">OFFSET(card_type!$G$1,MATCH(Q2077,card_type!A:A,0)-1,0)</f>
        <v>2</v>
      </c>
      <c r="L2077" s="157">
        <v>3</v>
      </c>
      <c r="M2077" s="157">
        <v>3</v>
      </c>
      <c r="N2077" s="153">
        <f t="shared" si="347"/>
        <v>21</v>
      </c>
      <c r="O2077" s="157"/>
      <c r="P2077" s="157"/>
      <c r="Q2077" s="153">
        <f ca="1">OFFSET(card_type!$A$1,MATCH(card!B2077,card_type!B:B,0)-1,0)</f>
        <v>3401</v>
      </c>
      <c r="R2077" s="153">
        <v>1</v>
      </c>
      <c r="S2077" s="157">
        <f ca="1">ROUND(IF(R2077=0,0,IF(R2077=1,X2077*$S$1,IF(R2077=2,X2077*$S$1*buff的资质计算!$E$2,IF(R2077=3,X2077*$S$1*buff的资质计算!$E$3,0)))),0)*0</f>
        <v>0</v>
      </c>
      <c r="T2077" s="153">
        <v>3</v>
      </c>
      <c r="U2077" s="153">
        <f ca="1" t="shared" si="348"/>
        <v>42</v>
      </c>
      <c r="V2077" s="153">
        <f ca="1">ROUND((OFFSET(卡牌辅助配置表!$O$1,MATCH(U2077,卡牌辅助配置表!M:M,0)-1,0)+(N2077-1)*OFFSET(卡牌辅助配置表!$P$1,MATCH(U2077,卡牌辅助配置表!M:M,0)-1,0))*M2077,2)</f>
        <v>285.38</v>
      </c>
      <c r="W2077" s="157">
        <f ca="1">ROUND(IF(R2077=0,0,IF(R2077=1,X2077*$W$1,IF(R2077=2,X2077*$W$1*buff的资质计算!$E$2,IF(R2077=3,X2077*$W$1*buff的资质计算!$E$3,0)))),2)</f>
        <v>23.7</v>
      </c>
      <c r="X2077" s="157">
        <f ca="1" t="shared" si="343"/>
        <v>79</v>
      </c>
      <c r="Y2077" s="157">
        <f ca="1" t="shared" si="352"/>
        <v>79</v>
      </c>
      <c r="Z2077" s="304">
        <f ca="1" t="shared" si="344"/>
        <v>26.3333333333333</v>
      </c>
      <c r="AA2077" s="304">
        <f ca="1">OFFSET(卡牌辅助配置表!$AD$1,MATCH(AB2077,卡牌辅助配置表!AB:AB,0)-1,0)</f>
        <v>12420</v>
      </c>
      <c r="AB2077" s="304">
        <f ca="1" t="shared" si="349"/>
        <v>4221</v>
      </c>
      <c r="AC2077" s="153">
        <v>7</v>
      </c>
      <c r="AD2077" s="153">
        <v>2</v>
      </c>
      <c r="AE2077" s="153">
        <v>1</v>
      </c>
      <c r="AF2077" s="153" t="str">
        <f ca="1" t="shared" si="342"/>
        <v>34010011|</v>
      </c>
      <c r="AI2077" s="153">
        <v>1</v>
      </c>
      <c r="AJ2077" s="205" t="str">
        <f ca="1" t="shared" si="350"/>
        <v>400023|11850|;</v>
      </c>
      <c r="AK2077" s="205">
        <f ca="1">OFFSET([1]item_type!$A$1,MATCH(Q2077,[1]item_type!$G:$G,0)-1,0)</f>
        <v>303401</v>
      </c>
      <c r="AL2077" s="205"/>
      <c r="AM2077" s="205">
        <f ca="1">IF(B2077=B2078,OFFSET(卡牌辅助配置表!$AE$1,MATCH(AB2077,卡牌辅助配置表!AB:AB,0),0),0)</f>
        <v>11850</v>
      </c>
      <c r="AN2077" s="153">
        <f ca="1" t="shared" si="345"/>
        <v>3401022</v>
      </c>
      <c r="AP2077" s="153" t="str">
        <f ca="1">IF(AC2077=0,0,IF(AC2077=12,0,OFFSET(effect!$N$1,MATCH(K2077,effect!M:M,0)-1,0)))</f>
        <v>kpsx_pt</v>
      </c>
    </row>
    <row r="2078" spans="1:42">
      <c r="A2078" s="153">
        <f ca="1" t="shared" si="346"/>
        <v>3401022</v>
      </c>
      <c r="B2078" s="91" t="s">
        <v>909</v>
      </c>
      <c r="C2078" s="186">
        <v>3</v>
      </c>
      <c r="D2078" s="186">
        <v>3</v>
      </c>
      <c r="E2078" s="165" t="s">
        <v>1069</v>
      </c>
      <c r="F2078" s="179" t="s">
        <v>1073</v>
      </c>
      <c r="G2078" s="186">
        <v>-3</v>
      </c>
      <c r="H2078" s="186">
        <f ca="1" t="shared" si="351"/>
        <v>0</v>
      </c>
      <c r="I2078" s="186"/>
      <c r="J2078" s="186">
        <f ca="1">OFFSET(card_type!$F$1,MATCH(Q2078,card_type!A:A,0)-1,0)</f>
        <v>4</v>
      </c>
      <c r="K2078" s="243">
        <f ca="1">OFFSET(card_type!$G$1,MATCH(Q2078,card_type!A:A,0)-1,0)</f>
        <v>2</v>
      </c>
      <c r="L2078" s="157">
        <v>3</v>
      </c>
      <c r="M2078" s="157">
        <v>3</v>
      </c>
      <c r="N2078" s="153">
        <f t="shared" si="347"/>
        <v>22</v>
      </c>
      <c r="O2078" s="157"/>
      <c r="P2078" s="157"/>
      <c r="Q2078" s="153">
        <f ca="1">OFFSET(card_type!$A$1,MATCH(card!B2078,card_type!B:B,0)-1,0)</f>
        <v>3401</v>
      </c>
      <c r="R2078" s="153">
        <v>1</v>
      </c>
      <c r="S2078" s="157">
        <f ca="1">ROUND(IF(R2078=0,0,IF(R2078=1,X2078*$S$1,IF(R2078=2,X2078*$S$1*buff的资质计算!$E$2,IF(R2078=3,X2078*$S$1*buff的资质计算!$E$3,0)))),0)*0</f>
        <v>0</v>
      </c>
      <c r="T2078" s="153">
        <v>3</v>
      </c>
      <c r="U2078" s="153">
        <f ca="1" t="shared" si="348"/>
        <v>42</v>
      </c>
      <c r="V2078" s="153">
        <f ca="1">ROUND((OFFSET(卡牌辅助配置表!$O$1,MATCH(U2078,卡牌辅助配置表!M:M,0)-1,0)+(N2078-1)*OFFSET(卡牌辅助配置表!$P$1,MATCH(U2078,卡牌辅助配置表!M:M,0)-1,0))*M2078,2)</f>
        <v>296.33</v>
      </c>
      <c r="W2078" s="157">
        <f ca="1">ROUND(IF(R2078=0,0,IF(R2078=1,X2078*$W$1,IF(R2078=2,X2078*$W$1*buff的资质计算!$E$2,IF(R2078=3,X2078*$W$1*buff的资质计算!$E$3,0)))),2)</f>
        <v>23.85</v>
      </c>
      <c r="X2078" s="157">
        <f ca="1" t="shared" si="343"/>
        <v>79.5</v>
      </c>
      <c r="Y2078" s="157">
        <f ca="1" t="shared" si="352"/>
        <v>79.5</v>
      </c>
      <c r="Z2078" s="304">
        <f ca="1" t="shared" si="344"/>
        <v>26.5</v>
      </c>
      <c r="AA2078" s="304">
        <f ca="1">OFFSET(卡牌辅助配置表!$AD$1,MATCH(AB2078,卡牌辅助配置表!AB:AB,0)-1,0)</f>
        <v>13340</v>
      </c>
      <c r="AB2078" s="304">
        <f ca="1" t="shared" si="349"/>
        <v>4222</v>
      </c>
      <c r="AC2078" s="153">
        <v>7</v>
      </c>
      <c r="AD2078" s="153">
        <v>2</v>
      </c>
      <c r="AE2078" s="153">
        <v>1</v>
      </c>
      <c r="AF2078" s="153" t="str">
        <f ca="1" t="shared" si="342"/>
        <v>34010011|</v>
      </c>
      <c r="AI2078" s="153">
        <v>1</v>
      </c>
      <c r="AJ2078" s="205" t="str">
        <f ca="1" t="shared" si="350"/>
        <v>400023|13050|;</v>
      </c>
      <c r="AK2078" s="205">
        <f ca="1">OFFSET([1]item_type!$A$1,MATCH(Q2078,[1]item_type!$G:$G,0)-1,0)</f>
        <v>303401</v>
      </c>
      <c r="AL2078" s="205"/>
      <c r="AM2078" s="205">
        <f ca="1">IF(B2078=B2079,OFFSET(卡牌辅助配置表!$AE$1,MATCH(AB2078,卡牌辅助配置表!AB:AB,0),0),0)</f>
        <v>13050</v>
      </c>
      <c r="AN2078" s="153">
        <f ca="1" t="shared" si="345"/>
        <v>3401023</v>
      </c>
      <c r="AP2078" s="153" t="str">
        <f ca="1">IF(AC2078=0,0,IF(AC2078=12,0,OFFSET(effect!$N$1,MATCH(K2078,effect!M:M,0)-1,0)))</f>
        <v>kpsx_pt</v>
      </c>
    </row>
    <row r="2079" spans="1:42">
      <c r="A2079" s="153">
        <f ca="1" t="shared" si="346"/>
        <v>3401023</v>
      </c>
      <c r="B2079" s="91" t="s">
        <v>909</v>
      </c>
      <c r="C2079" s="186">
        <v>3</v>
      </c>
      <c r="D2079" s="186">
        <v>3</v>
      </c>
      <c r="E2079" s="165" t="s">
        <v>1069</v>
      </c>
      <c r="F2079" s="179" t="s">
        <v>1073</v>
      </c>
      <c r="G2079" s="186">
        <v>-3</v>
      </c>
      <c r="H2079" s="186">
        <f ca="1" t="shared" si="351"/>
        <v>0</v>
      </c>
      <c r="I2079" s="186"/>
      <c r="J2079" s="186">
        <f ca="1">OFFSET(card_type!$F$1,MATCH(Q2079,card_type!A:A,0)-1,0)</f>
        <v>4</v>
      </c>
      <c r="K2079" s="243">
        <f ca="1">OFFSET(card_type!$G$1,MATCH(Q2079,card_type!A:A,0)-1,0)</f>
        <v>2</v>
      </c>
      <c r="L2079" s="157">
        <v>3</v>
      </c>
      <c r="M2079" s="157">
        <v>3</v>
      </c>
      <c r="N2079" s="153">
        <f t="shared" si="347"/>
        <v>23</v>
      </c>
      <c r="O2079" s="157"/>
      <c r="P2079" s="157"/>
      <c r="Q2079" s="153">
        <f ca="1">OFFSET(card_type!$A$1,MATCH(card!B2079,card_type!B:B,0)-1,0)</f>
        <v>3401</v>
      </c>
      <c r="R2079" s="153">
        <v>1</v>
      </c>
      <c r="S2079" s="157">
        <f ca="1">ROUND(IF(R2079=0,0,IF(R2079=1,X2079*$S$1,IF(R2079=2,X2079*$S$1*buff的资质计算!$E$2,IF(R2079=3,X2079*$S$1*buff的资质计算!$E$3,0)))),0)*0</f>
        <v>0</v>
      </c>
      <c r="T2079" s="153">
        <v>3</v>
      </c>
      <c r="U2079" s="153">
        <f ca="1" t="shared" si="348"/>
        <v>42</v>
      </c>
      <c r="V2079" s="153">
        <f ca="1">ROUND((OFFSET(卡牌辅助配置表!$O$1,MATCH(U2079,卡牌辅助配置表!M:M,0)-1,0)+(N2079-1)*OFFSET(卡牌辅助配置表!$P$1,MATCH(U2079,卡牌辅助配置表!M:M,0)-1,0))*M2079,2)</f>
        <v>307.28</v>
      </c>
      <c r="W2079" s="157">
        <f ca="1">ROUND(IF(R2079=0,0,IF(R2079=1,X2079*$W$1,IF(R2079=2,X2079*$W$1*buff的资质计算!$E$2,IF(R2079=3,X2079*$W$1*buff的资质计算!$E$3,0)))),2)</f>
        <v>24</v>
      </c>
      <c r="X2079" s="157">
        <f ca="1" t="shared" si="343"/>
        <v>80</v>
      </c>
      <c r="Y2079" s="157">
        <f ca="1" t="shared" si="352"/>
        <v>80</v>
      </c>
      <c r="Z2079" s="304">
        <f ca="1" t="shared" si="344"/>
        <v>26.6666666666667</v>
      </c>
      <c r="AA2079" s="304">
        <f ca="1">OFFSET(卡牌辅助配置表!$AD$1,MATCH(AB2079,卡牌辅助配置表!AB:AB,0)-1,0)</f>
        <v>14260</v>
      </c>
      <c r="AB2079" s="304">
        <f ca="1" t="shared" si="349"/>
        <v>4223</v>
      </c>
      <c r="AC2079" s="153">
        <v>7</v>
      </c>
      <c r="AD2079" s="153">
        <v>2</v>
      </c>
      <c r="AE2079" s="153">
        <v>1</v>
      </c>
      <c r="AF2079" s="153" t="str">
        <f ca="1" t="shared" si="342"/>
        <v>34010011|</v>
      </c>
      <c r="AI2079" s="153">
        <v>1</v>
      </c>
      <c r="AJ2079" s="205" t="str">
        <f ca="1" t="shared" si="350"/>
        <v>400023|14250|;</v>
      </c>
      <c r="AK2079" s="205">
        <f ca="1">OFFSET([1]item_type!$A$1,MATCH(Q2079,[1]item_type!$G:$G,0)-1,0)</f>
        <v>303401</v>
      </c>
      <c r="AL2079" s="205"/>
      <c r="AM2079" s="205">
        <f ca="1">IF(B2079=B2080,OFFSET(卡牌辅助配置表!$AE$1,MATCH(AB2079,卡牌辅助配置表!AB:AB,0),0),0)</f>
        <v>14250</v>
      </c>
      <c r="AN2079" s="153">
        <f ca="1" t="shared" si="345"/>
        <v>3401024</v>
      </c>
      <c r="AP2079" s="153" t="str">
        <f ca="1">IF(AC2079=0,0,IF(AC2079=12,0,OFFSET(effect!$N$1,MATCH(K2079,effect!M:M,0)-1,0)))</f>
        <v>kpsx_pt</v>
      </c>
    </row>
    <row r="2080" spans="1:42">
      <c r="A2080" s="153">
        <f ca="1" t="shared" si="346"/>
        <v>3401024</v>
      </c>
      <c r="B2080" s="91" t="s">
        <v>909</v>
      </c>
      <c r="C2080" s="186">
        <v>3</v>
      </c>
      <c r="D2080" s="186">
        <v>3</v>
      </c>
      <c r="E2080" s="165" t="s">
        <v>1069</v>
      </c>
      <c r="F2080" s="179" t="s">
        <v>1073</v>
      </c>
      <c r="G2080" s="186">
        <v>-3</v>
      </c>
      <c r="H2080" s="186">
        <f ca="1" t="shared" si="351"/>
        <v>0</v>
      </c>
      <c r="I2080" s="186"/>
      <c r="J2080" s="186">
        <f ca="1">OFFSET(card_type!$F$1,MATCH(Q2080,card_type!A:A,0)-1,0)</f>
        <v>4</v>
      </c>
      <c r="K2080" s="243">
        <f ca="1">OFFSET(card_type!$G$1,MATCH(Q2080,card_type!A:A,0)-1,0)</f>
        <v>2</v>
      </c>
      <c r="L2080" s="157">
        <v>3</v>
      </c>
      <c r="M2080" s="157">
        <v>3</v>
      </c>
      <c r="N2080" s="153">
        <f t="shared" si="347"/>
        <v>24</v>
      </c>
      <c r="O2080" s="157"/>
      <c r="P2080" s="157"/>
      <c r="Q2080" s="153">
        <f ca="1">OFFSET(card_type!$A$1,MATCH(card!B2080,card_type!B:B,0)-1,0)</f>
        <v>3401</v>
      </c>
      <c r="R2080" s="153">
        <v>1</v>
      </c>
      <c r="S2080" s="157">
        <f ca="1">ROUND(IF(R2080=0,0,IF(R2080=1,X2080*$S$1,IF(R2080=2,X2080*$S$1*buff的资质计算!$E$2,IF(R2080=3,X2080*$S$1*buff的资质计算!$E$3,0)))),0)*0</f>
        <v>0</v>
      </c>
      <c r="T2080" s="153">
        <v>3</v>
      </c>
      <c r="U2080" s="153">
        <f ca="1" t="shared" si="348"/>
        <v>42</v>
      </c>
      <c r="V2080" s="153">
        <f ca="1">ROUND((OFFSET(卡牌辅助配置表!$O$1,MATCH(U2080,卡牌辅助配置表!M:M,0)-1,0)+(N2080-1)*OFFSET(卡牌辅助配置表!$P$1,MATCH(U2080,卡牌辅助配置表!M:M,0)-1,0))*M2080,2)</f>
        <v>318.23</v>
      </c>
      <c r="W2080" s="157">
        <f ca="1">ROUND(IF(R2080=0,0,IF(R2080=1,X2080*$W$1,IF(R2080=2,X2080*$W$1*buff的资质计算!$E$2,IF(R2080=3,X2080*$W$1*buff的资质计算!$E$3,0)))),2)</f>
        <v>24.15</v>
      </c>
      <c r="X2080" s="157">
        <f ca="1" t="shared" si="343"/>
        <v>80.5</v>
      </c>
      <c r="Y2080" s="157">
        <f ca="1" t="shared" si="352"/>
        <v>80.5</v>
      </c>
      <c r="Z2080" s="304">
        <f ca="1" t="shared" si="344"/>
        <v>26.8333333333333</v>
      </c>
      <c r="AA2080" s="304">
        <f ca="1">OFFSET(卡牌辅助配置表!$AD$1,MATCH(AB2080,卡牌辅助配置表!AB:AB,0)-1,0)</f>
        <v>15180</v>
      </c>
      <c r="AB2080" s="304">
        <f ca="1" t="shared" si="349"/>
        <v>4224</v>
      </c>
      <c r="AC2080" s="153">
        <v>7</v>
      </c>
      <c r="AD2080" s="153">
        <v>2</v>
      </c>
      <c r="AE2080" s="153">
        <v>1</v>
      </c>
      <c r="AF2080" s="153" t="str">
        <f ca="1" t="shared" si="342"/>
        <v>34010011|</v>
      </c>
      <c r="AI2080" s="153">
        <v>1</v>
      </c>
      <c r="AJ2080" s="205" t="str">
        <f ca="1" t="shared" si="350"/>
        <v>400023|15450|;</v>
      </c>
      <c r="AK2080" s="205">
        <f ca="1">OFFSET([1]item_type!$A$1,MATCH(Q2080,[1]item_type!$G:$G,0)-1,0)</f>
        <v>303401</v>
      </c>
      <c r="AL2080" s="205"/>
      <c r="AM2080" s="205">
        <f ca="1">IF(B2080=B2081,OFFSET(卡牌辅助配置表!$AE$1,MATCH(AB2080,卡牌辅助配置表!AB:AB,0),0),0)</f>
        <v>15450</v>
      </c>
      <c r="AN2080" s="153">
        <f ca="1" t="shared" si="345"/>
        <v>3401025</v>
      </c>
      <c r="AP2080" s="153" t="str">
        <f ca="1">IF(AC2080=0,0,IF(AC2080=12,0,OFFSET(effect!$N$1,MATCH(K2080,effect!M:M,0)-1,0)))</f>
        <v>kpsx_pt</v>
      </c>
    </row>
    <row r="2081" spans="1:42">
      <c r="A2081" s="153">
        <f ca="1" t="shared" si="346"/>
        <v>3401025</v>
      </c>
      <c r="B2081" s="91" t="s">
        <v>909</v>
      </c>
      <c r="C2081" s="186">
        <v>3</v>
      </c>
      <c r="D2081" s="186">
        <v>3</v>
      </c>
      <c r="E2081" s="165" t="s">
        <v>1069</v>
      </c>
      <c r="F2081" s="179" t="s">
        <v>1073</v>
      </c>
      <c r="G2081" s="186">
        <v>-3</v>
      </c>
      <c r="H2081" s="186">
        <f ca="1" t="shared" si="351"/>
        <v>0</v>
      </c>
      <c r="I2081" s="186"/>
      <c r="J2081" s="186">
        <f ca="1">OFFSET(card_type!$F$1,MATCH(Q2081,card_type!A:A,0)-1,0)</f>
        <v>4</v>
      </c>
      <c r="K2081" s="243">
        <f ca="1">OFFSET(card_type!$G$1,MATCH(Q2081,card_type!A:A,0)-1,0)</f>
        <v>2</v>
      </c>
      <c r="L2081" s="157">
        <v>3</v>
      </c>
      <c r="M2081" s="157">
        <v>3</v>
      </c>
      <c r="N2081" s="153">
        <f t="shared" si="347"/>
        <v>25</v>
      </c>
      <c r="O2081" s="157"/>
      <c r="P2081" s="157"/>
      <c r="Q2081" s="153">
        <f ca="1">OFFSET(card_type!$A$1,MATCH(card!B2081,card_type!B:B,0)-1,0)</f>
        <v>3401</v>
      </c>
      <c r="R2081" s="153">
        <v>1</v>
      </c>
      <c r="S2081" s="157">
        <f ca="1">ROUND(IF(R2081=0,0,IF(R2081=1,X2081*$S$1,IF(R2081=2,X2081*$S$1*buff的资质计算!$E$2,IF(R2081=3,X2081*$S$1*buff的资质计算!$E$3,0)))),0)*0</f>
        <v>0</v>
      </c>
      <c r="T2081" s="153">
        <v>3</v>
      </c>
      <c r="U2081" s="153">
        <f ca="1" t="shared" si="348"/>
        <v>42</v>
      </c>
      <c r="V2081" s="153">
        <f ca="1">ROUND((OFFSET(卡牌辅助配置表!$O$1,MATCH(U2081,卡牌辅助配置表!M:M,0)-1,0)+(N2081-1)*OFFSET(卡牌辅助配置表!$P$1,MATCH(U2081,卡牌辅助配置表!M:M,0)-1,0))*M2081,2)</f>
        <v>329.18</v>
      </c>
      <c r="W2081" s="157">
        <f ca="1">ROUND(IF(R2081=0,0,IF(R2081=1,X2081*$W$1,IF(R2081=2,X2081*$W$1*buff的资质计算!$E$2,IF(R2081=3,X2081*$W$1*buff的资质计算!$E$3,0)))),2)</f>
        <v>24.3</v>
      </c>
      <c r="X2081" s="157">
        <f ca="1" t="shared" si="343"/>
        <v>81</v>
      </c>
      <c r="Y2081" s="157">
        <f ca="1" t="shared" si="352"/>
        <v>81</v>
      </c>
      <c r="Z2081" s="304">
        <f ca="1" t="shared" si="344"/>
        <v>27</v>
      </c>
      <c r="AA2081" s="304">
        <f ca="1">OFFSET(卡牌辅助配置表!$AD$1,MATCH(AB2081,卡牌辅助配置表!AB:AB,0)-1,0)</f>
        <v>16100</v>
      </c>
      <c r="AB2081" s="304">
        <f ca="1" t="shared" si="349"/>
        <v>4225</v>
      </c>
      <c r="AC2081" s="153">
        <v>7</v>
      </c>
      <c r="AD2081" s="153">
        <v>2</v>
      </c>
      <c r="AE2081" s="153">
        <v>1</v>
      </c>
      <c r="AF2081" s="153" t="str">
        <f ca="1" t="shared" si="342"/>
        <v>34010011|</v>
      </c>
      <c r="AI2081" s="153">
        <v>1</v>
      </c>
      <c r="AJ2081" s="205" t="str">
        <f ca="1" t="shared" si="350"/>
        <v>400023|16650|;</v>
      </c>
      <c r="AK2081" s="205">
        <f ca="1">OFFSET([1]item_type!$A$1,MATCH(Q2081,[1]item_type!$G:$G,0)-1,0)</f>
        <v>303401</v>
      </c>
      <c r="AL2081" s="205"/>
      <c r="AM2081" s="205">
        <f ca="1">IF(B2081=B2082,OFFSET(卡牌辅助配置表!$AE$1,MATCH(AB2081,卡牌辅助配置表!AB:AB,0),0),0)</f>
        <v>16650</v>
      </c>
      <c r="AN2081" s="153">
        <f ca="1" t="shared" si="345"/>
        <v>3401026</v>
      </c>
      <c r="AP2081" s="153" t="str">
        <f ca="1">IF(AC2081=0,0,IF(AC2081=12,0,OFFSET(effect!$N$1,MATCH(K2081,effect!M:M,0)-1,0)))</f>
        <v>kpsx_pt</v>
      </c>
    </row>
    <row r="2082" spans="1:42">
      <c r="A2082" s="153">
        <f ca="1" t="shared" si="346"/>
        <v>3401026</v>
      </c>
      <c r="B2082" s="91" t="s">
        <v>909</v>
      </c>
      <c r="C2082" s="186">
        <v>3</v>
      </c>
      <c r="D2082" s="186">
        <v>3</v>
      </c>
      <c r="E2082" s="165" t="s">
        <v>1069</v>
      </c>
      <c r="F2082" s="179" t="s">
        <v>1073</v>
      </c>
      <c r="G2082" s="186">
        <v>-3</v>
      </c>
      <c r="H2082" s="186">
        <f ca="1" t="shared" si="351"/>
        <v>0</v>
      </c>
      <c r="I2082" s="186"/>
      <c r="J2082" s="186">
        <f ca="1">OFFSET(card_type!$F$1,MATCH(Q2082,card_type!A:A,0)-1,0)</f>
        <v>4</v>
      </c>
      <c r="K2082" s="243">
        <f ca="1">OFFSET(card_type!$G$1,MATCH(Q2082,card_type!A:A,0)-1,0)</f>
        <v>2</v>
      </c>
      <c r="L2082" s="157">
        <v>3</v>
      </c>
      <c r="M2082" s="157">
        <v>3</v>
      </c>
      <c r="N2082" s="153">
        <f t="shared" si="347"/>
        <v>26</v>
      </c>
      <c r="O2082" s="157"/>
      <c r="P2082" s="157"/>
      <c r="Q2082" s="153">
        <f ca="1">OFFSET(card_type!$A$1,MATCH(card!B2082,card_type!B:B,0)-1,0)</f>
        <v>3401</v>
      </c>
      <c r="R2082" s="153">
        <v>1</v>
      </c>
      <c r="S2082" s="157">
        <f ca="1">ROUND(IF(R2082=0,0,IF(R2082=1,X2082*$S$1,IF(R2082=2,X2082*$S$1*buff的资质计算!$E$2,IF(R2082=3,X2082*$S$1*buff的资质计算!$E$3,0)))),0)*0</f>
        <v>0</v>
      </c>
      <c r="T2082" s="153">
        <v>3</v>
      </c>
      <c r="U2082" s="153">
        <f ca="1" t="shared" si="348"/>
        <v>42</v>
      </c>
      <c r="V2082" s="153">
        <f ca="1">ROUND((OFFSET(卡牌辅助配置表!$O$1,MATCH(U2082,卡牌辅助配置表!M:M,0)-1,0)+(N2082-1)*OFFSET(卡牌辅助配置表!$P$1,MATCH(U2082,卡牌辅助配置表!M:M,0)-1,0))*M2082,2)</f>
        <v>340.13</v>
      </c>
      <c r="W2082" s="157">
        <f ca="1">ROUND(IF(R2082=0,0,IF(R2082=1,X2082*$W$1,IF(R2082=2,X2082*$W$1*buff的资质计算!$E$2,IF(R2082=3,X2082*$W$1*buff的资质计算!$E$3,0)))),2)</f>
        <v>24.45</v>
      </c>
      <c r="X2082" s="157">
        <f ca="1" t="shared" si="343"/>
        <v>81.5</v>
      </c>
      <c r="Y2082" s="157">
        <f ca="1" t="shared" si="352"/>
        <v>81.5</v>
      </c>
      <c r="Z2082" s="304">
        <f ca="1" t="shared" si="344"/>
        <v>27.1666666666667</v>
      </c>
      <c r="AA2082" s="304">
        <f ca="1">OFFSET(卡牌辅助配置表!$AD$1,MATCH(AB2082,卡牌辅助配置表!AB:AB,0)-1,0)</f>
        <v>17020</v>
      </c>
      <c r="AB2082" s="304">
        <f ca="1" t="shared" si="349"/>
        <v>4226</v>
      </c>
      <c r="AC2082" s="153">
        <v>7</v>
      </c>
      <c r="AD2082" s="153">
        <v>2</v>
      </c>
      <c r="AE2082" s="153">
        <v>1</v>
      </c>
      <c r="AF2082" s="153" t="str">
        <f ca="1" t="shared" si="342"/>
        <v>34010011|</v>
      </c>
      <c r="AI2082" s="153">
        <v>1</v>
      </c>
      <c r="AJ2082" s="205" t="str">
        <f ca="1" t="shared" si="350"/>
        <v>400023|17850|;</v>
      </c>
      <c r="AK2082" s="205">
        <f ca="1">OFFSET([1]item_type!$A$1,MATCH(Q2082,[1]item_type!$G:$G,0)-1,0)</f>
        <v>303401</v>
      </c>
      <c r="AL2082" s="205"/>
      <c r="AM2082" s="205">
        <f ca="1">IF(B2082=B2083,OFFSET(卡牌辅助配置表!$AE$1,MATCH(AB2082,卡牌辅助配置表!AB:AB,0),0),0)</f>
        <v>17850</v>
      </c>
      <c r="AN2082" s="153">
        <f ca="1" t="shared" si="345"/>
        <v>3401027</v>
      </c>
      <c r="AP2082" s="153" t="str">
        <f ca="1">IF(AC2082=0,0,IF(AC2082=12,0,OFFSET(effect!$N$1,MATCH(K2082,effect!M:M,0)-1,0)))</f>
        <v>kpsx_pt</v>
      </c>
    </row>
    <row r="2083" spans="1:42">
      <c r="A2083" s="153">
        <f ca="1" t="shared" si="346"/>
        <v>3401027</v>
      </c>
      <c r="B2083" s="91" t="s">
        <v>909</v>
      </c>
      <c r="C2083" s="186">
        <v>3</v>
      </c>
      <c r="D2083" s="186">
        <v>3</v>
      </c>
      <c r="E2083" s="165" t="s">
        <v>1069</v>
      </c>
      <c r="F2083" s="179" t="s">
        <v>1073</v>
      </c>
      <c r="G2083" s="186">
        <v>-3</v>
      </c>
      <c r="H2083" s="186">
        <f ca="1" t="shared" si="351"/>
        <v>0</v>
      </c>
      <c r="I2083" s="186"/>
      <c r="J2083" s="186">
        <f ca="1">OFFSET(card_type!$F$1,MATCH(Q2083,card_type!A:A,0)-1,0)</f>
        <v>4</v>
      </c>
      <c r="K2083" s="243">
        <f ca="1">OFFSET(card_type!$G$1,MATCH(Q2083,card_type!A:A,0)-1,0)</f>
        <v>2</v>
      </c>
      <c r="L2083" s="157">
        <v>3</v>
      </c>
      <c r="M2083" s="157">
        <v>3</v>
      </c>
      <c r="N2083" s="153">
        <f t="shared" si="347"/>
        <v>27</v>
      </c>
      <c r="O2083" s="157"/>
      <c r="P2083" s="157"/>
      <c r="Q2083" s="153">
        <f ca="1">OFFSET(card_type!$A$1,MATCH(card!B2083,card_type!B:B,0)-1,0)</f>
        <v>3401</v>
      </c>
      <c r="R2083" s="153">
        <v>1</v>
      </c>
      <c r="S2083" s="157">
        <f ca="1">ROUND(IF(R2083=0,0,IF(R2083=1,X2083*$S$1,IF(R2083=2,X2083*$S$1*buff的资质计算!$E$2,IF(R2083=3,X2083*$S$1*buff的资质计算!$E$3,0)))),0)*0</f>
        <v>0</v>
      </c>
      <c r="T2083" s="153">
        <v>3</v>
      </c>
      <c r="U2083" s="153">
        <f ca="1" t="shared" si="348"/>
        <v>42</v>
      </c>
      <c r="V2083" s="153">
        <f ca="1">ROUND((OFFSET(卡牌辅助配置表!$O$1,MATCH(U2083,卡牌辅助配置表!M:M,0)-1,0)+(N2083-1)*OFFSET(卡牌辅助配置表!$P$1,MATCH(U2083,卡牌辅助配置表!M:M,0)-1,0))*M2083,2)</f>
        <v>351.08</v>
      </c>
      <c r="W2083" s="157">
        <f ca="1">ROUND(IF(R2083=0,0,IF(R2083=1,X2083*$W$1,IF(R2083=2,X2083*$W$1*buff的资质计算!$E$2,IF(R2083=3,X2083*$W$1*buff的资质计算!$E$3,0)))),2)</f>
        <v>24.6</v>
      </c>
      <c r="X2083" s="157">
        <f ca="1" t="shared" si="343"/>
        <v>82</v>
      </c>
      <c r="Y2083" s="157">
        <f ca="1" t="shared" si="352"/>
        <v>82</v>
      </c>
      <c r="Z2083" s="304">
        <f ca="1" t="shared" si="344"/>
        <v>27.3333333333333</v>
      </c>
      <c r="AA2083" s="304">
        <f ca="1">OFFSET(卡牌辅助配置表!$AD$1,MATCH(AB2083,卡牌辅助配置表!AB:AB,0)-1,0)</f>
        <v>17940</v>
      </c>
      <c r="AB2083" s="304">
        <f ca="1" t="shared" si="349"/>
        <v>4227</v>
      </c>
      <c r="AC2083" s="153">
        <v>7</v>
      </c>
      <c r="AD2083" s="153">
        <v>2</v>
      </c>
      <c r="AE2083" s="153">
        <v>1</v>
      </c>
      <c r="AF2083" s="153" t="str">
        <f ca="1" t="shared" si="342"/>
        <v>34010011|</v>
      </c>
      <c r="AI2083" s="153">
        <v>1</v>
      </c>
      <c r="AJ2083" s="205" t="str">
        <f ca="1" t="shared" si="350"/>
        <v>400023|19050|;</v>
      </c>
      <c r="AK2083" s="205">
        <f ca="1">OFFSET([1]item_type!$A$1,MATCH(Q2083,[1]item_type!$G:$G,0)-1,0)</f>
        <v>303401</v>
      </c>
      <c r="AL2083" s="205"/>
      <c r="AM2083" s="205">
        <f ca="1">IF(B2083=B2084,OFFSET(卡牌辅助配置表!$AE$1,MATCH(AB2083,卡牌辅助配置表!AB:AB,0),0),0)</f>
        <v>19050</v>
      </c>
      <c r="AN2083" s="153">
        <f ca="1" t="shared" si="345"/>
        <v>3401028</v>
      </c>
      <c r="AP2083" s="153" t="str">
        <f ca="1">IF(AC2083=0,0,IF(AC2083=12,0,OFFSET(effect!$N$1,MATCH(K2083,effect!M:M,0)-1,0)))</f>
        <v>kpsx_pt</v>
      </c>
    </row>
    <row r="2084" spans="1:42">
      <c r="A2084" s="153">
        <f ca="1" t="shared" si="346"/>
        <v>3401028</v>
      </c>
      <c r="B2084" s="91" t="s">
        <v>909</v>
      </c>
      <c r="C2084" s="186">
        <v>3</v>
      </c>
      <c r="D2084" s="186">
        <v>3</v>
      </c>
      <c r="E2084" s="165" t="s">
        <v>1069</v>
      </c>
      <c r="F2084" s="179" t="s">
        <v>1073</v>
      </c>
      <c r="G2084" s="186">
        <v>-3</v>
      </c>
      <c r="H2084" s="186">
        <f ca="1" t="shared" si="351"/>
        <v>0</v>
      </c>
      <c r="I2084" s="186"/>
      <c r="J2084" s="186">
        <f ca="1">OFFSET(card_type!$F$1,MATCH(Q2084,card_type!A:A,0)-1,0)</f>
        <v>4</v>
      </c>
      <c r="K2084" s="243">
        <f ca="1">OFFSET(card_type!$G$1,MATCH(Q2084,card_type!A:A,0)-1,0)</f>
        <v>2</v>
      </c>
      <c r="L2084" s="157">
        <v>3</v>
      </c>
      <c r="M2084" s="157">
        <v>3</v>
      </c>
      <c r="N2084" s="153">
        <f t="shared" si="347"/>
        <v>28</v>
      </c>
      <c r="O2084" s="157"/>
      <c r="P2084" s="157"/>
      <c r="Q2084" s="153">
        <f ca="1">OFFSET(card_type!$A$1,MATCH(card!B2084,card_type!B:B,0)-1,0)</f>
        <v>3401</v>
      </c>
      <c r="R2084" s="153">
        <v>1</v>
      </c>
      <c r="S2084" s="157">
        <f ca="1">ROUND(IF(R2084=0,0,IF(R2084=1,X2084*$S$1,IF(R2084=2,X2084*$S$1*buff的资质计算!$E$2,IF(R2084=3,X2084*$S$1*buff的资质计算!$E$3,0)))),0)*0</f>
        <v>0</v>
      </c>
      <c r="T2084" s="153">
        <v>3</v>
      </c>
      <c r="U2084" s="153">
        <f ca="1" t="shared" si="348"/>
        <v>42</v>
      </c>
      <c r="V2084" s="153">
        <f ca="1">ROUND((OFFSET(卡牌辅助配置表!$O$1,MATCH(U2084,卡牌辅助配置表!M:M,0)-1,0)+(N2084-1)*OFFSET(卡牌辅助配置表!$P$1,MATCH(U2084,卡牌辅助配置表!M:M,0)-1,0))*M2084,2)</f>
        <v>362.03</v>
      </c>
      <c r="W2084" s="157">
        <f ca="1">ROUND(IF(R2084=0,0,IF(R2084=1,X2084*$W$1,IF(R2084=2,X2084*$W$1*buff的资质计算!$E$2,IF(R2084=3,X2084*$W$1*buff的资质计算!$E$3,0)))),2)</f>
        <v>24.75</v>
      </c>
      <c r="X2084" s="157">
        <f ca="1" t="shared" si="343"/>
        <v>82.5</v>
      </c>
      <c r="Y2084" s="157">
        <f ca="1" t="shared" si="352"/>
        <v>82.5</v>
      </c>
      <c r="Z2084" s="304">
        <f ca="1" t="shared" si="344"/>
        <v>27.5</v>
      </c>
      <c r="AA2084" s="304">
        <f ca="1">OFFSET(卡牌辅助配置表!$AD$1,MATCH(AB2084,卡牌辅助配置表!AB:AB,0)-1,0)</f>
        <v>18860</v>
      </c>
      <c r="AB2084" s="304">
        <f ca="1" t="shared" si="349"/>
        <v>4228</v>
      </c>
      <c r="AC2084" s="153">
        <v>7</v>
      </c>
      <c r="AD2084" s="153">
        <v>2</v>
      </c>
      <c r="AE2084" s="153">
        <v>1</v>
      </c>
      <c r="AF2084" s="153" t="str">
        <f ca="1" t="shared" si="342"/>
        <v>34010011|</v>
      </c>
      <c r="AI2084" s="153">
        <v>1</v>
      </c>
      <c r="AJ2084" s="205" t="str">
        <f ca="1" t="shared" si="350"/>
        <v>400023|20250|;</v>
      </c>
      <c r="AK2084" s="205">
        <f ca="1">OFFSET([1]item_type!$A$1,MATCH(Q2084,[1]item_type!$G:$G,0)-1,0)</f>
        <v>303401</v>
      </c>
      <c r="AL2084" s="205"/>
      <c r="AM2084" s="205">
        <f ca="1">IF(B2084=B2085,OFFSET(卡牌辅助配置表!$AE$1,MATCH(AB2084,卡牌辅助配置表!AB:AB,0),0),0)</f>
        <v>20250</v>
      </c>
      <c r="AN2084" s="153">
        <f ca="1" t="shared" si="345"/>
        <v>3401029</v>
      </c>
      <c r="AP2084" s="153" t="str">
        <f ca="1">IF(AC2084=0,0,IF(AC2084=12,0,OFFSET(effect!$N$1,MATCH(K2084,effect!M:M,0)-1,0)))</f>
        <v>kpsx_pt</v>
      </c>
    </row>
    <row r="2085" spans="1:42">
      <c r="A2085" s="153">
        <f ca="1" t="shared" si="346"/>
        <v>3401029</v>
      </c>
      <c r="B2085" s="91" t="s">
        <v>909</v>
      </c>
      <c r="C2085" s="186">
        <v>3</v>
      </c>
      <c r="D2085" s="186">
        <v>3</v>
      </c>
      <c r="E2085" s="165" t="s">
        <v>1069</v>
      </c>
      <c r="F2085" s="179" t="s">
        <v>1073</v>
      </c>
      <c r="G2085" s="186">
        <v>-3</v>
      </c>
      <c r="H2085" s="186">
        <f ca="1" t="shared" si="351"/>
        <v>0</v>
      </c>
      <c r="I2085" s="186"/>
      <c r="J2085" s="186">
        <f ca="1">OFFSET(card_type!$F$1,MATCH(Q2085,card_type!A:A,0)-1,0)</f>
        <v>4</v>
      </c>
      <c r="K2085" s="243">
        <f ca="1">OFFSET(card_type!$G$1,MATCH(Q2085,card_type!A:A,0)-1,0)</f>
        <v>2</v>
      </c>
      <c r="L2085" s="157">
        <v>3</v>
      </c>
      <c r="M2085" s="157">
        <v>3</v>
      </c>
      <c r="N2085" s="153">
        <f t="shared" si="347"/>
        <v>29</v>
      </c>
      <c r="O2085" s="157"/>
      <c r="P2085" s="157"/>
      <c r="Q2085" s="153">
        <f ca="1">OFFSET(card_type!$A$1,MATCH(card!B2085,card_type!B:B,0)-1,0)</f>
        <v>3401</v>
      </c>
      <c r="R2085" s="153">
        <v>1</v>
      </c>
      <c r="S2085" s="157">
        <f ca="1">ROUND(IF(R2085=0,0,IF(R2085=1,X2085*$S$1,IF(R2085=2,X2085*$S$1*buff的资质计算!$E$2,IF(R2085=3,X2085*$S$1*buff的资质计算!$E$3,0)))),0)*0</f>
        <v>0</v>
      </c>
      <c r="T2085" s="153">
        <v>3</v>
      </c>
      <c r="U2085" s="153">
        <f ca="1" t="shared" si="348"/>
        <v>42</v>
      </c>
      <c r="V2085" s="153">
        <f ca="1">ROUND((OFFSET(卡牌辅助配置表!$O$1,MATCH(U2085,卡牌辅助配置表!M:M,0)-1,0)+(N2085-1)*OFFSET(卡牌辅助配置表!$P$1,MATCH(U2085,卡牌辅助配置表!M:M,0)-1,0))*M2085,2)</f>
        <v>372.98</v>
      </c>
      <c r="W2085" s="157">
        <f ca="1">ROUND(IF(R2085=0,0,IF(R2085=1,X2085*$W$1,IF(R2085=2,X2085*$W$1*buff的资质计算!$E$2,IF(R2085=3,X2085*$W$1*buff的资质计算!$E$3,0)))),2)</f>
        <v>24.9</v>
      </c>
      <c r="X2085" s="157">
        <f ca="1" t="shared" si="343"/>
        <v>83</v>
      </c>
      <c r="Y2085" s="157">
        <f ca="1" t="shared" si="352"/>
        <v>83</v>
      </c>
      <c r="Z2085" s="304">
        <f ca="1" t="shared" si="344"/>
        <v>27.6666666666667</v>
      </c>
      <c r="AA2085" s="304">
        <f ca="1">OFFSET(卡牌辅助配置表!$AD$1,MATCH(AB2085,卡牌辅助配置表!AB:AB,0)-1,0)</f>
        <v>19780</v>
      </c>
      <c r="AB2085" s="304">
        <f ca="1" t="shared" si="349"/>
        <v>4229</v>
      </c>
      <c r="AC2085" s="153">
        <v>7</v>
      </c>
      <c r="AD2085" s="153">
        <v>2</v>
      </c>
      <c r="AE2085" s="153">
        <v>1</v>
      </c>
      <c r="AF2085" s="153" t="str">
        <f ca="1" t="shared" si="342"/>
        <v>34010011|</v>
      </c>
      <c r="AI2085" s="153">
        <v>1</v>
      </c>
      <c r="AJ2085" s="205" t="str">
        <f ca="1" t="shared" si="350"/>
        <v>303401|30|;400023|21450|;</v>
      </c>
      <c r="AK2085" s="205">
        <f ca="1">OFFSET([1]item_type!$A$1,MATCH(Q2085,[1]item_type!$G:$G,0)-1,0)</f>
        <v>303401</v>
      </c>
      <c r="AL2085" s="205">
        <v>30</v>
      </c>
      <c r="AM2085" s="205">
        <f ca="1">IF(B2085=B2086,OFFSET(卡牌辅助配置表!$AE$1,MATCH(AB2085,卡牌辅助配置表!AB:AB,0),0),0)</f>
        <v>21450</v>
      </c>
      <c r="AN2085" s="153">
        <f ca="1" t="shared" si="345"/>
        <v>3401030</v>
      </c>
      <c r="AP2085" s="153" t="str">
        <f ca="1">IF(AC2085=0,0,IF(AC2085=12,0,OFFSET(effect!$N$1,MATCH(K2085,effect!M:M,0)-1,0)))</f>
        <v>kpsx_pt</v>
      </c>
    </row>
    <row r="2086" spans="1:42">
      <c r="A2086" s="153">
        <f ca="1" t="shared" si="346"/>
        <v>3401030</v>
      </c>
      <c r="B2086" s="91" t="s">
        <v>909</v>
      </c>
      <c r="C2086" s="186">
        <v>3</v>
      </c>
      <c r="D2086" s="186">
        <v>3</v>
      </c>
      <c r="E2086" s="165" t="s">
        <v>1069</v>
      </c>
      <c r="F2086" s="179" t="s">
        <v>1073</v>
      </c>
      <c r="G2086" s="186">
        <v>-3</v>
      </c>
      <c r="H2086" s="186">
        <f ca="1" t="shared" si="351"/>
        <v>0</v>
      </c>
      <c r="I2086" s="186"/>
      <c r="J2086" s="186">
        <f ca="1">OFFSET(card_type!$F$1,MATCH(Q2086,card_type!A:A,0)-1,0)</f>
        <v>4</v>
      </c>
      <c r="K2086" s="243">
        <f ca="1">OFFSET(card_type!$G$1,MATCH(Q2086,card_type!A:A,0)-1,0)</f>
        <v>2</v>
      </c>
      <c r="L2086" s="157">
        <v>3</v>
      </c>
      <c r="M2086" s="157">
        <v>3</v>
      </c>
      <c r="N2086" s="153">
        <f t="shared" si="347"/>
        <v>30</v>
      </c>
      <c r="O2086" s="157"/>
      <c r="P2086" s="157"/>
      <c r="Q2086" s="153">
        <f ca="1">OFFSET(card_type!$A$1,MATCH(card!B2086,card_type!B:B,0)-1,0)</f>
        <v>3401</v>
      </c>
      <c r="R2086" s="153">
        <v>1</v>
      </c>
      <c r="S2086" s="157">
        <f ca="1">ROUND(IF(R2086=0,0,IF(R2086=1,X2086*$S$1,IF(R2086=2,X2086*$S$1*buff的资质计算!$E$2,IF(R2086=3,X2086*$S$1*buff的资质计算!$E$3,0)))),0)*0</f>
        <v>0</v>
      </c>
      <c r="T2086" s="153">
        <v>3</v>
      </c>
      <c r="U2086" s="153">
        <f ca="1" t="shared" si="348"/>
        <v>42</v>
      </c>
      <c r="V2086" s="153">
        <f ca="1">ROUND((OFFSET(卡牌辅助配置表!$O$1,MATCH(U2086,卡牌辅助配置表!M:M,0)-1,0)+(N2086-1)*OFFSET(卡牌辅助配置表!$P$1,MATCH(U2086,卡牌辅助配置表!M:M,0)-1,0))*M2086,2)</f>
        <v>383.93</v>
      </c>
      <c r="W2086" s="157">
        <f ca="1">ROUND(IF(R2086=0,0,IF(R2086=1,X2086*$W$1,IF(R2086=2,X2086*$W$1*buff的资质计算!$E$2,IF(R2086=3,X2086*$W$1*buff的资质计算!$E$3,0)))),2)</f>
        <v>25.05</v>
      </c>
      <c r="X2086" s="157">
        <f ca="1" t="shared" si="343"/>
        <v>83.5</v>
      </c>
      <c r="Y2086" s="157">
        <f ca="1" t="shared" si="352"/>
        <v>83.5</v>
      </c>
      <c r="Z2086" s="304">
        <f ca="1" t="shared" si="344"/>
        <v>27.8333333333333</v>
      </c>
      <c r="AA2086" s="304">
        <f ca="1">OFFSET(卡牌辅助配置表!$AD$1,MATCH(AB2086,卡牌辅助配置表!AB:AB,0)-1,0)</f>
        <v>20700</v>
      </c>
      <c r="AB2086" s="304">
        <f ca="1" t="shared" si="349"/>
        <v>4230</v>
      </c>
      <c r="AC2086" s="153">
        <v>7</v>
      </c>
      <c r="AD2086" s="153">
        <v>2</v>
      </c>
      <c r="AE2086" s="153">
        <v>1</v>
      </c>
      <c r="AF2086" s="153" t="str">
        <f ca="1" t="shared" si="342"/>
        <v>34010011|</v>
      </c>
      <c r="AI2086" s="153">
        <v>1</v>
      </c>
      <c r="AJ2086" s="205">
        <f ca="1" t="shared" si="350"/>
        <v>0</v>
      </c>
      <c r="AK2086" s="205">
        <f ca="1">OFFSET([1]item_type!$A$1,MATCH(Q2086,[1]item_type!$G:$G,0)-1,0)</f>
        <v>303401</v>
      </c>
      <c r="AL2086" s="205"/>
      <c r="AM2086" s="205">
        <f ca="1">IF(B2086=B2087,OFFSET(卡牌辅助配置表!$AE$1,MATCH(AB2086,卡牌辅助配置表!AB:AB,0),0),0)</f>
        <v>0</v>
      </c>
      <c r="AN2086" s="153">
        <f ca="1" t="shared" ref="AN2086:AN2090" si="353">IF(B2086=B2147,A2086+1,0)</f>
        <v>0</v>
      </c>
      <c r="AP2086" s="153" t="str">
        <f ca="1">IF(AC2086=0,0,IF(AC2086=12,0,OFFSET(effect!$N$1,MATCH(K2086,effect!M:M,0)-1,0)))</f>
        <v>kpsx_pt</v>
      </c>
    </row>
    <row r="2087" spans="1:42">
      <c r="A2087" s="153">
        <f ca="1" t="shared" si="346"/>
        <v>3402001</v>
      </c>
      <c r="B2087" s="299" t="s">
        <v>912</v>
      </c>
      <c r="C2087" s="186">
        <v>3</v>
      </c>
      <c r="D2087" s="186">
        <v>3</v>
      </c>
      <c r="E2087" s="165" t="s">
        <v>1069</v>
      </c>
      <c r="F2087" s="165" t="str">
        <f>"若敌人处在冰冻中，伤害增加"&amp;skill!$O$143/100&amp;"%"</f>
        <v>若敌人处在冰冻中，伤害增加35%</v>
      </c>
      <c r="G2087" s="186">
        <v>-3</v>
      </c>
      <c r="H2087" s="186">
        <f ca="1" t="shared" si="351"/>
        <v>0</v>
      </c>
      <c r="I2087" s="186"/>
      <c r="J2087" s="186">
        <f ca="1">OFFSET(card_type!$F$1,MATCH(Q2087,card_type!A:A,0)-1,0)</f>
        <v>4</v>
      </c>
      <c r="K2087" s="243">
        <f ca="1">OFFSET(card_type!$G$1,MATCH(Q2087,card_type!A:A,0)-1,0)</f>
        <v>2</v>
      </c>
      <c r="L2087" s="157">
        <v>2</v>
      </c>
      <c r="M2087" s="157">
        <v>2</v>
      </c>
      <c r="N2087" s="153">
        <f t="shared" si="347"/>
        <v>1</v>
      </c>
      <c r="O2087" s="157"/>
      <c r="P2087" s="157"/>
      <c r="Q2087" s="153">
        <f ca="1">OFFSET(card_type!$A$1,MATCH(card!B2087,card_type!B:B,0)-1,0)</f>
        <v>3402</v>
      </c>
      <c r="R2087" s="153">
        <v>1</v>
      </c>
      <c r="S2087" s="157">
        <f ca="1">ROUND(IF(R2087=0,0,IF(R2087=1,X2087*$S$1,IF(R2087=2,X2087*$S$1*buff的资质计算!$E$2,IF(R2087=3,X2087*$S$1*buff的资质计算!$E$3,0)))),0)*0</f>
        <v>0</v>
      </c>
      <c r="T2087" s="153">
        <v>3</v>
      </c>
      <c r="U2087" s="153">
        <f ca="1" t="shared" si="348"/>
        <v>42</v>
      </c>
      <c r="V2087" s="153">
        <f ca="1">ROUND((OFFSET(卡牌辅助配置表!$O$1,MATCH(U2087,卡牌辅助配置表!M:M,0)-1,0)+(N2087-1)*OFFSET(卡牌辅助配置表!$P$1,MATCH(U2087,卡牌辅助配置表!M:M,0)-1,0))*M2087,2)</f>
        <v>44.25</v>
      </c>
      <c r="W2087" s="157">
        <f ca="1">ROUND(IF(R2087=0,0,IF(R2087=1,X2087*$W$1,IF(R2087=2,X2087*$W$1*buff的资质计算!$E$2,IF(R2087=3,X2087*$W$1*buff的资质计算!$E$3,0)))),2)</f>
        <v>13.5</v>
      </c>
      <c r="X2087" s="157">
        <f ca="1" t="shared" si="343"/>
        <v>45</v>
      </c>
      <c r="Y2087" s="157">
        <f ca="1" t="shared" si="352"/>
        <v>45</v>
      </c>
      <c r="Z2087" s="304">
        <f ca="1" t="shared" si="344"/>
        <v>22.5</v>
      </c>
      <c r="AA2087" s="304">
        <f ca="1">OFFSET(卡牌辅助配置表!$AD$1,MATCH(AB2087,卡牌辅助配置表!AB:AB,0)-1,0)</f>
        <v>460</v>
      </c>
      <c r="AB2087" s="304">
        <f ca="1" t="shared" si="349"/>
        <v>4201</v>
      </c>
      <c r="AC2087" s="153">
        <v>7</v>
      </c>
      <c r="AD2087" s="153">
        <v>2</v>
      </c>
      <c r="AE2087" s="153">
        <v>1</v>
      </c>
      <c r="AF2087" s="153" t="str">
        <f ca="1" t="shared" si="342"/>
        <v>34020011|</v>
      </c>
      <c r="AI2087" s="153">
        <v>1</v>
      </c>
      <c r="AJ2087" s="205" t="str">
        <f ca="1" t="shared" si="350"/>
        <v>400023|1050|;</v>
      </c>
      <c r="AK2087" s="205">
        <f ca="1">OFFSET([1]item_type!$A$1,MATCH(Q2087,[1]item_type!$G:$G,0)-1,0)</f>
        <v>303402</v>
      </c>
      <c r="AL2087" s="205"/>
      <c r="AM2087" s="205">
        <f ca="1">IF(B2087=B2088,OFFSET(卡牌辅助配置表!$AE$1,MATCH(AB2087,卡牌辅助配置表!AB:AB,0),0),0)</f>
        <v>1050</v>
      </c>
      <c r="AN2087" s="153">
        <f ca="1" t="shared" ref="AN2087:AN2091" si="354">IF(B2087=B2088,A2087+1,0)</f>
        <v>3402002</v>
      </c>
      <c r="AP2087" s="153" t="str">
        <f ca="1">IF(AC2087=0,0,IF(AC2087=12,0,OFFSET(effect!$N$1,MATCH(K2087,effect!M:M,0)-1,0)))</f>
        <v>kpsx_pt</v>
      </c>
    </row>
    <row r="2088" spans="1:42">
      <c r="A2088" s="153">
        <f ca="1" t="shared" si="346"/>
        <v>3402002</v>
      </c>
      <c r="B2088" s="299" t="s">
        <v>912</v>
      </c>
      <c r="C2088" s="186">
        <v>3</v>
      </c>
      <c r="D2088" s="186">
        <v>3</v>
      </c>
      <c r="E2088" s="165" t="s">
        <v>1069</v>
      </c>
      <c r="F2088" s="165" t="str">
        <f>"若敌人处在冰冻中，伤害增加"&amp;skill!$O$143/100&amp;"%"</f>
        <v>若敌人处在冰冻中，伤害增加35%</v>
      </c>
      <c r="G2088" s="186">
        <v>-3</v>
      </c>
      <c r="H2088" s="186">
        <f ca="1" t="shared" si="351"/>
        <v>0</v>
      </c>
      <c r="I2088" s="186"/>
      <c r="J2088" s="186">
        <f ca="1">OFFSET(card_type!$F$1,MATCH(Q2088,card_type!A:A,0)-1,0)</f>
        <v>4</v>
      </c>
      <c r="K2088" s="243">
        <f ca="1">OFFSET(card_type!$G$1,MATCH(Q2088,card_type!A:A,0)-1,0)</f>
        <v>2</v>
      </c>
      <c r="L2088" s="157">
        <v>2</v>
      </c>
      <c r="M2088" s="157">
        <v>2</v>
      </c>
      <c r="N2088" s="153">
        <f t="shared" si="347"/>
        <v>2</v>
      </c>
      <c r="O2088" s="157"/>
      <c r="P2088" s="157"/>
      <c r="Q2088" s="153">
        <f ca="1">OFFSET(card_type!$A$1,MATCH(card!B2088,card_type!B:B,0)-1,0)</f>
        <v>3402</v>
      </c>
      <c r="R2088" s="153">
        <v>1</v>
      </c>
      <c r="S2088" s="157">
        <f ca="1">ROUND(IF(R2088=0,0,IF(R2088=1,X2088*$S$1,IF(R2088=2,X2088*$S$1*buff的资质计算!$E$2,IF(R2088=3,X2088*$S$1*buff的资质计算!$E$3,0)))),0)*0</f>
        <v>0</v>
      </c>
      <c r="T2088" s="153">
        <v>3</v>
      </c>
      <c r="U2088" s="153">
        <f ca="1" t="shared" si="348"/>
        <v>42</v>
      </c>
      <c r="V2088" s="153">
        <f ca="1">ROUND((OFFSET(卡牌辅助配置表!$O$1,MATCH(U2088,卡牌辅助配置表!M:M,0)-1,0)+(N2088-1)*OFFSET(卡牌辅助配置表!$P$1,MATCH(U2088,卡牌辅助配置表!M:M,0)-1,0))*M2088,2)</f>
        <v>51.55</v>
      </c>
      <c r="W2088" s="157">
        <f ca="1">ROUND(IF(R2088=0,0,IF(R2088=1,X2088*$W$1,IF(R2088=2,X2088*$W$1*buff的资质计算!$E$2,IF(R2088=3,X2088*$W$1*buff的资质计算!$E$3,0)))),2)</f>
        <v>13.65</v>
      </c>
      <c r="X2088" s="157">
        <f ca="1" t="shared" si="343"/>
        <v>45.5</v>
      </c>
      <c r="Y2088" s="157">
        <f ca="1" t="shared" si="352"/>
        <v>45.5</v>
      </c>
      <c r="Z2088" s="304">
        <f ca="1" t="shared" si="344"/>
        <v>22.75</v>
      </c>
      <c r="AA2088" s="304">
        <f ca="1">OFFSET(卡牌辅助配置表!$AD$1,MATCH(AB2088,卡牌辅助配置表!AB:AB,0)-1,0)</f>
        <v>920</v>
      </c>
      <c r="AB2088" s="304">
        <f ca="1" t="shared" si="349"/>
        <v>4202</v>
      </c>
      <c r="AC2088" s="153">
        <v>7</v>
      </c>
      <c r="AD2088" s="153">
        <v>2</v>
      </c>
      <c r="AE2088" s="153">
        <v>1</v>
      </c>
      <c r="AF2088" s="153" t="str">
        <f ca="1" t="shared" si="342"/>
        <v>34020011|</v>
      </c>
      <c r="AI2088" s="153">
        <v>1</v>
      </c>
      <c r="AJ2088" s="205">
        <f ca="1" t="shared" si="350"/>
        <v>0</v>
      </c>
      <c r="AK2088" s="205">
        <f ca="1">OFFSET([1]item_type!$A$1,MATCH(Q2088,[1]item_type!$G:$G,0)-1,0)</f>
        <v>303402</v>
      </c>
      <c r="AL2088" s="205"/>
      <c r="AM2088" s="205">
        <f ca="1">IF(B2088=B2089,OFFSET(卡牌辅助配置表!$AE$1,MATCH(AB2088,卡牌辅助配置表!AB:AB,0),0),0)</f>
        <v>1350</v>
      </c>
      <c r="AN2088" s="153">
        <f ca="1" t="shared" si="353"/>
        <v>0</v>
      </c>
      <c r="AP2088" s="153" t="str">
        <f ca="1">IF(AC2088=0,0,IF(AC2088=12,0,OFFSET(effect!$N$1,MATCH(K2088,effect!M:M,0)-1,0)))</f>
        <v>kpsx_pt</v>
      </c>
    </row>
    <row r="2089" spans="1:42">
      <c r="A2089" s="153">
        <f ca="1" t="shared" si="346"/>
        <v>3402003</v>
      </c>
      <c r="B2089" s="299" t="s">
        <v>912</v>
      </c>
      <c r="C2089" s="186">
        <v>3</v>
      </c>
      <c r="D2089" s="186">
        <v>3</v>
      </c>
      <c r="E2089" s="165" t="s">
        <v>1069</v>
      </c>
      <c r="F2089" s="165" t="str">
        <f>"若敌人处在冰冻中，伤害增加"&amp;skill!$O$143/100&amp;"%"</f>
        <v>若敌人处在冰冻中，伤害增加35%</v>
      </c>
      <c r="G2089" s="186">
        <v>-3</v>
      </c>
      <c r="H2089" s="186">
        <f ca="1" t="shared" si="351"/>
        <v>0</v>
      </c>
      <c r="I2089" s="186"/>
      <c r="J2089" s="186">
        <f ca="1">OFFSET(card_type!$F$1,MATCH(Q2089,card_type!A:A,0)-1,0)</f>
        <v>4</v>
      </c>
      <c r="K2089" s="243">
        <f ca="1">OFFSET(card_type!$G$1,MATCH(Q2089,card_type!A:A,0)-1,0)</f>
        <v>2</v>
      </c>
      <c r="L2089" s="157">
        <v>2</v>
      </c>
      <c r="M2089" s="157">
        <v>2</v>
      </c>
      <c r="N2089" s="153">
        <f t="shared" si="347"/>
        <v>3</v>
      </c>
      <c r="O2089" s="157"/>
      <c r="P2089" s="157"/>
      <c r="Q2089" s="153">
        <f ca="1">OFFSET(card_type!$A$1,MATCH(card!B2089,card_type!B:B,0)-1,0)</f>
        <v>3402</v>
      </c>
      <c r="R2089" s="153">
        <v>1</v>
      </c>
      <c r="S2089" s="157">
        <f ca="1">ROUND(IF(R2089=0,0,IF(R2089=1,X2089*$S$1,IF(R2089=2,X2089*$S$1*buff的资质计算!$E$2,IF(R2089=3,X2089*$S$1*buff的资质计算!$E$3,0)))),0)*0</f>
        <v>0</v>
      </c>
      <c r="T2089" s="153">
        <v>3</v>
      </c>
      <c r="U2089" s="153">
        <f ca="1" t="shared" si="348"/>
        <v>42</v>
      </c>
      <c r="V2089" s="153">
        <f ca="1">ROUND((OFFSET(卡牌辅助配置表!$O$1,MATCH(U2089,卡牌辅助配置表!M:M,0)-1,0)+(N2089-1)*OFFSET(卡牌辅助配置表!$P$1,MATCH(U2089,卡牌辅助配置表!M:M,0)-1,0))*M2089,2)</f>
        <v>58.85</v>
      </c>
      <c r="W2089" s="157">
        <f ca="1">ROUND(IF(R2089=0,0,IF(R2089=1,X2089*$W$1,IF(R2089=2,X2089*$W$1*buff的资质计算!$E$2,IF(R2089=3,X2089*$W$1*buff的资质计算!$E$3,0)))),2)</f>
        <v>13.8</v>
      </c>
      <c r="X2089" s="157">
        <f ca="1" t="shared" si="343"/>
        <v>46</v>
      </c>
      <c r="Y2089" s="157">
        <f ca="1" t="shared" si="352"/>
        <v>46</v>
      </c>
      <c r="Z2089" s="304">
        <f ca="1" t="shared" si="344"/>
        <v>23</v>
      </c>
      <c r="AA2089" s="304">
        <f ca="1">OFFSET(卡牌辅助配置表!$AD$1,MATCH(AB2089,卡牌辅助配置表!AB:AB,0)-1,0)</f>
        <v>1380</v>
      </c>
      <c r="AB2089" s="304">
        <f ca="1" t="shared" si="349"/>
        <v>4203</v>
      </c>
      <c r="AC2089" s="153">
        <v>7</v>
      </c>
      <c r="AD2089" s="153">
        <v>2</v>
      </c>
      <c r="AE2089" s="153">
        <v>1</v>
      </c>
      <c r="AF2089" s="153" t="str">
        <f ca="1" t="shared" si="342"/>
        <v>34020011|</v>
      </c>
      <c r="AI2089" s="153">
        <v>1</v>
      </c>
      <c r="AJ2089" s="205" t="str">
        <f ca="1" t="shared" si="350"/>
        <v>400023|1650|;</v>
      </c>
      <c r="AK2089" s="205">
        <f ca="1">OFFSET([1]item_type!$A$1,MATCH(Q2089,[1]item_type!$G:$G,0)-1,0)</f>
        <v>303402</v>
      </c>
      <c r="AL2089" s="205"/>
      <c r="AM2089" s="205">
        <f ca="1">IF(B2089=B2090,OFFSET(卡牌辅助配置表!$AE$1,MATCH(AB2089,卡牌辅助配置表!AB:AB,0),0),0)</f>
        <v>1650</v>
      </c>
      <c r="AN2089" s="153">
        <f ca="1" t="shared" si="354"/>
        <v>3402004</v>
      </c>
      <c r="AP2089" s="153" t="str">
        <f ca="1">IF(AC2089=0,0,IF(AC2089=12,0,OFFSET(effect!$N$1,MATCH(K2089,effect!M:M,0)-1,0)))</f>
        <v>kpsx_pt</v>
      </c>
    </row>
    <row r="2090" spans="1:42">
      <c r="A2090" s="153">
        <f ca="1" t="shared" si="346"/>
        <v>3402004</v>
      </c>
      <c r="B2090" s="299" t="s">
        <v>912</v>
      </c>
      <c r="C2090" s="186">
        <v>3</v>
      </c>
      <c r="D2090" s="186">
        <v>3</v>
      </c>
      <c r="E2090" s="165" t="s">
        <v>1069</v>
      </c>
      <c r="F2090" s="165" t="str">
        <f>"若敌人处在冰冻中，伤害增加"&amp;skill!$O$143/100&amp;"%"</f>
        <v>若敌人处在冰冻中，伤害增加35%</v>
      </c>
      <c r="G2090" s="186">
        <v>-3</v>
      </c>
      <c r="H2090" s="186">
        <f ca="1" t="shared" si="351"/>
        <v>0</v>
      </c>
      <c r="I2090" s="186"/>
      <c r="J2090" s="186">
        <f ca="1">OFFSET(card_type!$F$1,MATCH(Q2090,card_type!A:A,0)-1,0)</f>
        <v>4</v>
      </c>
      <c r="K2090" s="243">
        <f ca="1">OFFSET(card_type!$G$1,MATCH(Q2090,card_type!A:A,0)-1,0)</f>
        <v>2</v>
      </c>
      <c r="L2090" s="157">
        <v>2</v>
      </c>
      <c r="M2090" s="157">
        <v>2</v>
      </c>
      <c r="N2090" s="153">
        <f t="shared" si="347"/>
        <v>4</v>
      </c>
      <c r="O2090" s="157"/>
      <c r="P2090" s="157"/>
      <c r="Q2090" s="153">
        <f ca="1">OFFSET(card_type!$A$1,MATCH(card!B2090,card_type!B:B,0)-1,0)</f>
        <v>3402</v>
      </c>
      <c r="R2090" s="153">
        <v>1</v>
      </c>
      <c r="S2090" s="157">
        <f ca="1">ROUND(IF(R2090=0,0,IF(R2090=1,X2090*$S$1,IF(R2090=2,X2090*$S$1*buff的资质计算!$E$2,IF(R2090=3,X2090*$S$1*buff的资质计算!$E$3,0)))),0)*0</f>
        <v>0</v>
      </c>
      <c r="T2090" s="153">
        <v>3</v>
      </c>
      <c r="U2090" s="153">
        <f ca="1" t="shared" si="348"/>
        <v>42</v>
      </c>
      <c r="V2090" s="153">
        <f ca="1">ROUND((OFFSET(卡牌辅助配置表!$O$1,MATCH(U2090,卡牌辅助配置表!M:M,0)-1,0)+(N2090-1)*OFFSET(卡牌辅助配置表!$P$1,MATCH(U2090,卡牌辅助配置表!M:M,0)-1,0))*M2090,2)</f>
        <v>66.15</v>
      </c>
      <c r="W2090" s="157">
        <f ca="1">ROUND(IF(R2090=0,0,IF(R2090=1,X2090*$W$1,IF(R2090=2,X2090*$W$1*buff的资质计算!$E$2,IF(R2090=3,X2090*$W$1*buff的资质计算!$E$3,0)))),2)</f>
        <v>13.95</v>
      </c>
      <c r="X2090" s="157">
        <f ca="1" t="shared" si="343"/>
        <v>46.5</v>
      </c>
      <c r="Y2090" s="157">
        <f ca="1" t="shared" si="352"/>
        <v>46.5</v>
      </c>
      <c r="Z2090" s="304">
        <f ca="1" t="shared" si="344"/>
        <v>23.25</v>
      </c>
      <c r="AA2090" s="304">
        <f ca="1">OFFSET(卡牌辅助配置表!$AD$1,MATCH(AB2090,卡牌辅助配置表!AB:AB,0)-1,0)</f>
        <v>1840</v>
      </c>
      <c r="AB2090" s="304">
        <f ca="1" t="shared" si="349"/>
        <v>4204</v>
      </c>
      <c r="AC2090" s="153">
        <v>7</v>
      </c>
      <c r="AD2090" s="153">
        <v>2</v>
      </c>
      <c r="AE2090" s="153">
        <v>1</v>
      </c>
      <c r="AF2090" s="153" t="str">
        <f ca="1" t="shared" si="342"/>
        <v>34020011|</v>
      </c>
      <c r="AI2090" s="153">
        <v>1</v>
      </c>
      <c r="AJ2090" s="205">
        <f ca="1" t="shared" si="350"/>
        <v>0</v>
      </c>
      <c r="AK2090" s="205">
        <f ca="1">OFFSET([1]item_type!$A$1,MATCH(Q2090,[1]item_type!$G:$G,0)-1,0)</f>
        <v>303402</v>
      </c>
      <c r="AL2090" s="205"/>
      <c r="AM2090" s="205">
        <f ca="1">IF(B2090=B2091,OFFSET(卡牌辅助配置表!$AE$1,MATCH(AB2090,卡牌辅助配置表!AB:AB,0),0),0)</f>
        <v>1950</v>
      </c>
      <c r="AN2090" s="153">
        <f ca="1" t="shared" si="353"/>
        <v>0</v>
      </c>
      <c r="AP2090" s="153" t="str">
        <f ca="1">IF(AC2090=0,0,IF(AC2090=12,0,OFFSET(effect!$N$1,MATCH(K2090,effect!M:M,0)-1,0)))</f>
        <v>kpsx_pt</v>
      </c>
    </row>
    <row r="2091" spans="1:42">
      <c r="A2091" s="153">
        <f ca="1" t="shared" si="346"/>
        <v>3402005</v>
      </c>
      <c r="B2091" s="299" t="s">
        <v>912</v>
      </c>
      <c r="C2091" s="186">
        <v>3</v>
      </c>
      <c r="D2091" s="186">
        <v>3</v>
      </c>
      <c r="E2091" s="165" t="s">
        <v>1069</v>
      </c>
      <c r="F2091" s="165" t="str">
        <f>"若敌人处在冰冻中，伤害增加"&amp;skill!$O$143/100&amp;"%"</f>
        <v>若敌人处在冰冻中，伤害增加35%</v>
      </c>
      <c r="G2091" s="186">
        <v>-3</v>
      </c>
      <c r="H2091" s="186">
        <f ca="1" t="shared" si="351"/>
        <v>0</v>
      </c>
      <c r="I2091" s="186"/>
      <c r="J2091" s="186">
        <f ca="1">OFFSET(card_type!$F$1,MATCH(Q2091,card_type!A:A,0)-1,0)</f>
        <v>4</v>
      </c>
      <c r="K2091" s="243">
        <f ca="1">OFFSET(card_type!$G$1,MATCH(Q2091,card_type!A:A,0)-1,0)</f>
        <v>2</v>
      </c>
      <c r="L2091" s="157">
        <v>2</v>
      </c>
      <c r="M2091" s="157">
        <v>2</v>
      </c>
      <c r="N2091" s="153">
        <f t="shared" si="347"/>
        <v>5</v>
      </c>
      <c r="O2091" s="157"/>
      <c r="P2091" s="157"/>
      <c r="Q2091" s="153">
        <f ca="1">OFFSET(card_type!$A$1,MATCH(card!B2091,card_type!B:B,0)-1,0)</f>
        <v>3402</v>
      </c>
      <c r="R2091" s="153">
        <v>1</v>
      </c>
      <c r="S2091" s="157">
        <f ca="1">ROUND(IF(R2091=0,0,IF(R2091=1,X2091*$S$1,IF(R2091=2,X2091*$S$1*buff的资质计算!$E$2,IF(R2091=3,X2091*$S$1*buff的资质计算!$E$3,0)))),0)*0</f>
        <v>0</v>
      </c>
      <c r="T2091" s="153">
        <v>3</v>
      </c>
      <c r="U2091" s="153">
        <f ca="1" t="shared" si="348"/>
        <v>42</v>
      </c>
      <c r="V2091" s="153">
        <f ca="1">ROUND((OFFSET(卡牌辅助配置表!$O$1,MATCH(U2091,卡牌辅助配置表!M:M,0)-1,0)+(N2091-1)*OFFSET(卡牌辅助配置表!$P$1,MATCH(U2091,卡牌辅助配置表!M:M,0)-1,0))*M2091,2)</f>
        <v>73.45</v>
      </c>
      <c r="W2091" s="157">
        <f ca="1">ROUND(IF(R2091=0,0,IF(R2091=1,X2091*$W$1,IF(R2091=2,X2091*$W$1*buff的资质计算!$E$2,IF(R2091=3,X2091*$W$1*buff的资质计算!$E$3,0)))),2)</f>
        <v>14.1</v>
      </c>
      <c r="X2091" s="157">
        <f ca="1" t="shared" si="343"/>
        <v>47</v>
      </c>
      <c r="Y2091" s="157">
        <f ca="1" t="shared" si="352"/>
        <v>47</v>
      </c>
      <c r="Z2091" s="304">
        <f ca="1" t="shared" si="344"/>
        <v>23.5</v>
      </c>
      <c r="AA2091" s="304">
        <f ca="1">OFFSET(卡牌辅助配置表!$AD$1,MATCH(AB2091,卡牌辅助配置表!AB:AB,0)-1,0)</f>
        <v>2300</v>
      </c>
      <c r="AB2091" s="304">
        <f ca="1" t="shared" si="349"/>
        <v>4205</v>
      </c>
      <c r="AC2091" s="153">
        <v>7</v>
      </c>
      <c r="AD2091" s="153">
        <v>2</v>
      </c>
      <c r="AE2091" s="153">
        <v>1</v>
      </c>
      <c r="AF2091" s="153" t="str">
        <f ca="1" t="shared" si="342"/>
        <v>34020011|</v>
      </c>
      <c r="AI2091" s="153">
        <v>1</v>
      </c>
      <c r="AJ2091" s="205" t="str">
        <f ca="1" t="shared" si="350"/>
        <v>400023|2250|;</v>
      </c>
      <c r="AK2091" s="205">
        <f ca="1">OFFSET([1]item_type!$A$1,MATCH(Q2091,[1]item_type!$G:$G,0)-1,0)</f>
        <v>303402</v>
      </c>
      <c r="AL2091" s="205"/>
      <c r="AM2091" s="205">
        <f ca="1">IF(B2091=B2092,OFFSET(卡牌辅助配置表!$AE$1,MATCH(AB2091,卡牌辅助配置表!AB:AB,0),0),0)</f>
        <v>2250</v>
      </c>
      <c r="AN2091" s="153">
        <f ca="1" t="shared" si="354"/>
        <v>3402006</v>
      </c>
      <c r="AP2091" s="153" t="str">
        <f ca="1">IF(AC2091=0,0,IF(AC2091=12,0,OFFSET(effect!$N$1,MATCH(K2091,effect!M:M,0)-1,0)))</f>
        <v>kpsx_pt</v>
      </c>
    </row>
    <row r="2092" spans="1:42">
      <c r="A2092" s="153">
        <f ca="1" t="shared" si="346"/>
        <v>3402006</v>
      </c>
      <c r="B2092" s="299" t="s">
        <v>912</v>
      </c>
      <c r="C2092" s="186">
        <v>3</v>
      </c>
      <c r="D2092" s="186">
        <v>3</v>
      </c>
      <c r="E2092" s="165" t="s">
        <v>1069</v>
      </c>
      <c r="F2092" s="165" t="str">
        <f>"若敌人处在冰冻中，伤害增加"&amp;skill!$O$143/100&amp;"%"</f>
        <v>若敌人处在冰冻中，伤害增加35%</v>
      </c>
      <c r="G2092" s="186">
        <v>-3</v>
      </c>
      <c r="H2092" s="186">
        <f ca="1" t="shared" si="351"/>
        <v>0</v>
      </c>
      <c r="I2092" s="186"/>
      <c r="J2092" s="186">
        <f ca="1">OFFSET(card_type!$F$1,MATCH(Q2092,card_type!A:A,0)-1,0)</f>
        <v>4</v>
      </c>
      <c r="K2092" s="243">
        <f ca="1">OFFSET(card_type!$G$1,MATCH(Q2092,card_type!A:A,0)-1,0)</f>
        <v>2</v>
      </c>
      <c r="L2092" s="157">
        <v>2</v>
      </c>
      <c r="M2092" s="157">
        <v>2</v>
      </c>
      <c r="N2092" s="153">
        <f t="shared" si="347"/>
        <v>6</v>
      </c>
      <c r="O2092" s="157"/>
      <c r="P2092" s="157"/>
      <c r="Q2092" s="153">
        <f ca="1">OFFSET(card_type!$A$1,MATCH(card!B2092,card_type!B:B,0)-1,0)</f>
        <v>3402</v>
      </c>
      <c r="R2092" s="153">
        <v>1</v>
      </c>
      <c r="S2092" s="157">
        <f ca="1">ROUND(IF(R2092=0,0,IF(R2092=1,X2092*$S$1,IF(R2092=2,X2092*$S$1*buff的资质计算!$E$2,IF(R2092=3,X2092*$S$1*buff的资质计算!$E$3,0)))),0)*0</f>
        <v>0</v>
      </c>
      <c r="T2092" s="153">
        <v>3</v>
      </c>
      <c r="U2092" s="153">
        <f ca="1" t="shared" si="348"/>
        <v>42</v>
      </c>
      <c r="V2092" s="153">
        <f ca="1">ROUND((OFFSET(卡牌辅助配置表!$O$1,MATCH(U2092,卡牌辅助配置表!M:M,0)-1,0)+(N2092-1)*OFFSET(卡牌辅助配置表!$P$1,MATCH(U2092,卡牌辅助配置表!M:M,0)-1,0))*M2092,2)</f>
        <v>80.75</v>
      </c>
      <c r="W2092" s="157">
        <f ca="1">ROUND(IF(R2092=0,0,IF(R2092=1,X2092*$W$1,IF(R2092=2,X2092*$W$1*buff的资质计算!$E$2,IF(R2092=3,X2092*$W$1*buff的资质计算!$E$3,0)))),2)</f>
        <v>14.25</v>
      </c>
      <c r="X2092" s="157">
        <f ca="1" t="shared" si="343"/>
        <v>47.5</v>
      </c>
      <c r="Y2092" s="157">
        <f ca="1" t="shared" si="352"/>
        <v>47.5</v>
      </c>
      <c r="Z2092" s="304">
        <f ca="1" t="shared" si="344"/>
        <v>23.75</v>
      </c>
      <c r="AA2092" s="304">
        <f ca="1">OFFSET(卡牌辅助配置表!$AD$1,MATCH(AB2092,卡牌辅助配置表!AB:AB,0)-1,0)</f>
        <v>2760</v>
      </c>
      <c r="AB2092" s="304">
        <f ca="1" t="shared" si="349"/>
        <v>4206</v>
      </c>
      <c r="AC2092" s="153">
        <v>7</v>
      </c>
      <c r="AD2092" s="153">
        <v>2</v>
      </c>
      <c r="AE2092" s="153">
        <v>1</v>
      </c>
      <c r="AF2092" s="153" t="str">
        <f ca="1" t="shared" si="342"/>
        <v>34020011|</v>
      </c>
      <c r="AI2092" s="153">
        <v>1</v>
      </c>
      <c r="AJ2092" s="205">
        <f ca="1" t="shared" si="350"/>
        <v>0</v>
      </c>
      <c r="AK2092" s="205">
        <f ca="1">OFFSET([1]item_type!$A$1,MATCH(Q2092,[1]item_type!$G:$G,0)-1,0)</f>
        <v>303402</v>
      </c>
      <c r="AL2092" s="205"/>
      <c r="AM2092" s="205">
        <f ca="1">IF(B2092=B2093,OFFSET(卡牌辅助配置表!$AE$1,MATCH(AB2092,卡牌辅助配置表!AB:AB,0),0),0)</f>
        <v>2550</v>
      </c>
      <c r="AN2092" s="153">
        <f ca="1" t="shared" ref="AN2092:AN2096" si="355">IF(B2092=B2153,A2092+1,0)</f>
        <v>0</v>
      </c>
      <c r="AP2092" s="153" t="str">
        <f ca="1">IF(AC2092=0,0,IF(AC2092=12,0,OFFSET(effect!$N$1,MATCH(K2092,effect!M:M,0)-1,0)))</f>
        <v>kpsx_pt</v>
      </c>
    </row>
    <row r="2093" spans="1:42">
      <c r="A2093" s="153">
        <f ca="1" t="shared" si="346"/>
        <v>3402007</v>
      </c>
      <c r="B2093" s="299" t="s">
        <v>912</v>
      </c>
      <c r="C2093" s="186">
        <v>3</v>
      </c>
      <c r="D2093" s="186">
        <v>3</v>
      </c>
      <c r="E2093" s="165" t="s">
        <v>1069</v>
      </c>
      <c r="F2093" s="165" t="str">
        <f>"若敌人处在冰冻中，伤害增加"&amp;skill!$O$143/100&amp;"%"</f>
        <v>若敌人处在冰冻中，伤害增加35%</v>
      </c>
      <c r="G2093" s="186">
        <v>-3</v>
      </c>
      <c r="H2093" s="186">
        <f ca="1" t="shared" si="351"/>
        <v>0</v>
      </c>
      <c r="I2093" s="186"/>
      <c r="J2093" s="186">
        <f ca="1">OFFSET(card_type!$F$1,MATCH(Q2093,card_type!A:A,0)-1,0)</f>
        <v>4</v>
      </c>
      <c r="K2093" s="243">
        <f ca="1">OFFSET(card_type!$G$1,MATCH(Q2093,card_type!A:A,0)-1,0)</f>
        <v>2</v>
      </c>
      <c r="L2093" s="157">
        <v>2</v>
      </c>
      <c r="M2093" s="157">
        <v>2</v>
      </c>
      <c r="N2093" s="153">
        <f t="shared" si="347"/>
        <v>7</v>
      </c>
      <c r="O2093" s="157"/>
      <c r="P2093" s="157"/>
      <c r="Q2093" s="153">
        <f ca="1">OFFSET(card_type!$A$1,MATCH(card!B2093,card_type!B:B,0)-1,0)</f>
        <v>3402</v>
      </c>
      <c r="R2093" s="153">
        <v>1</v>
      </c>
      <c r="S2093" s="157">
        <f ca="1">ROUND(IF(R2093=0,0,IF(R2093=1,X2093*$S$1,IF(R2093=2,X2093*$S$1*buff的资质计算!$E$2,IF(R2093=3,X2093*$S$1*buff的资质计算!$E$3,0)))),0)*0</f>
        <v>0</v>
      </c>
      <c r="T2093" s="153">
        <v>3</v>
      </c>
      <c r="U2093" s="153">
        <f ca="1" t="shared" si="348"/>
        <v>42</v>
      </c>
      <c r="V2093" s="153">
        <f ca="1">ROUND((OFFSET(卡牌辅助配置表!$O$1,MATCH(U2093,卡牌辅助配置表!M:M,0)-1,0)+(N2093-1)*OFFSET(卡牌辅助配置表!$P$1,MATCH(U2093,卡牌辅助配置表!M:M,0)-1,0))*M2093,2)</f>
        <v>88.05</v>
      </c>
      <c r="W2093" s="157">
        <f ca="1">ROUND(IF(R2093=0,0,IF(R2093=1,X2093*$W$1,IF(R2093=2,X2093*$W$1*buff的资质计算!$E$2,IF(R2093=3,X2093*$W$1*buff的资质计算!$E$3,0)))),2)</f>
        <v>14.4</v>
      </c>
      <c r="X2093" s="157">
        <f ca="1" t="shared" si="343"/>
        <v>48</v>
      </c>
      <c r="Y2093" s="157">
        <f ca="1" t="shared" si="352"/>
        <v>48</v>
      </c>
      <c r="Z2093" s="304">
        <f ca="1" t="shared" si="344"/>
        <v>24</v>
      </c>
      <c r="AA2093" s="304">
        <f ca="1">OFFSET(卡牌辅助配置表!$AD$1,MATCH(AB2093,卡牌辅助配置表!AB:AB,0)-1,0)</f>
        <v>3220</v>
      </c>
      <c r="AB2093" s="304">
        <f ca="1" t="shared" si="349"/>
        <v>4207</v>
      </c>
      <c r="AC2093" s="153">
        <v>7</v>
      </c>
      <c r="AD2093" s="153">
        <v>2</v>
      </c>
      <c r="AE2093" s="153">
        <v>1</v>
      </c>
      <c r="AF2093" s="153" t="str">
        <f ca="1" t="shared" si="342"/>
        <v>34020011|</v>
      </c>
      <c r="AI2093" s="153">
        <v>1</v>
      </c>
      <c r="AJ2093" s="205" t="str">
        <f ca="1" t="shared" si="350"/>
        <v>400023|2850|;</v>
      </c>
      <c r="AK2093" s="205">
        <f ca="1">OFFSET([1]item_type!$A$1,MATCH(Q2093,[1]item_type!$G:$G,0)-1,0)</f>
        <v>303402</v>
      </c>
      <c r="AL2093" s="205"/>
      <c r="AM2093" s="205">
        <f ca="1">IF(B2093=B2094,OFFSET(卡牌辅助配置表!$AE$1,MATCH(AB2093,卡牌辅助配置表!AB:AB,0),0),0)</f>
        <v>2850</v>
      </c>
      <c r="AN2093" s="153">
        <f ca="1" t="shared" ref="AN2093:AN2097" si="356">IF(B2093=B2094,A2093+1,0)</f>
        <v>3402008</v>
      </c>
      <c r="AP2093" s="153" t="str">
        <f ca="1">IF(AC2093=0,0,IF(AC2093=12,0,OFFSET(effect!$N$1,MATCH(K2093,effect!M:M,0)-1,0)))</f>
        <v>kpsx_pt</v>
      </c>
    </row>
    <row r="2094" spans="1:42">
      <c r="A2094" s="153">
        <f ca="1" t="shared" si="346"/>
        <v>3402008</v>
      </c>
      <c r="B2094" s="299" t="s">
        <v>912</v>
      </c>
      <c r="C2094" s="186">
        <v>3</v>
      </c>
      <c r="D2094" s="186">
        <v>3</v>
      </c>
      <c r="E2094" s="165" t="s">
        <v>1069</v>
      </c>
      <c r="F2094" s="165" t="str">
        <f>"若敌人处在冰冻中，伤害增加"&amp;skill!$O$143/100&amp;"%"</f>
        <v>若敌人处在冰冻中，伤害增加35%</v>
      </c>
      <c r="G2094" s="186">
        <v>-3</v>
      </c>
      <c r="H2094" s="186">
        <f ca="1" t="shared" si="351"/>
        <v>0</v>
      </c>
      <c r="I2094" s="186"/>
      <c r="J2094" s="186">
        <f ca="1">OFFSET(card_type!$F$1,MATCH(Q2094,card_type!A:A,0)-1,0)</f>
        <v>4</v>
      </c>
      <c r="K2094" s="243">
        <f ca="1">OFFSET(card_type!$G$1,MATCH(Q2094,card_type!A:A,0)-1,0)</f>
        <v>2</v>
      </c>
      <c r="L2094" s="157">
        <v>2</v>
      </c>
      <c r="M2094" s="157">
        <v>2</v>
      </c>
      <c r="N2094" s="153">
        <f t="shared" si="347"/>
        <v>8</v>
      </c>
      <c r="O2094" s="157"/>
      <c r="P2094" s="157"/>
      <c r="Q2094" s="153">
        <f ca="1">OFFSET(card_type!$A$1,MATCH(card!B2094,card_type!B:B,0)-1,0)</f>
        <v>3402</v>
      </c>
      <c r="R2094" s="153">
        <v>1</v>
      </c>
      <c r="S2094" s="157">
        <f ca="1">ROUND(IF(R2094=0,0,IF(R2094=1,X2094*$S$1,IF(R2094=2,X2094*$S$1*buff的资质计算!$E$2,IF(R2094=3,X2094*$S$1*buff的资质计算!$E$3,0)))),0)*0</f>
        <v>0</v>
      </c>
      <c r="T2094" s="153">
        <v>3</v>
      </c>
      <c r="U2094" s="153">
        <f ca="1" t="shared" si="348"/>
        <v>42</v>
      </c>
      <c r="V2094" s="153">
        <f ca="1">ROUND((OFFSET(卡牌辅助配置表!$O$1,MATCH(U2094,卡牌辅助配置表!M:M,0)-1,0)+(N2094-1)*OFFSET(卡牌辅助配置表!$P$1,MATCH(U2094,卡牌辅助配置表!M:M,0)-1,0))*M2094,2)</f>
        <v>95.35</v>
      </c>
      <c r="W2094" s="157">
        <f ca="1">ROUND(IF(R2094=0,0,IF(R2094=1,X2094*$W$1,IF(R2094=2,X2094*$W$1*buff的资质计算!$E$2,IF(R2094=3,X2094*$W$1*buff的资质计算!$E$3,0)))),2)</f>
        <v>14.55</v>
      </c>
      <c r="X2094" s="157">
        <f ca="1" t="shared" si="343"/>
        <v>48.5</v>
      </c>
      <c r="Y2094" s="157">
        <f ca="1" t="shared" si="352"/>
        <v>48.5</v>
      </c>
      <c r="Z2094" s="304">
        <f ca="1" t="shared" si="344"/>
        <v>24.25</v>
      </c>
      <c r="AA2094" s="304">
        <f ca="1">OFFSET(卡牌辅助配置表!$AD$1,MATCH(AB2094,卡牌辅助配置表!AB:AB,0)-1,0)</f>
        <v>3680</v>
      </c>
      <c r="AB2094" s="304">
        <f ca="1" t="shared" si="349"/>
        <v>4208</v>
      </c>
      <c r="AC2094" s="153">
        <v>7</v>
      </c>
      <c r="AD2094" s="153">
        <v>2</v>
      </c>
      <c r="AE2094" s="153">
        <v>1</v>
      </c>
      <c r="AF2094" s="153" t="str">
        <f ca="1" t="shared" si="342"/>
        <v>34020011|</v>
      </c>
      <c r="AI2094" s="153">
        <v>1</v>
      </c>
      <c r="AJ2094" s="205">
        <f ca="1" t="shared" si="350"/>
        <v>0</v>
      </c>
      <c r="AK2094" s="205">
        <f ca="1">OFFSET([1]item_type!$A$1,MATCH(Q2094,[1]item_type!$G:$G,0)-1,0)</f>
        <v>303402</v>
      </c>
      <c r="AL2094" s="205"/>
      <c r="AM2094" s="205">
        <f ca="1">IF(B2094=B2095,OFFSET(卡牌辅助配置表!$AE$1,MATCH(AB2094,卡牌辅助配置表!AB:AB,0),0),0)</f>
        <v>3150</v>
      </c>
      <c r="AN2094" s="153">
        <f ca="1" t="shared" si="355"/>
        <v>0</v>
      </c>
      <c r="AP2094" s="153" t="str">
        <f ca="1">IF(AC2094=0,0,IF(AC2094=12,0,OFFSET(effect!$N$1,MATCH(K2094,effect!M:M,0)-1,0)))</f>
        <v>kpsx_pt</v>
      </c>
    </row>
    <row r="2095" spans="1:42">
      <c r="A2095" s="153">
        <f ca="1" t="shared" si="346"/>
        <v>3402009</v>
      </c>
      <c r="B2095" s="299" t="s">
        <v>912</v>
      </c>
      <c r="C2095" s="186">
        <v>3</v>
      </c>
      <c r="D2095" s="186">
        <v>3</v>
      </c>
      <c r="E2095" s="165" t="s">
        <v>1069</v>
      </c>
      <c r="F2095" s="165" t="str">
        <f>"若敌人处在冰冻中，伤害增加"&amp;skill!$O$143/100&amp;"%"</f>
        <v>若敌人处在冰冻中，伤害增加35%</v>
      </c>
      <c r="G2095" s="186">
        <v>-3</v>
      </c>
      <c r="H2095" s="186">
        <f ca="1" t="shared" si="351"/>
        <v>0</v>
      </c>
      <c r="I2095" s="186"/>
      <c r="J2095" s="186">
        <f ca="1">OFFSET(card_type!$F$1,MATCH(Q2095,card_type!A:A,0)-1,0)</f>
        <v>4</v>
      </c>
      <c r="K2095" s="243">
        <f ca="1">OFFSET(card_type!$G$1,MATCH(Q2095,card_type!A:A,0)-1,0)</f>
        <v>2</v>
      </c>
      <c r="L2095" s="157">
        <v>2</v>
      </c>
      <c r="M2095" s="157">
        <v>2</v>
      </c>
      <c r="N2095" s="153">
        <f t="shared" si="347"/>
        <v>9</v>
      </c>
      <c r="O2095" s="157"/>
      <c r="P2095" s="157"/>
      <c r="Q2095" s="153">
        <f ca="1">OFFSET(card_type!$A$1,MATCH(card!B2095,card_type!B:B,0)-1,0)</f>
        <v>3402</v>
      </c>
      <c r="R2095" s="153">
        <v>1</v>
      </c>
      <c r="S2095" s="157">
        <f ca="1">ROUND(IF(R2095=0,0,IF(R2095=1,X2095*$S$1,IF(R2095=2,X2095*$S$1*buff的资质计算!$E$2,IF(R2095=3,X2095*$S$1*buff的资质计算!$E$3,0)))),0)*0</f>
        <v>0</v>
      </c>
      <c r="T2095" s="153">
        <v>3</v>
      </c>
      <c r="U2095" s="153">
        <f ca="1" t="shared" si="348"/>
        <v>42</v>
      </c>
      <c r="V2095" s="153">
        <f ca="1">ROUND((OFFSET(卡牌辅助配置表!$O$1,MATCH(U2095,卡牌辅助配置表!M:M,0)-1,0)+(N2095-1)*OFFSET(卡牌辅助配置表!$P$1,MATCH(U2095,卡牌辅助配置表!M:M,0)-1,0))*M2095,2)</f>
        <v>102.65</v>
      </c>
      <c r="W2095" s="157">
        <f ca="1">ROUND(IF(R2095=0,0,IF(R2095=1,X2095*$W$1,IF(R2095=2,X2095*$W$1*buff的资质计算!$E$2,IF(R2095=3,X2095*$W$1*buff的资质计算!$E$3,0)))),2)</f>
        <v>14.7</v>
      </c>
      <c r="X2095" s="157">
        <f ca="1" t="shared" si="343"/>
        <v>49</v>
      </c>
      <c r="Y2095" s="157">
        <f ca="1" t="shared" si="352"/>
        <v>49</v>
      </c>
      <c r="Z2095" s="304">
        <f ca="1" t="shared" si="344"/>
        <v>24.5</v>
      </c>
      <c r="AA2095" s="304">
        <f ca="1">OFFSET(卡牌辅助配置表!$AD$1,MATCH(AB2095,卡牌辅助配置表!AB:AB,0)-1,0)</f>
        <v>4140</v>
      </c>
      <c r="AB2095" s="304">
        <f ca="1" t="shared" si="349"/>
        <v>4209</v>
      </c>
      <c r="AC2095" s="153">
        <v>7</v>
      </c>
      <c r="AD2095" s="153">
        <v>2</v>
      </c>
      <c r="AE2095" s="153">
        <v>1</v>
      </c>
      <c r="AF2095" s="153" t="str">
        <f ca="1" t="shared" si="342"/>
        <v>34020011|</v>
      </c>
      <c r="AI2095" s="153">
        <v>1</v>
      </c>
      <c r="AJ2095" s="205" t="str">
        <f ca="1" t="shared" si="350"/>
        <v>303402|15|;400023|3450|;</v>
      </c>
      <c r="AK2095" s="205">
        <f ca="1">OFFSET([1]item_type!$A$1,MATCH(Q2095,[1]item_type!$G:$G,0)-1,0)</f>
        <v>303402</v>
      </c>
      <c r="AL2095" s="205">
        <v>15</v>
      </c>
      <c r="AM2095" s="205">
        <f ca="1">IF(B2095=B2096,OFFSET(卡牌辅助配置表!$AE$1,MATCH(AB2095,卡牌辅助配置表!AB:AB,0),0),0)</f>
        <v>3450</v>
      </c>
      <c r="AN2095" s="153">
        <f ca="1" t="shared" si="356"/>
        <v>3402010</v>
      </c>
      <c r="AP2095" s="153" t="str">
        <f ca="1">IF(AC2095=0,0,IF(AC2095=12,0,OFFSET(effect!$N$1,MATCH(K2095,effect!M:M,0)-1,0)))</f>
        <v>kpsx_pt</v>
      </c>
    </row>
    <row r="2096" spans="1:42">
      <c r="A2096" s="153">
        <f ca="1" t="shared" si="346"/>
        <v>3402010</v>
      </c>
      <c r="B2096" s="299" t="s">
        <v>912</v>
      </c>
      <c r="C2096" s="186">
        <v>3</v>
      </c>
      <c r="D2096" s="186">
        <v>3</v>
      </c>
      <c r="E2096" s="165" t="s">
        <v>1069</v>
      </c>
      <c r="F2096" s="165" t="str">
        <f>"若敌人处在冰冻中，伤害增加"&amp;skill!$O$143/100&amp;"%"</f>
        <v>若敌人处在冰冻中，伤害增加35%</v>
      </c>
      <c r="G2096" s="186">
        <v>-3</v>
      </c>
      <c r="H2096" s="186">
        <f ca="1" t="shared" si="351"/>
        <v>0</v>
      </c>
      <c r="I2096" s="186"/>
      <c r="J2096" s="186">
        <f ca="1">OFFSET(card_type!$F$1,MATCH(Q2096,card_type!A:A,0)-1,0)</f>
        <v>4</v>
      </c>
      <c r="K2096" s="243">
        <f ca="1">OFFSET(card_type!$G$1,MATCH(Q2096,card_type!A:A,0)-1,0)</f>
        <v>2</v>
      </c>
      <c r="L2096" s="157">
        <v>2</v>
      </c>
      <c r="M2096" s="157">
        <v>2</v>
      </c>
      <c r="N2096" s="153">
        <f t="shared" si="347"/>
        <v>10</v>
      </c>
      <c r="O2096" s="157"/>
      <c r="P2096" s="157"/>
      <c r="Q2096" s="153">
        <f ca="1">OFFSET(card_type!$A$1,MATCH(card!B2096,card_type!B:B,0)-1,0)</f>
        <v>3402</v>
      </c>
      <c r="R2096" s="153">
        <v>1</v>
      </c>
      <c r="S2096" s="157">
        <f ca="1">ROUND(IF(R2096=0,0,IF(R2096=1,X2096*$S$1,IF(R2096=2,X2096*$S$1*buff的资质计算!$E$2,IF(R2096=3,X2096*$S$1*buff的资质计算!$E$3,0)))),0)*0</f>
        <v>0</v>
      </c>
      <c r="T2096" s="153">
        <v>3</v>
      </c>
      <c r="U2096" s="153">
        <f ca="1" t="shared" si="348"/>
        <v>42</v>
      </c>
      <c r="V2096" s="153">
        <f ca="1">ROUND((OFFSET(卡牌辅助配置表!$O$1,MATCH(U2096,卡牌辅助配置表!M:M,0)-1,0)+(N2096-1)*OFFSET(卡牌辅助配置表!$P$1,MATCH(U2096,卡牌辅助配置表!M:M,0)-1,0))*M2096,2)</f>
        <v>109.95</v>
      </c>
      <c r="W2096" s="157">
        <f ca="1">ROUND(IF(R2096=0,0,IF(R2096=1,X2096*$W$1,IF(R2096=2,X2096*$W$1*buff的资质计算!$E$2,IF(R2096=3,X2096*$W$1*buff的资质计算!$E$3,0)))),2)</f>
        <v>14.85</v>
      </c>
      <c r="X2096" s="157">
        <f ca="1" t="shared" si="343"/>
        <v>49.5</v>
      </c>
      <c r="Y2096" s="157">
        <f ca="1" t="shared" si="352"/>
        <v>49.5</v>
      </c>
      <c r="Z2096" s="304">
        <f ca="1" t="shared" si="344"/>
        <v>24.75</v>
      </c>
      <c r="AA2096" s="304">
        <f ca="1">OFFSET(卡牌辅助配置表!$AD$1,MATCH(AB2096,卡牌辅助配置表!AB:AB,0)-1,0)</f>
        <v>4600</v>
      </c>
      <c r="AB2096" s="304">
        <f ca="1" t="shared" si="349"/>
        <v>4210</v>
      </c>
      <c r="AC2096" s="153">
        <v>7</v>
      </c>
      <c r="AD2096" s="153">
        <v>2</v>
      </c>
      <c r="AE2096" s="153">
        <v>1</v>
      </c>
      <c r="AF2096" s="153" t="str">
        <f ca="1" t="shared" si="342"/>
        <v>34020011|</v>
      </c>
      <c r="AI2096" s="153">
        <v>1</v>
      </c>
      <c r="AJ2096" s="205">
        <f ca="1" t="shared" si="350"/>
        <v>0</v>
      </c>
      <c r="AK2096" s="205">
        <f ca="1">OFFSET([1]item_type!$A$1,MATCH(Q2096,[1]item_type!$G:$G,0)-1,0)</f>
        <v>303402</v>
      </c>
      <c r="AL2096" s="205"/>
      <c r="AM2096" s="205">
        <f ca="1">IF(B2096=B2097,OFFSET(卡牌辅助配置表!$AE$1,MATCH(AB2096,卡牌辅助配置表!AB:AB,0),0),0)</f>
        <v>4050</v>
      </c>
      <c r="AN2096" s="153">
        <f ca="1" t="shared" si="355"/>
        <v>0</v>
      </c>
      <c r="AP2096" s="153" t="str">
        <f ca="1">IF(AC2096=0,0,IF(AC2096=12,0,OFFSET(effect!$N$1,MATCH(K2096,effect!M:M,0)-1,0)))</f>
        <v>kpsx_pt</v>
      </c>
    </row>
    <row r="2097" spans="1:42">
      <c r="A2097" s="153">
        <f ca="1" t="shared" si="346"/>
        <v>3402011</v>
      </c>
      <c r="B2097" s="299" t="s">
        <v>912</v>
      </c>
      <c r="C2097" s="186">
        <v>3</v>
      </c>
      <c r="D2097" s="186">
        <v>3</v>
      </c>
      <c r="E2097" s="165" t="s">
        <v>1069</v>
      </c>
      <c r="F2097" s="165" t="str">
        <f>"若敌人处在冰冻中，伤害增加"&amp;skill!$O$143/100&amp;"%"</f>
        <v>若敌人处在冰冻中，伤害增加35%</v>
      </c>
      <c r="G2097" s="186">
        <v>-3</v>
      </c>
      <c r="H2097" s="186">
        <f ca="1" t="shared" si="351"/>
        <v>0</v>
      </c>
      <c r="I2097" s="186"/>
      <c r="J2097" s="186">
        <f ca="1">OFFSET(card_type!$F$1,MATCH(Q2097,card_type!A:A,0)-1,0)</f>
        <v>4</v>
      </c>
      <c r="K2097" s="243">
        <f ca="1">OFFSET(card_type!$G$1,MATCH(Q2097,card_type!A:A,0)-1,0)</f>
        <v>2</v>
      </c>
      <c r="L2097" s="157">
        <v>2</v>
      </c>
      <c r="M2097" s="157">
        <v>2</v>
      </c>
      <c r="N2097" s="153">
        <f t="shared" si="347"/>
        <v>11</v>
      </c>
      <c r="O2097" s="157"/>
      <c r="P2097" s="157"/>
      <c r="Q2097" s="153">
        <f ca="1">OFFSET(card_type!$A$1,MATCH(card!B2097,card_type!B:B,0)-1,0)</f>
        <v>3402</v>
      </c>
      <c r="R2097" s="153">
        <v>1</v>
      </c>
      <c r="S2097" s="157">
        <f ca="1">ROUND(IF(R2097=0,0,IF(R2097=1,X2097*$S$1,IF(R2097=2,X2097*$S$1*buff的资质计算!$E$2,IF(R2097=3,X2097*$S$1*buff的资质计算!$E$3,0)))),0)*0</f>
        <v>0</v>
      </c>
      <c r="T2097" s="153">
        <v>3</v>
      </c>
      <c r="U2097" s="153">
        <f ca="1" t="shared" si="348"/>
        <v>42</v>
      </c>
      <c r="V2097" s="153">
        <f ca="1">ROUND((OFFSET(卡牌辅助配置表!$O$1,MATCH(U2097,卡牌辅助配置表!M:M,0)-1,0)+(N2097-1)*OFFSET(卡牌辅助配置表!$P$1,MATCH(U2097,卡牌辅助配置表!M:M,0)-1,0))*M2097,2)</f>
        <v>117.25</v>
      </c>
      <c r="W2097" s="157">
        <f ca="1">ROUND(IF(R2097=0,0,IF(R2097=1,X2097*$W$1,IF(R2097=2,X2097*$W$1*buff的资质计算!$E$2,IF(R2097=3,X2097*$W$1*buff的资质计算!$E$3,0)))),2)</f>
        <v>15</v>
      </c>
      <c r="X2097" s="157">
        <f ca="1" t="shared" si="343"/>
        <v>50</v>
      </c>
      <c r="Y2097" s="157">
        <f ca="1" t="shared" si="352"/>
        <v>50</v>
      </c>
      <c r="Z2097" s="304">
        <f ca="1" t="shared" si="344"/>
        <v>25</v>
      </c>
      <c r="AA2097" s="304">
        <f ca="1">OFFSET(卡牌辅助配置表!$AD$1,MATCH(AB2097,卡牌辅助配置表!AB:AB,0)-1,0)</f>
        <v>5290</v>
      </c>
      <c r="AB2097" s="304">
        <f ca="1" t="shared" si="349"/>
        <v>4211</v>
      </c>
      <c r="AC2097" s="153">
        <v>7</v>
      </c>
      <c r="AD2097" s="153">
        <v>2</v>
      </c>
      <c r="AE2097" s="153">
        <v>1</v>
      </c>
      <c r="AF2097" s="153" t="str">
        <f ca="1" t="shared" si="342"/>
        <v>34020011|</v>
      </c>
      <c r="AI2097" s="153">
        <v>1</v>
      </c>
      <c r="AJ2097" s="205" t="str">
        <f ca="1" t="shared" si="350"/>
        <v>400023|4650|;</v>
      </c>
      <c r="AK2097" s="205">
        <f ca="1">OFFSET([1]item_type!$A$1,MATCH(Q2097,[1]item_type!$G:$G,0)-1,0)</f>
        <v>303402</v>
      </c>
      <c r="AL2097" s="205"/>
      <c r="AM2097" s="205">
        <f ca="1">IF(B2097=B2098,OFFSET(卡牌辅助配置表!$AE$1,MATCH(AB2097,卡牌辅助配置表!AB:AB,0),0),0)</f>
        <v>4650</v>
      </c>
      <c r="AN2097" s="153">
        <f ca="1" t="shared" si="356"/>
        <v>3402012</v>
      </c>
      <c r="AP2097" s="153" t="str">
        <f ca="1">IF(AC2097=0,0,IF(AC2097=12,0,OFFSET(effect!$N$1,MATCH(K2097,effect!M:M,0)-1,0)))</f>
        <v>kpsx_pt</v>
      </c>
    </row>
    <row r="2098" spans="1:42">
      <c r="A2098" s="153">
        <f ca="1" t="shared" si="346"/>
        <v>3402012</v>
      </c>
      <c r="B2098" s="299" t="s">
        <v>912</v>
      </c>
      <c r="C2098" s="186">
        <v>3</v>
      </c>
      <c r="D2098" s="186">
        <v>3</v>
      </c>
      <c r="E2098" s="165" t="s">
        <v>1069</v>
      </c>
      <c r="F2098" s="165" t="str">
        <f>"若敌人处在冰冻中，伤害增加"&amp;skill!$O$143/100&amp;"%"</f>
        <v>若敌人处在冰冻中，伤害增加35%</v>
      </c>
      <c r="G2098" s="186">
        <v>-3</v>
      </c>
      <c r="H2098" s="186">
        <f ca="1" t="shared" si="351"/>
        <v>0</v>
      </c>
      <c r="I2098" s="186"/>
      <c r="J2098" s="186">
        <f ca="1">OFFSET(card_type!$F$1,MATCH(Q2098,card_type!A:A,0)-1,0)</f>
        <v>4</v>
      </c>
      <c r="K2098" s="243">
        <f ca="1">OFFSET(card_type!$G$1,MATCH(Q2098,card_type!A:A,0)-1,0)</f>
        <v>2</v>
      </c>
      <c r="L2098" s="157">
        <v>2</v>
      </c>
      <c r="M2098" s="157">
        <v>2</v>
      </c>
      <c r="N2098" s="153">
        <f t="shared" si="347"/>
        <v>12</v>
      </c>
      <c r="O2098" s="157"/>
      <c r="P2098" s="157"/>
      <c r="Q2098" s="153">
        <f ca="1">OFFSET(card_type!$A$1,MATCH(card!B2098,card_type!B:B,0)-1,0)</f>
        <v>3402</v>
      </c>
      <c r="R2098" s="153">
        <v>1</v>
      </c>
      <c r="S2098" s="157">
        <f ca="1">ROUND(IF(R2098=0,0,IF(R2098=1,X2098*$S$1,IF(R2098=2,X2098*$S$1*buff的资质计算!$E$2,IF(R2098=3,X2098*$S$1*buff的资质计算!$E$3,0)))),0)*0</f>
        <v>0</v>
      </c>
      <c r="T2098" s="153">
        <v>3</v>
      </c>
      <c r="U2098" s="153">
        <f ca="1" t="shared" si="348"/>
        <v>42</v>
      </c>
      <c r="V2098" s="153">
        <f ca="1">ROUND((OFFSET(卡牌辅助配置表!$O$1,MATCH(U2098,卡牌辅助配置表!M:M,0)-1,0)+(N2098-1)*OFFSET(卡牌辅助配置表!$P$1,MATCH(U2098,卡牌辅助配置表!M:M,0)-1,0))*M2098,2)</f>
        <v>124.55</v>
      </c>
      <c r="W2098" s="157">
        <f ca="1">ROUND(IF(R2098=0,0,IF(R2098=1,X2098*$W$1,IF(R2098=2,X2098*$W$1*buff的资质计算!$E$2,IF(R2098=3,X2098*$W$1*buff的资质计算!$E$3,0)))),2)</f>
        <v>15.15</v>
      </c>
      <c r="X2098" s="157">
        <f ca="1" t="shared" si="343"/>
        <v>50.5</v>
      </c>
      <c r="Y2098" s="157">
        <f ca="1" t="shared" si="352"/>
        <v>50.5</v>
      </c>
      <c r="Z2098" s="304">
        <f ca="1" t="shared" si="344"/>
        <v>25.25</v>
      </c>
      <c r="AA2098" s="304">
        <f ca="1">OFFSET(卡牌辅助配置表!$AD$1,MATCH(AB2098,卡牌辅助配置表!AB:AB,0)-1,0)</f>
        <v>5980</v>
      </c>
      <c r="AB2098" s="304">
        <f ca="1" t="shared" si="349"/>
        <v>4212</v>
      </c>
      <c r="AC2098" s="153">
        <v>7</v>
      </c>
      <c r="AD2098" s="153">
        <v>2</v>
      </c>
      <c r="AE2098" s="153">
        <v>1</v>
      </c>
      <c r="AF2098" s="153" t="str">
        <f ca="1" t="shared" si="342"/>
        <v>34020011|</v>
      </c>
      <c r="AI2098" s="153">
        <v>1</v>
      </c>
      <c r="AJ2098" s="205">
        <f ca="1" t="shared" si="350"/>
        <v>0</v>
      </c>
      <c r="AK2098" s="205">
        <f ca="1">OFFSET([1]item_type!$A$1,MATCH(Q2098,[1]item_type!$G:$G,0)-1,0)</f>
        <v>303402</v>
      </c>
      <c r="AL2098" s="205"/>
      <c r="AM2098" s="205">
        <f ca="1">IF(B2098=B2099,OFFSET(卡牌辅助配置表!$AE$1,MATCH(AB2098,卡牌辅助配置表!AB:AB,0),0),0)</f>
        <v>5250</v>
      </c>
      <c r="AN2098" s="153">
        <f ca="1" t="shared" ref="AN2098:AN2102" si="357">IF(B2098=B2159,A2098+1,0)</f>
        <v>0</v>
      </c>
      <c r="AP2098" s="153" t="str">
        <f ca="1">IF(AC2098=0,0,IF(AC2098=12,0,OFFSET(effect!$N$1,MATCH(K2098,effect!M:M,0)-1,0)))</f>
        <v>kpsx_pt</v>
      </c>
    </row>
    <row r="2099" spans="1:42">
      <c r="A2099" s="153">
        <f ca="1" t="shared" si="346"/>
        <v>3402013</v>
      </c>
      <c r="B2099" s="299" t="s">
        <v>912</v>
      </c>
      <c r="C2099" s="186">
        <v>3</v>
      </c>
      <c r="D2099" s="186">
        <v>3</v>
      </c>
      <c r="E2099" s="165" t="s">
        <v>1069</v>
      </c>
      <c r="F2099" s="165" t="str">
        <f>"若敌人处在冰冻中，伤害增加"&amp;skill!$O$143/100&amp;"%"</f>
        <v>若敌人处在冰冻中，伤害增加35%</v>
      </c>
      <c r="G2099" s="186">
        <v>-3</v>
      </c>
      <c r="H2099" s="186">
        <f ca="1" t="shared" si="351"/>
        <v>0</v>
      </c>
      <c r="I2099" s="186"/>
      <c r="J2099" s="186">
        <f ca="1">OFFSET(card_type!$F$1,MATCH(Q2099,card_type!A:A,0)-1,0)</f>
        <v>4</v>
      </c>
      <c r="K2099" s="243">
        <f ca="1">OFFSET(card_type!$G$1,MATCH(Q2099,card_type!A:A,0)-1,0)</f>
        <v>2</v>
      </c>
      <c r="L2099" s="157">
        <v>2</v>
      </c>
      <c r="M2099" s="157">
        <v>2</v>
      </c>
      <c r="N2099" s="153">
        <f t="shared" si="347"/>
        <v>13</v>
      </c>
      <c r="O2099" s="157"/>
      <c r="P2099" s="157"/>
      <c r="Q2099" s="153">
        <f ca="1">OFFSET(card_type!$A$1,MATCH(card!B2099,card_type!B:B,0)-1,0)</f>
        <v>3402</v>
      </c>
      <c r="R2099" s="153">
        <v>1</v>
      </c>
      <c r="S2099" s="157">
        <f ca="1">ROUND(IF(R2099=0,0,IF(R2099=1,X2099*$S$1,IF(R2099=2,X2099*$S$1*buff的资质计算!$E$2,IF(R2099=3,X2099*$S$1*buff的资质计算!$E$3,0)))),0)*0</f>
        <v>0</v>
      </c>
      <c r="T2099" s="153">
        <v>3</v>
      </c>
      <c r="U2099" s="153">
        <f ca="1" t="shared" si="348"/>
        <v>42</v>
      </c>
      <c r="V2099" s="153">
        <f ca="1">ROUND((OFFSET(卡牌辅助配置表!$O$1,MATCH(U2099,卡牌辅助配置表!M:M,0)-1,0)+(N2099-1)*OFFSET(卡牌辅助配置表!$P$1,MATCH(U2099,卡牌辅助配置表!M:M,0)-1,0))*M2099,2)</f>
        <v>131.85</v>
      </c>
      <c r="W2099" s="157">
        <f ca="1">ROUND(IF(R2099=0,0,IF(R2099=1,X2099*$W$1,IF(R2099=2,X2099*$W$1*buff的资质计算!$E$2,IF(R2099=3,X2099*$W$1*buff的资质计算!$E$3,0)))),2)</f>
        <v>15.3</v>
      </c>
      <c r="X2099" s="157">
        <f ca="1" t="shared" si="343"/>
        <v>51</v>
      </c>
      <c r="Y2099" s="157">
        <f ca="1" t="shared" si="352"/>
        <v>51</v>
      </c>
      <c r="Z2099" s="304">
        <f ca="1" t="shared" si="344"/>
        <v>25.5</v>
      </c>
      <c r="AA2099" s="304">
        <f ca="1">OFFSET(卡牌辅助配置表!$AD$1,MATCH(AB2099,卡牌辅助配置表!AB:AB,0)-1,0)</f>
        <v>6670</v>
      </c>
      <c r="AB2099" s="304">
        <f ca="1" t="shared" si="349"/>
        <v>4213</v>
      </c>
      <c r="AC2099" s="153">
        <v>7</v>
      </c>
      <c r="AD2099" s="153">
        <v>2</v>
      </c>
      <c r="AE2099" s="153">
        <v>1</v>
      </c>
      <c r="AF2099" s="153" t="str">
        <f ca="1" t="shared" ref="AF2099:AF2162" si="358">((Q2099*1000+1)*10+1)&amp;$AF$1</f>
        <v>34020011|</v>
      </c>
      <c r="AI2099" s="153">
        <v>1</v>
      </c>
      <c r="AJ2099" s="205" t="str">
        <f ca="1" t="shared" si="350"/>
        <v>400023|5850|;</v>
      </c>
      <c r="AK2099" s="205">
        <f ca="1">OFFSET([1]item_type!$A$1,MATCH(Q2099,[1]item_type!$G:$G,0)-1,0)</f>
        <v>303402</v>
      </c>
      <c r="AL2099" s="205"/>
      <c r="AM2099" s="205">
        <f ca="1">IF(B2099=B2100,OFFSET(卡牌辅助配置表!$AE$1,MATCH(AB2099,卡牌辅助配置表!AB:AB,0),0),0)</f>
        <v>5850</v>
      </c>
      <c r="AN2099" s="153">
        <f ca="1" t="shared" ref="AN2099:AN2103" si="359">IF(B2099=B2100,A2099+1,0)</f>
        <v>3402014</v>
      </c>
      <c r="AP2099" s="153" t="str">
        <f ca="1">IF(AC2099=0,0,IF(AC2099=12,0,OFFSET(effect!$N$1,MATCH(K2099,effect!M:M,0)-1,0)))</f>
        <v>kpsx_pt</v>
      </c>
    </row>
    <row r="2100" spans="1:42">
      <c r="A2100" s="153">
        <f ca="1" t="shared" si="346"/>
        <v>3402014</v>
      </c>
      <c r="B2100" s="299" t="s">
        <v>912</v>
      </c>
      <c r="C2100" s="186">
        <v>3</v>
      </c>
      <c r="D2100" s="186">
        <v>3</v>
      </c>
      <c r="E2100" s="165" t="s">
        <v>1069</v>
      </c>
      <c r="F2100" s="165" t="str">
        <f>"若敌人处在冰冻中，伤害增加"&amp;skill!$O$143/100&amp;"%"</f>
        <v>若敌人处在冰冻中，伤害增加35%</v>
      </c>
      <c r="G2100" s="186">
        <v>-3</v>
      </c>
      <c r="H2100" s="186">
        <f ca="1" t="shared" si="351"/>
        <v>0</v>
      </c>
      <c r="I2100" s="186"/>
      <c r="J2100" s="186">
        <f ca="1">OFFSET(card_type!$F$1,MATCH(Q2100,card_type!A:A,0)-1,0)</f>
        <v>4</v>
      </c>
      <c r="K2100" s="243">
        <f ca="1">OFFSET(card_type!$G$1,MATCH(Q2100,card_type!A:A,0)-1,0)</f>
        <v>2</v>
      </c>
      <c r="L2100" s="157">
        <v>2</v>
      </c>
      <c r="M2100" s="157">
        <v>2</v>
      </c>
      <c r="N2100" s="153">
        <f t="shared" si="347"/>
        <v>14</v>
      </c>
      <c r="O2100" s="157"/>
      <c r="P2100" s="157"/>
      <c r="Q2100" s="153">
        <f ca="1">OFFSET(card_type!$A$1,MATCH(card!B2100,card_type!B:B,0)-1,0)</f>
        <v>3402</v>
      </c>
      <c r="R2100" s="153">
        <v>1</v>
      </c>
      <c r="S2100" s="157">
        <f ca="1">ROUND(IF(R2100=0,0,IF(R2100=1,X2100*$S$1,IF(R2100=2,X2100*$S$1*buff的资质计算!$E$2,IF(R2100=3,X2100*$S$1*buff的资质计算!$E$3,0)))),0)*0</f>
        <v>0</v>
      </c>
      <c r="T2100" s="153">
        <v>3</v>
      </c>
      <c r="U2100" s="153">
        <f ca="1" t="shared" si="348"/>
        <v>42</v>
      </c>
      <c r="V2100" s="153">
        <f ca="1">ROUND((OFFSET(卡牌辅助配置表!$O$1,MATCH(U2100,卡牌辅助配置表!M:M,0)-1,0)+(N2100-1)*OFFSET(卡牌辅助配置表!$P$1,MATCH(U2100,卡牌辅助配置表!M:M,0)-1,0))*M2100,2)</f>
        <v>139.15</v>
      </c>
      <c r="W2100" s="157">
        <f ca="1">ROUND(IF(R2100=0,0,IF(R2100=1,X2100*$W$1,IF(R2100=2,X2100*$W$1*buff的资质计算!$E$2,IF(R2100=3,X2100*$W$1*buff的资质计算!$E$3,0)))),2)</f>
        <v>15.45</v>
      </c>
      <c r="X2100" s="157">
        <f ca="1" t="shared" ref="X2100:X2163" si="360">M2100*($M$1+(J2100-1)*$J$1+(K2100-1)*$K$1)+G2100+$J$1*(N2100-1)/$N$1</f>
        <v>51.5</v>
      </c>
      <c r="Y2100" s="157">
        <f ca="1" t="shared" si="352"/>
        <v>51.5</v>
      </c>
      <c r="Z2100" s="304">
        <f ca="1" t="shared" ref="Z2100:Z2163" si="361">Y2100/M2100</f>
        <v>25.75</v>
      </c>
      <c r="AA2100" s="304">
        <f ca="1">OFFSET(卡牌辅助配置表!$AD$1,MATCH(AB2100,卡牌辅助配置表!AB:AB,0)-1,0)</f>
        <v>7360</v>
      </c>
      <c r="AB2100" s="304">
        <f ca="1" t="shared" si="349"/>
        <v>4214</v>
      </c>
      <c r="AC2100" s="153">
        <v>7</v>
      </c>
      <c r="AD2100" s="153">
        <v>2</v>
      </c>
      <c r="AE2100" s="153">
        <v>1</v>
      </c>
      <c r="AF2100" s="153" t="str">
        <f ca="1" t="shared" si="358"/>
        <v>34020011|</v>
      </c>
      <c r="AI2100" s="153">
        <v>1</v>
      </c>
      <c r="AJ2100" s="205">
        <f ca="1" t="shared" si="350"/>
        <v>0</v>
      </c>
      <c r="AK2100" s="205">
        <f ca="1">OFFSET([1]item_type!$A$1,MATCH(Q2100,[1]item_type!$G:$G,0)-1,0)</f>
        <v>303402</v>
      </c>
      <c r="AL2100" s="205"/>
      <c r="AM2100" s="205">
        <f ca="1">IF(B2100=B2101,OFFSET(卡牌辅助配置表!$AE$1,MATCH(AB2100,卡牌辅助配置表!AB:AB,0),0),0)</f>
        <v>6450</v>
      </c>
      <c r="AN2100" s="153">
        <f ca="1" t="shared" si="357"/>
        <v>0</v>
      </c>
      <c r="AP2100" s="153" t="str">
        <f ca="1">IF(AC2100=0,0,IF(AC2100=12,0,OFFSET(effect!$N$1,MATCH(K2100,effect!M:M,0)-1,0)))</f>
        <v>kpsx_pt</v>
      </c>
    </row>
    <row r="2101" spans="1:42">
      <c r="A2101" s="153">
        <f ca="1" t="shared" si="346"/>
        <v>3402015</v>
      </c>
      <c r="B2101" s="299" t="s">
        <v>912</v>
      </c>
      <c r="C2101" s="186">
        <v>3</v>
      </c>
      <c r="D2101" s="186">
        <v>3</v>
      </c>
      <c r="E2101" s="165" t="s">
        <v>1069</v>
      </c>
      <c r="F2101" s="165" t="str">
        <f>"若敌人处在冰冻中，伤害增加"&amp;skill!$O$143/100&amp;"%"</f>
        <v>若敌人处在冰冻中，伤害增加35%</v>
      </c>
      <c r="G2101" s="186">
        <v>-3</v>
      </c>
      <c r="H2101" s="186">
        <f ca="1" t="shared" si="351"/>
        <v>0</v>
      </c>
      <c r="I2101" s="186"/>
      <c r="J2101" s="186">
        <f ca="1">OFFSET(card_type!$F$1,MATCH(Q2101,card_type!A:A,0)-1,0)</f>
        <v>4</v>
      </c>
      <c r="K2101" s="243">
        <f ca="1">OFFSET(card_type!$G$1,MATCH(Q2101,card_type!A:A,0)-1,0)</f>
        <v>2</v>
      </c>
      <c r="L2101" s="157">
        <v>2</v>
      </c>
      <c r="M2101" s="157">
        <v>2</v>
      </c>
      <c r="N2101" s="153">
        <f t="shared" si="347"/>
        <v>15</v>
      </c>
      <c r="O2101" s="157"/>
      <c r="P2101" s="157"/>
      <c r="Q2101" s="153">
        <f ca="1">OFFSET(card_type!$A$1,MATCH(card!B2101,card_type!B:B,0)-1,0)</f>
        <v>3402</v>
      </c>
      <c r="R2101" s="153">
        <v>1</v>
      </c>
      <c r="S2101" s="157">
        <f ca="1">ROUND(IF(R2101=0,0,IF(R2101=1,X2101*$S$1,IF(R2101=2,X2101*$S$1*buff的资质计算!$E$2,IF(R2101=3,X2101*$S$1*buff的资质计算!$E$3,0)))),0)*0</f>
        <v>0</v>
      </c>
      <c r="T2101" s="153">
        <v>3</v>
      </c>
      <c r="U2101" s="153">
        <f ca="1" t="shared" si="348"/>
        <v>42</v>
      </c>
      <c r="V2101" s="153">
        <f ca="1">ROUND((OFFSET(卡牌辅助配置表!$O$1,MATCH(U2101,卡牌辅助配置表!M:M,0)-1,0)+(N2101-1)*OFFSET(卡牌辅助配置表!$P$1,MATCH(U2101,卡牌辅助配置表!M:M,0)-1,0))*M2101,2)</f>
        <v>146.45</v>
      </c>
      <c r="W2101" s="157">
        <f ca="1">ROUND(IF(R2101=0,0,IF(R2101=1,X2101*$W$1,IF(R2101=2,X2101*$W$1*buff的资质计算!$E$2,IF(R2101=3,X2101*$W$1*buff的资质计算!$E$3,0)))),2)</f>
        <v>15.6</v>
      </c>
      <c r="X2101" s="157">
        <f ca="1" t="shared" si="360"/>
        <v>52</v>
      </c>
      <c r="Y2101" s="157">
        <f ca="1" t="shared" si="352"/>
        <v>52</v>
      </c>
      <c r="Z2101" s="304">
        <f ca="1" t="shared" si="361"/>
        <v>26</v>
      </c>
      <c r="AA2101" s="304">
        <f ca="1">OFFSET(卡牌辅助配置表!$AD$1,MATCH(AB2101,卡牌辅助配置表!AB:AB,0)-1,0)</f>
        <v>8050</v>
      </c>
      <c r="AB2101" s="304">
        <f ca="1" t="shared" si="349"/>
        <v>4215</v>
      </c>
      <c r="AC2101" s="153">
        <v>7</v>
      </c>
      <c r="AD2101" s="153">
        <v>2</v>
      </c>
      <c r="AE2101" s="153">
        <v>1</v>
      </c>
      <c r="AF2101" s="153" t="str">
        <f ca="1" t="shared" si="358"/>
        <v>34020011|</v>
      </c>
      <c r="AI2101" s="153">
        <v>1</v>
      </c>
      <c r="AJ2101" s="205" t="str">
        <f ca="1" t="shared" si="350"/>
        <v>400023|7050|;</v>
      </c>
      <c r="AK2101" s="205">
        <f ca="1">OFFSET([1]item_type!$A$1,MATCH(Q2101,[1]item_type!$G:$G,0)-1,0)</f>
        <v>303402</v>
      </c>
      <c r="AL2101" s="205"/>
      <c r="AM2101" s="205">
        <f ca="1">IF(B2101=B2102,OFFSET(卡牌辅助配置表!$AE$1,MATCH(AB2101,卡牌辅助配置表!AB:AB,0),0),0)</f>
        <v>7050</v>
      </c>
      <c r="AN2101" s="153">
        <f ca="1" t="shared" si="359"/>
        <v>3402016</v>
      </c>
      <c r="AP2101" s="153" t="str">
        <f ca="1">IF(AC2101=0,0,IF(AC2101=12,0,OFFSET(effect!$N$1,MATCH(K2101,effect!M:M,0)-1,0)))</f>
        <v>kpsx_pt</v>
      </c>
    </row>
    <row r="2102" spans="1:42">
      <c r="A2102" s="153">
        <f ca="1" t="shared" si="346"/>
        <v>3402016</v>
      </c>
      <c r="B2102" s="299" t="s">
        <v>912</v>
      </c>
      <c r="C2102" s="186">
        <v>3</v>
      </c>
      <c r="D2102" s="186">
        <v>3</v>
      </c>
      <c r="E2102" s="165" t="s">
        <v>1069</v>
      </c>
      <c r="F2102" s="165" t="str">
        <f>"若敌人处在冰冻中，伤害增加"&amp;skill!$O$143/100&amp;"%"</f>
        <v>若敌人处在冰冻中，伤害增加35%</v>
      </c>
      <c r="G2102" s="186">
        <v>-3</v>
      </c>
      <c r="H2102" s="186">
        <f ca="1" t="shared" si="351"/>
        <v>0</v>
      </c>
      <c r="I2102" s="186"/>
      <c r="J2102" s="186">
        <f ca="1">OFFSET(card_type!$F$1,MATCH(Q2102,card_type!A:A,0)-1,0)</f>
        <v>4</v>
      </c>
      <c r="K2102" s="243">
        <f ca="1">OFFSET(card_type!$G$1,MATCH(Q2102,card_type!A:A,0)-1,0)</f>
        <v>2</v>
      </c>
      <c r="L2102" s="157">
        <v>2</v>
      </c>
      <c r="M2102" s="157">
        <v>2</v>
      </c>
      <c r="N2102" s="153">
        <f t="shared" si="347"/>
        <v>16</v>
      </c>
      <c r="O2102" s="157"/>
      <c r="P2102" s="157"/>
      <c r="Q2102" s="153">
        <f ca="1">OFFSET(card_type!$A$1,MATCH(card!B2102,card_type!B:B,0)-1,0)</f>
        <v>3402</v>
      </c>
      <c r="R2102" s="153">
        <v>1</v>
      </c>
      <c r="S2102" s="157">
        <f ca="1">ROUND(IF(R2102=0,0,IF(R2102=1,X2102*$S$1,IF(R2102=2,X2102*$S$1*buff的资质计算!$E$2,IF(R2102=3,X2102*$S$1*buff的资质计算!$E$3,0)))),0)*0</f>
        <v>0</v>
      </c>
      <c r="T2102" s="153">
        <v>3</v>
      </c>
      <c r="U2102" s="153">
        <f ca="1" t="shared" si="348"/>
        <v>42</v>
      </c>
      <c r="V2102" s="153">
        <f ca="1">ROUND((OFFSET(卡牌辅助配置表!$O$1,MATCH(U2102,卡牌辅助配置表!M:M,0)-1,0)+(N2102-1)*OFFSET(卡牌辅助配置表!$P$1,MATCH(U2102,卡牌辅助配置表!M:M,0)-1,0))*M2102,2)</f>
        <v>153.75</v>
      </c>
      <c r="W2102" s="157">
        <f ca="1">ROUND(IF(R2102=0,0,IF(R2102=1,X2102*$W$1,IF(R2102=2,X2102*$W$1*buff的资质计算!$E$2,IF(R2102=3,X2102*$W$1*buff的资质计算!$E$3,0)))),2)</f>
        <v>15.75</v>
      </c>
      <c r="X2102" s="157">
        <f ca="1" t="shared" si="360"/>
        <v>52.5</v>
      </c>
      <c r="Y2102" s="157">
        <f ca="1" t="shared" si="352"/>
        <v>52.5</v>
      </c>
      <c r="Z2102" s="304">
        <f ca="1" t="shared" si="361"/>
        <v>26.25</v>
      </c>
      <c r="AA2102" s="304">
        <f ca="1">OFFSET(卡牌辅助配置表!$AD$1,MATCH(AB2102,卡牌辅助配置表!AB:AB,0)-1,0)</f>
        <v>8740</v>
      </c>
      <c r="AB2102" s="304">
        <f ca="1" t="shared" si="349"/>
        <v>4216</v>
      </c>
      <c r="AC2102" s="153">
        <v>7</v>
      </c>
      <c r="AD2102" s="153">
        <v>2</v>
      </c>
      <c r="AE2102" s="153">
        <v>1</v>
      </c>
      <c r="AF2102" s="153" t="str">
        <f ca="1" t="shared" si="358"/>
        <v>34020011|</v>
      </c>
      <c r="AI2102" s="153">
        <v>1</v>
      </c>
      <c r="AJ2102" s="205">
        <f ca="1" t="shared" si="350"/>
        <v>0</v>
      </c>
      <c r="AK2102" s="205">
        <f ca="1">OFFSET([1]item_type!$A$1,MATCH(Q2102,[1]item_type!$G:$G,0)-1,0)</f>
        <v>303402</v>
      </c>
      <c r="AL2102" s="205"/>
      <c r="AM2102" s="205">
        <f ca="1">IF(B2102=B2103,OFFSET(卡牌辅助配置表!$AE$1,MATCH(AB2102,卡牌辅助配置表!AB:AB,0),0),0)</f>
        <v>7650</v>
      </c>
      <c r="AN2102" s="153">
        <f ca="1" t="shared" si="357"/>
        <v>0</v>
      </c>
      <c r="AP2102" s="153" t="str">
        <f ca="1">IF(AC2102=0,0,IF(AC2102=12,0,OFFSET(effect!$N$1,MATCH(K2102,effect!M:M,0)-1,0)))</f>
        <v>kpsx_pt</v>
      </c>
    </row>
    <row r="2103" spans="1:42">
      <c r="A2103" s="153">
        <f ca="1" t="shared" si="346"/>
        <v>3402017</v>
      </c>
      <c r="B2103" s="299" t="s">
        <v>912</v>
      </c>
      <c r="C2103" s="186">
        <v>3</v>
      </c>
      <c r="D2103" s="186">
        <v>3</v>
      </c>
      <c r="E2103" s="165" t="s">
        <v>1069</v>
      </c>
      <c r="F2103" s="165" t="str">
        <f>"若敌人处在冰冻中，伤害增加"&amp;skill!$O$143/100&amp;"%"</f>
        <v>若敌人处在冰冻中，伤害增加35%</v>
      </c>
      <c r="G2103" s="186">
        <v>-3</v>
      </c>
      <c r="H2103" s="186">
        <f ca="1" t="shared" si="351"/>
        <v>0</v>
      </c>
      <c r="I2103" s="186"/>
      <c r="J2103" s="186">
        <f ca="1">OFFSET(card_type!$F$1,MATCH(Q2103,card_type!A:A,0)-1,0)</f>
        <v>4</v>
      </c>
      <c r="K2103" s="243">
        <f ca="1">OFFSET(card_type!$G$1,MATCH(Q2103,card_type!A:A,0)-1,0)</f>
        <v>2</v>
      </c>
      <c r="L2103" s="157">
        <v>2</v>
      </c>
      <c r="M2103" s="157">
        <v>2</v>
      </c>
      <c r="N2103" s="153">
        <f t="shared" si="347"/>
        <v>17</v>
      </c>
      <c r="O2103" s="157"/>
      <c r="P2103" s="157"/>
      <c r="Q2103" s="153">
        <f ca="1">OFFSET(card_type!$A$1,MATCH(card!B2103,card_type!B:B,0)-1,0)</f>
        <v>3402</v>
      </c>
      <c r="R2103" s="153">
        <v>1</v>
      </c>
      <c r="S2103" s="157">
        <f ca="1">ROUND(IF(R2103=0,0,IF(R2103=1,X2103*$S$1,IF(R2103=2,X2103*$S$1*buff的资质计算!$E$2,IF(R2103=3,X2103*$S$1*buff的资质计算!$E$3,0)))),0)*0</f>
        <v>0</v>
      </c>
      <c r="T2103" s="153">
        <v>3</v>
      </c>
      <c r="U2103" s="153">
        <f ca="1" t="shared" si="348"/>
        <v>42</v>
      </c>
      <c r="V2103" s="153">
        <f ca="1">ROUND((OFFSET(卡牌辅助配置表!$O$1,MATCH(U2103,卡牌辅助配置表!M:M,0)-1,0)+(N2103-1)*OFFSET(卡牌辅助配置表!$P$1,MATCH(U2103,卡牌辅助配置表!M:M,0)-1,0))*M2103,2)</f>
        <v>161.05</v>
      </c>
      <c r="W2103" s="157">
        <f ca="1">ROUND(IF(R2103=0,0,IF(R2103=1,X2103*$W$1,IF(R2103=2,X2103*$W$1*buff的资质计算!$E$2,IF(R2103=3,X2103*$W$1*buff的资质计算!$E$3,0)))),2)</f>
        <v>15.9</v>
      </c>
      <c r="X2103" s="157">
        <f ca="1" t="shared" si="360"/>
        <v>53</v>
      </c>
      <c r="Y2103" s="157">
        <f ca="1" t="shared" si="352"/>
        <v>53</v>
      </c>
      <c r="Z2103" s="304">
        <f ca="1" t="shared" si="361"/>
        <v>26.5</v>
      </c>
      <c r="AA2103" s="304">
        <f ca="1">OFFSET(卡牌辅助配置表!$AD$1,MATCH(AB2103,卡牌辅助配置表!AB:AB,0)-1,0)</f>
        <v>9430</v>
      </c>
      <c r="AB2103" s="304">
        <f ca="1" t="shared" si="349"/>
        <v>4217</v>
      </c>
      <c r="AC2103" s="153">
        <v>7</v>
      </c>
      <c r="AD2103" s="153">
        <v>2</v>
      </c>
      <c r="AE2103" s="153">
        <v>1</v>
      </c>
      <c r="AF2103" s="153" t="str">
        <f ca="1" t="shared" si="358"/>
        <v>34020011|</v>
      </c>
      <c r="AI2103" s="153">
        <v>1</v>
      </c>
      <c r="AJ2103" s="205" t="str">
        <f ca="1" t="shared" si="350"/>
        <v>400023|8250|;</v>
      </c>
      <c r="AK2103" s="205">
        <f ca="1">OFFSET([1]item_type!$A$1,MATCH(Q2103,[1]item_type!$G:$G,0)-1,0)</f>
        <v>303402</v>
      </c>
      <c r="AL2103" s="205"/>
      <c r="AM2103" s="205">
        <f ca="1">IF(B2103=B2104,OFFSET(卡牌辅助配置表!$AE$1,MATCH(AB2103,卡牌辅助配置表!AB:AB,0),0),0)</f>
        <v>8250</v>
      </c>
      <c r="AN2103" s="153">
        <f ca="1" t="shared" si="359"/>
        <v>3402018</v>
      </c>
      <c r="AP2103" s="153" t="str">
        <f ca="1">IF(AC2103=0,0,IF(AC2103=12,0,OFFSET(effect!$N$1,MATCH(K2103,effect!M:M,0)-1,0)))</f>
        <v>kpsx_pt</v>
      </c>
    </row>
    <row r="2104" spans="1:42">
      <c r="A2104" s="153">
        <f ca="1" t="shared" si="346"/>
        <v>3402018</v>
      </c>
      <c r="B2104" s="299" t="s">
        <v>912</v>
      </c>
      <c r="C2104" s="186">
        <v>3</v>
      </c>
      <c r="D2104" s="186">
        <v>3</v>
      </c>
      <c r="E2104" s="165" t="s">
        <v>1069</v>
      </c>
      <c r="F2104" s="165" t="str">
        <f>"若敌人处在冰冻中，伤害增加"&amp;skill!$O$143/100&amp;"%"</f>
        <v>若敌人处在冰冻中，伤害增加35%</v>
      </c>
      <c r="G2104" s="186">
        <v>-3</v>
      </c>
      <c r="H2104" s="186">
        <f ca="1" t="shared" si="351"/>
        <v>0</v>
      </c>
      <c r="I2104" s="186"/>
      <c r="J2104" s="186">
        <f ca="1">OFFSET(card_type!$F$1,MATCH(Q2104,card_type!A:A,0)-1,0)</f>
        <v>4</v>
      </c>
      <c r="K2104" s="243">
        <f ca="1">OFFSET(card_type!$G$1,MATCH(Q2104,card_type!A:A,0)-1,0)</f>
        <v>2</v>
      </c>
      <c r="L2104" s="157">
        <v>2</v>
      </c>
      <c r="M2104" s="157">
        <v>2</v>
      </c>
      <c r="N2104" s="153">
        <f t="shared" si="347"/>
        <v>18</v>
      </c>
      <c r="O2104" s="157"/>
      <c r="P2104" s="157"/>
      <c r="Q2104" s="153">
        <f ca="1">OFFSET(card_type!$A$1,MATCH(card!B2104,card_type!B:B,0)-1,0)</f>
        <v>3402</v>
      </c>
      <c r="R2104" s="153">
        <v>1</v>
      </c>
      <c r="S2104" s="157">
        <f ca="1">ROUND(IF(R2104=0,0,IF(R2104=1,X2104*$S$1,IF(R2104=2,X2104*$S$1*buff的资质计算!$E$2,IF(R2104=3,X2104*$S$1*buff的资质计算!$E$3,0)))),0)*0</f>
        <v>0</v>
      </c>
      <c r="T2104" s="153">
        <v>3</v>
      </c>
      <c r="U2104" s="153">
        <f ca="1" t="shared" si="348"/>
        <v>42</v>
      </c>
      <c r="V2104" s="153">
        <f ca="1">ROUND((OFFSET(卡牌辅助配置表!$O$1,MATCH(U2104,卡牌辅助配置表!M:M,0)-1,0)+(N2104-1)*OFFSET(卡牌辅助配置表!$P$1,MATCH(U2104,卡牌辅助配置表!M:M,0)-1,0))*M2104,2)</f>
        <v>168.35</v>
      </c>
      <c r="W2104" s="157">
        <f ca="1">ROUND(IF(R2104=0,0,IF(R2104=1,X2104*$W$1,IF(R2104=2,X2104*$W$1*buff的资质计算!$E$2,IF(R2104=3,X2104*$W$1*buff的资质计算!$E$3,0)))),2)</f>
        <v>16.05</v>
      </c>
      <c r="X2104" s="157">
        <f ca="1" t="shared" si="360"/>
        <v>53.5</v>
      </c>
      <c r="Y2104" s="157">
        <f ca="1" t="shared" si="352"/>
        <v>53.5</v>
      </c>
      <c r="Z2104" s="304">
        <f ca="1" t="shared" si="361"/>
        <v>26.75</v>
      </c>
      <c r="AA2104" s="304">
        <f ca="1">OFFSET(卡牌辅助配置表!$AD$1,MATCH(AB2104,卡牌辅助配置表!AB:AB,0)-1,0)</f>
        <v>10120</v>
      </c>
      <c r="AB2104" s="304">
        <f ca="1" t="shared" si="349"/>
        <v>4218</v>
      </c>
      <c r="AC2104" s="153">
        <v>7</v>
      </c>
      <c r="AD2104" s="153">
        <v>2</v>
      </c>
      <c r="AE2104" s="153">
        <v>1</v>
      </c>
      <c r="AF2104" s="153" t="str">
        <f ca="1" t="shared" si="358"/>
        <v>34020011|</v>
      </c>
      <c r="AI2104" s="153">
        <v>1</v>
      </c>
      <c r="AJ2104" s="205">
        <f ca="1" t="shared" si="350"/>
        <v>0</v>
      </c>
      <c r="AK2104" s="205">
        <f ca="1">OFFSET([1]item_type!$A$1,MATCH(Q2104,[1]item_type!$G:$G,0)-1,0)</f>
        <v>303402</v>
      </c>
      <c r="AL2104" s="205"/>
      <c r="AM2104" s="205">
        <f ca="1">IF(B2104=B2105,OFFSET(卡牌辅助配置表!$AE$1,MATCH(AB2104,卡牌辅助配置表!AB:AB,0),0),0)</f>
        <v>8850</v>
      </c>
      <c r="AN2104" s="153">
        <f ca="1" t="shared" ref="AN2104:AN2108" si="362">IF(B2104=B2165,A2104+1,0)</f>
        <v>0</v>
      </c>
      <c r="AP2104" s="153" t="str">
        <f ca="1">IF(AC2104=0,0,IF(AC2104=12,0,OFFSET(effect!$N$1,MATCH(K2104,effect!M:M,0)-1,0)))</f>
        <v>kpsx_pt</v>
      </c>
    </row>
    <row r="2105" spans="1:42">
      <c r="A2105" s="153">
        <f ca="1" t="shared" si="346"/>
        <v>3402019</v>
      </c>
      <c r="B2105" s="299" t="s">
        <v>912</v>
      </c>
      <c r="C2105" s="186">
        <v>3</v>
      </c>
      <c r="D2105" s="186">
        <v>3</v>
      </c>
      <c r="E2105" s="165" t="s">
        <v>1069</v>
      </c>
      <c r="F2105" s="165" t="str">
        <f>"若敌人处在冰冻中，伤害增加"&amp;skill!$O$143/100&amp;"%"</f>
        <v>若敌人处在冰冻中，伤害增加35%</v>
      </c>
      <c r="G2105" s="186">
        <v>-3</v>
      </c>
      <c r="H2105" s="186">
        <f ca="1" t="shared" si="351"/>
        <v>0</v>
      </c>
      <c r="I2105" s="186"/>
      <c r="J2105" s="186">
        <f ca="1">OFFSET(card_type!$F$1,MATCH(Q2105,card_type!A:A,0)-1,0)</f>
        <v>4</v>
      </c>
      <c r="K2105" s="243">
        <f ca="1">OFFSET(card_type!$G$1,MATCH(Q2105,card_type!A:A,0)-1,0)</f>
        <v>2</v>
      </c>
      <c r="L2105" s="157">
        <v>2</v>
      </c>
      <c r="M2105" s="157">
        <v>2</v>
      </c>
      <c r="N2105" s="153">
        <f t="shared" si="347"/>
        <v>19</v>
      </c>
      <c r="O2105" s="157"/>
      <c r="P2105" s="157"/>
      <c r="Q2105" s="153">
        <f ca="1">OFFSET(card_type!$A$1,MATCH(card!B2105,card_type!B:B,0)-1,0)</f>
        <v>3402</v>
      </c>
      <c r="R2105" s="153">
        <v>1</v>
      </c>
      <c r="S2105" s="157">
        <f ca="1">ROUND(IF(R2105=0,0,IF(R2105=1,X2105*$S$1,IF(R2105=2,X2105*$S$1*buff的资质计算!$E$2,IF(R2105=3,X2105*$S$1*buff的资质计算!$E$3,0)))),0)*0</f>
        <v>0</v>
      </c>
      <c r="T2105" s="153">
        <v>3</v>
      </c>
      <c r="U2105" s="153">
        <f ca="1" t="shared" si="348"/>
        <v>42</v>
      </c>
      <c r="V2105" s="153">
        <f ca="1">ROUND((OFFSET(卡牌辅助配置表!$O$1,MATCH(U2105,卡牌辅助配置表!M:M,0)-1,0)+(N2105-1)*OFFSET(卡牌辅助配置表!$P$1,MATCH(U2105,卡牌辅助配置表!M:M,0)-1,0))*M2105,2)</f>
        <v>175.65</v>
      </c>
      <c r="W2105" s="157">
        <f ca="1">ROUND(IF(R2105=0,0,IF(R2105=1,X2105*$W$1,IF(R2105=2,X2105*$W$1*buff的资质计算!$E$2,IF(R2105=3,X2105*$W$1*buff的资质计算!$E$3,0)))),2)</f>
        <v>16.2</v>
      </c>
      <c r="X2105" s="157">
        <f ca="1" t="shared" si="360"/>
        <v>54</v>
      </c>
      <c r="Y2105" s="157">
        <f ca="1" t="shared" si="352"/>
        <v>54</v>
      </c>
      <c r="Z2105" s="304">
        <f ca="1" t="shared" si="361"/>
        <v>27</v>
      </c>
      <c r="AA2105" s="304">
        <f ca="1">OFFSET(卡牌辅助配置表!$AD$1,MATCH(AB2105,卡牌辅助配置表!AB:AB,0)-1,0)</f>
        <v>10810</v>
      </c>
      <c r="AB2105" s="304">
        <f ca="1" t="shared" si="349"/>
        <v>4219</v>
      </c>
      <c r="AC2105" s="153">
        <v>7</v>
      </c>
      <c r="AD2105" s="153">
        <v>2</v>
      </c>
      <c r="AE2105" s="153">
        <v>1</v>
      </c>
      <c r="AF2105" s="153" t="str">
        <f ca="1" t="shared" si="358"/>
        <v>34020011|</v>
      </c>
      <c r="AI2105" s="153">
        <v>1</v>
      </c>
      <c r="AJ2105" s="205" t="str">
        <f ca="1" t="shared" si="350"/>
        <v>303402|20|;400023|9450|;</v>
      </c>
      <c r="AK2105" s="205">
        <f ca="1">OFFSET([1]item_type!$A$1,MATCH(Q2105,[1]item_type!$G:$G,0)-1,0)</f>
        <v>303402</v>
      </c>
      <c r="AL2105" s="205">
        <v>20</v>
      </c>
      <c r="AM2105" s="205">
        <f ca="1">IF(B2105=B2106,OFFSET(卡牌辅助配置表!$AE$1,MATCH(AB2105,卡牌辅助配置表!AB:AB,0),0),0)</f>
        <v>9450</v>
      </c>
      <c r="AN2105" s="153">
        <f ca="1" t="shared" ref="AN2105:AN2109" si="363">IF(B2105=B2106,A2105+1,0)</f>
        <v>3402020</v>
      </c>
      <c r="AP2105" s="153" t="str">
        <f ca="1">IF(AC2105=0,0,IF(AC2105=12,0,OFFSET(effect!$N$1,MATCH(K2105,effect!M:M,0)-1,0)))</f>
        <v>kpsx_pt</v>
      </c>
    </row>
    <row r="2106" spans="1:42">
      <c r="A2106" s="153">
        <f ca="1" t="shared" si="346"/>
        <v>3402020</v>
      </c>
      <c r="B2106" s="299" t="s">
        <v>912</v>
      </c>
      <c r="C2106" s="186">
        <v>3</v>
      </c>
      <c r="D2106" s="186">
        <v>3</v>
      </c>
      <c r="E2106" s="165" t="s">
        <v>1069</v>
      </c>
      <c r="F2106" s="165" t="str">
        <f>"若敌人处在冰冻中，伤害增加"&amp;skill!$O$143/100&amp;"%"</f>
        <v>若敌人处在冰冻中，伤害增加35%</v>
      </c>
      <c r="G2106" s="186">
        <v>-3</v>
      </c>
      <c r="H2106" s="186">
        <f ca="1" t="shared" si="351"/>
        <v>0</v>
      </c>
      <c r="I2106" s="186"/>
      <c r="J2106" s="186">
        <f ca="1">OFFSET(card_type!$F$1,MATCH(Q2106,card_type!A:A,0)-1,0)</f>
        <v>4</v>
      </c>
      <c r="K2106" s="243">
        <f ca="1">OFFSET(card_type!$G$1,MATCH(Q2106,card_type!A:A,0)-1,0)</f>
        <v>2</v>
      </c>
      <c r="L2106" s="157">
        <v>2</v>
      </c>
      <c r="M2106" s="157">
        <v>2</v>
      </c>
      <c r="N2106" s="153">
        <f t="shared" si="347"/>
        <v>20</v>
      </c>
      <c r="O2106" s="157"/>
      <c r="P2106" s="157"/>
      <c r="Q2106" s="153">
        <f ca="1">OFFSET(card_type!$A$1,MATCH(card!B2106,card_type!B:B,0)-1,0)</f>
        <v>3402</v>
      </c>
      <c r="R2106" s="153">
        <v>1</v>
      </c>
      <c r="S2106" s="157">
        <f ca="1">ROUND(IF(R2106=0,0,IF(R2106=1,X2106*$S$1,IF(R2106=2,X2106*$S$1*buff的资质计算!$E$2,IF(R2106=3,X2106*$S$1*buff的资质计算!$E$3,0)))),0)*0</f>
        <v>0</v>
      </c>
      <c r="T2106" s="153">
        <v>3</v>
      </c>
      <c r="U2106" s="153">
        <f ca="1" t="shared" si="348"/>
        <v>42</v>
      </c>
      <c r="V2106" s="153">
        <f ca="1">ROUND((OFFSET(卡牌辅助配置表!$O$1,MATCH(U2106,卡牌辅助配置表!M:M,0)-1,0)+(N2106-1)*OFFSET(卡牌辅助配置表!$P$1,MATCH(U2106,卡牌辅助配置表!M:M,0)-1,0))*M2106,2)</f>
        <v>182.95</v>
      </c>
      <c r="W2106" s="157">
        <f ca="1">ROUND(IF(R2106=0,0,IF(R2106=1,X2106*$W$1,IF(R2106=2,X2106*$W$1*buff的资质计算!$E$2,IF(R2106=3,X2106*$W$1*buff的资质计算!$E$3,0)))),2)</f>
        <v>16.35</v>
      </c>
      <c r="X2106" s="157">
        <f ca="1" t="shared" si="360"/>
        <v>54.5</v>
      </c>
      <c r="Y2106" s="157">
        <f ca="1" t="shared" si="352"/>
        <v>54.5</v>
      </c>
      <c r="Z2106" s="304">
        <f ca="1" t="shared" si="361"/>
        <v>27.25</v>
      </c>
      <c r="AA2106" s="304">
        <f ca="1">OFFSET(卡牌辅助配置表!$AD$1,MATCH(AB2106,卡牌辅助配置表!AB:AB,0)-1,0)</f>
        <v>11500</v>
      </c>
      <c r="AB2106" s="304">
        <f ca="1" t="shared" si="349"/>
        <v>4220</v>
      </c>
      <c r="AC2106" s="153">
        <v>7</v>
      </c>
      <c r="AD2106" s="153">
        <v>2</v>
      </c>
      <c r="AE2106" s="153">
        <v>1</v>
      </c>
      <c r="AF2106" s="153" t="str">
        <f ca="1" t="shared" si="358"/>
        <v>34020011|</v>
      </c>
      <c r="AI2106" s="153">
        <v>1</v>
      </c>
      <c r="AJ2106" s="205">
        <f ca="1" t="shared" si="350"/>
        <v>0</v>
      </c>
      <c r="AK2106" s="205">
        <f ca="1">OFFSET([1]item_type!$A$1,MATCH(Q2106,[1]item_type!$G:$G,0)-1,0)</f>
        <v>303402</v>
      </c>
      <c r="AL2106" s="205"/>
      <c r="AM2106" s="205">
        <f ca="1">IF(B2106=B2107,OFFSET(卡牌辅助配置表!$AE$1,MATCH(AB2106,卡牌辅助配置表!AB:AB,0),0),0)</f>
        <v>10650</v>
      </c>
      <c r="AN2106" s="153">
        <f ca="1" t="shared" si="362"/>
        <v>0</v>
      </c>
      <c r="AP2106" s="153" t="str">
        <f ca="1">IF(AC2106=0,0,IF(AC2106=12,0,OFFSET(effect!$N$1,MATCH(K2106,effect!M:M,0)-1,0)))</f>
        <v>kpsx_pt</v>
      </c>
    </row>
    <row r="2107" spans="1:42">
      <c r="A2107" s="153">
        <f ca="1" t="shared" si="346"/>
        <v>3402021</v>
      </c>
      <c r="B2107" s="299" t="s">
        <v>912</v>
      </c>
      <c r="C2107" s="186">
        <v>3</v>
      </c>
      <c r="D2107" s="186">
        <v>3</v>
      </c>
      <c r="E2107" s="165" t="s">
        <v>1069</v>
      </c>
      <c r="F2107" s="165" t="str">
        <f>"若敌人处在冰冻中，伤害增加"&amp;skill!$O$143/100&amp;"%"</f>
        <v>若敌人处在冰冻中，伤害增加35%</v>
      </c>
      <c r="G2107" s="186">
        <v>-3</v>
      </c>
      <c r="H2107" s="186">
        <f ca="1" t="shared" si="351"/>
        <v>0</v>
      </c>
      <c r="I2107" s="186"/>
      <c r="J2107" s="186">
        <f ca="1">OFFSET(card_type!$F$1,MATCH(Q2107,card_type!A:A,0)-1,0)</f>
        <v>4</v>
      </c>
      <c r="K2107" s="243">
        <f ca="1">OFFSET(card_type!$G$1,MATCH(Q2107,card_type!A:A,0)-1,0)</f>
        <v>2</v>
      </c>
      <c r="L2107" s="157">
        <v>2</v>
      </c>
      <c r="M2107" s="157">
        <v>2</v>
      </c>
      <c r="N2107" s="153">
        <f t="shared" si="347"/>
        <v>21</v>
      </c>
      <c r="O2107" s="157"/>
      <c r="P2107" s="157"/>
      <c r="Q2107" s="153">
        <f ca="1">OFFSET(card_type!$A$1,MATCH(card!B2107,card_type!B:B,0)-1,0)</f>
        <v>3402</v>
      </c>
      <c r="R2107" s="153">
        <v>1</v>
      </c>
      <c r="S2107" s="157">
        <f ca="1">ROUND(IF(R2107=0,0,IF(R2107=1,X2107*$S$1,IF(R2107=2,X2107*$S$1*buff的资质计算!$E$2,IF(R2107=3,X2107*$S$1*buff的资质计算!$E$3,0)))),0)*0</f>
        <v>0</v>
      </c>
      <c r="T2107" s="153">
        <v>3</v>
      </c>
      <c r="U2107" s="153">
        <f ca="1" t="shared" si="348"/>
        <v>42</v>
      </c>
      <c r="V2107" s="153">
        <f ca="1">ROUND((OFFSET(卡牌辅助配置表!$O$1,MATCH(U2107,卡牌辅助配置表!M:M,0)-1,0)+(N2107-1)*OFFSET(卡牌辅助配置表!$P$1,MATCH(U2107,卡牌辅助配置表!M:M,0)-1,0))*M2107,2)</f>
        <v>190.25</v>
      </c>
      <c r="W2107" s="157">
        <f ca="1">ROUND(IF(R2107=0,0,IF(R2107=1,X2107*$W$1,IF(R2107=2,X2107*$W$1*buff的资质计算!$E$2,IF(R2107=3,X2107*$W$1*buff的资质计算!$E$3,0)))),2)</f>
        <v>16.5</v>
      </c>
      <c r="X2107" s="157">
        <f ca="1" t="shared" si="360"/>
        <v>55</v>
      </c>
      <c r="Y2107" s="157">
        <f ca="1" t="shared" si="352"/>
        <v>55</v>
      </c>
      <c r="Z2107" s="304">
        <f ca="1" t="shared" si="361"/>
        <v>27.5</v>
      </c>
      <c r="AA2107" s="304">
        <f ca="1">OFFSET(卡牌辅助配置表!$AD$1,MATCH(AB2107,卡牌辅助配置表!AB:AB,0)-1,0)</f>
        <v>12420</v>
      </c>
      <c r="AB2107" s="304">
        <f ca="1" t="shared" si="349"/>
        <v>4221</v>
      </c>
      <c r="AC2107" s="153">
        <v>7</v>
      </c>
      <c r="AD2107" s="153">
        <v>2</v>
      </c>
      <c r="AE2107" s="153">
        <v>1</v>
      </c>
      <c r="AF2107" s="153" t="str">
        <f ca="1" t="shared" si="358"/>
        <v>34020011|</v>
      </c>
      <c r="AI2107" s="153">
        <v>1</v>
      </c>
      <c r="AJ2107" s="205" t="str">
        <f ca="1" t="shared" si="350"/>
        <v>400023|11850|;</v>
      </c>
      <c r="AK2107" s="205">
        <f ca="1">OFFSET([1]item_type!$A$1,MATCH(Q2107,[1]item_type!$G:$G,0)-1,0)</f>
        <v>303402</v>
      </c>
      <c r="AL2107" s="205"/>
      <c r="AM2107" s="205">
        <f ca="1">IF(B2107=B2108,OFFSET(卡牌辅助配置表!$AE$1,MATCH(AB2107,卡牌辅助配置表!AB:AB,0),0),0)</f>
        <v>11850</v>
      </c>
      <c r="AN2107" s="153">
        <f ca="1" t="shared" si="363"/>
        <v>3402022</v>
      </c>
      <c r="AP2107" s="153" t="str">
        <f ca="1">IF(AC2107=0,0,IF(AC2107=12,0,OFFSET(effect!$N$1,MATCH(K2107,effect!M:M,0)-1,0)))</f>
        <v>kpsx_pt</v>
      </c>
    </row>
    <row r="2108" spans="1:42">
      <c r="A2108" s="153">
        <f ca="1" t="shared" si="346"/>
        <v>3402022</v>
      </c>
      <c r="B2108" s="299" t="s">
        <v>912</v>
      </c>
      <c r="C2108" s="186">
        <v>3</v>
      </c>
      <c r="D2108" s="186">
        <v>3</v>
      </c>
      <c r="E2108" s="165" t="s">
        <v>1069</v>
      </c>
      <c r="F2108" s="165" t="str">
        <f>"若敌人处在冰冻中，伤害增加"&amp;skill!$O$143/100&amp;"%"</f>
        <v>若敌人处在冰冻中，伤害增加35%</v>
      </c>
      <c r="G2108" s="186">
        <v>-3</v>
      </c>
      <c r="H2108" s="186">
        <f ca="1" t="shared" si="351"/>
        <v>0</v>
      </c>
      <c r="I2108" s="186"/>
      <c r="J2108" s="186">
        <f ca="1">OFFSET(card_type!$F$1,MATCH(Q2108,card_type!A:A,0)-1,0)</f>
        <v>4</v>
      </c>
      <c r="K2108" s="243">
        <f ca="1">OFFSET(card_type!$G$1,MATCH(Q2108,card_type!A:A,0)-1,0)</f>
        <v>2</v>
      </c>
      <c r="L2108" s="157">
        <v>2</v>
      </c>
      <c r="M2108" s="157">
        <v>2</v>
      </c>
      <c r="N2108" s="153">
        <f t="shared" si="347"/>
        <v>22</v>
      </c>
      <c r="O2108" s="157"/>
      <c r="P2108" s="157"/>
      <c r="Q2108" s="153">
        <f ca="1">OFFSET(card_type!$A$1,MATCH(card!B2108,card_type!B:B,0)-1,0)</f>
        <v>3402</v>
      </c>
      <c r="R2108" s="153">
        <v>1</v>
      </c>
      <c r="S2108" s="157">
        <f ca="1">ROUND(IF(R2108=0,0,IF(R2108=1,X2108*$S$1,IF(R2108=2,X2108*$S$1*buff的资质计算!$E$2,IF(R2108=3,X2108*$S$1*buff的资质计算!$E$3,0)))),0)*0</f>
        <v>0</v>
      </c>
      <c r="T2108" s="153">
        <v>3</v>
      </c>
      <c r="U2108" s="153">
        <f ca="1" t="shared" si="348"/>
        <v>42</v>
      </c>
      <c r="V2108" s="153">
        <f ca="1">ROUND((OFFSET(卡牌辅助配置表!$O$1,MATCH(U2108,卡牌辅助配置表!M:M,0)-1,0)+(N2108-1)*OFFSET(卡牌辅助配置表!$P$1,MATCH(U2108,卡牌辅助配置表!M:M,0)-1,0))*M2108,2)</f>
        <v>197.55</v>
      </c>
      <c r="W2108" s="157">
        <f ca="1">ROUND(IF(R2108=0,0,IF(R2108=1,X2108*$W$1,IF(R2108=2,X2108*$W$1*buff的资质计算!$E$2,IF(R2108=3,X2108*$W$1*buff的资质计算!$E$3,0)))),2)</f>
        <v>16.65</v>
      </c>
      <c r="X2108" s="157">
        <f ca="1" t="shared" si="360"/>
        <v>55.5</v>
      </c>
      <c r="Y2108" s="157">
        <f ca="1" t="shared" si="352"/>
        <v>55.5</v>
      </c>
      <c r="Z2108" s="304">
        <f ca="1" t="shared" si="361"/>
        <v>27.75</v>
      </c>
      <c r="AA2108" s="304">
        <f ca="1">OFFSET(卡牌辅助配置表!$AD$1,MATCH(AB2108,卡牌辅助配置表!AB:AB,0)-1,0)</f>
        <v>13340</v>
      </c>
      <c r="AB2108" s="304">
        <f ca="1" t="shared" si="349"/>
        <v>4222</v>
      </c>
      <c r="AC2108" s="153">
        <v>7</v>
      </c>
      <c r="AD2108" s="153">
        <v>2</v>
      </c>
      <c r="AE2108" s="153">
        <v>1</v>
      </c>
      <c r="AF2108" s="153" t="str">
        <f ca="1" t="shared" si="358"/>
        <v>34020011|</v>
      </c>
      <c r="AI2108" s="153">
        <v>1</v>
      </c>
      <c r="AJ2108" s="205">
        <f ca="1" t="shared" si="350"/>
        <v>0</v>
      </c>
      <c r="AK2108" s="205">
        <f ca="1">OFFSET([1]item_type!$A$1,MATCH(Q2108,[1]item_type!$G:$G,0)-1,0)</f>
        <v>303402</v>
      </c>
      <c r="AL2108" s="205"/>
      <c r="AM2108" s="205">
        <f ca="1">IF(B2108=B2109,OFFSET(卡牌辅助配置表!$AE$1,MATCH(AB2108,卡牌辅助配置表!AB:AB,0),0),0)</f>
        <v>13050</v>
      </c>
      <c r="AN2108" s="153">
        <f ca="1" t="shared" si="362"/>
        <v>0</v>
      </c>
      <c r="AP2108" s="153" t="str">
        <f ca="1">IF(AC2108=0,0,IF(AC2108=12,0,OFFSET(effect!$N$1,MATCH(K2108,effect!M:M,0)-1,0)))</f>
        <v>kpsx_pt</v>
      </c>
    </row>
    <row r="2109" spans="1:42">
      <c r="A2109" s="153">
        <f ca="1" t="shared" si="346"/>
        <v>3402023</v>
      </c>
      <c r="B2109" s="299" t="s">
        <v>912</v>
      </c>
      <c r="C2109" s="186">
        <v>3</v>
      </c>
      <c r="D2109" s="186">
        <v>3</v>
      </c>
      <c r="E2109" s="165" t="s">
        <v>1069</v>
      </c>
      <c r="F2109" s="165" t="str">
        <f>"若敌人处在冰冻中，伤害增加"&amp;skill!$O$143/100&amp;"%"</f>
        <v>若敌人处在冰冻中，伤害增加35%</v>
      </c>
      <c r="G2109" s="186">
        <v>-3</v>
      </c>
      <c r="H2109" s="186">
        <f ca="1" t="shared" si="351"/>
        <v>0</v>
      </c>
      <c r="I2109" s="186"/>
      <c r="J2109" s="186">
        <f ca="1">OFFSET(card_type!$F$1,MATCH(Q2109,card_type!A:A,0)-1,0)</f>
        <v>4</v>
      </c>
      <c r="K2109" s="243">
        <f ca="1">OFFSET(card_type!$G$1,MATCH(Q2109,card_type!A:A,0)-1,0)</f>
        <v>2</v>
      </c>
      <c r="L2109" s="157">
        <v>2</v>
      </c>
      <c r="M2109" s="157">
        <v>2</v>
      </c>
      <c r="N2109" s="153">
        <f t="shared" si="347"/>
        <v>23</v>
      </c>
      <c r="O2109" s="157"/>
      <c r="P2109" s="157"/>
      <c r="Q2109" s="153">
        <f ca="1">OFFSET(card_type!$A$1,MATCH(card!B2109,card_type!B:B,0)-1,0)</f>
        <v>3402</v>
      </c>
      <c r="R2109" s="153">
        <v>1</v>
      </c>
      <c r="S2109" s="157">
        <f ca="1">ROUND(IF(R2109=0,0,IF(R2109=1,X2109*$S$1,IF(R2109=2,X2109*$S$1*buff的资质计算!$E$2,IF(R2109=3,X2109*$S$1*buff的资质计算!$E$3,0)))),0)*0</f>
        <v>0</v>
      </c>
      <c r="T2109" s="153">
        <v>3</v>
      </c>
      <c r="U2109" s="153">
        <f ca="1" t="shared" si="348"/>
        <v>42</v>
      </c>
      <c r="V2109" s="153">
        <f ca="1">ROUND((OFFSET(卡牌辅助配置表!$O$1,MATCH(U2109,卡牌辅助配置表!M:M,0)-1,0)+(N2109-1)*OFFSET(卡牌辅助配置表!$P$1,MATCH(U2109,卡牌辅助配置表!M:M,0)-1,0))*M2109,2)</f>
        <v>204.85</v>
      </c>
      <c r="W2109" s="157">
        <f ca="1">ROUND(IF(R2109=0,0,IF(R2109=1,X2109*$W$1,IF(R2109=2,X2109*$W$1*buff的资质计算!$E$2,IF(R2109=3,X2109*$W$1*buff的资质计算!$E$3,0)))),2)</f>
        <v>16.8</v>
      </c>
      <c r="X2109" s="157">
        <f ca="1" t="shared" si="360"/>
        <v>56</v>
      </c>
      <c r="Y2109" s="157">
        <f ca="1" t="shared" si="352"/>
        <v>56</v>
      </c>
      <c r="Z2109" s="304">
        <f ca="1" t="shared" si="361"/>
        <v>28</v>
      </c>
      <c r="AA2109" s="304">
        <f ca="1">OFFSET(卡牌辅助配置表!$AD$1,MATCH(AB2109,卡牌辅助配置表!AB:AB,0)-1,0)</f>
        <v>14260</v>
      </c>
      <c r="AB2109" s="304">
        <f ca="1" t="shared" si="349"/>
        <v>4223</v>
      </c>
      <c r="AC2109" s="153">
        <v>7</v>
      </c>
      <c r="AD2109" s="153">
        <v>2</v>
      </c>
      <c r="AE2109" s="153">
        <v>1</v>
      </c>
      <c r="AF2109" s="153" t="str">
        <f ca="1" t="shared" si="358"/>
        <v>34020011|</v>
      </c>
      <c r="AI2109" s="153">
        <v>1</v>
      </c>
      <c r="AJ2109" s="205" t="str">
        <f ca="1" t="shared" si="350"/>
        <v>400023|14250|;</v>
      </c>
      <c r="AK2109" s="205">
        <f ca="1">OFFSET([1]item_type!$A$1,MATCH(Q2109,[1]item_type!$G:$G,0)-1,0)</f>
        <v>303402</v>
      </c>
      <c r="AL2109" s="205"/>
      <c r="AM2109" s="205">
        <f ca="1">IF(B2109=B2110,OFFSET(卡牌辅助配置表!$AE$1,MATCH(AB2109,卡牌辅助配置表!AB:AB,0),0),0)</f>
        <v>14250</v>
      </c>
      <c r="AN2109" s="153">
        <f ca="1" t="shared" si="363"/>
        <v>3402024</v>
      </c>
      <c r="AP2109" s="153" t="str">
        <f ca="1">IF(AC2109=0,0,IF(AC2109=12,0,OFFSET(effect!$N$1,MATCH(K2109,effect!M:M,0)-1,0)))</f>
        <v>kpsx_pt</v>
      </c>
    </row>
    <row r="2110" spans="1:42">
      <c r="A2110" s="153">
        <f ca="1" t="shared" si="346"/>
        <v>3402024</v>
      </c>
      <c r="B2110" s="299" t="s">
        <v>912</v>
      </c>
      <c r="C2110" s="186">
        <v>3</v>
      </c>
      <c r="D2110" s="186">
        <v>3</v>
      </c>
      <c r="E2110" s="165" t="s">
        <v>1069</v>
      </c>
      <c r="F2110" s="165" t="str">
        <f>"若敌人处在冰冻中，伤害增加"&amp;skill!$O$143/100&amp;"%"</f>
        <v>若敌人处在冰冻中，伤害增加35%</v>
      </c>
      <c r="G2110" s="186">
        <v>-3</v>
      </c>
      <c r="H2110" s="186">
        <f ca="1" t="shared" si="351"/>
        <v>0</v>
      </c>
      <c r="I2110" s="186"/>
      <c r="J2110" s="186">
        <f ca="1">OFFSET(card_type!$F$1,MATCH(Q2110,card_type!A:A,0)-1,0)</f>
        <v>4</v>
      </c>
      <c r="K2110" s="243">
        <f ca="1">OFFSET(card_type!$G$1,MATCH(Q2110,card_type!A:A,0)-1,0)</f>
        <v>2</v>
      </c>
      <c r="L2110" s="157">
        <v>2</v>
      </c>
      <c r="M2110" s="157">
        <v>2</v>
      </c>
      <c r="N2110" s="153">
        <f t="shared" si="347"/>
        <v>24</v>
      </c>
      <c r="O2110" s="157"/>
      <c r="P2110" s="157"/>
      <c r="Q2110" s="153">
        <f ca="1">OFFSET(card_type!$A$1,MATCH(card!B2110,card_type!B:B,0)-1,0)</f>
        <v>3402</v>
      </c>
      <c r="R2110" s="153">
        <v>1</v>
      </c>
      <c r="S2110" s="157">
        <f ca="1">ROUND(IF(R2110=0,0,IF(R2110=1,X2110*$S$1,IF(R2110=2,X2110*$S$1*buff的资质计算!$E$2,IF(R2110=3,X2110*$S$1*buff的资质计算!$E$3,0)))),0)*0</f>
        <v>0</v>
      </c>
      <c r="T2110" s="153">
        <v>3</v>
      </c>
      <c r="U2110" s="153">
        <f ca="1" t="shared" si="348"/>
        <v>42</v>
      </c>
      <c r="V2110" s="153">
        <f ca="1">ROUND((OFFSET(卡牌辅助配置表!$O$1,MATCH(U2110,卡牌辅助配置表!M:M,0)-1,0)+(N2110-1)*OFFSET(卡牌辅助配置表!$P$1,MATCH(U2110,卡牌辅助配置表!M:M,0)-1,0))*M2110,2)</f>
        <v>212.15</v>
      </c>
      <c r="W2110" s="157">
        <f ca="1">ROUND(IF(R2110=0,0,IF(R2110=1,X2110*$W$1,IF(R2110=2,X2110*$W$1*buff的资质计算!$E$2,IF(R2110=3,X2110*$W$1*buff的资质计算!$E$3,0)))),2)</f>
        <v>16.95</v>
      </c>
      <c r="X2110" s="157">
        <f ca="1" t="shared" si="360"/>
        <v>56.5</v>
      </c>
      <c r="Y2110" s="157">
        <f ca="1" t="shared" si="352"/>
        <v>56.5</v>
      </c>
      <c r="Z2110" s="304">
        <f ca="1" t="shared" si="361"/>
        <v>28.25</v>
      </c>
      <c r="AA2110" s="304">
        <f ca="1">OFFSET(卡牌辅助配置表!$AD$1,MATCH(AB2110,卡牌辅助配置表!AB:AB,0)-1,0)</f>
        <v>15180</v>
      </c>
      <c r="AB2110" s="304">
        <f ca="1" t="shared" si="349"/>
        <v>4224</v>
      </c>
      <c r="AC2110" s="153">
        <v>7</v>
      </c>
      <c r="AD2110" s="153">
        <v>2</v>
      </c>
      <c r="AE2110" s="153">
        <v>1</v>
      </c>
      <c r="AF2110" s="153" t="str">
        <f ca="1" t="shared" si="358"/>
        <v>34020011|</v>
      </c>
      <c r="AI2110" s="153">
        <v>1</v>
      </c>
      <c r="AJ2110" s="205">
        <f ca="1" t="shared" si="350"/>
        <v>0</v>
      </c>
      <c r="AK2110" s="205">
        <f ca="1">OFFSET([1]item_type!$A$1,MATCH(Q2110,[1]item_type!$G:$G,0)-1,0)</f>
        <v>303402</v>
      </c>
      <c r="AL2110" s="205"/>
      <c r="AM2110" s="205">
        <f ca="1">IF(B2110=B2111,OFFSET(卡牌辅助配置表!$AE$1,MATCH(AB2110,卡牌辅助配置表!AB:AB,0),0),0)</f>
        <v>15450</v>
      </c>
      <c r="AN2110" s="153">
        <f ca="1" t="shared" ref="AN2110:AN2114" si="364">IF(B2110=B2171,A2110+1,0)</f>
        <v>0</v>
      </c>
      <c r="AP2110" s="153" t="str">
        <f ca="1">IF(AC2110=0,0,IF(AC2110=12,0,OFFSET(effect!$N$1,MATCH(K2110,effect!M:M,0)-1,0)))</f>
        <v>kpsx_pt</v>
      </c>
    </row>
    <row r="2111" spans="1:42">
      <c r="A2111" s="153">
        <f ca="1" t="shared" si="346"/>
        <v>3402025</v>
      </c>
      <c r="B2111" s="299" t="s">
        <v>912</v>
      </c>
      <c r="C2111" s="186">
        <v>3</v>
      </c>
      <c r="D2111" s="186">
        <v>3</v>
      </c>
      <c r="E2111" s="165" t="s">
        <v>1069</v>
      </c>
      <c r="F2111" s="165" t="str">
        <f>"若敌人处在冰冻中，伤害增加"&amp;skill!$O$143/100&amp;"%"</f>
        <v>若敌人处在冰冻中，伤害增加35%</v>
      </c>
      <c r="G2111" s="186">
        <v>-3</v>
      </c>
      <c r="H2111" s="186">
        <f ca="1" t="shared" si="351"/>
        <v>0</v>
      </c>
      <c r="I2111" s="186"/>
      <c r="J2111" s="186">
        <f ca="1">OFFSET(card_type!$F$1,MATCH(Q2111,card_type!A:A,0)-1,0)</f>
        <v>4</v>
      </c>
      <c r="K2111" s="243">
        <f ca="1">OFFSET(card_type!$G$1,MATCH(Q2111,card_type!A:A,0)-1,0)</f>
        <v>2</v>
      </c>
      <c r="L2111" s="157">
        <v>2</v>
      </c>
      <c r="M2111" s="157">
        <v>2</v>
      </c>
      <c r="N2111" s="153">
        <f t="shared" si="347"/>
        <v>25</v>
      </c>
      <c r="O2111" s="157"/>
      <c r="P2111" s="157"/>
      <c r="Q2111" s="153">
        <f ca="1">OFFSET(card_type!$A$1,MATCH(card!B2111,card_type!B:B,0)-1,0)</f>
        <v>3402</v>
      </c>
      <c r="R2111" s="153">
        <v>1</v>
      </c>
      <c r="S2111" s="157">
        <f ca="1">ROUND(IF(R2111=0,0,IF(R2111=1,X2111*$S$1,IF(R2111=2,X2111*$S$1*buff的资质计算!$E$2,IF(R2111=3,X2111*$S$1*buff的资质计算!$E$3,0)))),0)*0</f>
        <v>0</v>
      </c>
      <c r="T2111" s="153">
        <v>3</v>
      </c>
      <c r="U2111" s="153">
        <f ca="1" t="shared" si="348"/>
        <v>42</v>
      </c>
      <c r="V2111" s="153">
        <f ca="1">ROUND((OFFSET(卡牌辅助配置表!$O$1,MATCH(U2111,卡牌辅助配置表!M:M,0)-1,0)+(N2111-1)*OFFSET(卡牌辅助配置表!$P$1,MATCH(U2111,卡牌辅助配置表!M:M,0)-1,0))*M2111,2)</f>
        <v>219.45</v>
      </c>
      <c r="W2111" s="157">
        <f ca="1">ROUND(IF(R2111=0,0,IF(R2111=1,X2111*$W$1,IF(R2111=2,X2111*$W$1*buff的资质计算!$E$2,IF(R2111=3,X2111*$W$1*buff的资质计算!$E$3,0)))),2)</f>
        <v>17.1</v>
      </c>
      <c r="X2111" s="157">
        <f ca="1" t="shared" si="360"/>
        <v>57</v>
      </c>
      <c r="Y2111" s="157">
        <f ca="1" t="shared" si="352"/>
        <v>57</v>
      </c>
      <c r="Z2111" s="304">
        <f ca="1" t="shared" si="361"/>
        <v>28.5</v>
      </c>
      <c r="AA2111" s="304">
        <f ca="1">OFFSET(卡牌辅助配置表!$AD$1,MATCH(AB2111,卡牌辅助配置表!AB:AB,0)-1,0)</f>
        <v>16100</v>
      </c>
      <c r="AB2111" s="304">
        <f ca="1" t="shared" si="349"/>
        <v>4225</v>
      </c>
      <c r="AC2111" s="153">
        <v>7</v>
      </c>
      <c r="AD2111" s="153">
        <v>2</v>
      </c>
      <c r="AE2111" s="153">
        <v>1</v>
      </c>
      <c r="AF2111" s="153" t="str">
        <f ca="1" t="shared" si="358"/>
        <v>34020011|</v>
      </c>
      <c r="AI2111" s="153">
        <v>1</v>
      </c>
      <c r="AJ2111" s="205" t="str">
        <f ca="1" t="shared" si="350"/>
        <v>400023|16650|;</v>
      </c>
      <c r="AK2111" s="205">
        <f ca="1">OFFSET([1]item_type!$A$1,MATCH(Q2111,[1]item_type!$G:$G,0)-1,0)</f>
        <v>303402</v>
      </c>
      <c r="AL2111" s="205"/>
      <c r="AM2111" s="205">
        <f ca="1">IF(B2111=B2112,OFFSET(卡牌辅助配置表!$AE$1,MATCH(AB2111,卡牌辅助配置表!AB:AB,0),0),0)</f>
        <v>16650</v>
      </c>
      <c r="AN2111" s="153">
        <f ca="1" t="shared" ref="AN2111:AN2115" si="365">IF(B2111=B2112,A2111+1,0)</f>
        <v>3402026</v>
      </c>
      <c r="AP2111" s="153" t="str">
        <f ca="1">IF(AC2111=0,0,IF(AC2111=12,0,OFFSET(effect!$N$1,MATCH(K2111,effect!M:M,0)-1,0)))</f>
        <v>kpsx_pt</v>
      </c>
    </row>
    <row r="2112" spans="1:42">
      <c r="A2112" s="153">
        <f ca="1" t="shared" si="346"/>
        <v>3402026</v>
      </c>
      <c r="B2112" s="299" t="s">
        <v>912</v>
      </c>
      <c r="C2112" s="186">
        <v>3</v>
      </c>
      <c r="D2112" s="186">
        <v>3</v>
      </c>
      <c r="E2112" s="165" t="s">
        <v>1069</v>
      </c>
      <c r="F2112" s="165" t="str">
        <f>"若敌人处在冰冻中，伤害增加"&amp;skill!$O$143/100&amp;"%"</f>
        <v>若敌人处在冰冻中，伤害增加35%</v>
      </c>
      <c r="G2112" s="186">
        <v>-3</v>
      </c>
      <c r="H2112" s="186">
        <f ca="1" t="shared" si="351"/>
        <v>0</v>
      </c>
      <c r="I2112" s="186"/>
      <c r="J2112" s="186">
        <f ca="1">OFFSET(card_type!$F$1,MATCH(Q2112,card_type!A:A,0)-1,0)</f>
        <v>4</v>
      </c>
      <c r="K2112" s="243">
        <f ca="1">OFFSET(card_type!$G$1,MATCH(Q2112,card_type!A:A,0)-1,0)</f>
        <v>2</v>
      </c>
      <c r="L2112" s="157">
        <v>2</v>
      </c>
      <c r="M2112" s="157">
        <v>2</v>
      </c>
      <c r="N2112" s="153">
        <f t="shared" si="347"/>
        <v>26</v>
      </c>
      <c r="O2112" s="157"/>
      <c r="P2112" s="157"/>
      <c r="Q2112" s="153">
        <f ca="1">OFFSET(card_type!$A$1,MATCH(card!B2112,card_type!B:B,0)-1,0)</f>
        <v>3402</v>
      </c>
      <c r="R2112" s="153">
        <v>1</v>
      </c>
      <c r="S2112" s="157">
        <f ca="1">ROUND(IF(R2112=0,0,IF(R2112=1,X2112*$S$1,IF(R2112=2,X2112*$S$1*buff的资质计算!$E$2,IF(R2112=3,X2112*$S$1*buff的资质计算!$E$3,0)))),0)*0</f>
        <v>0</v>
      </c>
      <c r="T2112" s="153">
        <v>3</v>
      </c>
      <c r="U2112" s="153">
        <f ca="1" t="shared" si="348"/>
        <v>42</v>
      </c>
      <c r="V2112" s="153">
        <f ca="1">ROUND((OFFSET(卡牌辅助配置表!$O$1,MATCH(U2112,卡牌辅助配置表!M:M,0)-1,0)+(N2112-1)*OFFSET(卡牌辅助配置表!$P$1,MATCH(U2112,卡牌辅助配置表!M:M,0)-1,0))*M2112,2)</f>
        <v>226.75</v>
      </c>
      <c r="W2112" s="157">
        <f ca="1">ROUND(IF(R2112=0,0,IF(R2112=1,X2112*$W$1,IF(R2112=2,X2112*$W$1*buff的资质计算!$E$2,IF(R2112=3,X2112*$W$1*buff的资质计算!$E$3,0)))),2)</f>
        <v>17.25</v>
      </c>
      <c r="X2112" s="157">
        <f ca="1" t="shared" si="360"/>
        <v>57.5</v>
      </c>
      <c r="Y2112" s="157">
        <f ca="1" t="shared" si="352"/>
        <v>57.5</v>
      </c>
      <c r="Z2112" s="304">
        <f ca="1" t="shared" si="361"/>
        <v>28.75</v>
      </c>
      <c r="AA2112" s="304">
        <f ca="1">OFFSET(卡牌辅助配置表!$AD$1,MATCH(AB2112,卡牌辅助配置表!AB:AB,0)-1,0)</f>
        <v>17020</v>
      </c>
      <c r="AB2112" s="304">
        <f ca="1" t="shared" si="349"/>
        <v>4226</v>
      </c>
      <c r="AC2112" s="153">
        <v>7</v>
      </c>
      <c r="AD2112" s="153">
        <v>2</v>
      </c>
      <c r="AE2112" s="153">
        <v>1</v>
      </c>
      <c r="AF2112" s="153" t="str">
        <f ca="1" t="shared" si="358"/>
        <v>34020011|</v>
      </c>
      <c r="AI2112" s="153">
        <v>1</v>
      </c>
      <c r="AJ2112" s="205">
        <f ca="1" t="shared" si="350"/>
        <v>0</v>
      </c>
      <c r="AK2112" s="205">
        <f ca="1">OFFSET([1]item_type!$A$1,MATCH(Q2112,[1]item_type!$G:$G,0)-1,0)</f>
        <v>303402</v>
      </c>
      <c r="AL2112" s="205"/>
      <c r="AM2112" s="205">
        <f ca="1">IF(B2112=B2113,OFFSET(卡牌辅助配置表!$AE$1,MATCH(AB2112,卡牌辅助配置表!AB:AB,0),0),0)</f>
        <v>17850</v>
      </c>
      <c r="AN2112" s="153">
        <f ca="1" t="shared" si="364"/>
        <v>0</v>
      </c>
      <c r="AP2112" s="153" t="str">
        <f ca="1">IF(AC2112=0,0,IF(AC2112=12,0,OFFSET(effect!$N$1,MATCH(K2112,effect!M:M,0)-1,0)))</f>
        <v>kpsx_pt</v>
      </c>
    </row>
    <row r="2113" spans="1:42">
      <c r="A2113" s="153">
        <f ca="1" t="shared" si="346"/>
        <v>3402027</v>
      </c>
      <c r="B2113" s="299" t="s">
        <v>912</v>
      </c>
      <c r="C2113" s="186">
        <v>3</v>
      </c>
      <c r="D2113" s="186">
        <v>3</v>
      </c>
      <c r="E2113" s="165" t="s">
        <v>1069</v>
      </c>
      <c r="F2113" s="165" t="str">
        <f>"若敌人处在冰冻中，伤害增加"&amp;skill!$O$143/100&amp;"%"</f>
        <v>若敌人处在冰冻中，伤害增加35%</v>
      </c>
      <c r="G2113" s="186">
        <v>-3</v>
      </c>
      <c r="H2113" s="186">
        <f ca="1" t="shared" si="351"/>
        <v>0</v>
      </c>
      <c r="I2113" s="186"/>
      <c r="J2113" s="186">
        <f ca="1">OFFSET(card_type!$F$1,MATCH(Q2113,card_type!A:A,0)-1,0)</f>
        <v>4</v>
      </c>
      <c r="K2113" s="243">
        <f ca="1">OFFSET(card_type!$G$1,MATCH(Q2113,card_type!A:A,0)-1,0)</f>
        <v>2</v>
      </c>
      <c r="L2113" s="157">
        <v>2</v>
      </c>
      <c r="M2113" s="157">
        <v>2</v>
      </c>
      <c r="N2113" s="153">
        <f t="shared" si="347"/>
        <v>27</v>
      </c>
      <c r="O2113" s="157"/>
      <c r="P2113" s="157"/>
      <c r="Q2113" s="153">
        <f ca="1">OFFSET(card_type!$A$1,MATCH(card!B2113,card_type!B:B,0)-1,0)</f>
        <v>3402</v>
      </c>
      <c r="R2113" s="153">
        <v>1</v>
      </c>
      <c r="S2113" s="157">
        <f ca="1">ROUND(IF(R2113=0,0,IF(R2113=1,X2113*$S$1,IF(R2113=2,X2113*$S$1*buff的资质计算!$E$2,IF(R2113=3,X2113*$S$1*buff的资质计算!$E$3,0)))),0)*0</f>
        <v>0</v>
      </c>
      <c r="T2113" s="153">
        <v>3</v>
      </c>
      <c r="U2113" s="153">
        <f ca="1" t="shared" si="348"/>
        <v>42</v>
      </c>
      <c r="V2113" s="153">
        <f ca="1">ROUND((OFFSET(卡牌辅助配置表!$O$1,MATCH(U2113,卡牌辅助配置表!M:M,0)-1,0)+(N2113-1)*OFFSET(卡牌辅助配置表!$P$1,MATCH(U2113,卡牌辅助配置表!M:M,0)-1,0))*M2113,2)</f>
        <v>234.05</v>
      </c>
      <c r="W2113" s="157">
        <f ca="1">ROUND(IF(R2113=0,0,IF(R2113=1,X2113*$W$1,IF(R2113=2,X2113*$W$1*buff的资质计算!$E$2,IF(R2113=3,X2113*$W$1*buff的资质计算!$E$3,0)))),2)</f>
        <v>17.4</v>
      </c>
      <c r="X2113" s="157">
        <f ca="1" t="shared" si="360"/>
        <v>58</v>
      </c>
      <c r="Y2113" s="157">
        <f ca="1" t="shared" si="352"/>
        <v>58</v>
      </c>
      <c r="Z2113" s="304">
        <f ca="1" t="shared" si="361"/>
        <v>29</v>
      </c>
      <c r="AA2113" s="304">
        <f ca="1">OFFSET(卡牌辅助配置表!$AD$1,MATCH(AB2113,卡牌辅助配置表!AB:AB,0)-1,0)</f>
        <v>17940</v>
      </c>
      <c r="AB2113" s="304">
        <f ca="1" t="shared" si="349"/>
        <v>4227</v>
      </c>
      <c r="AC2113" s="153">
        <v>7</v>
      </c>
      <c r="AD2113" s="153">
        <v>2</v>
      </c>
      <c r="AE2113" s="153">
        <v>1</v>
      </c>
      <c r="AF2113" s="153" t="str">
        <f ca="1" t="shared" si="358"/>
        <v>34020011|</v>
      </c>
      <c r="AI2113" s="153">
        <v>1</v>
      </c>
      <c r="AJ2113" s="205" t="str">
        <f ca="1" t="shared" si="350"/>
        <v>400023|19050|;</v>
      </c>
      <c r="AK2113" s="205">
        <f ca="1">OFFSET([1]item_type!$A$1,MATCH(Q2113,[1]item_type!$G:$G,0)-1,0)</f>
        <v>303402</v>
      </c>
      <c r="AL2113" s="205"/>
      <c r="AM2113" s="205">
        <f ca="1">IF(B2113=B2114,OFFSET(卡牌辅助配置表!$AE$1,MATCH(AB2113,卡牌辅助配置表!AB:AB,0),0),0)</f>
        <v>19050</v>
      </c>
      <c r="AN2113" s="153">
        <f ca="1" t="shared" si="365"/>
        <v>3402028</v>
      </c>
      <c r="AP2113" s="153" t="str">
        <f ca="1">IF(AC2113=0,0,IF(AC2113=12,0,OFFSET(effect!$N$1,MATCH(K2113,effect!M:M,0)-1,0)))</f>
        <v>kpsx_pt</v>
      </c>
    </row>
    <row r="2114" spans="1:42">
      <c r="A2114" s="153">
        <f ca="1" t="shared" si="346"/>
        <v>3402028</v>
      </c>
      <c r="B2114" s="299" t="s">
        <v>912</v>
      </c>
      <c r="C2114" s="186">
        <v>3</v>
      </c>
      <c r="D2114" s="186">
        <v>3</v>
      </c>
      <c r="E2114" s="165" t="s">
        <v>1069</v>
      </c>
      <c r="F2114" s="165" t="str">
        <f>"若敌人处在冰冻中，伤害增加"&amp;skill!$O$143/100&amp;"%"</f>
        <v>若敌人处在冰冻中，伤害增加35%</v>
      </c>
      <c r="G2114" s="186">
        <v>-3</v>
      </c>
      <c r="H2114" s="186">
        <f ca="1" t="shared" si="351"/>
        <v>0</v>
      </c>
      <c r="I2114" s="186"/>
      <c r="J2114" s="186">
        <f ca="1">OFFSET(card_type!$F$1,MATCH(Q2114,card_type!A:A,0)-1,0)</f>
        <v>4</v>
      </c>
      <c r="K2114" s="243">
        <f ca="1">OFFSET(card_type!$G$1,MATCH(Q2114,card_type!A:A,0)-1,0)</f>
        <v>2</v>
      </c>
      <c r="L2114" s="157">
        <v>2</v>
      </c>
      <c r="M2114" s="157">
        <v>2</v>
      </c>
      <c r="N2114" s="153">
        <f t="shared" si="347"/>
        <v>28</v>
      </c>
      <c r="O2114" s="157"/>
      <c r="P2114" s="157"/>
      <c r="Q2114" s="153">
        <f ca="1">OFFSET(card_type!$A$1,MATCH(card!B2114,card_type!B:B,0)-1,0)</f>
        <v>3402</v>
      </c>
      <c r="R2114" s="153">
        <v>1</v>
      </c>
      <c r="S2114" s="157">
        <f ca="1">ROUND(IF(R2114=0,0,IF(R2114=1,X2114*$S$1,IF(R2114=2,X2114*$S$1*buff的资质计算!$E$2,IF(R2114=3,X2114*$S$1*buff的资质计算!$E$3,0)))),0)*0</f>
        <v>0</v>
      </c>
      <c r="T2114" s="153">
        <v>3</v>
      </c>
      <c r="U2114" s="153">
        <f ca="1" t="shared" si="348"/>
        <v>42</v>
      </c>
      <c r="V2114" s="153">
        <f ca="1">ROUND((OFFSET(卡牌辅助配置表!$O$1,MATCH(U2114,卡牌辅助配置表!M:M,0)-1,0)+(N2114-1)*OFFSET(卡牌辅助配置表!$P$1,MATCH(U2114,卡牌辅助配置表!M:M,0)-1,0))*M2114,2)</f>
        <v>241.35</v>
      </c>
      <c r="W2114" s="157">
        <f ca="1">ROUND(IF(R2114=0,0,IF(R2114=1,X2114*$W$1,IF(R2114=2,X2114*$W$1*buff的资质计算!$E$2,IF(R2114=3,X2114*$W$1*buff的资质计算!$E$3,0)))),2)</f>
        <v>17.55</v>
      </c>
      <c r="X2114" s="157">
        <f ca="1" t="shared" si="360"/>
        <v>58.5</v>
      </c>
      <c r="Y2114" s="157">
        <f ca="1" t="shared" si="352"/>
        <v>58.5</v>
      </c>
      <c r="Z2114" s="304">
        <f ca="1" t="shared" si="361"/>
        <v>29.25</v>
      </c>
      <c r="AA2114" s="304">
        <f ca="1">OFFSET(卡牌辅助配置表!$AD$1,MATCH(AB2114,卡牌辅助配置表!AB:AB,0)-1,0)</f>
        <v>18860</v>
      </c>
      <c r="AB2114" s="304">
        <f ca="1" t="shared" si="349"/>
        <v>4228</v>
      </c>
      <c r="AC2114" s="153">
        <v>7</v>
      </c>
      <c r="AD2114" s="153">
        <v>2</v>
      </c>
      <c r="AE2114" s="153">
        <v>1</v>
      </c>
      <c r="AF2114" s="153" t="str">
        <f ca="1" t="shared" si="358"/>
        <v>34020011|</v>
      </c>
      <c r="AI2114" s="153">
        <v>1</v>
      </c>
      <c r="AJ2114" s="205">
        <f ca="1" t="shared" si="350"/>
        <v>0</v>
      </c>
      <c r="AK2114" s="205">
        <f ca="1">OFFSET([1]item_type!$A$1,MATCH(Q2114,[1]item_type!$G:$G,0)-1,0)</f>
        <v>303402</v>
      </c>
      <c r="AL2114" s="205"/>
      <c r="AM2114" s="205">
        <f ca="1">IF(B2114=B2115,OFFSET(卡牌辅助配置表!$AE$1,MATCH(AB2114,卡牌辅助配置表!AB:AB,0),0),0)</f>
        <v>20250</v>
      </c>
      <c r="AN2114" s="153">
        <f ca="1" t="shared" si="364"/>
        <v>0</v>
      </c>
      <c r="AP2114" s="153" t="str">
        <f ca="1">IF(AC2114=0,0,IF(AC2114=12,0,OFFSET(effect!$N$1,MATCH(K2114,effect!M:M,0)-1,0)))</f>
        <v>kpsx_pt</v>
      </c>
    </row>
    <row r="2115" spans="1:42">
      <c r="A2115" s="153">
        <f ca="1" t="shared" si="346"/>
        <v>3402029</v>
      </c>
      <c r="B2115" s="299" t="s">
        <v>912</v>
      </c>
      <c r="C2115" s="186">
        <v>3</v>
      </c>
      <c r="D2115" s="186">
        <v>3</v>
      </c>
      <c r="E2115" s="165" t="s">
        <v>1069</v>
      </c>
      <c r="F2115" s="165" t="str">
        <f>"若敌人处在冰冻中，伤害增加"&amp;skill!$O$143/100&amp;"%"</f>
        <v>若敌人处在冰冻中，伤害增加35%</v>
      </c>
      <c r="G2115" s="186">
        <v>-3</v>
      </c>
      <c r="H2115" s="186">
        <f ca="1" t="shared" si="351"/>
        <v>0</v>
      </c>
      <c r="I2115" s="186"/>
      <c r="J2115" s="186">
        <f ca="1">OFFSET(card_type!$F$1,MATCH(Q2115,card_type!A:A,0)-1,0)</f>
        <v>4</v>
      </c>
      <c r="K2115" s="243">
        <f ca="1">OFFSET(card_type!$G$1,MATCH(Q2115,card_type!A:A,0)-1,0)</f>
        <v>2</v>
      </c>
      <c r="L2115" s="157">
        <v>2</v>
      </c>
      <c r="M2115" s="157">
        <v>2</v>
      </c>
      <c r="N2115" s="153">
        <f t="shared" si="347"/>
        <v>29</v>
      </c>
      <c r="O2115" s="157"/>
      <c r="P2115" s="157"/>
      <c r="Q2115" s="153">
        <f ca="1">OFFSET(card_type!$A$1,MATCH(card!B2115,card_type!B:B,0)-1,0)</f>
        <v>3402</v>
      </c>
      <c r="R2115" s="153">
        <v>1</v>
      </c>
      <c r="S2115" s="157">
        <f ca="1">ROUND(IF(R2115=0,0,IF(R2115=1,X2115*$S$1,IF(R2115=2,X2115*$S$1*buff的资质计算!$E$2,IF(R2115=3,X2115*$S$1*buff的资质计算!$E$3,0)))),0)*0</f>
        <v>0</v>
      </c>
      <c r="T2115" s="153">
        <v>3</v>
      </c>
      <c r="U2115" s="153">
        <f ca="1" t="shared" si="348"/>
        <v>42</v>
      </c>
      <c r="V2115" s="153">
        <f ca="1">ROUND((OFFSET(卡牌辅助配置表!$O$1,MATCH(U2115,卡牌辅助配置表!M:M,0)-1,0)+(N2115-1)*OFFSET(卡牌辅助配置表!$P$1,MATCH(U2115,卡牌辅助配置表!M:M,0)-1,0))*M2115,2)</f>
        <v>248.65</v>
      </c>
      <c r="W2115" s="157">
        <f ca="1">ROUND(IF(R2115=0,0,IF(R2115=1,X2115*$W$1,IF(R2115=2,X2115*$W$1*buff的资质计算!$E$2,IF(R2115=3,X2115*$W$1*buff的资质计算!$E$3,0)))),2)</f>
        <v>17.7</v>
      </c>
      <c r="X2115" s="157">
        <f ca="1" t="shared" si="360"/>
        <v>59</v>
      </c>
      <c r="Y2115" s="157">
        <f ca="1" t="shared" si="352"/>
        <v>59</v>
      </c>
      <c r="Z2115" s="304">
        <f ca="1" t="shared" si="361"/>
        <v>29.5</v>
      </c>
      <c r="AA2115" s="304">
        <f ca="1">OFFSET(卡牌辅助配置表!$AD$1,MATCH(AB2115,卡牌辅助配置表!AB:AB,0)-1,0)</f>
        <v>19780</v>
      </c>
      <c r="AB2115" s="304">
        <f ca="1" t="shared" si="349"/>
        <v>4229</v>
      </c>
      <c r="AC2115" s="153">
        <v>7</v>
      </c>
      <c r="AD2115" s="153">
        <v>2</v>
      </c>
      <c r="AE2115" s="153">
        <v>1</v>
      </c>
      <c r="AF2115" s="153" t="str">
        <f ca="1" t="shared" si="358"/>
        <v>34020011|</v>
      </c>
      <c r="AI2115" s="153">
        <v>1</v>
      </c>
      <c r="AJ2115" s="205" t="str">
        <f ca="1" t="shared" si="350"/>
        <v>303402|30|;400023|21450|;</v>
      </c>
      <c r="AK2115" s="205">
        <f ca="1">OFFSET([1]item_type!$A$1,MATCH(Q2115,[1]item_type!$G:$G,0)-1,0)</f>
        <v>303402</v>
      </c>
      <c r="AL2115" s="205">
        <v>30</v>
      </c>
      <c r="AM2115" s="205">
        <f ca="1">IF(B2115=B2116,OFFSET(卡牌辅助配置表!$AE$1,MATCH(AB2115,卡牌辅助配置表!AB:AB,0),0),0)</f>
        <v>21450</v>
      </c>
      <c r="AN2115" s="153">
        <f ca="1" t="shared" si="365"/>
        <v>3402030</v>
      </c>
      <c r="AP2115" s="153" t="str">
        <f ca="1">IF(AC2115=0,0,IF(AC2115=12,0,OFFSET(effect!$N$1,MATCH(K2115,effect!M:M,0)-1,0)))</f>
        <v>kpsx_pt</v>
      </c>
    </row>
    <row r="2116" spans="1:42">
      <c r="A2116" s="153">
        <f ca="1" t="shared" si="346"/>
        <v>3402030</v>
      </c>
      <c r="B2116" s="299" t="s">
        <v>912</v>
      </c>
      <c r="C2116" s="186">
        <v>3</v>
      </c>
      <c r="D2116" s="186">
        <v>3</v>
      </c>
      <c r="E2116" s="165" t="s">
        <v>1069</v>
      </c>
      <c r="F2116" s="165" t="str">
        <f>"若敌人处在冰冻中，伤害增加"&amp;skill!$O$143/100&amp;"%"</f>
        <v>若敌人处在冰冻中，伤害增加35%</v>
      </c>
      <c r="G2116" s="186">
        <v>-3</v>
      </c>
      <c r="H2116" s="186">
        <f ca="1" t="shared" si="351"/>
        <v>0</v>
      </c>
      <c r="I2116" s="186"/>
      <c r="J2116" s="186">
        <f ca="1">OFFSET(card_type!$F$1,MATCH(Q2116,card_type!A:A,0)-1,0)</f>
        <v>4</v>
      </c>
      <c r="K2116" s="243">
        <f ca="1">OFFSET(card_type!$G$1,MATCH(Q2116,card_type!A:A,0)-1,0)</f>
        <v>2</v>
      </c>
      <c r="L2116" s="157">
        <v>2</v>
      </c>
      <c r="M2116" s="157">
        <v>2</v>
      </c>
      <c r="N2116" s="153">
        <f t="shared" si="347"/>
        <v>30</v>
      </c>
      <c r="O2116" s="157"/>
      <c r="P2116" s="157"/>
      <c r="Q2116" s="153">
        <f ca="1">OFFSET(card_type!$A$1,MATCH(card!B2116,card_type!B:B,0)-1,0)</f>
        <v>3402</v>
      </c>
      <c r="R2116" s="153">
        <v>1</v>
      </c>
      <c r="S2116" s="157">
        <f ca="1">ROUND(IF(R2116=0,0,IF(R2116=1,X2116*$S$1,IF(R2116=2,X2116*$S$1*buff的资质计算!$E$2,IF(R2116=3,X2116*$S$1*buff的资质计算!$E$3,0)))),0)*0</f>
        <v>0</v>
      </c>
      <c r="T2116" s="153">
        <v>3</v>
      </c>
      <c r="U2116" s="153">
        <f ca="1" t="shared" si="348"/>
        <v>42</v>
      </c>
      <c r="V2116" s="153">
        <f ca="1">ROUND((OFFSET(卡牌辅助配置表!$O$1,MATCH(U2116,卡牌辅助配置表!M:M,0)-1,0)+(N2116-1)*OFFSET(卡牌辅助配置表!$P$1,MATCH(U2116,卡牌辅助配置表!M:M,0)-1,0))*M2116,2)</f>
        <v>255.95</v>
      </c>
      <c r="W2116" s="157">
        <f ca="1">ROUND(IF(R2116=0,0,IF(R2116=1,X2116*$W$1,IF(R2116=2,X2116*$W$1*buff的资质计算!$E$2,IF(R2116=3,X2116*$W$1*buff的资质计算!$E$3,0)))),2)</f>
        <v>17.85</v>
      </c>
      <c r="X2116" s="157">
        <f ca="1" t="shared" si="360"/>
        <v>59.5</v>
      </c>
      <c r="Y2116" s="157">
        <f ca="1" t="shared" si="352"/>
        <v>59.5</v>
      </c>
      <c r="Z2116" s="304">
        <f ca="1" t="shared" si="361"/>
        <v>29.75</v>
      </c>
      <c r="AA2116" s="304">
        <f ca="1">OFFSET(卡牌辅助配置表!$AD$1,MATCH(AB2116,卡牌辅助配置表!AB:AB,0)-1,0)</f>
        <v>20700</v>
      </c>
      <c r="AB2116" s="304">
        <f ca="1" t="shared" si="349"/>
        <v>4230</v>
      </c>
      <c r="AC2116" s="153">
        <v>7</v>
      </c>
      <c r="AD2116" s="153">
        <v>2</v>
      </c>
      <c r="AE2116" s="153">
        <v>1</v>
      </c>
      <c r="AF2116" s="153" t="str">
        <f ca="1" t="shared" si="358"/>
        <v>34020011|</v>
      </c>
      <c r="AI2116" s="153">
        <v>1</v>
      </c>
      <c r="AJ2116" s="205">
        <f ca="1" t="shared" si="350"/>
        <v>0</v>
      </c>
      <c r="AK2116" s="205">
        <f ca="1">OFFSET([1]item_type!$A$1,MATCH(Q2116,[1]item_type!$G:$G,0)-1,0)</f>
        <v>303402</v>
      </c>
      <c r="AL2116" s="205"/>
      <c r="AM2116" s="205">
        <f ca="1">IF(B2116=B2117,OFFSET(卡牌辅助配置表!$AE$1,MATCH(AB2116,卡牌辅助配置表!AB:AB,0),0),0)</f>
        <v>0</v>
      </c>
      <c r="AN2116" s="153">
        <f ca="1">IF(B2116=B2177,A2116+1,0)</f>
        <v>0</v>
      </c>
      <c r="AP2116" s="153" t="str">
        <f ca="1">IF(AC2116=0,0,IF(AC2116=12,0,OFFSET(effect!$N$1,MATCH(K2116,effect!M:M,0)-1,0)))</f>
        <v>kpsx_pt</v>
      </c>
    </row>
    <row r="2117" spans="1:42">
      <c r="A2117" s="153">
        <f ca="1" t="shared" si="346"/>
        <v>3403001</v>
      </c>
      <c r="B2117" s="299" t="s">
        <v>914</v>
      </c>
      <c r="C2117" s="186">
        <v>3</v>
      </c>
      <c r="D2117" s="186">
        <v>4</v>
      </c>
      <c r="E2117" s="165" t="s">
        <v>1069</v>
      </c>
      <c r="F2117" s="165" t="str">
        <f>"若自身处在炎息中，伤害增加"&amp;skill!$O$143/100&amp;"%"</f>
        <v>若自身处在炎息中，伤害增加35%</v>
      </c>
      <c r="G2117" s="186">
        <v>-3</v>
      </c>
      <c r="H2117" s="186">
        <f ca="1" t="shared" si="351"/>
        <v>0</v>
      </c>
      <c r="I2117" s="186"/>
      <c r="J2117" s="186">
        <f ca="1">OFFSET(card_type!$F$1,MATCH(Q2117,card_type!A:A,0)-1,0)</f>
        <v>4</v>
      </c>
      <c r="K2117" s="243">
        <f ca="1">OFFSET(card_type!$G$1,MATCH(Q2117,card_type!A:A,0)-1,0)</f>
        <v>2</v>
      </c>
      <c r="L2117" s="157">
        <v>2</v>
      </c>
      <c r="M2117" s="157">
        <v>2</v>
      </c>
      <c r="N2117" s="153">
        <f t="shared" si="347"/>
        <v>1</v>
      </c>
      <c r="O2117" s="157"/>
      <c r="P2117" s="157"/>
      <c r="Q2117" s="153">
        <f ca="1">OFFSET(card_type!$A$1,MATCH(card!B2117,card_type!B:B,0)-1,0)</f>
        <v>3403</v>
      </c>
      <c r="R2117" s="153">
        <v>1</v>
      </c>
      <c r="S2117" s="157">
        <f ca="1">ROUND(IF(R2117=0,0,IF(R2117=1,X2117*$S$1,IF(R2117=2,X2117*$S$1*buff的资质计算!$E$2,IF(R2117=3,X2117*$S$1*buff的资质计算!$E$3,0)))),0)*0</f>
        <v>0</v>
      </c>
      <c r="T2117" s="153">
        <v>3</v>
      </c>
      <c r="U2117" s="153">
        <f ca="1" t="shared" si="348"/>
        <v>42</v>
      </c>
      <c r="V2117" s="153">
        <f ca="1">ROUND((OFFSET(卡牌辅助配置表!$O$1,MATCH(U2117,卡牌辅助配置表!M:M,0)-1,0)+(N2117-1)*OFFSET(卡牌辅助配置表!$P$1,MATCH(U2117,卡牌辅助配置表!M:M,0)-1,0))*M2117,2)</f>
        <v>44.25</v>
      </c>
      <c r="W2117" s="157">
        <f ca="1">ROUND(IF(R2117=0,0,IF(R2117=1,X2117*$W$1,IF(R2117=2,X2117*$W$1*buff的资质计算!$E$2,IF(R2117=3,X2117*$W$1*buff的资质计算!$E$3,0)))),2)</f>
        <v>13.5</v>
      </c>
      <c r="X2117" s="157">
        <f ca="1" t="shared" si="360"/>
        <v>45</v>
      </c>
      <c r="Y2117" s="157">
        <f ca="1" t="shared" si="352"/>
        <v>45</v>
      </c>
      <c r="Z2117" s="304">
        <f ca="1" t="shared" si="361"/>
        <v>22.5</v>
      </c>
      <c r="AA2117" s="304">
        <f ca="1">OFFSET(卡牌辅助配置表!$AD$1,MATCH(AB2117,卡牌辅助配置表!AB:AB,0)-1,0)</f>
        <v>460</v>
      </c>
      <c r="AB2117" s="304">
        <f ca="1" t="shared" si="349"/>
        <v>4201</v>
      </c>
      <c r="AC2117" s="153">
        <v>7</v>
      </c>
      <c r="AD2117" s="153">
        <v>2</v>
      </c>
      <c r="AE2117" s="153">
        <v>1</v>
      </c>
      <c r="AF2117" s="153" t="str">
        <f ca="1" t="shared" si="358"/>
        <v>34030011|</v>
      </c>
      <c r="AI2117" s="153">
        <v>1</v>
      </c>
      <c r="AJ2117" s="205" t="str">
        <f ca="1" t="shared" si="350"/>
        <v>400023|1050|;</v>
      </c>
      <c r="AK2117" s="205">
        <f ca="1">OFFSET([1]item_type!$A$1,MATCH(Q2117,[1]item_type!$G:$G,0)-1,0)</f>
        <v>303403</v>
      </c>
      <c r="AL2117" s="205"/>
      <c r="AM2117" s="205">
        <f ca="1">IF(B2117=B2118,OFFSET(卡牌辅助配置表!$AE$1,MATCH(AB2117,卡牌辅助配置表!AB:AB,0),0),0)</f>
        <v>1050</v>
      </c>
      <c r="AN2117" s="153">
        <f ca="1" t="shared" ref="AN2117:AN2180" si="366">IF(B2117=B2118,A2117+1,0)</f>
        <v>3403002</v>
      </c>
      <c r="AP2117" s="153" t="str">
        <f ca="1">IF(AC2117=0,0,IF(AC2117=12,0,OFFSET(effect!$N$1,MATCH(K2117,effect!M:M,0)-1,0)))</f>
        <v>kpsx_pt</v>
      </c>
    </row>
    <row r="2118" spans="1:42">
      <c r="A2118" s="153">
        <f ca="1" t="shared" ref="A2118:A2181" si="367">Q2118*1000+N2118</f>
        <v>3403002</v>
      </c>
      <c r="B2118" s="299" t="s">
        <v>914</v>
      </c>
      <c r="C2118" s="186">
        <v>3</v>
      </c>
      <c r="D2118" s="186">
        <v>4</v>
      </c>
      <c r="E2118" s="165" t="s">
        <v>1069</v>
      </c>
      <c r="F2118" s="165" t="str">
        <f>"若自身处在炎息中，伤害增加"&amp;skill!$O$143/100&amp;"%"</f>
        <v>若自身处在炎息中，伤害增加35%</v>
      </c>
      <c r="G2118" s="186">
        <v>-3</v>
      </c>
      <c r="H2118" s="186">
        <f ca="1" t="shared" si="351"/>
        <v>0</v>
      </c>
      <c r="I2118" s="186"/>
      <c r="J2118" s="186">
        <f ca="1">OFFSET(card_type!$F$1,MATCH(Q2118,card_type!A:A,0)-1,0)</f>
        <v>4</v>
      </c>
      <c r="K2118" s="243">
        <f ca="1">OFFSET(card_type!$G$1,MATCH(Q2118,card_type!A:A,0)-1,0)</f>
        <v>2</v>
      </c>
      <c r="L2118" s="157">
        <v>2</v>
      </c>
      <c r="M2118" s="157">
        <v>2</v>
      </c>
      <c r="N2118" s="153">
        <f t="shared" ref="N2118:N2146" si="368">IF(B2117=B2118,N2117+1,1)</f>
        <v>2</v>
      </c>
      <c r="O2118" s="157"/>
      <c r="P2118" s="157"/>
      <c r="Q2118" s="153">
        <f ca="1">OFFSET(card_type!$A$1,MATCH(card!B2118,card_type!B:B,0)-1,0)</f>
        <v>3403</v>
      </c>
      <c r="R2118" s="153">
        <v>1</v>
      </c>
      <c r="S2118" s="157">
        <f ca="1">ROUND(IF(R2118=0,0,IF(R2118=1,X2118*$S$1,IF(R2118=2,X2118*$S$1*buff的资质计算!$E$2,IF(R2118=3,X2118*$S$1*buff的资质计算!$E$3,0)))),0)*0</f>
        <v>0</v>
      </c>
      <c r="T2118" s="153">
        <v>3</v>
      </c>
      <c r="U2118" s="153">
        <f ca="1" t="shared" ref="U2118:U2181" si="369">J2118*10+K2118</f>
        <v>42</v>
      </c>
      <c r="V2118" s="153">
        <f ca="1">ROUND((OFFSET(卡牌辅助配置表!$O$1,MATCH(U2118,卡牌辅助配置表!M:M,0)-1,0)+(N2118-1)*OFFSET(卡牌辅助配置表!$P$1,MATCH(U2118,卡牌辅助配置表!M:M,0)-1,0))*M2118,2)</f>
        <v>51.55</v>
      </c>
      <c r="W2118" s="157">
        <f ca="1">ROUND(IF(R2118=0,0,IF(R2118=1,X2118*$W$1,IF(R2118=2,X2118*$W$1*buff的资质计算!$E$2,IF(R2118=3,X2118*$W$1*buff的资质计算!$E$3,0)))),2)</f>
        <v>13.65</v>
      </c>
      <c r="X2118" s="157">
        <f ca="1" t="shared" si="360"/>
        <v>45.5</v>
      </c>
      <c r="Y2118" s="157">
        <f ca="1" t="shared" si="352"/>
        <v>45.5</v>
      </c>
      <c r="Z2118" s="304">
        <f ca="1" t="shared" si="361"/>
        <v>22.75</v>
      </c>
      <c r="AA2118" s="304">
        <f ca="1">OFFSET(卡牌辅助配置表!$AD$1,MATCH(AB2118,卡牌辅助配置表!AB:AB,0)-1,0)</f>
        <v>920</v>
      </c>
      <c r="AB2118" s="304">
        <f ca="1" t="shared" ref="AB2118:AB2181" si="370">J2118*1000+K2118*100+N2118</f>
        <v>4202</v>
      </c>
      <c r="AC2118" s="153">
        <v>7</v>
      </c>
      <c r="AD2118" s="153">
        <v>2</v>
      </c>
      <c r="AE2118" s="153">
        <v>1</v>
      </c>
      <c r="AF2118" s="153" t="str">
        <f ca="1" t="shared" si="358"/>
        <v>34030011|</v>
      </c>
      <c r="AI2118" s="153">
        <v>1</v>
      </c>
      <c r="AJ2118" s="205" t="str">
        <f ca="1" t="shared" ref="AJ2118:AJ2181" si="371">IF(AN2118=0,0,IF(AL2118=0,$AM$1&amp;$AF$1&amp;AM2118&amp;$AF$1&amp;$AJ$1,AK2118&amp;$AF$1&amp;AL2118&amp;$AF$1&amp;$AJ$1&amp;$AM$1&amp;$AF$1&amp;AM2118&amp;$AF$1&amp;$AJ$1))</f>
        <v>400023|1350|;</v>
      </c>
      <c r="AK2118" s="205">
        <f ca="1">OFFSET([1]item_type!$A$1,MATCH(Q2118,[1]item_type!$G:$G,0)-1,0)</f>
        <v>303403</v>
      </c>
      <c r="AL2118" s="205"/>
      <c r="AM2118" s="205">
        <f ca="1">IF(B2118=B2119,OFFSET(卡牌辅助配置表!$AE$1,MATCH(AB2118,卡牌辅助配置表!AB:AB,0),0),0)</f>
        <v>1350</v>
      </c>
      <c r="AN2118" s="153">
        <f ca="1" t="shared" si="366"/>
        <v>3403003</v>
      </c>
      <c r="AP2118" s="153" t="str">
        <f ca="1">IF(AC2118=0,0,IF(AC2118=12,0,OFFSET(effect!$N$1,MATCH(K2118,effect!M:M,0)-1,0)))</f>
        <v>kpsx_pt</v>
      </c>
    </row>
    <row r="2119" spans="1:42">
      <c r="A2119" s="153">
        <f ca="1" t="shared" si="367"/>
        <v>3403003</v>
      </c>
      <c r="B2119" s="299" t="s">
        <v>914</v>
      </c>
      <c r="C2119" s="186">
        <v>3</v>
      </c>
      <c r="D2119" s="186">
        <v>4</v>
      </c>
      <c r="E2119" s="165" t="s">
        <v>1069</v>
      </c>
      <c r="F2119" s="165" t="str">
        <f>"若自身处在炎息中，伤害增加"&amp;skill!$O$143/100&amp;"%"</f>
        <v>若自身处在炎息中，伤害增加35%</v>
      </c>
      <c r="G2119" s="186">
        <v>-3</v>
      </c>
      <c r="H2119" s="186">
        <f ca="1" t="shared" si="351"/>
        <v>0</v>
      </c>
      <c r="I2119" s="186"/>
      <c r="J2119" s="186">
        <f ca="1">OFFSET(card_type!$F$1,MATCH(Q2119,card_type!A:A,0)-1,0)</f>
        <v>4</v>
      </c>
      <c r="K2119" s="243">
        <f ca="1">OFFSET(card_type!$G$1,MATCH(Q2119,card_type!A:A,0)-1,0)</f>
        <v>2</v>
      </c>
      <c r="L2119" s="157">
        <v>2</v>
      </c>
      <c r="M2119" s="157">
        <v>2</v>
      </c>
      <c r="N2119" s="153">
        <f t="shared" si="368"/>
        <v>3</v>
      </c>
      <c r="O2119" s="157"/>
      <c r="P2119" s="157"/>
      <c r="Q2119" s="153">
        <f ca="1">OFFSET(card_type!$A$1,MATCH(card!B2119,card_type!B:B,0)-1,0)</f>
        <v>3403</v>
      </c>
      <c r="R2119" s="153">
        <v>1</v>
      </c>
      <c r="S2119" s="157">
        <f ca="1">ROUND(IF(R2119=0,0,IF(R2119=1,X2119*$S$1,IF(R2119=2,X2119*$S$1*buff的资质计算!$E$2,IF(R2119=3,X2119*$S$1*buff的资质计算!$E$3,0)))),0)*0</f>
        <v>0</v>
      </c>
      <c r="T2119" s="153">
        <v>3</v>
      </c>
      <c r="U2119" s="153">
        <f ca="1" t="shared" si="369"/>
        <v>42</v>
      </c>
      <c r="V2119" s="153">
        <f ca="1">ROUND((OFFSET(卡牌辅助配置表!$O$1,MATCH(U2119,卡牌辅助配置表!M:M,0)-1,0)+(N2119-1)*OFFSET(卡牌辅助配置表!$P$1,MATCH(U2119,卡牌辅助配置表!M:M,0)-1,0))*M2119,2)</f>
        <v>58.85</v>
      </c>
      <c r="W2119" s="157">
        <f ca="1">ROUND(IF(R2119=0,0,IF(R2119=1,X2119*$W$1,IF(R2119=2,X2119*$W$1*buff的资质计算!$E$2,IF(R2119=3,X2119*$W$1*buff的资质计算!$E$3,0)))),2)</f>
        <v>13.8</v>
      </c>
      <c r="X2119" s="157">
        <f ca="1" t="shared" si="360"/>
        <v>46</v>
      </c>
      <c r="Y2119" s="157">
        <f ca="1" t="shared" si="352"/>
        <v>46</v>
      </c>
      <c r="Z2119" s="304">
        <f ca="1" t="shared" si="361"/>
        <v>23</v>
      </c>
      <c r="AA2119" s="304">
        <f ca="1">OFFSET(卡牌辅助配置表!$AD$1,MATCH(AB2119,卡牌辅助配置表!AB:AB,0)-1,0)</f>
        <v>1380</v>
      </c>
      <c r="AB2119" s="304">
        <f ca="1" t="shared" si="370"/>
        <v>4203</v>
      </c>
      <c r="AC2119" s="153">
        <v>7</v>
      </c>
      <c r="AD2119" s="153">
        <v>2</v>
      </c>
      <c r="AE2119" s="153">
        <v>1</v>
      </c>
      <c r="AF2119" s="153" t="str">
        <f ca="1" t="shared" si="358"/>
        <v>34030011|</v>
      </c>
      <c r="AI2119" s="153">
        <v>1</v>
      </c>
      <c r="AJ2119" s="205" t="str">
        <f ca="1" t="shared" si="371"/>
        <v>400023|1650|;</v>
      </c>
      <c r="AK2119" s="205">
        <f ca="1">OFFSET([1]item_type!$A$1,MATCH(Q2119,[1]item_type!$G:$G,0)-1,0)</f>
        <v>303403</v>
      </c>
      <c r="AL2119" s="205"/>
      <c r="AM2119" s="205">
        <f ca="1">IF(B2119=B2120,OFFSET(卡牌辅助配置表!$AE$1,MATCH(AB2119,卡牌辅助配置表!AB:AB,0),0),0)</f>
        <v>1650</v>
      </c>
      <c r="AN2119" s="153">
        <f ca="1" t="shared" si="366"/>
        <v>3403004</v>
      </c>
      <c r="AP2119" s="153" t="str">
        <f ca="1">IF(AC2119=0,0,IF(AC2119=12,0,OFFSET(effect!$N$1,MATCH(K2119,effect!M:M,0)-1,0)))</f>
        <v>kpsx_pt</v>
      </c>
    </row>
    <row r="2120" spans="1:42">
      <c r="A2120" s="153">
        <f ca="1" t="shared" si="367"/>
        <v>3403004</v>
      </c>
      <c r="B2120" s="299" t="s">
        <v>914</v>
      </c>
      <c r="C2120" s="186">
        <v>3</v>
      </c>
      <c r="D2120" s="186">
        <v>4</v>
      </c>
      <c r="E2120" s="165" t="s">
        <v>1069</v>
      </c>
      <c r="F2120" s="165" t="str">
        <f>"若自身处在炎息中，伤害增加"&amp;skill!$O$143/100&amp;"%"</f>
        <v>若自身处在炎息中，伤害增加35%</v>
      </c>
      <c r="G2120" s="186">
        <v>-3</v>
      </c>
      <c r="H2120" s="186">
        <f ca="1" t="shared" si="351"/>
        <v>0</v>
      </c>
      <c r="I2120" s="186"/>
      <c r="J2120" s="186">
        <f ca="1">OFFSET(card_type!$F$1,MATCH(Q2120,card_type!A:A,0)-1,0)</f>
        <v>4</v>
      </c>
      <c r="K2120" s="243">
        <f ca="1">OFFSET(card_type!$G$1,MATCH(Q2120,card_type!A:A,0)-1,0)</f>
        <v>2</v>
      </c>
      <c r="L2120" s="157">
        <v>2</v>
      </c>
      <c r="M2120" s="157">
        <v>2</v>
      </c>
      <c r="N2120" s="153">
        <f t="shared" si="368"/>
        <v>4</v>
      </c>
      <c r="O2120" s="157"/>
      <c r="P2120" s="157"/>
      <c r="Q2120" s="153">
        <f ca="1">OFFSET(card_type!$A$1,MATCH(card!B2120,card_type!B:B,0)-1,0)</f>
        <v>3403</v>
      </c>
      <c r="R2120" s="153">
        <v>1</v>
      </c>
      <c r="S2120" s="157">
        <f ca="1">ROUND(IF(R2120=0,0,IF(R2120=1,X2120*$S$1,IF(R2120=2,X2120*$S$1*buff的资质计算!$E$2,IF(R2120=3,X2120*$S$1*buff的资质计算!$E$3,0)))),0)*0</f>
        <v>0</v>
      </c>
      <c r="T2120" s="153">
        <v>3</v>
      </c>
      <c r="U2120" s="153">
        <f ca="1" t="shared" si="369"/>
        <v>42</v>
      </c>
      <c r="V2120" s="153">
        <f ca="1">ROUND((OFFSET(卡牌辅助配置表!$O$1,MATCH(U2120,卡牌辅助配置表!M:M,0)-1,0)+(N2120-1)*OFFSET(卡牌辅助配置表!$P$1,MATCH(U2120,卡牌辅助配置表!M:M,0)-1,0))*M2120,2)</f>
        <v>66.15</v>
      </c>
      <c r="W2120" s="157">
        <f ca="1">ROUND(IF(R2120=0,0,IF(R2120=1,X2120*$W$1,IF(R2120=2,X2120*$W$1*buff的资质计算!$E$2,IF(R2120=3,X2120*$W$1*buff的资质计算!$E$3,0)))),2)</f>
        <v>13.95</v>
      </c>
      <c r="X2120" s="157">
        <f ca="1" t="shared" si="360"/>
        <v>46.5</v>
      </c>
      <c r="Y2120" s="157">
        <f ca="1" t="shared" si="352"/>
        <v>46.5</v>
      </c>
      <c r="Z2120" s="304">
        <f ca="1" t="shared" si="361"/>
        <v>23.25</v>
      </c>
      <c r="AA2120" s="304">
        <f ca="1">OFFSET(卡牌辅助配置表!$AD$1,MATCH(AB2120,卡牌辅助配置表!AB:AB,0)-1,0)</f>
        <v>1840</v>
      </c>
      <c r="AB2120" s="304">
        <f ca="1" t="shared" si="370"/>
        <v>4204</v>
      </c>
      <c r="AC2120" s="153">
        <v>7</v>
      </c>
      <c r="AD2120" s="153">
        <v>2</v>
      </c>
      <c r="AE2120" s="153">
        <v>1</v>
      </c>
      <c r="AF2120" s="153" t="str">
        <f ca="1" t="shared" si="358"/>
        <v>34030011|</v>
      </c>
      <c r="AI2120" s="153">
        <v>1</v>
      </c>
      <c r="AJ2120" s="205" t="str">
        <f ca="1" t="shared" si="371"/>
        <v>400023|1950|;</v>
      </c>
      <c r="AK2120" s="205">
        <f ca="1">OFFSET([1]item_type!$A$1,MATCH(Q2120,[1]item_type!$G:$G,0)-1,0)</f>
        <v>303403</v>
      </c>
      <c r="AL2120" s="205"/>
      <c r="AM2120" s="205">
        <f ca="1">IF(B2120=B2121,OFFSET(卡牌辅助配置表!$AE$1,MATCH(AB2120,卡牌辅助配置表!AB:AB,0),0),0)</f>
        <v>1950</v>
      </c>
      <c r="AN2120" s="153">
        <f ca="1" t="shared" si="366"/>
        <v>3403005</v>
      </c>
      <c r="AP2120" s="153" t="str">
        <f ca="1">IF(AC2120=0,0,IF(AC2120=12,0,OFFSET(effect!$N$1,MATCH(K2120,effect!M:M,0)-1,0)))</f>
        <v>kpsx_pt</v>
      </c>
    </row>
    <row r="2121" spans="1:42">
      <c r="A2121" s="153">
        <f ca="1" t="shared" si="367"/>
        <v>3403005</v>
      </c>
      <c r="B2121" s="299" t="s">
        <v>914</v>
      </c>
      <c r="C2121" s="186">
        <v>3</v>
      </c>
      <c r="D2121" s="186">
        <v>4</v>
      </c>
      <c r="E2121" s="165" t="s">
        <v>1069</v>
      </c>
      <c r="F2121" s="165" t="str">
        <f>"若自身处在炎息中，伤害增加"&amp;skill!$O$143/100&amp;"%"</f>
        <v>若自身处在炎息中，伤害增加35%</v>
      </c>
      <c r="G2121" s="186">
        <v>-3</v>
      </c>
      <c r="H2121" s="186">
        <f ca="1" t="shared" ref="H2121:H2146" si="372">IF(R2121=0,Y2121,0)</f>
        <v>0</v>
      </c>
      <c r="I2121" s="186"/>
      <c r="J2121" s="186">
        <f ca="1">OFFSET(card_type!$F$1,MATCH(Q2121,card_type!A:A,0)-1,0)</f>
        <v>4</v>
      </c>
      <c r="K2121" s="243">
        <f ca="1">OFFSET(card_type!$G$1,MATCH(Q2121,card_type!A:A,0)-1,0)</f>
        <v>2</v>
      </c>
      <c r="L2121" s="157">
        <v>2</v>
      </c>
      <c r="M2121" s="157">
        <v>2</v>
      </c>
      <c r="N2121" s="153">
        <f t="shared" si="368"/>
        <v>5</v>
      </c>
      <c r="O2121" s="157"/>
      <c r="P2121" s="157"/>
      <c r="Q2121" s="153">
        <f ca="1">OFFSET(card_type!$A$1,MATCH(card!B2121,card_type!B:B,0)-1,0)</f>
        <v>3403</v>
      </c>
      <c r="R2121" s="153">
        <v>1</v>
      </c>
      <c r="S2121" s="157">
        <f ca="1">ROUND(IF(R2121=0,0,IF(R2121=1,X2121*$S$1,IF(R2121=2,X2121*$S$1*buff的资质计算!$E$2,IF(R2121=3,X2121*$S$1*buff的资质计算!$E$3,0)))),0)*0</f>
        <v>0</v>
      </c>
      <c r="T2121" s="153">
        <v>3</v>
      </c>
      <c r="U2121" s="153">
        <f ca="1" t="shared" si="369"/>
        <v>42</v>
      </c>
      <c r="V2121" s="153">
        <f ca="1">ROUND((OFFSET(卡牌辅助配置表!$O$1,MATCH(U2121,卡牌辅助配置表!M:M,0)-1,0)+(N2121-1)*OFFSET(卡牌辅助配置表!$P$1,MATCH(U2121,卡牌辅助配置表!M:M,0)-1,0))*M2121,2)</f>
        <v>73.45</v>
      </c>
      <c r="W2121" s="157">
        <f ca="1">ROUND(IF(R2121=0,0,IF(R2121=1,X2121*$W$1,IF(R2121=2,X2121*$W$1*buff的资质计算!$E$2,IF(R2121=3,X2121*$W$1*buff的资质计算!$E$3,0)))),2)</f>
        <v>14.1</v>
      </c>
      <c r="X2121" s="157">
        <f ca="1" t="shared" si="360"/>
        <v>47</v>
      </c>
      <c r="Y2121" s="157">
        <f ca="1" t="shared" si="352"/>
        <v>47</v>
      </c>
      <c r="Z2121" s="304">
        <f ca="1" t="shared" si="361"/>
        <v>23.5</v>
      </c>
      <c r="AA2121" s="304">
        <f ca="1">OFFSET(卡牌辅助配置表!$AD$1,MATCH(AB2121,卡牌辅助配置表!AB:AB,0)-1,0)</f>
        <v>2300</v>
      </c>
      <c r="AB2121" s="304">
        <f ca="1" t="shared" si="370"/>
        <v>4205</v>
      </c>
      <c r="AC2121" s="153">
        <v>7</v>
      </c>
      <c r="AD2121" s="153">
        <v>2</v>
      </c>
      <c r="AE2121" s="153">
        <v>1</v>
      </c>
      <c r="AF2121" s="153" t="str">
        <f ca="1" t="shared" si="358"/>
        <v>34030011|</v>
      </c>
      <c r="AI2121" s="153">
        <v>1</v>
      </c>
      <c r="AJ2121" s="205" t="str">
        <f ca="1" t="shared" si="371"/>
        <v>400023|2250|;</v>
      </c>
      <c r="AK2121" s="205">
        <f ca="1">OFFSET([1]item_type!$A$1,MATCH(Q2121,[1]item_type!$G:$G,0)-1,0)</f>
        <v>303403</v>
      </c>
      <c r="AL2121" s="205"/>
      <c r="AM2121" s="205">
        <f ca="1">IF(B2121=B2122,OFFSET(卡牌辅助配置表!$AE$1,MATCH(AB2121,卡牌辅助配置表!AB:AB,0),0),0)</f>
        <v>2250</v>
      </c>
      <c r="AN2121" s="153">
        <f ca="1" t="shared" si="366"/>
        <v>3403006</v>
      </c>
      <c r="AP2121" s="153" t="str">
        <f ca="1">IF(AC2121=0,0,IF(AC2121=12,0,OFFSET(effect!$N$1,MATCH(K2121,effect!M:M,0)-1,0)))</f>
        <v>kpsx_pt</v>
      </c>
    </row>
    <row r="2122" spans="1:42">
      <c r="A2122" s="153">
        <f ca="1" t="shared" si="367"/>
        <v>3403006</v>
      </c>
      <c r="B2122" s="299" t="s">
        <v>914</v>
      </c>
      <c r="C2122" s="186">
        <v>3</v>
      </c>
      <c r="D2122" s="186">
        <v>4</v>
      </c>
      <c r="E2122" s="165" t="s">
        <v>1069</v>
      </c>
      <c r="F2122" s="165" t="str">
        <f>"若自身处在炎息中，伤害增加"&amp;skill!$O$143/100&amp;"%"</f>
        <v>若自身处在炎息中，伤害增加35%</v>
      </c>
      <c r="G2122" s="186">
        <v>-3</v>
      </c>
      <c r="H2122" s="186">
        <f ca="1" t="shared" si="372"/>
        <v>0</v>
      </c>
      <c r="I2122" s="186"/>
      <c r="J2122" s="186">
        <f ca="1">OFFSET(card_type!$F$1,MATCH(Q2122,card_type!A:A,0)-1,0)</f>
        <v>4</v>
      </c>
      <c r="K2122" s="243">
        <f ca="1">OFFSET(card_type!$G$1,MATCH(Q2122,card_type!A:A,0)-1,0)</f>
        <v>2</v>
      </c>
      <c r="L2122" s="157">
        <v>2</v>
      </c>
      <c r="M2122" s="157">
        <v>2</v>
      </c>
      <c r="N2122" s="153">
        <f t="shared" si="368"/>
        <v>6</v>
      </c>
      <c r="O2122" s="157"/>
      <c r="P2122" s="157"/>
      <c r="Q2122" s="153">
        <f ca="1">OFFSET(card_type!$A$1,MATCH(card!B2122,card_type!B:B,0)-1,0)</f>
        <v>3403</v>
      </c>
      <c r="R2122" s="153">
        <v>1</v>
      </c>
      <c r="S2122" s="157">
        <f ca="1">ROUND(IF(R2122=0,0,IF(R2122=1,X2122*$S$1,IF(R2122=2,X2122*$S$1*buff的资质计算!$E$2,IF(R2122=3,X2122*$S$1*buff的资质计算!$E$3,0)))),0)*0</f>
        <v>0</v>
      </c>
      <c r="T2122" s="153">
        <v>3</v>
      </c>
      <c r="U2122" s="153">
        <f ca="1" t="shared" si="369"/>
        <v>42</v>
      </c>
      <c r="V2122" s="153">
        <f ca="1">ROUND((OFFSET(卡牌辅助配置表!$O$1,MATCH(U2122,卡牌辅助配置表!M:M,0)-1,0)+(N2122-1)*OFFSET(卡牌辅助配置表!$P$1,MATCH(U2122,卡牌辅助配置表!M:M,0)-1,0))*M2122,2)</f>
        <v>80.75</v>
      </c>
      <c r="W2122" s="157">
        <f ca="1">ROUND(IF(R2122=0,0,IF(R2122=1,X2122*$W$1,IF(R2122=2,X2122*$W$1*buff的资质计算!$E$2,IF(R2122=3,X2122*$W$1*buff的资质计算!$E$3,0)))),2)</f>
        <v>14.25</v>
      </c>
      <c r="X2122" s="157">
        <f ca="1" t="shared" si="360"/>
        <v>47.5</v>
      </c>
      <c r="Y2122" s="157">
        <f ca="1" t="shared" ref="Y2122:Y2185" si="373">X2122+H2122</f>
        <v>47.5</v>
      </c>
      <c r="Z2122" s="304">
        <f ca="1" t="shared" si="361"/>
        <v>23.75</v>
      </c>
      <c r="AA2122" s="304">
        <f ca="1">OFFSET(卡牌辅助配置表!$AD$1,MATCH(AB2122,卡牌辅助配置表!AB:AB,0)-1,0)</f>
        <v>2760</v>
      </c>
      <c r="AB2122" s="304">
        <f ca="1" t="shared" si="370"/>
        <v>4206</v>
      </c>
      <c r="AC2122" s="153">
        <v>7</v>
      </c>
      <c r="AD2122" s="153">
        <v>2</v>
      </c>
      <c r="AE2122" s="153">
        <v>1</v>
      </c>
      <c r="AF2122" s="153" t="str">
        <f ca="1" t="shared" si="358"/>
        <v>34030011|</v>
      </c>
      <c r="AI2122" s="153">
        <v>1</v>
      </c>
      <c r="AJ2122" s="205" t="str">
        <f ca="1" t="shared" si="371"/>
        <v>400023|2550|;</v>
      </c>
      <c r="AK2122" s="205">
        <f ca="1">OFFSET([1]item_type!$A$1,MATCH(Q2122,[1]item_type!$G:$G,0)-1,0)</f>
        <v>303403</v>
      </c>
      <c r="AL2122" s="205"/>
      <c r="AM2122" s="205">
        <f ca="1">IF(B2122=B2123,OFFSET(卡牌辅助配置表!$AE$1,MATCH(AB2122,卡牌辅助配置表!AB:AB,0),0),0)</f>
        <v>2550</v>
      </c>
      <c r="AN2122" s="153">
        <f ca="1" t="shared" si="366"/>
        <v>3403007</v>
      </c>
      <c r="AP2122" s="153" t="str">
        <f ca="1">IF(AC2122=0,0,IF(AC2122=12,0,OFFSET(effect!$N$1,MATCH(K2122,effect!M:M,0)-1,0)))</f>
        <v>kpsx_pt</v>
      </c>
    </row>
    <row r="2123" spans="1:42">
      <c r="A2123" s="153">
        <f ca="1" t="shared" si="367"/>
        <v>3403007</v>
      </c>
      <c r="B2123" s="299" t="s">
        <v>914</v>
      </c>
      <c r="C2123" s="186">
        <v>3</v>
      </c>
      <c r="D2123" s="186">
        <v>4</v>
      </c>
      <c r="E2123" s="165" t="s">
        <v>1069</v>
      </c>
      <c r="F2123" s="165" t="str">
        <f>"若自身处在炎息中，伤害增加"&amp;skill!$O$143/100&amp;"%"</f>
        <v>若自身处在炎息中，伤害增加35%</v>
      </c>
      <c r="G2123" s="186">
        <v>-3</v>
      </c>
      <c r="H2123" s="186">
        <f ca="1" t="shared" si="372"/>
        <v>0</v>
      </c>
      <c r="I2123" s="186"/>
      <c r="J2123" s="186">
        <f ca="1">OFFSET(card_type!$F$1,MATCH(Q2123,card_type!A:A,0)-1,0)</f>
        <v>4</v>
      </c>
      <c r="K2123" s="243">
        <f ca="1">OFFSET(card_type!$G$1,MATCH(Q2123,card_type!A:A,0)-1,0)</f>
        <v>2</v>
      </c>
      <c r="L2123" s="157">
        <v>2</v>
      </c>
      <c r="M2123" s="157">
        <v>2</v>
      </c>
      <c r="N2123" s="153">
        <f t="shared" si="368"/>
        <v>7</v>
      </c>
      <c r="O2123" s="157"/>
      <c r="P2123" s="157"/>
      <c r="Q2123" s="153">
        <f ca="1">OFFSET(card_type!$A$1,MATCH(card!B2123,card_type!B:B,0)-1,0)</f>
        <v>3403</v>
      </c>
      <c r="R2123" s="153">
        <v>1</v>
      </c>
      <c r="S2123" s="157">
        <f ca="1">ROUND(IF(R2123=0,0,IF(R2123=1,X2123*$S$1,IF(R2123=2,X2123*$S$1*buff的资质计算!$E$2,IF(R2123=3,X2123*$S$1*buff的资质计算!$E$3,0)))),0)*0</f>
        <v>0</v>
      </c>
      <c r="T2123" s="153">
        <v>3</v>
      </c>
      <c r="U2123" s="153">
        <f ca="1" t="shared" si="369"/>
        <v>42</v>
      </c>
      <c r="V2123" s="153">
        <f ca="1">ROUND((OFFSET(卡牌辅助配置表!$O$1,MATCH(U2123,卡牌辅助配置表!M:M,0)-1,0)+(N2123-1)*OFFSET(卡牌辅助配置表!$P$1,MATCH(U2123,卡牌辅助配置表!M:M,0)-1,0))*M2123,2)</f>
        <v>88.05</v>
      </c>
      <c r="W2123" s="157">
        <f ca="1">ROUND(IF(R2123=0,0,IF(R2123=1,X2123*$W$1,IF(R2123=2,X2123*$W$1*buff的资质计算!$E$2,IF(R2123=3,X2123*$W$1*buff的资质计算!$E$3,0)))),2)</f>
        <v>14.4</v>
      </c>
      <c r="X2123" s="157">
        <f ca="1" t="shared" si="360"/>
        <v>48</v>
      </c>
      <c r="Y2123" s="157">
        <f ca="1" t="shared" si="373"/>
        <v>48</v>
      </c>
      <c r="Z2123" s="304">
        <f ca="1" t="shared" si="361"/>
        <v>24</v>
      </c>
      <c r="AA2123" s="304">
        <f ca="1">OFFSET(卡牌辅助配置表!$AD$1,MATCH(AB2123,卡牌辅助配置表!AB:AB,0)-1,0)</f>
        <v>3220</v>
      </c>
      <c r="AB2123" s="304">
        <f ca="1" t="shared" si="370"/>
        <v>4207</v>
      </c>
      <c r="AC2123" s="153">
        <v>7</v>
      </c>
      <c r="AD2123" s="153">
        <v>2</v>
      </c>
      <c r="AE2123" s="153">
        <v>1</v>
      </c>
      <c r="AF2123" s="153" t="str">
        <f ca="1" t="shared" si="358"/>
        <v>34030011|</v>
      </c>
      <c r="AI2123" s="153">
        <v>1</v>
      </c>
      <c r="AJ2123" s="205" t="str">
        <f ca="1" t="shared" si="371"/>
        <v>400023|2850|;</v>
      </c>
      <c r="AK2123" s="205">
        <f ca="1">OFFSET([1]item_type!$A$1,MATCH(Q2123,[1]item_type!$G:$G,0)-1,0)</f>
        <v>303403</v>
      </c>
      <c r="AL2123" s="205"/>
      <c r="AM2123" s="205">
        <f ca="1">IF(B2123=B2124,OFFSET(卡牌辅助配置表!$AE$1,MATCH(AB2123,卡牌辅助配置表!AB:AB,0),0),0)</f>
        <v>2850</v>
      </c>
      <c r="AN2123" s="153">
        <f ca="1" t="shared" si="366"/>
        <v>3403008</v>
      </c>
      <c r="AP2123" s="153" t="str">
        <f ca="1">IF(AC2123=0,0,IF(AC2123=12,0,OFFSET(effect!$N$1,MATCH(K2123,effect!M:M,0)-1,0)))</f>
        <v>kpsx_pt</v>
      </c>
    </row>
    <row r="2124" spans="1:42">
      <c r="A2124" s="153">
        <f ca="1" t="shared" si="367"/>
        <v>3403008</v>
      </c>
      <c r="B2124" s="299" t="s">
        <v>914</v>
      </c>
      <c r="C2124" s="186">
        <v>3</v>
      </c>
      <c r="D2124" s="186">
        <v>4</v>
      </c>
      <c r="E2124" s="165" t="s">
        <v>1069</v>
      </c>
      <c r="F2124" s="165" t="str">
        <f>"若自身处在炎息中，伤害增加"&amp;skill!$O$143/100&amp;"%"</f>
        <v>若自身处在炎息中，伤害增加35%</v>
      </c>
      <c r="G2124" s="186">
        <v>-3</v>
      </c>
      <c r="H2124" s="186">
        <f ca="1" t="shared" si="372"/>
        <v>0</v>
      </c>
      <c r="I2124" s="186"/>
      <c r="J2124" s="186">
        <f ca="1">OFFSET(card_type!$F$1,MATCH(Q2124,card_type!A:A,0)-1,0)</f>
        <v>4</v>
      </c>
      <c r="K2124" s="243">
        <f ca="1">OFFSET(card_type!$G$1,MATCH(Q2124,card_type!A:A,0)-1,0)</f>
        <v>2</v>
      </c>
      <c r="L2124" s="157">
        <v>2</v>
      </c>
      <c r="M2124" s="157">
        <v>2</v>
      </c>
      <c r="N2124" s="153">
        <f t="shared" si="368"/>
        <v>8</v>
      </c>
      <c r="O2124" s="157"/>
      <c r="P2124" s="157"/>
      <c r="Q2124" s="153">
        <f ca="1">OFFSET(card_type!$A$1,MATCH(card!B2124,card_type!B:B,0)-1,0)</f>
        <v>3403</v>
      </c>
      <c r="R2124" s="153">
        <v>1</v>
      </c>
      <c r="S2124" s="157">
        <f ca="1">ROUND(IF(R2124=0,0,IF(R2124=1,X2124*$S$1,IF(R2124=2,X2124*$S$1*buff的资质计算!$E$2,IF(R2124=3,X2124*$S$1*buff的资质计算!$E$3,0)))),0)*0</f>
        <v>0</v>
      </c>
      <c r="T2124" s="153">
        <v>3</v>
      </c>
      <c r="U2124" s="153">
        <f ca="1" t="shared" si="369"/>
        <v>42</v>
      </c>
      <c r="V2124" s="153">
        <f ca="1">ROUND((OFFSET(卡牌辅助配置表!$O$1,MATCH(U2124,卡牌辅助配置表!M:M,0)-1,0)+(N2124-1)*OFFSET(卡牌辅助配置表!$P$1,MATCH(U2124,卡牌辅助配置表!M:M,0)-1,0))*M2124,2)</f>
        <v>95.35</v>
      </c>
      <c r="W2124" s="157">
        <f ca="1">ROUND(IF(R2124=0,0,IF(R2124=1,X2124*$W$1,IF(R2124=2,X2124*$W$1*buff的资质计算!$E$2,IF(R2124=3,X2124*$W$1*buff的资质计算!$E$3,0)))),2)</f>
        <v>14.55</v>
      </c>
      <c r="X2124" s="157">
        <f ca="1" t="shared" si="360"/>
        <v>48.5</v>
      </c>
      <c r="Y2124" s="157">
        <f ca="1" t="shared" si="373"/>
        <v>48.5</v>
      </c>
      <c r="Z2124" s="304">
        <f ca="1" t="shared" si="361"/>
        <v>24.25</v>
      </c>
      <c r="AA2124" s="304">
        <f ca="1">OFFSET(卡牌辅助配置表!$AD$1,MATCH(AB2124,卡牌辅助配置表!AB:AB,0)-1,0)</f>
        <v>3680</v>
      </c>
      <c r="AB2124" s="304">
        <f ca="1" t="shared" si="370"/>
        <v>4208</v>
      </c>
      <c r="AC2124" s="153">
        <v>7</v>
      </c>
      <c r="AD2124" s="153">
        <v>2</v>
      </c>
      <c r="AE2124" s="153">
        <v>1</v>
      </c>
      <c r="AF2124" s="153" t="str">
        <f ca="1" t="shared" si="358"/>
        <v>34030011|</v>
      </c>
      <c r="AI2124" s="153">
        <v>1</v>
      </c>
      <c r="AJ2124" s="205" t="str">
        <f ca="1" t="shared" si="371"/>
        <v>400023|3150|;</v>
      </c>
      <c r="AK2124" s="205">
        <f ca="1">OFFSET([1]item_type!$A$1,MATCH(Q2124,[1]item_type!$G:$G,0)-1,0)</f>
        <v>303403</v>
      </c>
      <c r="AL2124" s="205"/>
      <c r="AM2124" s="205">
        <f ca="1">IF(B2124=B2125,OFFSET(卡牌辅助配置表!$AE$1,MATCH(AB2124,卡牌辅助配置表!AB:AB,0),0),0)</f>
        <v>3150</v>
      </c>
      <c r="AN2124" s="153">
        <f ca="1" t="shared" si="366"/>
        <v>3403009</v>
      </c>
      <c r="AP2124" s="153" t="str">
        <f ca="1">IF(AC2124=0,0,IF(AC2124=12,0,OFFSET(effect!$N$1,MATCH(K2124,effect!M:M,0)-1,0)))</f>
        <v>kpsx_pt</v>
      </c>
    </row>
    <row r="2125" spans="1:42">
      <c r="A2125" s="153">
        <f ca="1" t="shared" si="367"/>
        <v>3403009</v>
      </c>
      <c r="B2125" s="299" t="s">
        <v>914</v>
      </c>
      <c r="C2125" s="186">
        <v>3</v>
      </c>
      <c r="D2125" s="186">
        <v>4</v>
      </c>
      <c r="E2125" s="165" t="s">
        <v>1069</v>
      </c>
      <c r="F2125" s="165" t="str">
        <f>"若自身处在炎息中，伤害增加"&amp;skill!$O$143/100&amp;"%"</f>
        <v>若自身处在炎息中，伤害增加35%</v>
      </c>
      <c r="G2125" s="186">
        <v>-3</v>
      </c>
      <c r="H2125" s="186">
        <f ca="1" t="shared" si="372"/>
        <v>0</v>
      </c>
      <c r="I2125" s="186"/>
      <c r="J2125" s="186">
        <f ca="1">OFFSET(card_type!$F$1,MATCH(Q2125,card_type!A:A,0)-1,0)</f>
        <v>4</v>
      </c>
      <c r="K2125" s="243">
        <f ca="1">OFFSET(card_type!$G$1,MATCH(Q2125,card_type!A:A,0)-1,0)</f>
        <v>2</v>
      </c>
      <c r="L2125" s="157">
        <v>2</v>
      </c>
      <c r="M2125" s="157">
        <v>2</v>
      </c>
      <c r="N2125" s="153">
        <f t="shared" si="368"/>
        <v>9</v>
      </c>
      <c r="O2125" s="157"/>
      <c r="P2125" s="157"/>
      <c r="Q2125" s="153">
        <f ca="1">OFFSET(card_type!$A$1,MATCH(card!B2125,card_type!B:B,0)-1,0)</f>
        <v>3403</v>
      </c>
      <c r="R2125" s="153">
        <v>1</v>
      </c>
      <c r="S2125" s="157">
        <f ca="1">ROUND(IF(R2125=0,0,IF(R2125=1,X2125*$S$1,IF(R2125=2,X2125*$S$1*buff的资质计算!$E$2,IF(R2125=3,X2125*$S$1*buff的资质计算!$E$3,0)))),0)*0</f>
        <v>0</v>
      </c>
      <c r="T2125" s="153">
        <v>3</v>
      </c>
      <c r="U2125" s="153">
        <f ca="1" t="shared" si="369"/>
        <v>42</v>
      </c>
      <c r="V2125" s="153">
        <f ca="1">ROUND((OFFSET(卡牌辅助配置表!$O$1,MATCH(U2125,卡牌辅助配置表!M:M,0)-1,0)+(N2125-1)*OFFSET(卡牌辅助配置表!$P$1,MATCH(U2125,卡牌辅助配置表!M:M,0)-1,0))*M2125,2)</f>
        <v>102.65</v>
      </c>
      <c r="W2125" s="157">
        <f ca="1">ROUND(IF(R2125=0,0,IF(R2125=1,X2125*$W$1,IF(R2125=2,X2125*$W$1*buff的资质计算!$E$2,IF(R2125=3,X2125*$W$1*buff的资质计算!$E$3,0)))),2)</f>
        <v>14.7</v>
      </c>
      <c r="X2125" s="157">
        <f ca="1" t="shared" si="360"/>
        <v>49</v>
      </c>
      <c r="Y2125" s="157">
        <f ca="1" t="shared" si="373"/>
        <v>49</v>
      </c>
      <c r="Z2125" s="304">
        <f ca="1" t="shared" si="361"/>
        <v>24.5</v>
      </c>
      <c r="AA2125" s="304">
        <f ca="1">OFFSET(卡牌辅助配置表!$AD$1,MATCH(AB2125,卡牌辅助配置表!AB:AB,0)-1,0)</f>
        <v>4140</v>
      </c>
      <c r="AB2125" s="304">
        <f ca="1" t="shared" si="370"/>
        <v>4209</v>
      </c>
      <c r="AC2125" s="153">
        <v>7</v>
      </c>
      <c r="AD2125" s="153">
        <v>2</v>
      </c>
      <c r="AE2125" s="153">
        <v>1</v>
      </c>
      <c r="AF2125" s="153" t="str">
        <f ca="1" t="shared" si="358"/>
        <v>34030011|</v>
      </c>
      <c r="AI2125" s="153">
        <v>1</v>
      </c>
      <c r="AJ2125" s="205" t="str">
        <f ca="1" t="shared" si="371"/>
        <v>303403|15|;400023|3450|;</v>
      </c>
      <c r="AK2125" s="205">
        <f ca="1">OFFSET([1]item_type!$A$1,MATCH(Q2125,[1]item_type!$G:$G,0)-1,0)</f>
        <v>303403</v>
      </c>
      <c r="AL2125" s="205">
        <v>15</v>
      </c>
      <c r="AM2125" s="205">
        <f ca="1">IF(B2125=B2126,OFFSET(卡牌辅助配置表!$AE$1,MATCH(AB2125,卡牌辅助配置表!AB:AB,0),0),0)</f>
        <v>3450</v>
      </c>
      <c r="AN2125" s="153">
        <f ca="1" t="shared" si="366"/>
        <v>3403010</v>
      </c>
      <c r="AP2125" s="153" t="str">
        <f ca="1">IF(AC2125=0,0,IF(AC2125=12,0,OFFSET(effect!$N$1,MATCH(K2125,effect!M:M,0)-1,0)))</f>
        <v>kpsx_pt</v>
      </c>
    </row>
    <row r="2126" spans="1:42">
      <c r="A2126" s="153">
        <f ca="1" t="shared" si="367"/>
        <v>3403010</v>
      </c>
      <c r="B2126" s="299" t="s">
        <v>914</v>
      </c>
      <c r="C2126" s="186">
        <v>3</v>
      </c>
      <c r="D2126" s="186">
        <v>4</v>
      </c>
      <c r="E2126" s="165" t="s">
        <v>1069</v>
      </c>
      <c r="F2126" s="165" t="str">
        <f>"若自身处在炎息中，伤害增加"&amp;skill!$O$143/100&amp;"%"</f>
        <v>若自身处在炎息中，伤害增加35%</v>
      </c>
      <c r="G2126" s="186">
        <v>-3</v>
      </c>
      <c r="H2126" s="186">
        <f ca="1" t="shared" si="372"/>
        <v>0</v>
      </c>
      <c r="I2126" s="186"/>
      <c r="J2126" s="186">
        <f ca="1">OFFSET(card_type!$F$1,MATCH(Q2126,card_type!A:A,0)-1,0)</f>
        <v>4</v>
      </c>
      <c r="K2126" s="243">
        <f ca="1">OFFSET(card_type!$G$1,MATCH(Q2126,card_type!A:A,0)-1,0)</f>
        <v>2</v>
      </c>
      <c r="L2126" s="157">
        <v>2</v>
      </c>
      <c r="M2126" s="157">
        <v>2</v>
      </c>
      <c r="N2126" s="153">
        <f t="shared" si="368"/>
        <v>10</v>
      </c>
      <c r="O2126" s="157"/>
      <c r="P2126" s="157"/>
      <c r="Q2126" s="153">
        <f ca="1">OFFSET(card_type!$A$1,MATCH(card!B2126,card_type!B:B,0)-1,0)</f>
        <v>3403</v>
      </c>
      <c r="R2126" s="153">
        <v>1</v>
      </c>
      <c r="S2126" s="157">
        <f ca="1">ROUND(IF(R2126=0,0,IF(R2126=1,X2126*$S$1,IF(R2126=2,X2126*$S$1*buff的资质计算!$E$2,IF(R2126=3,X2126*$S$1*buff的资质计算!$E$3,0)))),0)*0</f>
        <v>0</v>
      </c>
      <c r="T2126" s="153">
        <v>3</v>
      </c>
      <c r="U2126" s="153">
        <f ca="1" t="shared" si="369"/>
        <v>42</v>
      </c>
      <c r="V2126" s="153">
        <f ca="1">ROUND((OFFSET(卡牌辅助配置表!$O$1,MATCH(U2126,卡牌辅助配置表!M:M,0)-1,0)+(N2126-1)*OFFSET(卡牌辅助配置表!$P$1,MATCH(U2126,卡牌辅助配置表!M:M,0)-1,0))*M2126,2)</f>
        <v>109.95</v>
      </c>
      <c r="W2126" s="157">
        <f ca="1">ROUND(IF(R2126=0,0,IF(R2126=1,X2126*$W$1,IF(R2126=2,X2126*$W$1*buff的资质计算!$E$2,IF(R2126=3,X2126*$W$1*buff的资质计算!$E$3,0)))),2)</f>
        <v>14.85</v>
      </c>
      <c r="X2126" s="157">
        <f ca="1" t="shared" si="360"/>
        <v>49.5</v>
      </c>
      <c r="Y2126" s="157">
        <f ca="1" t="shared" si="373"/>
        <v>49.5</v>
      </c>
      <c r="Z2126" s="304">
        <f ca="1" t="shared" si="361"/>
        <v>24.75</v>
      </c>
      <c r="AA2126" s="304">
        <f ca="1">OFFSET(卡牌辅助配置表!$AD$1,MATCH(AB2126,卡牌辅助配置表!AB:AB,0)-1,0)</f>
        <v>4600</v>
      </c>
      <c r="AB2126" s="304">
        <f ca="1" t="shared" si="370"/>
        <v>4210</v>
      </c>
      <c r="AC2126" s="153">
        <v>7</v>
      </c>
      <c r="AD2126" s="153">
        <v>2</v>
      </c>
      <c r="AE2126" s="153">
        <v>1</v>
      </c>
      <c r="AF2126" s="153" t="str">
        <f ca="1" t="shared" si="358"/>
        <v>34030011|</v>
      </c>
      <c r="AI2126" s="153">
        <v>1</v>
      </c>
      <c r="AJ2126" s="205" t="str">
        <f ca="1" t="shared" si="371"/>
        <v>400023|4050|;</v>
      </c>
      <c r="AK2126" s="205">
        <f ca="1">OFFSET([1]item_type!$A$1,MATCH(Q2126,[1]item_type!$G:$G,0)-1,0)</f>
        <v>303403</v>
      </c>
      <c r="AL2126" s="205"/>
      <c r="AM2126" s="205">
        <f ca="1">IF(B2126=B2127,OFFSET(卡牌辅助配置表!$AE$1,MATCH(AB2126,卡牌辅助配置表!AB:AB,0),0),0)</f>
        <v>4050</v>
      </c>
      <c r="AN2126" s="153">
        <f ca="1" t="shared" si="366"/>
        <v>3403011</v>
      </c>
      <c r="AP2126" s="153" t="str">
        <f ca="1">IF(AC2126=0,0,IF(AC2126=12,0,OFFSET(effect!$N$1,MATCH(K2126,effect!M:M,0)-1,0)))</f>
        <v>kpsx_pt</v>
      </c>
    </row>
    <row r="2127" spans="1:42">
      <c r="A2127" s="153">
        <f ca="1" t="shared" si="367"/>
        <v>3403011</v>
      </c>
      <c r="B2127" s="299" t="s">
        <v>914</v>
      </c>
      <c r="C2127" s="186">
        <v>3</v>
      </c>
      <c r="D2127" s="186">
        <v>4</v>
      </c>
      <c r="E2127" s="165" t="s">
        <v>1069</v>
      </c>
      <c r="F2127" s="165" t="str">
        <f>"若自身处在炎息中，伤害增加"&amp;skill!$O$143/100&amp;"%"</f>
        <v>若自身处在炎息中，伤害增加35%</v>
      </c>
      <c r="G2127" s="186">
        <v>-3</v>
      </c>
      <c r="H2127" s="186">
        <f ca="1" t="shared" si="372"/>
        <v>0</v>
      </c>
      <c r="I2127" s="186"/>
      <c r="J2127" s="186">
        <f ca="1">OFFSET(card_type!$F$1,MATCH(Q2127,card_type!A:A,0)-1,0)</f>
        <v>4</v>
      </c>
      <c r="K2127" s="243">
        <f ca="1">OFFSET(card_type!$G$1,MATCH(Q2127,card_type!A:A,0)-1,0)</f>
        <v>2</v>
      </c>
      <c r="L2127" s="157">
        <v>2</v>
      </c>
      <c r="M2127" s="157">
        <v>2</v>
      </c>
      <c r="N2127" s="153">
        <f t="shared" si="368"/>
        <v>11</v>
      </c>
      <c r="O2127" s="157"/>
      <c r="P2127" s="157"/>
      <c r="Q2127" s="153">
        <f ca="1">OFFSET(card_type!$A$1,MATCH(card!B2127,card_type!B:B,0)-1,0)</f>
        <v>3403</v>
      </c>
      <c r="R2127" s="153">
        <v>1</v>
      </c>
      <c r="S2127" s="157">
        <f ca="1">ROUND(IF(R2127=0,0,IF(R2127=1,X2127*$S$1,IF(R2127=2,X2127*$S$1*buff的资质计算!$E$2,IF(R2127=3,X2127*$S$1*buff的资质计算!$E$3,0)))),0)*0</f>
        <v>0</v>
      </c>
      <c r="T2127" s="153">
        <v>3</v>
      </c>
      <c r="U2127" s="153">
        <f ca="1" t="shared" si="369"/>
        <v>42</v>
      </c>
      <c r="V2127" s="153">
        <f ca="1">ROUND((OFFSET(卡牌辅助配置表!$O$1,MATCH(U2127,卡牌辅助配置表!M:M,0)-1,0)+(N2127-1)*OFFSET(卡牌辅助配置表!$P$1,MATCH(U2127,卡牌辅助配置表!M:M,0)-1,0))*M2127,2)</f>
        <v>117.25</v>
      </c>
      <c r="W2127" s="157">
        <f ca="1">ROUND(IF(R2127=0,0,IF(R2127=1,X2127*$W$1,IF(R2127=2,X2127*$W$1*buff的资质计算!$E$2,IF(R2127=3,X2127*$W$1*buff的资质计算!$E$3,0)))),2)</f>
        <v>15</v>
      </c>
      <c r="X2127" s="157">
        <f ca="1" t="shared" si="360"/>
        <v>50</v>
      </c>
      <c r="Y2127" s="157">
        <f ca="1" t="shared" si="373"/>
        <v>50</v>
      </c>
      <c r="Z2127" s="304">
        <f ca="1" t="shared" si="361"/>
        <v>25</v>
      </c>
      <c r="AA2127" s="304">
        <f ca="1">OFFSET(卡牌辅助配置表!$AD$1,MATCH(AB2127,卡牌辅助配置表!AB:AB,0)-1,0)</f>
        <v>5290</v>
      </c>
      <c r="AB2127" s="304">
        <f ca="1" t="shared" si="370"/>
        <v>4211</v>
      </c>
      <c r="AC2127" s="153">
        <v>7</v>
      </c>
      <c r="AD2127" s="153">
        <v>2</v>
      </c>
      <c r="AE2127" s="153">
        <v>1</v>
      </c>
      <c r="AF2127" s="153" t="str">
        <f ca="1" t="shared" si="358"/>
        <v>34030011|</v>
      </c>
      <c r="AI2127" s="153">
        <v>1</v>
      </c>
      <c r="AJ2127" s="205" t="str">
        <f ca="1" t="shared" si="371"/>
        <v>400023|4650|;</v>
      </c>
      <c r="AK2127" s="205">
        <f ca="1">OFFSET([1]item_type!$A$1,MATCH(Q2127,[1]item_type!$G:$G,0)-1,0)</f>
        <v>303403</v>
      </c>
      <c r="AL2127" s="205"/>
      <c r="AM2127" s="205">
        <f ca="1">IF(B2127=B2128,OFFSET(卡牌辅助配置表!$AE$1,MATCH(AB2127,卡牌辅助配置表!AB:AB,0),0),0)</f>
        <v>4650</v>
      </c>
      <c r="AN2127" s="153">
        <f ca="1" t="shared" si="366"/>
        <v>3403012</v>
      </c>
      <c r="AP2127" s="153" t="str">
        <f ca="1">IF(AC2127=0,0,IF(AC2127=12,0,OFFSET(effect!$N$1,MATCH(K2127,effect!M:M,0)-1,0)))</f>
        <v>kpsx_pt</v>
      </c>
    </row>
    <row r="2128" spans="1:42">
      <c r="A2128" s="153">
        <f ca="1" t="shared" si="367"/>
        <v>3403012</v>
      </c>
      <c r="B2128" s="299" t="s">
        <v>914</v>
      </c>
      <c r="C2128" s="186">
        <v>3</v>
      </c>
      <c r="D2128" s="186">
        <v>4</v>
      </c>
      <c r="E2128" s="165" t="s">
        <v>1069</v>
      </c>
      <c r="F2128" s="165" t="str">
        <f>"若自身处在炎息中，伤害增加"&amp;skill!$O$143/100&amp;"%"</f>
        <v>若自身处在炎息中，伤害增加35%</v>
      </c>
      <c r="G2128" s="186">
        <v>-3</v>
      </c>
      <c r="H2128" s="186">
        <f ca="1" t="shared" si="372"/>
        <v>0</v>
      </c>
      <c r="I2128" s="186"/>
      <c r="J2128" s="186">
        <f ca="1">OFFSET(card_type!$F$1,MATCH(Q2128,card_type!A:A,0)-1,0)</f>
        <v>4</v>
      </c>
      <c r="K2128" s="243">
        <f ca="1">OFFSET(card_type!$G$1,MATCH(Q2128,card_type!A:A,0)-1,0)</f>
        <v>2</v>
      </c>
      <c r="L2128" s="157">
        <v>2</v>
      </c>
      <c r="M2128" s="157">
        <v>2</v>
      </c>
      <c r="N2128" s="153">
        <f t="shared" si="368"/>
        <v>12</v>
      </c>
      <c r="O2128" s="157"/>
      <c r="P2128" s="157"/>
      <c r="Q2128" s="153">
        <f ca="1">OFFSET(card_type!$A$1,MATCH(card!B2128,card_type!B:B,0)-1,0)</f>
        <v>3403</v>
      </c>
      <c r="R2128" s="153">
        <v>1</v>
      </c>
      <c r="S2128" s="157">
        <f ca="1">ROUND(IF(R2128=0,0,IF(R2128=1,X2128*$S$1,IF(R2128=2,X2128*$S$1*buff的资质计算!$E$2,IF(R2128=3,X2128*$S$1*buff的资质计算!$E$3,0)))),0)*0</f>
        <v>0</v>
      </c>
      <c r="T2128" s="153">
        <v>3</v>
      </c>
      <c r="U2128" s="153">
        <f ca="1" t="shared" si="369"/>
        <v>42</v>
      </c>
      <c r="V2128" s="153">
        <f ca="1">ROUND((OFFSET(卡牌辅助配置表!$O$1,MATCH(U2128,卡牌辅助配置表!M:M,0)-1,0)+(N2128-1)*OFFSET(卡牌辅助配置表!$P$1,MATCH(U2128,卡牌辅助配置表!M:M,0)-1,0))*M2128,2)</f>
        <v>124.55</v>
      </c>
      <c r="W2128" s="157">
        <f ca="1">ROUND(IF(R2128=0,0,IF(R2128=1,X2128*$W$1,IF(R2128=2,X2128*$W$1*buff的资质计算!$E$2,IF(R2128=3,X2128*$W$1*buff的资质计算!$E$3,0)))),2)</f>
        <v>15.15</v>
      </c>
      <c r="X2128" s="157">
        <f ca="1" t="shared" si="360"/>
        <v>50.5</v>
      </c>
      <c r="Y2128" s="157">
        <f ca="1" t="shared" si="373"/>
        <v>50.5</v>
      </c>
      <c r="Z2128" s="304">
        <f ca="1" t="shared" si="361"/>
        <v>25.25</v>
      </c>
      <c r="AA2128" s="304">
        <f ca="1">OFFSET(卡牌辅助配置表!$AD$1,MATCH(AB2128,卡牌辅助配置表!AB:AB,0)-1,0)</f>
        <v>5980</v>
      </c>
      <c r="AB2128" s="304">
        <f ca="1" t="shared" si="370"/>
        <v>4212</v>
      </c>
      <c r="AC2128" s="153">
        <v>7</v>
      </c>
      <c r="AD2128" s="153">
        <v>2</v>
      </c>
      <c r="AE2128" s="153">
        <v>1</v>
      </c>
      <c r="AF2128" s="153" t="str">
        <f ca="1" t="shared" si="358"/>
        <v>34030011|</v>
      </c>
      <c r="AI2128" s="153">
        <v>1</v>
      </c>
      <c r="AJ2128" s="205" t="str">
        <f ca="1" t="shared" si="371"/>
        <v>400023|5250|;</v>
      </c>
      <c r="AK2128" s="205">
        <f ca="1">OFFSET([1]item_type!$A$1,MATCH(Q2128,[1]item_type!$G:$G,0)-1,0)</f>
        <v>303403</v>
      </c>
      <c r="AL2128" s="205"/>
      <c r="AM2128" s="205">
        <f ca="1">IF(B2128=B2129,OFFSET(卡牌辅助配置表!$AE$1,MATCH(AB2128,卡牌辅助配置表!AB:AB,0),0),0)</f>
        <v>5250</v>
      </c>
      <c r="AN2128" s="153">
        <f ca="1" t="shared" si="366"/>
        <v>3403013</v>
      </c>
      <c r="AP2128" s="153" t="str">
        <f ca="1">IF(AC2128=0,0,IF(AC2128=12,0,OFFSET(effect!$N$1,MATCH(K2128,effect!M:M,0)-1,0)))</f>
        <v>kpsx_pt</v>
      </c>
    </row>
    <row r="2129" spans="1:42">
      <c r="A2129" s="153">
        <f ca="1" t="shared" si="367"/>
        <v>3403013</v>
      </c>
      <c r="B2129" s="299" t="s">
        <v>914</v>
      </c>
      <c r="C2129" s="186">
        <v>3</v>
      </c>
      <c r="D2129" s="186">
        <v>4</v>
      </c>
      <c r="E2129" s="165" t="s">
        <v>1069</v>
      </c>
      <c r="F2129" s="165" t="str">
        <f>"若自身处在炎息中，伤害增加"&amp;skill!$O$143/100&amp;"%"</f>
        <v>若自身处在炎息中，伤害增加35%</v>
      </c>
      <c r="G2129" s="186">
        <v>-3</v>
      </c>
      <c r="H2129" s="186">
        <f ca="1" t="shared" si="372"/>
        <v>0</v>
      </c>
      <c r="I2129" s="186"/>
      <c r="J2129" s="186">
        <f ca="1">OFFSET(card_type!$F$1,MATCH(Q2129,card_type!A:A,0)-1,0)</f>
        <v>4</v>
      </c>
      <c r="K2129" s="243">
        <f ca="1">OFFSET(card_type!$G$1,MATCH(Q2129,card_type!A:A,0)-1,0)</f>
        <v>2</v>
      </c>
      <c r="L2129" s="157">
        <v>2</v>
      </c>
      <c r="M2129" s="157">
        <v>2</v>
      </c>
      <c r="N2129" s="153">
        <f t="shared" si="368"/>
        <v>13</v>
      </c>
      <c r="O2129" s="157"/>
      <c r="P2129" s="157"/>
      <c r="Q2129" s="153">
        <f ca="1">OFFSET(card_type!$A$1,MATCH(card!B2129,card_type!B:B,0)-1,0)</f>
        <v>3403</v>
      </c>
      <c r="R2129" s="153">
        <v>1</v>
      </c>
      <c r="S2129" s="157">
        <f ca="1">ROUND(IF(R2129=0,0,IF(R2129=1,X2129*$S$1,IF(R2129=2,X2129*$S$1*buff的资质计算!$E$2,IF(R2129=3,X2129*$S$1*buff的资质计算!$E$3,0)))),0)*0</f>
        <v>0</v>
      </c>
      <c r="T2129" s="153">
        <v>3</v>
      </c>
      <c r="U2129" s="153">
        <f ca="1" t="shared" si="369"/>
        <v>42</v>
      </c>
      <c r="V2129" s="153">
        <f ca="1">ROUND((OFFSET(卡牌辅助配置表!$O$1,MATCH(U2129,卡牌辅助配置表!M:M,0)-1,0)+(N2129-1)*OFFSET(卡牌辅助配置表!$P$1,MATCH(U2129,卡牌辅助配置表!M:M,0)-1,0))*M2129,2)</f>
        <v>131.85</v>
      </c>
      <c r="W2129" s="157">
        <f ca="1">ROUND(IF(R2129=0,0,IF(R2129=1,X2129*$W$1,IF(R2129=2,X2129*$W$1*buff的资质计算!$E$2,IF(R2129=3,X2129*$W$1*buff的资质计算!$E$3,0)))),2)</f>
        <v>15.3</v>
      </c>
      <c r="X2129" s="157">
        <f ca="1" t="shared" si="360"/>
        <v>51</v>
      </c>
      <c r="Y2129" s="157">
        <f ca="1" t="shared" si="373"/>
        <v>51</v>
      </c>
      <c r="Z2129" s="304">
        <f ca="1" t="shared" si="361"/>
        <v>25.5</v>
      </c>
      <c r="AA2129" s="304">
        <f ca="1">OFFSET(卡牌辅助配置表!$AD$1,MATCH(AB2129,卡牌辅助配置表!AB:AB,0)-1,0)</f>
        <v>6670</v>
      </c>
      <c r="AB2129" s="304">
        <f ca="1" t="shared" si="370"/>
        <v>4213</v>
      </c>
      <c r="AC2129" s="153">
        <v>7</v>
      </c>
      <c r="AD2129" s="153">
        <v>2</v>
      </c>
      <c r="AE2129" s="153">
        <v>1</v>
      </c>
      <c r="AF2129" s="153" t="str">
        <f ca="1" t="shared" si="358"/>
        <v>34030011|</v>
      </c>
      <c r="AI2129" s="153">
        <v>1</v>
      </c>
      <c r="AJ2129" s="205" t="str">
        <f ca="1" t="shared" si="371"/>
        <v>400023|5850|;</v>
      </c>
      <c r="AK2129" s="205">
        <f ca="1">OFFSET([1]item_type!$A$1,MATCH(Q2129,[1]item_type!$G:$G,0)-1,0)</f>
        <v>303403</v>
      </c>
      <c r="AL2129" s="205"/>
      <c r="AM2129" s="205">
        <f ca="1">IF(B2129=B2130,OFFSET(卡牌辅助配置表!$AE$1,MATCH(AB2129,卡牌辅助配置表!AB:AB,0),0),0)</f>
        <v>5850</v>
      </c>
      <c r="AN2129" s="153">
        <f ca="1" t="shared" si="366"/>
        <v>3403014</v>
      </c>
      <c r="AP2129" s="153" t="str">
        <f ca="1">IF(AC2129=0,0,IF(AC2129=12,0,OFFSET(effect!$N$1,MATCH(K2129,effect!M:M,0)-1,0)))</f>
        <v>kpsx_pt</v>
      </c>
    </row>
    <row r="2130" spans="1:42">
      <c r="A2130" s="153">
        <f ca="1" t="shared" si="367"/>
        <v>3403014</v>
      </c>
      <c r="B2130" s="299" t="s">
        <v>914</v>
      </c>
      <c r="C2130" s="186">
        <v>3</v>
      </c>
      <c r="D2130" s="186">
        <v>4</v>
      </c>
      <c r="E2130" s="165" t="s">
        <v>1069</v>
      </c>
      <c r="F2130" s="165" t="str">
        <f>"若自身处在炎息中，伤害增加"&amp;skill!$O$143/100&amp;"%"</f>
        <v>若自身处在炎息中，伤害增加35%</v>
      </c>
      <c r="G2130" s="186">
        <v>-3</v>
      </c>
      <c r="H2130" s="186">
        <f ca="1" t="shared" si="372"/>
        <v>0</v>
      </c>
      <c r="I2130" s="186"/>
      <c r="J2130" s="186">
        <f ca="1">OFFSET(card_type!$F$1,MATCH(Q2130,card_type!A:A,0)-1,0)</f>
        <v>4</v>
      </c>
      <c r="K2130" s="243">
        <f ca="1">OFFSET(card_type!$G$1,MATCH(Q2130,card_type!A:A,0)-1,0)</f>
        <v>2</v>
      </c>
      <c r="L2130" s="157">
        <v>2</v>
      </c>
      <c r="M2130" s="157">
        <v>2</v>
      </c>
      <c r="N2130" s="153">
        <f t="shared" si="368"/>
        <v>14</v>
      </c>
      <c r="O2130" s="157"/>
      <c r="P2130" s="157"/>
      <c r="Q2130" s="153">
        <f ca="1">OFFSET(card_type!$A$1,MATCH(card!B2130,card_type!B:B,0)-1,0)</f>
        <v>3403</v>
      </c>
      <c r="R2130" s="153">
        <v>1</v>
      </c>
      <c r="S2130" s="157">
        <f ca="1">ROUND(IF(R2130=0,0,IF(R2130=1,X2130*$S$1,IF(R2130=2,X2130*$S$1*buff的资质计算!$E$2,IF(R2130=3,X2130*$S$1*buff的资质计算!$E$3,0)))),0)*0</f>
        <v>0</v>
      </c>
      <c r="T2130" s="153">
        <v>3</v>
      </c>
      <c r="U2130" s="153">
        <f ca="1" t="shared" si="369"/>
        <v>42</v>
      </c>
      <c r="V2130" s="153">
        <f ca="1">ROUND((OFFSET(卡牌辅助配置表!$O$1,MATCH(U2130,卡牌辅助配置表!M:M,0)-1,0)+(N2130-1)*OFFSET(卡牌辅助配置表!$P$1,MATCH(U2130,卡牌辅助配置表!M:M,0)-1,0))*M2130,2)</f>
        <v>139.15</v>
      </c>
      <c r="W2130" s="157">
        <f ca="1">ROUND(IF(R2130=0,0,IF(R2130=1,X2130*$W$1,IF(R2130=2,X2130*$W$1*buff的资质计算!$E$2,IF(R2130=3,X2130*$W$1*buff的资质计算!$E$3,0)))),2)</f>
        <v>15.45</v>
      </c>
      <c r="X2130" s="157">
        <f ca="1" t="shared" si="360"/>
        <v>51.5</v>
      </c>
      <c r="Y2130" s="157">
        <f ca="1" t="shared" si="373"/>
        <v>51.5</v>
      </c>
      <c r="Z2130" s="304">
        <f ca="1" t="shared" si="361"/>
        <v>25.75</v>
      </c>
      <c r="AA2130" s="304">
        <f ca="1">OFFSET(卡牌辅助配置表!$AD$1,MATCH(AB2130,卡牌辅助配置表!AB:AB,0)-1,0)</f>
        <v>7360</v>
      </c>
      <c r="AB2130" s="304">
        <f ca="1" t="shared" si="370"/>
        <v>4214</v>
      </c>
      <c r="AC2130" s="153">
        <v>7</v>
      </c>
      <c r="AD2130" s="153">
        <v>2</v>
      </c>
      <c r="AE2130" s="153">
        <v>1</v>
      </c>
      <c r="AF2130" s="153" t="str">
        <f ca="1" t="shared" si="358"/>
        <v>34030011|</v>
      </c>
      <c r="AI2130" s="153">
        <v>1</v>
      </c>
      <c r="AJ2130" s="205" t="str">
        <f ca="1" t="shared" si="371"/>
        <v>400023|6450|;</v>
      </c>
      <c r="AK2130" s="205">
        <f ca="1">OFFSET([1]item_type!$A$1,MATCH(Q2130,[1]item_type!$G:$G,0)-1,0)</f>
        <v>303403</v>
      </c>
      <c r="AL2130" s="205"/>
      <c r="AM2130" s="205">
        <f ca="1">IF(B2130=B2131,OFFSET(卡牌辅助配置表!$AE$1,MATCH(AB2130,卡牌辅助配置表!AB:AB,0),0),0)</f>
        <v>6450</v>
      </c>
      <c r="AN2130" s="153">
        <f ca="1" t="shared" si="366"/>
        <v>3403015</v>
      </c>
      <c r="AP2130" s="153" t="str">
        <f ca="1">IF(AC2130=0,0,IF(AC2130=12,0,OFFSET(effect!$N$1,MATCH(K2130,effect!M:M,0)-1,0)))</f>
        <v>kpsx_pt</v>
      </c>
    </row>
    <row r="2131" spans="1:42">
      <c r="A2131" s="153">
        <f ca="1" t="shared" si="367"/>
        <v>3403015</v>
      </c>
      <c r="B2131" s="299" t="s">
        <v>914</v>
      </c>
      <c r="C2131" s="186">
        <v>3</v>
      </c>
      <c r="D2131" s="186">
        <v>4</v>
      </c>
      <c r="E2131" s="165" t="s">
        <v>1069</v>
      </c>
      <c r="F2131" s="165" t="str">
        <f>"若自身处在炎息中，伤害增加"&amp;skill!$O$143/100&amp;"%"</f>
        <v>若自身处在炎息中，伤害增加35%</v>
      </c>
      <c r="G2131" s="186">
        <v>-3</v>
      </c>
      <c r="H2131" s="186">
        <f ca="1" t="shared" si="372"/>
        <v>0</v>
      </c>
      <c r="I2131" s="186"/>
      <c r="J2131" s="186">
        <f ca="1">OFFSET(card_type!$F$1,MATCH(Q2131,card_type!A:A,0)-1,0)</f>
        <v>4</v>
      </c>
      <c r="K2131" s="243">
        <f ca="1">OFFSET(card_type!$G$1,MATCH(Q2131,card_type!A:A,0)-1,0)</f>
        <v>2</v>
      </c>
      <c r="L2131" s="157">
        <v>2</v>
      </c>
      <c r="M2131" s="157">
        <v>2</v>
      </c>
      <c r="N2131" s="153">
        <f t="shared" si="368"/>
        <v>15</v>
      </c>
      <c r="O2131" s="157"/>
      <c r="P2131" s="157"/>
      <c r="Q2131" s="153">
        <f ca="1">OFFSET(card_type!$A$1,MATCH(card!B2131,card_type!B:B,0)-1,0)</f>
        <v>3403</v>
      </c>
      <c r="R2131" s="153">
        <v>1</v>
      </c>
      <c r="S2131" s="157">
        <f ca="1">ROUND(IF(R2131=0,0,IF(R2131=1,X2131*$S$1,IF(R2131=2,X2131*$S$1*buff的资质计算!$E$2,IF(R2131=3,X2131*$S$1*buff的资质计算!$E$3,0)))),0)*0</f>
        <v>0</v>
      </c>
      <c r="T2131" s="153">
        <v>3</v>
      </c>
      <c r="U2131" s="153">
        <f ca="1" t="shared" si="369"/>
        <v>42</v>
      </c>
      <c r="V2131" s="153">
        <f ca="1">ROUND((OFFSET(卡牌辅助配置表!$O$1,MATCH(U2131,卡牌辅助配置表!M:M,0)-1,0)+(N2131-1)*OFFSET(卡牌辅助配置表!$P$1,MATCH(U2131,卡牌辅助配置表!M:M,0)-1,0))*M2131,2)</f>
        <v>146.45</v>
      </c>
      <c r="W2131" s="157">
        <f ca="1">ROUND(IF(R2131=0,0,IF(R2131=1,X2131*$W$1,IF(R2131=2,X2131*$W$1*buff的资质计算!$E$2,IF(R2131=3,X2131*$W$1*buff的资质计算!$E$3,0)))),2)</f>
        <v>15.6</v>
      </c>
      <c r="X2131" s="157">
        <f ca="1" t="shared" si="360"/>
        <v>52</v>
      </c>
      <c r="Y2131" s="157">
        <f ca="1" t="shared" si="373"/>
        <v>52</v>
      </c>
      <c r="Z2131" s="304">
        <f ca="1" t="shared" si="361"/>
        <v>26</v>
      </c>
      <c r="AA2131" s="304">
        <f ca="1">OFFSET(卡牌辅助配置表!$AD$1,MATCH(AB2131,卡牌辅助配置表!AB:AB,0)-1,0)</f>
        <v>8050</v>
      </c>
      <c r="AB2131" s="304">
        <f ca="1" t="shared" si="370"/>
        <v>4215</v>
      </c>
      <c r="AC2131" s="153">
        <v>7</v>
      </c>
      <c r="AD2131" s="153">
        <v>2</v>
      </c>
      <c r="AE2131" s="153">
        <v>1</v>
      </c>
      <c r="AF2131" s="153" t="str">
        <f ca="1" t="shared" si="358"/>
        <v>34030011|</v>
      </c>
      <c r="AI2131" s="153">
        <v>1</v>
      </c>
      <c r="AJ2131" s="205" t="str">
        <f ca="1" t="shared" si="371"/>
        <v>400023|7050|;</v>
      </c>
      <c r="AK2131" s="205">
        <f ca="1">OFFSET([1]item_type!$A$1,MATCH(Q2131,[1]item_type!$G:$G,0)-1,0)</f>
        <v>303403</v>
      </c>
      <c r="AL2131" s="205"/>
      <c r="AM2131" s="205">
        <f ca="1">IF(B2131=B2132,OFFSET(卡牌辅助配置表!$AE$1,MATCH(AB2131,卡牌辅助配置表!AB:AB,0),0),0)</f>
        <v>7050</v>
      </c>
      <c r="AN2131" s="153">
        <f ca="1" t="shared" si="366"/>
        <v>3403016</v>
      </c>
      <c r="AP2131" s="153" t="str">
        <f ca="1">IF(AC2131=0,0,IF(AC2131=12,0,OFFSET(effect!$N$1,MATCH(K2131,effect!M:M,0)-1,0)))</f>
        <v>kpsx_pt</v>
      </c>
    </row>
    <row r="2132" spans="1:42">
      <c r="A2132" s="153">
        <f ca="1" t="shared" si="367"/>
        <v>3403016</v>
      </c>
      <c r="B2132" s="299" t="s">
        <v>914</v>
      </c>
      <c r="C2132" s="186">
        <v>3</v>
      </c>
      <c r="D2132" s="186">
        <v>4</v>
      </c>
      <c r="E2132" s="165" t="s">
        <v>1069</v>
      </c>
      <c r="F2132" s="165" t="str">
        <f>"若自身处在炎息中，伤害增加"&amp;skill!$O$143/100&amp;"%"</f>
        <v>若自身处在炎息中，伤害增加35%</v>
      </c>
      <c r="G2132" s="186">
        <v>-3</v>
      </c>
      <c r="H2132" s="186">
        <f ca="1" t="shared" si="372"/>
        <v>0</v>
      </c>
      <c r="I2132" s="186"/>
      <c r="J2132" s="186">
        <f ca="1">OFFSET(card_type!$F$1,MATCH(Q2132,card_type!A:A,0)-1,0)</f>
        <v>4</v>
      </c>
      <c r="K2132" s="243">
        <f ca="1">OFFSET(card_type!$G$1,MATCH(Q2132,card_type!A:A,0)-1,0)</f>
        <v>2</v>
      </c>
      <c r="L2132" s="157">
        <v>2</v>
      </c>
      <c r="M2132" s="157">
        <v>2</v>
      </c>
      <c r="N2132" s="153">
        <f t="shared" si="368"/>
        <v>16</v>
      </c>
      <c r="O2132" s="157"/>
      <c r="P2132" s="157"/>
      <c r="Q2132" s="153">
        <f ca="1">OFFSET(card_type!$A$1,MATCH(card!B2132,card_type!B:B,0)-1,0)</f>
        <v>3403</v>
      </c>
      <c r="R2132" s="153">
        <v>1</v>
      </c>
      <c r="S2132" s="157">
        <f ca="1">ROUND(IF(R2132=0,0,IF(R2132=1,X2132*$S$1,IF(R2132=2,X2132*$S$1*buff的资质计算!$E$2,IF(R2132=3,X2132*$S$1*buff的资质计算!$E$3,0)))),0)*0</f>
        <v>0</v>
      </c>
      <c r="T2132" s="153">
        <v>3</v>
      </c>
      <c r="U2132" s="153">
        <f ca="1" t="shared" si="369"/>
        <v>42</v>
      </c>
      <c r="V2132" s="153">
        <f ca="1">ROUND((OFFSET(卡牌辅助配置表!$O$1,MATCH(U2132,卡牌辅助配置表!M:M,0)-1,0)+(N2132-1)*OFFSET(卡牌辅助配置表!$P$1,MATCH(U2132,卡牌辅助配置表!M:M,0)-1,0))*M2132,2)</f>
        <v>153.75</v>
      </c>
      <c r="W2132" s="157">
        <f ca="1">ROUND(IF(R2132=0,0,IF(R2132=1,X2132*$W$1,IF(R2132=2,X2132*$W$1*buff的资质计算!$E$2,IF(R2132=3,X2132*$W$1*buff的资质计算!$E$3,0)))),2)</f>
        <v>15.75</v>
      </c>
      <c r="X2132" s="157">
        <f ca="1" t="shared" si="360"/>
        <v>52.5</v>
      </c>
      <c r="Y2132" s="157">
        <f ca="1" t="shared" si="373"/>
        <v>52.5</v>
      </c>
      <c r="Z2132" s="304">
        <f ca="1" t="shared" si="361"/>
        <v>26.25</v>
      </c>
      <c r="AA2132" s="304">
        <f ca="1">OFFSET(卡牌辅助配置表!$AD$1,MATCH(AB2132,卡牌辅助配置表!AB:AB,0)-1,0)</f>
        <v>8740</v>
      </c>
      <c r="AB2132" s="304">
        <f ca="1" t="shared" si="370"/>
        <v>4216</v>
      </c>
      <c r="AC2132" s="153">
        <v>7</v>
      </c>
      <c r="AD2132" s="153">
        <v>2</v>
      </c>
      <c r="AE2132" s="153">
        <v>1</v>
      </c>
      <c r="AF2132" s="153" t="str">
        <f ca="1" t="shared" si="358"/>
        <v>34030011|</v>
      </c>
      <c r="AI2132" s="153">
        <v>1</v>
      </c>
      <c r="AJ2132" s="205" t="str">
        <f ca="1" t="shared" si="371"/>
        <v>400023|7650|;</v>
      </c>
      <c r="AK2132" s="205">
        <f ca="1">OFFSET([1]item_type!$A$1,MATCH(Q2132,[1]item_type!$G:$G,0)-1,0)</f>
        <v>303403</v>
      </c>
      <c r="AL2132" s="205"/>
      <c r="AM2132" s="205">
        <f ca="1">IF(B2132=B2133,OFFSET(卡牌辅助配置表!$AE$1,MATCH(AB2132,卡牌辅助配置表!AB:AB,0),0),0)</f>
        <v>7650</v>
      </c>
      <c r="AN2132" s="153">
        <f ca="1" t="shared" si="366"/>
        <v>3403017</v>
      </c>
      <c r="AP2132" s="153" t="str">
        <f ca="1">IF(AC2132=0,0,IF(AC2132=12,0,OFFSET(effect!$N$1,MATCH(K2132,effect!M:M,0)-1,0)))</f>
        <v>kpsx_pt</v>
      </c>
    </row>
    <row r="2133" spans="1:42">
      <c r="A2133" s="153">
        <f ca="1" t="shared" si="367"/>
        <v>3403017</v>
      </c>
      <c r="B2133" s="299" t="s">
        <v>914</v>
      </c>
      <c r="C2133" s="186">
        <v>3</v>
      </c>
      <c r="D2133" s="186">
        <v>4</v>
      </c>
      <c r="E2133" s="165" t="s">
        <v>1069</v>
      </c>
      <c r="F2133" s="165" t="str">
        <f>"若自身处在炎息中，伤害增加"&amp;skill!$O$143/100&amp;"%"</f>
        <v>若自身处在炎息中，伤害增加35%</v>
      </c>
      <c r="G2133" s="186">
        <v>-3</v>
      </c>
      <c r="H2133" s="186">
        <f ca="1" t="shared" si="372"/>
        <v>0</v>
      </c>
      <c r="I2133" s="186"/>
      <c r="J2133" s="186">
        <f ca="1">OFFSET(card_type!$F$1,MATCH(Q2133,card_type!A:A,0)-1,0)</f>
        <v>4</v>
      </c>
      <c r="K2133" s="243">
        <f ca="1">OFFSET(card_type!$G$1,MATCH(Q2133,card_type!A:A,0)-1,0)</f>
        <v>2</v>
      </c>
      <c r="L2133" s="157">
        <v>2</v>
      </c>
      <c r="M2133" s="157">
        <v>2</v>
      </c>
      <c r="N2133" s="153">
        <f t="shared" si="368"/>
        <v>17</v>
      </c>
      <c r="O2133" s="157"/>
      <c r="P2133" s="157"/>
      <c r="Q2133" s="153">
        <f ca="1">OFFSET(card_type!$A$1,MATCH(card!B2133,card_type!B:B,0)-1,0)</f>
        <v>3403</v>
      </c>
      <c r="R2133" s="153">
        <v>1</v>
      </c>
      <c r="S2133" s="157">
        <f ca="1">ROUND(IF(R2133=0,0,IF(R2133=1,X2133*$S$1,IF(R2133=2,X2133*$S$1*buff的资质计算!$E$2,IF(R2133=3,X2133*$S$1*buff的资质计算!$E$3,0)))),0)*0</f>
        <v>0</v>
      </c>
      <c r="T2133" s="153">
        <v>3</v>
      </c>
      <c r="U2133" s="153">
        <f ca="1" t="shared" si="369"/>
        <v>42</v>
      </c>
      <c r="V2133" s="153">
        <f ca="1">ROUND((OFFSET(卡牌辅助配置表!$O$1,MATCH(U2133,卡牌辅助配置表!M:M,0)-1,0)+(N2133-1)*OFFSET(卡牌辅助配置表!$P$1,MATCH(U2133,卡牌辅助配置表!M:M,0)-1,0))*M2133,2)</f>
        <v>161.05</v>
      </c>
      <c r="W2133" s="157">
        <f ca="1">ROUND(IF(R2133=0,0,IF(R2133=1,X2133*$W$1,IF(R2133=2,X2133*$W$1*buff的资质计算!$E$2,IF(R2133=3,X2133*$W$1*buff的资质计算!$E$3,0)))),2)</f>
        <v>15.9</v>
      </c>
      <c r="X2133" s="157">
        <f ca="1" t="shared" si="360"/>
        <v>53</v>
      </c>
      <c r="Y2133" s="157">
        <f ca="1" t="shared" si="373"/>
        <v>53</v>
      </c>
      <c r="Z2133" s="304">
        <f ca="1" t="shared" si="361"/>
        <v>26.5</v>
      </c>
      <c r="AA2133" s="304">
        <f ca="1">OFFSET(卡牌辅助配置表!$AD$1,MATCH(AB2133,卡牌辅助配置表!AB:AB,0)-1,0)</f>
        <v>9430</v>
      </c>
      <c r="AB2133" s="304">
        <f ca="1" t="shared" si="370"/>
        <v>4217</v>
      </c>
      <c r="AC2133" s="153">
        <v>7</v>
      </c>
      <c r="AD2133" s="153">
        <v>2</v>
      </c>
      <c r="AE2133" s="153">
        <v>1</v>
      </c>
      <c r="AF2133" s="153" t="str">
        <f ca="1" t="shared" si="358"/>
        <v>34030011|</v>
      </c>
      <c r="AI2133" s="153">
        <v>1</v>
      </c>
      <c r="AJ2133" s="205" t="str">
        <f ca="1" t="shared" si="371"/>
        <v>400023|8250|;</v>
      </c>
      <c r="AK2133" s="205">
        <f ca="1">OFFSET([1]item_type!$A$1,MATCH(Q2133,[1]item_type!$G:$G,0)-1,0)</f>
        <v>303403</v>
      </c>
      <c r="AL2133" s="205"/>
      <c r="AM2133" s="205">
        <f ca="1">IF(B2133=B2134,OFFSET(卡牌辅助配置表!$AE$1,MATCH(AB2133,卡牌辅助配置表!AB:AB,0),0),0)</f>
        <v>8250</v>
      </c>
      <c r="AN2133" s="153">
        <f ca="1" t="shared" si="366"/>
        <v>3403018</v>
      </c>
      <c r="AP2133" s="153" t="str">
        <f ca="1">IF(AC2133=0,0,IF(AC2133=12,0,OFFSET(effect!$N$1,MATCH(K2133,effect!M:M,0)-1,0)))</f>
        <v>kpsx_pt</v>
      </c>
    </row>
    <row r="2134" spans="1:42">
      <c r="A2134" s="153">
        <f ca="1" t="shared" si="367"/>
        <v>3403018</v>
      </c>
      <c r="B2134" s="299" t="s">
        <v>914</v>
      </c>
      <c r="C2134" s="186">
        <v>3</v>
      </c>
      <c r="D2134" s="186">
        <v>4</v>
      </c>
      <c r="E2134" s="165" t="s">
        <v>1069</v>
      </c>
      <c r="F2134" s="165" t="str">
        <f>"若自身处在炎息中，伤害增加"&amp;skill!$O$143/100&amp;"%"</f>
        <v>若自身处在炎息中，伤害增加35%</v>
      </c>
      <c r="G2134" s="186">
        <v>-3</v>
      </c>
      <c r="H2134" s="186">
        <f ca="1" t="shared" si="372"/>
        <v>0</v>
      </c>
      <c r="I2134" s="186"/>
      <c r="J2134" s="186">
        <f ca="1">OFFSET(card_type!$F$1,MATCH(Q2134,card_type!A:A,0)-1,0)</f>
        <v>4</v>
      </c>
      <c r="K2134" s="243">
        <f ca="1">OFFSET(card_type!$G$1,MATCH(Q2134,card_type!A:A,0)-1,0)</f>
        <v>2</v>
      </c>
      <c r="L2134" s="157">
        <v>2</v>
      </c>
      <c r="M2134" s="157">
        <v>2</v>
      </c>
      <c r="N2134" s="153">
        <f t="shared" si="368"/>
        <v>18</v>
      </c>
      <c r="O2134" s="157"/>
      <c r="P2134" s="157"/>
      <c r="Q2134" s="153">
        <f ca="1">OFFSET(card_type!$A$1,MATCH(card!B2134,card_type!B:B,0)-1,0)</f>
        <v>3403</v>
      </c>
      <c r="R2134" s="153">
        <v>1</v>
      </c>
      <c r="S2134" s="157">
        <f ca="1">ROUND(IF(R2134=0,0,IF(R2134=1,X2134*$S$1,IF(R2134=2,X2134*$S$1*buff的资质计算!$E$2,IF(R2134=3,X2134*$S$1*buff的资质计算!$E$3,0)))),0)*0</f>
        <v>0</v>
      </c>
      <c r="T2134" s="153">
        <v>3</v>
      </c>
      <c r="U2134" s="153">
        <f ca="1" t="shared" si="369"/>
        <v>42</v>
      </c>
      <c r="V2134" s="153">
        <f ca="1">ROUND((OFFSET(卡牌辅助配置表!$O$1,MATCH(U2134,卡牌辅助配置表!M:M,0)-1,0)+(N2134-1)*OFFSET(卡牌辅助配置表!$P$1,MATCH(U2134,卡牌辅助配置表!M:M,0)-1,0))*M2134,2)</f>
        <v>168.35</v>
      </c>
      <c r="W2134" s="157">
        <f ca="1">ROUND(IF(R2134=0,0,IF(R2134=1,X2134*$W$1,IF(R2134=2,X2134*$W$1*buff的资质计算!$E$2,IF(R2134=3,X2134*$W$1*buff的资质计算!$E$3,0)))),2)</f>
        <v>16.05</v>
      </c>
      <c r="X2134" s="157">
        <f ca="1" t="shared" si="360"/>
        <v>53.5</v>
      </c>
      <c r="Y2134" s="157">
        <f ca="1" t="shared" si="373"/>
        <v>53.5</v>
      </c>
      <c r="Z2134" s="304">
        <f ca="1" t="shared" si="361"/>
        <v>26.75</v>
      </c>
      <c r="AA2134" s="304">
        <f ca="1">OFFSET(卡牌辅助配置表!$AD$1,MATCH(AB2134,卡牌辅助配置表!AB:AB,0)-1,0)</f>
        <v>10120</v>
      </c>
      <c r="AB2134" s="304">
        <f ca="1" t="shared" si="370"/>
        <v>4218</v>
      </c>
      <c r="AC2134" s="153">
        <v>7</v>
      </c>
      <c r="AD2134" s="153">
        <v>2</v>
      </c>
      <c r="AE2134" s="153">
        <v>1</v>
      </c>
      <c r="AF2134" s="153" t="str">
        <f ca="1" t="shared" si="358"/>
        <v>34030011|</v>
      </c>
      <c r="AI2134" s="153">
        <v>1</v>
      </c>
      <c r="AJ2134" s="205" t="str">
        <f ca="1" t="shared" si="371"/>
        <v>400023|8850|;</v>
      </c>
      <c r="AK2134" s="205">
        <f ca="1">OFFSET([1]item_type!$A$1,MATCH(Q2134,[1]item_type!$G:$G,0)-1,0)</f>
        <v>303403</v>
      </c>
      <c r="AL2134" s="205"/>
      <c r="AM2134" s="205">
        <f ca="1">IF(B2134=B2135,OFFSET(卡牌辅助配置表!$AE$1,MATCH(AB2134,卡牌辅助配置表!AB:AB,0),0),0)</f>
        <v>8850</v>
      </c>
      <c r="AN2134" s="153">
        <f ca="1" t="shared" si="366"/>
        <v>3403019</v>
      </c>
      <c r="AP2134" s="153" t="str">
        <f ca="1">IF(AC2134=0,0,IF(AC2134=12,0,OFFSET(effect!$N$1,MATCH(K2134,effect!M:M,0)-1,0)))</f>
        <v>kpsx_pt</v>
      </c>
    </row>
    <row r="2135" spans="1:42">
      <c r="A2135" s="153">
        <f ca="1" t="shared" si="367"/>
        <v>3403019</v>
      </c>
      <c r="B2135" s="299" t="s">
        <v>914</v>
      </c>
      <c r="C2135" s="186">
        <v>3</v>
      </c>
      <c r="D2135" s="186">
        <v>4</v>
      </c>
      <c r="E2135" s="165" t="s">
        <v>1069</v>
      </c>
      <c r="F2135" s="165" t="str">
        <f>"若自身处在炎息中，伤害增加"&amp;skill!$O$143/100&amp;"%"</f>
        <v>若自身处在炎息中，伤害增加35%</v>
      </c>
      <c r="G2135" s="186">
        <v>-3</v>
      </c>
      <c r="H2135" s="186">
        <f ca="1" t="shared" si="372"/>
        <v>0</v>
      </c>
      <c r="I2135" s="186"/>
      <c r="J2135" s="186">
        <f ca="1">OFFSET(card_type!$F$1,MATCH(Q2135,card_type!A:A,0)-1,0)</f>
        <v>4</v>
      </c>
      <c r="K2135" s="243">
        <f ca="1">OFFSET(card_type!$G$1,MATCH(Q2135,card_type!A:A,0)-1,0)</f>
        <v>2</v>
      </c>
      <c r="L2135" s="157">
        <v>2</v>
      </c>
      <c r="M2135" s="157">
        <v>2</v>
      </c>
      <c r="N2135" s="153">
        <f t="shared" si="368"/>
        <v>19</v>
      </c>
      <c r="O2135" s="157"/>
      <c r="P2135" s="157"/>
      <c r="Q2135" s="153">
        <f ca="1">OFFSET(card_type!$A$1,MATCH(card!B2135,card_type!B:B,0)-1,0)</f>
        <v>3403</v>
      </c>
      <c r="R2135" s="153">
        <v>1</v>
      </c>
      <c r="S2135" s="157">
        <f ca="1">ROUND(IF(R2135=0,0,IF(R2135=1,X2135*$S$1,IF(R2135=2,X2135*$S$1*buff的资质计算!$E$2,IF(R2135=3,X2135*$S$1*buff的资质计算!$E$3,0)))),0)*0</f>
        <v>0</v>
      </c>
      <c r="T2135" s="153">
        <v>3</v>
      </c>
      <c r="U2135" s="153">
        <f ca="1" t="shared" si="369"/>
        <v>42</v>
      </c>
      <c r="V2135" s="153">
        <f ca="1">ROUND((OFFSET(卡牌辅助配置表!$O$1,MATCH(U2135,卡牌辅助配置表!M:M,0)-1,0)+(N2135-1)*OFFSET(卡牌辅助配置表!$P$1,MATCH(U2135,卡牌辅助配置表!M:M,0)-1,0))*M2135,2)</f>
        <v>175.65</v>
      </c>
      <c r="W2135" s="157">
        <f ca="1">ROUND(IF(R2135=0,0,IF(R2135=1,X2135*$W$1,IF(R2135=2,X2135*$W$1*buff的资质计算!$E$2,IF(R2135=3,X2135*$W$1*buff的资质计算!$E$3,0)))),2)</f>
        <v>16.2</v>
      </c>
      <c r="X2135" s="157">
        <f ca="1" t="shared" si="360"/>
        <v>54</v>
      </c>
      <c r="Y2135" s="157">
        <f ca="1" t="shared" si="373"/>
        <v>54</v>
      </c>
      <c r="Z2135" s="304">
        <f ca="1" t="shared" si="361"/>
        <v>27</v>
      </c>
      <c r="AA2135" s="304">
        <f ca="1">OFFSET(卡牌辅助配置表!$AD$1,MATCH(AB2135,卡牌辅助配置表!AB:AB,0)-1,0)</f>
        <v>10810</v>
      </c>
      <c r="AB2135" s="304">
        <f ca="1" t="shared" si="370"/>
        <v>4219</v>
      </c>
      <c r="AC2135" s="153">
        <v>7</v>
      </c>
      <c r="AD2135" s="153">
        <v>2</v>
      </c>
      <c r="AE2135" s="153">
        <v>1</v>
      </c>
      <c r="AF2135" s="153" t="str">
        <f ca="1" t="shared" si="358"/>
        <v>34030011|</v>
      </c>
      <c r="AI2135" s="153">
        <v>1</v>
      </c>
      <c r="AJ2135" s="205" t="str">
        <f ca="1" t="shared" si="371"/>
        <v>303403|20|;400023|9450|;</v>
      </c>
      <c r="AK2135" s="205">
        <f ca="1">OFFSET([1]item_type!$A$1,MATCH(Q2135,[1]item_type!$G:$G,0)-1,0)</f>
        <v>303403</v>
      </c>
      <c r="AL2135" s="205">
        <v>20</v>
      </c>
      <c r="AM2135" s="205">
        <f ca="1">IF(B2135=B2136,OFFSET(卡牌辅助配置表!$AE$1,MATCH(AB2135,卡牌辅助配置表!AB:AB,0),0),0)</f>
        <v>9450</v>
      </c>
      <c r="AN2135" s="153">
        <f ca="1" t="shared" si="366"/>
        <v>3403020</v>
      </c>
      <c r="AP2135" s="153" t="str">
        <f ca="1">IF(AC2135=0,0,IF(AC2135=12,0,OFFSET(effect!$N$1,MATCH(K2135,effect!M:M,0)-1,0)))</f>
        <v>kpsx_pt</v>
      </c>
    </row>
    <row r="2136" spans="1:42">
      <c r="A2136" s="153">
        <f ca="1" t="shared" si="367"/>
        <v>3403020</v>
      </c>
      <c r="B2136" s="299" t="s">
        <v>914</v>
      </c>
      <c r="C2136" s="186">
        <v>3</v>
      </c>
      <c r="D2136" s="186">
        <v>4</v>
      </c>
      <c r="E2136" s="165" t="s">
        <v>1069</v>
      </c>
      <c r="F2136" s="165" t="str">
        <f>"若自身处在炎息中，伤害增加"&amp;skill!$O$143/100&amp;"%"</f>
        <v>若自身处在炎息中，伤害增加35%</v>
      </c>
      <c r="G2136" s="186">
        <v>-3</v>
      </c>
      <c r="H2136" s="186">
        <f ca="1" t="shared" si="372"/>
        <v>0</v>
      </c>
      <c r="I2136" s="186"/>
      <c r="J2136" s="186">
        <f ca="1">OFFSET(card_type!$F$1,MATCH(Q2136,card_type!A:A,0)-1,0)</f>
        <v>4</v>
      </c>
      <c r="K2136" s="243">
        <f ca="1">OFFSET(card_type!$G$1,MATCH(Q2136,card_type!A:A,0)-1,0)</f>
        <v>2</v>
      </c>
      <c r="L2136" s="157">
        <v>2</v>
      </c>
      <c r="M2136" s="157">
        <v>2</v>
      </c>
      <c r="N2136" s="153">
        <f t="shared" si="368"/>
        <v>20</v>
      </c>
      <c r="O2136" s="157"/>
      <c r="P2136" s="157"/>
      <c r="Q2136" s="153">
        <f ca="1">OFFSET(card_type!$A$1,MATCH(card!B2136,card_type!B:B,0)-1,0)</f>
        <v>3403</v>
      </c>
      <c r="R2136" s="153">
        <v>1</v>
      </c>
      <c r="S2136" s="157">
        <f ca="1">ROUND(IF(R2136=0,0,IF(R2136=1,X2136*$S$1,IF(R2136=2,X2136*$S$1*buff的资质计算!$E$2,IF(R2136=3,X2136*$S$1*buff的资质计算!$E$3,0)))),0)*0</f>
        <v>0</v>
      </c>
      <c r="T2136" s="153">
        <v>3</v>
      </c>
      <c r="U2136" s="153">
        <f ca="1" t="shared" si="369"/>
        <v>42</v>
      </c>
      <c r="V2136" s="153">
        <f ca="1">ROUND((OFFSET(卡牌辅助配置表!$O$1,MATCH(U2136,卡牌辅助配置表!M:M,0)-1,0)+(N2136-1)*OFFSET(卡牌辅助配置表!$P$1,MATCH(U2136,卡牌辅助配置表!M:M,0)-1,0))*M2136,2)</f>
        <v>182.95</v>
      </c>
      <c r="W2136" s="157">
        <f ca="1">ROUND(IF(R2136=0,0,IF(R2136=1,X2136*$W$1,IF(R2136=2,X2136*$W$1*buff的资质计算!$E$2,IF(R2136=3,X2136*$W$1*buff的资质计算!$E$3,0)))),2)</f>
        <v>16.35</v>
      </c>
      <c r="X2136" s="157">
        <f ca="1" t="shared" si="360"/>
        <v>54.5</v>
      </c>
      <c r="Y2136" s="157">
        <f ca="1" t="shared" si="373"/>
        <v>54.5</v>
      </c>
      <c r="Z2136" s="304">
        <f ca="1" t="shared" si="361"/>
        <v>27.25</v>
      </c>
      <c r="AA2136" s="304">
        <f ca="1">OFFSET(卡牌辅助配置表!$AD$1,MATCH(AB2136,卡牌辅助配置表!AB:AB,0)-1,0)</f>
        <v>11500</v>
      </c>
      <c r="AB2136" s="304">
        <f ca="1" t="shared" si="370"/>
        <v>4220</v>
      </c>
      <c r="AC2136" s="153">
        <v>7</v>
      </c>
      <c r="AD2136" s="153">
        <v>2</v>
      </c>
      <c r="AE2136" s="153">
        <v>1</v>
      </c>
      <c r="AF2136" s="153" t="str">
        <f ca="1" t="shared" si="358"/>
        <v>34030011|</v>
      </c>
      <c r="AI2136" s="153">
        <v>1</v>
      </c>
      <c r="AJ2136" s="205" t="str">
        <f ca="1" t="shared" si="371"/>
        <v>400023|10650|;</v>
      </c>
      <c r="AK2136" s="205">
        <f ca="1">OFFSET([1]item_type!$A$1,MATCH(Q2136,[1]item_type!$G:$G,0)-1,0)</f>
        <v>303403</v>
      </c>
      <c r="AL2136" s="205"/>
      <c r="AM2136" s="205">
        <f ca="1">IF(B2136=B2137,OFFSET(卡牌辅助配置表!$AE$1,MATCH(AB2136,卡牌辅助配置表!AB:AB,0),0),0)</f>
        <v>10650</v>
      </c>
      <c r="AN2136" s="153">
        <f ca="1" t="shared" si="366"/>
        <v>3403021</v>
      </c>
      <c r="AP2136" s="153" t="str">
        <f ca="1">IF(AC2136=0,0,IF(AC2136=12,0,OFFSET(effect!$N$1,MATCH(K2136,effect!M:M,0)-1,0)))</f>
        <v>kpsx_pt</v>
      </c>
    </row>
    <row r="2137" spans="1:42">
      <c r="A2137" s="153">
        <f ca="1" t="shared" si="367"/>
        <v>3403021</v>
      </c>
      <c r="B2137" s="299" t="s">
        <v>914</v>
      </c>
      <c r="C2137" s="186">
        <v>3</v>
      </c>
      <c r="D2137" s="186">
        <v>4</v>
      </c>
      <c r="E2137" s="165" t="s">
        <v>1069</v>
      </c>
      <c r="F2137" s="165" t="str">
        <f>"若自身处在炎息中，伤害增加"&amp;skill!$O$143/100&amp;"%"</f>
        <v>若自身处在炎息中，伤害增加35%</v>
      </c>
      <c r="G2137" s="186">
        <v>-3</v>
      </c>
      <c r="H2137" s="186">
        <f ca="1" t="shared" si="372"/>
        <v>0</v>
      </c>
      <c r="I2137" s="186"/>
      <c r="J2137" s="186">
        <f ca="1">OFFSET(card_type!$F$1,MATCH(Q2137,card_type!A:A,0)-1,0)</f>
        <v>4</v>
      </c>
      <c r="K2137" s="243">
        <f ca="1">OFFSET(card_type!$G$1,MATCH(Q2137,card_type!A:A,0)-1,0)</f>
        <v>2</v>
      </c>
      <c r="L2137" s="157">
        <v>2</v>
      </c>
      <c r="M2137" s="157">
        <v>2</v>
      </c>
      <c r="N2137" s="153">
        <f t="shared" si="368"/>
        <v>21</v>
      </c>
      <c r="O2137" s="157"/>
      <c r="P2137" s="157"/>
      <c r="Q2137" s="153">
        <f ca="1">OFFSET(card_type!$A$1,MATCH(card!B2137,card_type!B:B,0)-1,0)</f>
        <v>3403</v>
      </c>
      <c r="R2137" s="153">
        <v>1</v>
      </c>
      <c r="S2137" s="157">
        <f ca="1">ROUND(IF(R2137=0,0,IF(R2137=1,X2137*$S$1,IF(R2137=2,X2137*$S$1*buff的资质计算!$E$2,IF(R2137=3,X2137*$S$1*buff的资质计算!$E$3,0)))),0)*0</f>
        <v>0</v>
      </c>
      <c r="T2137" s="153">
        <v>3</v>
      </c>
      <c r="U2137" s="153">
        <f ca="1" t="shared" si="369"/>
        <v>42</v>
      </c>
      <c r="V2137" s="153">
        <f ca="1">ROUND((OFFSET(卡牌辅助配置表!$O$1,MATCH(U2137,卡牌辅助配置表!M:M,0)-1,0)+(N2137-1)*OFFSET(卡牌辅助配置表!$P$1,MATCH(U2137,卡牌辅助配置表!M:M,0)-1,0))*M2137,2)</f>
        <v>190.25</v>
      </c>
      <c r="W2137" s="157">
        <f ca="1">ROUND(IF(R2137=0,0,IF(R2137=1,X2137*$W$1,IF(R2137=2,X2137*$W$1*buff的资质计算!$E$2,IF(R2137=3,X2137*$W$1*buff的资质计算!$E$3,0)))),2)</f>
        <v>16.5</v>
      </c>
      <c r="X2137" s="157">
        <f ca="1" t="shared" si="360"/>
        <v>55</v>
      </c>
      <c r="Y2137" s="157">
        <f ca="1" t="shared" si="373"/>
        <v>55</v>
      </c>
      <c r="Z2137" s="304">
        <f ca="1" t="shared" si="361"/>
        <v>27.5</v>
      </c>
      <c r="AA2137" s="304">
        <f ca="1">OFFSET(卡牌辅助配置表!$AD$1,MATCH(AB2137,卡牌辅助配置表!AB:AB,0)-1,0)</f>
        <v>12420</v>
      </c>
      <c r="AB2137" s="304">
        <f ca="1" t="shared" si="370"/>
        <v>4221</v>
      </c>
      <c r="AC2137" s="153">
        <v>7</v>
      </c>
      <c r="AD2137" s="153">
        <v>2</v>
      </c>
      <c r="AE2137" s="153">
        <v>1</v>
      </c>
      <c r="AF2137" s="153" t="str">
        <f ca="1" t="shared" si="358"/>
        <v>34030011|</v>
      </c>
      <c r="AI2137" s="153">
        <v>1</v>
      </c>
      <c r="AJ2137" s="205" t="str">
        <f ca="1" t="shared" si="371"/>
        <v>400023|11850|;</v>
      </c>
      <c r="AK2137" s="205">
        <f ca="1">OFFSET([1]item_type!$A$1,MATCH(Q2137,[1]item_type!$G:$G,0)-1,0)</f>
        <v>303403</v>
      </c>
      <c r="AL2137" s="205"/>
      <c r="AM2137" s="205">
        <f ca="1">IF(B2137=B2138,OFFSET(卡牌辅助配置表!$AE$1,MATCH(AB2137,卡牌辅助配置表!AB:AB,0),0),0)</f>
        <v>11850</v>
      </c>
      <c r="AN2137" s="153">
        <f ca="1" t="shared" si="366"/>
        <v>3403022</v>
      </c>
      <c r="AP2137" s="153" t="str">
        <f ca="1">IF(AC2137=0,0,IF(AC2137=12,0,OFFSET(effect!$N$1,MATCH(K2137,effect!M:M,0)-1,0)))</f>
        <v>kpsx_pt</v>
      </c>
    </row>
    <row r="2138" spans="1:42">
      <c r="A2138" s="153">
        <f ca="1" t="shared" si="367"/>
        <v>3403022</v>
      </c>
      <c r="B2138" s="299" t="s">
        <v>914</v>
      </c>
      <c r="C2138" s="186">
        <v>3</v>
      </c>
      <c r="D2138" s="186">
        <v>4</v>
      </c>
      <c r="E2138" s="165" t="s">
        <v>1069</v>
      </c>
      <c r="F2138" s="165" t="str">
        <f>"若自身处在炎息中，伤害增加"&amp;skill!$O$143/100&amp;"%"</f>
        <v>若自身处在炎息中，伤害增加35%</v>
      </c>
      <c r="G2138" s="186">
        <v>-3</v>
      </c>
      <c r="H2138" s="186">
        <f ca="1" t="shared" si="372"/>
        <v>0</v>
      </c>
      <c r="I2138" s="186"/>
      <c r="J2138" s="186">
        <f ca="1">OFFSET(card_type!$F$1,MATCH(Q2138,card_type!A:A,0)-1,0)</f>
        <v>4</v>
      </c>
      <c r="K2138" s="243">
        <f ca="1">OFFSET(card_type!$G$1,MATCH(Q2138,card_type!A:A,0)-1,0)</f>
        <v>2</v>
      </c>
      <c r="L2138" s="157">
        <v>2</v>
      </c>
      <c r="M2138" s="157">
        <v>2</v>
      </c>
      <c r="N2138" s="153">
        <f t="shared" si="368"/>
        <v>22</v>
      </c>
      <c r="O2138" s="157"/>
      <c r="P2138" s="157"/>
      <c r="Q2138" s="153">
        <f ca="1">OFFSET(card_type!$A$1,MATCH(card!B2138,card_type!B:B,0)-1,0)</f>
        <v>3403</v>
      </c>
      <c r="R2138" s="153">
        <v>1</v>
      </c>
      <c r="S2138" s="157">
        <f ca="1">ROUND(IF(R2138=0,0,IF(R2138=1,X2138*$S$1,IF(R2138=2,X2138*$S$1*buff的资质计算!$E$2,IF(R2138=3,X2138*$S$1*buff的资质计算!$E$3,0)))),0)*0</f>
        <v>0</v>
      </c>
      <c r="T2138" s="153">
        <v>3</v>
      </c>
      <c r="U2138" s="153">
        <f ca="1" t="shared" si="369"/>
        <v>42</v>
      </c>
      <c r="V2138" s="153">
        <f ca="1">ROUND((OFFSET(卡牌辅助配置表!$O$1,MATCH(U2138,卡牌辅助配置表!M:M,0)-1,0)+(N2138-1)*OFFSET(卡牌辅助配置表!$P$1,MATCH(U2138,卡牌辅助配置表!M:M,0)-1,0))*M2138,2)</f>
        <v>197.55</v>
      </c>
      <c r="W2138" s="157">
        <f ca="1">ROUND(IF(R2138=0,0,IF(R2138=1,X2138*$W$1,IF(R2138=2,X2138*$W$1*buff的资质计算!$E$2,IF(R2138=3,X2138*$W$1*buff的资质计算!$E$3,0)))),2)</f>
        <v>16.65</v>
      </c>
      <c r="X2138" s="157">
        <f ca="1" t="shared" si="360"/>
        <v>55.5</v>
      </c>
      <c r="Y2138" s="157">
        <f ca="1" t="shared" si="373"/>
        <v>55.5</v>
      </c>
      <c r="Z2138" s="304">
        <f ca="1" t="shared" si="361"/>
        <v>27.75</v>
      </c>
      <c r="AA2138" s="304">
        <f ca="1">OFFSET(卡牌辅助配置表!$AD$1,MATCH(AB2138,卡牌辅助配置表!AB:AB,0)-1,0)</f>
        <v>13340</v>
      </c>
      <c r="AB2138" s="304">
        <f ca="1" t="shared" si="370"/>
        <v>4222</v>
      </c>
      <c r="AC2138" s="153">
        <v>7</v>
      </c>
      <c r="AD2138" s="153">
        <v>2</v>
      </c>
      <c r="AE2138" s="153">
        <v>1</v>
      </c>
      <c r="AF2138" s="153" t="str">
        <f ca="1" t="shared" si="358"/>
        <v>34030011|</v>
      </c>
      <c r="AI2138" s="153">
        <v>1</v>
      </c>
      <c r="AJ2138" s="205" t="str">
        <f ca="1" t="shared" si="371"/>
        <v>400023|13050|;</v>
      </c>
      <c r="AK2138" s="205">
        <f ca="1">OFFSET([1]item_type!$A$1,MATCH(Q2138,[1]item_type!$G:$G,0)-1,0)</f>
        <v>303403</v>
      </c>
      <c r="AL2138" s="205"/>
      <c r="AM2138" s="205">
        <f ca="1">IF(B2138=B2139,OFFSET(卡牌辅助配置表!$AE$1,MATCH(AB2138,卡牌辅助配置表!AB:AB,0),0),0)</f>
        <v>13050</v>
      </c>
      <c r="AN2138" s="153">
        <f ca="1" t="shared" si="366"/>
        <v>3403023</v>
      </c>
      <c r="AP2138" s="153" t="str">
        <f ca="1">IF(AC2138=0,0,IF(AC2138=12,0,OFFSET(effect!$N$1,MATCH(K2138,effect!M:M,0)-1,0)))</f>
        <v>kpsx_pt</v>
      </c>
    </row>
    <row r="2139" spans="1:42">
      <c r="A2139" s="153">
        <f ca="1" t="shared" si="367"/>
        <v>3403023</v>
      </c>
      <c r="B2139" s="299" t="s">
        <v>914</v>
      </c>
      <c r="C2139" s="186">
        <v>3</v>
      </c>
      <c r="D2139" s="186">
        <v>4</v>
      </c>
      <c r="E2139" s="165" t="s">
        <v>1069</v>
      </c>
      <c r="F2139" s="165" t="str">
        <f>"若自身处在炎息中，伤害增加"&amp;skill!$O$143/100&amp;"%"</f>
        <v>若自身处在炎息中，伤害增加35%</v>
      </c>
      <c r="G2139" s="186">
        <v>-3</v>
      </c>
      <c r="H2139" s="186">
        <f ca="1" t="shared" si="372"/>
        <v>0</v>
      </c>
      <c r="I2139" s="186"/>
      <c r="J2139" s="186">
        <f ca="1">OFFSET(card_type!$F$1,MATCH(Q2139,card_type!A:A,0)-1,0)</f>
        <v>4</v>
      </c>
      <c r="K2139" s="243">
        <f ca="1">OFFSET(card_type!$G$1,MATCH(Q2139,card_type!A:A,0)-1,0)</f>
        <v>2</v>
      </c>
      <c r="L2139" s="157">
        <v>2</v>
      </c>
      <c r="M2139" s="157">
        <v>2</v>
      </c>
      <c r="N2139" s="153">
        <f t="shared" si="368"/>
        <v>23</v>
      </c>
      <c r="O2139" s="157"/>
      <c r="P2139" s="157"/>
      <c r="Q2139" s="153">
        <f ca="1">OFFSET(card_type!$A$1,MATCH(card!B2139,card_type!B:B,0)-1,0)</f>
        <v>3403</v>
      </c>
      <c r="R2139" s="153">
        <v>1</v>
      </c>
      <c r="S2139" s="157">
        <f ca="1">ROUND(IF(R2139=0,0,IF(R2139=1,X2139*$S$1,IF(R2139=2,X2139*$S$1*buff的资质计算!$E$2,IF(R2139=3,X2139*$S$1*buff的资质计算!$E$3,0)))),0)*0</f>
        <v>0</v>
      </c>
      <c r="T2139" s="153">
        <v>3</v>
      </c>
      <c r="U2139" s="153">
        <f ca="1" t="shared" si="369"/>
        <v>42</v>
      </c>
      <c r="V2139" s="153">
        <f ca="1">ROUND((OFFSET(卡牌辅助配置表!$O$1,MATCH(U2139,卡牌辅助配置表!M:M,0)-1,0)+(N2139-1)*OFFSET(卡牌辅助配置表!$P$1,MATCH(U2139,卡牌辅助配置表!M:M,0)-1,0))*M2139,2)</f>
        <v>204.85</v>
      </c>
      <c r="W2139" s="157">
        <f ca="1">ROUND(IF(R2139=0,0,IF(R2139=1,X2139*$W$1,IF(R2139=2,X2139*$W$1*buff的资质计算!$E$2,IF(R2139=3,X2139*$W$1*buff的资质计算!$E$3,0)))),2)</f>
        <v>16.8</v>
      </c>
      <c r="X2139" s="157">
        <f ca="1" t="shared" si="360"/>
        <v>56</v>
      </c>
      <c r="Y2139" s="157">
        <f ca="1" t="shared" si="373"/>
        <v>56</v>
      </c>
      <c r="Z2139" s="304">
        <f ca="1" t="shared" si="361"/>
        <v>28</v>
      </c>
      <c r="AA2139" s="304">
        <f ca="1">OFFSET(卡牌辅助配置表!$AD$1,MATCH(AB2139,卡牌辅助配置表!AB:AB,0)-1,0)</f>
        <v>14260</v>
      </c>
      <c r="AB2139" s="304">
        <f ca="1" t="shared" si="370"/>
        <v>4223</v>
      </c>
      <c r="AC2139" s="153">
        <v>7</v>
      </c>
      <c r="AD2139" s="153">
        <v>2</v>
      </c>
      <c r="AE2139" s="153">
        <v>1</v>
      </c>
      <c r="AF2139" s="153" t="str">
        <f ca="1" t="shared" si="358"/>
        <v>34030011|</v>
      </c>
      <c r="AI2139" s="153">
        <v>1</v>
      </c>
      <c r="AJ2139" s="205" t="str">
        <f ca="1" t="shared" si="371"/>
        <v>400023|14250|;</v>
      </c>
      <c r="AK2139" s="205">
        <f ca="1">OFFSET([1]item_type!$A$1,MATCH(Q2139,[1]item_type!$G:$G,0)-1,0)</f>
        <v>303403</v>
      </c>
      <c r="AL2139" s="205"/>
      <c r="AM2139" s="205">
        <f ca="1">IF(B2139=B2140,OFFSET(卡牌辅助配置表!$AE$1,MATCH(AB2139,卡牌辅助配置表!AB:AB,0),0),0)</f>
        <v>14250</v>
      </c>
      <c r="AN2139" s="153">
        <f ca="1" t="shared" si="366"/>
        <v>3403024</v>
      </c>
      <c r="AP2139" s="153" t="str">
        <f ca="1">IF(AC2139=0,0,IF(AC2139=12,0,OFFSET(effect!$N$1,MATCH(K2139,effect!M:M,0)-1,0)))</f>
        <v>kpsx_pt</v>
      </c>
    </row>
    <row r="2140" spans="1:42">
      <c r="A2140" s="153">
        <f ca="1" t="shared" si="367"/>
        <v>3403024</v>
      </c>
      <c r="B2140" s="299" t="s">
        <v>914</v>
      </c>
      <c r="C2140" s="186">
        <v>3</v>
      </c>
      <c r="D2140" s="186">
        <v>4</v>
      </c>
      <c r="E2140" s="165" t="s">
        <v>1069</v>
      </c>
      <c r="F2140" s="165" t="str">
        <f>"若自身处在炎息中，伤害增加"&amp;skill!$O$143/100&amp;"%"</f>
        <v>若自身处在炎息中，伤害增加35%</v>
      </c>
      <c r="G2140" s="186">
        <v>-3</v>
      </c>
      <c r="H2140" s="186">
        <f ca="1" t="shared" si="372"/>
        <v>0</v>
      </c>
      <c r="I2140" s="186"/>
      <c r="J2140" s="186">
        <f ca="1">OFFSET(card_type!$F$1,MATCH(Q2140,card_type!A:A,0)-1,0)</f>
        <v>4</v>
      </c>
      <c r="K2140" s="243">
        <f ca="1">OFFSET(card_type!$G$1,MATCH(Q2140,card_type!A:A,0)-1,0)</f>
        <v>2</v>
      </c>
      <c r="L2140" s="157">
        <v>2</v>
      </c>
      <c r="M2140" s="157">
        <v>2</v>
      </c>
      <c r="N2140" s="153">
        <f t="shared" si="368"/>
        <v>24</v>
      </c>
      <c r="O2140" s="157"/>
      <c r="P2140" s="157"/>
      <c r="Q2140" s="153">
        <f ca="1">OFFSET(card_type!$A$1,MATCH(card!B2140,card_type!B:B,0)-1,0)</f>
        <v>3403</v>
      </c>
      <c r="R2140" s="153">
        <v>1</v>
      </c>
      <c r="S2140" s="157">
        <f ca="1">ROUND(IF(R2140=0,0,IF(R2140=1,X2140*$S$1,IF(R2140=2,X2140*$S$1*buff的资质计算!$E$2,IF(R2140=3,X2140*$S$1*buff的资质计算!$E$3,0)))),0)*0</f>
        <v>0</v>
      </c>
      <c r="T2140" s="153">
        <v>3</v>
      </c>
      <c r="U2140" s="153">
        <f ca="1" t="shared" si="369"/>
        <v>42</v>
      </c>
      <c r="V2140" s="153">
        <f ca="1">ROUND((OFFSET(卡牌辅助配置表!$O$1,MATCH(U2140,卡牌辅助配置表!M:M,0)-1,0)+(N2140-1)*OFFSET(卡牌辅助配置表!$P$1,MATCH(U2140,卡牌辅助配置表!M:M,0)-1,0))*M2140,2)</f>
        <v>212.15</v>
      </c>
      <c r="W2140" s="157">
        <f ca="1">ROUND(IF(R2140=0,0,IF(R2140=1,X2140*$W$1,IF(R2140=2,X2140*$W$1*buff的资质计算!$E$2,IF(R2140=3,X2140*$W$1*buff的资质计算!$E$3,0)))),2)</f>
        <v>16.95</v>
      </c>
      <c r="X2140" s="157">
        <f ca="1" t="shared" si="360"/>
        <v>56.5</v>
      </c>
      <c r="Y2140" s="157">
        <f ca="1" t="shared" si="373"/>
        <v>56.5</v>
      </c>
      <c r="Z2140" s="304">
        <f ca="1" t="shared" si="361"/>
        <v>28.25</v>
      </c>
      <c r="AA2140" s="304">
        <f ca="1">OFFSET(卡牌辅助配置表!$AD$1,MATCH(AB2140,卡牌辅助配置表!AB:AB,0)-1,0)</f>
        <v>15180</v>
      </c>
      <c r="AB2140" s="304">
        <f ca="1" t="shared" si="370"/>
        <v>4224</v>
      </c>
      <c r="AC2140" s="153">
        <v>7</v>
      </c>
      <c r="AD2140" s="153">
        <v>2</v>
      </c>
      <c r="AE2140" s="153">
        <v>1</v>
      </c>
      <c r="AF2140" s="153" t="str">
        <f ca="1" t="shared" si="358"/>
        <v>34030011|</v>
      </c>
      <c r="AI2140" s="153">
        <v>1</v>
      </c>
      <c r="AJ2140" s="205" t="str">
        <f ca="1" t="shared" si="371"/>
        <v>400023|15450|;</v>
      </c>
      <c r="AK2140" s="205">
        <f ca="1">OFFSET([1]item_type!$A$1,MATCH(Q2140,[1]item_type!$G:$G,0)-1,0)</f>
        <v>303403</v>
      </c>
      <c r="AL2140" s="205"/>
      <c r="AM2140" s="205">
        <f ca="1">IF(B2140=B2141,OFFSET(卡牌辅助配置表!$AE$1,MATCH(AB2140,卡牌辅助配置表!AB:AB,0),0),0)</f>
        <v>15450</v>
      </c>
      <c r="AN2140" s="153">
        <f ca="1" t="shared" si="366"/>
        <v>3403025</v>
      </c>
      <c r="AP2140" s="153" t="str">
        <f ca="1">IF(AC2140=0,0,IF(AC2140=12,0,OFFSET(effect!$N$1,MATCH(K2140,effect!M:M,0)-1,0)))</f>
        <v>kpsx_pt</v>
      </c>
    </row>
    <row r="2141" spans="1:42">
      <c r="A2141" s="153">
        <f ca="1" t="shared" si="367"/>
        <v>3403025</v>
      </c>
      <c r="B2141" s="299" t="s">
        <v>914</v>
      </c>
      <c r="C2141" s="186">
        <v>3</v>
      </c>
      <c r="D2141" s="186">
        <v>4</v>
      </c>
      <c r="E2141" s="165" t="s">
        <v>1069</v>
      </c>
      <c r="F2141" s="165" t="str">
        <f>"若自身处在炎息中，伤害增加"&amp;skill!$O$143/100&amp;"%"</f>
        <v>若自身处在炎息中，伤害增加35%</v>
      </c>
      <c r="G2141" s="186">
        <v>-3</v>
      </c>
      <c r="H2141" s="186">
        <f ca="1" t="shared" si="372"/>
        <v>0</v>
      </c>
      <c r="I2141" s="186"/>
      <c r="J2141" s="186">
        <f ca="1">OFFSET(card_type!$F$1,MATCH(Q2141,card_type!A:A,0)-1,0)</f>
        <v>4</v>
      </c>
      <c r="K2141" s="243">
        <f ca="1">OFFSET(card_type!$G$1,MATCH(Q2141,card_type!A:A,0)-1,0)</f>
        <v>2</v>
      </c>
      <c r="L2141" s="157">
        <v>2</v>
      </c>
      <c r="M2141" s="157">
        <v>2</v>
      </c>
      <c r="N2141" s="153">
        <f t="shared" si="368"/>
        <v>25</v>
      </c>
      <c r="O2141" s="157"/>
      <c r="P2141" s="157"/>
      <c r="Q2141" s="153">
        <f ca="1">OFFSET(card_type!$A$1,MATCH(card!B2141,card_type!B:B,0)-1,0)</f>
        <v>3403</v>
      </c>
      <c r="R2141" s="153">
        <v>1</v>
      </c>
      <c r="S2141" s="157">
        <f ca="1">ROUND(IF(R2141=0,0,IF(R2141=1,X2141*$S$1,IF(R2141=2,X2141*$S$1*buff的资质计算!$E$2,IF(R2141=3,X2141*$S$1*buff的资质计算!$E$3,0)))),0)*0</f>
        <v>0</v>
      </c>
      <c r="T2141" s="153">
        <v>3</v>
      </c>
      <c r="U2141" s="153">
        <f ca="1" t="shared" si="369"/>
        <v>42</v>
      </c>
      <c r="V2141" s="153">
        <f ca="1">ROUND((OFFSET(卡牌辅助配置表!$O$1,MATCH(U2141,卡牌辅助配置表!M:M,0)-1,0)+(N2141-1)*OFFSET(卡牌辅助配置表!$P$1,MATCH(U2141,卡牌辅助配置表!M:M,0)-1,0))*M2141,2)</f>
        <v>219.45</v>
      </c>
      <c r="W2141" s="157">
        <f ca="1">ROUND(IF(R2141=0,0,IF(R2141=1,X2141*$W$1,IF(R2141=2,X2141*$W$1*buff的资质计算!$E$2,IF(R2141=3,X2141*$W$1*buff的资质计算!$E$3,0)))),2)</f>
        <v>17.1</v>
      </c>
      <c r="X2141" s="157">
        <f ca="1" t="shared" si="360"/>
        <v>57</v>
      </c>
      <c r="Y2141" s="157">
        <f ca="1" t="shared" si="373"/>
        <v>57</v>
      </c>
      <c r="Z2141" s="304">
        <f ca="1" t="shared" si="361"/>
        <v>28.5</v>
      </c>
      <c r="AA2141" s="304">
        <f ca="1">OFFSET(卡牌辅助配置表!$AD$1,MATCH(AB2141,卡牌辅助配置表!AB:AB,0)-1,0)</f>
        <v>16100</v>
      </c>
      <c r="AB2141" s="304">
        <f ca="1" t="shared" si="370"/>
        <v>4225</v>
      </c>
      <c r="AC2141" s="153">
        <v>7</v>
      </c>
      <c r="AD2141" s="153">
        <v>2</v>
      </c>
      <c r="AE2141" s="153">
        <v>1</v>
      </c>
      <c r="AF2141" s="153" t="str">
        <f ca="1" t="shared" si="358"/>
        <v>34030011|</v>
      </c>
      <c r="AI2141" s="153">
        <v>1</v>
      </c>
      <c r="AJ2141" s="205" t="str">
        <f ca="1" t="shared" si="371"/>
        <v>400023|16650|;</v>
      </c>
      <c r="AK2141" s="205">
        <f ca="1">OFFSET([1]item_type!$A$1,MATCH(Q2141,[1]item_type!$G:$G,0)-1,0)</f>
        <v>303403</v>
      </c>
      <c r="AL2141" s="205"/>
      <c r="AM2141" s="205">
        <f ca="1">IF(B2141=B2142,OFFSET(卡牌辅助配置表!$AE$1,MATCH(AB2141,卡牌辅助配置表!AB:AB,0),0),0)</f>
        <v>16650</v>
      </c>
      <c r="AN2141" s="153">
        <f ca="1" t="shared" si="366"/>
        <v>3403026</v>
      </c>
      <c r="AP2141" s="153" t="str">
        <f ca="1">IF(AC2141=0,0,IF(AC2141=12,0,OFFSET(effect!$N$1,MATCH(K2141,effect!M:M,0)-1,0)))</f>
        <v>kpsx_pt</v>
      </c>
    </row>
    <row r="2142" spans="1:42">
      <c r="A2142" s="153">
        <f ca="1" t="shared" si="367"/>
        <v>3403026</v>
      </c>
      <c r="B2142" s="299" t="s">
        <v>914</v>
      </c>
      <c r="C2142" s="186">
        <v>3</v>
      </c>
      <c r="D2142" s="186">
        <v>4</v>
      </c>
      <c r="E2142" s="165" t="s">
        <v>1069</v>
      </c>
      <c r="F2142" s="165" t="str">
        <f>"若自身处在炎息中，伤害增加"&amp;skill!$O$143/100&amp;"%"</f>
        <v>若自身处在炎息中，伤害增加35%</v>
      </c>
      <c r="G2142" s="186">
        <v>-3</v>
      </c>
      <c r="H2142" s="186">
        <f ca="1" t="shared" si="372"/>
        <v>0</v>
      </c>
      <c r="I2142" s="186"/>
      <c r="J2142" s="186">
        <f ca="1">OFFSET(card_type!$F$1,MATCH(Q2142,card_type!A:A,0)-1,0)</f>
        <v>4</v>
      </c>
      <c r="K2142" s="243">
        <f ca="1">OFFSET(card_type!$G$1,MATCH(Q2142,card_type!A:A,0)-1,0)</f>
        <v>2</v>
      </c>
      <c r="L2142" s="157">
        <v>2</v>
      </c>
      <c r="M2142" s="157">
        <v>2</v>
      </c>
      <c r="N2142" s="153">
        <f t="shared" si="368"/>
        <v>26</v>
      </c>
      <c r="O2142" s="157"/>
      <c r="P2142" s="157"/>
      <c r="Q2142" s="153">
        <f ca="1">OFFSET(card_type!$A$1,MATCH(card!B2142,card_type!B:B,0)-1,0)</f>
        <v>3403</v>
      </c>
      <c r="R2142" s="153">
        <v>1</v>
      </c>
      <c r="S2142" s="157">
        <f ca="1">ROUND(IF(R2142=0,0,IF(R2142=1,X2142*$S$1,IF(R2142=2,X2142*$S$1*buff的资质计算!$E$2,IF(R2142=3,X2142*$S$1*buff的资质计算!$E$3,0)))),0)*0</f>
        <v>0</v>
      </c>
      <c r="T2142" s="153">
        <v>3</v>
      </c>
      <c r="U2142" s="153">
        <f ca="1" t="shared" si="369"/>
        <v>42</v>
      </c>
      <c r="V2142" s="153">
        <f ca="1">ROUND((OFFSET(卡牌辅助配置表!$O$1,MATCH(U2142,卡牌辅助配置表!M:M,0)-1,0)+(N2142-1)*OFFSET(卡牌辅助配置表!$P$1,MATCH(U2142,卡牌辅助配置表!M:M,0)-1,0))*M2142,2)</f>
        <v>226.75</v>
      </c>
      <c r="W2142" s="157">
        <f ca="1">ROUND(IF(R2142=0,0,IF(R2142=1,X2142*$W$1,IF(R2142=2,X2142*$W$1*buff的资质计算!$E$2,IF(R2142=3,X2142*$W$1*buff的资质计算!$E$3,0)))),2)</f>
        <v>17.25</v>
      </c>
      <c r="X2142" s="157">
        <f ca="1" t="shared" si="360"/>
        <v>57.5</v>
      </c>
      <c r="Y2142" s="157">
        <f ca="1" t="shared" si="373"/>
        <v>57.5</v>
      </c>
      <c r="Z2142" s="304">
        <f ca="1" t="shared" si="361"/>
        <v>28.75</v>
      </c>
      <c r="AA2142" s="304">
        <f ca="1">OFFSET(卡牌辅助配置表!$AD$1,MATCH(AB2142,卡牌辅助配置表!AB:AB,0)-1,0)</f>
        <v>17020</v>
      </c>
      <c r="AB2142" s="304">
        <f ca="1" t="shared" si="370"/>
        <v>4226</v>
      </c>
      <c r="AC2142" s="153">
        <v>7</v>
      </c>
      <c r="AD2142" s="153">
        <v>2</v>
      </c>
      <c r="AE2142" s="153">
        <v>1</v>
      </c>
      <c r="AF2142" s="153" t="str">
        <f ca="1" t="shared" si="358"/>
        <v>34030011|</v>
      </c>
      <c r="AI2142" s="153">
        <v>1</v>
      </c>
      <c r="AJ2142" s="205" t="str">
        <f ca="1" t="shared" si="371"/>
        <v>400023|17850|;</v>
      </c>
      <c r="AK2142" s="205">
        <f ca="1">OFFSET([1]item_type!$A$1,MATCH(Q2142,[1]item_type!$G:$G,0)-1,0)</f>
        <v>303403</v>
      </c>
      <c r="AL2142" s="205"/>
      <c r="AM2142" s="205">
        <f ca="1">IF(B2142=B2143,OFFSET(卡牌辅助配置表!$AE$1,MATCH(AB2142,卡牌辅助配置表!AB:AB,0),0),0)</f>
        <v>17850</v>
      </c>
      <c r="AN2142" s="153">
        <f ca="1" t="shared" si="366"/>
        <v>3403027</v>
      </c>
      <c r="AP2142" s="153" t="str">
        <f ca="1">IF(AC2142=0,0,IF(AC2142=12,0,OFFSET(effect!$N$1,MATCH(K2142,effect!M:M,0)-1,0)))</f>
        <v>kpsx_pt</v>
      </c>
    </row>
    <row r="2143" spans="1:42">
      <c r="A2143" s="153">
        <f ca="1" t="shared" si="367"/>
        <v>3403027</v>
      </c>
      <c r="B2143" s="299" t="s">
        <v>914</v>
      </c>
      <c r="C2143" s="186">
        <v>3</v>
      </c>
      <c r="D2143" s="186">
        <v>4</v>
      </c>
      <c r="E2143" s="165" t="s">
        <v>1069</v>
      </c>
      <c r="F2143" s="165" t="str">
        <f>"若自身处在炎息中，伤害增加"&amp;skill!$O$143/100&amp;"%"</f>
        <v>若自身处在炎息中，伤害增加35%</v>
      </c>
      <c r="G2143" s="186">
        <v>-3</v>
      </c>
      <c r="H2143" s="186">
        <f ca="1" t="shared" si="372"/>
        <v>0</v>
      </c>
      <c r="I2143" s="186"/>
      <c r="J2143" s="186">
        <f ca="1">OFFSET(card_type!$F$1,MATCH(Q2143,card_type!A:A,0)-1,0)</f>
        <v>4</v>
      </c>
      <c r="K2143" s="243">
        <f ca="1">OFFSET(card_type!$G$1,MATCH(Q2143,card_type!A:A,0)-1,0)</f>
        <v>2</v>
      </c>
      <c r="L2143" s="157">
        <v>2</v>
      </c>
      <c r="M2143" s="157">
        <v>2</v>
      </c>
      <c r="N2143" s="153">
        <f t="shared" si="368"/>
        <v>27</v>
      </c>
      <c r="O2143" s="157"/>
      <c r="P2143" s="157"/>
      <c r="Q2143" s="153">
        <f ca="1">OFFSET(card_type!$A$1,MATCH(card!B2143,card_type!B:B,0)-1,0)</f>
        <v>3403</v>
      </c>
      <c r="R2143" s="153">
        <v>1</v>
      </c>
      <c r="S2143" s="157">
        <f ca="1">ROUND(IF(R2143=0,0,IF(R2143=1,X2143*$S$1,IF(R2143=2,X2143*$S$1*buff的资质计算!$E$2,IF(R2143=3,X2143*$S$1*buff的资质计算!$E$3,0)))),0)*0</f>
        <v>0</v>
      </c>
      <c r="T2143" s="153">
        <v>3</v>
      </c>
      <c r="U2143" s="153">
        <f ca="1" t="shared" si="369"/>
        <v>42</v>
      </c>
      <c r="V2143" s="153">
        <f ca="1">ROUND((OFFSET(卡牌辅助配置表!$O$1,MATCH(U2143,卡牌辅助配置表!M:M,0)-1,0)+(N2143-1)*OFFSET(卡牌辅助配置表!$P$1,MATCH(U2143,卡牌辅助配置表!M:M,0)-1,0))*M2143,2)</f>
        <v>234.05</v>
      </c>
      <c r="W2143" s="157">
        <f ca="1">ROUND(IF(R2143=0,0,IF(R2143=1,X2143*$W$1,IF(R2143=2,X2143*$W$1*buff的资质计算!$E$2,IF(R2143=3,X2143*$W$1*buff的资质计算!$E$3,0)))),2)</f>
        <v>17.4</v>
      </c>
      <c r="X2143" s="157">
        <f ca="1" t="shared" si="360"/>
        <v>58</v>
      </c>
      <c r="Y2143" s="157">
        <f ca="1" t="shared" si="373"/>
        <v>58</v>
      </c>
      <c r="Z2143" s="304">
        <f ca="1" t="shared" si="361"/>
        <v>29</v>
      </c>
      <c r="AA2143" s="304">
        <f ca="1">OFFSET(卡牌辅助配置表!$AD$1,MATCH(AB2143,卡牌辅助配置表!AB:AB,0)-1,0)</f>
        <v>17940</v>
      </c>
      <c r="AB2143" s="304">
        <f ca="1" t="shared" si="370"/>
        <v>4227</v>
      </c>
      <c r="AC2143" s="153">
        <v>7</v>
      </c>
      <c r="AD2143" s="153">
        <v>2</v>
      </c>
      <c r="AE2143" s="153">
        <v>1</v>
      </c>
      <c r="AF2143" s="153" t="str">
        <f ca="1" t="shared" si="358"/>
        <v>34030011|</v>
      </c>
      <c r="AI2143" s="153">
        <v>1</v>
      </c>
      <c r="AJ2143" s="205" t="str">
        <f ca="1" t="shared" si="371"/>
        <v>400023|19050|;</v>
      </c>
      <c r="AK2143" s="205">
        <f ca="1">OFFSET([1]item_type!$A$1,MATCH(Q2143,[1]item_type!$G:$G,0)-1,0)</f>
        <v>303403</v>
      </c>
      <c r="AL2143" s="205"/>
      <c r="AM2143" s="205">
        <f ca="1">IF(B2143=B2144,OFFSET(卡牌辅助配置表!$AE$1,MATCH(AB2143,卡牌辅助配置表!AB:AB,0),0),0)</f>
        <v>19050</v>
      </c>
      <c r="AN2143" s="153">
        <f ca="1" t="shared" si="366"/>
        <v>3403028</v>
      </c>
      <c r="AP2143" s="153" t="str">
        <f ca="1">IF(AC2143=0,0,IF(AC2143=12,0,OFFSET(effect!$N$1,MATCH(K2143,effect!M:M,0)-1,0)))</f>
        <v>kpsx_pt</v>
      </c>
    </row>
    <row r="2144" spans="1:42">
      <c r="A2144" s="153">
        <f ca="1" t="shared" si="367"/>
        <v>3403028</v>
      </c>
      <c r="B2144" s="299" t="s">
        <v>914</v>
      </c>
      <c r="C2144" s="186">
        <v>3</v>
      </c>
      <c r="D2144" s="186">
        <v>4</v>
      </c>
      <c r="E2144" s="165" t="s">
        <v>1069</v>
      </c>
      <c r="F2144" s="165" t="str">
        <f>"若自身处在炎息中，伤害增加"&amp;skill!$O$143/100&amp;"%"</f>
        <v>若自身处在炎息中，伤害增加35%</v>
      </c>
      <c r="G2144" s="186">
        <v>-3</v>
      </c>
      <c r="H2144" s="186">
        <f ca="1" t="shared" si="372"/>
        <v>0</v>
      </c>
      <c r="I2144" s="186"/>
      <c r="J2144" s="186">
        <f ca="1">OFFSET(card_type!$F$1,MATCH(Q2144,card_type!A:A,0)-1,0)</f>
        <v>4</v>
      </c>
      <c r="K2144" s="243">
        <f ca="1">OFFSET(card_type!$G$1,MATCH(Q2144,card_type!A:A,0)-1,0)</f>
        <v>2</v>
      </c>
      <c r="L2144" s="157">
        <v>2</v>
      </c>
      <c r="M2144" s="157">
        <v>2</v>
      </c>
      <c r="N2144" s="153">
        <f t="shared" si="368"/>
        <v>28</v>
      </c>
      <c r="O2144" s="157"/>
      <c r="P2144" s="157"/>
      <c r="Q2144" s="153">
        <f ca="1">OFFSET(card_type!$A$1,MATCH(card!B2144,card_type!B:B,0)-1,0)</f>
        <v>3403</v>
      </c>
      <c r="R2144" s="153">
        <v>1</v>
      </c>
      <c r="S2144" s="157">
        <f ca="1">ROUND(IF(R2144=0,0,IF(R2144=1,X2144*$S$1,IF(R2144=2,X2144*$S$1*buff的资质计算!$E$2,IF(R2144=3,X2144*$S$1*buff的资质计算!$E$3,0)))),0)*0</f>
        <v>0</v>
      </c>
      <c r="T2144" s="153">
        <v>3</v>
      </c>
      <c r="U2144" s="153">
        <f ca="1" t="shared" si="369"/>
        <v>42</v>
      </c>
      <c r="V2144" s="153">
        <f ca="1">ROUND((OFFSET(卡牌辅助配置表!$O$1,MATCH(U2144,卡牌辅助配置表!M:M,0)-1,0)+(N2144-1)*OFFSET(卡牌辅助配置表!$P$1,MATCH(U2144,卡牌辅助配置表!M:M,0)-1,0))*M2144,2)</f>
        <v>241.35</v>
      </c>
      <c r="W2144" s="157">
        <f ca="1">ROUND(IF(R2144=0,0,IF(R2144=1,X2144*$W$1,IF(R2144=2,X2144*$W$1*buff的资质计算!$E$2,IF(R2144=3,X2144*$W$1*buff的资质计算!$E$3,0)))),2)</f>
        <v>17.55</v>
      </c>
      <c r="X2144" s="157">
        <f ca="1" t="shared" si="360"/>
        <v>58.5</v>
      </c>
      <c r="Y2144" s="157">
        <f ca="1" t="shared" si="373"/>
        <v>58.5</v>
      </c>
      <c r="Z2144" s="304">
        <f ca="1" t="shared" si="361"/>
        <v>29.25</v>
      </c>
      <c r="AA2144" s="304">
        <f ca="1">OFFSET(卡牌辅助配置表!$AD$1,MATCH(AB2144,卡牌辅助配置表!AB:AB,0)-1,0)</f>
        <v>18860</v>
      </c>
      <c r="AB2144" s="304">
        <f ca="1" t="shared" si="370"/>
        <v>4228</v>
      </c>
      <c r="AC2144" s="153">
        <v>7</v>
      </c>
      <c r="AD2144" s="153">
        <v>2</v>
      </c>
      <c r="AE2144" s="153">
        <v>1</v>
      </c>
      <c r="AF2144" s="153" t="str">
        <f ca="1" t="shared" si="358"/>
        <v>34030011|</v>
      </c>
      <c r="AI2144" s="153">
        <v>1</v>
      </c>
      <c r="AJ2144" s="205" t="str">
        <f ca="1" t="shared" si="371"/>
        <v>400023|20250|;</v>
      </c>
      <c r="AK2144" s="205">
        <f ca="1">OFFSET([1]item_type!$A$1,MATCH(Q2144,[1]item_type!$G:$G,0)-1,0)</f>
        <v>303403</v>
      </c>
      <c r="AL2144" s="205"/>
      <c r="AM2144" s="205">
        <f ca="1">IF(B2144=B2145,OFFSET(卡牌辅助配置表!$AE$1,MATCH(AB2144,卡牌辅助配置表!AB:AB,0),0),0)</f>
        <v>20250</v>
      </c>
      <c r="AN2144" s="153">
        <f ca="1" t="shared" si="366"/>
        <v>3403029</v>
      </c>
      <c r="AP2144" s="153" t="str">
        <f ca="1">IF(AC2144=0,0,IF(AC2144=12,0,OFFSET(effect!$N$1,MATCH(K2144,effect!M:M,0)-1,0)))</f>
        <v>kpsx_pt</v>
      </c>
    </row>
    <row r="2145" spans="1:42">
      <c r="A2145" s="153">
        <f ca="1" t="shared" si="367"/>
        <v>3403029</v>
      </c>
      <c r="B2145" s="299" t="s">
        <v>914</v>
      </c>
      <c r="C2145" s="186">
        <v>3</v>
      </c>
      <c r="D2145" s="186">
        <v>4</v>
      </c>
      <c r="E2145" s="165" t="s">
        <v>1069</v>
      </c>
      <c r="F2145" s="165" t="str">
        <f>"若自身处在炎息中，伤害增加"&amp;skill!$O$143/100&amp;"%"</f>
        <v>若自身处在炎息中，伤害增加35%</v>
      </c>
      <c r="G2145" s="186">
        <v>-3</v>
      </c>
      <c r="H2145" s="186">
        <f ca="1" t="shared" si="372"/>
        <v>0</v>
      </c>
      <c r="I2145" s="186"/>
      <c r="J2145" s="186">
        <f ca="1">OFFSET(card_type!$F$1,MATCH(Q2145,card_type!A:A,0)-1,0)</f>
        <v>4</v>
      </c>
      <c r="K2145" s="243">
        <f ca="1">OFFSET(card_type!$G$1,MATCH(Q2145,card_type!A:A,0)-1,0)</f>
        <v>2</v>
      </c>
      <c r="L2145" s="157">
        <v>2</v>
      </c>
      <c r="M2145" s="157">
        <v>2</v>
      </c>
      <c r="N2145" s="153">
        <f t="shared" si="368"/>
        <v>29</v>
      </c>
      <c r="O2145" s="157"/>
      <c r="P2145" s="157"/>
      <c r="Q2145" s="153">
        <f ca="1">OFFSET(card_type!$A$1,MATCH(card!B2145,card_type!B:B,0)-1,0)</f>
        <v>3403</v>
      </c>
      <c r="R2145" s="153">
        <v>1</v>
      </c>
      <c r="S2145" s="157">
        <f ca="1">ROUND(IF(R2145=0,0,IF(R2145=1,X2145*$S$1,IF(R2145=2,X2145*$S$1*buff的资质计算!$E$2,IF(R2145=3,X2145*$S$1*buff的资质计算!$E$3,0)))),0)*0</f>
        <v>0</v>
      </c>
      <c r="T2145" s="153">
        <v>3</v>
      </c>
      <c r="U2145" s="153">
        <f ca="1" t="shared" si="369"/>
        <v>42</v>
      </c>
      <c r="V2145" s="153">
        <f ca="1">ROUND((OFFSET(卡牌辅助配置表!$O$1,MATCH(U2145,卡牌辅助配置表!M:M,0)-1,0)+(N2145-1)*OFFSET(卡牌辅助配置表!$P$1,MATCH(U2145,卡牌辅助配置表!M:M,0)-1,0))*M2145,2)</f>
        <v>248.65</v>
      </c>
      <c r="W2145" s="157">
        <f ca="1">ROUND(IF(R2145=0,0,IF(R2145=1,X2145*$W$1,IF(R2145=2,X2145*$W$1*buff的资质计算!$E$2,IF(R2145=3,X2145*$W$1*buff的资质计算!$E$3,0)))),2)</f>
        <v>17.7</v>
      </c>
      <c r="X2145" s="157">
        <f ca="1" t="shared" si="360"/>
        <v>59</v>
      </c>
      <c r="Y2145" s="157">
        <f ca="1" t="shared" si="373"/>
        <v>59</v>
      </c>
      <c r="Z2145" s="304">
        <f ca="1" t="shared" si="361"/>
        <v>29.5</v>
      </c>
      <c r="AA2145" s="304">
        <f ca="1">OFFSET(卡牌辅助配置表!$AD$1,MATCH(AB2145,卡牌辅助配置表!AB:AB,0)-1,0)</f>
        <v>19780</v>
      </c>
      <c r="AB2145" s="304">
        <f ca="1" t="shared" si="370"/>
        <v>4229</v>
      </c>
      <c r="AC2145" s="153">
        <v>7</v>
      </c>
      <c r="AD2145" s="153">
        <v>2</v>
      </c>
      <c r="AE2145" s="153">
        <v>1</v>
      </c>
      <c r="AF2145" s="153" t="str">
        <f ca="1" t="shared" si="358"/>
        <v>34030011|</v>
      </c>
      <c r="AI2145" s="153">
        <v>1</v>
      </c>
      <c r="AJ2145" s="205" t="str">
        <f ca="1" t="shared" si="371"/>
        <v>303403|30|;400023|21450|;</v>
      </c>
      <c r="AK2145" s="205">
        <f ca="1">OFFSET([1]item_type!$A$1,MATCH(Q2145,[1]item_type!$G:$G,0)-1,0)</f>
        <v>303403</v>
      </c>
      <c r="AL2145" s="205">
        <v>30</v>
      </c>
      <c r="AM2145" s="205">
        <f ca="1">IF(B2145=B2146,OFFSET(卡牌辅助配置表!$AE$1,MATCH(AB2145,卡牌辅助配置表!AB:AB,0),0),0)</f>
        <v>21450</v>
      </c>
      <c r="AN2145" s="153">
        <f ca="1" t="shared" si="366"/>
        <v>3403030</v>
      </c>
      <c r="AP2145" s="153" t="str">
        <f ca="1">IF(AC2145=0,0,IF(AC2145=12,0,OFFSET(effect!$N$1,MATCH(K2145,effect!M:M,0)-1,0)))</f>
        <v>kpsx_pt</v>
      </c>
    </row>
    <row r="2146" spans="1:42">
      <c r="A2146" s="153">
        <f ca="1" t="shared" si="367"/>
        <v>3403030</v>
      </c>
      <c r="B2146" s="299" t="s">
        <v>914</v>
      </c>
      <c r="C2146" s="186">
        <v>3</v>
      </c>
      <c r="D2146" s="186">
        <v>4</v>
      </c>
      <c r="E2146" s="165" t="s">
        <v>1069</v>
      </c>
      <c r="F2146" s="165" t="str">
        <f>"若自身处在炎息中，伤害增加"&amp;skill!$O$143/100&amp;"%"</f>
        <v>若自身处在炎息中，伤害增加35%</v>
      </c>
      <c r="G2146" s="186">
        <v>-3</v>
      </c>
      <c r="H2146" s="186">
        <f ca="1" t="shared" si="372"/>
        <v>0</v>
      </c>
      <c r="I2146" s="186"/>
      <c r="J2146" s="186">
        <f ca="1">OFFSET(card_type!$F$1,MATCH(Q2146,card_type!A:A,0)-1,0)</f>
        <v>4</v>
      </c>
      <c r="K2146" s="243">
        <f ca="1">OFFSET(card_type!$G$1,MATCH(Q2146,card_type!A:A,0)-1,0)</f>
        <v>2</v>
      </c>
      <c r="L2146" s="157">
        <v>2</v>
      </c>
      <c r="M2146" s="157">
        <v>2</v>
      </c>
      <c r="N2146" s="153">
        <f t="shared" si="368"/>
        <v>30</v>
      </c>
      <c r="O2146" s="157"/>
      <c r="P2146" s="157"/>
      <c r="Q2146" s="153">
        <f ca="1">OFFSET(card_type!$A$1,MATCH(card!B2146,card_type!B:B,0)-1,0)</f>
        <v>3403</v>
      </c>
      <c r="R2146" s="153">
        <v>1</v>
      </c>
      <c r="S2146" s="157">
        <f ca="1">ROUND(IF(R2146=0,0,IF(R2146=1,X2146*$S$1,IF(R2146=2,X2146*$S$1*buff的资质计算!$E$2,IF(R2146=3,X2146*$S$1*buff的资质计算!$E$3,0)))),0)*0</f>
        <v>0</v>
      </c>
      <c r="T2146" s="153">
        <v>3</v>
      </c>
      <c r="U2146" s="153">
        <f ca="1" t="shared" si="369"/>
        <v>42</v>
      </c>
      <c r="V2146" s="153">
        <f ca="1">ROUND((OFFSET(卡牌辅助配置表!$O$1,MATCH(U2146,卡牌辅助配置表!M:M,0)-1,0)+(N2146-1)*OFFSET(卡牌辅助配置表!$P$1,MATCH(U2146,卡牌辅助配置表!M:M,0)-1,0))*M2146,2)</f>
        <v>255.95</v>
      </c>
      <c r="W2146" s="157">
        <f ca="1">ROUND(IF(R2146=0,0,IF(R2146=1,X2146*$W$1,IF(R2146=2,X2146*$W$1*buff的资质计算!$E$2,IF(R2146=3,X2146*$W$1*buff的资质计算!$E$3,0)))),2)</f>
        <v>17.85</v>
      </c>
      <c r="X2146" s="157">
        <f ca="1" t="shared" si="360"/>
        <v>59.5</v>
      </c>
      <c r="Y2146" s="157">
        <f ca="1" t="shared" si="373"/>
        <v>59.5</v>
      </c>
      <c r="Z2146" s="304">
        <f ca="1" t="shared" si="361"/>
        <v>29.75</v>
      </c>
      <c r="AA2146" s="304">
        <f ca="1">OFFSET(卡牌辅助配置表!$AD$1,MATCH(AB2146,卡牌辅助配置表!AB:AB,0)-1,0)</f>
        <v>20700</v>
      </c>
      <c r="AB2146" s="304">
        <f ca="1" t="shared" si="370"/>
        <v>4230</v>
      </c>
      <c r="AC2146" s="153">
        <v>7</v>
      </c>
      <c r="AD2146" s="153">
        <v>2</v>
      </c>
      <c r="AE2146" s="153">
        <v>1</v>
      </c>
      <c r="AF2146" s="153" t="str">
        <f ca="1" t="shared" si="358"/>
        <v>34030011|</v>
      </c>
      <c r="AI2146" s="153">
        <v>1</v>
      </c>
      <c r="AJ2146" s="205">
        <f ca="1" t="shared" si="371"/>
        <v>0</v>
      </c>
      <c r="AK2146" s="205">
        <f ca="1">OFFSET([1]item_type!$A$1,MATCH(Q2146,[1]item_type!$G:$G,0)-1,0)</f>
        <v>303403</v>
      </c>
      <c r="AL2146" s="205"/>
      <c r="AM2146" s="205">
        <f ca="1">IF(B2146=B2147,OFFSET(卡牌辅助配置表!$AE$1,MATCH(AB2146,卡牌辅助配置表!AB:AB,0),0),0)</f>
        <v>0</v>
      </c>
      <c r="AN2146" s="153">
        <f ca="1" t="shared" si="366"/>
        <v>0</v>
      </c>
      <c r="AP2146" s="153" t="str">
        <f ca="1">IF(AC2146=0,0,IF(AC2146=12,0,OFFSET(effect!$N$1,MATCH(K2146,effect!M:M,0)-1,0)))</f>
        <v>kpsx_pt</v>
      </c>
    </row>
    <row r="2147" spans="1:42">
      <c r="A2147" s="153">
        <f ca="1" t="shared" si="367"/>
        <v>3019001</v>
      </c>
      <c r="B2147" s="91" t="s">
        <v>405</v>
      </c>
      <c r="C2147" s="186">
        <v>3</v>
      </c>
      <c r="D2147" s="186">
        <v>3</v>
      </c>
      <c r="E2147" s="165" t="s">
        <v>1069</v>
      </c>
      <c r="F2147" s="179" t="s">
        <v>1075</v>
      </c>
      <c r="G2147" s="186">
        <v>-3</v>
      </c>
      <c r="H2147" s="186">
        <f ca="1">OFFSET(skill!$Q$1,MATCH(B2147,skill!B:B,0)-1,0)</f>
        <v>15</v>
      </c>
      <c r="I2147" s="186"/>
      <c r="J2147" s="186">
        <f ca="1">OFFSET(card_type!$F$1,MATCH(Q2147,card_type!A:A,0)-1,0)</f>
        <v>5</v>
      </c>
      <c r="K2147" s="243">
        <f ca="1">OFFSET(card_type!$G$1,MATCH(Q2147,card_type!A:A,0)-1,0)</f>
        <v>3</v>
      </c>
      <c r="L2147" s="157">
        <v>3</v>
      </c>
      <c r="M2147" s="157">
        <v>3</v>
      </c>
      <c r="N2147" s="153">
        <f>IF(B2086=B2147,N2086+1,1)</f>
        <v>1</v>
      </c>
      <c r="O2147" s="157"/>
      <c r="P2147" s="157"/>
      <c r="Q2147" s="153">
        <f ca="1">OFFSET(card_type!$A$1,MATCH(card!B2147,card_type!B:B,0)-1,0)</f>
        <v>3019</v>
      </c>
      <c r="R2147" s="153">
        <v>1</v>
      </c>
      <c r="S2147" s="157">
        <f ca="1">ROUND(IF(R2147=0,0,IF(R2147=1,X2147*$S$1,IF(R2147=2,X2147*$S$1*buff的资质计算!$E$2,IF(R2147=3,X2147*$S$1*buff的资质计算!$E$3,0)))),0)*0</f>
        <v>0</v>
      </c>
      <c r="T2147" s="153">
        <v>3</v>
      </c>
      <c r="U2147" s="153">
        <f ca="1" t="shared" si="369"/>
        <v>53</v>
      </c>
      <c r="V2147" s="153">
        <f ca="1">ROUND((OFFSET(卡牌辅助配置表!$O$1,MATCH(U2147,卡牌辅助配置表!M:M,0)-1,0)+(N2147-1)*OFFSET(卡牌辅助配置表!$P$1,MATCH(U2147,卡牌辅助配置表!M:M,0)-1,0))*M2147,2)</f>
        <v>188.5</v>
      </c>
      <c r="W2147" s="157">
        <f ca="1">ROUND(IF(R2147=0,0,IF(R2147=1,X2147*$W$1,IF(R2147=2,X2147*$W$1*buff的资质计算!$E$2,IF(R2147=3,X2147*$W$1*buff的资质计算!$E$3,0)))),2)</f>
        <v>28.8</v>
      </c>
      <c r="X2147" s="157">
        <f ca="1" t="shared" si="360"/>
        <v>96</v>
      </c>
      <c r="Y2147" s="157">
        <f ca="1" t="shared" si="373"/>
        <v>111</v>
      </c>
      <c r="Z2147" s="304">
        <f ca="1" t="shared" si="361"/>
        <v>37</v>
      </c>
      <c r="AA2147" s="304">
        <f ca="1">OFFSET(卡牌辅助配置表!$AD$1,MATCH(AB2147,卡牌辅助配置表!AB:AB,0)-1,0)</f>
        <v>3834</v>
      </c>
      <c r="AB2147" s="304">
        <f ca="1" t="shared" si="370"/>
        <v>5301</v>
      </c>
      <c r="AC2147" s="153">
        <v>12</v>
      </c>
      <c r="AF2147" s="153" t="str">
        <f ca="1" t="shared" si="358"/>
        <v>30190011|</v>
      </c>
      <c r="AJ2147" s="205" t="str">
        <f ca="1" t="shared" si="371"/>
        <v>400023|1400|;</v>
      </c>
      <c r="AK2147" s="205">
        <f ca="1">OFFSET([1]item_type!$A$1,MATCH(Q2147,[1]item_type!$G:$G,0)-1,0)</f>
        <v>303019</v>
      </c>
      <c r="AL2147" s="205"/>
      <c r="AM2147" s="205">
        <f ca="1">IF(B2147=B2148,OFFSET(卡牌辅助配置表!$AE$1,MATCH(AB2147,卡牌辅助配置表!AB:AB,0),0),0)</f>
        <v>1400</v>
      </c>
      <c r="AN2147" s="153">
        <f ca="1" t="shared" si="366"/>
        <v>3019002</v>
      </c>
      <c r="AP2147" s="153">
        <f ca="1">IF(AC2147=0,0,IF(AC2147=12,0,OFFSET(effect!$N$1,MATCH(K2147,effect!M:M,0)-1,0)))</f>
        <v>0</v>
      </c>
    </row>
    <row r="2148" spans="1:42">
      <c r="A2148" s="153">
        <f ca="1" t="shared" si="367"/>
        <v>3019002</v>
      </c>
      <c r="B2148" s="91" t="s">
        <v>405</v>
      </c>
      <c r="C2148" s="186">
        <v>3</v>
      </c>
      <c r="D2148" s="186">
        <v>3</v>
      </c>
      <c r="E2148" s="165" t="s">
        <v>1069</v>
      </c>
      <c r="F2148" s="179" t="s">
        <v>1075</v>
      </c>
      <c r="G2148" s="186">
        <v>-3</v>
      </c>
      <c r="H2148" s="186">
        <f ca="1">OFFSET(skill!$Q$1,MATCH(B2148,skill!B:B,0)-1,0)</f>
        <v>15</v>
      </c>
      <c r="I2148" s="186"/>
      <c r="J2148" s="186">
        <f ca="1">OFFSET(card_type!$F$1,MATCH(Q2148,card_type!A:A,0)-1,0)</f>
        <v>5</v>
      </c>
      <c r="K2148" s="243">
        <f ca="1">OFFSET(card_type!$G$1,MATCH(Q2148,card_type!A:A,0)-1,0)</f>
        <v>3</v>
      </c>
      <c r="L2148" s="157">
        <v>3</v>
      </c>
      <c r="M2148" s="157">
        <v>3</v>
      </c>
      <c r="N2148" s="153">
        <f t="shared" ref="N2148:N2211" si="374">IF(B2147=B2148,N2147+1,1)</f>
        <v>2</v>
      </c>
      <c r="O2148" s="157"/>
      <c r="P2148" s="157"/>
      <c r="Q2148" s="153">
        <f ca="1">OFFSET(card_type!$A$1,MATCH(card!B2148,card_type!B:B,0)-1,0)</f>
        <v>3019</v>
      </c>
      <c r="R2148" s="153">
        <v>1</v>
      </c>
      <c r="S2148" s="157">
        <f ca="1">ROUND(IF(R2148=0,0,IF(R2148=1,X2148*$S$1,IF(R2148=2,X2148*$S$1*buff的资质计算!$E$2,IF(R2148=3,X2148*$S$1*buff的资质计算!$E$3,0)))),0)*0</f>
        <v>0</v>
      </c>
      <c r="T2148" s="153">
        <v>3</v>
      </c>
      <c r="U2148" s="153">
        <f ca="1" t="shared" si="369"/>
        <v>53</v>
      </c>
      <c r="V2148" s="153">
        <f ca="1">ROUND((OFFSET(卡牌辅助配置表!$O$1,MATCH(U2148,卡牌辅助配置表!M:M,0)-1,0)+(N2148-1)*OFFSET(卡牌辅助配置表!$P$1,MATCH(U2148,卡牌辅助配置表!M:M,0)-1,0))*M2148,2)</f>
        <v>188.5</v>
      </c>
      <c r="W2148" s="157">
        <f ca="1">ROUND(IF(R2148=0,0,IF(R2148=1,X2148*$W$1,IF(R2148=2,X2148*$W$1*buff的资质计算!$E$2,IF(R2148=3,X2148*$W$1*buff的资质计算!$E$3,0)))),2)</f>
        <v>28.95</v>
      </c>
      <c r="X2148" s="157">
        <f ca="1" t="shared" si="360"/>
        <v>96.5</v>
      </c>
      <c r="Y2148" s="157">
        <f ca="1" t="shared" si="373"/>
        <v>111.5</v>
      </c>
      <c r="Z2148" s="304">
        <f ca="1" t="shared" si="361"/>
        <v>37.1666666666667</v>
      </c>
      <c r="AA2148" s="304">
        <f ca="1">OFFSET(卡牌辅助配置表!$AD$1,MATCH(AB2148,卡牌辅助配置表!AB:AB,0)-1,0)</f>
        <v>7668</v>
      </c>
      <c r="AB2148" s="304">
        <f ca="1" t="shared" si="370"/>
        <v>5302</v>
      </c>
      <c r="AC2148" s="153">
        <v>12</v>
      </c>
      <c r="AF2148" s="153" t="str">
        <f ca="1" t="shared" si="358"/>
        <v>30190011|</v>
      </c>
      <c r="AJ2148" s="205" t="str">
        <f ca="1" t="shared" si="371"/>
        <v>400023|1800|;</v>
      </c>
      <c r="AK2148" s="205">
        <f ca="1">OFFSET([1]item_type!$A$1,MATCH(Q2148,[1]item_type!$G:$G,0)-1,0)</f>
        <v>303019</v>
      </c>
      <c r="AL2148" s="205"/>
      <c r="AM2148" s="205">
        <f ca="1">IF(B2148=B2149,OFFSET(卡牌辅助配置表!$AE$1,MATCH(AB2148,卡牌辅助配置表!AB:AB,0),0),0)</f>
        <v>1800</v>
      </c>
      <c r="AN2148" s="153">
        <f ca="1" t="shared" si="366"/>
        <v>3019003</v>
      </c>
      <c r="AP2148" s="153">
        <f ca="1">IF(AC2148=0,0,IF(AC2148=12,0,OFFSET(effect!$N$1,MATCH(K2148,effect!M:M,0)-1,0)))</f>
        <v>0</v>
      </c>
    </row>
    <row r="2149" spans="1:42">
      <c r="A2149" s="153">
        <f ca="1" t="shared" si="367"/>
        <v>3019003</v>
      </c>
      <c r="B2149" s="91" t="s">
        <v>405</v>
      </c>
      <c r="C2149" s="186">
        <v>3</v>
      </c>
      <c r="D2149" s="186">
        <v>3</v>
      </c>
      <c r="E2149" s="165" t="s">
        <v>1069</v>
      </c>
      <c r="F2149" s="179" t="s">
        <v>1075</v>
      </c>
      <c r="G2149" s="186">
        <v>-3</v>
      </c>
      <c r="H2149" s="186">
        <f ca="1">OFFSET(skill!$Q$1,MATCH(B2149,skill!B:B,0)-1,0)</f>
        <v>15</v>
      </c>
      <c r="I2149" s="186"/>
      <c r="J2149" s="186">
        <f ca="1">OFFSET(card_type!$F$1,MATCH(Q2149,card_type!A:A,0)-1,0)</f>
        <v>5</v>
      </c>
      <c r="K2149" s="243">
        <f ca="1">OFFSET(card_type!$G$1,MATCH(Q2149,card_type!A:A,0)-1,0)</f>
        <v>3</v>
      </c>
      <c r="L2149" s="157">
        <v>3</v>
      </c>
      <c r="M2149" s="157">
        <v>3</v>
      </c>
      <c r="N2149" s="153">
        <f t="shared" si="374"/>
        <v>3</v>
      </c>
      <c r="O2149" s="157"/>
      <c r="P2149" s="157"/>
      <c r="Q2149" s="153">
        <f ca="1">OFFSET(card_type!$A$1,MATCH(card!B2149,card_type!B:B,0)-1,0)</f>
        <v>3019</v>
      </c>
      <c r="R2149" s="153">
        <v>1</v>
      </c>
      <c r="S2149" s="157">
        <f ca="1">ROUND(IF(R2149=0,0,IF(R2149=1,X2149*$S$1,IF(R2149=2,X2149*$S$1*buff的资质计算!$E$2,IF(R2149=3,X2149*$S$1*buff的资质计算!$E$3,0)))),0)*0</f>
        <v>0</v>
      </c>
      <c r="T2149" s="153">
        <v>3</v>
      </c>
      <c r="U2149" s="153">
        <f ca="1" t="shared" si="369"/>
        <v>53</v>
      </c>
      <c r="V2149" s="153">
        <f ca="1">ROUND((OFFSET(卡牌辅助配置表!$O$1,MATCH(U2149,卡牌辅助配置表!M:M,0)-1,0)+(N2149-1)*OFFSET(卡牌辅助配置表!$P$1,MATCH(U2149,卡牌辅助配置表!M:M,0)-1,0))*M2149,2)</f>
        <v>188.5</v>
      </c>
      <c r="W2149" s="157">
        <f ca="1">ROUND(IF(R2149=0,0,IF(R2149=1,X2149*$W$1,IF(R2149=2,X2149*$W$1*buff的资质计算!$E$2,IF(R2149=3,X2149*$W$1*buff的资质计算!$E$3,0)))),2)</f>
        <v>29.1</v>
      </c>
      <c r="X2149" s="157">
        <f ca="1" t="shared" si="360"/>
        <v>97</v>
      </c>
      <c r="Y2149" s="157">
        <f ca="1" t="shared" si="373"/>
        <v>112</v>
      </c>
      <c r="Z2149" s="304">
        <f ca="1" t="shared" si="361"/>
        <v>37.3333333333333</v>
      </c>
      <c r="AA2149" s="304">
        <f ca="1">OFFSET(卡牌辅助配置表!$AD$1,MATCH(AB2149,卡牌辅助配置表!AB:AB,0)-1,0)</f>
        <v>11502</v>
      </c>
      <c r="AB2149" s="304">
        <f ca="1" t="shared" si="370"/>
        <v>5303</v>
      </c>
      <c r="AC2149" s="153">
        <v>12</v>
      </c>
      <c r="AF2149" s="153" t="str">
        <f ca="1" t="shared" si="358"/>
        <v>30190011|</v>
      </c>
      <c r="AJ2149" s="205" t="str">
        <f ca="1" t="shared" si="371"/>
        <v>400023|2200|;</v>
      </c>
      <c r="AK2149" s="205">
        <f ca="1">OFFSET([1]item_type!$A$1,MATCH(Q2149,[1]item_type!$G:$G,0)-1,0)</f>
        <v>303019</v>
      </c>
      <c r="AL2149" s="205"/>
      <c r="AM2149" s="205">
        <f ca="1">IF(B2149=B2150,OFFSET(卡牌辅助配置表!$AE$1,MATCH(AB2149,卡牌辅助配置表!AB:AB,0),0),0)</f>
        <v>2200</v>
      </c>
      <c r="AN2149" s="153">
        <f ca="1" t="shared" si="366"/>
        <v>3019004</v>
      </c>
      <c r="AP2149" s="153">
        <f ca="1">IF(AC2149=0,0,IF(AC2149=12,0,OFFSET(effect!$N$1,MATCH(K2149,effect!M:M,0)-1,0)))</f>
        <v>0</v>
      </c>
    </row>
    <row r="2150" spans="1:42">
      <c r="A2150" s="153">
        <f ca="1" t="shared" si="367"/>
        <v>3019004</v>
      </c>
      <c r="B2150" s="91" t="s">
        <v>405</v>
      </c>
      <c r="C2150" s="186">
        <v>3</v>
      </c>
      <c r="D2150" s="186">
        <v>3</v>
      </c>
      <c r="E2150" s="165" t="s">
        <v>1069</v>
      </c>
      <c r="F2150" s="179" t="s">
        <v>1075</v>
      </c>
      <c r="G2150" s="186">
        <v>-3</v>
      </c>
      <c r="H2150" s="186">
        <f ca="1">OFFSET(skill!$Q$1,MATCH(B2150,skill!B:B,0)-1,0)</f>
        <v>15</v>
      </c>
      <c r="I2150" s="186"/>
      <c r="J2150" s="186">
        <f ca="1">OFFSET(card_type!$F$1,MATCH(Q2150,card_type!A:A,0)-1,0)</f>
        <v>5</v>
      </c>
      <c r="K2150" s="243">
        <f ca="1">OFFSET(card_type!$G$1,MATCH(Q2150,card_type!A:A,0)-1,0)</f>
        <v>3</v>
      </c>
      <c r="L2150" s="157">
        <v>3</v>
      </c>
      <c r="M2150" s="157">
        <v>3</v>
      </c>
      <c r="N2150" s="153">
        <f t="shared" si="374"/>
        <v>4</v>
      </c>
      <c r="O2150" s="157"/>
      <c r="P2150" s="157"/>
      <c r="Q2150" s="153">
        <f ca="1">OFFSET(card_type!$A$1,MATCH(card!B2150,card_type!B:B,0)-1,0)</f>
        <v>3019</v>
      </c>
      <c r="R2150" s="153">
        <v>1</v>
      </c>
      <c r="S2150" s="157">
        <f ca="1">ROUND(IF(R2150=0,0,IF(R2150=1,X2150*$S$1,IF(R2150=2,X2150*$S$1*buff的资质计算!$E$2,IF(R2150=3,X2150*$S$1*buff的资质计算!$E$3,0)))),0)*0</f>
        <v>0</v>
      </c>
      <c r="T2150" s="153">
        <v>3</v>
      </c>
      <c r="U2150" s="153">
        <f ca="1" t="shared" si="369"/>
        <v>53</v>
      </c>
      <c r="V2150" s="153">
        <f ca="1">ROUND((OFFSET(卡牌辅助配置表!$O$1,MATCH(U2150,卡牌辅助配置表!M:M,0)-1,0)+(N2150-1)*OFFSET(卡牌辅助配置表!$P$1,MATCH(U2150,卡牌辅助配置表!M:M,0)-1,0))*M2150,2)</f>
        <v>188.5</v>
      </c>
      <c r="W2150" s="157">
        <f ca="1">ROUND(IF(R2150=0,0,IF(R2150=1,X2150*$W$1,IF(R2150=2,X2150*$W$1*buff的资质计算!$E$2,IF(R2150=3,X2150*$W$1*buff的资质计算!$E$3,0)))),2)</f>
        <v>29.25</v>
      </c>
      <c r="X2150" s="157">
        <f ca="1" t="shared" si="360"/>
        <v>97.5</v>
      </c>
      <c r="Y2150" s="157">
        <f ca="1" t="shared" si="373"/>
        <v>112.5</v>
      </c>
      <c r="Z2150" s="304">
        <f ca="1" t="shared" si="361"/>
        <v>37.5</v>
      </c>
      <c r="AA2150" s="304">
        <f ca="1">OFFSET(卡牌辅助配置表!$AD$1,MATCH(AB2150,卡牌辅助配置表!AB:AB,0)-1,0)</f>
        <v>15336</v>
      </c>
      <c r="AB2150" s="304">
        <f ca="1" t="shared" si="370"/>
        <v>5304</v>
      </c>
      <c r="AC2150" s="153">
        <v>12</v>
      </c>
      <c r="AF2150" s="153" t="str">
        <f ca="1" t="shared" si="358"/>
        <v>30190011|</v>
      </c>
      <c r="AJ2150" s="205" t="str">
        <f ca="1" t="shared" si="371"/>
        <v>400023|2600|;</v>
      </c>
      <c r="AK2150" s="205">
        <f ca="1">OFFSET([1]item_type!$A$1,MATCH(Q2150,[1]item_type!$G:$G,0)-1,0)</f>
        <v>303019</v>
      </c>
      <c r="AL2150" s="205"/>
      <c r="AM2150" s="205">
        <f ca="1">IF(B2150=B2151,OFFSET(卡牌辅助配置表!$AE$1,MATCH(AB2150,卡牌辅助配置表!AB:AB,0),0),0)</f>
        <v>2600</v>
      </c>
      <c r="AN2150" s="153">
        <f ca="1" t="shared" si="366"/>
        <v>3019005</v>
      </c>
      <c r="AP2150" s="153">
        <f ca="1">IF(AC2150=0,0,IF(AC2150=12,0,OFFSET(effect!$N$1,MATCH(K2150,effect!M:M,0)-1,0)))</f>
        <v>0</v>
      </c>
    </row>
    <row r="2151" spans="1:42">
      <c r="A2151" s="153">
        <f ca="1" t="shared" si="367"/>
        <v>3019005</v>
      </c>
      <c r="B2151" s="91" t="s">
        <v>405</v>
      </c>
      <c r="C2151" s="186">
        <v>3</v>
      </c>
      <c r="D2151" s="186">
        <v>3</v>
      </c>
      <c r="E2151" s="165" t="s">
        <v>1069</v>
      </c>
      <c r="F2151" s="179" t="s">
        <v>1075</v>
      </c>
      <c r="G2151" s="186">
        <v>-3</v>
      </c>
      <c r="H2151" s="186">
        <f ca="1">OFFSET(skill!$Q$1,MATCH(B2151,skill!B:B,0)-1,0)</f>
        <v>15</v>
      </c>
      <c r="I2151" s="186"/>
      <c r="J2151" s="186">
        <f ca="1">OFFSET(card_type!$F$1,MATCH(Q2151,card_type!A:A,0)-1,0)</f>
        <v>5</v>
      </c>
      <c r="K2151" s="243">
        <f ca="1">OFFSET(card_type!$G$1,MATCH(Q2151,card_type!A:A,0)-1,0)</f>
        <v>3</v>
      </c>
      <c r="L2151" s="157">
        <v>3</v>
      </c>
      <c r="M2151" s="157">
        <v>3</v>
      </c>
      <c r="N2151" s="153">
        <f t="shared" si="374"/>
        <v>5</v>
      </c>
      <c r="O2151" s="157"/>
      <c r="P2151" s="157"/>
      <c r="Q2151" s="153">
        <f ca="1">OFFSET(card_type!$A$1,MATCH(card!B2151,card_type!B:B,0)-1,0)</f>
        <v>3019</v>
      </c>
      <c r="R2151" s="153">
        <v>1</v>
      </c>
      <c r="S2151" s="157">
        <f ca="1">ROUND(IF(R2151=0,0,IF(R2151=1,X2151*$S$1,IF(R2151=2,X2151*$S$1*buff的资质计算!$E$2,IF(R2151=3,X2151*$S$1*buff的资质计算!$E$3,0)))),0)*0</f>
        <v>0</v>
      </c>
      <c r="T2151" s="153">
        <v>3</v>
      </c>
      <c r="U2151" s="153">
        <f ca="1" t="shared" si="369"/>
        <v>53</v>
      </c>
      <c r="V2151" s="153">
        <f ca="1">ROUND((OFFSET(卡牌辅助配置表!$O$1,MATCH(U2151,卡牌辅助配置表!M:M,0)-1,0)+(N2151-1)*OFFSET(卡牌辅助配置表!$P$1,MATCH(U2151,卡牌辅助配置表!M:M,0)-1,0))*M2151,2)</f>
        <v>188.5</v>
      </c>
      <c r="W2151" s="157">
        <f ca="1">ROUND(IF(R2151=0,0,IF(R2151=1,X2151*$W$1,IF(R2151=2,X2151*$W$1*buff的资质计算!$E$2,IF(R2151=3,X2151*$W$1*buff的资质计算!$E$3,0)))),2)</f>
        <v>29.4</v>
      </c>
      <c r="X2151" s="157">
        <f ca="1" t="shared" si="360"/>
        <v>98</v>
      </c>
      <c r="Y2151" s="157">
        <f ca="1" t="shared" si="373"/>
        <v>113</v>
      </c>
      <c r="Z2151" s="304">
        <f ca="1" t="shared" si="361"/>
        <v>37.6666666666667</v>
      </c>
      <c r="AA2151" s="304">
        <f ca="1">OFFSET(卡牌辅助配置表!$AD$1,MATCH(AB2151,卡牌辅助配置表!AB:AB,0)-1,0)</f>
        <v>19170</v>
      </c>
      <c r="AB2151" s="304">
        <f ca="1" t="shared" si="370"/>
        <v>5305</v>
      </c>
      <c r="AC2151" s="153">
        <v>12</v>
      </c>
      <c r="AF2151" s="153" t="str">
        <f ca="1" t="shared" si="358"/>
        <v>30190011|</v>
      </c>
      <c r="AJ2151" s="205" t="str">
        <f ca="1" t="shared" si="371"/>
        <v>400023|3000|;</v>
      </c>
      <c r="AK2151" s="205">
        <f ca="1">OFFSET([1]item_type!$A$1,MATCH(Q2151,[1]item_type!$G:$G,0)-1,0)</f>
        <v>303019</v>
      </c>
      <c r="AL2151" s="205"/>
      <c r="AM2151" s="205">
        <f ca="1">IF(B2151=B2152,OFFSET(卡牌辅助配置表!$AE$1,MATCH(AB2151,卡牌辅助配置表!AB:AB,0),0),0)</f>
        <v>3000</v>
      </c>
      <c r="AN2151" s="153">
        <f ca="1" t="shared" si="366"/>
        <v>3019006</v>
      </c>
      <c r="AP2151" s="153">
        <f ca="1">IF(AC2151=0,0,IF(AC2151=12,0,OFFSET(effect!$N$1,MATCH(K2151,effect!M:M,0)-1,0)))</f>
        <v>0</v>
      </c>
    </row>
    <row r="2152" spans="1:42">
      <c r="A2152" s="153">
        <f ca="1" t="shared" si="367"/>
        <v>3019006</v>
      </c>
      <c r="B2152" s="91" t="s">
        <v>405</v>
      </c>
      <c r="C2152" s="186">
        <v>3</v>
      </c>
      <c r="D2152" s="186">
        <v>3</v>
      </c>
      <c r="E2152" s="165" t="s">
        <v>1069</v>
      </c>
      <c r="F2152" s="179" t="s">
        <v>1075</v>
      </c>
      <c r="G2152" s="186">
        <v>-3</v>
      </c>
      <c r="H2152" s="186">
        <f ca="1">OFFSET(skill!$Q$1,MATCH(B2152,skill!B:B,0)-1,0)</f>
        <v>15</v>
      </c>
      <c r="I2152" s="186"/>
      <c r="J2152" s="186">
        <f ca="1">OFFSET(card_type!$F$1,MATCH(Q2152,card_type!A:A,0)-1,0)</f>
        <v>5</v>
      </c>
      <c r="K2152" s="243">
        <f ca="1">OFFSET(card_type!$G$1,MATCH(Q2152,card_type!A:A,0)-1,0)</f>
        <v>3</v>
      </c>
      <c r="L2152" s="157">
        <v>3</v>
      </c>
      <c r="M2152" s="157">
        <v>3</v>
      </c>
      <c r="N2152" s="153">
        <f t="shared" si="374"/>
        <v>6</v>
      </c>
      <c r="O2152" s="157"/>
      <c r="P2152" s="157"/>
      <c r="Q2152" s="153">
        <f ca="1">OFFSET(card_type!$A$1,MATCH(card!B2152,card_type!B:B,0)-1,0)</f>
        <v>3019</v>
      </c>
      <c r="R2152" s="153">
        <v>1</v>
      </c>
      <c r="S2152" s="157">
        <f ca="1">ROUND(IF(R2152=0,0,IF(R2152=1,X2152*$S$1,IF(R2152=2,X2152*$S$1*buff的资质计算!$E$2,IF(R2152=3,X2152*$S$1*buff的资质计算!$E$3,0)))),0)*0</f>
        <v>0</v>
      </c>
      <c r="T2152" s="153">
        <v>3</v>
      </c>
      <c r="U2152" s="153">
        <f ca="1" t="shared" si="369"/>
        <v>53</v>
      </c>
      <c r="V2152" s="153">
        <f ca="1">ROUND((OFFSET(卡牌辅助配置表!$O$1,MATCH(U2152,卡牌辅助配置表!M:M,0)-1,0)+(N2152-1)*OFFSET(卡牌辅助配置表!$P$1,MATCH(U2152,卡牌辅助配置表!M:M,0)-1,0))*M2152,2)</f>
        <v>188.5</v>
      </c>
      <c r="W2152" s="157">
        <f ca="1">ROUND(IF(R2152=0,0,IF(R2152=1,X2152*$W$1,IF(R2152=2,X2152*$W$1*buff的资质计算!$E$2,IF(R2152=3,X2152*$W$1*buff的资质计算!$E$3,0)))),2)</f>
        <v>29.55</v>
      </c>
      <c r="X2152" s="157">
        <f ca="1" t="shared" si="360"/>
        <v>98.5</v>
      </c>
      <c r="Y2152" s="157">
        <f ca="1" t="shared" si="373"/>
        <v>113.5</v>
      </c>
      <c r="Z2152" s="304">
        <f ca="1" t="shared" si="361"/>
        <v>37.8333333333333</v>
      </c>
      <c r="AA2152" s="304">
        <f ca="1">OFFSET(卡牌辅助配置表!$AD$1,MATCH(AB2152,卡牌辅助配置表!AB:AB,0)-1,0)</f>
        <v>23004</v>
      </c>
      <c r="AB2152" s="304">
        <f ca="1" t="shared" si="370"/>
        <v>5306</v>
      </c>
      <c r="AC2152" s="153">
        <v>12</v>
      </c>
      <c r="AF2152" s="153" t="str">
        <f ca="1" t="shared" si="358"/>
        <v>30190011|</v>
      </c>
      <c r="AJ2152" s="205" t="str">
        <f ca="1" t="shared" si="371"/>
        <v>400023|3400|;</v>
      </c>
      <c r="AK2152" s="205">
        <f ca="1">OFFSET([1]item_type!$A$1,MATCH(Q2152,[1]item_type!$G:$G,0)-1,0)</f>
        <v>303019</v>
      </c>
      <c r="AL2152" s="205"/>
      <c r="AM2152" s="205">
        <f ca="1">IF(B2152=B2153,OFFSET(卡牌辅助配置表!$AE$1,MATCH(AB2152,卡牌辅助配置表!AB:AB,0),0),0)</f>
        <v>3400</v>
      </c>
      <c r="AN2152" s="153">
        <f ca="1" t="shared" si="366"/>
        <v>3019007</v>
      </c>
      <c r="AP2152" s="153">
        <f ca="1">IF(AC2152=0,0,IF(AC2152=12,0,OFFSET(effect!$N$1,MATCH(K2152,effect!M:M,0)-1,0)))</f>
        <v>0</v>
      </c>
    </row>
    <row r="2153" spans="1:42">
      <c r="A2153" s="153">
        <f ca="1" t="shared" si="367"/>
        <v>3019007</v>
      </c>
      <c r="B2153" s="91" t="s">
        <v>405</v>
      </c>
      <c r="C2153" s="186">
        <v>3</v>
      </c>
      <c r="D2153" s="186">
        <v>3</v>
      </c>
      <c r="E2153" s="165" t="s">
        <v>1069</v>
      </c>
      <c r="F2153" s="179" t="s">
        <v>1075</v>
      </c>
      <c r="G2153" s="186">
        <v>-3</v>
      </c>
      <c r="H2153" s="186">
        <f ca="1">OFFSET(skill!$Q$1,MATCH(B2153,skill!B:B,0)-1,0)</f>
        <v>15</v>
      </c>
      <c r="I2153" s="186"/>
      <c r="J2153" s="186">
        <f ca="1">OFFSET(card_type!$F$1,MATCH(Q2153,card_type!A:A,0)-1,0)</f>
        <v>5</v>
      </c>
      <c r="K2153" s="243">
        <f ca="1">OFFSET(card_type!$G$1,MATCH(Q2153,card_type!A:A,0)-1,0)</f>
        <v>3</v>
      </c>
      <c r="L2153" s="157">
        <v>3</v>
      </c>
      <c r="M2153" s="157">
        <v>3</v>
      </c>
      <c r="N2153" s="153">
        <f t="shared" si="374"/>
        <v>7</v>
      </c>
      <c r="O2153" s="157"/>
      <c r="P2153" s="157"/>
      <c r="Q2153" s="153">
        <f ca="1">OFFSET(card_type!$A$1,MATCH(card!B2153,card_type!B:B,0)-1,0)</f>
        <v>3019</v>
      </c>
      <c r="R2153" s="153">
        <v>1</v>
      </c>
      <c r="S2153" s="157">
        <f ca="1">ROUND(IF(R2153=0,0,IF(R2153=1,X2153*$S$1,IF(R2153=2,X2153*$S$1*buff的资质计算!$E$2,IF(R2153=3,X2153*$S$1*buff的资质计算!$E$3,0)))),0)*0</f>
        <v>0</v>
      </c>
      <c r="T2153" s="153">
        <v>3</v>
      </c>
      <c r="U2153" s="153">
        <f ca="1" t="shared" si="369"/>
        <v>53</v>
      </c>
      <c r="V2153" s="153">
        <f ca="1">ROUND((OFFSET(卡牌辅助配置表!$O$1,MATCH(U2153,卡牌辅助配置表!M:M,0)-1,0)+(N2153-1)*OFFSET(卡牌辅助配置表!$P$1,MATCH(U2153,卡牌辅助配置表!M:M,0)-1,0))*M2153,2)</f>
        <v>188.5</v>
      </c>
      <c r="W2153" s="157">
        <f ca="1">ROUND(IF(R2153=0,0,IF(R2153=1,X2153*$W$1,IF(R2153=2,X2153*$W$1*buff的资质计算!$E$2,IF(R2153=3,X2153*$W$1*buff的资质计算!$E$3,0)))),2)</f>
        <v>29.7</v>
      </c>
      <c r="X2153" s="157">
        <f ca="1" t="shared" si="360"/>
        <v>99</v>
      </c>
      <c r="Y2153" s="157">
        <f ca="1" t="shared" si="373"/>
        <v>114</v>
      </c>
      <c r="Z2153" s="304">
        <f ca="1" t="shared" si="361"/>
        <v>38</v>
      </c>
      <c r="AA2153" s="304">
        <f ca="1">OFFSET(卡牌辅助配置表!$AD$1,MATCH(AB2153,卡牌辅助配置表!AB:AB,0)-1,0)</f>
        <v>26838</v>
      </c>
      <c r="AB2153" s="304">
        <f ca="1" t="shared" si="370"/>
        <v>5307</v>
      </c>
      <c r="AC2153" s="153">
        <v>12</v>
      </c>
      <c r="AF2153" s="153" t="str">
        <f ca="1" t="shared" si="358"/>
        <v>30190011|</v>
      </c>
      <c r="AJ2153" s="205" t="str">
        <f ca="1" t="shared" si="371"/>
        <v>400023|3800|;</v>
      </c>
      <c r="AK2153" s="205">
        <f ca="1">OFFSET([1]item_type!$A$1,MATCH(Q2153,[1]item_type!$G:$G,0)-1,0)</f>
        <v>303019</v>
      </c>
      <c r="AL2153" s="205"/>
      <c r="AM2153" s="205">
        <f ca="1">IF(B2153=B2154,OFFSET(卡牌辅助配置表!$AE$1,MATCH(AB2153,卡牌辅助配置表!AB:AB,0),0),0)</f>
        <v>3800</v>
      </c>
      <c r="AN2153" s="153">
        <f ca="1" t="shared" si="366"/>
        <v>3019008</v>
      </c>
      <c r="AP2153" s="153">
        <f ca="1">IF(AC2153=0,0,IF(AC2153=12,0,OFFSET(effect!$N$1,MATCH(K2153,effect!M:M,0)-1,0)))</f>
        <v>0</v>
      </c>
    </row>
    <row r="2154" spans="1:42">
      <c r="A2154" s="153">
        <f ca="1" t="shared" si="367"/>
        <v>3019008</v>
      </c>
      <c r="B2154" s="91" t="s">
        <v>405</v>
      </c>
      <c r="C2154" s="186">
        <v>3</v>
      </c>
      <c r="D2154" s="186">
        <v>3</v>
      </c>
      <c r="E2154" s="165" t="s">
        <v>1069</v>
      </c>
      <c r="F2154" s="179" t="s">
        <v>1075</v>
      </c>
      <c r="G2154" s="186">
        <v>-3</v>
      </c>
      <c r="H2154" s="186">
        <f ca="1">OFFSET(skill!$Q$1,MATCH(B2154,skill!B:B,0)-1,0)</f>
        <v>15</v>
      </c>
      <c r="I2154" s="186"/>
      <c r="J2154" s="186">
        <f ca="1">OFFSET(card_type!$F$1,MATCH(Q2154,card_type!A:A,0)-1,0)</f>
        <v>5</v>
      </c>
      <c r="K2154" s="243">
        <f ca="1">OFFSET(card_type!$G$1,MATCH(Q2154,card_type!A:A,0)-1,0)</f>
        <v>3</v>
      </c>
      <c r="L2154" s="157">
        <v>3</v>
      </c>
      <c r="M2154" s="157">
        <v>3</v>
      </c>
      <c r="N2154" s="153">
        <f t="shared" si="374"/>
        <v>8</v>
      </c>
      <c r="O2154" s="157"/>
      <c r="P2154" s="157"/>
      <c r="Q2154" s="153">
        <f ca="1">OFFSET(card_type!$A$1,MATCH(card!B2154,card_type!B:B,0)-1,0)</f>
        <v>3019</v>
      </c>
      <c r="R2154" s="153">
        <v>1</v>
      </c>
      <c r="S2154" s="157">
        <f ca="1">ROUND(IF(R2154=0,0,IF(R2154=1,X2154*$S$1,IF(R2154=2,X2154*$S$1*buff的资质计算!$E$2,IF(R2154=3,X2154*$S$1*buff的资质计算!$E$3,0)))),0)*0</f>
        <v>0</v>
      </c>
      <c r="T2154" s="153">
        <v>3</v>
      </c>
      <c r="U2154" s="153">
        <f ca="1" t="shared" si="369"/>
        <v>53</v>
      </c>
      <c r="V2154" s="153">
        <f ca="1">ROUND((OFFSET(卡牌辅助配置表!$O$1,MATCH(U2154,卡牌辅助配置表!M:M,0)-1,0)+(N2154-1)*OFFSET(卡牌辅助配置表!$P$1,MATCH(U2154,卡牌辅助配置表!M:M,0)-1,0))*M2154,2)</f>
        <v>188.5</v>
      </c>
      <c r="W2154" s="157">
        <f ca="1">ROUND(IF(R2154=0,0,IF(R2154=1,X2154*$W$1,IF(R2154=2,X2154*$W$1*buff的资质计算!$E$2,IF(R2154=3,X2154*$W$1*buff的资质计算!$E$3,0)))),2)</f>
        <v>29.85</v>
      </c>
      <c r="X2154" s="157">
        <f ca="1" t="shared" si="360"/>
        <v>99.5</v>
      </c>
      <c r="Y2154" s="157">
        <f ca="1" t="shared" si="373"/>
        <v>114.5</v>
      </c>
      <c r="Z2154" s="304">
        <f ca="1" t="shared" si="361"/>
        <v>38.1666666666667</v>
      </c>
      <c r="AA2154" s="304">
        <f ca="1">OFFSET(卡牌辅助配置表!$AD$1,MATCH(AB2154,卡牌辅助配置表!AB:AB,0)-1,0)</f>
        <v>30672</v>
      </c>
      <c r="AB2154" s="304">
        <f ca="1" t="shared" si="370"/>
        <v>5308</v>
      </c>
      <c r="AC2154" s="153">
        <v>12</v>
      </c>
      <c r="AF2154" s="153" t="str">
        <f ca="1" t="shared" si="358"/>
        <v>30190011|</v>
      </c>
      <c r="AJ2154" s="205" t="str">
        <f ca="1" t="shared" si="371"/>
        <v>400023|4200|;</v>
      </c>
      <c r="AK2154" s="205">
        <f ca="1">OFFSET([1]item_type!$A$1,MATCH(Q2154,[1]item_type!$G:$G,0)-1,0)</f>
        <v>303019</v>
      </c>
      <c r="AL2154" s="205"/>
      <c r="AM2154" s="205">
        <f ca="1">IF(B2154=B2155,OFFSET(卡牌辅助配置表!$AE$1,MATCH(AB2154,卡牌辅助配置表!AB:AB,0),0),0)</f>
        <v>4200</v>
      </c>
      <c r="AN2154" s="153">
        <f ca="1" t="shared" si="366"/>
        <v>3019009</v>
      </c>
      <c r="AP2154" s="153">
        <f ca="1">IF(AC2154=0,0,IF(AC2154=12,0,OFFSET(effect!$N$1,MATCH(K2154,effect!M:M,0)-1,0)))</f>
        <v>0</v>
      </c>
    </row>
    <row r="2155" spans="1:42">
      <c r="A2155" s="153">
        <f ca="1" t="shared" si="367"/>
        <v>3019009</v>
      </c>
      <c r="B2155" s="91" t="s">
        <v>405</v>
      </c>
      <c r="C2155" s="186">
        <v>3</v>
      </c>
      <c r="D2155" s="186">
        <v>3</v>
      </c>
      <c r="E2155" s="165" t="s">
        <v>1069</v>
      </c>
      <c r="F2155" s="179" t="s">
        <v>1075</v>
      </c>
      <c r="G2155" s="186">
        <v>-3</v>
      </c>
      <c r="H2155" s="186">
        <f ca="1">OFFSET(skill!$Q$1,MATCH(B2155,skill!B:B,0)-1,0)</f>
        <v>15</v>
      </c>
      <c r="I2155" s="186"/>
      <c r="J2155" s="186">
        <f ca="1">OFFSET(card_type!$F$1,MATCH(Q2155,card_type!A:A,0)-1,0)</f>
        <v>5</v>
      </c>
      <c r="K2155" s="243">
        <f ca="1">OFFSET(card_type!$G$1,MATCH(Q2155,card_type!A:A,0)-1,0)</f>
        <v>3</v>
      </c>
      <c r="L2155" s="157">
        <v>3</v>
      </c>
      <c r="M2155" s="157">
        <v>3</v>
      </c>
      <c r="N2155" s="153">
        <f t="shared" si="374"/>
        <v>9</v>
      </c>
      <c r="O2155" s="157"/>
      <c r="P2155" s="157"/>
      <c r="Q2155" s="153">
        <f ca="1">OFFSET(card_type!$A$1,MATCH(card!B2155,card_type!B:B,0)-1,0)</f>
        <v>3019</v>
      </c>
      <c r="R2155" s="153">
        <v>1</v>
      </c>
      <c r="S2155" s="157">
        <f ca="1">ROUND(IF(R2155=0,0,IF(R2155=1,X2155*$S$1,IF(R2155=2,X2155*$S$1*buff的资质计算!$E$2,IF(R2155=3,X2155*$S$1*buff的资质计算!$E$3,0)))),0)*0</f>
        <v>0</v>
      </c>
      <c r="T2155" s="153">
        <v>3</v>
      </c>
      <c r="U2155" s="153">
        <f ca="1" t="shared" si="369"/>
        <v>53</v>
      </c>
      <c r="V2155" s="153">
        <f ca="1">ROUND((OFFSET(卡牌辅助配置表!$O$1,MATCH(U2155,卡牌辅助配置表!M:M,0)-1,0)+(N2155-1)*OFFSET(卡牌辅助配置表!$P$1,MATCH(U2155,卡牌辅助配置表!M:M,0)-1,0))*M2155,2)</f>
        <v>188.5</v>
      </c>
      <c r="W2155" s="157">
        <f ca="1">ROUND(IF(R2155=0,0,IF(R2155=1,X2155*$W$1,IF(R2155=2,X2155*$W$1*buff的资质计算!$E$2,IF(R2155=3,X2155*$W$1*buff的资质计算!$E$3,0)))),2)</f>
        <v>30</v>
      </c>
      <c r="X2155" s="157">
        <f ca="1" t="shared" si="360"/>
        <v>100</v>
      </c>
      <c r="Y2155" s="157">
        <f ca="1" t="shared" si="373"/>
        <v>115</v>
      </c>
      <c r="Z2155" s="304">
        <f ca="1" t="shared" si="361"/>
        <v>38.3333333333333</v>
      </c>
      <c r="AA2155" s="304">
        <f ca="1">OFFSET(卡牌辅助配置表!$AD$1,MATCH(AB2155,卡牌辅助配置表!AB:AB,0)-1,0)</f>
        <v>34506</v>
      </c>
      <c r="AB2155" s="304">
        <f ca="1" t="shared" si="370"/>
        <v>5309</v>
      </c>
      <c r="AC2155" s="153">
        <v>12</v>
      </c>
      <c r="AF2155" s="153" t="str">
        <f ca="1" t="shared" si="358"/>
        <v>30190011|</v>
      </c>
      <c r="AJ2155" s="205" t="str">
        <f ca="1" t="shared" si="371"/>
        <v>303019|15|;400023|4600|;</v>
      </c>
      <c r="AK2155" s="205">
        <f ca="1">OFFSET([1]item_type!$A$1,MATCH(Q2155,[1]item_type!$G:$G,0)-1,0)</f>
        <v>303019</v>
      </c>
      <c r="AL2155" s="205">
        <v>15</v>
      </c>
      <c r="AM2155" s="205">
        <f ca="1">IF(B2155=B2156,OFFSET(卡牌辅助配置表!$AE$1,MATCH(AB2155,卡牌辅助配置表!AB:AB,0),0),0)</f>
        <v>4600</v>
      </c>
      <c r="AN2155" s="153">
        <f ca="1" t="shared" si="366"/>
        <v>3019010</v>
      </c>
      <c r="AP2155" s="153">
        <f ca="1">IF(AC2155=0,0,IF(AC2155=12,0,OFFSET(effect!$N$1,MATCH(K2155,effect!M:M,0)-1,0)))</f>
        <v>0</v>
      </c>
    </row>
    <row r="2156" spans="1:42">
      <c r="A2156" s="153">
        <f ca="1" t="shared" si="367"/>
        <v>3019010</v>
      </c>
      <c r="B2156" s="91" t="s">
        <v>405</v>
      </c>
      <c r="C2156" s="186">
        <v>3</v>
      </c>
      <c r="D2156" s="186">
        <v>3</v>
      </c>
      <c r="E2156" s="165" t="s">
        <v>1069</v>
      </c>
      <c r="F2156" s="179" t="s">
        <v>1075</v>
      </c>
      <c r="G2156" s="186">
        <v>-3</v>
      </c>
      <c r="H2156" s="186">
        <f ca="1">OFFSET(skill!$Q$1,MATCH(B2156,skill!B:B,0)-1,0)</f>
        <v>15</v>
      </c>
      <c r="I2156" s="186"/>
      <c r="J2156" s="186">
        <f ca="1">OFFSET(card_type!$F$1,MATCH(Q2156,card_type!A:A,0)-1,0)</f>
        <v>5</v>
      </c>
      <c r="K2156" s="243">
        <f ca="1">OFFSET(card_type!$G$1,MATCH(Q2156,card_type!A:A,0)-1,0)</f>
        <v>3</v>
      </c>
      <c r="L2156" s="157">
        <v>3</v>
      </c>
      <c r="M2156" s="157">
        <v>3</v>
      </c>
      <c r="N2156" s="153">
        <f t="shared" si="374"/>
        <v>10</v>
      </c>
      <c r="O2156" s="157"/>
      <c r="P2156" s="157"/>
      <c r="Q2156" s="153">
        <f ca="1">OFFSET(card_type!$A$1,MATCH(card!B2156,card_type!B:B,0)-1,0)</f>
        <v>3019</v>
      </c>
      <c r="R2156" s="153">
        <v>1</v>
      </c>
      <c r="S2156" s="157">
        <f ca="1">ROUND(IF(R2156=0,0,IF(R2156=1,X2156*$S$1,IF(R2156=2,X2156*$S$1*buff的资质计算!$E$2,IF(R2156=3,X2156*$S$1*buff的资质计算!$E$3,0)))),0)*0</f>
        <v>0</v>
      </c>
      <c r="T2156" s="153">
        <v>3</v>
      </c>
      <c r="U2156" s="153">
        <f ca="1" t="shared" si="369"/>
        <v>53</v>
      </c>
      <c r="V2156" s="153">
        <f ca="1">ROUND((OFFSET(卡牌辅助配置表!$O$1,MATCH(U2156,卡牌辅助配置表!M:M,0)-1,0)+(N2156-1)*OFFSET(卡牌辅助配置表!$P$1,MATCH(U2156,卡牌辅助配置表!M:M,0)-1,0))*M2156,2)</f>
        <v>188.5</v>
      </c>
      <c r="W2156" s="157">
        <f ca="1">ROUND(IF(R2156=0,0,IF(R2156=1,X2156*$W$1,IF(R2156=2,X2156*$W$1*buff的资质计算!$E$2,IF(R2156=3,X2156*$W$1*buff的资质计算!$E$3,0)))),2)</f>
        <v>30.15</v>
      </c>
      <c r="X2156" s="157">
        <f ca="1" t="shared" si="360"/>
        <v>100.5</v>
      </c>
      <c r="Y2156" s="157">
        <f ca="1" t="shared" si="373"/>
        <v>115.5</v>
      </c>
      <c r="Z2156" s="304">
        <f ca="1" t="shared" si="361"/>
        <v>38.5</v>
      </c>
      <c r="AA2156" s="304">
        <f ca="1">OFFSET(卡牌辅助配置表!$AD$1,MATCH(AB2156,卡牌辅助配置表!AB:AB,0)-1,0)</f>
        <v>38340</v>
      </c>
      <c r="AB2156" s="304">
        <f ca="1" t="shared" si="370"/>
        <v>5310</v>
      </c>
      <c r="AC2156" s="153">
        <v>12</v>
      </c>
      <c r="AF2156" s="153" t="str">
        <f ca="1" t="shared" si="358"/>
        <v>30190011|</v>
      </c>
      <c r="AJ2156" s="205" t="str">
        <f ca="1" t="shared" si="371"/>
        <v>400023|5400|;</v>
      </c>
      <c r="AK2156" s="205">
        <f ca="1">OFFSET([1]item_type!$A$1,MATCH(Q2156,[1]item_type!$G:$G,0)-1,0)</f>
        <v>303019</v>
      </c>
      <c r="AL2156" s="205"/>
      <c r="AM2156" s="205">
        <f ca="1">IF(B2156=B2157,OFFSET(卡牌辅助配置表!$AE$1,MATCH(AB2156,卡牌辅助配置表!AB:AB,0),0),0)</f>
        <v>5400</v>
      </c>
      <c r="AN2156" s="153">
        <f ca="1" t="shared" si="366"/>
        <v>3019011</v>
      </c>
      <c r="AP2156" s="153">
        <f ca="1">IF(AC2156=0,0,IF(AC2156=12,0,OFFSET(effect!$N$1,MATCH(K2156,effect!M:M,0)-1,0)))</f>
        <v>0</v>
      </c>
    </row>
    <row r="2157" spans="1:42">
      <c r="A2157" s="153">
        <f ca="1" t="shared" si="367"/>
        <v>3019011</v>
      </c>
      <c r="B2157" s="91" t="s">
        <v>405</v>
      </c>
      <c r="C2157" s="186">
        <v>3</v>
      </c>
      <c r="D2157" s="186">
        <v>3</v>
      </c>
      <c r="E2157" s="165" t="s">
        <v>1069</v>
      </c>
      <c r="F2157" s="179" t="s">
        <v>1075</v>
      </c>
      <c r="G2157" s="186">
        <v>-3</v>
      </c>
      <c r="H2157" s="186">
        <f ca="1">OFFSET(skill!$Q$1,MATCH(B2157,skill!B:B,0)-1,0)</f>
        <v>15</v>
      </c>
      <c r="I2157" s="186"/>
      <c r="J2157" s="186">
        <f ca="1">OFFSET(card_type!$F$1,MATCH(Q2157,card_type!A:A,0)-1,0)</f>
        <v>5</v>
      </c>
      <c r="K2157" s="243">
        <f ca="1">OFFSET(card_type!$G$1,MATCH(Q2157,card_type!A:A,0)-1,0)</f>
        <v>3</v>
      </c>
      <c r="L2157" s="157">
        <v>3</v>
      </c>
      <c r="M2157" s="157">
        <v>3</v>
      </c>
      <c r="N2157" s="153">
        <f t="shared" si="374"/>
        <v>11</v>
      </c>
      <c r="O2157" s="157"/>
      <c r="P2157" s="157"/>
      <c r="Q2157" s="153">
        <f ca="1">OFFSET(card_type!$A$1,MATCH(card!B2157,card_type!B:B,0)-1,0)</f>
        <v>3019</v>
      </c>
      <c r="R2157" s="153">
        <v>1</v>
      </c>
      <c r="S2157" s="157">
        <f ca="1">ROUND(IF(R2157=0,0,IF(R2157=1,X2157*$S$1,IF(R2157=2,X2157*$S$1*buff的资质计算!$E$2,IF(R2157=3,X2157*$S$1*buff的资质计算!$E$3,0)))),0)*0</f>
        <v>0</v>
      </c>
      <c r="T2157" s="153">
        <v>3</v>
      </c>
      <c r="U2157" s="153">
        <f ca="1" t="shared" si="369"/>
        <v>53</v>
      </c>
      <c r="V2157" s="153">
        <f ca="1">ROUND((OFFSET(卡牌辅助配置表!$O$1,MATCH(U2157,卡牌辅助配置表!M:M,0)-1,0)+(N2157-1)*OFFSET(卡牌辅助配置表!$P$1,MATCH(U2157,卡牌辅助配置表!M:M,0)-1,0))*M2157,2)</f>
        <v>188.5</v>
      </c>
      <c r="W2157" s="157">
        <f ca="1">ROUND(IF(R2157=0,0,IF(R2157=1,X2157*$W$1,IF(R2157=2,X2157*$W$1*buff的资质计算!$E$2,IF(R2157=3,X2157*$W$1*buff的资质计算!$E$3,0)))),2)</f>
        <v>30.3</v>
      </c>
      <c r="X2157" s="157">
        <f ca="1" t="shared" si="360"/>
        <v>101</v>
      </c>
      <c r="Y2157" s="157">
        <f ca="1" t="shared" si="373"/>
        <v>116</v>
      </c>
      <c r="Z2157" s="304">
        <f ca="1" t="shared" si="361"/>
        <v>38.6666666666667</v>
      </c>
      <c r="AA2157" s="304">
        <f ca="1">OFFSET(卡牌辅助配置表!$AD$1,MATCH(AB2157,卡牌辅助配置表!AB:AB,0)-1,0)</f>
        <v>42174</v>
      </c>
      <c r="AB2157" s="304">
        <f ca="1" t="shared" si="370"/>
        <v>5311</v>
      </c>
      <c r="AC2157" s="153">
        <v>12</v>
      </c>
      <c r="AF2157" s="153" t="str">
        <f ca="1" t="shared" si="358"/>
        <v>30190011|</v>
      </c>
      <c r="AJ2157" s="205" t="str">
        <f ca="1" t="shared" si="371"/>
        <v>400023|6200|;</v>
      </c>
      <c r="AK2157" s="205">
        <f ca="1">OFFSET([1]item_type!$A$1,MATCH(Q2157,[1]item_type!$G:$G,0)-1,0)</f>
        <v>303019</v>
      </c>
      <c r="AL2157" s="205"/>
      <c r="AM2157" s="205">
        <f ca="1">IF(B2157=B2158,OFFSET(卡牌辅助配置表!$AE$1,MATCH(AB2157,卡牌辅助配置表!AB:AB,0),0),0)</f>
        <v>6200</v>
      </c>
      <c r="AN2157" s="153">
        <f ca="1" t="shared" si="366"/>
        <v>3019012</v>
      </c>
      <c r="AP2157" s="153">
        <f ca="1">IF(AC2157=0,0,IF(AC2157=12,0,OFFSET(effect!$N$1,MATCH(K2157,effect!M:M,0)-1,0)))</f>
        <v>0</v>
      </c>
    </row>
    <row r="2158" spans="1:42">
      <c r="A2158" s="153">
        <f ca="1" t="shared" si="367"/>
        <v>3019012</v>
      </c>
      <c r="B2158" s="91" t="s">
        <v>405</v>
      </c>
      <c r="C2158" s="186">
        <v>3</v>
      </c>
      <c r="D2158" s="186">
        <v>3</v>
      </c>
      <c r="E2158" s="165" t="s">
        <v>1069</v>
      </c>
      <c r="F2158" s="179" t="s">
        <v>1075</v>
      </c>
      <c r="G2158" s="186">
        <v>-3</v>
      </c>
      <c r="H2158" s="186">
        <f ca="1">OFFSET(skill!$Q$1,MATCH(B2158,skill!B:B,0)-1,0)</f>
        <v>15</v>
      </c>
      <c r="I2158" s="186"/>
      <c r="J2158" s="186">
        <f ca="1">OFFSET(card_type!$F$1,MATCH(Q2158,card_type!A:A,0)-1,0)</f>
        <v>5</v>
      </c>
      <c r="K2158" s="243">
        <f ca="1">OFFSET(card_type!$G$1,MATCH(Q2158,card_type!A:A,0)-1,0)</f>
        <v>3</v>
      </c>
      <c r="L2158" s="157">
        <v>3</v>
      </c>
      <c r="M2158" s="157">
        <v>3</v>
      </c>
      <c r="N2158" s="153">
        <f t="shared" si="374"/>
        <v>12</v>
      </c>
      <c r="O2158" s="157"/>
      <c r="P2158" s="157"/>
      <c r="Q2158" s="153">
        <f ca="1">OFFSET(card_type!$A$1,MATCH(card!B2158,card_type!B:B,0)-1,0)</f>
        <v>3019</v>
      </c>
      <c r="R2158" s="153">
        <v>1</v>
      </c>
      <c r="S2158" s="157">
        <f ca="1">ROUND(IF(R2158=0,0,IF(R2158=1,X2158*$S$1,IF(R2158=2,X2158*$S$1*buff的资质计算!$E$2,IF(R2158=3,X2158*$S$1*buff的资质计算!$E$3,0)))),0)*0</f>
        <v>0</v>
      </c>
      <c r="T2158" s="153">
        <v>3</v>
      </c>
      <c r="U2158" s="153">
        <f ca="1" t="shared" si="369"/>
        <v>53</v>
      </c>
      <c r="V2158" s="153">
        <f ca="1">ROUND((OFFSET(卡牌辅助配置表!$O$1,MATCH(U2158,卡牌辅助配置表!M:M,0)-1,0)+(N2158-1)*OFFSET(卡牌辅助配置表!$P$1,MATCH(U2158,卡牌辅助配置表!M:M,0)-1,0))*M2158,2)</f>
        <v>188.5</v>
      </c>
      <c r="W2158" s="157">
        <f ca="1">ROUND(IF(R2158=0,0,IF(R2158=1,X2158*$W$1,IF(R2158=2,X2158*$W$1*buff的资质计算!$E$2,IF(R2158=3,X2158*$W$1*buff的资质计算!$E$3,0)))),2)</f>
        <v>30.45</v>
      </c>
      <c r="X2158" s="157">
        <f ca="1" t="shared" si="360"/>
        <v>101.5</v>
      </c>
      <c r="Y2158" s="157">
        <f ca="1" t="shared" si="373"/>
        <v>116.5</v>
      </c>
      <c r="Z2158" s="304">
        <f ca="1" t="shared" si="361"/>
        <v>38.8333333333333</v>
      </c>
      <c r="AA2158" s="304">
        <f ca="1">OFFSET(卡牌辅助配置表!$AD$1,MATCH(AB2158,卡牌辅助配置表!AB:AB,0)-1,0)</f>
        <v>46008</v>
      </c>
      <c r="AB2158" s="304">
        <f ca="1" t="shared" si="370"/>
        <v>5312</v>
      </c>
      <c r="AC2158" s="153">
        <v>12</v>
      </c>
      <c r="AF2158" s="153" t="str">
        <f ca="1" t="shared" si="358"/>
        <v>30190011|</v>
      </c>
      <c r="AJ2158" s="205" t="str">
        <f ca="1" t="shared" si="371"/>
        <v>400023|7000|;</v>
      </c>
      <c r="AK2158" s="205">
        <f ca="1">OFFSET([1]item_type!$A$1,MATCH(Q2158,[1]item_type!$G:$G,0)-1,0)</f>
        <v>303019</v>
      </c>
      <c r="AL2158" s="205"/>
      <c r="AM2158" s="205">
        <f ca="1">IF(B2158=B2159,OFFSET(卡牌辅助配置表!$AE$1,MATCH(AB2158,卡牌辅助配置表!AB:AB,0),0),0)</f>
        <v>7000</v>
      </c>
      <c r="AN2158" s="153">
        <f ca="1" t="shared" si="366"/>
        <v>3019013</v>
      </c>
      <c r="AP2158" s="153">
        <f ca="1">IF(AC2158=0,0,IF(AC2158=12,0,OFFSET(effect!$N$1,MATCH(K2158,effect!M:M,0)-1,0)))</f>
        <v>0</v>
      </c>
    </row>
    <row r="2159" spans="1:42">
      <c r="A2159" s="153">
        <f ca="1" t="shared" si="367"/>
        <v>3019013</v>
      </c>
      <c r="B2159" s="91" t="s">
        <v>405</v>
      </c>
      <c r="C2159" s="186">
        <v>3</v>
      </c>
      <c r="D2159" s="186">
        <v>3</v>
      </c>
      <c r="E2159" s="165" t="s">
        <v>1069</v>
      </c>
      <c r="F2159" s="179" t="s">
        <v>1075</v>
      </c>
      <c r="G2159" s="186">
        <v>-3</v>
      </c>
      <c r="H2159" s="186">
        <f ca="1">OFFSET(skill!$Q$1,MATCH(B2159,skill!B:B,0)-1,0)</f>
        <v>15</v>
      </c>
      <c r="I2159" s="186"/>
      <c r="J2159" s="186">
        <f ca="1">OFFSET(card_type!$F$1,MATCH(Q2159,card_type!A:A,0)-1,0)</f>
        <v>5</v>
      </c>
      <c r="K2159" s="243">
        <f ca="1">OFFSET(card_type!$G$1,MATCH(Q2159,card_type!A:A,0)-1,0)</f>
        <v>3</v>
      </c>
      <c r="L2159" s="157">
        <v>3</v>
      </c>
      <c r="M2159" s="157">
        <v>3</v>
      </c>
      <c r="N2159" s="153">
        <f t="shared" si="374"/>
        <v>13</v>
      </c>
      <c r="O2159" s="157"/>
      <c r="P2159" s="157"/>
      <c r="Q2159" s="153">
        <f ca="1">OFFSET(card_type!$A$1,MATCH(card!B2159,card_type!B:B,0)-1,0)</f>
        <v>3019</v>
      </c>
      <c r="R2159" s="153">
        <v>1</v>
      </c>
      <c r="S2159" s="157">
        <f ca="1">ROUND(IF(R2159=0,0,IF(R2159=1,X2159*$S$1,IF(R2159=2,X2159*$S$1*buff的资质计算!$E$2,IF(R2159=3,X2159*$S$1*buff的资质计算!$E$3,0)))),0)*0</f>
        <v>0</v>
      </c>
      <c r="T2159" s="153">
        <v>3</v>
      </c>
      <c r="U2159" s="153">
        <f ca="1" t="shared" si="369"/>
        <v>53</v>
      </c>
      <c r="V2159" s="153">
        <f ca="1">ROUND((OFFSET(卡牌辅助配置表!$O$1,MATCH(U2159,卡牌辅助配置表!M:M,0)-1,0)+(N2159-1)*OFFSET(卡牌辅助配置表!$P$1,MATCH(U2159,卡牌辅助配置表!M:M,0)-1,0))*M2159,2)</f>
        <v>188.5</v>
      </c>
      <c r="W2159" s="157">
        <f ca="1">ROUND(IF(R2159=0,0,IF(R2159=1,X2159*$W$1,IF(R2159=2,X2159*$W$1*buff的资质计算!$E$2,IF(R2159=3,X2159*$W$1*buff的资质计算!$E$3,0)))),2)</f>
        <v>30.6</v>
      </c>
      <c r="X2159" s="157">
        <f ca="1" t="shared" si="360"/>
        <v>102</v>
      </c>
      <c r="Y2159" s="157">
        <f ca="1" t="shared" si="373"/>
        <v>117</v>
      </c>
      <c r="Z2159" s="304">
        <f ca="1" t="shared" si="361"/>
        <v>39</v>
      </c>
      <c r="AA2159" s="304">
        <f ca="1">OFFSET(卡牌辅助配置表!$AD$1,MATCH(AB2159,卡牌辅助配置表!AB:AB,0)-1,0)</f>
        <v>49842</v>
      </c>
      <c r="AB2159" s="304">
        <f ca="1" t="shared" si="370"/>
        <v>5313</v>
      </c>
      <c r="AC2159" s="153">
        <v>12</v>
      </c>
      <c r="AF2159" s="153" t="str">
        <f ca="1" t="shared" si="358"/>
        <v>30190011|</v>
      </c>
      <c r="AJ2159" s="205" t="str">
        <f ca="1" t="shared" si="371"/>
        <v>400023|7800|;</v>
      </c>
      <c r="AK2159" s="205">
        <f ca="1">OFFSET([1]item_type!$A$1,MATCH(Q2159,[1]item_type!$G:$G,0)-1,0)</f>
        <v>303019</v>
      </c>
      <c r="AL2159" s="205"/>
      <c r="AM2159" s="205">
        <f ca="1">IF(B2159=B2160,OFFSET(卡牌辅助配置表!$AE$1,MATCH(AB2159,卡牌辅助配置表!AB:AB,0),0),0)</f>
        <v>7800</v>
      </c>
      <c r="AN2159" s="153">
        <f ca="1" t="shared" si="366"/>
        <v>3019014</v>
      </c>
      <c r="AP2159" s="153">
        <f ca="1">IF(AC2159=0,0,IF(AC2159=12,0,OFFSET(effect!$N$1,MATCH(K2159,effect!M:M,0)-1,0)))</f>
        <v>0</v>
      </c>
    </row>
    <row r="2160" spans="1:42">
      <c r="A2160" s="153">
        <f ca="1" t="shared" si="367"/>
        <v>3019014</v>
      </c>
      <c r="B2160" s="91" t="s">
        <v>405</v>
      </c>
      <c r="C2160" s="186">
        <v>3</v>
      </c>
      <c r="D2160" s="186">
        <v>3</v>
      </c>
      <c r="E2160" s="165" t="s">
        <v>1069</v>
      </c>
      <c r="F2160" s="179" t="s">
        <v>1075</v>
      </c>
      <c r="G2160" s="186">
        <v>-3</v>
      </c>
      <c r="H2160" s="186">
        <f ca="1">OFFSET(skill!$Q$1,MATCH(B2160,skill!B:B,0)-1,0)</f>
        <v>15</v>
      </c>
      <c r="I2160" s="186"/>
      <c r="J2160" s="186">
        <f ca="1">OFFSET(card_type!$F$1,MATCH(Q2160,card_type!A:A,0)-1,0)</f>
        <v>5</v>
      </c>
      <c r="K2160" s="243">
        <f ca="1">OFFSET(card_type!$G$1,MATCH(Q2160,card_type!A:A,0)-1,0)</f>
        <v>3</v>
      </c>
      <c r="L2160" s="157">
        <v>3</v>
      </c>
      <c r="M2160" s="157">
        <v>3</v>
      </c>
      <c r="N2160" s="153">
        <f t="shared" si="374"/>
        <v>14</v>
      </c>
      <c r="O2160" s="157"/>
      <c r="P2160" s="157"/>
      <c r="Q2160" s="153">
        <f ca="1">OFFSET(card_type!$A$1,MATCH(card!B2160,card_type!B:B,0)-1,0)</f>
        <v>3019</v>
      </c>
      <c r="R2160" s="153">
        <v>1</v>
      </c>
      <c r="S2160" s="157">
        <f ca="1">ROUND(IF(R2160=0,0,IF(R2160=1,X2160*$S$1,IF(R2160=2,X2160*$S$1*buff的资质计算!$E$2,IF(R2160=3,X2160*$S$1*buff的资质计算!$E$3,0)))),0)*0</f>
        <v>0</v>
      </c>
      <c r="T2160" s="153">
        <v>3</v>
      </c>
      <c r="U2160" s="153">
        <f ca="1" t="shared" si="369"/>
        <v>53</v>
      </c>
      <c r="V2160" s="153">
        <f ca="1">ROUND((OFFSET(卡牌辅助配置表!$O$1,MATCH(U2160,卡牌辅助配置表!M:M,0)-1,0)+(N2160-1)*OFFSET(卡牌辅助配置表!$P$1,MATCH(U2160,卡牌辅助配置表!M:M,0)-1,0))*M2160,2)</f>
        <v>188.5</v>
      </c>
      <c r="W2160" s="157">
        <f ca="1">ROUND(IF(R2160=0,0,IF(R2160=1,X2160*$W$1,IF(R2160=2,X2160*$W$1*buff的资质计算!$E$2,IF(R2160=3,X2160*$W$1*buff的资质计算!$E$3,0)))),2)</f>
        <v>30.75</v>
      </c>
      <c r="X2160" s="157">
        <f ca="1" t="shared" si="360"/>
        <v>102.5</v>
      </c>
      <c r="Y2160" s="157">
        <f ca="1" t="shared" si="373"/>
        <v>117.5</v>
      </c>
      <c r="Z2160" s="304">
        <f ca="1" t="shared" si="361"/>
        <v>39.1666666666667</v>
      </c>
      <c r="AA2160" s="304">
        <f ca="1">OFFSET(卡牌辅助配置表!$AD$1,MATCH(AB2160,卡牌辅助配置表!AB:AB,0)-1,0)</f>
        <v>53676</v>
      </c>
      <c r="AB2160" s="304">
        <f ca="1" t="shared" si="370"/>
        <v>5314</v>
      </c>
      <c r="AC2160" s="153">
        <v>12</v>
      </c>
      <c r="AF2160" s="153" t="str">
        <f ca="1" t="shared" si="358"/>
        <v>30190011|</v>
      </c>
      <c r="AJ2160" s="205" t="str">
        <f ca="1" t="shared" si="371"/>
        <v>400023|8600|;</v>
      </c>
      <c r="AK2160" s="205">
        <f ca="1">OFFSET([1]item_type!$A$1,MATCH(Q2160,[1]item_type!$G:$G,0)-1,0)</f>
        <v>303019</v>
      </c>
      <c r="AL2160" s="205"/>
      <c r="AM2160" s="205">
        <f ca="1">IF(B2160=B2161,OFFSET(卡牌辅助配置表!$AE$1,MATCH(AB2160,卡牌辅助配置表!AB:AB,0),0),0)</f>
        <v>8600</v>
      </c>
      <c r="AN2160" s="153">
        <f ca="1" t="shared" si="366"/>
        <v>3019015</v>
      </c>
      <c r="AP2160" s="153">
        <f ca="1">IF(AC2160=0,0,IF(AC2160=12,0,OFFSET(effect!$N$1,MATCH(K2160,effect!M:M,0)-1,0)))</f>
        <v>0</v>
      </c>
    </row>
    <row r="2161" spans="1:42">
      <c r="A2161" s="153">
        <f ca="1" t="shared" si="367"/>
        <v>3019015</v>
      </c>
      <c r="B2161" s="91" t="s">
        <v>405</v>
      </c>
      <c r="C2161" s="186">
        <v>3</v>
      </c>
      <c r="D2161" s="186">
        <v>3</v>
      </c>
      <c r="E2161" s="165" t="s">
        <v>1069</v>
      </c>
      <c r="F2161" s="179" t="s">
        <v>1075</v>
      </c>
      <c r="G2161" s="186">
        <v>-3</v>
      </c>
      <c r="H2161" s="186">
        <f ca="1">OFFSET(skill!$Q$1,MATCH(B2161,skill!B:B,0)-1,0)</f>
        <v>15</v>
      </c>
      <c r="I2161" s="186"/>
      <c r="J2161" s="186">
        <f ca="1">OFFSET(card_type!$F$1,MATCH(Q2161,card_type!A:A,0)-1,0)</f>
        <v>5</v>
      </c>
      <c r="K2161" s="243">
        <f ca="1">OFFSET(card_type!$G$1,MATCH(Q2161,card_type!A:A,0)-1,0)</f>
        <v>3</v>
      </c>
      <c r="L2161" s="157">
        <v>3</v>
      </c>
      <c r="M2161" s="157">
        <v>3</v>
      </c>
      <c r="N2161" s="153">
        <f t="shared" si="374"/>
        <v>15</v>
      </c>
      <c r="O2161" s="157"/>
      <c r="P2161" s="157"/>
      <c r="Q2161" s="153">
        <f ca="1">OFFSET(card_type!$A$1,MATCH(card!B2161,card_type!B:B,0)-1,0)</f>
        <v>3019</v>
      </c>
      <c r="R2161" s="153">
        <v>1</v>
      </c>
      <c r="S2161" s="157">
        <f ca="1">ROUND(IF(R2161=0,0,IF(R2161=1,X2161*$S$1,IF(R2161=2,X2161*$S$1*buff的资质计算!$E$2,IF(R2161=3,X2161*$S$1*buff的资质计算!$E$3,0)))),0)*0</f>
        <v>0</v>
      </c>
      <c r="T2161" s="153">
        <v>3</v>
      </c>
      <c r="U2161" s="153">
        <f ca="1" t="shared" si="369"/>
        <v>53</v>
      </c>
      <c r="V2161" s="153">
        <f ca="1">ROUND((OFFSET(卡牌辅助配置表!$O$1,MATCH(U2161,卡牌辅助配置表!M:M,0)-1,0)+(N2161-1)*OFFSET(卡牌辅助配置表!$P$1,MATCH(U2161,卡牌辅助配置表!M:M,0)-1,0))*M2161,2)</f>
        <v>188.5</v>
      </c>
      <c r="W2161" s="157">
        <f ca="1">ROUND(IF(R2161=0,0,IF(R2161=1,X2161*$W$1,IF(R2161=2,X2161*$W$1*buff的资质计算!$E$2,IF(R2161=3,X2161*$W$1*buff的资质计算!$E$3,0)))),2)</f>
        <v>30.9</v>
      </c>
      <c r="X2161" s="157">
        <f ca="1" t="shared" si="360"/>
        <v>103</v>
      </c>
      <c r="Y2161" s="157">
        <f ca="1" t="shared" si="373"/>
        <v>118</v>
      </c>
      <c r="Z2161" s="304">
        <f ca="1" t="shared" si="361"/>
        <v>39.3333333333333</v>
      </c>
      <c r="AA2161" s="304">
        <f ca="1">OFFSET(卡牌辅助配置表!$AD$1,MATCH(AB2161,卡牌辅助配置表!AB:AB,0)-1,0)</f>
        <v>57510</v>
      </c>
      <c r="AB2161" s="304">
        <f ca="1" t="shared" si="370"/>
        <v>5315</v>
      </c>
      <c r="AC2161" s="153">
        <v>12</v>
      </c>
      <c r="AF2161" s="153" t="str">
        <f ca="1" t="shared" si="358"/>
        <v>30190011|</v>
      </c>
      <c r="AJ2161" s="205" t="str">
        <f ca="1" t="shared" si="371"/>
        <v>400023|9400|;</v>
      </c>
      <c r="AK2161" s="205">
        <f ca="1">OFFSET([1]item_type!$A$1,MATCH(Q2161,[1]item_type!$G:$G,0)-1,0)</f>
        <v>303019</v>
      </c>
      <c r="AL2161" s="205"/>
      <c r="AM2161" s="205">
        <f ca="1">IF(B2161=B2162,OFFSET(卡牌辅助配置表!$AE$1,MATCH(AB2161,卡牌辅助配置表!AB:AB,0),0),0)</f>
        <v>9400</v>
      </c>
      <c r="AN2161" s="153">
        <f ca="1" t="shared" si="366"/>
        <v>3019016</v>
      </c>
      <c r="AP2161" s="153">
        <f ca="1">IF(AC2161=0,0,IF(AC2161=12,0,OFFSET(effect!$N$1,MATCH(K2161,effect!M:M,0)-1,0)))</f>
        <v>0</v>
      </c>
    </row>
    <row r="2162" spans="1:42">
      <c r="A2162" s="153">
        <f ca="1" t="shared" si="367"/>
        <v>3019016</v>
      </c>
      <c r="B2162" s="91" t="s">
        <v>405</v>
      </c>
      <c r="C2162" s="186">
        <v>3</v>
      </c>
      <c r="D2162" s="186">
        <v>3</v>
      </c>
      <c r="E2162" s="165" t="s">
        <v>1069</v>
      </c>
      <c r="F2162" s="179" t="s">
        <v>1075</v>
      </c>
      <c r="G2162" s="186">
        <v>-3</v>
      </c>
      <c r="H2162" s="186">
        <f ca="1">OFFSET(skill!$Q$1,MATCH(B2162,skill!B:B,0)-1,0)</f>
        <v>15</v>
      </c>
      <c r="I2162" s="186"/>
      <c r="J2162" s="186">
        <f ca="1">OFFSET(card_type!$F$1,MATCH(Q2162,card_type!A:A,0)-1,0)</f>
        <v>5</v>
      </c>
      <c r="K2162" s="243">
        <f ca="1">OFFSET(card_type!$G$1,MATCH(Q2162,card_type!A:A,0)-1,0)</f>
        <v>3</v>
      </c>
      <c r="L2162" s="157">
        <v>3</v>
      </c>
      <c r="M2162" s="157">
        <v>3</v>
      </c>
      <c r="N2162" s="153">
        <f t="shared" si="374"/>
        <v>16</v>
      </c>
      <c r="O2162" s="157"/>
      <c r="P2162" s="157"/>
      <c r="Q2162" s="153">
        <f ca="1">OFFSET(card_type!$A$1,MATCH(card!B2162,card_type!B:B,0)-1,0)</f>
        <v>3019</v>
      </c>
      <c r="R2162" s="153">
        <v>1</v>
      </c>
      <c r="S2162" s="157">
        <f ca="1">ROUND(IF(R2162=0,0,IF(R2162=1,X2162*$S$1,IF(R2162=2,X2162*$S$1*buff的资质计算!$E$2,IF(R2162=3,X2162*$S$1*buff的资质计算!$E$3,0)))),0)*0</f>
        <v>0</v>
      </c>
      <c r="T2162" s="153">
        <v>3</v>
      </c>
      <c r="U2162" s="153">
        <f ca="1" t="shared" si="369"/>
        <v>53</v>
      </c>
      <c r="V2162" s="153">
        <f ca="1">ROUND((OFFSET(卡牌辅助配置表!$O$1,MATCH(U2162,卡牌辅助配置表!M:M,0)-1,0)+(N2162-1)*OFFSET(卡牌辅助配置表!$P$1,MATCH(U2162,卡牌辅助配置表!M:M,0)-1,0))*M2162,2)</f>
        <v>188.5</v>
      </c>
      <c r="W2162" s="157">
        <f ca="1">ROUND(IF(R2162=0,0,IF(R2162=1,X2162*$W$1,IF(R2162=2,X2162*$W$1*buff的资质计算!$E$2,IF(R2162=3,X2162*$W$1*buff的资质计算!$E$3,0)))),2)</f>
        <v>31.05</v>
      </c>
      <c r="X2162" s="157">
        <f ca="1" t="shared" si="360"/>
        <v>103.5</v>
      </c>
      <c r="Y2162" s="157">
        <f ca="1" t="shared" si="373"/>
        <v>118.5</v>
      </c>
      <c r="Z2162" s="304">
        <f ca="1" t="shared" si="361"/>
        <v>39.5</v>
      </c>
      <c r="AA2162" s="304">
        <f ca="1">OFFSET(卡牌辅助配置表!$AD$1,MATCH(AB2162,卡牌辅助配置表!AB:AB,0)-1,0)</f>
        <v>61344</v>
      </c>
      <c r="AB2162" s="304">
        <f ca="1" t="shared" si="370"/>
        <v>5316</v>
      </c>
      <c r="AC2162" s="153">
        <v>12</v>
      </c>
      <c r="AF2162" s="153" t="str">
        <f ca="1" t="shared" si="358"/>
        <v>30190011|</v>
      </c>
      <c r="AJ2162" s="205" t="str">
        <f ca="1" t="shared" si="371"/>
        <v>400023|10200|;</v>
      </c>
      <c r="AK2162" s="205">
        <f ca="1">OFFSET([1]item_type!$A$1,MATCH(Q2162,[1]item_type!$G:$G,0)-1,0)</f>
        <v>303019</v>
      </c>
      <c r="AL2162" s="205"/>
      <c r="AM2162" s="205">
        <f ca="1">IF(B2162=B2163,OFFSET(卡牌辅助配置表!$AE$1,MATCH(AB2162,卡牌辅助配置表!AB:AB,0),0),0)</f>
        <v>10200</v>
      </c>
      <c r="AN2162" s="153">
        <f ca="1" t="shared" si="366"/>
        <v>3019017</v>
      </c>
      <c r="AP2162" s="153">
        <f ca="1">IF(AC2162=0,0,IF(AC2162=12,0,OFFSET(effect!$N$1,MATCH(K2162,effect!M:M,0)-1,0)))</f>
        <v>0</v>
      </c>
    </row>
    <row r="2163" spans="1:42">
      <c r="A2163" s="153">
        <f ca="1" t="shared" si="367"/>
        <v>3019017</v>
      </c>
      <c r="B2163" s="91" t="s">
        <v>405</v>
      </c>
      <c r="C2163" s="186">
        <v>3</v>
      </c>
      <c r="D2163" s="186">
        <v>3</v>
      </c>
      <c r="E2163" s="165" t="s">
        <v>1069</v>
      </c>
      <c r="F2163" s="179" t="s">
        <v>1075</v>
      </c>
      <c r="G2163" s="186">
        <v>-3</v>
      </c>
      <c r="H2163" s="186">
        <f ca="1">OFFSET(skill!$Q$1,MATCH(B2163,skill!B:B,0)-1,0)</f>
        <v>15</v>
      </c>
      <c r="I2163" s="186"/>
      <c r="J2163" s="186">
        <f ca="1">OFFSET(card_type!$F$1,MATCH(Q2163,card_type!A:A,0)-1,0)</f>
        <v>5</v>
      </c>
      <c r="K2163" s="243">
        <f ca="1">OFFSET(card_type!$G$1,MATCH(Q2163,card_type!A:A,0)-1,0)</f>
        <v>3</v>
      </c>
      <c r="L2163" s="157">
        <v>3</v>
      </c>
      <c r="M2163" s="157">
        <v>3</v>
      </c>
      <c r="N2163" s="153">
        <f t="shared" si="374"/>
        <v>17</v>
      </c>
      <c r="O2163" s="157"/>
      <c r="P2163" s="157"/>
      <c r="Q2163" s="153">
        <f ca="1">OFFSET(card_type!$A$1,MATCH(card!B2163,card_type!B:B,0)-1,0)</f>
        <v>3019</v>
      </c>
      <c r="R2163" s="153">
        <v>1</v>
      </c>
      <c r="S2163" s="157">
        <f ca="1">ROUND(IF(R2163=0,0,IF(R2163=1,X2163*$S$1,IF(R2163=2,X2163*$S$1*buff的资质计算!$E$2,IF(R2163=3,X2163*$S$1*buff的资质计算!$E$3,0)))),0)*0</f>
        <v>0</v>
      </c>
      <c r="T2163" s="153">
        <v>3</v>
      </c>
      <c r="U2163" s="153">
        <f ca="1" t="shared" si="369"/>
        <v>53</v>
      </c>
      <c r="V2163" s="153">
        <f ca="1">ROUND((OFFSET(卡牌辅助配置表!$O$1,MATCH(U2163,卡牌辅助配置表!M:M,0)-1,0)+(N2163-1)*OFFSET(卡牌辅助配置表!$P$1,MATCH(U2163,卡牌辅助配置表!M:M,0)-1,0))*M2163,2)</f>
        <v>188.5</v>
      </c>
      <c r="W2163" s="157">
        <f ca="1">ROUND(IF(R2163=0,0,IF(R2163=1,X2163*$W$1,IF(R2163=2,X2163*$W$1*buff的资质计算!$E$2,IF(R2163=3,X2163*$W$1*buff的资质计算!$E$3,0)))),2)</f>
        <v>31.2</v>
      </c>
      <c r="X2163" s="157">
        <f ca="1" t="shared" si="360"/>
        <v>104</v>
      </c>
      <c r="Y2163" s="157">
        <f ca="1" t="shared" si="373"/>
        <v>119</v>
      </c>
      <c r="Z2163" s="304">
        <f ca="1" t="shared" si="361"/>
        <v>39.6666666666667</v>
      </c>
      <c r="AA2163" s="304">
        <f ca="1">OFFSET(卡牌辅助配置表!$AD$1,MATCH(AB2163,卡牌辅助配置表!AB:AB,0)-1,0)</f>
        <v>65178</v>
      </c>
      <c r="AB2163" s="304">
        <f ca="1" t="shared" si="370"/>
        <v>5317</v>
      </c>
      <c r="AC2163" s="153">
        <v>12</v>
      </c>
      <c r="AF2163" s="153" t="str">
        <f ca="1" t="shared" ref="AF2163:AF2226" si="375">((Q2163*1000+1)*10+1)&amp;$AF$1</f>
        <v>30190011|</v>
      </c>
      <c r="AJ2163" s="205" t="str">
        <f ca="1" t="shared" si="371"/>
        <v>400023|11000|;</v>
      </c>
      <c r="AK2163" s="205">
        <f ca="1">OFFSET([1]item_type!$A$1,MATCH(Q2163,[1]item_type!$G:$G,0)-1,0)</f>
        <v>303019</v>
      </c>
      <c r="AL2163" s="205"/>
      <c r="AM2163" s="205">
        <f ca="1">IF(B2163=B2164,OFFSET(卡牌辅助配置表!$AE$1,MATCH(AB2163,卡牌辅助配置表!AB:AB,0),0),0)</f>
        <v>11000</v>
      </c>
      <c r="AN2163" s="153">
        <f ca="1" t="shared" si="366"/>
        <v>3019018</v>
      </c>
      <c r="AP2163" s="153">
        <f ca="1">IF(AC2163=0,0,IF(AC2163=12,0,OFFSET(effect!$N$1,MATCH(K2163,effect!M:M,0)-1,0)))</f>
        <v>0</v>
      </c>
    </row>
    <row r="2164" spans="1:42">
      <c r="A2164" s="153">
        <f ca="1" t="shared" si="367"/>
        <v>3019018</v>
      </c>
      <c r="B2164" s="91" t="s">
        <v>405</v>
      </c>
      <c r="C2164" s="186">
        <v>3</v>
      </c>
      <c r="D2164" s="186">
        <v>3</v>
      </c>
      <c r="E2164" s="165" t="s">
        <v>1069</v>
      </c>
      <c r="F2164" s="179" t="s">
        <v>1075</v>
      </c>
      <c r="G2164" s="186">
        <v>-3</v>
      </c>
      <c r="H2164" s="186">
        <f ca="1">OFFSET(skill!$Q$1,MATCH(B2164,skill!B:B,0)-1,0)</f>
        <v>15</v>
      </c>
      <c r="I2164" s="186"/>
      <c r="J2164" s="186">
        <f ca="1">OFFSET(card_type!$F$1,MATCH(Q2164,card_type!A:A,0)-1,0)</f>
        <v>5</v>
      </c>
      <c r="K2164" s="243">
        <f ca="1">OFFSET(card_type!$G$1,MATCH(Q2164,card_type!A:A,0)-1,0)</f>
        <v>3</v>
      </c>
      <c r="L2164" s="157">
        <v>3</v>
      </c>
      <c r="M2164" s="157">
        <v>3</v>
      </c>
      <c r="N2164" s="153">
        <f t="shared" si="374"/>
        <v>18</v>
      </c>
      <c r="O2164" s="157"/>
      <c r="P2164" s="157"/>
      <c r="Q2164" s="153">
        <f ca="1">OFFSET(card_type!$A$1,MATCH(card!B2164,card_type!B:B,0)-1,0)</f>
        <v>3019</v>
      </c>
      <c r="R2164" s="153">
        <v>1</v>
      </c>
      <c r="S2164" s="157">
        <f ca="1">ROUND(IF(R2164=0,0,IF(R2164=1,X2164*$S$1,IF(R2164=2,X2164*$S$1*buff的资质计算!$E$2,IF(R2164=3,X2164*$S$1*buff的资质计算!$E$3,0)))),0)*0</f>
        <v>0</v>
      </c>
      <c r="T2164" s="153">
        <v>3</v>
      </c>
      <c r="U2164" s="153">
        <f ca="1" t="shared" si="369"/>
        <v>53</v>
      </c>
      <c r="V2164" s="153">
        <f ca="1">ROUND((OFFSET(卡牌辅助配置表!$O$1,MATCH(U2164,卡牌辅助配置表!M:M,0)-1,0)+(N2164-1)*OFFSET(卡牌辅助配置表!$P$1,MATCH(U2164,卡牌辅助配置表!M:M,0)-1,0))*M2164,2)</f>
        <v>188.5</v>
      </c>
      <c r="W2164" s="157">
        <f ca="1">ROUND(IF(R2164=0,0,IF(R2164=1,X2164*$W$1,IF(R2164=2,X2164*$W$1*buff的资质计算!$E$2,IF(R2164=3,X2164*$W$1*buff的资质计算!$E$3,0)))),2)</f>
        <v>31.35</v>
      </c>
      <c r="X2164" s="157">
        <f ca="1" t="shared" ref="X2164:X2227" si="376">M2164*($M$1+(J2164-1)*$J$1+(K2164-1)*$K$1)+G2164+$J$1*(N2164-1)/$N$1</f>
        <v>104.5</v>
      </c>
      <c r="Y2164" s="157">
        <f ca="1" t="shared" si="373"/>
        <v>119.5</v>
      </c>
      <c r="Z2164" s="304">
        <f ca="1" t="shared" ref="Z2164:Z2227" si="377">Y2164/M2164</f>
        <v>39.8333333333333</v>
      </c>
      <c r="AA2164" s="304">
        <f ca="1">OFFSET(卡牌辅助配置表!$AD$1,MATCH(AB2164,卡牌辅助配置表!AB:AB,0)-1,0)</f>
        <v>69012</v>
      </c>
      <c r="AB2164" s="304">
        <f ca="1" t="shared" si="370"/>
        <v>5318</v>
      </c>
      <c r="AC2164" s="153">
        <v>12</v>
      </c>
      <c r="AF2164" s="153" t="str">
        <f ca="1" t="shared" si="375"/>
        <v>30190011|</v>
      </c>
      <c r="AJ2164" s="205" t="str">
        <f ca="1" t="shared" si="371"/>
        <v>400023|11800|;</v>
      </c>
      <c r="AK2164" s="205">
        <f ca="1">OFFSET([1]item_type!$A$1,MATCH(Q2164,[1]item_type!$G:$G,0)-1,0)</f>
        <v>303019</v>
      </c>
      <c r="AL2164" s="205"/>
      <c r="AM2164" s="205">
        <f ca="1">IF(B2164=B2165,OFFSET(卡牌辅助配置表!$AE$1,MATCH(AB2164,卡牌辅助配置表!AB:AB,0),0),0)</f>
        <v>11800</v>
      </c>
      <c r="AN2164" s="153">
        <f ca="1" t="shared" si="366"/>
        <v>3019019</v>
      </c>
      <c r="AP2164" s="153">
        <f ca="1">IF(AC2164=0,0,IF(AC2164=12,0,OFFSET(effect!$N$1,MATCH(K2164,effect!M:M,0)-1,0)))</f>
        <v>0</v>
      </c>
    </row>
    <row r="2165" spans="1:42">
      <c r="A2165" s="153">
        <f ca="1" t="shared" si="367"/>
        <v>3019019</v>
      </c>
      <c r="B2165" s="91" t="s">
        <v>405</v>
      </c>
      <c r="C2165" s="186">
        <v>3</v>
      </c>
      <c r="D2165" s="186">
        <v>3</v>
      </c>
      <c r="E2165" s="165" t="s">
        <v>1069</v>
      </c>
      <c r="F2165" s="179" t="s">
        <v>1075</v>
      </c>
      <c r="G2165" s="186">
        <v>-3</v>
      </c>
      <c r="H2165" s="186">
        <f ca="1">OFFSET(skill!$Q$1,MATCH(B2165,skill!B:B,0)-1,0)</f>
        <v>15</v>
      </c>
      <c r="I2165" s="186"/>
      <c r="J2165" s="186">
        <f ca="1">OFFSET(card_type!$F$1,MATCH(Q2165,card_type!A:A,0)-1,0)</f>
        <v>5</v>
      </c>
      <c r="K2165" s="243">
        <f ca="1">OFFSET(card_type!$G$1,MATCH(Q2165,card_type!A:A,0)-1,0)</f>
        <v>3</v>
      </c>
      <c r="L2165" s="157">
        <v>3</v>
      </c>
      <c r="M2165" s="157">
        <v>3</v>
      </c>
      <c r="N2165" s="153">
        <f t="shared" si="374"/>
        <v>19</v>
      </c>
      <c r="O2165" s="157"/>
      <c r="P2165" s="157"/>
      <c r="Q2165" s="153">
        <f ca="1">OFFSET(card_type!$A$1,MATCH(card!B2165,card_type!B:B,0)-1,0)</f>
        <v>3019</v>
      </c>
      <c r="R2165" s="153">
        <v>1</v>
      </c>
      <c r="S2165" s="157">
        <f ca="1">ROUND(IF(R2165=0,0,IF(R2165=1,X2165*$S$1,IF(R2165=2,X2165*$S$1*buff的资质计算!$E$2,IF(R2165=3,X2165*$S$1*buff的资质计算!$E$3,0)))),0)*0</f>
        <v>0</v>
      </c>
      <c r="T2165" s="153">
        <v>3</v>
      </c>
      <c r="U2165" s="153">
        <f ca="1" t="shared" si="369"/>
        <v>53</v>
      </c>
      <c r="V2165" s="153">
        <f ca="1">ROUND((OFFSET(卡牌辅助配置表!$O$1,MATCH(U2165,卡牌辅助配置表!M:M,0)-1,0)+(N2165-1)*OFFSET(卡牌辅助配置表!$P$1,MATCH(U2165,卡牌辅助配置表!M:M,0)-1,0))*M2165,2)</f>
        <v>188.5</v>
      </c>
      <c r="W2165" s="157">
        <f ca="1">ROUND(IF(R2165=0,0,IF(R2165=1,X2165*$W$1,IF(R2165=2,X2165*$W$1*buff的资质计算!$E$2,IF(R2165=3,X2165*$W$1*buff的资质计算!$E$3,0)))),2)</f>
        <v>31.5</v>
      </c>
      <c r="X2165" s="157">
        <f ca="1" t="shared" si="376"/>
        <v>105</v>
      </c>
      <c r="Y2165" s="157">
        <f ca="1" t="shared" si="373"/>
        <v>120</v>
      </c>
      <c r="Z2165" s="304">
        <f ca="1" t="shared" si="377"/>
        <v>40</v>
      </c>
      <c r="AA2165" s="304">
        <f ca="1">OFFSET(卡牌辅助配置表!$AD$1,MATCH(AB2165,卡牌辅助配置表!AB:AB,0)-1,0)</f>
        <v>72846</v>
      </c>
      <c r="AB2165" s="304">
        <f ca="1" t="shared" si="370"/>
        <v>5319</v>
      </c>
      <c r="AC2165" s="153">
        <v>12</v>
      </c>
      <c r="AF2165" s="153" t="str">
        <f ca="1" t="shared" si="375"/>
        <v>30190011|</v>
      </c>
      <c r="AJ2165" s="205" t="str">
        <f ca="1" t="shared" si="371"/>
        <v>303019|20|;400023|12600|;</v>
      </c>
      <c r="AK2165" s="205">
        <f ca="1">OFFSET([1]item_type!$A$1,MATCH(Q2165,[1]item_type!$G:$G,0)-1,0)</f>
        <v>303019</v>
      </c>
      <c r="AL2165" s="205">
        <v>20</v>
      </c>
      <c r="AM2165" s="205">
        <f ca="1">IF(B2165=B2166,OFFSET(卡牌辅助配置表!$AE$1,MATCH(AB2165,卡牌辅助配置表!AB:AB,0),0),0)</f>
        <v>12600</v>
      </c>
      <c r="AN2165" s="153">
        <f ca="1" t="shared" si="366"/>
        <v>3019020</v>
      </c>
      <c r="AP2165" s="153">
        <f ca="1">IF(AC2165=0,0,IF(AC2165=12,0,OFFSET(effect!$N$1,MATCH(K2165,effect!M:M,0)-1,0)))</f>
        <v>0</v>
      </c>
    </row>
    <row r="2166" spans="1:42">
      <c r="A2166" s="153">
        <f ca="1" t="shared" si="367"/>
        <v>3019020</v>
      </c>
      <c r="B2166" s="91" t="s">
        <v>405</v>
      </c>
      <c r="C2166" s="186">
        <v>3</v>
      </c>
      <c r="D2166" s="186">
        <v>3</v>
      </c>
      <c r="E2166" s="165" t="s">
        <v>1069</v>
      </c>
      <c r="F2166" s="179" t="s">
        <v>1075</v>
      </c>
      <c r="G2166" s="186">
        <v>-3</v>
      </c>
      <c r="H2166" s="186">
        <f ca="1">OFFSET(skill!$Q$1,MATCH(B2166,skill!B:B,0)-1,0)</f>
        <v>15</v>
      </c>
      <c r="I2166" s="186"/>
      <c r="J2166" s="186">
        <f ca="1">OFFSET(card_type!$F$1,MATCH(Q2166,card_type!A:A,0)-1,0)</f>
        <v>5</v>
      </c>
      <c r="K2166" s="243">
        <f ca="1">OFFSET(card_type!$G$1,MATCH(Q2166,card_type!A:A,0)-1,0)</f>
        <v>3</v>
      </c>
      <c r="L2166" s="157">
        <v>3</v>
      </c>
      <c r="M2166" s="157">
        <v>3</v>
      </c>
      <c r="N2166" s="153">
        <f t="shared" si="374"/>
        <v>20</v>
      </c>
      <c r="O2166" s="157"/>
      <c r="P2166" s="157"/>
      <c r="Q2166" s="153">
        <f ca="1">OFFSET(card_type!$A$1,MATCH(card!B2166,card_type!B:B,0)-1,0)</f>
        <v>3019</v>
      </c>
      <c r="R2166" s="153">
        <v>1</v>
      </c>
      <c r="S2166" s="157">
        <f ca="1">ROUND(IF(R2166=0,0,IF(R2166=1,X2166*$S$1,IF(R2166=2,X2166*$S$1*buff的资质计算!$E$2,IF(R2166=3,X2166*$S$1*buff的资质计算!$E$3,0)))),0)*0</f>
        <v>0</v>
      </c>
      <c r="T2166" s="153">
        <v>3</v>
      </c>
      <c r="U2166" s="153">
        <f ca="1" t="shared" si="369"/>
        <v>53</v>
      </c>
      <c r="V2166" s="153">
        <f ca="1">ROUND((OFFSET(卡牌辅助配置表!$O$1,MATCH(U2166,卡牌辅助配置表!M:M,0)-1,0)+(N2166-1)*OFFSET(卡牌辅助配置表!$P$1,MATCH(U2166,卡牌辅助配置表!M:M,0)-1,0))*M2166,2)</f>
        <v>188.5</v>
      </c>
      <c r="W2166" s="157">
        <f ca="1">ROUND(IF(R2166=0,0,IF(R2166=1,X2166*$W$1,IF(R2166=2,X2166*$W$1*buff的资质计算!$E$2,IF(R2166=3,X2166*$W$1*buff的资质计算!$E$3,0)))),2)</f>
        <v>31.65</v>
      </c>
      <c r="X2166" s="157">
        <f ca="1" t="shared" si="376"/>
        <v>105.5</v>
      </c>
      <c r="Y2166" s="157">
        <f ca="1" t="shared" si="373"/>
        <v>120.5</v>
      </c>
      <c r="Z2166" s="304">
        <f ca="1" t="shared" si="377"/>
        <v>40.1666666666667</v>
      </c>
      <c r="AA2166" s="304">
        <f ca="1">OFFSET(卡牌辅助配置表!$AD$1,MATCH(AB2166,卡牌辅助配置表!AB:AB,0)-1,0)</f>
        <v>76680</v>
      </c>
      <c r="AB2166" s="304">
        <f ca="1" t="shared" si="370"/>
        <v>5320</v>
      </c>
      <c r="AC2166" s="153">
        <v>12</v>
      </c>
      <c r="AF2166" s="153" t="str">
        <f ca="1" t="shared" si="375"/>
        <v>30190011|</v>
      </c>
      <c r="AJ2166" s="205" t="str">
        <f ca="1" t="shared" si="371"/>
        <v>400023|14200|;</v>
      </c>
      <c r="AK2166" s="205">
        <f ca="1">OFFSET([1]item_type!$A$1,MATCH(Q2166,[1]item_type!$G:$G,0)-1,0)</f>
        <v>303019</v>
      </c>
      <c r="AL2166" s="205"/>
      <c r="AM2166" s="205">
        <f ca="1">IF(B2166=B2167,OFFSET(卡牌辅助配置表!$AE$1,MATCH(AB2166,卡牌辅助配置表!AB:AB,0),0),0)</f>
        <v>14200</v>
      </c>
      <c r="AN2166" s="153">
        <f ca="1" t="shared" si="366"/>
        <v>3019021</v>
      </c>
      <c r="AP2166" s="153">
        <f ca="1">IF(AC2166=0,0,IF(AC2166=12,0,OFFSET(effect!$N$1,MATCH(K2166,effect!M:M,0)-1,0)))</f>
        <v>0</v>
      </c>
    </row>
    <row r="2167" spans="1:42">
      <c r="A2167" s="153">
        <f ca="1" t="shared" si="367"/>
        <v>3019021</v>
      </c>
      <c r="B2167" s="91" t="s">
        <v>405</v>
      </c>
      <c r="C2167" s="186">
        <v>3</v>
      </c>
      <c r="D2167" s="186">
        <v>3</v>
      </c>
      <c r="E2167" s="165" t="s">
        <v>1069</v>
      </c>
      <c r="F2167" s="179" t="s">
        <v>1075</v>
      </c>
      <c r="G2167" s="186">
        <v>-3</v>
      </c>
      <c r="H2167" s="186">
        <f ca="1">OFFSET(skill!$Q$1,MATCH(B2167,skill!B:B,0)-1,0)</f>
        <v>15</v>
      </c>
      <c r="I2167" s="186"/>
      <c r="J2167" s="186">
        <f ca="1">OFFSET(card_type!$F$1,MATCH(Q2167,card_type!A:A,0)-1,0)</f>
        <v>5</v>
      </c>
      <c r="K2167" s="243">
        <f ca="1">OFFSET(card_type!$G$1,MATCH(Q2167,card_type!A:A,0)-1,0)</f>
        <v>3</v>
      </c>
      <c r="L2167" s="157">
        <v>3</v>
      </c>
      <c r="M2167" s="157">
        <v>3</v>
      </c>
      <c r="N2167" s="153">
        <f t="shared" si="374"/>
        <v>21</v>
      </c>
      <c r="O2167" s="157"/>
      <c r="P2167" s="157"/>
      <c r="Q2167" s="153">
        <f ca="1">OFFSET(card_type!$A$1,MATCH(card!B2167,card_type!B:B,0)-1,0)</f>
        <v>3019</v>
      </c>
      <c r="R2167" s="153">
        <v>1</v>
      </c>
      <c r="S2167" s="157">
        <f ca="1">ROUND(IF(R2167=0,0,IF(R2167=1,X2167*$S$1,IF(R2167=2,X2167*$S$1*buff的资质计算!$E$2,IF(R2167=3,X2167*$S$1*buff的资质计算!$E$3,0)))),0)*0</f>
        <v>0</v>
      </c>
      <c r="T2167" s="153">
        <v>3</v>
      </c>
      <c r="U2167" s="153">
        <f ca="1" t="shared" si="369"/>
        <v>53</v>
      </c>
      <c r="V2167" s="153">
        <f ca="1">ROUND((OFFSET(卡牌辅助配置表!$O$1,MATCH(U2167,卡牌辅助配置表!M:M,0)-1,0)+(N2167-1)*OFFSET(卡牌辅助配置表!$P$1,MATCH(U2167,卡牌辅助配置表!M:M,0)-1,0))*M2167,2)</f>
        <v>188.5</v>
      </c>
      <c r="W2167" s="157">
        <f ca="1">ROUND(IF(R2167=0,0,IF(R2167=1,X2167*$W$1,IF(R2167=2,X2167*$W$1*buff的资质计算!$E$2,IF(R2167=3,X2167*$W$1*buff的资质计算!$E$3,0)))),2)</f>
        <v>31.8</v>
      </c>
      <c r="X2167" s="157">
        <f ca="1" t="shared" si="376"/>
        <v>106</v>
      </c>
      <c r="Y2167" s="157">
        <f ca="1" t="shared" si="373"/>
        <v>121</v>
      </c>
      <c r="Z2167" s="304">
        <f ca="1" t="shared" si="377"/>
        <v>40.3333333333333</v>
      </c>
      <c r="AA2167" s="304">
        <f ca="1">OFFSET(卡牌辅助配置表!$AD$1,MATCH(AB2167,卡牌辅助配置表!AB:AB,0)-1,0)</f>
        <v>80514</v>
      </c>
      <c r="AB2167" s="304">
        <f ca="1" t="shared" si="370"/>
        <v>5321</v>
      </c>
      <c r="AC2167" s="153">
        <v>12</v>
      </c>
      <c r="AF2167" s="153" t="str">
        <f ca="1" t="shared" si="375"/>
        <v>30190011|</v>
      </c>
      <c r="AJ2167" s="205" t="str">
        <f ca="1" t="shared" si="371"/>
        <v>400023|15800|;</v>
      </c>
      <c r="AK2167" s="205">
        <f ca="1">OFFSET([1]item_type!$A$1,MATCH(Q2167,[1]item_type!$G:$G,0)-1,0)</f>
        <v>303019</v>
      </c>
      <c r="AL2167" s="205"/>
      <c r="AM2167" s="205">
        <f ca="1">IF(B2167=B2168,OFFSET(卡牌辅助配置表!$AE$1,MATCH(AB2167,卡牌辅助配置表!AB:AB,0),0),0)</f>
        <v>15800</v>
      </c>
      <c r="AN2167" s="153">
        <f ca="1" t="shared" si="366"/>
        <v>3019022</v>
      </c>
      <c r="AP2167" s="153">
        <f ca="1">IF(AC2167=0,0,IF(AC2167=12,0,OFFSET(effect!$N$1,MATCH(K2167,effect!M:M,0)-1,0)))</f>
        <v>0</v>
      </c>
    </row>
    <row r="2168" spans="1:42">
      <c r="A2168" s="153">
        <f ca="1" t="shared" si="367"/>
        <v>3019022</v>
      </c>
      <c r="B2168" s="91" t="s">
        <v>405</v>
      </c>
      <c r="C2168" s="186">
        <v>3</v>
      </c>
      <c r="D2168" s="186">
        <v>3</v>
      </c>
      <c r="E2168" s="165" t="s">
        <v>1069</v>
      </c>
      <c r="F2168" s="179" t="s">
        <v>1075</v>
      </c>
      <c r="G2168" s="186">
        <v>-3</v>
      </c>
      <c r="H2168" s="186">
        <f ca="1">OFFSET(skill!$Q$1,MATCH(B2168,skill!B:B,0)-1,0)</f>
        <v>15</v>
      </c>
      <c r="I2168" s="186"/>
      <c r="J2168" s="186">
        <f ca="1">OFFSET(card_type!$F$1,MATCH(Q2168,card_type!A:A,0)-1,0)</f>
        <v>5</v>
      </c>
      <c r="K2168" s="243">
        <f ca="1">OFFSET(card_type!$G$1,MATCH(Q2168,card_type!A:A,0)-1,0)</f>
        <v>3</v>
      </c>
      <c r="L2168" s="157">
        <v>3</v>
      </c>
      <c r="M2168" s="157">
        <v>3</v>
      </c>
      <c r="N2168" s="153">
        <f t="shared" si="374"/>
        <v>22</v>
      </c>
      <c r="O2168" s="157"/>
      <c r="P2168" s="157"/>
      <c r="Q2168" s="153">
        <f ca="1">OFFSET(card_type!$A$1,MATCH(card!B2168,card_type!B:B,0)-1,0)</f>
        <v>3019</v>
      </c>
      <c r="R2168" s="153">
        <v>1</v>
      </c>
      <c r="S2168" s="157">
        <f ca="1">ROUND(IF(R2168=0,0,IF(R2168=1,X2168*$S$1,IF(R2168=2,X2168*$S$1*buff的资质计算!$E$2,IF(R2168=3,X2168*$S$1*buff的资质计算!$E$3,0)))),0)*0</f>
        <v>0</v>
      </c>
      <c r="T2168" s="153">
        <v>3</v>
      </c>
      <c r="U2168" s="153">
        <f ca="1" t="shared" si="369"/>
        <v>53</v>
      </c>
      <c r="V2168" s="153">
        <f ca="1">ROUND((OFFSET(卡牌辅助配置表!$O$1,MATCH(U2168,卡牌辅助配置表!M:M,0)-1,0)+(N2168-1)*OFFSET(卡牌辅助配置表!$P$1,MATCH(U2168,卡牌辅助配置表!M:M,0)-1,0))*M2168,2)</f>
        <v>188.5</v>
      </c>
      <c r="W2168" s="157">
        <f ca="1">ROUND(IF(R2168=0,0,IF(R2168=1,X2168*$W$1,IF(R2168=2,X2168*$W$1*buff的资质计算!$E$2,IF(R2168=3,X2168*$W$1*buff的资质计算!$E$3,0)))),2)</f>
        <v>31.95</v>
      </c>
      <c r="X2168" s="157">
        <f ca="1" t="shared" si="376"/>
        <v>106.5</v>
      </c>
      <c r="Y2168" s="157">
        <f ca="1" t="shared" si="373"/>
        <v>121.5</v>
      </c>
      <c r="Z2168" s="304">
        <f ca="1" t="shared" si="377"/>
        <v>40.5</v>
      </c>
      <c r="AA2168" s="304">
        <f ca="1">OFFSET(卡牌辅助配置表!$AD$1,MATCH(AB2168,卡牌辅助配置表!AB:AB,0)-1,0)</f>
        <v>84348</v>
      </c>
      <c r="AB2168" s="304">
        <f ca="1" t="shared" si="370"/>
        <v>5322</v>
      </c>
      <c r="AC2168" s="153">
        <v>12</v>
      </c>
      <c r="AF2168" s="153" t="str">
        <f ca="1" t="shared" si="375"/>
        <v>30190011|</v>
      </c>
      <c r="AJ2168" s="205" t="str">
        <f ca="1" t="shared" si="371"/>
        <v>400023|17400|;</v>
      </c>
      <c r="AK2168" s="205">
        <f ca="1">OFFSET([1]item_type!$A$1,MATCH(Q2168,[1]item_type!$G:$G,0)-1,0)</f>
        <v>303019</v>
      </c>
      <c r="AL2168" s="205"/>
      <c r="AM2168" s="205">
        <f ca="1">IF(B2168=B2169,OFFSET(卡牌辅助配置表!$AE$1,MATCH(AB2168,卡牌辅助配置表!AB:AB,0),0),0)</f>
        <v>17400</v>
      </c>
      <c r="AN2168" s="153">
        <f ca="1" t="shared" si="366"/>
        <v>3019023</v>
      </c>
      <c r="AP2168" s="153">
        <f ca="1">IF(AC2168=0,0,IF(AC2168=12,0,OFFSET(effect!$N$1,MATCH(K2168,effect!M:M,0)-1,0)))</f>
        <v>0</v>
      </c>
    </row>
    <row r="2169" spans="1:42">
      <c r="A2169" s="153">
        <f ca="1" t="shared" si="367"/>
        <v>3019023</v>
      </c>
      <c r="B2169" s="91" t="s">
        <v>405</v>
      </c>
      <c r="C2169" s="186">
        <v>3</v>
      </c>
      <c r="D2169" s="186">
        <v>3</v>
      </c>
      <c r="E2169" s="165" t="s">
        <v>1069</v>
      </c>
      <c r="F2169" s="179" t="s">
        <v>1075</v>
      </c>
      <c r="G2169" s="186">
        <v>-3</v>
      </c>
      <c r="H2169" s="186">
        <f ca="1">OFFSET(skill!$Q$1,MATCH(B2169,skill!B:B,0)-1,0)</f>
        <v>15</v>
      </c>
      <c r="I2169" s="186"/>
      <c r="J2169" s="186">
        <f ca="1">OFFSET(card_type!$F$1,MATCH(Q2169,card_type!A:A,0)-1,0)</f>
        <v>5</v>
      </c>
      <c r="K2169" s="243">
        <f ca="1">OFFSET(card_type!$G$1,MATCH(Q2169,card_type!A:A,0)-1,0)</f>
        <v>3</v>
      </c>
      <c r="L2169" s="157">
        <v>3</v>
      </c>
      <c r="M2169" s="157">
        <v>3</v>
      </c>
      <c r="N2169" s="153">
        <f t="shared" si="374"/>
        <v>23</v>
      </c>
      <c r="O2169" s="157"/>
      <c r="P2169" s="157"/>
      <c r="Q2169" s="153">
        <f ca="1">OFFSET(card_type!$A$1,MATCH(card!B2169,card_type!B:B,0)-1,0)</f>
        <v>3019</v>
      </c>
      <c r="R2169" s="153">
        <v>1</v>
      </c>
      <c r="S2169" s="157">
        <f ca="1">ROUND(IF(R2169=0,0,IF(R2169=1,X2169*$S$1,IF(R2169=2,X2169*$S$1*buff的资质计算!$E$2,IF(R2169=3,X2169*$S$1*buff的资质计算!$E$3,0)))),0)*0</f>
        <v>0</v>
      </c>
      <c r="T2169" s="153">
        <v>3</v>
      </c>
      <c r="U2169" s="153">
        <f ca="1" t="shared" si="369"/>
        <v>53</v>
      </c>
      <c r="V2169" s="153">
        <f ca="1">ROUND((OFFSET(卡牌辅助配置表!$O$1,MATCH(U2169,卡牌辅助配置表!M:M,0)-1,0)+(N2169-1)*OFFSET(卡牌辅助配置表!$P$1,MATCH(U2169,卡牌辅助配置表!M:M,0)-1,0))*M2169,2)</f>
        <v>188.5</v>
      </c>
      <c r="W2169" s="157">
        <f ca="1">ROUND(IF(R2169=0,0,IF(R2169=1,X2169*$W$1,IF(R2169=2,X2169*$W$1*buff的资质计算!$E$2,IF(R2169=3,X2169*$W$1*buff的资质计算!$E$3,0)))),2)</f>
        <v>32.1</v>
      </c>
      <c r="X2169" s="157">
        <f ca="1" t="shared" si="376"/>
        <v>107</v>
      </c>
      <c r="Y2169" s="157">
        <f ca="1" t="shared" si="373"/>
        <v>122</v>
      </c>
      <c r="Z2169" s="304">
        <f ca="1" t="shared" si="377"/>
        <v>40.6666666666667</v>
      </c>
      <c r="AA2169" s="304">
        <f ca="1">OFFSET(卡牌辅助配置表!$AD$1,MATCH(AB2169,卡牌辅助配置表!AB:AB,0)-1,0)</f>
        <v>88182</v>
      </c>
      <c r="AB2169" s="304">
        <f ca="1" t="shared" si="370"/>
        <v>5323</v>
      </c>
      <c r="AC2169" s="153">
        <v>12</v>
      </c>
      <c r="AF2169" s="153" t="str">
        <f ca="1" t="shared" si="375"/>
        <v>30190011|</v>
      </c>
      <c r="AJ2169" s="205" t="str">
        <f ca="1" t="shared" si="371"/>
        <v>400023|19000|;</v>
      </c>
      <c r="AK2169" s="205">
        <f ca="1">OFFSET([1]item_type!$A$1,MATCH(Q2169,[1]item_type!$G:$G,0)-1,0)</f>
        <v>303019</v>
      </c>
      <c r="AL2169" s="205"/>
      <c r="AM2169" s="205">
        <f ca="1">IF(B2169=B2170,OFFSET(卡牌辅助配置表!$AE$1,MATCH(AB2169,卡牌辅助配置表!AB:AB,0),0),0)</f>
        <v>19000</v>
      </c>
      <c r="AN2169" s="153">
        <f ca="1" t="shared" si="366"/>
        <v>3019024</v>
      </c>
      <c r="AP2169" s="153">
        <f ca="1">IF(AC2169=0,0,IF(AC2169=12,0,OFFSET(effect!$N$1,MATCH(K2169,effect!M:M,0)-1,0)))</f>
        <v>0</v>
      </c>
    </row>
    <row r="2170" spans="1:42">
      <c r="A2170" s="153">
        <f ca="1" t="shared" si="367"/>
        <v>3019024</v>
      </c>
      <c r="B2170" s="91" t="s">
        <v>405</v>
      </c>
      <c r="C2170" s="186">
        <v>3</v>
      </c>
      <c r="D2170" s="186">
        <v>3</v>
      </c>
      <c r="E2170" s="165" t="s">
        <v>1069</v>
      </c>
      <c r="F2170" s="179" t="s">
        <v>1075</v>
      </c>
      <c r="G2170" s="186">
        <v>-3</v>
      </c>
      <c r="H2170" s="186">
        <f ca="1">OFFSET(skill!$Q$1,MATCH(B2170,skill!B:B,0)-1,0)</f>
        <v>15</v>
      </c>
      <c r="I2170" s="186"/>
      <c r="J2170" s="186">
        <f ca="1">OFFSET(card_type!$F$1,MATCH(Q2170,card_type!A:A,0)-1,0)</f>
        <v>5</v>
      </c>
      <c r="K2170" s="243">
        <f ca="1">OFFSET(card_type!$G$1,MATCH(Q2170,card_type!A:A,0)-1,0)</f>
        <v>3</v>
      </c>
      <c r="L2170" s="157">
        <v>3</v>
      </c>
      <c r="M2170" s="157">
        <v>3</v>
      </c>
      <c r="N2170" s="153">
        <f t="shared" si="374"/>
        <v>24</v>
      </c>
      <c r="O2170" s="157"/>
      <c r="P2170" s="157"/>
      <c r="Q2170" s="153">
        <f ca="1">OFFSET(card_type!$A$1,MATCH(card!B2170,card_type!B:B,0)-1,0)</f>
        <v>3019</v>
      </c>
      <c r="R2170" s="153">
        <v>1</v>
      </c>
      <c r="S2170" s="157">
        <f ca="1">ROUND(IF(R2170=0,0,IF(R2170=1,X2170*$S$1,IF(R2170=2,X2170*$S$1*buff的资质计算!$E$2,IF(R2170=3,X2170*$S$1*buff的资质计算!$E$3,0)))),0)*0</f>
        <v>0</v>
      </c>
      <c r="T2170" s="153">
        <v>3</v>
      </c>
      <c r="U2170" s="153">
        <f ca="1" t="shared" si="369"/>
        <v>53</v>
      </c>
      <c r="V2170" s="153">
        <f ca="1">ROUND((OFFSET(卡牌辅助配置表!$O$1,MATCH(U2170,卡牌辅助配置表!M:M,0)-1,0)+(N2170-1)*OFFSET(卡牌辅助配置表!$P$1,MATCH(U2170,卡牌辅助配置表!M:M,0)-1,0))*M2170,2)</f>
        <v>188.5</v>
      </c>
      <c r="W2170" s="157">
        <f ca="1">ROUND(IF(R2170=0,0,IF(R2170=1,X2170*$W$1,IF(R2170=2,X2170*$W$1*buff的资质计算!$E$2,IF(R2170=3,X2170*$W$1*buff的资质计算!$E$3,0)))),2)</f>
        <v>32.25</v>
      </c>
      <c r="X2170" s="157">
        <f ca="1" t="shared" si="376"/>
        <v>107.5</v>
      </c>
      <c r="Y2170" s="157">
        <f ca="1" t="shared" si="373"/>
        <v>122.5</v>
      </c>
      <c r="Z2170" s="304">
        <f ca="1" t="shared" si="377"/>
        <v>40.8333333333333</v>
      </c>
      <c r="AA2170" s="304">
        <f ca="1">OFFSET(卡牌辅助配置表!$AD$1,MATCH(AB2170,卡牌辅助配置表!AB:AB,0)-1,0)</f>
        <v>92016</v>
      </c>
      <c r="AB2170" s="304">
        <f ca="1" t="shared" si="370"/>
        <v>5324</v>
      </c>
      <c r="AC2170" s="153">
        <v>12</v>
      </c>
      <c r="AF2170" s="153" t="str">
        <f ca="1" t="shared" si="375"/>
        <v>30190011|</v>
      </c>
      <c r="AJ2170" s="205" t="str">
        <f ca="1" t="shared" si="371"/>
        <v>400023|20600|;</v>
      </c>
      <c r="AK2170" s="205">
        <f ca="1">OFFSET([1]item_type!$A$1,MATCH(Q2170,[1]item_type!$G:$G,0)-1,0)</f>
        <v>303019</v>
      </c>
      <c r="AL2170" s="205"/>
      <c r="AM2170" s="205">
        <f ca="1">IF(B2170=B2171,OFFSET(卡牌辅助配置表!$AE$1,MATCH(AB2170,卡牌辅助配置表!AB:AB,0),0),0)</f>
        <v>20600</v>
      </c>
      <c r="AN2170" s="153">
        <f ca="1" t="shared" si="366"/>
        <v>3019025</v>
      </c>
      <c r="AP2170" s="153">
        <f ca="1">IF(AC2170=0,0,IF(AC2170=12,0,OFFSET(effect!$N$1,MATCH(K2170,effect!M:M,0)-1,0)))</f>
        <v>0</v>
      </c>
    </row>
    <row r="2171" spans="1:42">
      <c r="A2171" s="153">
        <f ca="1" t="shared" si="367"/>
        <v>3019025</v>
      </c>
      <c r="B2171" s="91" t="s">
        <v>405</v>
      </c>
      <c r="C2171" s="186">
        <v>3</v>
      </c>
      <c r="D2171" s="186">
        <v>3</v>
      </c>
      <c r="E2171" s="165" t="s">
        <v>1069</v>
      </c>
      <c r="F2171" s="179" t="s">
        <v>1075</v>
      </c>
      <c r="G2171" s="186">
        <v>-3</v>
      </c>
      <c r="H2171" s="186">
        <f ca="1">OFFSET(skill!$Q$1,MATCH(B2171,skill!B:B,0)-1,0)</f>
        <v>15</v>
      </c>
      <c r="I2171" s="186"/>
      <c r="J2171" s="186">
        <f ca="1">OFFSET(card_type!$F$1,MATCH(Q2171,card_type!A:A,0)-1,0)</f>
        <v>5</v>
      </c>
      <c r="K2171" s="243">
        <f ca="1">OFFSET(card_type!$G$1,MATCH(Q2171,card_type!A:A,0)-1,0)</f>
        <v>3</v>
      </c>
      <c r="L2171" s="157">
        <v>3</v>
      </c>
      <c r="M2171" s="157">
        <v>3</v>
      </c>
      <c r="N2171" s="153">
        <f t="shared" si="374"/>
        <v>25</v>
      </c>
      <c r="O2171" s="157"/>
      <c r="P2171" s="157"/>
      <c r="Q2171" s="153">
        <f ca="1">OFFSET(card_type!$A$1,MATCH(card!B2171,card_type!B:B,0)-1,0)</f>
        <v>3019</v>
      </c>
      <c r="R2171" s="153">
        <v>1</v>
      </c>
      <c r="S2171" s="157">
        <f ca="1">ROUND(IF(R2171=0,0,IF(R2171=1,X2171*$S$1,IF(R2171=2,X2171*$S$1*buff的资质计算!$E$2,IF(R2171=3,X2171*$S$1*buff的资质计算!$E$3,0)))),0)*0</f>
        <v>0</v>
      </c>
      <c r="T2171" s="153">
        <v>3</v>
      </c>
      <c r="U2171" s="153">
        <f ca="1" t="shared" si="369"/>
        <v>53</v>
      </c>
      <c r="V2171" s="153">
        <f ca="1">ROUND((OFFSET(卡牌辅助配置表!$O$1,MATCH(U2171,卡牌辅助配置表!M:M,0)-1,0)+(N2171-1)*OFFSET(卡牌辅助配置表!$P$1,MATCH(U2171,卡牌辅助配置表!M:M,0)-1,0))*M2171,2)</f>
        <v>188.5</v>
      </c>
      <c r="W2171" s="157">
        <f ca="1">ROUND(IF(R2171=0,0,IF(R2171=1,X2171*$W$1,IF(R2171=2,X2171*$W$1*buff的资质计算!$E$2,IF(R2171=3,X2171*$W$1*buff的资质计算!$E$3,0)))),2)</f>
        <v>32.4</v>
      </c>
      <c r="X2171" s="157">
        <f ca="1" t="shared" si="376"/>
        <v>108</v>
      </c>
      <c r="Y2171" s="157">
        <f ca="1" t="shared" si="373"/>
        <v>123</v>
      </c>
      <c r="Z2171" s="304">
        <f ca="1" t="shared" si="377"/>
        <v>41</v>
      </c>
      <c r="AA2171" s="304">
        <f ca="1">OFFSET(卡牌辅助配置表!$AD$1,MATCH(AB2171,卡牌辅助配置表!AB:AB,0)-1,0)</f>
        <v>95850</v>
      </c>
      <c r="AB2171" s="304">
        <f ca="1" t="shared" si="370"/>
        <v>5325</v>
      </c>
      <c r="AC2171" s="153">
        <v>12</v>
      </c>
      <c r="AF2171" s="153" t="str">
        <f ca="1" t="shared" si="375"/>
        <v>30190011|</v>
      </c>
      <c r="AJ2171" s="205" t="str">
        <f ca="1" t="shared" si="371"/>
        <v>400023|22200|;</v>
      </c>
      <c r="AK2171" s="205">
        <f ca="1">OFFSET([1]item_type!$A$1,MATCH(Q2171,[1]item_type!$G:$G,0)-1,0)</f>
        <v>303019</v>
      </c>
      <c r="AL2171" s="205"/>
      <c r="AM2171" s="205">
        <f ca="1">IF(B2171=B2172,OFFSET(卡牌辅助配置表!$AE$1,MATCH(AB2171,卡牌辅助配置表!AB:AB,0),0),0)</f>
        <v>22200</v>
      </c>
      <c r="AN2171" s="153">
        <f ca="1" t="shared" si="366"/>
        <v>3019026</v>
      </c>
      <c r="AP2171" s="153">
        <f ca="1">IF(AC2171=0,0,IF(AC2171=12,0,OFFSET(effect!$N$1,MATCH(K2171,effect!M:M,0)-1,0)))</f>
        <v>0</v>
      </c>
    </row>
    <row r="2172" spans="1:42">
      <c r="A2172" s="153">
        <f ca="1" t="shared" si="367"/>
        <v>3019026</v>
      </c>
      <c r="B2172" s="91" t="s">
        <v>405</v>
      </c>
      <c r="C2172" s="186">
        <v>3</v>
      </c>
      <c r="D2172" s="186">
        <v>3</v>
      </c>
      <c r="E2172" s="165" t="s">
        <v>1069</v>
      </c>
      <c r="F2172" s="179" t="s">
        <v>1075</v>
      </c>
      <c r="G2172" s="186">
        <v>-3</v>
      </c>
      <c r="H2172" s="186">
        <f ca="1">OFFSET(skill!$Q$1,MATCH(B2172,skill!B:B,0)-1,0)</f>
        <v>15</v>
      </c>
      <c r="I2172" s="186"/>
      <c r="J2172" s="186">
        <f ca="1">OFFSET(card_type!$F$1,MATCH(Q2172,card_type!A:A,0)-1,0)</f>
        <v>5</v>
      </c>
      <c r="K2172" s="243">
        <f ca="1">OFFSET(card_type!$G$1,MATCH(Q2172,card_type!A:A,0)-1,0)</f>
        <v>3</v>
      </c>
      <c r="L2172" s="157">
        <v>3</v>
      </c>
      <c r="M2172" s="157">
        <v>3</v>
      </c>
      <c r="N2172" s="153">
        <f t="shared" si="374"/>
        <v>26</v>
      </c>
      <c r="O2172" s="157"/>
      <c r="P2172" s="157"/>
      <c r="Q2172" s="153">
        <f ca="1">OFFSET(card_type!$A$1,MATCH(card!B2172,card_type!B:B,0)-1,0)</f>
        <v>3019</v>
      </c>
      <c r="R2172" s="153">
        <v>1</v>
      </c>
      <c r="S2172" s="157">
        <f ca="1">ROUND(IF(R2172=0,0,IF(R2172=1,X2172*$S$1,IF(R2172=2,X2172*$S$1*buff的资质计算!$E$2,IF(R2172=3,X2172*$S$1*buff的资质计算!$E$3,0)))),0)*0</f>
        <v>0</v>
      </c>
      <c r="T2172" s="153">
        <v>3</v>
      </c>
      <c r="U2172" s="153">
        <f ca="1" t="shared" si="369"/>
        <v>53</v>
      </c>
      <c r="V2172" s="153">
        <f ca="1">ROUND((OFFSET(卡牌辅助配置表!$O$1,MATCH(U2172,卡牌辅助配置表!M:M,0)-1,0)+(N2172-1)*OFFSET(卡牌辅助配置表!$P$1,MATCH(U2172,卡牌辅助配置表!M:M,0)-1,0))*M2172,2)</f>
        <v>188.5</v>
      </c>
      <c r="W2172" s="157">
        <f ca="1">ROUND(IF(R2172=0,0,IF(R2172=1,X2172*$W$1,IF(R2172=2,X2172*$W$1*buff的资质计算!$E$2,IF(R2172=3,X2172*$W$1*buff的资质计算!$E$3,0)))),2)</f>
        <v>32.55</v>
      </c>
      <c r="X2172" s="157">
        <f ca="1" t="shared" si="376"/>
        <v>108.5</v>
      </c>
      <c r="Y2172" s="157">
        <f ca="1" t="shared" si="373"/>
        <v>123.5</v>
      </c>
      <c r="Z2172" s="304">
        <f ca="1" t="shared" si="377"/>
        <v>41.1666666666667</v>
      </c>
      <c r="AA2172" s="304">
        <f ca="1">OFFSET(卡牌辅助配置表!$AD$1,MATCH(AB2172,卡牌辅助配置表!AB:AB,0)-1,0)</f>
        <v>99684</v>
      </c>
      <c r="AB2172" s="304">
        <f ca="1" t="shared" si="370"/>
        <v>5326</v>
      </c>
      <c r="AC2172" s="153">
        <v>12</v>
      </c>
      <c r="AF2172" s="153" t="str">
        <f ca="1" t="shared" si="375"/>
        <v>30190011|</v>
      </c>
      <c r="AJ2172" s="205" t="str">
        <f ca="1" t="shared" si="371"/>
        <v>400023|23800|;</v>
      </c>
      <c r="AK2172" s="205">
        <f ca="1">OFFSET([1]item_type!$A$1,MATCH(Q2172,[1]item_type!$G:$G,0)-1,0)</f>
        <v>303019</v>
      </c>
      <c r="AL2172" s="205"/>
      <c r="AM2172" s="205">
        <f ca="1">IF(B2172=B2173,OFFSET(卡牌辅助配置表!$AE$1,MATCH(AB2172,卡牌辅助配置表!AB:AB,0),0),0)</f>
        <v>23800</v>
      </c>
      <c r="AN2172" s="153">
        <f ca="1" t="shared" si="366"/>
        <v>3019027</v>
      </c>
      <c r="AP2172" s="153">
        <f ca="1">IF(AC2172=0,0,IF(AC2172=12,0,OFFSET(effect!$N$1,MATCH(K2172,effect!M:M,0)-1,0)))</f>
        <v>0</v>
      </c>
    </row>
    <row r="2173" spans="1:42">
      <c r="A2173" s="153">
        <f ca="1" t="shared" si="367"/>
        <v>3019027</v>
      </c>
      <c r="B2173" s="91" t="s">
        <v>405</v>
      </c>
      <c r="C2173" s="186">
        <v>3</v>
      </c>
      <c r="D2173" s="186">
        <v>3</v>
      </c>
      <c r="E2173" s="165" t="s">
        <v>1069</v>
      </c>
      <c r="F2173" s="179" t="s">
        <v>1075</v>
      </c>
      <c r="G2173" s="186">
        <v>-3</v>
      </c>
      <c r="H2173" s="186">
        <f ca="1">OFFSET(skill!$Q$1,MATCH(B2173,skill!B:B,0)-1,0)</f>
        <v>15</v>
      </c>
      <c r="I2173" s="186"/>
      <c r="J2173" s="186">
        <f ca="1">OFFSET(card_type!$F$1,MATCH(Q2173,card_type!A:A,0)-1,0)</f>
        <v>5</v>
      </c>
      <c r="K2173" s="243">
        <f ca="1">OFFSET(card_type!$G$1,MATCH(Q2173,card_type!A:A,0)-1,0)</f>
        <v>3</v>
      </c>
      <c r="L2173" s="157">
        <v>3</v>
      </c>
      <c r="M2173" s="157">
        <v>3</v>
      </c>
      <c r="N2173" s="153">
        <f t="shared" si="374"/>
        <v>27</v>
      </c>
      <c r="O2173" s="157"/>
      <c r="P2173" s="157"/>
      <c r="Q2173" s="153">
        <f ca="1">OFFSET(card_type!$A$1,MATCH(card!B2173,card_type!B:B,0)-1,0)</f>
        <v>3019</v>
      </c>
      <c r="R2173" s="153">
        <v>1</v>
      </c>
      <c r="S2173" s="157">
        <f ca="1">ROUND(IF(R2173=0,0,IF(R2173=1,X2173*$S$1,IF(R2173=2,X2173*$S$1*buff的资质计算!$E$2,IF(R2173=3,X2173*$S$1*buff的资质计算!$E$3,0)))),0)*0</f>
        <v>0</v>
      </c>
      <c r="T2173" s="153">
        <v>3</v>
      </c>
      <c r="U2173" s="153">
        <f ca="1" t="shared" si="369"/>
        <v>53</v>
      </c>
      <c r="V2173" s="153">
        <f ca="1">ROUND((OFFSET(卡牌辅助配置表!$O$1,MATCH(U2173,卡牌辅助配置表!M:M,0)-1,0)+(N2173-1)*OFFSET(卡牌辅助配置表!$P$1,MATCH(U2173,卡牌辅助配置表!M:M,0)-1,0))*M2173,2)</f>
        <v>188.5</v>
      </c>
      <c r="W2173" s="157">
        <f ca="1">ROUND(IF(R2173=0,0,IF(R2173=1,X2173*$W$1,IF(R2173=2,X2173*$W$1*buff的资质计算!$E$2,IF(R2173=3,X2173*$W$1*buff的资质计算!$E$3,0)))),2)</f>
        <v>32.7</v>
      </c>
      <c r="X2173" s="157">
        <f ca="1" t="shared" si="376"/>
        <v>109</v>
      </c>
      <c r="Y2173" s="157">
        <f ca="1" t="shared" si="373"/>
        <v>124</v>
      </c>
      <c r="Z2173" s="304">
        <f ca="1" t="shared" si="377"/>
        <v>41.3333333333333</v>
      </c>
      <c r="AA2173" s="304">
        <f ca="1">OFFSET(卡牌辅助配置表!$AD$1,MATCH(AB2173,卡牌辅助配置表!AB:AB,0)-1,0)</f>
        <v>103518</v>
      </c>
      <c r="AB2173" s="304">
        <f ca="1" t="shared" si="370"/>
        <v>5327</v>
      </c>
      <c r="AC2173" s="153">
        <v>12</v>
      </c>
      <c r="AF2173" s="153" t="str">
        <f ca="1" t="shared" si="375"/>
        <v>30190011|</v>
      </c>
      <c r="AJ2173" s="205" t="str">
        <f ca="1" t="shared" si="371"/>
        <v>400023|25400|;</v>
      </c>
      <c r="AK2173" s="205">
        <f ca="1">OFFSET([1]item_type!$A$1,MATCH(Q2173,[1]item_type!$G:$G,0)-1,0)</f>
        <v>303019</v>
      </c>
      <c r="AL2173" s="205"/>
      <c r="AM2173" s="205">
        <f ca="1">IF(B2173=B2174,OFFSET(卡牌辅助配置表!$AE$1,MATCH(AB2173,卡牌辅助配置表!AB:AB,0),0),0)</f>
        <v>25400</v>
      </c>
      <c r="AN2173" s="153">
        <f ca="1" t="shared" si="366"/>
        <v>3019028</v>
      </c>
      <c r="AP2173" s="153">
        <f ca="1">IF(AC2173=0,0,IF(AC2173=12,0,OFFSET(effect!$N$1,MATCH(K2173,effect!M:M,0)-1,0)))</f>
        <v>0</v>
      </c>
    </row>
    <row r="2174" spans="1:42">
      <c r="A2174" s="153">
        <f ca="1" t="shared" si="367"/>
        <v>3019028</v>
      </c>
      <c r="B2174" s="91" t="s">
        <v>405</v>
      </c>
      <c r="C2174" s="186">
        <v>3</v>
      </c>
      <c r="D2174" s="186">
        <v>3</v>
      </c>
      <c r="E2174" s="165" t="s">
        <v>1069</v>
      </c>
      <c r="F2174" s="179" t="s">
        <v>1075</v>
      </c>
      <c r="G2174" s="186">
        <v>-3</v>
      </c>
      <c r="H2174" s="186">
        <f ca="1">OFFSET(skill!$Q$1,MATCH(B2174,skill!B:B,0)-1,0)</f>
        <v>15</v>
      </c>
      <c r="I2174" s="186"/>
      <c r="J2174" s="186">
        <f ca="1">OFFSET(card_type!$F$1,MATCH(Q2174,card_type!A:A,0)-1,0)</f>
        <v>5</v>
      </c>
      <c r="K2174" s="243">
        <f ca="1">OFFSET(card_type!$G$1,MATCH(Q2174,card_type!A:A,0)-1,0)</f>
        <v>3</v>
      </c>
      <c r="L2174" s="157">
        <v>3</v>
      </c>
      <c r="M2174" s="157">
        <v>3</v>
      </c>
      <c r="N2174" s="153">
        <f t="shared" si="374"/>
        <v>28</v>
      </c>
      <c r="O2174" s="157"/>
      <c r="P2174" s="157"/>
      <c r="Q2174" s="153">
        <f ca="1">OFFSET(card_type!$A$1,MATCH(card!B2174,card_type!B:B,0)-1,0)</f>
        <v>3019</v>
      </c>
      <c r="R2174" s="153">
        <v>1</v>
      </c>
      <c r="S2174" s="157">
        <f ca="1">ROUND(IF(R2174=0,0,IF(R2174=1,X2174*$S$1,IF(R2174=2,X2174*$S$1*buff的资质计算!$E$2,IF(R2174=3,X2174*$S$1*buff的资质计算!$E$3,0)))),0)*0</f>
        <v>0</v>
      </c>
      <c r="T2174" s="153">
        <v>3</v>
      </c>
      <c r="U2174" s="153">
        <f ca="1" t="shared" si="369"/>
        <v>53</v>
      </c>
      <c r="V2174" s="153">
        <f ca="1">ROUND((OFFSET(卡牌辅助配置表!$O$1,MATCH(U2174,卡牌辅助配置表!M:M,0)-1,0)+(N2174-1)*OFFSET(卡牌辅助配置表!$P$1,MATCH(U2174,卡牌辅助配置表!M:M,0)-1,0))*M2174,2)</f>
        <v>188.5</v>
      </c>
      <c r="W2174" s="157">
        <f ca="1">ROUND(IF(R2174=0,0,IF(R2174=1,X2174*$W$1,IF(R2174=2,X2174*$W$1*buff的资质计算!$E$2,IF(R2174=3,X2174*$W$1*buff的资质计算!$E$3,0)))),2)</f>
        <v>32.85</v>
      </c>
      <c r="X2174" s="157">
        <f ca="1" t="shared" si="376"/>
        <v>109.5</v>
      </c>
      <c r="Y2174" s="157">
        <f ca="1" t="shared" si="373"/>
        <v>124.5</v>
      </c>
      <c r="Z2174" s="304">
        <f ca="1" t="shared" si="377"/>
        <v>41.5</v>
      </c>
      <c r="AA2174" s="304">
        <f ca="1">OFFSET(卡牌辅助配置表!$AD$1,MATCH(AB2174,卡牌辅助配置表!AB:AB,0)-1,0)</f>
        <v>107352</v>
      </c>
      <c r="AB2174" s="304">
        <f ca="1" t="shared" si="370"/>
        <v>5328</v>
      </c>
      <c r="AC2174" s="153">
        <v>12</v>
      </c>
      <c r="AF2174" s="153" t="str">
        <f ca="1" t="shared" si="375"/>
        <v>30190011|</v>
      </c>
      <c r="AJ2174" s="205" t="str">
        <f ca="1" t="shared" si="371"/>
        <v>400023|27000|;</v>
      </c>
      <c r="AK2174" s="205">
        <f ca="1">OFFSET([1]item_type!$A$1,MATCH(Q2174,[1]item_type!$G:$G,0)-1,0)</f>
        <v>303019</v>
      </c>
      <c r="AL2174" s="205"/>
      <c r="AM2174" s="205">
        <f ca="1">IF(B2174=B2175,OFFSET(卡牌辅助配置表!$AE$1,MATCH(AB2174,卡牌辅助配置表!AB:AB,0),0),0)</f>
        <v>27000</v>
      </c>
      <c r="AN2174" s="153">
        <f ca="1" t="shared" si="366"/>
        <v>3019029</v>
      </c>
      <c r="AP2174" s="153">
        <f ca="1">IF(AC2174=0,0,IF(AC2174=12,0,OFFSET(effect!$N$1,MATCH(K2174,effect!M:M,0)-1,0)))</f>
        <v>0</v>
      </c>
    </row>
    <row r="2175" spans="1:42">
      <c r="A2175" s="153">
        <f ca="1" t="shared" si="367"/>
        <v>3019029</v>
      </c>
      <c r="B2175" s="91" t="s">
        <v>405</v>
      </c>
      <c r="C2175" s="186">
        <v>3</v>
      </c>
      <c r="D2175" s="186">
        <v>3</v>
      </c>
      <c r="E2175" s="165" t="s">
        <v>1069</v>
      </c>
      <c r="F2175" s="179" t="s">
        <v>1075</v>
      </c>
      <c r="G2175" s="186">
        <v>-3</v>
      </c>
      <c r="H2175" s="186">
        <f ca="1">OFFSET(skill!$Q$1,MATCH(B2175,skill!B:B,0)-1,0)</f>
        <v>15</v>
      </c>
      <c r="I2175" s="186"/>
      <c r="J2175" s="186">
        <f ca="1">OFFSET(card_type!$F$1,MATCH(Q2175,card_type!A:A,0)-1,0)</f>
        <v>5</v>
      </c>
      <c r="K2175" s="243">
        <f ca="1">OFFSET(card_type!$G$1,MATCH(Q2175,card_type!A:A,0)-1,0)</f>
        <v>3</v>
      </c>
      <c r="L2175" s="157">
        <v>3</v>
      </c>
      <c r="M2175" s="157">
        <v>3</v>
      </c>
      <c r="N2175" s="153">
        <f t="shared" si="374"/>
        <v>29</v>
      </c>
      <c r="O2175" s="157"/>
      <c r="P2175" s="157"/>
      <c r="Q2175" s="153">
        <f ca="1">OFFSET(card_type!$A$1,MATCH(card!B2175,card_type!B:B,0)-1,0)</f>
        <v>3019</v>
      </c>
      <c r="R2175" s="153">
        <v>1</v>
      </c>
      <c r="S2175" s="157">
        <f ca="1">ROUND(IF(R2175=0,0,IF(R2175=1,X2175*$S$1,IF(R2175=2,X2175*$S$1*buff的资质计算!$E$2,IF(R2175=3,X2175*$S$1*buff的资质计算!$E$3,0)))),0)*0</f>
        <v>0</v>
      </c>
      <c r="T2175" s="153">
        <v>3</v>
      </c>
      <c r="U2175" s="153">
        <f ca="1" t="shared" si="369"/>
        <v>53</v>
      </c>
      <c r="V2175" s="153">
        <f ca="1">ROUND((OFFSET(卡牌辅助配置表!$O$1,MATCH(U2175,卡牌辅助配置表!M:M,0)-1,0)+(N2175-1)*OFFSET(卡牌辅助配置表!$P$1,MATCH(U2175,卡牌辅助配置表!M:M,0)-1,0))*M2175,2)</f>
        <v>188.5</v>
      </c>
      <c r="W2175" s="157">
        <f ca="1">ROUND(IF(R2175=0,0,IF(R2175=1,X2175*$W$1,IF(R2175=2,X2175*$W$1*buff的资质计算!$E$2,IF(R2175=3,X2175*$W$1*buff的资质计算!$E$3,0)))),2)</f>
        <v>33</v>
      </c>
      <c r="X2175" s="157">
        <f ca="1" t="shared" si="376"/>
        <v>110</v>
      </c>
      <c r="Y2175" s="157">
        <f ca="1" t="shared" si="373"/>
        <v>125</v>
      </c>
      <c r="Z2175" s="304">
        <f ca="1" t="shared" si="377"/>
        <v>41.6666666666667</v>
      </c>
      <c r="AA2175" s="304">
        <f ca="1">OFFSET(卡牌辅助配置表!$AD$1,MATCH(AB2175,卡牌辅助配置表!AB:AB,0)-1,0)</f>
        <v>111186</v>
      </c>
      <c r="AB2175" s="304">
        <f ca="1" t="shared" si="370"/>
        <v>5329</v>
      </c>
      <c r="AC2175" s="153">
        <v>12</v>
      </c>
      <c r="AF2175" s="153" t="str">
        <f ca="1" t="shared" si="375"/>
        <v>30190011|</v>
      </c>
      <c r="AJ2175" s="205" t="str">
        <f ca="1" t="shared" si="371"/>
        <v>303019|30|;400023|28600|;</v>
      </c>
      <c r="AK2175" s="205">
        <f ca="1">OFFSET([1]item_type!$A$1,MATCH(Q2175,[1]item_type!$G:$G,0)-1,0)</f>
        <v>303019</v>
      </c>
      <c r="AL2175" s="205">
        <v>30</v>
      </c>
      <c r="AM2175" s="205">
        <f ca="1">IF(B2175=B2176,OFFSET(卡牌辅助配置表!$AE$1,MATCH(AB2175,卡牌辅助配置表!AB:AB,0),0),0)</f>
        <v>28600</v>
      </c>
      <c r="AN2175" s="153">
        <f ca="1" t="shared" si="366"/>
        <v>3019030</v>
      </c>
      <c r="AP2175" s="153">
        <f ca="1">IF(AC2175=0,0,IF(AC2175=12,0,OFFSET(effect!$N$1,MATCH(K2175,effect!M:M,0)-1,0)))</f>
        <v>0</v>
      </c>
    </row>
    <row r="2176" spans="1:42">
      <c r="A2176" s="153">
        <f ca="1" t="shared" si="367"/>
        <v>3019030</v>
      </c>
      <c r="B2176" s="91" t="s">
        <v>405</v>
      </c>
      <c r="C2176" s="186">
        <v>3</v>
      </c>
      <c r="D2176" s="186">
        <v>3</v>
      </c>
      <c r="E2176" s="165" t="s">
        <v>1069</v>
      </c>
      <c r="F2176" s="179" t="s">
        <v>1075</v>
      </c>
      <c r="G2176" s="186">
        <v>-3</v>
      </c>
      <c r="H2176" s="186">
        <f ca="1">OFFSET(skill!$Q$1,MATCH(B2176,skill!B:B,0)-1,0)</f>
        <v>15</v>
      </c>
      <c r="I2176" s="186"/>
      <c r="J2176" s="186">
        <f ca="1">OFFSET(card_type!$F$1,MATCH(Q2176,card_type!A:A,0)-1,0)</f>
        <v>5</v>
      </c>
      <c r="K2176" s="243">
        <f ca="1">OFFSET(card_type!$G$1,MATCH(Q2176,card_type!A:A,0)-1,0)</f>
        <v>3</v>
      </c>
      <c r="L2176" s="157">
        <v>3</v>
      </c>
      <c r="M2176" s="157">
        <v>3</v>
      </c>
      <c r="N2176" s="153">
        <f t="shared" si="374"/>
        <v>30</v>
      </c>
      <c r="O2176" s="157"/>
      <c r="P2176" s="157"/>
      <c r="Q2176" s="153">
        <f ca="1">OFFSET(card_type!$A$1,MATCH(card!B2176,card_type!B:B,0)-1,0)</f>
        <v>3019</v>
      </c>
      <c r="R2176" s="153">
        <v>1</v>
      </c>
      <c r="S2176" s="157">
        <f ca="1">ROUND(IF(R2176=0,0,IF(R2176=1,X2176*$S$1,IF(R2176=2,X2176*$S$1*buff的资质计算!$E$2,IF(R2176=3,X2176*$S$1*buff的资质计算!$E$3,0)))),0)*0</f>
        <v>0</v>
      </c>
      <c r="T2176" s="153">
        <v>3</v>
      </c>
      <c r="U2176" s="153">
        <f ca="1" t="shared" si="369"/>
        <v>53</v>
      </c>
      <c r="V2176" s="153">
        <f ca="1">ROUND((OFFSET(卡牌辅助配置表!$O$1,MATCH(U2176,卡牌辅助配置表!M:M,0)-1,0)+(N2176-1)*OFFSET(卡牌辅助配置表!$P$1,MATCH(U2176,卡牌辅助配置表!M:M,0)-1,0))*M2176,2)</f>
        <v>188.5</v>
      </c>
      <c r="W2176" s="157">
        <f ca="1">ROUND(IF(R2176=0,0,IF(R2176=1,X2176*$W$1,IF(R2176=2,X2176*$W$1*buff的资质计算!$E$2,IF(R2176=3,X2176*$W$1*buff的资质计算!$E$3,0)))),2)</f>
        <v>33.15</v>
      </c>
      <c r="X2176" s="157">
        <f ca="1" t="shared" si="376"/>
        <v>110.5</v>
      </c>
      <c r="Y2176" s="157">
        <f ca="1" t="shared" si="373"/>
        <v>125.5</v>
      </c>
      <c r="Z2176" s="304">
        <f ca="1" t="shared" si="377"/>
        <v>41.8333333333333</v>
      </c>
      <c r="AA2176" s="304">
        <f ca="1">OFFSET(卡牌辅助配置表!$AD$1,MATCH(AB2176,卡牌辅助配置表!AB:AB,0)-1,0)</f>
        <v>115020</v>
      </c>
      <c r="AB2176" s="304">
        <f ca="1" t="shared" si="370"/>
        <v>5330</v>
      </c>
      <c r="AC2176" s="153">
        <v>12</v>
      </c>
      <c r="AF2176" s="153" t="str">
        <f ca="1" t="shared" si="375"/>
        <v>30190011|</v>
      </c>
      <c r="AJ2176" s="205">
        <f ca="1" t="shared" si="371"/>
        <v>0</v>
      </c>
      <c r="AK2176" s="205">
        <f ca="1">OFFSET([1]item_type!$A$1,MATCH(Q2176,[1]item_type!$G:$G,0)-1,0)</f>
        <v>303019</v>
      </c>
      <c r="AL2176" s="205"/>
      <c r="AM2176" s="205">
        <f ca="1">IF(B2176=B2177,OFFSET(卡牌辅助配置表!$AE$1,MATCH(AB2176,卡牌辅助配置表!AB:AB,0),0),0)</f>
        <v>0</v>
      </c>
      <c r="AN2176" s="153">
        <f ca="1" t="shared" si="366"/>
        <v>0</v>
      </c>
      <c r="AP2176" s="153">
        <f ca="1">IF(AC2176=0,0,IF(AC2176=12,0,OFFSET(effect!$N$1,MATCH(K2176,effect!M:M,0)-1,0)))</f>
        <v>0</v>
      </c>
    </row>
    <row r="2177" spans="1:42">
      <c r="A2177" s="153">
        <f ca="1" t="shared" si="367"/>
        <v>3020001</v>
      </c>
      <c r="B2177" s="91" t="s">
        <v>919</v>
      </c>
      <c r="C2177" s="186">
        <v>3</v>
      </c>
      <c r="D2177" s="186">
        <v>3</v>
      </c>
      <c r="E2177" s="165" t="s">
        <v>1069</v>
      </c>
      <c r="F2177" s="179" t="s">
        <v>920</v>
      </c>
      <c r="G2177" s="186">
        <v>0</v>
      </c>
      <c r="H2177" s="186" t="e">
        <f ca="1">OFFSET(skill!$Q$1,MATCH(B2177,skill!B:B,0)-1,0)</f>
        <v>#VALUE!</v>
      </c>
      <c r="I2177" s="186"/>
      <c r="J2177" s="186">
        <f ca="1">OFFSET(card_type!$F$1,MATCH(Q2177,card_type!A:A,0)-1,0)</f>
        <v>5</v>
      </c>
      <c r="K2177" s="243">
        <f ca="1">OFFSET(card_type!$G$1,MATCH(Q2177,card_type!A:A,0)-1,0)</f>
        <v>2</v>
      </c>
      <c r="L2177" s="157">
        <v>3</v>
      </c>
      <c r="M2177" s="157">
        <v>3</v>
      </c>
      <c r="N2177" s="153">
        <f t="shared" si="374"/>
        <v>1</v>
      </c>
      <c r="O2177" s="157"/>
      <c r="P2177" s="157"/>
      <c r="Q2177" s="153">
        <f ca="1">OFFSET(card_type!$A$1,MATCH(card!B2177,card_type!B:B,0)-1,0)</f>
        <v>3020</v>
      </c>
      <c r="R2177" s="153">
        <v>1</v>
      </c>
      <c r="S2177" s="157">
        <f ca="1">ROUND(IF(R2177=0,0,IF(R2177=1,X2177*$S$1,IF(R2177=2,X2177*$S$1*buff的资质计算!$E$2,IF(R2177=3,X2177*$S$1*buff的资质计算!$E$3,0)))),0)*0</f>
        <v>0</v>
      </c>
      <c r="T2177" s="153">
        <v>3</v>
      </c>
      <c r="U2177" s="153">
        <f ca="1" t="shared" si="369"/>
        <v>52</v>
      </c>
      <c r="V2177" s="153">
        <f ca="1">ROUND((OFFSET(卡牌辅助配置表!$O$1,MATCH(U2177,卡牌辅助配置表!M:M,0)-1,0)+(N2177-1)*OFFSET(卡牌辅助配置表!$P$1,MATCH(U2177,卡牌辅助配置表!M:M,0)-1,0))*M2177,2)</f>
        <v>117.81</v>
      </c>
      <c r="W2177" s="157">
        <f ca="1">ROUND(IF(R2177=0,0,IF(R2177=1,X2177*$W$1,IF(R2177=2,X2177*$W$1*buff的资质计算!$E$2,IF(R2177=3,X2177*$W$1*buff的资质计算!$E$3,0)))),2)</f>
        <v>26.1</v>
      </c>
      <c r="X2177" s="157">
        <f ca="1" t="shared" si="376"/>
        <v>87</v>
      </c>
      <c r="Y2177" s="157" t="e">
        <f ca="1" t="shared" si="373"/>
        <v>#VALUE!</v>
      </c>
      <c r="Z2177" s="304" t="e">
        <f ca="1" t="shared" si="377"/>
        <v>#VALUE!</v>
      </c>
      <c r="AA2177" s="304">
        <f ca="1">OFFSET(卡牌辅助配置表!$AD$1,MATCH(AB2177,卡牌辅助配置表!AB:AB,0)-1,0)</f>
        <v>3834</v>
      </c>
      <c r="AB2177" s="304">
        <f ca="1" t="shared" si="370"/>
        <v>5201</v>
      </c>
      <c r="AC2177" s="153">
        <v>12</v>
      </c>
      <c r="AF2177" s="153" t="str">
        <f ca="1" t="shared" si="375"/>
        <v>30200011|</v>
      </c>
      <c r="AJ2177" s="205" t="str">
        <f ca="1" t="shared" si="371"/>
        <v>400023|1050|;</v>
      </c>
      <c r="AK2177" s="205">
        <f ca="1">OFFSET([1]item_type!$A$1,MATCH(Q2177,[1]item_type!$G:$G,0)-1,0)</f>
        <v>303020</v>
      </c>
      <c r="AL2177" s="205"/>
      <c r="AM2177" s="205">
        <f ca="1">IF(B2177=B2178,OFFSET(卡牌辅助配置表!$AE$1,MATCH(AB2177,卡牌辅助配置表!AB:AB,0),0),0)</f>
        <v>1050</v>
      </c>
      <c r="AN2177" s="153">
        <f ca="1" t="shared" si="366"/>
        <v>3020002</v>
      </c>
      <c r="AP2177" s="153">
        <f ca="1">IF(AC2177=0,0,IF(AC2177=12,0,OFFSET(effect!$N$1,MATCH(K2177,effect!M:M,0)-1,0)))</f>
        <v>0</v>
      </c>
    </row>
    <row r="2178" spans="1:42">
      <c r="A2178" s="153">
        <f ca="1" t="shared" si="367"/>
        <v>3020002</v>
      </c>
      <c r="B2178" s="91" t="s">
        <v>919</v>
      </c>
      <c r="C2178" s="186">
        <v>3</v>
      </c>
      <c r="D2178" s="186">
        <v>3</v>
      </c>
      <c r="E2178" s="165" t="s">
        <v>1069</v>
      </c>
      <c r="F2178" s="179" t="s">
        <v>920</v>
      </c>
      <c r="G2178" s="186">
        <v>0</v>
      </c>
      <c r="H2178" s="186" t="e">
        <f ca="1">OFFSET(skill!$Q$1,MATCH(B2178,skill!B:B,0)-1,0)</f>
        <v>#VALUE!</v>
      </c>
      <c r="I2178" s="186"/>
      <c r="J2178" s="186">
        <f ca="1">OFFSET(card_type!$F$1,MATCH(Q2178,card_type!A:A,0)-1,0)</f>
        <v>5</v>
      </c>
      <c r="K2178" s="243">
        <f ca="1">OFFSET(card_type!$G$1,MATCH(Q2178,card_type!A:A,0)-1,0)</f>
        <v>2</v>
      </c>
      <c r="L2178" s="157">
        <v>3</v>
      </c>
      <c r="M2178" s="157">
        <v>3</v>
      </c>
      <c r="N2178" s="153">
        <f t="shared" si="374"/>
        <v>2</v>
      </c>
      <c r="O2178" s="157"/>
      <c r="P2178" s="157"/>
      <c r="Q2178" s="153">
        <f ca="1">OFFSET(card_type!$A$1,MATCH(card!B2178,card_type!B:B,0)-1,0)</f>
        <v>3020</v>
      </c>
      <c r="R2178" s="153">
        <v>1</v>
      </c>
      <c r="S2178" s="157">
        <f ca="1">ROUND(IF(R2178=0,0,IF(R2178=1,X2178*$S$1,IF(R2178=2,X2178*$S$1*buff的资质计算!$E$2,IF(R2178=3,X2178*$S$1*buff的资质计算!$E$3,0)))),0)*0</f>
        <v>0</v>
      </c>
      <c r="T2178" s="153">
        <v>3</v>
      </c>
      <c r="U2178" s="153">
        <f ca="1" t="shared" si="369"/>
        <v>52</v>
      </c>
      <c r="V2178" s="153">
        <f ca="1">ROUND((OFFSET(卡牌辅助配置表!$O$1,MATCH(U2178,卡牌辅助配置表!M:M,0)-1,0)+(N2178-1)*OFFSET(卡牌辅助配置表!$P$1,MATCH(U2178,卡牌辅助配置表!M:M,0)-1,0))*M2178,2)</f>
        <v>117.81</v>
      </c>
      <c r="W2178" s="157">
        <f ca="1">ROUND(IF(R2178=0,0,IF(R2178=1,X2178*$W$1,IF(R2178=2,X2178*$W$1*buff的资质计算!$E$2,IF(R2178=3,X2178*$W$1*buff的资质计算!$E$3,0)))),2)</f>
        <v>26.25</v>
      </c>
      <c r="X2178" s="157">
        <f ca="1" t="shared" si="376"/>
        <v>87.5</v>
      </c>
      <c r="Y2178" s="157" t="e">
        <f ca="1" t="shared" si="373"/>
        <v>#VALUE!</v>
      </c>
      <c r="Z2178" s="304" t="e">
        <f ca="1" t="shared" si="377"/>
        <v>#VALUE!</v>
      </c>
      <c r="AA2178" s="304">
        <f ca="1">OFFSET(卡牌辅助配置表!$AD$1,MATCH(AB2178,卡牌辅助配置表!AB:AB,0)-1,0)</f>
        <v>7668</v>
      </c>
      <c r="AB2178" s="304">
        <f ca="1" t="shared" si="370"/>
        <v>5202</v>
      </c>
      <c r="AC2178" s="153">
        <v>12</v>
      </c>
      <c r="AF2178" s="153" t="str">
        <f ca="1" t="shared" si="375"/>
        <v>30200011|</v>
      </c>
      <c r="AJ2178" s="205" t="str">
        <f ca="1" t="shared" si="371"/>
        <v>400023|1350|;</v>
      </c>
      <c r="AK2178" s="205">
        <f ca="1">OFFSET([1]item_type!$A$1,MATCH(Q2178,[1]item_type!$G:$G,0)-1,0)</f>
        <v>303020</v>
      </c>
      <c r="AL2178" s="205"/>
      <c r="AM2178" s="205">
        <f ca="1">IF(B2178=B2179,OFFSET(卡牌辅助配置表!$AE$1,MATCH(AB2178,卡牌辅助配置表!AB:AB,0),0),0)</f>
        <v>1350</v>
      </c>
      <c r="AN2178" s="153">
        <f ca="1" t="shared" si="366"/>
        <v>3020003</v>
      </c>
      <c r="AP2178" s="153">
        <f ca="1">IF(AC2178=0,0,IF(AC2178=12,0,OFFSET(effect!$N$1,MATCH(K2178,effect!M:M,0)-1,0)))</f>
        <v>0</v>
      </c>
    </row>
    <row r="2179" spans="1:42">
      <c r="A2179" s="153">
        <f ca="1" t="shared" si="367"/>
        <v>3020003</v>
      </c>
      <c r="B2179" s="91" t="s">
        <v>919</v>
      </c>
      <c r="C2179" s="186">
        <v>3</v>
      </c>
      <c r="D2179" s="186">
        <v>3</v>
      </c>
      <c r="E2179" s="165" t="s">
        <v>1069</v>
      </c>
      <c r="F2179" s="179" t="s">
        <v>920</v>
      </c>
      <c r="G2179" s="186">
        <v>0</v>
      </c>
      <c r="H2179" s="186" t="e">
        <f ca="1">OFFSET(skill!$Q$1,MATCH(B2179,skill!B:B,0)-1,0)</f>
        <v>#VALUE!</v>
      </c>
      <c r="I2179" s="186"/>
      <c r="J2179" s="186">
        <f ca="1">OFFSET(card_type!$F$1,MATCH(Q2179,card_type!A:A,0)-1,0)</f>
        <v>5</v>
      </c>
      <c r="K2179" s="243">
        <f ca="1">OFFSET(card_type!$G$1,MATCH(Q2179,card_type!A:A,0)-1,0)</f>
        <v>2</v>
      </c>
      <c r="L2179" s="157">
        <v>3</v>
      </c>
      <c r="M2179" s="157">
        <v>3</v>
      </c>
      <c r="N2179" s="153">
        <f t="shared" si="374"/>
        <v>3</v>
      </c>
      <c r="O2179" s="157"/>
      <c r="P2179" s="157"/>
      <c r="Q2179" s="153">
        <f ca="1">OFFSET(card_type!$A$1,MATCH(card!B2179,card_type!B:B,0)-1,0)</f>
        <v>3020</v>
      </c>
      <c r="R2179" s="153">
        <v>1</v>
      </c>
      <c r="S2179" s="157">
        <f ca="1">ROUND(IF(R2179=0,0,IF(R2179=1,X2179*$S$1,IF(R2179=2,X2179*$S$1*buff的资质计算!$E$2,IF(R2179=3,X2179*$S$1*buff的资质计算!$E$3,0)))),0)*0</f>
        <v>0</v>
      </c>
      <c r="T2179" s="153">
        <v>3</v>
      </c>
      <c r="U2179" s="153">
        <f ca="1" t="shared" si="369"/>
        <v>52</v>
      </c>
      <c r="V2179" s="153">
        <f ca="1">ROUND((OFFSET(卡牌辅助配置表!$O$1,MATCH(U2179,卡牌辅助配置表!M:M,0)-1,0)+(N2179-1)*OFFSET(卡牌辅助配置表!$P$1,MATCH(U2179,卡牌辅助配置表!M:M,0)-1,0))*M2179,2)</f>
        <v>117.81</v>
      </c>
      <c r="W2179" s="157">
        <f ca="1">ROUND(IF(R2179=0,0,IF(R2179=1,X2179*$W$1,IF(R2179=2,X2179*$W$1*buff的资质计算!$E$2,IF(R2179=3,X2179*$W$1*buff的资质计算!$E$3,0)))),2)</f>
        <v>26.4</v>
      </c>
      <c r="X2179" s="157">
        <f ca="1" t="shared" si="376"/>
        <v>88</v>
      </c>
      <c r="Y2179" s="157" t="e">
        <f ca="1" t="shared" si="373"/>
        <v>#VALUE!</v>
      </c>
      <c r="Z2179" s="304" t="e">
        <f ca="1" t="shared" si="377"/>
        <v>#VALUE!</v>
      </c>
      <c r="AA2179" s="304">
        <f ca="1">OFFSET(卡牌辅助配置表!$AD$1,MATCH(AB2179,卡牌辅助配置表!AB:AB,0)-1,0)</f>
        <v>11502</v>
      </c>
      <c r="AB2179" s="304">
        <f ca="1" t="shared" si="370"/>
        <v>5203</v>
      </c>
      <c r="AC2179" s="153">
        <v>12</v>
      </c>
      <c r="AF2179" s="153" t="str">
        <f ca="1" t="shared" si="375"/>
        <v>30200011|</v>
      </c>
      <c r="AJ2179" s="205" t="str">
        <f ca="1" t="shared" si="371"/>
        <v>400023|1650|;</v>
      </c>
      <c r="AK2179" s="205">
        <f ca="1">OFFSET([1]item_type!$A$1,MATCH(Q2179,[1]item_type!$G:$G,0)-1,0)</f>
        <v>303020</v>
      </c>
      <c r="AL2179" s="205"/>
      <c r="AM2179" s="205">
        <f ca="1">IF(B2179=B2180,OFFSET(卡牌辅助配置表!$AE$1,MATCH(AB2179,卡牌辅助配置表!AB:AB,0),0),0)</f>
        <v>1650</v>
      </c>
      <c r="AN2179" s="153">
        <f ca="1" t="shared" si="366"/>
        <v>3020004</v>
      </c>
      <c r="AP2179" s="153">
        <f ca="1">IF(AC2179=0,0,IF(AC2179=12,0,OFFSET(effect!$N$1,MATCH(K2179,effect!M:M,0)-1,0)))</f>
        <v>0</v>
      </c>
    </row>
    <row r="2180" spans="1:42">
      <c r="A2180" s="153">
        <f ca="1" t="shared" si="367"/>
        <v>3020004</v>
      </c>
      <c r="B2180" s="91" t="s">
        <v>919</v>
      </c>
      <c r="C2180" s="186">
        <v>3</v>
      </c>
      <c r="D2180" s="186">
        <v>3</v>
      </c>
      <c r="E2180" s="165" t="s">
        <v>1069</v>
      </c>
      <c r="F2180" s="179" t="s">
        <v>920</v>
      </c>
      <c r="G2180" s="186">
        <v>0</v>
      </c>
      <c r="H2180" s="186" t="e">
        <f ca="1">OFFSET(skill!$Q$1,MATCH(B2180,skill!B:B,0)-1,0)</f>
        <v>#VALUE!</v>
      </c>
      <c r="I2180" s="186"/>
      <c r="J2180" s="186">
        <f ca="1">OFFSET(card_type!$F$1,MATCH(Q2180,card_type!A:A,0)-1,0)</f>
        <v>5</v>
      </c>
      <c r="K2180" s="243">
        <f ca="1">OFFSET(card_type!$G$1,MATCH(Q2180,card_type!A:A,0)-1,0)</f>
        <v>2</v>
      </c>
      <c r="L2180" s="157">
        <v>3</v>
      </c>
      <c r="M2180" s="157">
        <v>3</v>
      </c>
      <c r="N2180" s="153">
        <f t="shared" si="374"/>
        <v>4</v>
      </c>
      <c r="O2180" s="157"/>
      <c r="P2180" s="157"/>
      <c r="Q2180" s="153">
        <f ca="1">OFFSET(card_type!$A$1,MATCH(card!B2180,card_type!B:B,0)-1,0)</f>
        <v>3020</v>
      </c>
      <c r="R2180" s="153">
        <v>1</v>
      </c>
      <c r="S2180" s="157">
        <f ca="1">ROUND(IF(R2180=0,0,IF(R2180=1,X2180*$S$1,IF(R2180=2,X2180*$S$1*buff的资质计算!$E$2,IF(R2180=3,X2180*$S$1*buff的资质计算!$E$3,0)))),0)*0</f>
        <v>0</v>
      </c>
      <c r="T2180" s="153">
        <v>3</v>
      </c>
      <c r="U2180" s="153">
        <f ca="1" t="shared" si="369"/>
        <v>52</v>
      </c>
      <c r="V2180" s="153">
        <f ca="1">ROUND((OFFSET(卡牌辅助配置表!$O$1,MATCH(U2180,卡牌辅助配置表!M:M,0)-1,0)+(N2180-1)*OFFSET(卡牌辅助配置表!$P$1,MATCH(U2180,卡牌辅助配置表!M:M,0)-1,0))*M2180,2)</f>
        <v>117.81</v>
      </c>
      <c r="W2180" s="157">
        <f ca="1">ROUND(IF(R2180=0,0,IF(R2180=1,X2180*$W$1,IF(R2180=2,X2180*$W$1*buff的资质计算!$E$2,IF(R2180=3,X2180*$W$1*buff的资质计算!$E$3,0)))),2)</f>
        <v>26.55</v>
      </c>
      <c r="X2180" s="157">
        <f ca="1" t="shared" si="376"/>
        <v>88.5</v>
      </c>
      <c r="Y2180" s="157" t="e">
        <f ca="1" t="shared" si="373"/>
        <v>#VALUE!</v>
      </c>
      <c r="Z2180" s="304" t="e">
        <f ca="1" t="shared" si="377"/>
        <v>#VALUE!</v>
      </c>
      <c r="AA2180" s="304">
        <f ca="1">OFFSET(卡牌辅助配置表!$AD$1,MATCH(AB2180,卡牌辅助配置表!AB:AB,0)-1,0)</f>
        <v>15336</v>
      </c>
      <c r="AB2180" s="304">
        <f ca="1" t="shared" si="370"/>
        <v>5204</v>
      </c>
      <c r="AC2180" s="153">
        <v>12</v>
      </c>
      <c r="AF2180" s="153" t="str">
        <f ca="1" t="shared" si="375"/>
        <v>30200011|</v>
      </c>
      <c r="AJ2180" s="205" t="str">
        <f ca="1" t="shared" si="371"/>
        <v>400023|1950|;</v>
      </c>
      <c r="AK2180" s="205">
        <f ca="1">OFFSET([1]item_type!$A$1,MATCH(Q2180,[1]item_type!$G:$G,0)-1,0)</f>
        <v>303020</v>
      </c>
      <c r="AL2180" s="205"/>
      <c r="AM2180" s="205">
        <f ca="1">IF(B2180=B2181,OFFSET(卡牌辅助配置表!$AE$1,MATCH(AB2180,卡牌辅助配置表!AB:AB,0),0),0)</f>
        <v>1950</v>
      </c>
      <c r="AN2180" s="153">
        <f ca="1" t="shared" si="366"/>
        <v>3020005</v>
      </c>
      <c r="AP2180" s="153">
        <f ca="1">IF(AC2180=0,0,IF(AC2180=12,0,OFFSET(effect!$N$1,MATCH(K2180,effect!M:M,0)-1,0)))</f>
        <v>0</v>
      </c>
    </row>
    <row r="2181" spans="1:42">
      <c r="A2181" s="153">
        <f ca="1" t="shared" si="367"/>
        <v>3020005</v>
      </c>
      <c r="B2181" s="91" t="s">
        <v>919</v>
      </c>
      <c r="C2181" s="186">
        <v>3</v>
      </c>
      <c r="D2181" s="186">
        <v>3</v>
      </c>
      <c r="E2181" s="165" t="s">
        <v>1069</v>
      </c>
      <c r="F2181" s="179" t="s">
        <v>920</v>
      </c>
      <c r="G2181" s="186">
        <v>0</v>
      </c>
      <c r="H2181" s="186" t="e">
        <f ca="1">OFFSET(skill!$Q$1,MATCH(B2181,skill!B:B,0)-1,0)</f>
        <v>#VALUE!</v>
      </c>
      <c r="I2181" s="186"/>
      <c r="J2181" s="186">
        <f ca="1">OFFSET(card_type!$F$1,MATCH(Q2181,card_type!A:A,0)-1,0)</f>
        <v>5</v>
      </c>
      <c r="K2181" s="243">
        <f ca="1">OFFSET(card_type!$G$1,MATCH(Q2181,card_type!A:A,0)-1,0)</f>
        <v>2</v>
      </c>
      <c r="L2181" s="157">
        <v>3</v>
      </c>
      <c r="M2181" s="157">
        <v>3</v>
      </c>
      <c r="N2181" s="153">
        <f t="shared" si="374"/>
        <v>5</v>
      </c>
      <c r="O2181" s="157"/>
      <c r="P2181" s="157"/>
      <c r="Q2181" s="153">
        <f ca="1">OFFSET(card_type!$A$1,MATCH(card!B2181,card_type!B:B,0)-1,0)</f>
        <v>3020</v>
      </c>
      <c r="R2181" s="153">
        <v>1</v>
      </c>
      <c r="S2181" s="157">
        <f ca="1">ROUND(IF(R2181=0,0,IF(R2181=1,X2181*$S$1,IF(R2181=2,X2181*$S$1*buff的资质计算!$E$2,IF(R2181=3,X2181*$S$1*buff的资质计算!$E$3,0)))),0)*0</f>
        <v>0</v>
      </c>
      <c r="T2181" s="153">
        <v>3</v>
      </c>
      <c r="U2181" s="153">
        <f ca="1" t="shared" si="369"/>
        <v>52</v>
      </c>
      <c r="V2181" s="153">
        <f ca="1">ROUND((OFFSET(卡牌辅助配置表!$O$1,MATCH(U2181,卡牌辅助配置表!M:M,0)-1,0)+(N2181-1)*OFFSET(卡牌辅助配置表!$P$1,MATCH(U2181,卡牌辅助配置表!M:M,0)-1,0))*M2181,2)</f>
        <v>117.81</v>
      </c>
      <c r="W2181" s="157">
        <f ca="1">ROUND(IF(R2181=0,0,IF(R2181=1,X2181*$W$1,IF(R2181=2,X2181*$W$1*buff的资质计算!$E$2,IF(R2181=3,X2181*$W$1*buff的资质计算!$E$3,0)))),2)</f>
        <v>26.7</v>
      </c>
      <c r="X2181" s="157">
        <f ca="1" t="shared" si="376"/>
        <v>89</v>
      </c>
      <c r="Y2181" s="157" t="e">
        <f ca="1" t="shared" si="373"/>
        <v>#VALUE!</v>
      </c>
      <c r="Z2181" s="304" t="e">
        <f ca="1" t="shared" si="377"/>
        <v>#VALUE!</v>
      </c>
      <c r="AA2181" s="304">
        <f ca="1">OFFSET(卡牌辅助配置表!$AD$1,MATCH(AB2181,卡牌辅助配置表!AB:AB,0)-1,0)</f>
        <v>19170</v>
      </c>
      <c r="AB2181" s="304">
        <f ca="1" t="shared" si="370"/>
        <v>5205</v>
      </c>
      <c r="AC2181" s="153">
        <v>12</v>
      </c>
      <c r="AF2181" s="153" t="str">
        <f ca="1" t="shared" si="375"/>
        <v>30200011|</v>
      </c>
      <c r="AJ2181" s="205" t="str">
        <f ca="1" t="shared" si="371"/>
        <v>400023|2250|;</v>
      </c>
      <c r="AK2181" s="205">
        <f ca="1">OFFSET([1]item_type!$A$1,MATCH(Q2181,[1]item_type!$G:$G,0)-1,0)</f>
        <v>303020</v>
      </c>
      <c r="AL2181" s="205"/>
      <c r="AM2181" s="205">
        <f ca="1">IF(B2181=B2182,OFFSET(卡牌辅助配置表!$AE$1,MATCH(AB2181,卡牌辅助配置表!AB:AB,0),0),0)</f>
        <v>2250</v>
      </c>
      <c r="AN2181" s="153">
        <f ca="1" t="shared" ref="AN2181:AN2244" si="378">IF(B2181=B2182,A2181+1,0)</f>
        <v>3020006</v>
      </c>
      <c r="AP2181" s="153">
        <f ca="1">IF(AC2181=0,0,IF(AC2181=12,0,OFFSET(effect!$N$1,MATCH(K2181,effect!M:M,0)-1,0)))</f>
        <v>0</v>
      </c>
    </row>
    <row r="2182" spans="1:42">
      <c r="A2182" s="153">
        <f ca="1" t="shared" ref="A2182:A2245" si="379">Q2182*1000+N2182</f>
        <v>3020006</v>
      </c>
      <c r="B2182" s="91" t="s">
        <v>919</v>
      </c>
      <c r="C2182" s="186">
        <v>3</v>
      </c>
      <c r="D2182" s="186">
        <v>3</v>
      </c>
      <c r="E2182" s="165" t="s">
        <v>1069</v>
      </c>
      <c r="F2182" s="179" t="s">
        <v>920</v>
      </c>
      <c r="G2182" s="186">
        <v>0</v>
      </c>
      <c r="H2182" s="186" t="e">
        <f ca="1">OFFSET(skill!$Q$1,MATCH(B2182,skill!B:B,0)-1,0)</f>
        <v>#VALUE!</v>
      </c>
      <c r="I2182" s="186"/>
      <c r="J2182" s="186">
        <f ca="1">OFFSET(card_type!$F$1,MATCH(Q2182,card_type!A:A,0)-1,0)</f>
        <v>5</v>
      </c>
      <c r="K2182" s="243">
        <f ca="1">OFFSET(card_type!$G$1,MATCH(Q2182,card_type!A:A,0)-1,0)</f>
        <v>2</v>
      </c>
      <c r="L2182" s="157">
        <v>3</v>
      </c>
      <c r="M2182" s="157">
        <v>3</v>
      </c>
      <c r="N2182" s="153">
        <f t="shared" si="374"/>
        <v>6</v>
      </c>
      <c r="O2182" s="157"/>
      <c r="P2182" s="157"/>
      <c r="Q2182" s="153">
        <f ca="1">OFFSET(card_type!$A$1,MATCH(card!B2182,card_type!B:B,0)-1,0)</f>
        <v>3020</v>
      </c>
      <c r="R2182" s="153">
        <v>1</v>
      </c>
      <c r="S2182" s="157">
        <f ca="1">ROUND(IF(R2182=0,0,IF(R2182=1,X2182*$S$1,IF(R2182=2,X2182*$S$1*buff的资质计算!$E$2,IF(R2182=3,X2182*$S$1*buff的资质计算!$E$3,0)))),0)*0</f>
        <v>0</v>
      </c>
      <c r="T2182" s="153">
        <v>3</v>
      </c>
      <c r="U2182" s="153">
        <f ca="1" t="shared" ref="U2182:U2245" si="380">J2182*10+K2182</f>
        <v>52</v>
      </c>
      <c r="V2182" s="153">
        <f ca="1">ROUND((OFFSET(卡牌辅助配置表!$O$1,MATCH(U2182,卡牌辅助配置表!M:M,0)-1,0)+(N2182-1)*OFFSET(卡牌辅助配置表!$P$1,MATCH(U2182,卡牌辅助配置表!M:M,0)-1,0))*M2182,2)</f>
        <v>117.81</v>
      </c>
      <c r="W2182" s="157">
        <f ca="1">ROUND(IF(R2182=0,0,IF(R2182=1,X2182*$W$1,IF(R2182=2,X2182*$W$1*buff的资质计算!$E$2,IF(R2182=3,X2182*$W$1*buff的资质计算!$E$3,0)))),2)</f>
        <v>26.85</v>
      </c>
      <c r="X2182" s="157">
        <f ca="1" t="shared" si="376"/>
        <v>89.5</v>
      </c>
      <c r="Y2182" s="157" t="e">
        <f ca="1" t="shared" si="373"/>
        <v>#VALUE!</v>
      </c>
      <c r="Z2182" s="304" t="e">
        <f ca="1" t="shared" si="377"/>
        <v>#VALUE!</v>
      </c>
      <c r="AA2182" s="304">
        <f ca="1">OFFSET(卡牌辅助配置表!$AD$1,MATCH(AB2182,卡牌辅助配置表!AB:AB,0)-1,0)</f>
        <v>23004</v>
      </c>
      <c r="AB2182" s="304">
        <f ca="1" t="shared" ref="AB2182:AB2245" si="381">J2182*1000+K2182*100+N2182</f>
        <v>5206</v>
      </c>
      <c r="AC2182" s="153">
        <v>12</v>
      </c>
      <c r="AF2182" s="153" t="str">
        <f ca="1" t="shared" si="375"/>
        <v>30200011|</v>
      </c>
      <c r="AJ2182" s="205" t="str">
        <f ca="1" t="shared" ref="AJ2182:AJ2245" si="382">IF(AN2182=0,0,IF(AL2182=0,$AM$1&amp;$AF$1&amp;AM2182&amp;$AF$1&amp;$AJ$1,AK2182&amp;$AF$1&amp;AL2182&amp;$AF$1&amp;$AJ$1&amp;$AM$1&amp;$AF$1&amp;AM2182&amp;$AF$1&amp;$AJ$1))</f>
        <v>400023|2550|;</v>
      </c>
      <c r="AK2182" s="205">
        <f ca="1">OFFSET([1]item_type!$A$1,MATCH(Q2182,[1]item_type!$G:$G,0)-1,0)</f>
        <v>303020</v>
      </c>
      <c r="AL2182" s="205"/>
      <c r="AM2182" s="205">
        <f ca="1">IF(B2182=B2183,OFFSET(卡牌辅助配置表!$AE$1,MATCH(AB2182,卡牌辅助配置表!AB:AB,0),0),0)</f>
        <v>2550</v>
      </c>
      <c r="AN2182" s="153">
        <f ca="1" t="shared" si="378"/>
        <v>3020007</v>
      </c>
      <c r="AP2182" s="153">
        <f ca="1">IF(AC2182=0,0,IF(AC2182=12,0,OFFSET(effect!$N$1,MATCH(K2182,effect!M:M,0)-1,0)))</f>
        <v>0</v>
      </c>
    </row>
    <row r="2183" spans="1:42">
      <c r="A2183" s="153">
        <f ca="1" t="shared" si="379"/>
        <v>3020007</v>
      </c>
      <c r="B2183" s="91" t="s">
        <v>919</v>
      </c>
      <c r="C2183" s="186">
        <v>3</v>
      </c>
      <c r="D2183" s="186">
        <v>3</v>
      </c>
      <c r="E2183" s="165" t="s">
        <v>1069</v>
      </c>
      <c r="F2183" s="179" t="s">
        <v>920</v>
      </c>
      <c r="G2183" s="186">
        <v>0</v>
      </c>
      <c r="H2183" s="186" t="e">
        <f ca="1">OFFSET(skill!$Q$1,MATCH(B2183,skill!B:B,0)-1,0)</f>
        <v>#VALUE!</v>
      </c>
      <c r="I2183" s="186"/>
      <c r="J2183" s="186">
        <f ca="1">OFFSET(card_type!$F$1,MATCH(Q2183,card_type!A:A,0)-1,0)</f>
        <v>5</v>
      </c>
      <c r="K2183" s="243">
        <f ca="1">OFFSET(card_type!$G$1,MATCH(Q2183,card_type!A:A,0)-1,0)</f>
        <v>2</v>
      </c>
      <c r="L2183" s="157">
        <v>3</v>
      </c>
      <c r="M2183" s="157">
        <v>3</v>
      </c>
      <c r="N2183" s="153">
        <f t="shared" si="374"/>
        <v>7</v>
      </c>
      <c r="O2183" s="157"/>
      <c r="P2183" s="157"/>
      <c r="Q2183" s="153">
        <f ca="1">OFFSET(card_type!$A$1,MATCH(card!B2183,card_type!B:B,0)-1,0)</f>
        <v>3020</v>
      </c>
      <c r="R2183" s="153">
        <v>1</v>
      </c>
      <c r="S2183" s="157">
        <f ca="1">ROUND(IF(R2183=0,0,IF(R2183=1,X2183*$S$1,IF(R2183=2,X2183*$S$1*buff的资质计算!$E$2,IF(R2183=3,X2183*$S$1*buff的资质计算!$E$3,0)))),0)*0</f>
        <v>0</v>
      </c>
      <c r="T2183" s="153">
        <v>3</v>
      </c>
      <c r="U2183" s="153">
        <f ca="1" t="shared" si="380"/>
        <v>52</v>
      </c>
      <c r="V2183" s="153">
        <f ca="1">ROUND((OFFSET(卡牌辅助配置表!$O$1,MATCH(U2183,卡牌辅助配置表!M:M,0)-1,0)+(N2183-1)*OFFSET(卡牌辅助配置表!$P$1,MATCH(U2183,卡牌辅助配置表!M:M,0)-1,0))*M2183,2)</f>
        <v>117.81</v>
      </c>
      <c r="W2183" s="157">
        <f ca="1">ROUND(IF(R2183=0,0,IF(R2183=1,X2183*$W$1,IF(R2183=2,X2183*$W$1*buff的资质计算!$E$2,IF(R2183=3,X2183*$W$1*buff的资质计算!$E$3,0)))),2)</f>
        <v>27</v>
      </c>
      <c r="X2183" s="157">
        <f ca="1" t="shared" si="376"/>
        <v>90</v>
      </c>
      <c r="Y2183" s="157" t="e">
        <f ca="1" t="shared" si="373"/>
        <v>#VALUE!</v>
      </c>
      <c r="Z2183" s="304" t="e">
        <f ca="1" t="shared" si="377"/>
        <v>#VALUE!</v>
      </c>
      <c r="AA2183" s="304">
        <f ca="1">OFFSET(卡牌辅助配置表!$AD$1,MATCH(AB2183,卡牌辅助配置表!AB:AB,0)-1,0)</f>
        <v>26838</v>
      </c>
      <c r="AB2183" s="304">
        <f ca="1" t="shared" si="381"/>
        <v>5207</v>
      </c>
      <c r="AC2183" s="153">
        <v>12</v>
      </c>
      <c r="AF2183" s="153" t="str">
        <f ca="1" t="shared" si="375"/>
        <v>30200011|</v>
      </c>
      <c r="AJ2183" s="205" t="str">
        <f ca="1" t="shared" si="382"/>
        <v>400023|2850|;</v>
      </c>
      <c r="AK2183" s="205">
        <f ca="1">OFFSET([1]item_type!$A$1,MATCH(Q2183,[1]item_type!$G:$G,0)-1,0)</f>
        <v>303020</v>
      </c>
      <c r="AL2183" s="205"/>
      <c r="AM2183" s="205">
        <f ca="1">IF(B2183=B2184,OFFSET(卡牌辅助配置表!$AE$1,MATCH(AB2183,卡牌辅助配置表!AB:AB,0),0),0)</f>
        <v>2850</v>
      </c>
      <c r="AN2183" s="153">
        <f ca="1" t="shared" si="378"/>
        <v>3020008</v>
      </c>
      <c r="AP2183" s="153">
        <f ca="1">IF(AC2183=0,0,IF(AC2183=12,0,OFFSET(effect!$N$1,MATCH(K2183,effect!M:M,0)-1,0)))</f>
        <v>0</v>
      </c>
    </row>
    <row r="2184" spans="1:42">
      <c r="A2184" s="153">
        <f ca="1" t="shared" si="379"/>
        <v>3020008</v>
      </c>
      <c r="B2184" s="91" t="s">
        <v>919</v>
      </c>
      <c r="C2184" s="186">
        <v>3</v>
      </c>
      <c r="D2184" s="186">
        <v>3</v>
      </c>
      <c r="E2184" s="165" t="s">
        <v>1069</v>
      </c>
      <c r="F2184" s="179" t="s">
        <v>920</v>
      </c>
      <c r="G2184" s="186">
        <v>0</v>
      </c>
      <c r="H2184" s="186" t="e">
        <f ca="1">OFFSET(skill!$Q$1,MATCH(B2184,skill!B:B,0)-1,0)</f>
        <v>#VALUE!</v>
      </c>
      <c r="I2184" s="186"/>
      <c r="J2184" s="186">
        <f ca="1">OFFSET(card_type!$F$1,MATCH(Q2184,card_type!A:A,0)-1,0)</f>
        <v>5</v>
      </c>
      <c r="K2184" s="243">
        <f ca="1">OFFSET(card_type!$G$1,MATCH(Q2184,card_type!A:A,0)-1,0)</f>
        <v>2</v>
      </c>
      <c r="L2184" s="157">
        <v>3</v>
      </c>
      <c r="M2184" s="157">
        <v>3</v>
      </c>
      <c r="N2184" s="153">
        <f t="shared" si="374"/>
        <v>8</v>
      </c>
      <c r="O2184" s="157"/>
      <c r="P2184" s="157"/>
      <c r="Q2184" s="153">
        <f ca="1">OFFSET(card_type!$A$1,MATCH(card!B2184,card_type!B:B,0)-1,0)</f>
        <v>3020</v>
      </c>
      <c r="R2184" s="153">
        <v>1</v>
      </c>
      <c r="S2184" s="157">
        <f ca="1">ROUND(IF(R2184=0,0,IF(R2184=1,X2184*$S$1,IF(R2184=2,X2184*$S$1*buff的资质计算!$E$2,IF(R2184=3,X2184*$S$1*buff的资质计算!$E$3,0)))),0)*0</f>
        <v>0</v>
      </c>
      <c r="T2184" s="153">
        <v>3</v>
      </c>
      <c r="U2184" s="153">
        <f ca="1" t="shared" si="380"/>
        <v>52</v>
      </c>
      <c r="V2184" s="153">
        <f ca="1">ROUND((OFFSET(卡牌辅助配置表!$O$1,MATCH(U2184,卡牌辅助配置表!M:M,0)-1,0)+(N2184-1)*OFFSET(卡牌辅助配置表!$P$1,MATCH(U2184,卡牌辅助配置表!M:M,0)-1,0))*M2184,2)</f>
        <v>117.81</v>
      </c>
      <c r="W2184" s="157">
        <f ca="1">ROUND(IF(R2184=0,0,IF(R2184=1,X2184*$W$1,IF(R2184=2,X2184*$W$1*buff的资质计算!$E$2,IF(R2184=3,X2184*$W$1*buff的资质计算!$E$3,0)))),2)</f>
        <v>27.15</v>
      </c>
      <c r="X2184" s="157">
        <f ca="1" t="shared" si="376"/>
        <v>90.5</v>
      </c>
      <c r="Y2184" s="157" t="e">
        <f ca="1" t="shared" si="373"/>
        <v>#VALUE!</v>
      </c>
      <c r="Z2184" s="304" t="e">
        <f ca="1" t="shared" si="377"/>
        <v>#VALUE!</v>
      </c>
      <c r="AA2184" s="304">
        <f ca="1">OFFSET(卡牌辅助配置表!$AD$1,MATCH(AB2184,卡牌辅助配置表!AB:AB,0)-1,0)</f>
        <v>30672</v>
      </c>
      <c r="AB2184" s="304">
        <f ca="1" t="shared" si="381"/>
        <v>5208</v>
      </c>
      <c r="AC2184" s="153">
        <v>12</v>
      </c>
      <c r="AF2184" s="153" t="str">
        <f ca="1" t="shared" si="375"/>
        <v>30200011|</v>
      </c>
      <c r="AJ2184" s="205" t="str">
        <f ca="1" t="shared" si="382"/>
        <v>400023|3150|;</v>
      </c>
      <c r="AK2184" s="205">
        <f ca="1">OFFSET([1]item_type!$A$1,MATCH(Q2184,[1]item_type!$G:$G,0)-1,0)</f>
        <v>303020</v>
      </c>
      <c r="AL2184" s="205"/>
      <c r="AM2184" s="205">
        <f ca="1">IF(B2184=B2185,OFFSET(卡牌辅助配置表!$AE$1,MATCH(AB2184,卡牌辅助配置表!AB:AB,0),0),0)</f>
        <v>3150</v>
      </c>
      <c r="AN2184" s="153">
        <f ca="1" t="shared" si="378"/>
        <v>3020009</v>
      </c>
      <c r="AP2184" s="153">
        <f ca="1">IF(AC2184=0,0,IF(AC2184=12,0,OFFSET(effect!$N$1,MATCH(K2184,effect!M:M,0)-1,0)))</f>
        <v>0</v>
      </c>
    </row>
    <row r="2185" spans="1:42">
      <c r="A2185" s="153">
        <f ca="1" t="shared" si="379"/>
        <v>3020009</v>
      </c>
      <c r="B2185" s="91" t="s">
        <v>919</v>
      </c>
      <c r="C2185" s="186">
        <v>3</v>
      </c>
      <c r="D2185" s="186">
        <v>3</v>
      </c>
      <c r="E2185" s="165" t="s">
        <v>1069</v>
      </c>
      <c r="F2185" s="179" t="s">
        <v>920</v>
      </c>
      <c r="G2185" s="186">
        <v>0</v>
      </c>
      <c r="H2185" s="186" t="e">
        <f ca="1">OFFSET(skill!$Q$1,MATCH(B2185,skill!B:B,0)-1,0)</f>
        <v>#VALUE!</v>
      </c>
      <c r="I2185" s="186"/>
      <c r="J2185" s="186">
        <f ca="1">OFFSET(card_type!$F$1,MATCH(Q2185,card_type!A:A,0)-1,0)</f>
        <v>5</v>
      </c>
      <c r="K2185" s="243">
        <f ca="1">OFFSET(card_type!$G$1,MATCH(Q2185,card_type!A:A,0)-1,0)</f>
        <v>2</v>
      </c>
      <c r="L2185" s="157">
        <v>3</v>
      </c>
      <c r="M2185" s="157">
        <v>3</v>
      </c>
      <c r="N2185" s="153">
        <f t="shared" si="374"/>
        <v>9</v>
      </c>
      <c r="O2185" s="157"/>
      <c r="P2185" s="157"/>
      <c r="Q2185" s="153">
        <f ca="1">OFFSET(card_type!$A$1,MATCH(card!B2185,card_type!B:B,0)-1,0)</f>
        <v>3020</v>
      </c>
      <c r="R2185" s="153">
        <v>1</v>
      </c>
      <c r="S2185" s="157">
        <f ca="1">ROUND(IF(R2185=0,0,IF(R2185=1,X2185*$S$1,IF(R2185=2,X2185*$S$1*buff的资质计算!$E$2,IF(R2185=3,X2185*$S$1*buff的资质计算!$E$3,0)))),0)*0</f>
        <v>0</v>
      </c>
      <c r="T2185" s="153">
        <v>3</v>
      </c>
      <c r="U2185" s="153">
        <f ca="1" t="shared" si="380"/>
        <v>52</v>
      </c>
      <c r="V2185" s="153">
        <f ca="1">ROUND((OFFSET(卡牌辅助配置表!$O$1,MATCH(U2185,卡牌辅助配置表!M:M,0)-1,0)+(N2185-1)*OFFSET(卡牌辅助配置表!$P$1,MATCH(U2185,卡牌辅助配置表!M:M,0)-1,0))*M2185,2)</f>
        <v>117.81</v>
      </c>
      <c r="W2185" s="157">
        <f ca="1">ROUND(IF(R2185=0,0,IF(R2185=1,X2185*$W$1,IF(R2185=2,X2185*$W$1*buff的资质计算!$E$2,IF(R2185=3,X2185*$W$1*buff的资质计算!$E$3,0)))),2)</f>
        <v>27.3</v>
      </c>
      <c r="X2185" s="157">
        <f ca="1" t="shared" si="376"/>
        <v>91</v>
      </c>
      <c r="Y2185" s="157" t="e">
        <f ca="1" t="shared" si="373"/>
        <v>#VALUE!</v>
      </c>
      <c r="Z2185" s="304" t="e">
        <f ca="1" t="shared" si="377"/>
        <v>#VALUE!</v>
      </c>
      <c r="AA2185" s="304">
        <f ca="1">OFFSET(卡牌辅助配置表!$AD$1,MATCH(AB2185,卡牌辅助配置表!AB:AB,0)-1,0)</f>
        <v>34506</v>
      </c>
      <c r="AB2185" s="304">
        <f ca="1" t="shared" si="381"/>
        <v>5209</v>
      </c>
      <c r="AC2185" s="153">
        <v>12</v>
      </c>
      <c r="AF2185" s="153" t="str">
        <f ca="1" t="shared" si="375"/>
        <v>30200011|</v>
      </c>
      <c r="AJ2185" s="205" t="str">
        <f ca="1" t="shared" si="382"/>
        <v>303020|15|;400023|3450|;</v>
      </c>
      <c r="AK2185" s="205">
        <f ca="1">OFFSET([1]item_type!$A$1,MATCH(Q2185,[1]item_type!$G:$G,0)-1,0)</f>
        <v>303020</v>
      </c>
      <c r="AL2185" s="205">
        <v>15</v>
      </c>
      <c r="AM2185" s="205">
        <f ca="1">IF(B2185=B2186,OFFSET(卡牌辅助配置表!$AE$1,MATCH(AB2185,卡牌辅助配置表!AB:AB,0),0),0)</f>
        <v>3450</v>
      </c>
      <c r="AN2185" s="153">
        <f ca="1" t="shared" si="378"/>
        <v>3020010</v>
      </c>
      <c r="AP2185" s="153">
        <f ca="1">IF(AC2185=0,0,IF(AC2185=12,0,OFFSET(effect!$N$1,MATCH(K2185,effect!M:M,0)-1,0)))</f>
        <v>0</v>
      </c>
    </row>
    <row r="2186" spans="1:42">
      <c r="A2186" s="153">
        <f ca="1" t="shared" si="379"/>
        <v>3020010</v>
      </c>
      <c r="B2186" s="91" t="s">
        <v>919</v>
      </c>
      <c r="C2186" s="186">
        <v>3</v>
      </c>
      <c r="D2186" s="186">
        <v>3</v>
      </c>
      <c r="E2186" s="165" t="s">
        <v>1069</v>
      </c>
      <c r="F2186" s="179" t="s">
        <v>920</v>
      </c>
      <c r="G2186" s="186">
        <v>0</v>
      </c>
      <c r="H2186" s="186" t="e">
        <f ca="1">OFFSET(skill!$Q$1,MATCH(B2186,skill!B:B,0)-1,0)</f>
        <v>#VALUE!</v>
      </c>
      <c r="I2186" s="186"/>
      <c r="J2186" s="186">
        <f ca="1">OFFSET(card_type!$F$1,MATCH(Q2186,card_type!A:A,0)-1,0)</f>
        <v>5</v>
      </c>
      <c r="K2186" s="243">
        <f ca="1">OFFSET(card_type!$G$1,MATCH(Q2186,card_type!A:A,0)-1,0)</f>
        <v>2</v>
      </c>
      <c r="L2186" s="157">
        <v>3</v>
      </c>
      <c r="M2186" s="157">
        <v>3</v>
      </c>
      <c r="N2186" s="153">
        <f t="shared" si="374"/>
        <v>10</v>
      </c>
      <c r="O2186" s="157"/>
      <c r="P2186" s="157"/>
      <c r="Q2186" s="153">
        <f ca="1">OFFSET(card_type!$A$1,MATCH(card!B2186,card_type!B:B,0)-1,0)</f>
        <v>3020</v>
      </c>
      <c r="R2186" s="153">
        <v>1</v>
      </c>
      <c r="S2186" s="157">
        <f ca="1">ROUND(IF(R2186=0,0,IF(R2186=1,X2186*$S$1,IF(R2186=2,X2186*$S$1*buff的资质计算!$E$2,IF(R2186=3,X2186*$S$1*buff的资质计算!$E$3,0)))),0)*0</f>
        <v>0</v>
      </c>
      <c r="T2186" s="153">
        <v>3</v>
      </c>
      <c r="U2186" s="153">
        <f ca="1" t="shared" si="380"/>
        <v>52</v>
      </c>
      <c r="V2186" s="153">
        <f ca="1">ROUND((OFFSET(卡牌辅助配置表!$O$1,MATCH(U2186,卡牌辅助配置表!M:M,0)-1,0)+(N2186-1)*OFFSET(卡牌辅助配置表!$P$1,MATCH(U2186,卡牌辅助配置表!M:M,0)-1,0))*M2186,2)</f>
        <v>117.81</v>
      </c>
      <c r="W2186" s="157">
        <f ca="1">ROUND(IF(R2186=0,0,IF(R2186=1,X2186*$W$1,IF(R2186=2,X2186*$W$1*buff的资质计算!$E$2,IF(R2186=3,X2186*$W$1*buff的资质计算!$E$3,0)))),2)</f>
        <v>27.45</v>
      </c>
      <c r="X2186" s="157">
        <f ca="1" t="shared" si="376"/>
        <v>91.5</v>
      </c>
      <c r="Y2186" s="157" t="e">
        <f ca="1" t="shared" ref="Y2186:Y2249" si="383">X2186+H2186</f>
        <v>#VALUE!</v>
      </c>
      <c r="Z2186" s="304" t="e">
        <f ca="1" t="shared" si="377"/>
        <v>#VALUE!</v>
      </c>
      <c r="AA2186" s="304">
        <f ca="1">OFFSET(卡牌辅助配置表!$AD$1,MATCH(AB2186,卡牌辅助配置表!AB:AB,0)-1,0)</f>
        <v>38340</v>
      </c>
      <c r="AB2186" s="304">
        <f ca="1" t="shared" si="381"/>
        <v>5210</v>
      </c>
      <c r="AC2186" s="153">
        <v>12</v>
      </c>
      <c r="AF2186" s="153" t="str">
        <f ca="1" t="shared" si="375"/>
        <v>30200011|</v>
      </c>
      <c r="AJ2186" s="205" t="str">
        <f ca="1" t="shared" si="382"/>
        <v>400023|4050|;</v>
      </c>
      <c r="AK2186" s="205">
        <f ca="1">OFFSET([1]item_type!$A$1,MATCH(Q2186,[1]item_type!$G:$G,0)-1,0)</f>
        <v>303020</v>
      </c>
      <c r="AL2186" s="205"/>
      <c r="AM2186" s="205">
        <f ca="1">IF(B2186=B2187,OFFSET(卡牌辅助配置表!$AE$1,MATCH(AB2186,卡牌辅助配置表!AB:AB,0),0),0)</f>
        <v>4050</v>
      </c>
      <c r="AN2186" s="153">
        <f ca="1" t="shared" si="378"/>
        <v>3020011</v>
      </c>
      <c r="AP2186" s="153">
        <f ca="1">IF(AC2186=0,0,IF(AC2186=12,0,OFFSET(effect!$N$1,MATCH(K2186,effect!M:M,0)-1,0)))</f>
        <v>0</v>
      </c>
    </row>
    <row r="2187" spans="1:42">
      <c r="A2187" s="153">
        <f ca="1" t="shared" si="379"/>
        <v>3020011</v>
      </c>
      <c r="B2187" s="91" t="s">
        <v>919</v>
      </c>
      <c r="C2187" s="186">
        <v>3</v>
      </c>
      <c r="D2187" s="186">
        <v>3</v>
      </c>
      <c r="E2187" s="165" t="s">
        <v>1069</v>
      </c>
      <c r="F2187" s="179" t="s">
        <v>920</v>
      </c>
      <c r="G2187" s="186">
        <v>0</v>
      </c>
      <c r="H2187" s="186" t="e">
        <f ca="1">OFFSET(skill!$Q$1,MATCH(B2187,skill!B:B,0)-1,0)</f>
        <v>#VALUE!</v>
      </c>
      <c r="I2187" s="186"/>
      <c r="J2187" s="186">
        <f ca="1">OFFSET(card_type!$F$1,MATCH(Q2187,card_type!A:A,0)-1,0)</f>
        <v>5</v>
      </c>
      <c r="K2187" s="243">
        <f ca="1">OFFSET(card_type!$G$1,MATCH(Q2187,card_type!A:A,0)-1,0)</f>
        <v>2</v>
      </c>
      <c r="L2187" s="157">
        <v>3</v>
      </c>
      <c r="M2187" s="157">
        <v>3</v>
      </c>
      <c r="N2187" s="153">
        <f t="shared" si="374"/>
        <v>11</v>
      </c>
      <c r="O2187" s="157"/>
      <c r="P2187" s="157"/>
      <c r="Q2187" s="153">
        <f ca="1">OFFSET(card_type!$A$1,MATCH(card!B2187,card_type!B:B,0)-1,0)</f>
        <v>3020</v>
      </c>
      <c r="R2187" s="153">
        <v>1</v>
      </c>
      <c r="S2187" s="157">
        <f ca="1">ROUND(IF(R2187=0,0,IF(R2187=1,X2187*$S$1,IF(R2187=2,X2187*$S$1*buff的资质计算!$E$2,IF(R2187=3,X2187*$S$1*buff的资质计算!$E$3,0)))),0)*0</f>
        <v>0</v>
      </c>
      <c r="T2187" s="153">
        <v>3</v>
      </c>
      <c r="U2187" s="153">
        <f ca="1" t="shared" si="380"/>
        <v>52</v>
      </c>
      <c r="V2187" s="153">
        <f ca="1">ROUND((OFFSET(卡牌辅助配置表!$O$1,MATCH(U2187,卡牌辅助配置表!M:M,0)-1,0)+(N2187-1)*OFFSET(卡牌辅助配置表!$P$1,MATCH(U2187,卡牌辅助配置表!M:M,0)-1,0))*M2187,2)</f>
        <v>117.81</v>
      </c>
      <c r="W2187" s="157">
        <f ca="1">ROUND(IF(R2187=0,0,IF(R2187=1,X2187*$W$1,IF(R2187=2,X2187*$W$1*buff的资质计算!$E$2,IF(R2187=3,X2187*$W$1*buff的资质计算!$E$3,0)))),2)</f>
        <v>27.6</v>
      </c>
      <c r="X2187" s="157">
        <f ca="1" t="shared" si="376"/>
        <v>92</v>
      </c>
      <c r="Y2187" s="157" t="e">
        <f ca="1" t="shared" si="383"/>
        <v>#VALUE!</v>
      </c>
      <c r="Z2187" s="304" t="e">
        <f ca="1" t="shared" si="377"/>
        <v>#VALUE!</v>
      </c>
      <c r="AA2187" s="304">
        <f ca="1">OFFSET(卡牌辅助配置表!$AD$1,MATCH(AB2187,卡牌辅助配置表!AB:AB,0)-1,0)</f>
        <v>42174</v>
      </c>
      <c r="AB2187" s="304">
        <f ca="1" t="shared" si="381"/>
        <v>5211</v>
      </c>
      <c r="AC2187" s="153">
        <v>12</v>
      </c>
      <c r="AF2187" s="153" t="str">
        <f ca="1" t="shared" si="375"/>
        <v>30200011|</v>
      </c>
      <c r="AJ2187" s="205" t="str">
        <f ca="1" t="shared" si="382"/>
        <v>400023|4650|;</v>
      </c>
      <c r="AK2187" s="205">
        <f ca="1">OFFSET([1]item_type!$A$1,MATCH(Q2187,[1]item_type!$G:$G,0)-1,0)</f>
        <v>303020</v>
      </c>
      <c r="AL2187" s="205"/>
      <c r="AM2187" s="205">
        <f ca="1">IF(B2187=B2188,OFFSET(卡牌辅助配置表!$AE$1,MATCH(AB2187,卡牌辅助配置表!AB:AB,0),0),0)</f>
        <v>4650</v>
      </c>
      <c r="AN2187" s="153">
        <f ca="1" t="shared" si="378"/>
        <v>3020012</v>
      </c>
      <c r="AP2187" s="153">
        <f ca="1">IF(AC2187=0,0,IF(AC2187=12,0,OFFSET(effect!$N$1,MATCH(K2187,effect!M:M,0)-1,0)))</f>
        <v>0</v>
      </c>
    </row>
    <row r="2188" spans="1:42">
      <c r="A2188" s="153">
        <f ca="1" t="shared" si="379"/>
        <v>3020012</v>
      </c>
      <c r="B2188" s="91" t="s">
        <v>919</v>
      </c>
      <c r="C2188" s="186">
        <v>3</v>
      </c>
      <c r="D2188" s="186">
        <v>3</v>
      </c>
      <c r="E2188" s="165" t="s">
        <v>1069</v>
      </c>
      <c r="F2188" s="179" t="s">
        <v>920</v>
      </c>
      <c r="G2188" s="186">
        <v>0</v>
      </c>
      <c r="H2188" s="186" t="e">
        <f ca="1">OFFSET(skill!$Q$1,MATCH(B2188,skill!B:B,0)-1,0)</f>
        <v>#VALUE!</v>
      </c>
      <c r="I2188" s="186"/>
      <c r="J2188" s="186">
        <f ca="1">OFFSET(card_type!$F$1,MATCH(Q2188,card_type!A:A,0)-1,0)</f>
        <v>5</v>
      </c>
      <c r="K2188" s="243">
        <f ca="1">OFFSET(card_type!$G$1,MATCH(Q2188,card_type!A:A,0)-1,0)</f>
        <v>2</v>
      </c>
      <c r="L2188" s="157">
        <v>3</v>
      </c>
      <c r="M2188" s="157">
        <v>3</v>
      </c>
      <c r="N2188" s="153">
        <f t="shared" si="374"/>
        <v>12</v>
      </c>
      <c r="O2188" s="157"/>
      <c r="P2188" s="157"/>
      <c r="Q2188" s="153">
        <f ca="1">OFFSET(card_type!$A$1,MATCH(card!B2188,card_type!B:B,0)-1,0)</f>
        <v>3020</v>
      </c>
      <c r="R2188" s="153">
        <v>1</v>
      </c>
      <c r="S2188" s="157">
        <f ca="1">ROUND(IF(R2188=0,0,IF(R2188=1,X2188*$S$1,IF(R2188=2,X2188*$S$1*buff的资质计算!$E$2,IF(R2188=3,X2188*$S$1*buff的资质计算!$E$3,0)))),0)*0</f>
        <v>0</v>
      </c>
      <c r="T2188" s="153">
        <v>3</v>
      </c>
      <c r="U2188" s="153">
        <f ca="1" t="shared" si="380"/>
        <v>52</v>
      </c>
      <c r="V2188" s="153">
        <f ca="1">ROUND((OFFSET(卡牌辅助配置表!$O$1,MATCH(U2188,卡牌辅助配置表!M:M,0)-1,0)+(N2188-1)*OFFSET(卡牌辅助配置表!$P$1,MATCH(U2188,卡牌辅助配置表!M:M,0)-1,0))*M2188,2)</f>
        <v>117.81</v>
      </c>
      <c r="W2188" s="157">
        <f ca="1">ROUND(IF(R2188=0,0,IF(R2188=1,X2188*$W$1,IF(R2188=2,X2188*$W$1*buff的资质计算!$E$2,IF(R2188=3,X2188*$W$1*buff的资质计算!$E$3,0)))),2)</f>
        <v>27.75</v>
      </c>
      <c r="X2188" s="157">
        <f ca="1" t="shared" si="376"/>
        <v>92.5</v>
      </c>
      <c r="Y2188" s="157" t="e">
        <f ca="1" t="shared" si="383"/>
        <v>#VALUE!</v>
      </c>
      <c r="Z2188" s="304" t="e">
        <f ca="1" t="shared" si="377"/>
        <v>#VALUE!</v>
      </c>
      <c r="AA2188" s="304">
        <f ca="1">OFFSET(卡牌辅助配置表!$AD$1,MATCH(AB2188,卡牌辅助配置表!AB:AB,0)-1,0)</f>
        <v>46008</v>
      </c>
      <c r="AB2188" s="304">
        <f ca="1" t="shared" si="381"/>
        <v>5212</v>
      </c>
      <c r="AC2188" s="153">
        <v>12</v>
      </c>
      <c r="AF2188" s="153" t="str">
        <f ca="1" t="shared" si="375"/>
        <v>30200011|</v>
      </c>
      <c r="AJ2188" s="205" t="str">
        <f ca="1" t="shared" si="382"/>
        <v>400023|5250|;</v>
      </c>
      <c r="AK2188" s="205">
        <f ca="1">OFFSET([1]item_type!$A$1,MATCH(Q2188,[1]item_type!$G:$G,0)-1,0)</f>
        <v>303020</v>
      </c>
      <c r="AL2188" s="205"/>
      <c r="AM2188" s="205">
        <f ca="1">IF(B2188=B2189,OFFSET(卡牌辅助配置表!$AE$1,MATCH(AB2188,卡牌辅助配置表!AB:AB,0),0),0)</f>
        <v>5250</v>
      </c>
      <c r="AN2188" s="153">
        <f ca="1" t="shared" si="378"/>
        <v>3020013</v>
      </c>
      <c r="AP2188" s="153">
        <f ca="1">IF(AC2188=0,0,IF(AC2188=12,0,OFFSET(effect!$N$1,MATCH(K2188,effect!M:M,0)-1,0)))</f>
        <v>0</v>
      </c>
    </row>
    <row r="2189" spans="1:42">
      <c r="A2189" s="153">
        <f ca="1" t="shared" si="379"/>
        <v>3020013</v>
      </c>
      <c r="B2189" s="91" t="s">
        <v>919</v>
      </c>
      <c r="C2189" s="186">
        <v>3</v>
      </c>
      <c r="D2189" s="186">
        <v>3</v>
      </c>
      <c r="E2189" s="165" t="s">
        <v>1069</v>
      </c>
      <c r="F2189" s="179" t="s">
        <v>920</v>
      </c>
      <c r="G2189" s="186">
        <v>0</v>
      </c>
      <c r="H2189" s="186" t="e">
        <f ca="1">OFFSET(skill!$Q$1,MATCH(B2189,skill!B:B,0)-1,0)</f>
        <v>#VALUE!</v>
      </c>
      <c r="I2189" s="186"/>
      <c r="J2189" s="186">
        <f ca="1">OFFSET(card_type!$F$1,MATCH(Q2189,card_type!A:A,0)-1,0)</f>
        <v>5</v>
      </c>
      <c r="K2189" s="243">
        <f ca="1">OFFSET(card_type!$G$1,MATCH(Q2189,card_type!A:A,0)-1,0)</f>
        <v>2</v>
      </c>
      <c r="L2189" s="157">
        <v>3</v>
      </c>
      <c r="M2189" s="157">
        <v>3</v>
      </c>
      <c r="N2189" s="153">
        <f t="shared" si="374"/>
        <v>13</v>
      </c>
      <c r="O2189" s="157"/>
      <c r="P2189" s="157"/>
      <c r="Q2189" s="153">
        <f ca="1">OFFSET(card_type!$A$1,MATCH(card!B2189,card_type!B:B,0)-1,0)</f>
        <v>3020</v>
      </c>
      <c r="R2189" s="153">
        <v>1</v>
      </c>
      <c r="S2189" s="157">
        <f ca="1">ROUND(IF(R2189=0,0,IF(R2189=1,X2189*$S$1,IF(R2189=2,X2189*$S$1*buff的资质计算!$E$2,IF(R2189=3,X2189*$S$1*buff的资质计算!$E$3,0)))),0)*0</f>
        <v>0</v>
      </c>
      <c r="T2189" s="153">
        <v>3</v>
      </c>
      <c r="U2189" s="153">
        <f ca="1" t="shared" si="380"/>
        <v>52</v>
      </c>
      <c r="V2189" s="153">
        <f ca="1">ROUND((OFFSET(卡牌辅助配置表!$O$1,MATCH(U2189,卡牌辅助配置表!M:M,0)-1,0)+(N2189-1)*OFFSET(卡牌辅助配置表!$P$1,MATCH(U2189,卡牌辅助配置表!M:M,0)-1,0))*M2189,2)</f>
        <v>117.81</v>
      </c>
      <c r="W2189" s="157">
        <f ca="1">ROUND(IF(R2189=0,0,IF(R2189=1,X2189*$W$1,IF(R2189=2,X2189*$W$1*buff的资质计算!$E$2,IF(R2189=3,X2189*$W$1*buff的资质计算!$E$3,0)))),2)</f>
        <v>27.9</v>
      </c>
      <c r="X2189" s="157">
        <f ca="1" t="shared" si="376"/>
        <v>93</v>
      </c>
      <c r="Y2189" s="157" t="e">
        <f ca="1" t="shared" si="383"/>
        <v>#VALUE!</v>
      </c>
      <c r="Z2189" s="304" t="e">
        <f ca="1" t="shared" si="377"/>
        <v>#VALUE!</v>
      </c>
      <c r="AA2189" s="304">
        <f ca="1">OFFSET(卡牌辅助配置表!$AD$1,MATCH(AB2189,卡牌辅助配置表!AB:AB,0)-1,0)</f>
        <v>49842</v>
      </c>
      <c r="AB2189" s="304">
        <f ca="1" t="shared" si="381"/>
        <v>5213</v>
      </c>
      <c r="AC2189" s="153">
        <v>12</v>
      </c>
      <c r="AF2189" s="153" t="str">
        <f ca="1" t="shared" si="375"/>
        <v>30200011|</v>
      </c>
      <c r="AJ2189" s="205" t="str">
        <f ca="1" t="shared" si="382"/>
        <v>400023|5850|;</v>
      </c>
      <c r="AK2189" s="205">
        <f ca="1">OFFSET([1]item_type!$A$1,MATCH(Q2189,[1]item_type!$G:$G,0)-1,0)</f>
        <v>303020</v>
      </c>
      <c r="AL2189" s="205"/>
      <c r="AM2189" s="205">
        <f ca="1">IF(B2189=B2190,OFFSET(卡牌辅助配置表!$AE$1,MATCH(AB2189,卡牌辅助配置表!AB:AB,0),0),0)</f>
        <v>5850</v>
      </c>
      <c r="AN2189" s="153">
        <f ca="1" t="shared" si="378"/>
        <v>3020014</v>
      </c>
      <c r="AP2189" s="153">
        <f ca="1">IF(AC2189=0,0,IF(AC2189=12,0,OFFSET(effect!$N$1,MATCH(K2189,effect!M:M,0)-1,0)))</f>
        <v>0</v>
      </c>
    </row>
    <row r="2190" spans="1:42">
      <c r="A2190" s="153">
        <f ca="1" t="shared" si="379"/>
        <v>3020014</v>
      </c>
      <c r="B2190" s="91" t="s">
        <v>919</v>
      </c>
      <c r="C2190" s="186">
        <v>3</v>
      </c>
      <c r="D2190" s="186">
        <v>3</v>
      </c>
      <c r="E2190" s="165" t="s">
        <v>1069</v>
      </c>
      <c r="F2190" s="179" t="s">
        <v>920</v>
      </c>
      <c r="G2190" s="186">
        <v>0</v>
      </c>
      <c r="H2190" s="186" t="e">
        <f ca="1">OFFSET(skill!$Q$1,MATCH(B2190,skill!B:B,0)-1,0)</f>
        <v>#VALUE!</v>
      </c>
      <c r="I2190" s="186"/>
      <c r="J2190" s="186">
        <f ca="1">OFFSET(card_type!$F$1,MATCH(Q2190,card_type!A:A,0)-1,0)</f>
        <v>5</v>
      </c>
      <c r="K2190" s="243">
        <f ca="1">OFFSET(card_type!$G$1,MATCH(Q2190,card_type!A:A,0)-1,0)</f>
        <v>2</v>
      </c>
      <c r="L2190" s="157">
        <v>3</v>
      </c>
      <c r="M2190" s="157">
        <v>3</v>
      </c>
      <c r="N2190" s="153">
        <f t="shared" si="374"/>
        <v>14</v>
      </c>
      <c r="O2190" s="157"/>
      <c r="P2190" s="157"/>
      <c r="Q2190" s="153">
        <f ca="1">OFFSET(card_type!$A$1,MATCH(card!B2190,card_type!B:B,0)-1,0)</f>
        <v>3020</v>
      </c>
      <c r="R2190" s="153">
        <v>1</v>
      </c>
      <c r="S2190" s="157">
        <f ca="1">ROUND(IF(R2190=0,0,IF(R2190=1,X2190*$S$1,IF(R2190=2,X2190*$S$1*buff的资质计算!$E$2,IF(R2190=3,X2190*$S$1*buff的资质计算!$E$3,0)))),0)*0</f>
        <v>0</v>
      </c>
      <c r="T2190" s="153">
        <v>3</v>
      </c>
      <c r="U2190" s="153">
        <f ca="1" t="shared" si="380"/>
        <v>52</v>
      </c>
      <c r="V2190" s="153">
        <f ca="1">ROUND((OFFSET(卡牌辅助配置表!$O$1,MATCH(U2190,卡牌辅助配置表!M:M,0)-1,0)+(N2190-1)*OFFSET(卡牌辅助配置表!$P$1,MATCH(U2190,卡牌辅助配置表!M:M,0)-1,0))*M2190,2)</f>
        <v>117.81</v>
      </c>
      <c r="W2190" s="157">
        <f ca="1">ROUND(IF(R2190=0,0,IF(R2190=1,X2190*$W$1,IF(R2190=2,X2190*$W$1*buff的资质计算!$E$2,IF(R2190=3,X2190*$W$1*buff的资质计算!$E$3,0)))),2)</f>
        <v>28.05</v>
      </c>
      <c r="X2190" s="157">
        <f ca="1" t="shared" si="376"/>
        <v>93.5</v>
      </c>
      <c r="Y2190" s="157" t="e">
        <f ca="1" t="shared" si="383"/>
        <v>#VALUE!</v>
      </c>
      <c r="Z2190" s="304" t="e">
        <f ca="1" t="shared" si="377"/>
        <v>#VALUE!</v>
      </c>
      <c r="AA2190" s="304">
        <f ca="1">OFFSET(卡牌辅助配置表!$AD$1,MATCH(AB2190,卡牌辅助配置表!AB:AB,0)-1,0)</f>
        <v>53676</v>
      </c>
      <c r="AB2190" s="304">
        <f ca="1" t="shared" si="381"/>
        <v>5214</v>
      </c>
      <c r="AC2190" s="153">
        <v>12</v>
      </c>
      <c r="AF2190" s="153" t="str">
        <f ca="1" t="shared" si="375"/>
        <v>30200011|</v>
      </c>
      <c r="AJ2190" s="205" t="str">
        <f ca="1" t="shared" si="382"/>
        <v>400023|6450|;</v>
      </c>
      <c r="AK2190" s="205">
        <f ca="1">OFFSET([1]item_type!$A$1,MATCH(Q2190,[1]item_type!$G:$G,0)-1,0)</f>
        <v>303020</v>
      </c>
      <c r="AL2190" s="205"/>
      <c r="AM2190" s="205">
        <f ca="1">IF(B2190=B2191,OFFSET(卡牌辅助配置表!$AE$1,MATCH(AB2190,卡牌辅助配置表!AB:AB,0),0),0)</f>
        <v>6450</v>
      </c>
      <c r="AN2190" s="153">
        <f ca="1" t="shared" si="378"/>
        <v>3020015</v>
      </c>
      <c r="AP2190" s="153">
        <f ca="1">IF(AC2190=0,0,IF(AC2190=12,0,OFFSET(effect!$N$1,MATCH(K2190,effect!M:M,0)-1,0)))</f>
        <v>0</v>
      </c>
    </row>
    <row r="2191" spans="1:42">
      <c r="A2191" s="153">
        <f ca="1" t="shared" si="379"/>
        <v>3020015</v>
      </c>
      <c r="B2191" s="91" t="s">
        <v>919</v>
      </c>
      <c r="C2191" s="186">
        <v>3</v>
      </c>
      <c r="D2191" s="186">
        <v>3</v>
      </c>
      <c r="E2191" s="165" t="s">
        <v>1069</v>
      </c>
      <c r="F2191" s="179" t="s">
        <v>920</v>
      </c>
      <c r="G2191" s="186">
        <v>0</v>
      </c>
      <c r="H2191" s="186" t="e">
        <f ca="1">OFFSET(skill!$Q$1,MATCH(B2191,skill!B:B,0)-1,0)</f>
        <v>#VALUE!</v>
      </c>
      <c r="I2191" s="186"/>
      <c r="J2191" s="186">
        <f ca="1">OFFSET(card_type!$F$1,MATCH(Q2191,card_type!A:A,0)-1,0)</f>
        <v>5</v>
      </c>
      <c r="K2191" s="243">
        <f ca="1">OFFSET(card_type!$G$1,MATCH(Q2191,card_type!A:A,0)-1,0)</f>
        <v>2</v>
      </c>
      <c r="L2191" s="157">
        <v>3</v>
      </c>
      <c r="M2191" s="157">
        <v>3</v>
      </c>
      <c r="N2191" s="153">
        <f t="shared" si="374"/>
        <v>15</v>
      </c>
      <c r="O2191" s="157"/>
      <c r="P2191" s="157"/>
      <c r="Q2191" s="153">
        <f ca="1">OFFSET(card_type!$A$1,MATCH(card!B2191,card_type!B:B,0)-1,0)</f>
        <v>3020</v>
      </c>
      <c r="R2191" s="153">
        <v>1</v>
      </c>
      <c r="S2191" s="157">
        <f ca="1">ROUND(IF(R2191=0,0,IF(R2191=1,X2191*$S$1,IF(R2191=2,X2191*$S$1*buff的资质计算!$E$2,IF(R2191=3,X2191*$S$1*buff的资质计算!$E$3,0)))),0)*0</f>
        <v>0</v>
      </c>
      <c r="T2191" s="153">
        <v>3</v>
      </c>
      <c r="U2191" s="153">
        <f ca="1" t="shared" si="380"/>
        <v>52</v>
      </c>
      <c r="V2191" s="153">
        <f ca="1">ROUND((OFFSET(卡牌辅助配置表!$O$1,MATCH(U2191,卡牌辅助配置表!M:M,0)-1,0)+(N2191-1)*OFFSET(卡牌辅助配置表!$P$1,MATCH(U2191,卡牌辅助配置表!M:M,0)-1,0))*M2191,2)</f>
        <v>117.81</v>
      </c>
      <c r="W2191" s="157">
        <f ca="1">ROUND(IF(R2191=0,0,IF(R2191=1,X2191*$W$1,IF(R2191=2,X2191*$W$1*buff的资质计算!$E$2,IF(R2191=3,X2191*$W$1*buff的资质计算!$E$3,0)))),2)</f>
        <v>28.2</v>
      </c>
      <c r="X2191" s="157">
        <f ca="1" t="shared" si="376"/>
        <v>94</v>
      </c>
      <c r="Y2191" s="157" t="e">
        <f ca="1" t="shared" si="383"/>
        <v>#VALUE!</v>
      </c>
      <c r="Z2191" s="304" t="e">
        <f ca="1" t="shared" si="377"/>
        <v>#VALUE!</v>
      </c>
      <c r="AA2191" s="304">
        <f ca="1">OFFSET(卡牌辅助配置表!$AD$1,MATCH(AB2191,卡牌辅助配置表!AB:AB,0)-1,0)</f>
        <v>57510</v>
      </c>
      <c r="AB2191" s="304">
        <f ca="1" t="shared" si="381"/>
        <v>5215</v>
      </c>
      <c r="AC2191" s="153">
        <v>12</v>
      </c>
      <c r="AF2191" s="153" t="str">
        <f ca="1" t="shared" si="375"/>
        <v>30200011|</v>
      </c>
      <c r="AJ2191" s="205" t="str">
        <f ca="1" t="shared" si="382"/>
        <v>400023|7050|;</v>
      </c>
      <c r="AK2191" s="205">
        <f ca="1">OFFSET([1]item_type!$A$1,MATCH(Q2191,[1]item_type!$G:$G,0)-1,0)</f>
        <v>303020</v>
      </c>
      <c r="AL2191" s="205"/>
      <c r="AM2191" s="205">
        <f ca="1">IF(B2191=B2192,OFFSET(卡牌辅助配置表!$AE$1,MATCH(AB2191,卡牌辅助配置表!AB:AB,0),0),0)</f>
        <v>7050</v>
      </c>
      <c r="AN2191" s="153">
        <f ca="1" t="shared" si="378"/>
        <v>3020016</v>
      </c>
      <c r="AP2191" s="153">
        <f ca="1">IF(AC2191=0,0,IF(AC2191=12,0,OFFSET(effect!$N$1,MATCH(K2191,effect!M:M,0)-1,0)))</f>
        <v>0</v>
      </c>
    </row>
    <row r="2192" spans="1:42">
      <c r="A2192" s="153">
        <f ca="1" t="shared" si="379"/>
        <v>3020016</v>
      </c>
      <c r="B2192" s="91" t="s">
        <v>919</v>
      </c>
      <c r="C2192" s="186">
        <v>3</v>
      </c>
      <c r="D2192" s="186">
        <v>3</v>
      </c>
      <c r="E2192" s="165" t="s">
        <v>1069</v>
      </c>
      <c r="F2192" s="179" t="s">
        <v>920</v>
      </c>
      <c r="G2192" s="186">
        <v>0</v>
      </c>
      <c r="H2192" s="186" t="e">
        <f ca="1">OFFSET(skill!$Q$1,MATCH(B2192,skill!B:B,0)-1,0)</f>
        <v>#VALUE!</v>
      </c>
      <c r="I2192" s="186"/>
      <c r="J2192" s="186">
        <f ca="1">OFFSET(card_type!$F$1,MATCH(Q2192,card_type!A:A,0)-1,0)</f>
        <v>5</v>
      </c>
      <c r="K2192" s="243">
        <f ca="1">OFFSET(card_type!$G$1,MATCH(Q2192,card_type!A:A,0)-1,0)</f>
        <v>2</v>
      </c>
      <c r="L2192" s="157">
        <v>3</v>
      </c>
      <c r="M2192" s="157">
        <v>3</v>
      </c>
      <c r="N2192" s="153">
        <f t="shared" si="374"/>
        <v>16</v>
      </c>
      <c r="O2192" s="157"/>
      <c r="P2192" s="157"/>
      <c r="Q2192" s="153">
        <f ca="1">OFFSET(card_type!$A$1,MATCH(card!B2192,card_type!B:B,0)-1,0)</f>
        <v>3020</v>
      </c>
      <c r="R2192" s="153">
        <v>1</v>
      </c>
      <c r="S2192" s="157">
        <f ca="1">ROUND(IF(R2192=0,0,IF(R2192=1,X2192*$S$1,IF(R2192=2,X2192*$S$1*buff的资质计算!$E$2,IF(R2192=3,X2192*$S$1*buff的资质计算!$E$3,0)))),0)*0</f>
        <v>0</v>
      </c>
      <c r="T2192" s="153">
        <v>3</v>
      </c>
      <c r="U2192" s="153">
        <f ca="1" t="shared" si="380"/>
        <v>52</v>
      </c>
      <c r="V2192" s="153">
        <f ca="1">ROUND((OFFSET(卡牌辅助配置表!$O$1,MATCH(U2192,卡牌辅助配置表!M:M,0)-1,0)+(N2192-1)*OFFSET(卡牌辅助配置表!$P$1,MATCH(U2192,卡牌辅助配置表!M:M,0)-1,0))*M2192,2)</f>
        <v>117.81</v>
      </c>
      <c r="W2192" s="157">
        <f ca="1">ROUND(IF(R2192=0,0,IF(R2192=1,X2192*$W$1,IF(R2192=2,X2192*$W$1*buff的资质计算!$E$2,IF(R2192=3,X2192*$W$1*buff的资质计算!$E$3,0)))),2)</f>
        <v>28.35</v>
      </c>
      <c r="X2192" s="157">
        <f ca="1" t="shared" si="376"/>
        <v>94.5</v>
      </c>
      <c r="Y2192" s="157" t="e">
        <f ca="1" t="shared" si="383"/>
        <v>#VALUE!</v>
      </c>
      <c r="Z2192" s="304" t="e">
        <f ca="1" t="shared" si="377"/>
        <v>#VALUE!</v>
      </c>
      <c r="AA2192" s="304">
        <f ca="1">OFFSET(卡牌辅助配置表!$AD$1,MATCH(AB2192,卡牌辅助配置表!AB:AB,0)-1,0)</f>
        <v>61344</v>
      </c>
      <c r="AB2192" s="304">
        <f ca="1" t="shared" si="381"/>
        <v>5216</v>
      </c>
      <c r="AC2192" s="153">
        <v>12</v>
      </c>
      <c r="AF2192" s="153" t="str">
        <f ca="1" t="shared" si="375"/>
        <v>30200011|</v>
      </c>
      <c r="AJ2192" s="205" t="str">
        <f ca="1" t="shared" si="382"/>
        <v>400023|7650|;</v>
      </c>
      <c r="AK2192" s="205">
        <f ca="1">OFFSET([1]item_type!$A$1,MATCH(Q2192,[1]item_type!$G:$G,0)-1,0)</f>
        <v>303020</v>
      </c>
      <c r="AL2192" s="205"/>
      <c r="AM2192" s="205">
        <f ca="1">IF(B2192=B2193,OFFSET(卡牌辅助配置表!$AE$1,MATCH(AB2192,卡牌辅助配置表!AB:AB,0),0),0)</f>
        <v>7650</v>
      </c>
      <c r="AN2192" s="153">
        <f ca="1" t="shared" si="378"/>
        <v>3020017</v>
      </c>
      <c r="AP2192" s="153">
        <f ca="1">IF(AC2192=0,0,IF(AC2192=12,0,OFFSET(effect!$N$1,MATCH(K2192,effect!M:M,0)-1,0)))</f>
        <v>0</v>
      </c>
    </row>
    <row r="2193" spans="1:42">
      <c r="A2193" s="153">
        <f ca="1" t="shared" si="379"/>
        <v>3020017</v>
      </c>
      <c r="B2193" s="91" t="s">
        <v>919</v>
      </c>
      <c r="C2193" s="186">
        <v>3</v>
      </c>
      <c r="D2193" s="186">
        <v>3</v>
      </c>
      <c r="E2193" s="165" t="s">
        <v>1069</v>
      </c>
      <c r="F2193" s="179" t="s">
        <v>920</v>
      </c>
      <c r="G2193" s="186">
        <v>0</v>
      </c>
      <c r="H2193" s="186" t="e">
        <f ca="1">OFFSET(skill!$Q$1,MATCH(B2193,skill!B:B,0)-1,0)</f>
        <v>#VALUE!</v>
      </c>
      <c r="I2193" s="186"/>
      <c r="J2193" s="186">
        <f ca="1">OFFSET(card_type!$F$1,MATCH(Q2193,card_type!A:A,0)-1,0)</f>
        <v>5</v>
      </c>
      <c r="K2193" s="243">
        <f ca="1">OFFSET(card_type!$G$1,MATCH(Q2193,card_type!A:A,0)-1,0)</f>
        <v>2</v>
      </c>
      <c r="L2193" s="157">
        <v>3</v>
      </c>
      <c r="M2193" s="157">
        <v>3</v>
      </c>
      <c r="N2193" s="153">
        <f t="shared" si="374"/>
        <v>17</v>
      </c>
      <c r="O2193" s="157"/>
      <c r="P2193" s="157"/>
      <c r="Q2193" s="153">
        <f ca="1">OFFSET(card_type!$A$1,MATCH(card!B2193,card_type!B:B,0)-1,0)</f>
        <v>3020</v>
      </c>
      <c r="R2193" s="153">
        <v>1</v>
      </c>
      <c r="S2193" s="157">
        <f ca="1">ROUND(IF(R2193=0,0,IF(R2193=1,X2193*$S$1,IF(R2193=2,X2193*$S$1*buff的资质计算!$E$2,IF(R2193=3,X2193*$S$1*buff的资质计算!$E$3,0)))),0)*0</f>
        <v>0</v>
      </c>
      <c r="T2193" s="153">
        <v>3</v>
      </c>
      <c r="U2193" s="153">
        <f ca="1" t="shared" si="380"/>
        <v>52</v>
      </c>
      <c r="V2193" s="153">
        <f ca="1">ROUND((OFFSET(卡牌辅助配置表!$O$1,MATCH(U2193,卡牌辅助配置表!M:M,0)-1,0)+(N2193-1)*OFFSET(卡牌辅助配置表!$P$1,MATCH(U2193,卡牌辅助配置表!M:M,0)-1,0))*M2193,2)</f>
        <v>117.81</v>
      </c>
      <c r="W2193" s="157">
        <f ca="1">ROUND(IF(R2193=0,0,IF(R2193=1,X2193*$W$1,IF(R2193=2,X2193*$W$1*buff的资质计算!$E$2,IF(R2193=3,X2193*$W$1*buff的资质计算!$E$3,0)))),2)</f>
        <v>28.5</v>
      </c>
      <c r="X2193" s="157">
        <f ca="1" t="shared" si="376"/>
        <v>95</v>
      </c>
      <c r="Y2193" s="157" t="e">
        <f ca="1" t="shared" si="383"/>
        <v>#VALUE!</v>
      </c>
      <c r="Z2193" s="304" t="e">
        <f ca="1" t="shared" si="377"/>
        <v>#VALUE!</v>
      </c>
      <c r="AA2193" s="304">
        <f ca="1">OFFSET(卡牌辅助配置表!$AD$1,MATCH(AB2193,卡牌辅助配置表!AB:AB,0)-1,0)</f>
        <v>65178</v>
      </c>
      <c r="AB2193" s="304">
        <f ca="1" t="shared" si="381"/>
        <v>5217</v>
      </c>
      <c r="AC2193" s="153">
        <v>12</v>
      </c>
      <c r="AF2193" s="153" t="str">
        <f ca="1" t="shared" si="375"/>
        <v>30200011|</v>
      </c>
      <c r="AJ2193" s="205" t="str">
        <f ca="1" t="shared" si="382"/>
        <v>400023|8250|;</v>
      </c>
      <c r="AK2193" s="205">
        <f ca="1">OFFSET([1]item_type!$A$1,MATCH(Q2193,[1]item_type!$G:$G,0)-1,0)</f>
        <v>303020</v>
      </c>
      <c r="AL2193" s="205"/>
      <c r="AM2193" s="205">
        <f ca="1">IF(B2193=B2194,OFFSET(卡牌辅助配置表!$AE$1,MATCH(AB2193,卡牌辅助配置表!AB:AB,0),0),0)</f>
        <v>8250</v>
      </c>
      <c r="AN2193" s="153">
        <f ca="1" t="shared" si="378"/>
        <v>3020018</v>
      </c>
      <c r="AP2193" s="153">
        <f ca="1">IF(AC2193=0,0,IF(AC2193=12,0,OFFSET(effect!$N$1,MATCH(K2193,effect!M:M,0)-1,0)))</f>
        <v>0</v>
      </c>
    </row>
    <row r="2194" spans="1:42">
      <c r="A2194" s="153">
        <f ca="1" t="shared" si="379"/>
        <v>3020018</v>
      </c>
      <c r="B2194" s="91" t="s">
        <v>919</v>
      </c>
      <c r="C2194" s="186">
        <v>3</v>
      </c>
      <c r="D2194" s="186">
        <v>3</v>
      </c>
      <c r="E2194" s="165" t="s">
        <v>1069</v>
      </c>
      <c r="F2194" s="179" t="s">
        <v>920</v>
      </c>
      <c r="G2194" s="186">
        <v>0</v>
      </c>
      <c r="H2194" s="186" t="e">
        <f ca="1">OFFSET(skill!$Q$1,MATCH(B2194,skill!B:B,0)-1,0)</f>
        <v>#VALUE!</v>
      </c>
      <c r="I2194" s="186"/>
      <c r="J2194" s="186">
        <f ca="1">OFFSET(card_type!$F$1,MATCH(Q2194,card_type!A:A,0)-1,0)</f>
        <v>5</v>
      </c>
      <c r="K2194" s="243">
        <f ca="1">OFFSET(card_type!$G$1,MATCH(Q2194,card_type!A:A,0)-1,0)</f>
        <v>2</v>
      </c>
      <c r="L2194" s="157">
        <v>3</v>
      </c>
      <c r="M2194" s="157">
        <v>3</v>
      </c>
      <c r="N2194" s="153">
        <f t="shared" si="374"/>
        <v>18</v>
      </c>
      <c r="O2194" s="157"/>
      <c r="P2194" s="157"/>
      <c r="Q2194" s="153">
        <f ca="1">OFFSET(card_type!$A$1,MATCH(card!B2194,card_type!B:B,0)-1,0)</f>
        <v>3020</v>
      </c>
      <c r="R2194" s="153">
        <v>1</v>
      </c>
      <c r="S2194" s="157">
        <f ca="1">ROUND(IF(R2194=0,0,IF(R2194=1,X2194*$S$1,IF(R2194=2,X2194*$S$1*buff的资质计算!$E$2,IF(R2194=3,X2194*$S$1*buff的资质计算!$E$3,0)))),0)*0</f>
        <v>0</v>
      </c>
      <c r="T2194" s="153">
        <v>3</v>
      </c>
      <c r="U2194" s="153">
        <f ca="1" t="shared" si="380"/>
        <v>52</v>
      </c>
      <c r="V2194" s="153">
        <f ca="1">ROUND((OFFSET(卡牌辅助配置表!$O$1,MATCH(U2194,卡牌辅助配置表!M:M,0)-1,0)+(N2194-1)*OFFSET(卡牌辅助配置表!$P$1,MATCH(U2194,卡牌辅助配置表!M:M,0)-1,0))*M2194,2)</f>
        <v>117.81</v>
      </c>
      <c r="W2194" s="157">
        <f ca="1">ROUND(IF(R2194=0,0,IF(R2194=1,X2194*$W$1,IF(R2194=2,X2194*$W$1*buff的资质计算!$E$2,IF(R2194=3,X2194*$W$1*buff的资质计算!$E$3,0)))),2)</f>
        <v>28.65</v>
      </c>
      <c r="X2194" s="157">
        <f ca="1" t="shared" si="376"/>
        <v>95.5</v>
      </c>
      <c r="Y2194" s="157" t="e">
        <f ca="1" t="shared" si="383"/>
        <v>#VALUE!</v>
      </c>
      <c r="Z2194" s="304" t="e">
        <f ca="1" t="shared" si="377"/>
        <v>#VALUE!</v>
      </c>
      <c r="AA2194" s="304">
        <f ca="1">OFFSET(卡牌辅助配置表!$AD$1,MATCH(AB2194,卡牌辅助配置表!AB:AB,0)-1,0)</f>
        <v>69012</v>
      </c>
      <c r="AB2194" s="304">
        <f ca="1" t="shared" si="381"/>
        <v>5218</v>
      </c>
      <c r="AC2194" s="153">
        <v>12</v>
      </c>
      <c r="AF2194" s="153" t="str">
        <f ca="1" t="shared" si="375"/>
        <v>30200011|</v>
      </c>
      <c r="AJ2194" s="205" t="str">
        <f ca="1" t="shared" si="382"/>
        <v>400023|8850|;</v>
      </c>
      <c r="AK2194" s="205">
        <f ca="1">OFFSET([1]item_type!$A$1,MATCH(Q2194,[1]item_type!$G:$G,0)-1,0)</f>
        <v>303020</v>
      </c>
      <c r="AL2194" s="205"/>
      <c r="AM2194" s="205">
        <f ca="1">IF(B2194=B2195,OFFSET(卡牌辅助配置表!$AE$1,MATCH(AB2194,卡牌辅助配置表!AB:AB,0),0),0)</f>
        <v>8850</v>
      </c>
      <c r="AN2194" s="153">
        <f ca="1" t="shared" si="378"/>
        <v>3020019</v>
      </c>
      <c r="AP2194" s="153">
        <f ca="1">IF(AC2194=0,0,IF(AC2194=12,0,OFFSET(effect!$N$1,MATCH(K2194,effect!M:M,0)-1,0)))</f>
        <v>0</v>
      </c>
    </row>
    <row r="2195" spans="1:42">
      <c r="A2195" s="153">
        <f ca="1" t="shared" si="379"/>
        <v>3020019</v>
      </c>
      <c r="B2195" s="91" t="s">
        <v>919</v>
      </c>
      <c r="C2195" s="186">
        <v>3</v>
      </c>
      <c r="D2195" s="186">
        <v>3</v>
      </c>
      <c r="E2195" s="165" t="s">
        <v>1069</v>
      </c>
      <c r="F2195" s="179" t="s">
        <v>920</v>
      </c>
      <c r="G2195" s="186">
        <v>0</v>
      </c>
      <c r="H2195" s="186" t="e">
        <f ca="1">OFFSET(skill!$Q$1,MATCH(B2195,skill!B:B,0)-1,0)</f>
        <v>#VALUE!</v>
      </c>
      <c r="I2195" s="186"/>
      <c r="J2195" s="186">
        <f ca="1">OFFSET(card_type!$F$1,MATCH(Q2195,card_type!A:A,0)-1,0)</f>
        <v>5</v>
      </c>
      <c r="K2195" s="243">
        <f ca="1">OFFSET(card_type!$G$1,MATCH(Q2195,card_type!A:A,0)-1,0)</f>
        <v>2</v>
      </c>
      <c r="L2195" s="157">
        <v>3</v>
      </c>
      <c r="M2195" s="157">
        <v>3</v>
      </c>
      <c r="N2195" s="153">
        <f t="shared" si="374"/>
        <v>19</v>
      </c>
      <c r="O2195" s="157"/>
      <c r="P2195" s="157"/>
      <c r="Q2195" s="153">
        <f ca="1">OFFSET(card_type!$A$1,MATCH(card!B2195,card_type!B:B,0)-1,0)</f>
        <v>3020</v>
      </c>
      <c r="R2195" s="153">
        <v>1</v>
      </c>
      <c r="S2195" s="157">
        <f ca="1">ROUND(IF(R2195=0,0,IF(R2195=1,X2195*$S$1,IF(R2195=2,X2195*$S$1*buff的资质计算!$E$2,IF(R2195=3,X2195*$S$1*buff的资质计算!$E$3,0)))),0)*0</f>
        <v>0</v>
      </c>
      <c r="T2195" s="153">
        <v>3</v>
      </c>
      <c r="U2195" s="153">
        <f ca="1" t="shared" si="380"/>
        <v>52</v>
      </c>
      <c r="V2195" s="153">
        <f ca="1">ROUND((OFFSET(卡牌辅助配置表!$O$1,MATCH(U2195,卡牌辅助配置表!M:M,0)-1,0)+(N2195-1)*OFFSET(卡牌辅助配置表!$P$1,MATCH(U2195,卡牌辅助配置表!M:M,0)-1,0))*M2195,2)</f>
        <v>117.81</v>
      </c>
      <c r="W2195" s="157">
        <f ca="1">ROUND(IF(R2195=0,0,IF(R2195=1,X2195*$W$1,IF(R2195=2,X2195*$W$1*buff的资质计算!$E$2,IF(R2195=3,X2195*$W$1*buff的资质计算!$E$3,0)))),2)</f>
        <v>28.8</v>
      </c>
      <c r="X2195" s="157">
        <f ca="1" t="shared" si="376"/>
        <v>96</v>
      </c>
      <c r="Y2195" s="157" t="e">
        <f ca="1" t="shared" si="383"/>
        <v>#VALUE!</v>
      </c>
      <c r="Z2195" s="304" t="e">
        <f ca="1" t="shared" si="377"/>
        <v>#VALUE!</v>
      </c>
      <c r="AA2195" s="304">
        <f ca="1">OFFSET(卡牌辅助配置表!$AD$1,MATCH(AB2195,卡牌辅助配置表!AB:AB,0)-1,0)</f>
        <v>72846</v>
      </c>
      <c r="AB2195" s="304">
        <f ca="1" t="shared" si="381"/>
        <v>5219</v>
      </c>
      <c r="AC2195" s="153">
        <v>12</v>
      </c>
      <c r="AF2195" s="153" t="str">
        <f ca="1" t="shared" si="375"/>
        <v>30200011|</v>
      </c>
      <c r="AJ2195" s="205" t="str">
        <f ca="1" t="shared" si="382"/>
        <v>303020|20|;400023|9450|;</v>
      </c>
      <c r="AK2195" s="205">
        <f ca="1">OFFSET([1]item_type!$A$1,MATCH(Q2195,[1]item_type!$G:$G,0)-1,0)</f>
        <v>303020</v>
      </c>
      <c r="AL2195" s="205">
        <v>20</v>
      </c>
      <c r="AM2195" s="205">
        <f ca="1">IF(B2195=B2196,OFFSET(卡牌辅助配置表!$AE$1,MATCH(AB2195,卡牌辅助配置表!AB:AB,0),0),0)</f>
        <v>9450</v>
      </c>
      <c r="AN2195" s="153">
        <f ca="1" t="shared" si="378"/>
        <v>3020020</v>
      </c>
      <c r="AP2195" s="153">
        <f ca="1">IF(AC2195=0,0,IF(AC2195=12,0,OFFSET(effect!$N$1,MATCH(K2195,effect!M:M,0)-1,0)))</f>
        <v>0</v>
      </c>
    </row>
    <row r="2196" spans="1:42">
      <c r="A2196" s="153">
        <f ca="1" t="shared" si="379"/>
        <v>3020020</v>
      </c>
      <c r="B2196" s="91" t="s">
        <v>919</v>
      </c>
      <c r="C2196" s="186">
        <v>3</v>
      </c>
      <c r="D2196" s="186">
        <v>3</v>
      </c>
      <c r="E2196" s="165" t="s">
        <v>1069</v>
      </c>
      <c r="F2196" s="179" t="s">
        <v>920</v>
      </c>
      <c r="G2196" s="186">
        <v>0</v>
      </c>
      <c r="H2196" s="186" t="e">
        <f ca="1">OFFSET(skill!$Q$1,MATCH(B2196,skill!B:B,0)-1,0)</f>
        <v>#VALUE!</v>
      </c>
      <c r="I2196" s="186"/>
      <c r="J2196" s="186">
        <f ca="1">OFFSET(card_type!$F$1,MATCH(Q2196,card_type!A:A,0)-1,0)</f>
        <v>5</v>
      </c>
      <c r="K2196" s="243">
        <f ca="1">OFFSET(card_type!$G$1,MATCH(Q2196,card_type!A:A,0)-1,0)</f>
        <v>2</v>
      </c>
      <c r="L2196" s="157">
        <v>3</v>
      </c>
      <c r="M2196" s="157">
        <v>3</v>
      </c>
      <c r="N2196" s="153">
        <f t="shared" si="374"/>
        <v>20</v>
      </c>
      <c r="O2196" s="157"/>
      <c r="P2196" s="157"/>
      <c r="Q2196" s="153">
        <f ca="1">OFFSET(card_type!$A$1,MATCH(card!B2196,card_type!B:B,0)-1,0)</f>
        <v>3020</v>
      </c>
      <c r="R2196" s="153">
        <v>1</v>
      </c>
      <c r="S2196" s="157">
        <f ca="1">ROUND(IF(R2196=0,0,IF(R2196=1,X2196*$S$1,IF(R2196=2,X2196*$S$1*buff的资质计算!$E$2,IF(R2196=3,X2196*$S$1*buff的资质计算!$E$3,0)))),0)*0</f>
        <v>0</v>
      </c>
      <c r="T2196" s="153">
        <v>3</v>
      </c>
      <c r="U2196" s="153">
        <f ca="1" t="shared" si="380"/>
        <v>52</v>
      </c>
      <c r="V2196" s="153">
        <f ca="1">ROUND((OFFSET(卡牌辅助配置表!$O$1,MATCH(U2196,卡牌辅助配置表!M:M,0)-1,0)+(N2196-1)*OFFSET(卡牌辅助配置表!$P$1,MATCH(U2196,卡牌辅助配置表!M:M,0)-1,0))*M2196,2)</f>
        <v>117.81</v>
      </c>
      <c r="W2196" s="157">
        <f ca="1">ROUND(IF(R2196=0,0,IF(R2196=1,X2196*$W$1,IF(R2196=2,X2196*$W$1*buff的资质计算!$E$2,IF(R2196=3,X2196*$W$1*buff的资质计算!$E$3,0)))),2)</f>
        <v>28.95</v>
      </c>
      <c r="X2196" s="157">
        <f ca="1" t="shared" si="376"/>
        <v>96.5</v>
      </c>
      <c r="Y2196" s="157" t="e">
        <f ca="1" t="shared" si="383"/>
        <v>#VALUE!</v>
      </c>
      <c r="Z2196" s="304" t="e">
        <f ca="1" t="shared" si="377"/>
        <v>#VALUE!</v>
      </c>
      <c r="AA2196" s="304">
        <f ca="1">OFFSET(卡牌辅助配置表!$AD$1,MATCH(AB2196,卡牌辅助配置表!AB:AB,0)-1,0)</f>
        <v>76680</v>
      </c>
      <c r="AB2196" s="304">
        <f ca="1" t="shared" si="381"/>
        <v>5220</v>
      </c>
      <c r="AC2196" s="153">
        <v>12</v>
      </c>
      <c r="AF2196" s="153" t="str">
        <f ca="1" t="shared" si="375"/>
        <v>30200011|</v>
      </c>
      <c r="AJ2196" s="205" t="str">
        <f ca="1" t="shared" si="382"/>
        <v>400023|10650|;</v>
      </c>
      <c r="AK2196" s="205">
        <f ca="1">OFFSET([1]item_type!$A$1,MATCH(Q2196,[1]item_type!$G:$G,0)-1,0)</f>
        <v>303020</v>
      </c>
      <c r="AL2196" s="205"/>
      <c r="AM2196" s="205">
        <f ca="1">IF(B2196=B2197,OFFSET(卡牌辅助配置表!$AE$1,MATCH(AB2196,卡牌辅助配置表!AB:AB,0),0),0)</f>
        <v>10650</v>
      </c>
      <c r="AN2196" s="153">
        <f ca="1" t="shared" si="378"/>
        <v>3020021</v>
      </c>
      <c r="AP2196" s="153">
        <f ca="1">IF(AC2196=0,0,IF(AC2196=12,0,OFFSET(effect!$N$1,MATCH(K2196,effect!M:M,0)-1,0)))</f>
        <v>0</v>
      </c>
    </row>
    <row r="2197" spans="1:42">
      <c r="A2197" s="153">
        <f ca="1" t="shared" si="379"/>
        <v>3020021</v>
      </c>
      <c r="B2197" s="91" t="s">
        <v>919</v>
      </c>
      <c r="C2197" s="186">
        <v>3</v>
      </c>
      <c r="D2197" s="186">
        <v>3</v>
      </c>
      <c r="E2197" s="165" t="s">
        <v>1069</v>
      </c>
      <c r="F2197" s="179" t="s">
        <v>920</v>
      </c>
      <c r="G2197" s="186">
        <v>0</v>
      </c>
      <c r="H2197" s="186" t="e">
        <f ca="1">OFFSET(skill!$Q$1,MATCH(B2197,skill!B:B,0)-1,0)</f>
        <v>#VALUE!</v>
      </c>
      <c r="I2197" s="186"/>
      <c r="J2197" s="186">
        <f ca="1">OFFSET(card_type!$F$1,MATCH(Q2197,card_type!A:A,0)-1,0)</f>
        <v>5</v>
      </c>
      <c r="K2197" s="243">
        <f ca="1">OFFSET(card_type!$G$1,MATCH(Q2197,card_type!A:A,0)-1,0)</f>
        <v>2</v>
      </c>
      <c r="L2197" s="157">
        <v>3</v>
      </c>
      <c r="M2197" s="157">
        <v>3</v>
      </c>
      <c r="N2197" s="153">
        <f t="shared" si="374"/>
        <v>21</v>
      </c>
      <c r="O2197" s="157"/>
      <c r="P2197" s="157"/>
      <c r="Q2197" s="153">
        <f ca="1">OFFSET(card_type!$A$1,MATCH(card!B2197,card_type!B:B,0)-1,0)</f>
        <v>3020</v>
      </c>
      <c r="R2197" s="153">
        <v>1</v>
      </c>
      <c r="S2197" s="157">
        <f ca="1">ROUND(IF(R2197=0,0,IF(R2197=1,X2197*$S$1,IF(R2197=2,X2197*$S$1*buff的资质计算!$E$2,IF(R2197=3,X2197*$S$1*buff的资质计算!$E$3,0)))),0)*0</f>
        <v>0</v>
      </c>
      <c r="T2197" s="153">
        <v>3</v>
      </c>
      <c r="U2197" s="153">
        <f ca="1" t="shared" si="380"/>
        <v>52</v>
      </c>
      <c r="V2197" s="153">
        <f ca="1">ROUND((OFFSET(卡牌辅助配置表!$O$1,MATCH(U2197,卡牌辅助配置表!M:M,0)-1,0)+(N2197-1)*OFFSET(卡牌辅助配置表!$P$1,MATCH(U2197,卡牌辅助配置表!M:M,0)-1,0))*M2197,2)</f>
        <v>117.81</v>
      </c>
      <c r="W2197" s="157">
        <f ca="1">ROUND(IF(R2197=0,0,IF(R2197=1,X2197*$W$1,IF(R2197=2,X2197*$W$1*buff的资质计算!$E$2,IF(R2197=3,X2197*$W$1*buff的资质计算!$E$3,0)))),2)</f>
        <v>29.1</v>
      </c>
      <c r="X2197" s="157">
        <f ca="1" t="shared" si="376"/>
        <v>97</v>
      </c>
      <c r="Y2197" s="157" t="e">
        <f ca="1" t="shared" si="383"/>
        <v>#VALUE!</v>
      </c>
      <c r="Z2197" s="304" t="e">
        <f ca="1" t="shared" si="377"/>
        <v>#VALUE!</v>
      </c>
      <c r="AA2197" s="304">
        <f ca="1">OFFSET(卡牌辅助配置表!$AD$1,MATCH(AB2197,卡牌辅助配置表!AB:AB,0)-1,0)</f>
        <v>80514</v>
      </c>
      <c r="AB2197" s="304">
        <f ca="1" t="shared" si="381"/>
        <v>5221</v>
      </c>
      <c r="AC2197" s="153">
        <v>12</v>
      </c>
      <c r="AF2197" s="153" t="str">
        <f ca="1" t="shared" si="375"/>
        <v>30200011|</v>
      </c>
      <c r="AJ2197" s="205" t="str">
        <f ca="1" t="shared" si="382"/>
        <v>400023|11850|;</v>
      </c>
      <c r="AK2197" s="205">
        <f ca="1">OFFSET([1]item_type!$A$1,MATCH(Q2197,[1]item_type!$G:$G,0)-1,0)</f>
        <v>303020</v>
      </c>
      <c r="AL2197" s="205"/>
      <c r="AM2197" s="205">
        <f ca="1">IF(B2197=B2198,OFFSET(卡牌辅助配置表!$AE$1,MATCH(AB2197,卡牌辅助配置表!AB:AB,0),0),0)</f>
        <v>11850</v>
      </c>
      <c r="AN2197" s="153">
        <f ca="1" t="shared" si="378"/>
        <v>3020022</v>
      </c>
      <c r="AP2197" s="153">
        <f ca="1">IF(AC2197=0,0,IF(AC2197=12,0,OFFSET(effect!$N$1,MATCH(K2197,effect!M:M,0)-1,0)))</f>
        <v>0</v>
      </c>
    </row>
    <row r="2198" spans="1:42">
      <c r="A2198" s="153">
        <f ca="1" t="shared" si="379"/>
        <v>3020022</v>
      </c>
      <c r="B2198" s="91" t="s">
        <v>919</v>
      </c>
      <c r="C2198" s="186">
        <v>3</v>
      </c>
      <c r="D2198" s="186">
        <v>3</v>
      </c>
      <c r="E2198" s="165" t="s">
        <v>1069</v>
      </c>
      <c r="F2198" s="179" t="s">
        <v>920</v>
      </c>
      <c r="G2198" s="186">
        <v>0</v>
      </c>
      <c r="H2198" s="186" t="e">
        <f ca="1">OFFSET(skill!$Q$1,MATCH(B2198,skill!B:B,0)-1,0)</f>
        <v>#VALUE!</v>
      </c>
      <c r="I2198" s="186"/>
      <c r="J2198" s="186">
        <f ca="1">OFFSET(card_type!$F$1,MATCH(Q2198,card_type!A:A,0)-1,0)</f>
        <v>5</v>
      </c>
      <c r="K2198" s="243">
        <f ca="1">OFFSET(card_type!$G$1,MATCH(Q2198,card_type!A:A,0)-1,0)</f>
        <v>2</v>
      </c>
      <c r="L2198" s="157">
        <v>3</v>
      </c>
      <c r="M2198" s="157">
        <v>3</v>
      </c>
      <c r="N2198" s="153">
        <f t="shared" si="374"/>
        <v>22</v>
      </c>
      <c r="O2198" s="157"/>
      <c r="P2198" s="157"/>
      <c r="Q2198" s="153">
        <f ca="1">OFFSET(card_type!$A$1,MATCH(card!B2198,card_type!B:B,0)-1,0)</f>
        <v>3020</v>
      </c>
      <c r="R2198" s="153">
        <v>1</v>
      </c>
      <c r="S2198" s="157">
        <f ca="1">ROUND(IF(R2198=0,0,IF(R2198=1,X2198*$S$1,IF(R2198=2,X2198*$S$1*buff的资质计算!$E$2,IF(R2198=3,X2198*$S$1*buff的资质计算!$E$3,0)))),0)*0</f>
        <v>0</v>
      </c>
      <c r="T2198" s="153">
        <v>3</v>
      </c>
      <c r="U2198" s="153">
        <f ca="1" t="shared" si="380"/>
        <v>52</v>
      </c>
      <c r="V2198" s="153">
        <f ca="1">ROUND((OFFSET(卡牌辅助配置表!$O$1,MATCH(U2198,卡牌辅助配置表!M:M,0)-1,0)+(N2198-1)*OFFSET(卡牌辅助配置表!$P$1,MATCH(U2198,卡牌辅助配置表!M:M,0)-1,0))*M2198,2)</f>
        <v>117.81</v>
      </c>
      <c r="W2198" s="157">
        <f ca="1">ROUND(IF(R2198=0,0,IF(R2198=1,X2198*$W$1,IF(R2198=2,X2198*$W$1*buff的资质计算!$E$2,IF(R2198=3,X2198*$W$1*buff的资质计算!$E$3,0)))),2)</f>
        <v>29.25</v>
      </c>
      <c r="X2198" s="157">
        <f ca="1" t="shared" si="376"/>
        <v>97.5</v>
      </c>
      <c r="Y2198" s="157" t="e">
        <f ca="1" t="shared" si="383"/>
        <v>#VALUE!</v>
      </c>
      <c r="Z2198" s="304" t="e">
        <f ca="1" t="shared" si="377"/>
        <v>#VALUE!</v>
      </c>
      <c r="AA2198" s="304">
        <f ca="1">OFFSET(卡牌辅助配置表!$AD$1,MATCH(AB2198,卡牌辅助配置表!AB:AB,0)-1,0)</f>
        <v>84348</v>
      </c>
      <c r="AB2198" s="304">
        <f ca="1" t="shared" si="381"/>
        <v>5222</v>
      </c>
      <c r="AC2198" s="153">
        <v>12</v>
      </c>
      <c r="AF2198" s="153" t="str">
        <f ca="1" t="shared" si="375"/>
        <v>30200011|</v>
      </c>
      <c r="AJ2198" s="205" t="str">
        <f ca="1" t="shared" si="382"/>
        <v>400023|13050|;</v>
      </c>
      <c r="AK2198" s="205">
        <f ca="1">OFFSET([1]item_type!$A$1,MATCH(Q2198,[1]item_type!$G:$G,0)-1,0)</f>
        <v>303020</v>
      </c>
      <c r="AL2198" s="205"/>
      <c r="AM2198" s="205">
        <f ca="1">IF(B2198=B2199,OFFSET(卡牌辅助配置表!$AE$1,MATCH(AB2198,卡牌辅助配置表!AB:AB,0),0),0)</f>
        <v>13050</v>
      </c>
      <c r="AN2198" s="153">
        <f ca="1" t="shared" si="378"/>
        <v>3020023</v>
      </c>
      <c r="AP2198" s="153">
        <f ca="1">IF(AC2198=0,0,IF(AC2198=12,0,OFFSET(effect!$N$1,MATCH(K2198,effect!M:M,0)-1,0)))</f>
        <v>0</v>
      </c>
    </row>
    <row r="2199" spans="1:42">
      <c r="A2199" s="153">
        <f ca="1" t="shared" si="379"/>
        <v>3020023</v>
      </c>
      <c r="B2199" s="91" t="s">
        <v>919</v>
      </c>
      <c r="C2199" s="186">
        <v>3</v>
      </c>
      <c r="D2199" s="186">
        <v>3</v>
      </c>
      <c r="E2199" s="165" t="s">
        <v>1069</v>
      </c>
      <c r="F2199" s="179" t="s">
        <v>920</v>
      </c>
      <c r="G2199" s="186">
        <v>0</v>
      </c>
      <c r="H2199" s="186" t="e">
        <f ca="1">OFFSET(skill!$Q$1,MATCH(B2199,skill!B:B,0)-1,0)</f>
        <v>#VALUE!</v>
      </c>
      <c r="I2199" s="186"/>
      <c r="J2199" s="186">
        <f ca="1">OFFSET(card_type!$F$1,MATCH(Q2199,card_type!A:A,0)-1,0)</f>
        <v>5</v>
      </c>
      <c r="K2199" s="243">
        <f ca="1">OFFSET(card_type!$G$1,MATCH(Q2199,card_type!A:A,0)-1,0)</f>
        <v>2</v>
      </c>
      <c r="L2199" s="157">
        <v>3</v>
      </c>
      <c r="M2199" s="157">
        <v>3</v>
      </c>
      <c r="N2199" s="153">
        <f t="shared" si="374"/>
        <v>23</v>
      </c>
      <c r="O2199" s="157"/>
      <c r="P2199" s="157"/>
      <c r="Q2199" s="153">
        <f ca="1">OFFSET(card_type!$A$1,MATCH(card!B2199,card_type!B:B,0)-1,0)</f>
        <v>3020</v>
      </c>
      <c r="R2199" s="153">
        <v>1</v>
      </c>
      <c r="S2199" s="157">
        <f ca="1">ROUND(IF(R2199=0,0,IF(R2199=1,X2199*$S$1,IF(R2199=2,X2199*$S$1*buff的资质计算!$E$2,IF(R2199=3,X2199*$S$1*buff的资质计算!$E$3,0)))),0)*0</f>
        <v>0</v>
      </c>
      <c r="T2199" s="153">
        <v>3</v>
      </c>
      <c r="U2199" s="153">
        <f ca="1" t="shared" si="380"/>
        <v>52</v>
      </c>
      <c r="V2199" s="153">
        <f ca="1">ROUND((OFFSET(卡牌辅助配置表!$O$1,MATCH(U2199,卡牌辅助配置表!M:M,0)-1,0)+(N2199-1)*OFFSET(卡牌辅助配置表!$P$1,MATCH(U2199,卡牌辅助配置表!M:M,0)-1,0))*M2199,2)</f>
        <v>117.81</v>
      </c>
      <c r="W2199" s="157">
        <f ca="1">ROUND(IF(R2199=0,0,IF(R2199=1,X2199*$W$1,IF(R2199=2,X2199*$W$1*buff的资质计算!$E$2,IF(R2199=3,X2199*$W$1*buff的资质计算!$E$3,0)))),2)</f>
        <v>29.4</v>
      </c>
      <c r="X2199" s="157">
        <f ca="1" t="shared" si="376"/>
        <v>98</v>
      </c>
      <c r="Y2199" s="157" t="e">
        <f ca="1" t="shared" si="383"/>
        <v>#VALUE!</v>
      </c>
      <c r="Z2199" s="304" t="e">
        <f ca="1" t="shared" si="377"/>
        <v>#VALUE!</v>
      </c>
      <c r="AA2199" s="304">
        <f ca="1">OFFSET(卡牌辅助配置表!$AD$1,MATCH(AB2199,卡牌辅助配置表!AB:AB,0)-1,0)</f>
        <v>88182</v>
      </c>
      <c r="AB2199" s="304">
        <f ca="1" t="shared" si="381"/>
        <v>5223</v>
      </c>
      <c r="AC2199" s="153">
        <v>12</v>
      </c>
      <c r="AF2199" s="153" t="str">
        <f ca="1" t="shared" si="375"/>
        <v>30200011|</v>
      </c>
      <c r="AJ2199" s="205" t="str">
        <f ca="1" t="shared" si="382"/>
        <v>400023|14250|;</v>
      </c>
      <c r="AK2199" s="205">
        <f ca="1">OFFSET([1]item_type!$A$1,MATCH(Q2199,[1]item_type!$G:$G,0)-1,0)</f>
        <v>303020</v>
      </c>
      <c r="AL2199" s="205"/>
      <c r="AM2199" s="205">
        <f ca="1">IF(B2199=B2200,OFFSET(卡牌辅助配置表!$AE$1,MATCH(AB2199,卡牌辅助配置表!AB:AB,0),0),0)</f>
        <v>14250</v>
      </c>
      <c r="AN2199" s="153">
        <f ca="1" t="shared" si="378"/>
        <v>3020024</v>
      </c>
      <c r="AP2199" s="153">
        <f ca="1">IF(AC2199=0,0,IF(AC2199=12,0,OFFSET(effect!$N$1,MATCH(K2199,effect!M:M,0)-1,0)))</f>
        <v>0</v>
      </c>
    </row>
    <row r="2200" spans="1:42">
      <c r="A2200" s="153">
        <f ca="1" t="shared" si="379"/>
        <v>3020024</v>
      </c>
      <c r="B2200" s="91" t="s">
        <v>919</v>
      </c>
      <c r="C2200" s="186">
        <v>3</v>
      </c>
      <c r="D2200" s="186">
        <v>3</v>
      </c>
      <c r="E2200" s="165" t="s">
        <v>1069</v>
      </c>
      <c r="F2200" s="179" t="s">
        <v>920</v>
      </c>
      <c r="G2200" s="186">
        <v>0</v>
      </c>
      <c r="H2200" s="186" t="e">
        <f ca="1">OFFSET(skill!$Q$1,MATCH(B2200,skill!B:B,0)-1,0)</f>
        <v>#VALUE!</v>
      </c>
      <c r="I2200" s="186"/>
      <c r="J2200" s="186">
        <f ca="1">OFFSET(card_type!$F$1,MATCH(Q2200,card_type!A:A,0)-1,0)</f>
        <v>5</v>
      </c>
      <c r="K2200" s="243">
        <f ca="1">OFFSET(card_type!$G$1,MATCH(Q2200,card_type!A:A,0)-1,0)</f>
        <v>2</v>
      </c>
      <c r="L2200" s="157">
        <v>3</v>
      </c>
      <c r="M2200" s="157">
        <v>3</v>
      </c>
      <c r="N2200" s="153">
        <f t="shared" si="374"/>
        <v>24</v>
      </c>
      <c r="O2200" s="157"/>
      <c r="P2200" s="157"/>
      <c r="Q2200" s="153">
        <f ca="1">OFFSET(card_type!$A$1,MATCH(card!B2200,card_type!B:B,0)-1,0)</f>
        <v>3020</v>
      </c>
      <c r="R2200" s="153">
        <v>1</v>
      </c>
      <c r="S2200" s="157">
        <f ca="1">ROUND(IF(R2200=0,0,IF(R2200=1,X2200*$S$1,IF(R2200=2,X2200*$S$1*buff的资质计算!$E$2,IF(R2200=3,X2200*$S$1*buff的资质计算!$E$3,0)))),0)*0</f>
        <v>0</v>
      </c>
      <c r="T2200" s="153">
        <v>3</v>
      </c>
      <c r="U2200" s="153">
        <f ca="1" t="shared" si="380"/>
        <v>52</v>
      </c>
      <c r="V2200" s="153">
        <f ca="1">ROUND((OFFSET(卡牌辅助配置表!$O$1,MATCH(U2200,卡牌辅助配置表!M:M,0)-1,0)+(N2200-1)*OFFSET(卡牌辅助配置表!$P$1,MATCH(U2200,卡牌辅助配置表!M:M,0)-1,0))*M2200,2)</f>
        <v>117.81</v>
      </c>
      <c r="W2200" s="157">
        <f ca="1">ROUND(IF(R2200=0,0,IF(R2200=1,X2200*$W$1,IF(R2200=2,X2200*$W$1*buff的资质计算!$E$2,IF(R2200=3,X2200*$W$1*buff的资质计算!$E$3,0)))),2)</f>
        <v>29.55</v>
      </c>
      <c r="X2200" s="157">
        <f ca="1" t="shared" si="376"/>
        <v>98.5</v>
      </c>
      <c r="Y2200" s="157" t="e">
        <f ca="1" t="shared" si="383"/>
        <v>#VALUE!</v>
      </c>
      <c r="Z2200" s="304" t="e">
        <f ca="1" t="shared" si="377"/>
        <v>#VALUE!</v>
      </c>
      <c r="AA2200" s="304">
        <f ca="1">OFFSET(卡牌辅助配置表!$AD$1,MATCH(AB2200,卡牌辅助配置表!AB:AB,0)-1,0)</f>
        <v>92016</v>
      </c>
      <c r="AB2200" s="304">
        <f ca="1" t="shared" si="381"/>
        <v>5224</v>
      </c>
      <c r="AC2200" s="153">
        <v>12</v>
      </c>
      <c r="AF2200" s="153" t="str">
        <f ca="1" t="shared" si="375"/>
        <v>30200011|</v>
      </c>
      <c r="AJ2200" s="205" t="str">
        <f ca="1" t="shared" si="382"/>
        <v>400023|15450|;</v>
      </c>
      <c r="AK2200" s="205">
        <f ca="1">OFFSET([1]item_type!$A$1,MATCH(Q2200,[1]item_type!$G:$G,0)-1,0)</f>
        <v>303020</v>
      </c>
      <c r="AL2200" s="205"/>
      <c r="AM2200" s="205">
        <f ca="1">IF(B2200=B2201,OFFSET(卡牌辅助配置表!$AE$1,MATCH(AB2200,卡牌辅助配置表!AB:AB,0),0),0)</f>
        <v>15450</v>
      </c>
      <c r="AN2200" s="153">
        <f ca="1" t="shared" si="378"/>
        <v>3020025</v>
      </c>
      <c r="AP2200" s="153">
        <f ca="1">IF(AC2200=0,0,IF(AC2200=12,0,OFFSET(effect!$N$1,MATCH(K2200,effect!M:M,0)-1,0)))</f>
        <v>0</v>
      </c>
    </row>
    <row r="2201" spans="1:42">
      <c r="A2201" s="153">
        <f ca="1" t="shared" si="379"/>
        <v>3020025</v>
      </c>
      <c r="B2201" s="91" t="s">
        <v>919</v>
      </c>
      <c r="C2201" s="186">
        <v>3</v>
      </c>
      <c r="D2201" s="186">
        <v>3</v>
      </c>
      <c r="E2201" s="165" t="s">
        <v>1069</v>
      </c>
      <c r="F2201" s="179" t="s">
        <v>920</v>
      </c>
      <c r="G2201" s="186">
        <v>0</v>
      </c>
      <c r="H2201" s="186" t="e">
        <f ca="1">OFFSET(skill!$Q$1,MATCH(B2201,skill!B:B,0)-1,0)</f>
        <v>#VALUE!</v>
      </c>
      <c r="I2201" s="186"/>
      <c r="J2201" s="186">
        <f ca="1">OFFSET(card_type!$F$1,MATCH(Q2201,card_type!A:A,0)-1,0)</f>
        <v>5</v>
      </c>
      <c r="K2201" s="243">
        <f ca="1">OFFSET(card_type!$G$1,MATCH(Q2201,card_type!A:A,0)-1,0)</f>
        <v>2</v>
      </c>
      <c r="L2201" s="157">
        <v>3</v>
      </c>
      <c r="M2201" s="157">
        <v>3</v>
      </c>
      <c r="N2201" s="153">
        <f t="shared" si="374"/>
        <v>25</v>
      </c>
      <c r="O2201" s="157"/>
      <c r="P2201" s="157"/>
      <c r="Q2201" s="153">
        <f ca="1">OFFSET(card_type!$A$1,MATCH(card!B2201,card_type!B:B,0)-1,0)</f>
        <v>3020</v>
      </c>
      <c r="R2201" s="153">
        <v>1</v>
      </c>
      <c r="S2201" s="157">
        <f ca="1">ROUND(IF(R2201=0,0,IF(R2201=1,X2201*$S$1,IF(R2201=2,X2201*$S$1*buff的资质计算!$E$2,IF(R2201=3,X2201*$S$1*buff的资质计算!$E$3,0)))),0)*0</f>
        <v>0</v>
      </c>
      <c r="T2201" s="153">
        <v>3</v>
      </c>
      <c r="U2201" s="153">
        <f ca="1" t="shared" si="380"/>
        <v>52</v>
      </c>
      <c r="V2201" s="153">
        <f ca="1">ROUND((OFFSET(卡牌辅助配置表!$O$1,MATCH(U2201,卡牌辅助配置表!M:M,0)-1,0)+(N2201-1)*OFFSET(卡牌辅助配置表!$P$1,MATCH(U2201,卡牌辅助配置表!M:M,0)-1,0))*M2201,2)</f>
        <v>117.81</v>
      </c>
      <c r="W2201" s="157">
        <f ca="1">ROUND(IF(R2201=0,0,IF(R2201=1,X2201*$W$1,IF(R2201=2,X2201*$W$1*buff的资质计算!$E$2,IF(R2201=3,X2201*$W$1*buff的资质计算!$E$3,0)))),2)</f>
        <v>29.7</v>
      </c>
      <c r="X2201" s="157">
        <f ca="1" t="shared" si="376"/>
        <v>99</v>
      </c>
      <c r="Y2201" s="157" t="e">
        <f ca="1" t="shared" si="383"/>
        <v>#VALUE!</v>
      </c>
      <c r="Z2201" s="304" t="e">
        <f ca="1" t="shared" si="377"/>
        <v>#VALUE!</v>
      </c>
      <c r="AA2201" s="304">
        <f ca="1">OFFSET(卡牌辅助配置表!$AD$1,MATCH(AB2201,卡牌辅助配置表!AB:AB,0)-1,0)</f>
        <v>95850</v>
      </c>
      <c r="AB2201" s="304">
        <f ca="1" t="shared" si="381"/>
        <v>5225</v>
      </c>
      <c r="AC2201" s="153">
        <v>12</v>
      </c>
      <c r="AF2201" s="153" t="str">
        <f ca="1" t="shared" si="375"/>
        <v>30200011|</v>
      </c>
      <c r="AJ2201" s="205" t="str">
        <f ca="1" t="shared" si="382"/>
        <v>400023|16650|;</v>
      </c>
      <c r="AK2201" s="205">
        <f ca="1">OFFSET([1]item_type!$A$1,MATCH(Q2201,[1]item_type!$G:$G,0)-1,0)</f>
        <v>303020</v>
      </c>
      <c r="AL2201" s="205"/>
      <c r="AM2201" s="205">
        <f ca="1">IF(B2201=B2202,OFFSET(卡牌辅助配置表!$AE$1,MATCH(AB2201,卡牌辅助配置表!AB:AB,0),0),0)</f>
        <v>16650</v>
      </c>
      <c r="AN2201" s="153">
        <f ca="1" t="shared" si="378"/>
        <v>3020026</v>
      </c>
      <c r="AP2201" s="153">
        <f ca="1">IF(AC2201=0,0,IF(AC2201=12,0,OFFSET(effect!$N$1,MATCH(K2201,effect!M:M,0)-1,0)))</f>
        <v>0</v>
      </c>
    </row>
    <row r="2202" spans="1:42">
      <c r="A2202" s="153">
        <f ca="1" t="shared" si="379"/>
        <v>3020026</v>
      </c>
      <c r="B2202" s="91" t="s">
        <v>919</v>
      </c>
      <c r="C2202" s="186">
        <v>3</v>
      </c>
      <c r="D2202" s="186">
        <v>3</v>
      </c>
      <c r="E2202" s="165" t="s">
        <v>1069</v>
      </c>
      <c r="F2202" s="179" t="s">
        <v>920</v>
      </c>
      <c r="G2202" s="186">
        <v>0</v>
      </c>
      <c r="H2202" s="186" t="e">
        <f ca="1">OFFSET(skill!$Q$1,MATCH(B2202,skill!B:B,0)-1,0)</f>
        <v>#VALUE!</v>
      </c>
      <c r="I2202" s="186"/>
      <c r="J2202" s="186">
        <f ca="1">OFFSET(card_type!$F$1,MATCH(Q2202,card_type!A:A,0)-1,0)</f>
        <v>5</v>
      </c>
      <c r="K2202" s="243">
        <f ca="1">OFFSET(card_type!$G$1,MATCH(Q2202,card_type!A:A,0)-1,0)</f>
        <v>2</v>
      </c>
      <c r="L2202" s="157">
        <v>3</v>
      </c>
      <c r="M2202" s="157">
        <v>3</v>
      </c>
      <c r="N2202" s="153">
        <f t="shared" si="374"/>
        <v>26</v>
      </c>
      <c r="O2202" s="157"/>
      <c r="P2202" s="157"/>
      <c r="Q2202" s="153">
        <f ca="1">OFFSET(card_type!$A$1,MATCH(card!B2202,card_type!B:B,0)-1,0)</f>
        <v>3020</v>
      </c>
      <c r="R2202" s="153">
        <v>1</v>
      </c>
      <c r="S2202" s="157">
        <f ca="1">ROUND(IF(R2202=0,0,IF(R2202=1,X2202*$S$1,IF(R2202=2,X2202*$S$1*buff的资质计算!$E$2,IF(R2202=3,X2202*$S$1*buff的资质计算!$E$3,0)))),0)*0</f>
        <v>0</v>
      </c>
      <c r="T2202" s="153">
        <v>3</v>
      </c>
      <c r="U2202" s="153">
        <f ca="1" t="shared" si="380"/>
        <v>52</v>
      </c>
      <c r="V2202" s="153">
        <f ca="1">ROUND((OFFSET(卡牌辅助配置表!$O$1,MATCH(U2202,卡牌辅助配置表!M:M,0)-1,0)+(N2202-1)*OFFSET(卡牌辅助配置表!$P$1,MATCH(U2202,卡牌辅助配置表!M:M,0)-1,0))*M2202,2)</f>
        <v>117.81</v>
      </c>
      <c r="W2202" s="157">
        <f ca="1">ROUND(IF(R2202=0,0,IF(R2202=1,X2202*$W$1,IF(R2202=2,X2202*$W$1*buff的资质计算!$E$2,IF(R2202=3,X2202*$W$1*buff的资质计算!$E$3,0)))),2)</f>
        <v>29.85</v>
      </c>
      <c r="X2202" s="157">
        <f ca="1" t="shared" si="376"/>
        <v>99.5</v>
      </c>
      <c r="Y2202" s="157" t="e">
        <f ca="1" t="shared" si="383"/>
        <v>#VALUE!</v>
      </c>
      <c r="Z2202" s="304" t="e">
        <f ca="1" t="shared" si="377"/>
        <v>#VALUE!</v>
      </c>
      <c r="AA2202" s="304">
        <f ca="1">OFFSET(卡牌辅助配置表!$AD$1,MATCH(AB2202,卡牌辅助配置表!AB:AB,0)-1,0)</f>
        <v>99684</v>
      </c>
      <c r="AB2202" s="304">
        <f ca="1" t="shared" si="381"/>
        <v>5226</v>
      </c>
      <c r="AC2202" s="153">
        <v>12</v>
      </c>
      <c r="AF2202" s="153" t="str">
        <f ca="1" t="shared" si="375"/>
        <v>30200011|</v>
      </c>
      <c r="AJ2202" s="205" t="str">
        <f ca="1" t="shared" si="382"/>
        <v>400023|17850|;</v>
      </c>
      <c r="AK2202" s="205">
        <f ca="1">OFFSET([1]item_type!$A$1,MATCH(Q2202,[1]item_type!$G:$G,0)-1,0)</f>
        <v>303020</v>
      </c>
      <c r="AL2202" s="205"/>
      <c r="AM2202" s="205">
        <f ca="1">IF(B2202=B2203,OFFSET(卡牌辅助配置表!$AE$1,MATCH(AB2202,卡牌辅助配置表!AB:AB,0),0),0)</f>
        <v>17850</v>
      </c>
      <c r="AN2202" s="153">
        <f ca="1" t="shared" si="378"/>
        <v>3020027</v>
      </c>
      <c r="AP2202" s="153">
        <f ca="1">IF(AC2202=0,0,IF(AC2202=12,0,OFFSET(effect!$N$1,MATCH(K2202,effect!M:M,0)-1,0)))</f>
        <v>0</v>
      </c>
    </row>
    <row r="2203" spans="1:42">
      <c r="A2203" s="153">
        <f ca="1" t="shared" si="379"/>
        <v>3020027</v>
      </c>
      <c r="B2203" s="91" t="s">
        <v>919</v>
      </c>
      <c r="C2203" s="186">
        <v>3</v>
      </c>
      <c r="D2203" s="186">
        <v>3</v>
      </c>
      <c r="E2203" s="165" t="s">
        <v>1069</v>
      </c>
      <c r="F2203" s="179" t="s">
        <v>920</v>
      </c>
      <c r="G2203" s="186">
        <v>0</v>
      </c>
      <c r="H2203" s="186" t="e">
        <f ca="1">OFFSET(skill!$Q$1,MATCH(B2203,skill!B:B,0)-1,0)</f>
        <v>#VALUE!</v>
      </c>
      <c r="I2203" s="186"/>
      <c r="J2203" s="186">
        <f ca="1">OFFSET(card_type!$F$1,MATCH(Q2203,card_type!A:A,0)-1,0)</f>
        <v>5</v>
      </c>
      <c r="K2203" s="243">
        <f ca="1">OFFSET(card_type!$G$1,MATCH(Q2203,card_type!A:A,0)-1,0)</f>
        <v>2</v>
      </c>
      <c r="L2203" s="157">
        <v>3</v>
      </c>
      <c r="M2203" s="157">
        <v>3</v>
      </c>
      <c r="N2203" s="153">
        <f t="shared" si="374"/>
        <v>27</v>
      </c>
      <c r="O2203" s="157"/>
      <c r="P2203" s="157"/>
      <c r="Q2203" s="153">
        <f ca="1">OFFSET(card_type!$A$1,MATCH(card!B2203,card_type!B:B,0)-1,0)</f>
        <v>3020</v>
      </c>
      <c r="R2203" s="153">
        <v>1</v>
      </c>
      <c r="S2203" s="157">
        <f ca="1">ROUND(IF(R2203=0,0,IF(R2203=1,X2203*$S$1,IF(R2203=2,X2203*$S$1*buff的资质计算!$E$2,IF(R2203=3,X2203*$S$1*buff的资质计算!$E$3,0)))),0)*0</f>
        <v>0</v>
      </c>
      <c r="T2203" s="153">
        <v>3</v>
      </c>
      <c r="U2203" s="153">
        <f ca="1" t="shared" si="380"/>
        <v>52</v>
      </c>
      <c r="V2203" s="153">
        <f ca="1">ROUND((OFFSET(卡牌辅助配置表!$O$1,MATCH(U2203,卡牌辅助配置表!M:M,0)-1,0)+(N2203-1)*OFFSET(卡牌辅助配置表!$P$1,MATCH(U2203,卡牌辅助配置表!M:M,0)-1,0))*M2203,2)</f>
        <v>117.81</v>
      </c>
      <c r="W2203" s="157">
        <f ca="1">ROUND(IF(R2203=0,0,IF(R2203=1,X2203*$W$1,IF(R2203=2,X2203*$W$1*buff的资质计算!$E$2,IF(R2203=3,X2203*$W$1*buff的资质计算!$E$3,0)))),2)</f>
        <v>30</v>
      </c>
      <c r="X2203" s="157">
        <f ca="1" t="shared" si="376"/>
        <v>100</v>
      </c>
      <c r="Y2203" s="157" t="e">
        <f ca="1" t="shared" si="383"/>
        <v>#VALUE!</v>
      </c>
      <c r="Z2203" s="304" t="e">
        <f ca="1" t="shared" si="377"/>
        <v>#VALUE!</v>
      </c>
      <c r="AA2203" s="304">
        <f ca="1">OFFSET(卡牌辅助配置表!$AD$1,MATCH(AB2203,卡牌辅助配置表!AB:AB,0)-1,0)</f>
        <v>103518</v>
      </c>
      <c r="AB2203" s="304">
        <f ca="1" t="shared" si="381"/>
        <v>5227</v>
      </c>
      <c r="AC2203" s="153">
        <v>12</v>
      </c>
      <c r="AF2203" s="153" t="str">
        <f ca="1" t="shared" si="375"/>
        <v>30200011|</v>
      </c>
      <c r="AJ2203" s="205" t="str">
        <f ca="1" t="shared" si="382"/>
        <v>400023|19050|;</v>
      </c>
      <c r="AK2203" s="205">
        <f ca="1">OFFSET([1]item_type!$A$1,MATCH(Q2203,[1]item_type!$G:$G,0)-1,0)</f>
        <v>303020</v>
      </c>
      <c r="AL2203" s="205"/>
      <c r="AM2203" s="205">
        <f ca="1">IF(B2203=B2204,OFFSET(卡牌辅助配置表!$AE$1,MATCH(AB2203,卡牌辅助配置表!AB:AB,0),0),0)</f>
        <v>19050</v>
      </c>
      <c r="AN2203" s="153">
        <f ca="1" t="shared" si="378"/>
        <v>3020028</v>
      </c>
      <c r="AP2203" s="153">
        <f ca="1">IF(AC2203=0,0,IF(AC2203=12,0,OFFSET(effect!$N$1,MATCH(K2203,effect!M:M,0)-1,0)))</f>
        <v>0</v>
      </c>
    </row>
    <row r="2204" spans="1:42">
      <c r="A2204" s="153">
        <f ca="1" t="shared" si="379"/>
        <v>3020028</v>
      </c>
      <c r="B2204" s="91" t="s">
        <v>919</v>
      </c>
      <c r="C2204" s="186">
        <v>3</v>
      </c>
      <c r="D2204" s="186">
        <v>3</v>
      </c>
      <c r="E2204" s="165" t="s">
        <v>1069</v>
      </c>
      <c r="F2204" s="179" t="s">
        <v>920</v>
      </c>
      <c r="G2204" s="186">
        <v>0</v>
      </c>
      <c r="H2204" s="186" t="e">
        <f ca="1">OFFSET(skill!$Q$1,MATCH(B2204,skill!B:B,0)-1,0)</f>
        <v>#VALUE!</v>
      </c>
      <c r="I2204" s="186"/>
      <c r="J2204" s="186">
        <f ca="1">OFFSET(card_type!$F$1,MATCH(Q2204,card_type!A:A,0)-1,0)</f>
        <v>5</v>
      </c>
      <c r="K2204" s="243">
        <f ca="1">OFFSET(card_type!$G$1,MATCH(Q2204,card_type!A:A,0)-1,0)</f>
        <v>2</v>
      </c>
      <c r="L2204" s="157">
        <v>3</v>
      </c>
      <c r="M2204" s="157">
        <v>3</v>
      </c>
      <c r="N2204" s="153">
        <f t="shared" si="374"/>
        <v>28</v>
      </c>
      <c r="O2204" s="157"/>
      <c r="P2204" s="157"/>
      <c r="Q2204" s="153">
        <f ca="1">OFFSET(card_type!$A$1,MATCH(card!B2204,card_type!B:B,0)-1,0)</f>
        <v>3020</v>
      </c>
      <c r="R2204" s="153">
        <v>1</v>
      </c>
      <c r="S2204" s="157">
        <f ca="1">ROUND(IF(R2204=0,0,IF(R2204=1,X2204*$S$1,IF(R2204=2,X2204*$S$1*buff的资质计算!$E$2,IF(R2204=3,X2204*$S$1*buff的资质计算!$E$3,0)))),0)*0</f>
        <v>0</v>
      </c>
      <c r="T2204" s="153">
        <v>3</v>
      </c>
      <c r="U2204" s="153">
        <f ca="1" t="shared" si="380"/>
        <v>52</v>
      </c>
      <c r="V2204" s="153">
        <f ca="1">ROUND((OFFSET(卡牌辅助配置表!$O$1,MATCH(U2204,卡牌辅助配置表!M:M,0)-1,0)+(N2204-1)*OFFSET(卡牌辅助配置表!$P$1,MATCH(U2204,卡牌辅助配置表!M:M,0)-1,0))*M2204,2)</f>
        <v>117.81</v>
      </c>
      <c r="W2204" s="157">
        <f ca="1">ROUND(IF(R2204=0,0,IF(R2204=1,X2204*$W$1,IF(R2204=2,X2204*$W$1*buff的资质计算!$E$2,IF(R2204=3,X2204*$W$1*buff的资质计算!$E$3,0)))),2)</f>
        <v>30.15</v>
      </c>
      <c r="X2204" s="157">
        <f ca="1" t="shared" si="376"/>
        <v>100.5</v>
      </c>
      <c r="Y2204" s="157" t="e">
        <f ca="1" t="shared" si="383"/>
        <v>#VALUE!</v>
      </c>
      <c r="Z2204" s="304" t="e">
        <f ca="1" t="shared" si="377"/>
        <v>#VALUE!</v>
      </c>
      <c r="AA2204" s="304">
        <f ca="1">OFFSET(卡牌辅助配置表!$AD$1,MATCH(AB2204,卡牌辅助配置表!AB:AB,0)-1,0)</f>
        <v>107352</v>
      </c>
      <c r="AB2204" s="304">
        <f ca="1" t="shared" si="381"/>
        <v>5228</v>
      </c>
      <c r="AC2204" s="153">
        <v>12</v>
      </c>
      <c r="AF2204" s="153" t="str">
        <f ca="1" t="shared" si="375"/>
        <v>30200011|</v>
      </c>
      <c r="AJ2204" s="205" t="str">
        <f ca="1" t="shared" si="382"/>
        <v>400023|20250|;</v>
      </c>
      <c r="AK2204" s="205">
        <f ca="1">OFFSET([1]item_type!$A$1,MATCH(Q2204,[1]item_type!$G:$G,0)-1,0)</f>
        <v>303020</v>
      </c>
      <c r="AL2204" s="205"/>
      <c r="AM2204" s="205">
        <f ca="1">IF(B2204=B2205,OFFSET(卡牌辅助配置表!$AE$1,MATCH(AB2204,卡牌辅助配置表!AB:AB,0),0),0)</f>
        <v>20250</v>
      </c>
      <c r="AN2204" s="153">
        <f ca="1" t="shared" si="378"/>
        <v>3020029</v>
      </c>
      <c r="AP2204" s="153">
        <f ca="1">IF(AC2204=0,0,IF(AC2204=12,0,OFFSET(effect!$N$1,MATCH(K2204,effect!M:M,0)-1,0)))</f>
        <v>0</v>
      </c>
    </row>
    <row r="2205" spans="1:42">
      <c r="A2205" s="153">
        <f ca="1" t="shared" si="379"/>
        <v>3020029</v>
      </c>
      <c r="B2205" s="91" t="s">
        <v>919</v>
      </c>
      <c r="C2205" s="186">
        <v>3</v>
      </c>
      <c r="D2205" s="186">
        <v>3</v>
      </c>
      <c r="E2205" s="165" t="s">
        <v>1069</v>
      </c>
      <c r="F2205" s="179" t="s">
        <v>920</v>
      </c>
      <c r="G2205" s="186">
        <v>0</v>
      </c>
      <c r="H2205" s="186" t="e">
        <f ca="1">OFFSET(skill!$Q$1,MATCH(B2205,skill!B:B,0)-1,0)</f>
        <v>#VALUE!</v>
      </c>
      <c r="I2205" s="186"/>
      <c r="J2205" s="186">
        <f ca="1">OFFSET(card_type!$F$1,MATCH(Q2205,card_type!A:A,0)-1,0)</f>
        <v>5</v>
      </c>
      <c r="K2205" s="243">
        <f ca="1">OFFSET(card_type!$G$1,MATCH(Q2205,card_type!A:A,0)-1,0)</f>
        <v>2</v>
      </c>
      <c r="L2205" s="157">
        <v>3</v>
      </c>
      <c r="M2205" s="157">
        <v>3</v>
      </c>
      <c r="N2205" s="153">
        <f t="shared" si="374"/>
        <v>29</v>
      </c>
      <c r="O2205" s="157"/>
      <c r="P2205" s="157"/>
      <c r="Q2205" s="153">
        <f ca="1">OFFSET(card_type!$A$1,MATCH(card!B2205,card_type!B:B,0)-1,0)</f>
        <v>3020</v>
      </c>
      <c r="R2205" s="153">
        <v>1</v>
      </c>
      <c r="S2205" s="157">
        <f ca="1">ROUND(IF(R2205=0,0,IF(R2205=1,X2205*$S$1,IF(R2205=2,X2205*$S$1*buff的资质计算!$E$2,IF(R2205=3,X2205*$S$1*buff的资质计算!$E$3,0)))),0)*0</f>
        <v>0</v>
      </c>
      <c r="T2205" s="153">
        <v>3</v>
      </c>
      <c r="U2205" s="153">
        <f ca="1" t="shared" si="380"/>
        <v>52</v>
      </c>
      <c r="V2205" s="153">
        <f ca="1">ROUND((OFFSET(卡牌辅助配置表!$O$1,MATCH(U2205,卡牌辅助配置表!M:M,0)-1,0)+(N2205-1)*OFFSET(卡牌辅助配置表!$P$1,MATCH(U2205,卡牌辅助配置表!M:M,0)-1,0))*M2205,2)</f>
        <v>117.81</v>
      </c>
      <c r="W2205" s="157">
        <f ca="1">ROUND(IF(R2205=0,0,IF(R2205=1,X2205*$W$1,IF(R2205=2,X2205*$W$1*buff的资质计算!$E$2,IF(R2205=3,X2205*$W$1*buff的资质计算!$E$3,0)))),2)</f>
        <v>30.3</v>
      </c>
      <c r="X2205" s="157">
        <f ca="1" t="shared" si="376"/>
        <v>101</v>
      </c>
      <c r="Y2205" s="157" t="e">
        <f ca="1" t="shared" si="383"/>
        <v>#VALUE!</v>
      </c>
      <c r="Z2205" s="304" t="e">
        <f ca="1" t="shared" si="377"/>
        <v>#VALUE!</v>
      </c>
      <c r="AA2205" s="304">
        <f ca="1">OFFSET(卡牌辅助配置表!$AD$1,MATCH(AB2205,卡牌辅助配置表!AB:AB,0)-1,0)</f>
        <v>111186</v>
      </c>
      <c r="AB2205" s="304">
        <f ca="1" t="shared" si="381"/>
        <v>5229</v>
      </c>
      <c r="AC2205" s="153">
        <v>12</v>
      </c>
      <c r="AF2205" s="153" t="str">
        <f ca="1" t="shared" si="375"/>
        <v>30200011|</v>
      </c>
      <c r="AJ2205" s="205" t="str">
        <f ca="1" t="shared" si="382"/>
        <v>303020|30|;400023|21450|;</v>
      </c>
      <c r="AK2205" s="205">
        <f ca="1">OFFSET([1]item_type!$A$1,MATCH(Q2205,[1]item_type!$G:$G,0)-1,0)</f>
        <v>303020</v>
      </c>
      <c r="AL2205" s="205">
        <v>30</v>
      </c>
      <c r="AM2205" s="205">
        <f ca="1">IF(B2205=B2206,OFFSET(卡牌辅助配置表!$AE$1,MATCH(AB2205,卡牌辅助配置表!AB:AB,0),0),0)</f>
        <v>21450</v>
      </c>
      <c r="AN2205" s="153">
        <f ca="1" t="shared" si="378"/>
        <v>3020030</v>
      </c>
      <c r="AP2205" s="153">
        <f ca="1">IF(AC2205=0,0,IF(AC2205=12,0,OFFSET(effect!$N$1,MATCH(K2205,effect!M:M,0)-1,0)))</f>
        <v>0</v>
      </c>
    </row>
    <row r="2206" spans="1:42">
      <c r="A2206" s="153">
        <f ca="1" t="shared" si="379"/>
        <v>3020030</v>
      </c>
      <c r="B2206" s="91" t="s">
        <v>919</v>
      </c>
      <c r="C2206" s="186">
        <v>3</v>
      </c>
      <c r="D2206" s="186">
        <v>3</v>
      </c>
      <c r="E2206" s="165" t="s">
        <v>1069</v>
      </c>
      <c r="F2206" s="179" t="s">
        <v>920</v>
      </c>
      <c r="G2206" s="186">
        <v>0</v>
      </c>
      <c r="H2206" s="186" t="e">
        <f ca="1">OFFSET(skill!$Q$1,MATCH(B2206,skill!B:B,0)-1,0)</f>
        <v>#VALUE!</v>
      </c>
      <c r="I2206" s="186"/>
      <c r="J2206" s="186">
        <f ca="1">OFFSET(card_type!$F$1,MATCH(Q2206,card_type!A:A,0)-1,0)</f>
        <v>5</v>
      </c>
      <c r="K2206" s="243">
        <f ca="1">OFFSET(card_type!$G$1,MATCH(Q2206,card_type!A:A,0)-1,0)</f>
        <v>2</v>
      </c>
      <c r="L2206" s="157">
        <v>3</v>
      </c>
      <c r="M2206" s="157">
        <v>3</v>
      </c>
      <c r="N2206" s="153">
        <f t="shared" si="374"/>
        <v>30</v>
      </c>
      <c r="O2206" s="157"/>
      <c r="P2206" s="157"/>
      <c r="Q2206" s="153">
        <f ca="1">OFFSET(card_type!$A$1,MATCH(card!B2206,card_type!B:B,0)-1,0)</f>
        <v>3020</v>
      </c>
      <c r="R2206" s="153">
        <v>1</v>
      </c>
      <c r="S2206" s="157">
        <f ca="1">ROUND(IF(R2206=0,0,IF(R2206=1,X2206*$S$1,IF(R2206=2,X2206*$S$1*buff的资质计算!$E$2,IF(R2206=3,X2206*$S$1*buff的资质计算!$E$3,0)))),0)*0</f>
        <v>0</v>
      </c>
      <c r="T2206" s="153">
        <v>3</v>
      </c>
      <c r="U2206" s="153">
        <f ca="1" t="shared" si="380"/>
        <v>52</v>
      </c>
      <c r="V2206" s="153">
        <f ca="1">ROUND((OFFSET(卡牌辅助配置表!$O$1,MATCH(U2206,卡牌辅助配置表!M:M,0)-1,0)+(N2206-1)*OFFSET(卡牌辅助配置表!$P$1,MATCH(U2206,卡牌辅助配置表!M:M,0)-1,0))*M2206,2)</f>
        <v>117.81</v>
      </c>
      <c r="W2206" s="157">
        <f ca="1">ROUND(IF(R2206=0,0,IF(R2206=1,X2206*$W$1,IF(R2206=2,X2206*$W$1*buff的资质计算!$E$2,IF(R2206=3,X2206*$W$1*buff的资质计算!$E$3,0)))),2)</f>
        <v>30.45</v>
      </c>
      <c r="X2206" s="157">
        <f ca="1" t="shared" si="376"/>
        <v>101.5</v>
      </c>
      <c r="Y2206" s="157" t="e">
        <f ca="1" t="shared" si="383"/>
        <v>#VALUE!</v>
      </c>
      <c r="Z2206" s="304" t="e">
        <f ca="1" t="shared" si="377"/>
        <v>#VALUE!</v>
      </c>
      <c r="AA2206" s="304">
        <f ca="1">OFFSET(卡牌辅助配置表!$AD$1,MATCH(AB2206,卡牌辅助配置表!AB:AB,0)-1,0)</f>
        <v>115020</v>
      </c>
      <c r="AB2206" s="304">
        <f ca="1" t="shared" si="381"/>
        <v>5230</v>
      </c>
      <c r="AC2206" s="153">
        <v>12</v>
      </c>
      <c r="AF2206" s="153" t="str">
        <f ca="1" t="shared" si="375"/>
        <v>30200011|</v>
      </c>
      <c r="AJ2206" s="205">
        <f ca="1" t="shared" si="382"/>
        <v>0</v>
      </c>
      <c r="AK2206" s="205">
        <f ca="1">OFFSET([1]item_type!$A$1,MATCH(Q2206,[1]item_type!$G:$G,0)-1,0)</f>
        <v>303020</v>
      </c>
      <c r="AL2206" s="205"/>
      <c r="AM2206" s="205">
        <f ca="1">IF(B2206=B2207,OFFSET(卡牌辅助配置表!$AE$1,MATCH(AB2206,卡牌辅助配置表!AB:AB,0),0),0)</f>
        <v>0</v>
      </c>
      <c r="AN2206" s="153">
        <f ca="1" t="shared" si="378"/>
        <v>0</v>
      </c>
      <c r="AP2206" s="153">
        <f ca="1">IF(AC2206=0,0,IF(AC2206=12,0,OFFSET(effect!$N$1,MATCH(K2206,effect!M:M,0)-1,0)))</f>
        <v>0</v>
      </c>
    </row>
    <row r="2207" spans="1:42">
      <c r="A2207" s="153">
        <f ca="1" t="shared" si="379"/>
        <v>3021001</v>
      </c>
      <c r="B2207" s="91" t="s">
        <v>923</v>
      </c>
      <c r="C2207" s="186">
        <v>3</v>
      </c>
      <c r="D2207" s="186">
        <v>3</v>
      </c>
      <c r="E2207" s="165" t="s">
        <v>1069</v>
      </c>
      <c r="F2207" s="179" t="s">
        <v>924</v>
      </c>
      <c r="G2207" s="186">
        <f ca="1">OFFSET(卡牌辅助配置表!$C$1,MATCH(AC2207,卡牌辅助配置表!A:A,0)-1,0)</f>
        <v>0</v>
      </c>
      <c r="H2207" s="186" t="e">
        <f ca="1">OFFSET(skill!$Q$1,MATCH(B2207,skill!B:B,0)-1,0)</f>
        <v>#VALUE!</v>
      </c>
      <c r="I2207" s="186"/>
      <c r="J2207" s="186">
        <f ca="1">OFFSET(card_type!$F$1,MATCH(Q2207,card_type!A:A,0)-1,0)</f>
        <v>6</v>
      </c>
      <c r="K2207" s="243">
        <f ca="1">OFFSET(card_type!$G$1,MATCH(Q2207,card_type!A:A,0)-1,0)</f>
        <v>2</v>
      </c>
      <c r="L2207" s="157">
        <v>2</v>
      </c>
      <c r="M2207" s="157">
        <v>2</v>
      </c>
      <c r="N2207" s="153">
        <f t="shared" si="374"/>
        <v>1</v>
      </c>
      <c r="O2207" s="157"/>
      <c r="P2207" s="157"/>
      <c r="Q2207" s="153">
        <f ca="1">OFFSET(card_type!$A$1,MATCH(card!B2207,card_type!B:B,0)-1,0)</f>
        <v>3021</v>
      </c>
      <c r="R2207" s="153">
        <v>1</v>
      </c>
      <c r="S2207" s="157">
        <f ca="1">ROUND(IF(R2207=0,0,IF(R2207=1,X2207*$S$1,IF(R2207=2,X2207*$S$1*buff的资质计算!$E$2,IF(R2207=3,X2207*$S$1*buff的资质计算!$E$3,0)))),0)*0</f>
        <v>0</v>
      </c>
      <c r="T2207" s="153">
        <v>3</v>
      </c>
      <c r="U2207" s="153">
        <f ca="1" t="shared" si="380"/>
        <v>62</v>
      </c>
      <c r="V2207" s="153">
        <f ca="1">ROUND((OFFSET(卡牌辅助配置表!$O$1,MATCH(U2207,卡牌辅助配置表!M:M,0)-1,0)+(N2207-1)*OFFSET(卡牌辅助配置表!$P$1,MATCH(U2207,卡牌辅助配置表!M:M,0)-1,0))*M2207,2)</f>
        <v>143.4</v>
      </c>
      <c r="W2207" s="157">
        <f ca="1">ROUND(IF(R2207=0,0,IF(R2207=1,X2207*$W$1,IF(R2207=2,X2207*$W$1*buff的资质计算!$E$2,IF(R2207=3,X2207*$W$1*buff的资质计算!$E$3,0)))),2)</f>
        <v>20.4</v>
      </c>
      <c r="X2207" s="157">
        <f ca="1" t="shared" si="376"/>
        <v>68</v>
      </c>
      <c r="Y2207" s="157" t="e">
        <f ca="1" t="shared" si="383"/>
        <v>#VALUE!</v>
      </c>
      <c r="Z2207" s="304" t="e">
        <f ca="1" t="shared" si="377"/>
        <v>#VALUE!</v>
      </c>
      <c r="AA2207" s="304">
        <f ca="1">OFFSET(卡牌辅助配置表!$AD$1,MATCH(AB2207,卡牌辅助配置表!AB:AB,0)-1,0)</f>
        <v>3834</v>
      </c>
      <c r="AB2207" s="304">
        <f ca="1" t="shared" si="381"/>
        <v>6201</v>
      </c>
      <c r="AC2207" s="153">
        <v>12</v>
      </c>
      <c r="AF2207" s="153" t="str">
        <f ca="1" t="shared" si="375"/>
        <v>30210011|</v>
      </c>
      <c r="AJ2207" s="205" t="str">
        <f ca="1" t="shared" si="382"/>
        <v>400023|1050|;</v>
      </c>
      <c r="AK2207" s="205">
        <f ca="1">OFFSET([1]item_type!$A$1,MATCH(Q2207,[1]item_type!$G:$G,0)-1,0)</f>
        <v>303021</v>
      </c>
      <c r="AL2207" s="205"/>
      <c r="AM2207" s="205">
        <f ca="1">IF(B2207=B2208,OFFSET(卡牌辅助配置表!$AE$1,MATCH(AB2207,卡牌辅助配置表!AB:AB,0),0),0)</f>
        <v>1050</v>
      </c>
      <c r="AN2207" s="153">
        <f ca="1" t="shared" si="378"/>
        <v>3021002</v>
      </c>
      <c r="AP2207" s="153">
        <f ca="1">IF(AC2207=0,0,IF(AC2207=12,0,OFFSET(effect!$N$1,MATCH(K2207,effect!M:M,0)-1,0)))</f>
        <v>0</v>
      </c>
    </row>
    <row r="2208" spans="1:42">
      <c r="A2208" s="153">
        <f ca="1" t="shared" si="379"/>
        <v>3021002</v>
      </c>
      <c r="B2208" s="91" t="s">
        <v>923</v>
      </c>
      <c r="C2208" s="186">
        <v>3</v>
      </c>
      <c r="D2208" s="186">
        <v>3</v>
      </c>
      <c r="E2208" s="165" t="s">
        <v>1069</v>
      </c>
      <c r="F2208" s="179" t="s">
        <v>924</v>
      </c>
      <c r="G2208" s="186">
        <f ca="1">OFFSET(卡牌辅助配置表!$C$1,MATCH(AC2208,卡牌辅助配置表!A:A,0)-1,0)</f>
        <v>0</v>
      </c>
      <c r="H2208" s="186" t="e">
        <f ca="1">OFFSET(skill!$Q$1,MATCH(B2208,skill!B:B,0)-1,0)</f>
        <v>#VALUE!</v>
      </c>
      <c r="I2208" s="186"/>
      <c r="J2208" s="186">
        <f ca="1">OFFSET(card_type!$F$1,MATCH(Q2208,card_type!A:A,0)-1,0)</f>
        <v>6</v>
      </c>
      <c r="K2208" s="243">
        <f ca="1">OFFSET(card_type!$G$1,MATCH(Q2208,card_type!A:A,0)-1,0)</f>
        <v>2</v>
      </c>
      <c r="L2208" s="157">
        <v>2</v>
      </c>
      <c r="M2208" s="157">
        <v>2</v>
      </c>
      <c r="N2208" s="153">
        <f t="shared" si="374"/>
        <v>2</v>
      </c>
      <c r="O2208" s="157"/>
      <c r="P2208" s="157"/>
      <c r="Q2208" s="153">
        <f ca="1">OFFSET(card_type!$A$1,MATCH(card!B2208,card_type!B:B,0)-1,0)</f>
        <v>3021</v>
      </c>
      <c r="R2208" s="153">
        <v>1</v>
      </c>
      <c r="S2208" s="157">
        <f ca="1">ROUND(IF(R2208=0,0,IF(R2208=1,X2208*$S$1,IF(R2208=2,X2208*$S$1*buff的资质计算!$E$2,IF(R2208=3,X2208*$S$1*buff的资质计算!$E$3,0)))),0)*0</f>
        <v>0</v>
      </c>
      <c r="T2208" s="153">
        <v>3</v>
      </c>
      <c r="U2208" s="153">
        <f ca="1" t="shared" si="380"/>
        <v>62</v>
      </c>
      <c r="V2208" s="153">
        <f ca="1">ROUND((OFFSET(卡牌辅助配置表!$O$1,MATCH(U2208,卡牌辅助配置表!M:M,0)-1,0)+(N2208-1)*OFFSET(卡牌辅助配置表!$P$1,MATCH(U2208,卡牌辅助配置表!M:M,0)-1,0))*M2208,2)</f>
        <v>143.4</v>
      </c>
      <c r="W2208" s="157">
        <f ca="1">ROUND(IF(R2208=0,0,IF(R2208=1,X2208*$W$1,IF(R2208=2,X2208*$W$1*buff的资质计算!$E$2,IF(R2208=3,X2208*$W$1*buff的资质计算!$E$3,0)))),2)</f>
        <v>20.55</v>
      </c>
      <c r="X2208" s="157">
        <f ca="1" t="shared" si="376"/>
        <v>68.5</v>
      </c>
      <c r="Y2208" s="157" t="e">
        <f ca="1" t="shared" si="383"/>
        <v>#VALUE!</v>
      </c>
      <c r="Z2208" s="304" t="e">
        <f ca="1" t="shared" si="377"/>
        <v>#VALUE!</v>
      </c>
      <c r="AA2208" s="304">
        <f ca="1">OFFSET(卡牌辅助配置表!$AD$1,MATCH(AB2208,卡牌辅助配置表!AB:AB,0)-1,0)</f>
        <v>7668</v>
      </c>
      <c r="AB2208" s="304">
        <f ca="1" t="shared" si="381"/>
        <v>6202</v>
      </c>
      <c r="AC2208" s="153">
        <v>12</v>
      </c>
      <c r="AF2208" s="153" t="str">
        <f ca="1" t="shared" si="375"/>
        <v>30210011|</v>
      </c>
      <c r="AJ2208" s="205" t="str">
        <f ca="1" t="shared" si="382"/>
        <v>400023|1350|;</v>
      </c>
      <c r="AK2208" s="205">
        <f ca="1">OFFSET([1]item_type!$A$1,MATCH(Q2208,[1]item_type!$G:$G,0)-1,0)</f>
        <v>303021</v>
      </c>
      <c r="AL2208" s="205"/>
      <c r="AM2208" s="205">
        <f ca="1">IF(B2208=B2209,OFFSET(卡牌辅助配置表!$AE$1,MATCH(AB2208,卡牌辅助配置表!AB:AB,0),0),0)</f>
        <v>1350</v>
      </c>
      <c r="AN2208" s="153">
        <f ca="1" t="shared" si="378"/>
        <v>3021003</v>
      </c>
      <c r="AP2208" s="153">
        <f ca="1">IF(AC2208=0,0,IF(AC2208=12,0,OFFSET(effect!$N$1,MATCH(K2208,effect!M:M,0)-1,0)))</f>
        <v>0</v>
      </c>
    </row>
    <row r="2209" spans="1:42">
      <c r="A2209" s="153">
        <f ca="1" t="shared" si="379"/>
        <v>3021003</v>
      </c>
      <c r="B2209" s="91" t="s">
        <v>923</v>
      </c>
      <c r="C2209" s="186">
        <v>3</v>
      </c>
      <c r="D2209" s="186">
        <v>3</v>
      </c>
      <c r="E2209" s="165" t="s">
        <v>1069</v>
      </c>
      <c r="F2209" s="179" t="s">
        <v>924</v>
      </c>
      <c r="G2209" s="186">
        <f ca="1">OFFSET(卡牌辅助配置表!$C$1,MATCH(AC2209,卡牌辅助配置表!A:A,0)-1,0)</f>
        <v>0</v>
      </c>
      <c r="H2209" s="186" t="e">
        <f ca="1">OFFSET(skill!$Q$1,MATCH(B2209,skill!B:B,0)-1,0)</f>
        <v>#VALUE!</v>
      </c>
      <c r="I2209" s="186"/>
      <c r="J2209" s="186">
        <f ca="1">OFFSET(card_type!$F$1,MATCH(Q2209,card_type!A:A,0)-1,0)</f>
        <v>6</v>
      </c>
      <c r="K2209" s="243">
        <f ca="1">OFFSET(card_type!$G$1,MATCH(Q2209,card_type!A:A,0)-1,0)</f>
        <v>2</v>
      </c>
      <c r="L2209" s="157">
        <v>2</v>
      </c>
      <c r="M2209" s="157">
        <v>2</v>
      </c>
      <c r="N2209" s="153">
        <f t="shared" si="374"/>
        <v>3</v>
      </c>
      <c r="O2209" s="157"/>
      <c r="P2209" s="157"/>
      <c r="Q2209" s="153">
        <f ca="1">OFFSET(card_type!$A$1,MATCH(card!B2209,card_type!B:B,0)-1,0)</f>
        <v>3021</v>
      </c>
      <c r="R2209" s="153">
        <v>1</v>
      </c>
      <c r="S2209" s="157">
        <f ca="1">ROUND(IF(R2209=0,0,IF(R2209=1,X2209*$S$1,IF(R2209=2,X2209*$S$1*buff的资质计算!$E$2,IF(R2209=3,X2209*$S$1*buff的资质计算!$E$3,0)))),0)*0</f>
        <v>0</v>
      </c>
      <c r="T2209" s="153">
        <v>3</v>
      </c>
      <c r="U2209" s="153">
        <f ca="1" t="shared" si="380"/>
        <v>62</v>
      </c>
      <c r="V2209" s="153">
        <f ca="1">ROUND((OFFSET(卡牌辅助配置表!$O$1,MATCH(U2209,卡牌辅助配置表!M:M,0)-1,0)+(N2209-1)*OFFSET(卡牌辅助配置表!$P$1,MATCH(U2209,卡牌辅助配置表!M:M,0)-1,0))*M2209,2)</f>
        <v>143.4</v>
      </c>
      <c r="W2209" s="157">
        <f ca="1">ROUND(IF(R2209=0,0,IF(R2209=1,X2209*$W$1,IF(R2209=2,X2209*$W$1*buff的资质计算!$E$2,IF(R2209=3,X2209*$W$1*buff的资质计算!$E$3,0)))),2)</f>
        <v>20.7</v>
      </c>
      <c r="X2209" s="157">
        <f ca="1" t="shared" si="376"/>
        <v>69</v>
      </c>
      <c r="Y2209" s="157" t="e">
        <f ca="1" t="shared" si="383"/>
        <v>#VALUE!</v>
      </c>
      <c r="Z2209" s="304" t="e">
        <f ca="1" t="shared" si="377"/>
        <v>#VALUE!</v>
      </c>
      <c r="AA2209" s="304">
        <f ca="1">OFFSET(卡牌辅助配置表!$AD$1,MATCH(AB2209,卡牌辅助配置表!AB:AB,0)-1,0)</f>
        <v>11502</v>
      </c>
      <c r="AB2209" s="304">
        <f ca="1" t="shared" si="381"/>
        <v>6203</v>
      </c>
      <c r="AC2209" s="153">
        <v>12</v>
      </c>
      <c r="AF2209" s="153" t="str">
        <f ca="1" t="shared" si="375"/>
        <v>30210011|</v>
      </c>
      <c r="AJ2209" s="205" t="str">
        <f ca="1" t="shared" si="382"/>
        <v>400023|1650|;</v>
      </c>
      <c r="AK2209" s="205">
        <f ca="1">OFFSET([1]item_type!$A$1,MATCH(Q2209,[1]item_type!$G:$G,0)-1,0)</f>
        <v>303021</v>
      </c>
      <c r="AL2209" s="205"/>
      <c r="AM2209" s="205">
        <f ca="1">IF(B2209=B2210,OFFSET(卡牌辅助配置表!$AE$1,MATCH(AB2209,卡牌辅助配置表!AB:AB,0),0),0)</f>
        <v>1650</v>
      </c>
      <c r="AN2209" s="153">
        <f ca="1" t="shared" si="378"/>
        <v>3021004</v>
      </c>
      <c r="AP2209" s="153">
        <f ca="1">IF(AC2209=0,0,IF(AC2209=12,0,OFFSET(effect!$N$1,MATCH(K2209,effect!M:M,0)-1,0)))</f>
        <v>0</v>
      </c>
    </row>
    <row r="2210" spans="1:42">
      <c r="A2210" s="153">
        <f ca="1" t="shared" si="379"/>
        <v>3021004</v>
      </c>
      <c r="B2210" s="91" t="s">
        <v>923</v>
      </c>
      <c r="C2210" s="186">
        <v>3</v>
      </c>
      <c r="D2210" s="186">
        <v>3</v>
      </c>
      <c r="E2210" s="165" t="s">
        <v>1069</v>
      </c>
      <c r="F2210" s="179" t="s">
        <v>924</v>
      </c>
      <c r="G2210" s="186">
        <f ca="1">OFFSET(卡牌辅助配置表!$C$1,MATCH(AC2210,卡牌辅助配置表!A:A,0)-1,0)</f>
        <v>0</v>
      </c>
      <c r="H2210" s="186" t="e">
        <f ca="1">OFFSET(skill!$Q$1,MATCH(B2210,skill!B:B,0)-1,0)</f>
        <v>#VALUE!</v>
      </c>
      <c r="I2210" s="186"/>
      <c r="J2210" s="186">
        <f ca="1">OFFSET(card_type!$F$1,MATCH(Q2210,card_type!A:A,0)-1,0)</f>
        <v>6</v>
      </c>
      <c r="K2210" s="243">
        <f ca="1">OFFSET(card_type!$G$1,MATCH(Q2210,card_type!A:A,0)-1,0)</f>
        <v>2</v>
      </c>
      <c r="L2210" s="157">
        <v>2</v>
      </c>
      <c r="M2210" s="157">
        <v>2</v>
      </c>
      <c r="N2210" s="153">
        <f t="shared" si="374"/>
        <v>4</v>
      </c>
      <c r="O2210" s="157"/>
      <c r="P2210" s="157"/>
      <c r="Q2210" s="153">
        <f ca="1">OFFSET(card_type!$A$1,MATCH(card!B2210,card_type!B:B,0)-1,0)</f>
        <v>3021</v>
      </c>
      <c r="R2210" s="153">
        <v>1</v>
      </c>
      <c r="S2210" s="157">
        <f ca="1">ROUND(IF(R2210=0,0,IF(R2210=1,X2210*$S$1,IF(R2210=2,X2210*$S$1*buff的资质计算!$E$2,IF(R2210=3,X2210*$S$1*buff的资质计算!$E$3,0)))),0)*0</f>
        <v>0</v>
      </c>
      <c r="T2210" s="153">
        <v>3</v>
      </c>
      <c r="U2210" s="153">
        <f ca="1" t="shared" si="380"/>
        <v>62</v>
      </c>
      <c r="V2210" s="153">
        <f ca="1">ROUND((OFFSET(卡牌辅助配置表!$O$1,MATCH(U2210,卡牌辅助配置表!M:M,0)-1,0)+(N2210-1)*OFFSET(卡牌辅助配置表!$P$1,MATCH(U2210,卡牌辅助配置表!M:M,0)-1,0))*M2210,2)</f>
        <v>143.4</v>
      </c>
      <c r="W2210" s="157">
        <f ca="1">ROUND(IF(R2210=0,0,IF(R2210=1,X2210*$W$1,IF(R2210=2,X2210*$W$1*buff的资质计算!$E$2,IF(R2210=3,X2210*$W$1*buff的资质计算!$E$3,0)))),2)</f>
        <v>20.85</v>
      </c>
      <c r="X2210" s="157">
        <f ca="1" t="shared" si="376"/>
        <v>69.5</v>
      </c>
      <c r="Y2210" s="157" t="e">
        <f ca="1" t="shared" si="383"/>
        <v>#VALUE!</v>
      </c>
      <c r="Z2210" s="304" t="e">
        <f ca="1" t="shared" si="377"/>
        <v>#VALUE!</v>
      </c>
      <c r="AA2210" s="304">
        <f ca="1">OFFSET(卡牌辅助配置表!$AD$1,MATCH(AB2210,卡牌辅助配置表!AB:AB,0)-1,0)</f>
        <v>15336</v>
      </c>
      <c r="AB2210" s="304">
        <f ca="1" t="shared" si="381"/>
        <v>6204</v>
      </c>
      <c r="AC2210" s="153">
        <v>12</v>
      </c>
      <c r="AF2210" s="153" t="str">
        <f ca="1" t="shared" si="375"/>
        <v>30210011|</v>
      </c>
      <c r="AJ2210" s="205" t="str">
        <f ca="1" t="shared" si="382"/>
        <v>400023|1950|;</v>
      </c>
      <c r="AK2210" s="205">
        <f ca="1">OFFSET([1]item_type!$A$1,MATCH(Q2210,[1]item_type!$G:$G,0)-1,0)</f>
        <v>303021</v>
      </c>
      <c r="AL2210" s="205"/>
      <c r="AM2210" s="205">
        <f ca="1">IF(B2210=B2211,OFFSET(卡牌辅助配置表!$AE$1,MATCH(AB2210,卡牌辅助配置表!AB:AB,0),0),0)</f>
        <v>1950</v>
      </c>
      <c r="AN2210" s="153">
        <f ca="1" t="shared" si="378"/>
        <v>3021005</v>
      </c>
      <c r="AP2210" s="153">
        <f ca="1">IF(AC2210=0,0,IF(AC2210=12,0,OFFSET(effect!$N$1,MATCH(K2210,effect!M:M,0)-1,0)))</f>
        <v>0</v>
      </c>
    </row>
    <row r="2211" spans="1:42">
      <c r="A2211" s="153">
        <f ca="1" t="shared" si="379"/>
        <v>3021005</v>
      </c>
      <c r="B2211" s="91" t="s">
        <v>923</v>
      </c>
      <c r="C2211" s="186">
        <v>3</v>
      </c>
      <c r="D2211" s="186">
        <v>3</v>
      </c>
      <c r="E2211" s="165" t="s">
        <v>1069</v>
      </c>
      <c r="F2211" s="179" t="s">
        <v>924</v>
      </c>
      <c r="G2211" s="186">
        <f ca="1">OFFSET(卡牌辅助配置表!$C$1,MATCH(AC2211,卡牌辅助配置表!A:A,0)-1,0)</f>
        <v>0</v>
      </c>
      <c r="H2211" s="186" t="e">
        <f ca="1">OFFSET(skill!$Q$1,MATCH(B2211,skill!B:B,0)-1,0)</f>
        <v>#VALUE!</v>
      </c>
      <c r="I2211" s="186"/>
      <c r="J2211" s="186">
        <f ca="1">OFFSET(card_type!$F$1,MATCH(Q2211,card_type!A:A,0)-1,0)</f>
        <v>6</v>
      </c>
      <c r="K2211" s="243">
        <f ca="1">OFFSET(card_type!$G$1,MATCH(Q2211,card_type!A:A,0)-1,0)</f>
        <v>2</v>
      </c>
      <c r="L2211" s="157">
        <v>2</v>
      </c>
      <c r="M2211" s="157">
        <v>2</v>
      </c>
      <c r="N2211" s="153">
        <f t="shared" si="374"/>
        <v>5</v>
      </c>
      <c r="O2211" s="157"/>
      <c r="P2211" s="157"/>
      <c r="Q2211" s="153">
        <f ca="1">OFFSET(card_type!$A$1,MATCH(card!B2211,card_type!B:B,0)-1,0)</f>
        <v>3021</v>
      </c>
      <c r="R2211" s="153">
        <v>1</v>
      </c>
      <c r="S2211" s="157">
        <f ca="1">ROUND(IF(R2211=0,0,IF(R2211=1,X2211*$S$1,IF(R2211=2,X2211*$S$1*buff的资质计算!$E$2,IF(R2211=3,X2211*$S$1*buff的资质计算!$E$3,0)))),0)*0</f>
        <v>0</v>
      </c>
      <c r="T2211" s="153">
        <v>3</v>
      </c>
      <c r="U2211" s="153">
        <f ca="1" t="shared" si="380"/>
        <v>62</v>
      </c>
      <c r="V2211" s="153">
        <f ca="1">ROUND((OFFSET(卡牌辅助配置表!$O$1,MATCH(U2211,卡牌辅助配置表!M:M,0)-1,0)+(N2211-1)*OFFSET(卡牌辅助配置表!$P$1,MATCH(U2211,卡牌辅助配置表!M:M,0)-1,0))*M2211,2)</f>
        <v>143.4</v>
      </c>
      <c r="W2211" s="157">
        <f ca="1">ROUND(IF(R2211=0,0,IF(R2211=1,X2211*$W$1,IF(R2211=2,X2211*$W$1*buff的资质计算!$E$2,IF(R2211=3,X2211*$W$1*buff的资质计算!$E$3,0)))),2)</f>
        <v>21</v>
      </c>
      <c r="X2211" s="157">
        <f ca="1" t="shared" si="376"/>
        <v>70</v>
      </c>
      <c r="Y2211" s="157" t="e">
        <f ca="1" t="shared" si="383"/>
        <v>#VALUE!</v>
      </c>
      <c r="Z2211" s="304" t="e">
        <f ca="1" t="shared" si="377"/>
        <v>#VALUE!</v>
      </c>
      <c r="AA2211" s="304">
        <f ca="1">OFFSET(卡牌辅助配置表!$AD$1,MATCH(AB2211,卡牌辅助配置表!AB:AB,0)-1,0)</f>
        <v>19170</v>
      </c>
      <c r="AB2211" s="304">
        <f ca="1" t="shared" si="381"/>
        <v>6205</v>
      </c>
      <c r="AC2211" s="153">
        <v>12</v>
      </c>
      <c r="AF2211" s="153" t="str">
        <f ca="1" t="shared" si="375"/>
        <v>30210011|</v>
      </c>
      <c r="AJ2211" s="205" t="str">
        <f ca="1" t="shared" si="382"/>
        <v>400023|2250|;</v>
      </c>
      <c r="AK2211" s="205">
        <f ca="1">OFFSET([1]item_type!$A$1,MATCH(Q2211,[1]item_type!$G:$G,0)-1,0)</f>
        <v>303021</v>
      </c>
      <c r="AL2211" s="205"/>
      <c r="AM2211" s="205">
        <f ca="1">IF(B2211=B2212,OFFSET(卡牌辅助配置表!$AE$1,MATCH(AB2211,卡牌辅助配置表!AB:AB,0),0),0)</f>
        <v>2250</v>
      </c>
      <c r="AN2211" s="153">
        <f ca="1" t="shared" si="378"/>
        <v>3021006</v>
      </c>
      <c r="AP2211" s="153">
        <f ca="1">IF(AC2211=0,0,IF(AC2211=12,0,OFFSET(effect!$N$1,MATCH(K2211,effect!M:M,0)-1,0)))</f>
        <v>0</v>
      </c>
    </row>
    <row r="2212" spans="1:42">
      <c r="A2212" s="153">
        <f ca="1" t="shared" si="379"/>
        <v>3021006</v>
      </c>
      <c r="B2212" s="91" t="s">
        <v>923</v>
      </c>
      <c r="C2212" s="186">
        <v>3</v>
      </c>
      <c r="D2212" s="186">
        <v>3</v>
      </c>
      <c r="E2212" s="165" t="s">
        <v>1069</v>
      </c>
      <c r="F2212" s="179" t="s">
        <v>924</v>
      </c>
      <c r="G2212" s="186">
        <f ca="1">OFFSET(卡牌辅助配置表!$C$1,MATCH(AC2212,卡牌辅助配置表!A:A,0)-1,0)</f>
        <v>0</v>
      </c>
      <c r="H2212" s="186" t="e">
        <f ca="1">OFFSET(skill!$Q$1,MATCH(B2212,skill!B:B,0)-1,0)</f>
        <v>#VALUE!</v>
      </c>
      <c r="I2212" s="186"/>
      <c r="J2212" s="186">
        <f ca="1">OFFSET(card_type!$F$1,MATCH(Q2212,card_type!A:A,0)-1,0)</f>
        <v>6</v>
      </c>
      <c r="K2212" s="243">
        <f ca="1">OFFSET(card_type!$G$1,MATCH(Q2212,card_type!A:A,0)-1,0)</f>
        <v>2</v>
      </c>
      <c r="L2212" s="157">
        <v>2</v>
      </c>
      <c r="M2212" s="157">
        <v>2</v>
      </c>
      <c r="N2212" s="153">
        <f t="shared" ref="N2212:N2275" si="384">IF(B2211=B2212,N2211+1,1)</f>
        <v>6</v>
      </c>
      <c r="O2212" s="157"/>
      <c r="P2212" s="157"/>
      <c r="Q2212" s="153">
        <f ca="1">OFFSET(card_type!$A$1,MATCH(card!B2212,card_type!B:B,0)-1,0)</f>
        <v>3021</v>
      </c>
      <c r="R2212" s="153">
        <v>1</v>
      </c>
      <c r="S2212" s="157">
        <f ca="1">ROUND(IF(R2212=0,0,IF(R2212=1,X2212*$S$1,IF(R2212=2,X2212*$S$1*buff的资质计算!$E$2,IF(R2212=3,X2212*$S$1*buff的资质计算!$E$3,0)))),0)*0</f>
        <v>0</v>
      </c>
      <c r="T2212" s="153">
        <v>3</v>
      </c>
      <c r="U2212" s="153">
        <f ca="1" t="shared" si="380"/>
        <v>62</v>
      </c>
      <c r="V2212" s="153">
        <f ca="1">ROUND((OFFSET(卡牌辅助配置表!$O$1,MATCH(U2212,卡牌辅助配置表!M:M,0)-1,0)+(N2212-1)*OFFSET(卡牌辅助配置表!$P$1,MATCH(U2212,卡牌辅助配置表!M:M,0)-1,0))*M2212,2)</f>
        <v>143.4</v>
      </c>
      <c r="W2212" s="157">
        <f ca="1">ROUND(IF(R2212=0,0,IF(R2212=1,X2212*$W$1,IF(R2212=2,X2212*$W$1*buff的资质计算!$E$2,IF(R2212=3,X2212*$W$1*buff的资质计算!$E$3,0)))),2)</f>
        <v>21.15</v>
      </c>
      <c r="X2212" s="157">
        <f ca="1" t="shared" si="376"/>
        <v>70.5</v>
      </c>
      <c r="Y2212" s="157" t="e">
        <f ca="1" t="shared" si="383"/>
        <v>#VALUE!</v>
      </c>
      <c r="Z2212" s="304" t="e">
        <f ca="1" t="shared" si="377"/>
        <v>#VALUE!</v>
      </c>
      <c r="AA2212" s="304">
        <f ca="1">OFFSET(卡牌辅助配置表!$AD$1,MATCH(AB2212,卡牌辅助配置表!AB:AB,0)-1,0)</f>
        <v>23004</v>
      </c>
      <c r="AB2212" s="304">
        <f ca="1" t="shared" si="381"/>
        <v>6206</v>
      </c>
      <c r="AC2212" s="153">
        <v>12</v>
      </c>
      <c r="AF2212" s="153" t="str">
        <f ca="1" t="shared" si="375"/>
        <v>30210011|</v>
      </c>
      <c r="AJ2212" s="205" t="str">
        <f ca="1" t="shared" si="382"/>
        <v>400023|2550|;</v>
      </c>
      <c r="AK2212" s="205">
        <f ca="1">OFFSET([1]item_type!$A$1,MATCH(Q2212,[1]item_type!$G:$G,0)-1,0)</f>
        <v>303021</v>
      </c>
      <c r="AL2212" s="205"/>
      <c r="AM2212" s="205">
        <f ca="1">IF(B2212=B2213,OFFSET(卡牌辅助配置表!$AE$1,MATCH(AB2212,卡牌辅助配置表!AB:AB,0),0),0)</f>
        <v>2550</v>
      </c>
      <c r="AN2212" s="153">
        <f ca="1" t="shared" si="378"/>
        <v>3021007</v>
      </c>
      <c r="AP2212" s="153">
        <f ca="1">IF(AC2212=0,0,IF(AC2212=12,0,OFFSET(effect!$N$1,MATCH(K2212,effect!M:M,0)-1,0)))</f>
        <v>0</v>
      </c>
    </row>
    <row r="2213" spans="1:42">
      <c r="A2213" s="153">
        <f ca="1" t="shared" si="379"/>
        <v>3021007</v>
      </c>
      <c r="B2213" s="91" t="s">
        <v>923</v>
      </c>
      <c r="C2213" s="186">
        <v>3</v>
      </c>
      <c r="D2213" s="186">
        <v>3</v>
      </c>
      <c r="E2213" s="165" t="s">
        <v>1069</v>
      </c>
      <c r="F2213" s="179" t="s">
        <v>924</v>
      </c>
      <c r="G2213" s="186">
        <f ca="1">OFFSET(卡牌辅助配置表!$C$1,MATCH(AC2213,卡牌辅助配置表!A:A,0)-1,0)</f>
        <v>0</v>
      </c>
      <c r="H2213" s="186" t="e">
        <f ca="1">OFFSET(skill!$Q$1,MATCH(B2213,skill!B:B,0)-1,0)</f>
        <v>#VALUE!</v>
      </c>
      <c r="I2213" s="186"/>
      <c r="J2213" s="186">
        <f ca="1">OFFSET(card_type!$F$1,MATCH(Q2213,card_type!A:A,0)-1,0)</f>
        <v>6</v>
      </c>
      <c r="K2213" s="243">
        <f ca="1">OFFSET(card_type!$G$1,MATCH(Q2213,card_type!A:A,0)-1,0)</f>
        <v>2</v>
      </c>
      <c r="L2213" s="157">
        <v>2</v>
      </c>
      <c r="M2213" s="157">
        <v>2</v>
      </c>
      <c r="N2213" s="153">
        <f t="shared" si="384"/>
        <v>7</v>
      </c>
      <c r="O2213" s="157"/>
      <c r="P2213" s="157"/>
      <c r="Q2213" s="153">
        <f ca="1">OFFSET(card_type!$A$1,MATCH(card!B2213,card_type!B:B,0)-1,0)</f>
        <v>3021</v>
      </c>
      <c r="R2213" s="153">
        <v>1</v>
      </c>
      <c r="S2213" s="157">
        <f ca="1">ROUND(IF(R2213=0,0,IF(R2213=1,X2213*$S$1,IF(R2213=2,X2213*$S$1*buff的资质计算!$E$2,IF(R2213=3,X2213*$S$1*buff的资质计算!$E$3,0)))),0)*0</f>
        <v>0</v>
      </c>
      <c r="T2213" s="153">
        <v>3</v>
      </c>
      <c r="U2213" s="153">
        <f ca="1" t="shared" si="380"/>
        <v>62</v>
      </c>
      <c r="V2213" s="153">
        <f ca="1">ROUND((OFFSET(卡牌辅助配置表!$O$1,MATCH(U2213,卡牌辅助配置表!M:M,0)-1,0)+(N2213-1)*OFFSET(卡牌辅助配置表!$P$1,MATCH(U2213,卡牌辅助配置表!M:M,0)-1,0))*M2213,2)</f>
        <v>143.4</v>
      </c>
      <c r="W2213" s="157">
        <f ca="1">ROUND(IF(R2213=0,0,IF(R2213=1,X2213*$W$1,IF(R2213=2,X2213*$W$1*buff的资质计算!$E$2,IF(R2213=3,X2213*$W$1*buff的资质计算!$E$3,0)))),2)</f>
        <v>21.3</v>
      </c>
      <c r="X2213" s="157">
        <f ca="1" t="shared" si="376"/>
        <v>71</v>
      </c>
      <c r="Y2213" s="157" t="e">
        <f ca="1" t="shared" si="383"/>
        <v>#VALUE!</v>
      </c>
      <c r="Z2213" s="304" t="e">
        <f ca="1" t="shared" si="377"/>
        <v>#VALUE!</v>
      </c>
      <c r="AA2213" s="304">
        <f ca="1">OFFSET(卡牌辅助配置表!$AD$1,MATCH(AB2213,卡牌辅助配置表!AB:AB,0)-1,0)</f>
        <v>26838</v>
      </c>
      <c r="AB2213" s="304">
        <f ca="1" t="shared" si="381"/>
        <v>6207</v>
      </c>
      <c r="AC2213" s="153">
        <v>12</v>
      </c>
      <c r="AF2213" s="153" t="str">
        <f ca="1" t="shared" si="375"/>
        <v>30210011|</v>
      </c>
      <c r="AJ2213" s="205" t="str">
        <f ca="1" t="shared" si="382"/>
        <v>400023|2850|;</v>
      </c>
      <c r="AK2213" s="205">
        <f ca="1">OFFSET([1]item_type!$A$1,MATCH(Q2213,[1]item_type!$G:$G,0)-1,0)</f>
        <v>303021</v>
      </c>
      <c r="AL2213" s="205"/>
      <c r="AM2213" s="205">
        <f ca="1">IF(B2213=B2214,OFFSET(卡牌辅助配置表!$AE$1,MATCH(AB2213,卡牌辅助配置表!AB:AB,0),0),0)</f>
        <v>2850</v>
      </c>
      <c r="AN2213" s="153">
        <f ca="1" t="shared" si="378"/>
        <v>3021008</v>
      </c>
      <c r="AP2213" s="153">
        <f ca="1">IF(AC2213=0,0,IF(AC2213=12,0,OFFSET(effect!$N$1,MATCH(K2213,effect!M:M,0)-1,0)))</f>
        <v>0</v>
      </c>
    </row>
    <row r="2214" spans="1:42">
      <c r="A2214" s="153">
        <f ca="1" t="shared" si="379"/>
        <v>3021008</v>
      </c>
      <c r="B2214" s="91" t="s">
        <v>923</v>
      </c>
      <c r="C2214" s="186">
        <v>3</v>
      </c>
      <c r="D2214" s="186">
        <v>3</v>
      </c>
      <c r="E2214" s="165" t="s">
        <v>1069</v>
      </c>
      <c r="F2214" s="179" t="s">
        <v>924</v>
      </c>
      <c r="G2214" s="186">
        <f ca="1">OFFSET(卡牌辅助配置表!$C$1,MATCH(AC2214,卡牌辅助配置表!A:A,0)-1,0)</f>
        <v>0</v>
      </c>
      <c r="H2214" s="186" t="e">
        <f ca="1">OFFSET(skill!$Q$1,MATCH(B2214,skill!B:B,0)-1,0)</f>
        <v>#VALUE!</v>
      </c>
      <c r="I2214" s="186"/>
      <c r="J2214" s="186">
        <f ca="1">OFFSET(card_type!$F$1,MATCH(Q2214,card_type!A:A,0)-1,0)</f>
        <v>6</v>
      </c>
      <c r="K2214" s="243">
        <f ca="1">OFFSET(card_type!$G$1,MATCH(Q2214,card_type!A:A,0)-1,0)</f>
        <v>2</v>
      </c>
      <c r="L2214" s="157">
        <v>2</v>
      </c>
      <c r="M2214" s="157">
        <v>2</v>
      </c>
      <c r="N2214" s="153">
        <f t="shared" si="384"/>
        <v>8</v>
      </c>
      <c r="O2214" s="157"/>
      <c r="P2214" s="157"/>
      <c r="Q2214" s="153">
        <f ca="1">OFFSET(card_type!$A$1,MATCH(card!B2214,card_type!B:B,0)-1,0)</f>
        <v>3021</v>
      </c>
      <c r="R2214" s="153">
        <v>1</v>
      </c>
      <c r="S2214" s="157">
        <f ca="1">ROUND(IF(R2214=0,0,IF(R2214=1,X2214*$S$1,IF(R2214=2,X2214*$S$1*buff的资质计算!$E$2,IF(R2214=3,X2214*$S$1*buff的资质计算!$E$3,0)))),0)*0</f>
        <v>0</v>
      </c>
      <c r="T2214" s="153">
        <v>3</v>
      </c>
      <c r="U2214" s="153">
        <f ca="1" t="shared" si="380"/>
        <v>62</v>
      </c>
      <c r="V2214" s="153">
        <f ca="1">ROUND((OFFSET(卡牌辅助配置表!$O$1,MATCH(U2214,卡牌辅助配置表!M:M,0)-1,0)+(N2214-1)*OFFSET(卡牌辅助配置表!$P$1,MATCH(U2214,卡牌辅助配置表!M:M,0)-1,0))*M2214,2)</f>
        <v>143.4</v>
      </c>
      <c r="W2214" s="157">
        <f ca="1">ROUND(IF(R2214=0,0,IF(R2214=1,X2214*$W$1,IF(R2214=2,X2214*$W$1*buff的资质计算!$E$2,IF(R2214=3,X2214*$W$1*buff的资质计算!$E$3,0)))),2)</f>
        <v>21.45</v>
      </c>
      <c r="X2214" s="157">
        <f ca="1" t="shared" si="376"/>
        <v>71.5</v>
      </c>
      <c r="Y2214" s="157" t="e">
        <f ca="1" t="shared" si="383"/>
        <v>#VALUE!</v>
      </c>
      <c r="Z2214" s="304" t="e">
        <f ca="1" t="shared" si="377"/>
        <v>#VALUE!</v>
      </c>
      <c r="AA2214" s="304">
        <f ca="1">OFFSET(卡牌辅助配置表!$AD$1,MATCH(AB2214,卡牌辅助配置表!AB:AB,0)-1,0)</f>
        <v>30672</v>
      </c>
      <c r="AB2214" s="304">
        <f ca="1" t="shared" si="381"/>
        <v>6208</v>
      </c>
      <c r="AC2214" s="153">
        <v>12</v>
      </c>
      <c r="AF2214" s="153" t="str">
        <f ca="1" t="shared" si="375"/>
        <v>30210011|</v>
      </c>
      <c r="AJ2214" s="205" t="str">
        <f ca="1" t="shared" si="382"/>
        <v>400023|3150|;</v>
      </c>
      <c r="AK2214" s="205">
        <f ca="1">OFFSET([1]item_type!$A$1,MATCH(Q2214,[1]item_type!$G:$G,0)-1,0)</f>
        <v>303021</v>
      </c>
      <c r="AL2214" s="205"/>
      <c r="AM2214" s="205">
        <f ca="1">IF(B2214=B2215,OFFSET(卡牌辅助配置表!$AE$1,MATCH(AB2214,卡牌辅助配置表!AB:AB,0),0),0)</f>
        <v>3150</v>
      </c>
      <c r="AN2214" s="153">
        <f ca="1" t="shared" si="378"/>
        <v>3021009</v>
      </c>
      <c r="AP2214" s="153">
        <f ca="1">IF(AC2214=0,0,IF(AC2214=12,0,OFFSET(effect!$N$1,MATCH(K2214,effect!M:M,0)-1,0)))</f>
        <v>0</v>
      </c>
    </row>
    <row r="2215" spans="1:42">
      <c r="A2215" s="153">
        <f ca="1" t="shared" si="379"/>
        <v>3021009</v>
      </c>
      <c r="B2215" s="91" t="s">
        <v>923</v>
      </c>
      <c r="C2215" s="186">
        <v>3</v>
      </c>
      <c r="D2215" s="186">
        <v>3</v>
      </c>
      <c r="E2215" s="165" t="s">
        <v>1069</v>
      </c>
      <c r="F2215" s="179" t="s">
        <v>924</v>
      </c>
      <c r="G2215" s="186">
        <f ca="1">OFFSET(卡牌辅助配置表!$C$1,MATCH(AC2215,卡牌辅助配置表!A:A,0)-1,0)</f>
        <v>0</v>
      </c>
      <c r="H2215" s="186" t="e">
        <f ca="1">OFFSET(skill!$Q$1,MATCH(B2215,skill!B:B,0)-1,0)</f>
        <v>#VALUE!</v>
      </c>
      <c r="I2215" s="186"/>
      <c r="J2215" s="186">
        <f ca="1">OFFSET(card_type!$F$1,MATCH(Q2215,card_type!A:A,0)-1,0)</f>
        <v>6</v>
      </c>
      <c r="K2215" s="243">
        <f ca="1">OFFSET(card_type!$G$1,MATCH(Q2215,card_type!A:A,0)-1,0)</f>
        <v>2</v>
      </c>
      <c r="L2215" s="157">
        <v>2</v>
      </c>
      <c r="M2215" s="157">
        <v>2</v>
      </c>
      <c r="N2215" s="153">
        <f t="shared" si="384"/>
        <v>9</v>
      </c>
      <c r="O2215" s="157"/>
      <c r="P2215" s="157"/>
      <c r="Q2215" s="153">
        <f ca="1">OFFSET(card_type!$A$1,MATCH(card!B2215,card_type!B:B,0)-1,0)</f>
        <v>3021</v>
      </c>
      <c r="R2215" s="153">
        <v>1</v>
      </c>
      <c r="S2215" s="157">
        <f ca="1">ROUND(IF(R2215=0,0,IF(R2215=1,X2215*$S$1,IF(R2215=2,X2215*$S$1*buff的资质计算!$E$2,IF(R2215=3,X2215*$S$1*buff的资质计算!$E$3,0)))),0)*0</f>
        <v>0</v>
      </c>
      <c r="T2215" s="153">
        <v>3</v>
      </c>
      <c r="U2215" s="153">
        <f ca="1" t="shared" si="380"/>
        <v>62</v>
      </c>
      <c r="V2215" s="153">
        <f ca="1">ROUND((OFFSET(卡牌辅助配置表!$O$1,MATCH(U2215,卡牌辅助配置表!M:M,0)-1,0)+(N2215-1)*OFFSET(卡牌辅助配置表!$P$1,MATCH(U2215,卡牌辅助配置表!M:M,0)-1,0))*M2215,2)</f>
        <v>143.4</v>
      </c>
      <c r="W2215" s="157">
        <f ca="1">ROUND(IF(R2215=0,0,IF(R2215=1,X2215*$W$1,IF(R2215=2,X2215*$W$1*buff的资质计算!$E$2,IF(R2215=3,X2215*$W$1*buff的资质计算!$E$3,0)))),2)</f>
        <v>21.6</v>
      </c>
      <c r="X2215" s="157">
        <f ca="1" t="shared" si="376"/>
        <v>72</v>
      </c>
      <c r="Y2215" s="157" t="e">
        <f ca="1" t="shared" si="383"/>
        <v>#VALUE!</v>
      </c>
      <c r="Z2215" s="304" t="e">
        <f ca="1" t="shared" si="377"/>
        <v>#VALUE!</v>
      </c>
      <c r="AA2215" s="304">
        <f ca="1">OFFSET(卡牌辅助配置表!$AD$1,MATCH(AB2215,卡牌辅助配置表!AB:AB,0)-1,0)</f>
        <v>34506</v>
      </c>
      <c r="AB2215" s="304">
        <f ca="1" t="shared" si="381"/>
        <v>6209</v>
      </c>
      <c r="AC2215" s="153">
        <v>12</v>
      </c>
      <c r="AF2215" s="153" t="str">
        <f ca="1" t="shared" si="375"/>
        <v>30210011|</v>
      </c>
      <c r="AJ2215" s="205" t="str">
        <f ca="1" t="shared" si="382"/>
        <v>303021|15|;400023|3450|;</v>
      </c>
      <c r="AK2215" s="205">
        <f ca="1">OFFSET([1]item_type!$A$1,MATCH(Q2215,[1]item_type!$G:$G,0)-1,0)</f>
        <v>303021</v>
      </c>
      <c r="AL2215" s="205">
        <v>15</v>
      </c>
      <c r="AM2215" s="205">
        <f ca="1">IF(B2215=B2216,OFFSET(卡牌辅助配置表!$AE$1,MATCH(AB2215,卡牌辅助配置表!AB:AB,0),0),0)</f>
        <v>3450</v>
      </c>
      <c r="AN2215" s="153">
        <f ca="1" t="shared" si="378"/>
        <v>3021010</v>
      </c>
      <c r="AP2215" s="153">
        <f ca="1">IF(AC2215=0,0,IF(AC2215=12,0,OFFSET(effect!$N$1,MATCH(K2215,effect!M:M,0)-1,0)))</f>
        <v>0</v>
      </c>
    </row>
    <row r="2216" spans="1:42">
      <c r="A2216" s="153">
        <f ca="1" t="shared" si="379"/>
        <v>3021010</v>
      </c>
      <c r="B2216" s="91" t="s">
        <v>923</v>
      </c>
      <c r="C2216" s="186">
        <v>3</v>
      </c>
      <c r="D2216" s="186">
        <v>3</v>
      </c>
      <c r="E2216" s="165" t="s">
        <v>1069</v>
      </c>
      <c r="F2216" s="179" t="s">
        <v>924</v>
      </c>
      <c r="G2216" s="186">
        <f ca="1">OFFSET(卡牌辅助配置表!$C$1,MATCH(AC2216,卡牌辅助配置表!A:A,0)-1,0)</f>
        <v>0</v>
      </c>
      <c r="H2216" s="186" t="e">
        <f ca="1">OFFSET(skill!$Q$1,MATCH(B2216,skill!B:B,0)-1,0)</f>
        <v>#VALUE!</v>
      </c>
      <c r="I2216" s="186"/>
      <c r="J2216" s="186">
        <f ca="1">OFFSET(card_type!$F$1,MATCH(Q2216,card_type!A:A,0)-1,0)</f>
        <v>6</v>
      </c>
      <c r="K2216" s="243">
        <f ca="1">OFFSET(card_type!$G$1,MATCH(Q2216,card_type!A:A,0)-1,0)</f>
        <v>2</v>
      </c>
      <c r="L2216" s="157">
        <v>2</v>
      </c>
      <c r="M2216" s="157">
        <v>2</v>
      </c>
      <c r="N2216" s="153">
        <f t="shared" si="384"/>
        <v>10</v>
      </c>
      <c r="O2216" s="157"/>
      <c r="P2216" s="157"/>
      <c r="Q2216" s="153">
        <f ca="1">OFFSET(card_type!$A$1,MATCH(card!B2216,card_type!B:B,0)-1,0)</f>
        <v>3021</v>
      </c>
      <c r="R2216" s="153">
        <v>1</v>
      </c>
      <c r="S2216" s="157">
        <f ca="1">ROUND(IF(R2216=0,0,IF(R2216=1,X2216*$S$1,IF(R2216=2,X2216*$S$1*buff的资质计算!$E$2,IF(R2216=3,X2216*$S$1*buff的资质计算!$E$3,0)))),0)*0</f>
        <v>0</v>
      </c>
      <c r="T2216" s="153">
        <v>3</v>
      </c>
      <c r="U2216" s="153">
        <f ca="1" t="shared" si="380"/>
        <v>62</v>
      </c>
      <c r="V2216" s="153">
        <f ca="1">ROUND((OFFSET(卡牌辅助配置表!$O$1,MATCH(U2216,卡牌辅助配置表!M:M,0)-1,0)+(N2216-1)*OFFSET(卡牌辅助配置表!$P$1,MATCH(U2216,卡牌辅助配置表!M:M,0)-1,0))*M2216,2)</f>
        <v>143.4</v>
      </c>
      <c r="W2216" s="157">
        <f ca="1">ROUND(IF(R2216=0,0,IF(R2216=1,X2216*$W$1,IF(R2216=2,X2216*$W$1*buff的资质计算!$E$2,IF(R2216=3,X2216*$W$1*buff的资质计算!$E$3,0)))),2)</f>
        <v>21.75</v>
      </c>
      <c r="X2216" s="157">
        <f ca="1" t="shared" si="376"/>
        <v>72.5</v>
      </c>
      <c r="Y2216" s="157" t="e">
        <f ca="1" t="shared" si="383"/>
        <v>#VALUE!</v>
      </c>
      <c r="Z2216" s="304" t="e">
        <f ca="1" t="shared" si="377"/>
        <v>#VALUE!</v>
      </c>
      <c r="AA2216" s="304">
        <f ca="1">OFFSET(卡牌辅助配置表!$AD$1,MATCH(AB2216,卡牌辅助配置表!AB:AB,0)-1,0)</f>
        <v>38340</v>
      </c>
      <c r="AB2216" s="304">
        <f ca="1" t="shared" si="381"/>
        <v>6210</v>
      </c>
      <c r="AC2216" s="153">
        <v>12</v>
      </c>
      <c r="AF2216" s="153" t="str">
        <f ca="1" t="shared" si="375"/>
        <v>30210011|</v>
      </c>
      <c r="AJ2216" s="205" t="str">
        <f ca="1" t="shared" si="382"/>
        <v>400023|4050|;</v>
      </c>
      <c r="AK2216" s="205">
        <f ca="1">OFFSET([1]item_type!$A$1,MATCH(Q2216,[1]item_type!$G:$G,0)-1,0)</f>
        <v>303021</v>
      </c>
      <c r="AL2216" s="205"/>
      <c r="AM2216" s="205">
        <f ca="1">IF(B2216=B2217,OFFSET(卡牌辅助配置表!$AE$1,MATCH(AB2216,卡牌辅助配置表!AB:AB,0),0),0)</f>
        <v>4050</v>
      </c>
      <c r="AN2216" s="153">
        <f ca="1" t="shared" si="378"/>
        <v>3021011</v>
      </c>
      <c r="AP2216" s="153">
        <f ca="1">IF(AC2216=0,0,IF(AC2216=12,0,OFFSET(effect!$N$1,MATCH(K2216,effect!M:M,0)-1,0)))</f>
        <v>0</v>
      </c>
    </row>
    <row r="2217" spans="1:42">
      <c r="A2217" s="153">
        <f ca="1" t="shared" si="379"/>
        <v>3021011</v>
      </c>
      <c r="B2217" s="91" t="s">
        <v>923</v>
      </c>
      <c r="C2217" s="186">
        <v>3</v>
      </c>
      <c r="D2217" s="186">
        <v>3</v>
      </c>
      <c r="E2217" s="165" t="s">
        <v>1069</v>
      </c>
      <c r="F2217" s="179" t="s">
        <v>924</v>
      </c>
      <c r="G2217" s="186">
        <f ca="1">OFFSET(卡牌辅助配置表!$C$1,MATCH(AC2217,卡牌辅助配置表!A:A,0)-1,0)</f>
        <v>0</v>
      </c>
      <c r="H2217" s="186" t="e">
        <f ca="1">OFFSET(skill!$Q$1,MATCH(B2217,skill!B:B,0)-1,0)</f>
        <v>#VALUE!</v>
      </c>
      <c r="I2217" s="186"/>
      <c r="J2217" s="186">
        <f ca="1">OFFSET(card_type!$F$1,MATCH(Q2217,card_type!A:A,0)-1,0)</f>
        <v>6</v>
      </c>
      <c r="K2217" s="243">
        <f ca="1">OFFSET(card_type!$G$1,MATCH(Q2217,card_type!A:A,0)-1,0)</f>
        <v>2</v>
      </c>
      <c r="L2217" s="157">
        <v>2</v>
      </c>
      <c r="M2217" s="157">
        <v>2</v>
      </c>
      <c r="N2217" s="153">
        <f t="shared" si="384"/>
        <v>11</v>
      </c>
      <c r="O2217" s="157"/>
      <c r="P2217" s="157"/>
      <c r="Q2217" s="153">
        <f ca="1">OFFSET(card_type!$A$1,MATCH(card!B2217,card_type!B:B,0)-1,0)</f>
        <v>3021</v>
      </c>
      <c r="R2217" s="153">
        <v>1</v>
      </c>
      <c r="S2217" s="157">
        <f ca="1">ROUND(IF(R2217=0,0,IF(R2217=1,X2217*$S$1,IF(R2217=2,X2217*$S$1*buff的资质计算!$E$2,IF(R2217=3,X2217*$S$1*buff的资质计算!$E$3,0)))),0)*0</f>
        <v>0</v>
      </c>
      <c r="T2217" s="153">
        <v>3</v>
      </c>
      <c r="U2217" s="153">
        <f ca="1" t="shared" si="380"/>
        <v>62</v>
      </c>
      <c r="V2217" s="153">
        <f ca="1">ROUND((OFFSET(卡牌辅助配置表!$O$1,MATCH(U2217,卡牌辅助配置表!M:M,0)-1,0)+(N2217-1)*OFFSET(卡牌辅助配置表!$P$1,MATCH(U2217,卡牌辅助配置表!M:M,0)-1,0))*M2217,2)</f>
        <v>143.4</v>
      </c>
      <c r="W2217" s="157">
        <f ca="1">ROUND(IF(R2217=0,0,IF(R2217=1,X2217*$W$1,IF(R2217=2,X2217*$W$1*buff的资质计算!$E$2,IF(R2217=3,X2217*$W$1*buff的资质计算!$E$3,0)))),2)</f>
        <v>21.9</v>
      </c>
      <c r="X2217" s="157">
        <f ca="1" t="shared" si="376"/>
        <v>73</v>
      </c>
      <c r="Y2217" s="157" t="e">
        <f ca="1" t="shared" si="383"/>
        <v>#VALUE!</v>
      </c>
      <c r="Z2217" s="304" t="e">
        <f ca="1" t="shared" si="377"/>
        <v>#VALUE!</v>
      </c>
      <c r="AA2217" s="304">
        <f ca="1">OFFSET(卡牌辅助配置表!$AD$1,MATCH(AB2217,卡牌辅助配置表!AB:AB,0)-1,0)</f>
        <v>42174</v>
      </c>
      <c r="AB2217" s="304">
        <f ca="1" t="shared" si="381"/>
        <v>6211</v>
      </c>
      <c r="AC2217" s="153">
        <v>12</v>
      </c>
      <c r="AF2217" s="153" t="str">
        <f ca="1" t="shared" si="375"/>
        <v>30210011|</v>
      </c>
      <c r="AJ2217" s="205" t="str">
        <f ca="1" t="shared" si="382"/>
        <v>400023|4650|;</v>
      </c>
      <c r="AK2217" s="205">
        <f ca="1">OFFSET([1]item_type!$A$1,MATCH(Q2217,[1]item_type!$G:$G,0)-1,0)</f>
        <v>303021</v>
      </c>
      <c r="AL2217" s="205"/>
      <c r="AM2217" s="205">
        <f ca="1">IF(B2217=B2218,OFFSET(卡牌辅助配置表!$AE$1,MATCH(AB2217,卡牌辅助配置表!AB:AB,0),0),0)</f>
        <v>4650</v>
      </c>
      <c r="AN2217" s="153">
        <f ca="1" t="shared" si="378"/>
        <v>3021012</v>
      </c>
      <c r="AP2217" s="153">
        <f ca="1">IF(AC2217=0,0,IF(AC2217=12,0,OFFSET(effect!$N$1,MATCH(K2217,effect!M:M,0)-1,0)))</f>
        <v>0</v>
      </c>
    </row>
    <row r="2218" spans="1:42">
      <c r="A2218" s="153">
        <f ca="1" t="shared" si="379"/>
        <v>3021012</v>
      </c>
      <c r="B2218" s="91" t="s">
        <v>923</v>
      </c>
      <c r="C2218" s="186">
        <v>3</v>
      </c>
      <c r="D2218" s="186">
        <v>3</v>
      </c>
      <c r="E2218" s="165" t="s">
        <v>1069</v>
      </c>
      <c r="F2218" s="179" t="s">
        <v>924</v>
      </c>
      <c r="G2218" s="186">
        <f ca="1">OFFSET(卡牌辅助配置表!$C$1,MATCH(AC2218,卡牌辅助配置表!A:A,0)-1,0)</f>
        <v>0</v>
      </c>
      <c r="H2218" s="186" t="e">
        <f ca="1">OFFSET(skill!$Q$1,MATCH(B2218,skill!B:B,0)-1,0)</f>
        <v>#VALUE!</v>
      </c>
      <c r="I2218" s="186"/>
      <c r="J2218" s="186">
        <f ca="1">OFFSET(card_type!$F$1,MATCH(Q2218,card_type!A:A,0)-1,0)</f>
        <v>6</v>
      </c>
      <c r="K2218" s="243">
        <f ca="1">OFFSET(card_type!$G$1,MATCH(Q2218,card_type!A:A,0)-1,0)</f>
        <v>2</v>
      </c>
      <c r="L2218" s="157">
        <v>2</v>
      </c>
      <c r="M2218" s="157">
        <v>2</v>
      </c>
      <c r="N2218" s="153">
        <f t="shared" si="384"/>
        <v>12</v>
      </c>
      <c r="O2218" s="157"/>
      <c r="P2218" s="157"/>
      <c r="Q2218" s="153">
        <f ca="1">OFFSET(card_type!$A$1,MATCH(card!B2218,card_type!B:B,0)-1,0)</f>
        <v>3021</v>
      </c>
      <c r="R2218" s="153">
        <v>1</v>
      </c>
      <c r="S2218" s="157">
        <f ca="1">ROUND(IF(R2218=0,0,IF(R2218=1,X2218*$S$1,IF(R2218=2,X2218*$S$1*buff的资质计算!$E$2,IF(R2218=3,X2218*$S$1*buff的资质计算!$E$3,0)))),0)*0</f>
        <v>0</v>
      </c>
      <c r="T2218" s="153">
        <v>3</v>
      </c>
      <c r="U2218" s="153">
        <f ca="1" t="shared" si="380"/>
        <v>62</v>
      </c>
      <c r="V2218" s="153">
        <f ca="1">ROUND((OFFSET(卡牌辅助配置表!$O$1,MATCH(U2218,卡牌辅助配置表!M:M,0)-1,0)+(N2218-1)*OFFSET(卡牌辅助配置表!$P$1,MATCH(U2218,卡牌辅助配置表!M:M,0)-1,0))*M2218,2)</f>
        <v>143.4</v>
      </c>
      <c r="W2218" s="157">
        <f ca="1">ROUND(IF(R2218=0,0,IF(R2218=1,X2218*$W$1,IF(R2218=2,X2218*$W$1*buff的资质计算!$E$2,IF(R2218=3,X2218*$W$1*buff的资质计算!$E$3,0)))),2)</f>
        <v>22.05</v>
      </c>
      <c r="X2218" s="157">
        <f ca="1" t="shared" si="376"/>
        <v>73.5</v>
      </c>
      <c r="Y2218" s="157" t="e">
        <f ca="1" t="shared" si="383"/>
        <v>#VALUE!</v>
      </c>
      <c r="Z2218" s="304" t="e">
        <f ca="1" t="shared" si="377"/>
        <v>#VALUE!</v>
      </c>
      <c r="AA2218" s="304">
        <f ca="1">OFFSET(卡牌辅助配置表!$AD$1,MATCH(AB2218,卡牌辅助配置表!AB:AB,0)-1,0)</f>
        <v>46008</v>
      </c>
      <c r="AB2218" s="304">
        <f ca="1" t="shared" si="381"/>
        <v>6212</v>
      </c>
      <c r="AC2218" s="153">
        <v>12</v>
      </c>
      <c r="AF2218" s="153" t="str">
        <f ca="1" t="shared" si="375"/>
        <v>30210011|</v>
      </c>
      <c r="AJ2218" s="205" t="str">
        <f ca="1" t="shared" si="382"/>
        <v>400023|5250|;</v>
      </c>
      <c r="AK2218" s="205">
        <f ca="1">OFFSET([1]item_type!$A$1,MATCH(Q2218,[1]item_type!$G:$G,0)-1,0)</f>
        <v>303021</v>
      </c>
      <c r="AL2218" s="205"/>
      <c r="AM2218" s="205">
        <f ca="1">IF(B2218=B2219,OFFSET(卡牌辅助配置表!$AE$1,MATCH(AB2218,卡牌辅助配置表!AB:AB,0),0),0)</f>
        <v>5250</v>
      </c>
      <c r="AN2218" s="153">
        <f ca="1" t="shared" si="378"/>
        <v>3021013</v>
      </c>
      <c r="AP2218" s="153">
        <f ca="1">IF(AC2218=0,0,IF(AC2218=12,0,OFFSET(effect!$N$1,MATCH(K2218,effect!M:M,0)-1,0)))</f>
        <v>0</v>
      </c>
    </row>
    <row r="2219" spans="1:42">
      <c r="A2219" s="153">
        <f ca="1" t="shared" si="379"/>
        <v>3021013</v>
      </c>
      <c r="B2219" s="91" t="s">
        <v>923</v>
      </c>
      <c r="C2219" s="186">
        <v>3</v>
      </c>
      <c r="D2219" s="186">
        <v>3</v>
      </c>
      <c r="E2219" s="165" t="s">
        <v>1069</v>
      </c>
      <c r="F2219" s="179" t="s">
        <v>924</v>
      </c>
      <c r="G2219" s="186">
        <f ca="1">OFFSET(卡牌辅助配置表!$C$1,MATCH(AC2219,卡牌辅助配置表!A:A,0)-1,0)</f>
        <v>0</v>
      </c>
      <c r="H2219" s="186" t="e">
        <f ca="1">OFFSET(skill!$Q$1,MATCH(B2219,skill!B:B,0)-1,0)</f>
        <v>#VALUE!</v>
      </c>
      <c r="I2219" s="186"/>
      <c r="J2219" s="186">
        <f ca="1">OFFSET(card_type!$F$1,MATCH(Q2219,card_type!A:A,0)-1,0)</f>
        <v>6</v>
      </c>
      <c r="K2219" s="243">
        <f ca="1">OFFSET(card_type!$G$1,MATCH(Q2219,card_type!A:A,0)-1,0)</f>
        <v>2</v>
      </c>
      <c r="L2219" s="157">
        <v>2</v>
      </c>
      <c r="M2219" s="157">
        <v>2</v>
      </c>
      <c r="N2219" s="153">
        <f t="shared" si="384"/>
        <v>13</v>
      </c>
      <c r="O2219" s="157"/>
      <c r="P2219" s="157"/>
      <c r="Q2219" s="153">
        <f ca="1">OFFSET(card_type!$A$1,MATCH(card!B2219,card_type!B:B,0)-1,0)</f>
        <v>3021</v>
      </c>
      <c r="R2219" s="153">
        <v>1</v>
      </c>
      <c r="S2219" s="157">
        <f ca="1">ROUND(IF(R2219=0,0,IF(R2219=1,X2219*$S$1,IF(R2219=2,X2219*$S$1*buff的资质计算!$E$2,IF(R2219=3,X2219*$S$1*buff的资质计算!$E$3,0)))),0)*0</f>
        <v>0</v>
      </c>
      <c r="T2219" s="153">
        <v>3</v>
      </c>
      <c r="U2219" s="153">
        <f ca="1" t="shared" si="380"/>
        <v>62</v>
      </c>
      <c r="V2219" s="153">
        <f ca="1">ROUND((OFFSET(卡牌辅助配置表!$O$1,MATCH(U2219,卡牌辅助配置表!M:M,0)-1,0)+(N2219-1)*OFFSET(卡牌辅助配置表!$P$1,MATCH(U2219,卡牌辅助配置表!M:M,0)-1,0))*M2219,2)</f>
        <v>143.4</v>
      </c>
      <c r="W2219" s="157">
        <f ca="1">ROUND(IF(R2219=0,0,IF(R2219=1,X2219*$W$1,IF(R2219=2,X2219*$W$1*buff的资质计算!$E$2,IF(R2219=3,X2219*$W$1*buff的资质计算!$E$3,0)))),2)</f>
        <v>22.2</v>
      </c>
      <c r="X2219" s="157">
        <f ca="1" t="shared" si="376"/>
        <v>74</v>
      </c>
      <c r="Y2219" s="157" t="e">
        <f ca="1" t="shared" si="383"/>
        <v>#VALUE!</v>
      </c>
      <c r="Z2219" s="304" t="e">
        <f ca="1" t="shared" si="377"/>
        <v>#VALUE!</v>
      </c>
      <c r="AA2219" s="304">
        <f ca="1">OFFSET(卡牌辅助配置表!$AD$1,MATCH(AB2219,卡牌辅助配置表!AB:AB,0)-1,0)</f>
        <v>49842</v>
      </c>
      <c r="AB2219" s="304">
        <f ca="1" t="shared" si="381"/>
        <v>6213</v>
      </c>
      <c r="AC2219" s="153">
        <v>12</v>
      </c>
      <c r="AF2219" s="153" t="str">
        <f ca="1" t="shared" si="375"/>
        <v>30210011|</v>
      </c>
      <c r="AJ2219" s="205" t="str">
        <f ca="1" t="shared" si="382"/>
        <v>400023|5850|;</v>
      </c>
      <c r="AK2219" s="205">
        <f ca="1">OFFSET([1]item_type!$A$1,MATCH(Q2219,[1]item_type!$G:$G,0)-1,0)</f>
        <v>303021</v>
      </c>
      <c r="AL2219" s="205"/>
      <c r="AM2219" s="205">
        <f ca="1">IF(B2219=B2220,OFFSET(卡牌辅助配置表!$AE$1,MATCH(AB2219,卡牌辅助配置表!AB:AB,0),0),0)</f>
        <v>5850</v>
      </c>
      <c r="AN2219" s="153">
        <f ca="1" t="shared" si="378"/>
        <v>3021014</v>
      </c>
      <c r="AP2219" s="153">
        <f ca="1">IF(AC2219=0,0,IF(AC2219=12,0,OFFSET(effect!$N$1,MATCH(K2219,effect!M:M,0)-1,0)))</f>
        <v>0</v>
      </c>
    </row>
    <row r="2220" spans="1:42">
      <c r="A2220" s="153">
        <f ca="1" t="shared" si="379"/>
        <v>3021014</v>
      </c>
      <c r="B2220" s="91" t="s">
        <v>923</v>
      </c>
      <c r="C2220" s="186">
        <v>3</v>
      </c>
      <c r="D2220" s="186">
        <v>3</v>
      </c>
      <c r="E2220" s="165" t="s">
        <v>1069</v>
      </c>
      <c r="F2220" s="179" t="s">
        <v>924</v>
      </c>
      <c r="G2220" s="186">
        <f ca="1">OFFSET(卡牌辅助配置表!$C$1,MATCH(AC2220,卡牌辅助配置表!A:A,0)-1,0)</f>
        <v>0</v>
      </c>
      <c r="H2220" s="186" t="e">
        <f ca="1">OFFSET(skill!$Q$1,MATCH(B2220,skill!B:B,0)-1,0)</f>
        <v>#VALUE!</v>
      </c>
      <c r="I2220" s="186"/>
      <c r="J2220" s="186">
        <f ca="1">OFFSET(card_type!$F$1,MATCH(Q2220,card_type!A:A,0)-1,0)</f>
        <v>6</v>
      </c>
      <c r="K2220" s="243">
        <f ca="1">OFFSET(card_type!$G$1,MATCH(Q2220,card_type!A:A,0)-1,0)</f>
        <v>2</v>
      </c>
      <c r="L2220" s="157">
        <v>2</v>
      </c>
      <c r="M2220" s="157">
        <v>2</v>
      </c>
      <c r="N2220" s="153">
        <f t="shared" si="384"/>
        <v>14</v>
      </c>
      <c r="O2220" s="157"/>
      <c r="P2220" s="157"/>
      <c r="Q2220" s="153">
        <f ca="1">OFFSET(card_type!$A$1,MATCH(card!B2220,card_type!B:B,0)-1,0)</f>
        <v>3021</v>
      </c>
      <c r="R2220" s="153">
        <v>1</v>
      </c>
      <c r="S2220" s="157">
        <f ca="1">ROUND(IF(R2220=0,0,IF(R2220=1,X2220*$S$1,IF(R2220=2,X2220*$S$1*buff的资质计算!$E$2,IF(R2220=3,X2220*$S$1*buff的资质计算!$E$3,0)))),0)*0</f>
        <v>0</v>
      </c>
      <c r="T2220" s="153">
        <v>3</v>
      </c>
      <c r="U2220" s="153">
        <f ca="1" t="shared" si="380"/>
        <v>62</v>
      </c>
      <c r="V2220" s="153">
        <f ca="1">ROUND((OFFSET(卡牌辅助配置表!$O$1,MATCH(U2220,卡牌辅助配置表!M:M,0)-1,0)+(N2220-1)*OFFSET(卡牌辅助配置表!$P$1,MATCH(U2220,卡牌辅助配置表!M:M,0)-1,0))*M2220,2)</f>
        <v>143.4</v>
      </c>
      <c r="W2220" s="157">
        <f ca="1">ROUND(IF(R2220=0,0,IF(R2220=1,X2220*$W$1,IF(R2220=2,X2220*$W$1*buff的资质计算!$E$2,IF(R2220=3,X2220*$W$1*buff的资质计算!$E$3,0)))),2)</f>
        <v>22.35</v>
      </c>
      <c r="X2220" s="157">
        <f ca="1" t="shared" si="376"/>
        <v>74.5</v>
      </c>
      <c r="Y2220" s="157" t="e">
        <f ca="1" t="shared" si="383"/>
        <v>#VALUE!</v>
      </c>
      <c r="Z2220" s="304" t="e">
        <f ca="1" t="shared" si="377"/>
        <v>#VALUE!</v>
      </c>
      <c r="AA2220" s="304">
        <f ca="1">OFFSET(卡牌辅助配置表!$AD$1,MATCH(AB2220,卡牌辅助配置表!AB:AB,0)-1,0)</f>
        <v>53676</v>
      </c>
      <c r="AB2220" s="304">
        <f ca="1" t="shared" si="381"/>
        <v>6214</v>
      </c>
      <c r="AC2220" s="153">
        <v>12</v>
      </c>
      <c r="AF2220" s="153" t="str">
        <f ca="1" t="shared" si="375"/>
        <v>30210011|</v>
      </c>
      <c r="AJ2220" s="205" t="str">
        <f ca="1" t="shared" si="382"/>
        <v>400023|6450|;</v>
      </c>
      <c r="AK2220" s="205">
        <f ca="1">OFFSET([1]item_type!$A$1,MATCH(Q2220,[1]item_type!$G:$G,0)-1,0)</f>
        <v>303021</v>
      </c>
      <c r="AL2220" s="205"/>
      <c r="AM2220" s="205">
        <f ca="1">IF(B2220=B2221,OFFSET(卡牌辅助配置表!$AE$1,MATCH(AB2220,卡牌辅助配置表!AB:AB,0),0),0)</f>
        <v>6450</v>
      </c>
      <c r="AN2220" s="153">
        <f ca="1" t="shared" si="378"/>
        <v>3021015</v>
      </c>
      <c r="AP2220" s="153">
        <f ca="1">IF(AC2220=0,0,IF(AC2220=12,0,OFFSET(effect!$N$1,MATCH(K2220,effect!M:M,0)-1,0)))</f>
        <v>0</v>
      </c>
    </row>
    <row r="2221" spans="1:42">
      <c r="A2221" s="153">
        <f ca="1" t="shared" si="379"/>
        <v>3021015</v>
      </c>
      <c r="B2221" s="91" t="s">
        <v>923</v>
      </c>
      <c r="C2221" s="186">
        <v>3</v>
      </c>
      <c r="D2221" s="186">
        <v>3</v>
      </c>
      <c r="E2221" s="165" t="s">
        <v>1069</v>
      </c>
      <c r="F2221" s="179" t="s">
        <v>924</v>
      </c>
      <c r="G2221" s="186">
        <f ca="1">OFFSET(卡牌辅助配置表!$C$1,MATCH(AC2221,卡牌辅助配置表!A:A,0)-1,0)</f>
        <v>0</v>
      </c>
      <c r="H2221" s="186" t="e">
        <f ca="1">OFFSET(skill!$Q$1,MATCH(B2221,skill!B:B,0)-1,0)</f>
        <v>#VALUE!</v>
      </c>
      <c r="I2221" s="186"/>
      <c r="J2221" s="186">
        <f ca="1">OFFSET(card_type!$F$1,MATCH(Q2221,card_type!A:A,0)-1,0)</f>
        <v>6</v>
      </c>
      <c r="K2221" s="243">
        <f ca="1">OFFSET(card_type!$G$1,MATCH(Q2221,card_type!A:A,0)-1,0)</f>
        <v>2</v>
      </c>
      <c r="L2221" s="157">
        <v>2</v>
      </c>
      <c r="M2221" s="157">
        <v>2</v>
      </c>
      <c r="N2221" s="153">
        <f t="shared" si="384"/>
        <v>15</v>
      </c>
      <c r="O2221" s="157"/>
      <c r="P2221" s="157"/>
      <c r="Q2221" s="153">
        <f ca="1">OFFSET(card_type!$A$1,MATCH(card!B2221,card_type!B:B,0)-1,0)</f>
        <v>3021</v>
      </c>
      <c r="R2221" s="153">
        <v>1</v>
      </c>
      <c r="S2221" s="157">
        <f ca="1">ROUND(IF(R2221=0,0,IF(R2221=1,X2221*$S$1,IF(R2221=2,X2221*$S$1*buff的资质计算!$E$2,IF(R2221=3,X2221*$S$1*buff的资质计算!$E$3,0)))),0)*0</f>
        <v>0</v>
      </c>
      <c r="T2221" s="153">
        <v>3</v>
      </c>
      <c r="U2221" s="153">
        <f ca="1" t="shared" si="380"/>
        <v>62</v>
      </c>
      <c r="V2221" s="153">
        <f ca="1">ROUND((OFFSET(卡牌辅助配置表!$O$1,MATCH(U2221,卡牌辅助配置表!M:M,0)-1,0)+(N2221-1)*OFFSET(卡牌辅助配置表!$P$1,MATCH(U2221,卡牌辅助配置表!M:M,0)-1,0))*M2221,2)</f>
        <v>143.4</v>
      </c>
      <c r="W2221" s="157">
        <f ca="1">ROUND(IF(R2221=0,0,IF(R2221=1,X2221*$W$1,IF(R2221=2,X2221*$W$1*buff的资质计算!$E$2,IF(R2221=3,X2221*$W$1*buff的资质计算!$E$3,0)))),2)</f>
        <v>22.5</v>
      </c>
      <c r="X2221" s="157">
        <f ca="1" t="shared" si="376"/>
        <v>75</v>
      </c>
      <c r="Y2221" s="157" t="e">
        <f ca="1" t="shared" si="383"/>
        <v>#VALUE!</v>
      </c>
      <c r="Z2221" s="304" t="e">
        <f ca="1" t="shared" si="377"/>
        <v>#VALUE!</v>
      </c>
      <c r="AA2221" s="304">
        <f ca="1">OFFSET(卡牌辅助配置表!$AD$1,MATCH(AB2221,卡牌辅助配置表!AB:AB,0)-1,0)</f>
        <v>57510</v>
      </c>
      <c r="AB2221" s="304">
        <f ca="1" t="shared" si="381"/>
        <v>6215</v>
      </c>
      <c r="AC2221" s="153">
        <v>12</v>
      </c>
      <c r="AF2221" s="153" t="str">
        <f ca="1" t="shared" si="375"/>
        <v>30210011|</v>
      </c>
      <c r="AJ2221" s="205" t="str">
        <f ca="1" t="shared" si="382"/>
        <v>400023|7050|;</v>
      </c>
      <c r="AK2221" s="205">
        <f ca="1">OFFSET([1]item_type!$A$1,MATCH(Q2221,[1]item_type!$G:$G,0)-1,0)</f>
        <v>303021</v>
      </c>
      <c r="AL2221" s="205"/>
      <c r="AM2221" s="205">
        <f ca="1">IF(B2221=B2222,OFFSET(卡牌辅助配置表!$AE$1,MATCH(AB2221,卡牌辅助配置表!AB:AB,0),0),0)</f>
        <v>7050</v>
      </c>
      <c r="AN2221" s="153">
        <f ca="1" t="shared" si="378"/>
        <v>3021016</v>
      </c>
      <c r="AP2221" s="153">
        <f ca="1">IF(AC2221=0,0,IF(AC2221=12,0,OFFSET(effect!$N$1,MATCH(K2221,effect!M:M,0)-1,0)))</f>
        <v>0</v>
      </c>
    </row>
    <row r="2222" spans="1:42">
      <c r="A2222" s="153">
        <f ca="1" t="shared" si="379"/>
        <v>3021016</v>
      </c>
      <c r="B2222" s="91" t="s">
        <v>923</v>
      </c>
      <c r="C2222" s="186">
        <v>3</v>
      </c>
      <c r="D2222" s="186">
        <v>3</v>
      </c>
      <c r="E2222" s="165" t="s">
        <v>1069</v>
      </c>
      <c r="F2222" s="179" t="s">
        <v>924</v>
      </c>
      <c r="G2222" s="186">
        <f ca="1">OFFSET(卡牌辅助配置表!$C$1,MATCH(AC2222,卡牌辅助配置表!A:A,0)-1,0)</f>
        <v>0</v>
      </c>
      <c r="H2222" s="186" t="e">
        <f ca="1">OFFSET(skill!$Q$1,MATCH(B2222,skill!B:B,0)-1,0)</f>
        <v>#VALUE!</v>
      </c>
      <c r="I2222" s="186"/>
      <c r="J2222" s="186">
        <f ca="1">OFFSET(card_type!$F$1,MATCH(Q2222,card_type!A:A,0)-1,0)</f>
        <v>6</v>
      </c>
      <c r="K2222" s="243">
        <f ca="1">OFFSET(card_type!$G$1,MATCH(Q2222,card_type!A:A,0)-1,0)</f>
        <v>2</v>
      </c>
      <c r="L2222" s="157">
        <v>2</v>
      </c>
      <c r="M2222" s="157">
        <v>2</v>
      </c>
      <c r="N2222" s="153">
        <f t="shared" si="384"/>
        <v>16</v>
      </c>
      <c r="O2222" s="157"/>
      <c r="P2222" s="157"/>
      <c r="Q2222" s="153">
        <f ca="1">OFFSET(card_type!$A$1,MATCH(card!B2222,card_type!B:B,0)-1,0)</f>
        <v>3021</v>
      </c>
      <c r="R2222" s="153">
        <v>1</v>
      </c>
      <c r="S2222" s="157">
        <f ca="1">ROUND(IF(R2222=0,0,IF(R2222=1,X2222*$S$1,IF(R2222=2,X2222*$S$1*buff的资质计算!$E$2,IF(R2222=3,X2222*$S$1*buff的资质计算!$E$3,0)))),0)*0</f>
        <v>0</v>
      </c>
      <c r="T2222" s="153">
        <v>3</v>
      </c>
      <c r="U2222" s="153">
        <f ca="1" t="shared" si="380"/>
        <v>62</v>
      </c>
      <c r="V2222" s="153">
        <f ca="1">ROUND((OFFSET(卡牌辅助配置表!$O$1,MATCH(U2222,卡牌辅助配置表!M:M,0)-1,0)+(N2222-1)*OFFSET(卡牌辅助配置表!$P$1,MATCH(U2222,卡牌辅助配置表!M:M,0)-1,0))*M2222,2)</f>
        <v>143.4</v>
      </c>
      <c r="W2222" s="157">
        <f ca="1">ROUND(IF(R2222=0,0,IF(R2222=1,X2222*$W$1,IF(R2222=2,X2222*$W$1*buff的资质计算!$E$2,IF(R2222=3,X2222*$W$1*buff的资质计算!$E$3,0)))),2)</f>
        <v>22.65</v>
      </c>
      <c r="X2222" s="157">
        <f ca="1" t="shared" si="376"/>
        <v>75.5</v>
      </c>
      <c r="Y2222" s="157" t="e">
        <f ca="1" t="shared" si="383"/>
        <v>#VALUE!</v>
      </c>
      <c r="Z2222" s="304" t="e">
        <f ca="1" t="shared" si="377"/>
        <v>#VALUE!</v>
      </c>
      <c r="AA2222" s="304">
        <f ca="1">OFFSET(卡牌辅助配置表!$AD$1,MATCH(AB2222,卡牌辅助配置表!AB:AB,0)-1,0)</f>
        <v>61344</v>
      </c>
      <c r="AB2222" s="304">
        <f ca="1" t="shared" si="381"/>
        <v>6216</v>
      </c>
      <c r="AC2222" s="153">
        <v>12</v>
      </c>
      <c r="AF2222" s="153" t="str">
        <f ca="1" t="shared" si="375"/>
        <v>30210011|</v>
      </c>
      <c r="AJ2222" s="205" t="str">
        <f ca="1" t="shared" si="382"/>
        <v>400023|7650|;</v>
      </c>
      <c r="AK2222" s="205">
        <f ca="1">OFFSET([1]item_type!$A$1,MATCH(Q2222,[1]item_type!$G:$G,0)-1,0)</f>
        <v>303021</v>
      </c>
      <c r="AL2222" s="205"/>
      <c r="AM2222" s="205">
        <f ca="1">IF(B2222=B2223,OFFSET(卡牌辅助配置表!$AE$1,MATCH(AB2222,卡牌辅助配置表!AB:AB,0),0),0)</f>
        <v>7650</v>
      </c>
      <c r="AN2222" s="153">
        <f ca="1" t="shared" si="378"/>
        <v>3021017</v>
      </c>
      <c r="AP2222" s="153">
        <f ca="1">IF(AC2222=0,0,IF(AC2222=12,0,OFFSET(effect!$N$1,MATCH(K2222,effect!M:M,0)-1,0)))</f>
        <v>0</v>
      </c>
    </row>
    <row r="2223" spans="1:42">
      <c r="A2223" s="153">
        <f ca="1" t="shared" si="379"/>
        <v>3021017</v>
      </c>
      <c r="B2223" s="91" t="s">
        <v>923</v>
      </c>
      <c r="C2223" s="186">
        <v>3</v>
      </c>
      <c r="D2223" s="186">
        <v>3</v>
      </c>
      <c r="E2223" s="165" t="s">
        <v>1069</v>
      </c>
      <c r="F2223" s="179" t="s">
        <v>924</v>
      </c>
      <c r="G2223" s="186">
        <f ca="1">OFFSET(卡牌辅助配置表!$C$1,MATCH(AC2223,卡牌辅助配置表!A:A,0)-1,0)</f>
        <v>0</v>
      </c>
      <c r="H2223" s="186" t="e">
        <f ca="1">OFFSET(skill!$Q$1,MATCH(B2223,skill!B:B,0)-1,0)</f>
        <v>#VALUE!</v>
      </c>
      <c r="I2223" s="186"/>
      <c r="J2223" s="186">
        <f ca="1">OFFSET(card_type!$F$1,MATCH(Q2223,card_type!A:A,0)-1,0)</f>
        <v>6</v>
      </c>
      <c r="K2223" s="243">
        <f ca="1">OFFSET(card_type!$G$1,MATCH(Q2223,card_type!A:A,0)-1,0)</f>
        <v>2</v>
      </c>
      <c r="L2223" s="157">
        <v>2</v>
      </c>
      <c r="M2223" s="157">
        <v>2</v>
      </c>
      <c r="N2223" s="153">
        <f t="shared" si="384"/>
        <v>17</v>
      </c>
      <c r="O2223" s="157"/>
      <c r="P2223" s="157"/>
      <c r="Q2223" s="153">
        <f ca="1">OFFSET(card_type!$A$1,MATCH(card!B2223,card_type!B:B,0)-1,0)</f>
        <v>3021</v>
      </c>
      <c r="R2223" s="153">
        <v>1</v>
      </c>
      <c r="S2223" s="157">
        <f ca="1">ROUND(IF(R2223=0,0,IF(R2223=1,X2223*$S$1,IF(R2223=2,X2223*$S$1*buff的资质计算!$E$2,IF(R2223=3,X2223*$S$1*buff的资质计算!$E$3,0)))),0)*0</f>
        <v>0</v>
      </c>
      <c r="T2223" s="153">
        <v>3</v>
      </c>
      <c r="U2223" s="153">
        <f ca="1" t="shared" si="380"/>
        <v>62</v>
      </c>
      <c r="V2223" s="153">
        <f ca="1">ROUND((OFFSET(卡牌辅助配置表!$O$1,MATCH(U2223,卡牌辅助配置表!M:M,0)-1,0)+(N2223-1)*OFFSET(卡牌辅助配置表!$P$1,MATCH(U2223,卡牌辅助配置表!M:M,0)-1,0))*M2223,2)</f>
        <v>143.4</v>
      </c>
      <c r="W2223" s="157">
        <f ca="1">ROUND(IF(R2223=0,0,IF(R2223=1,X2223*$W$1,IF(R2223=2,X2223*$W$1*buff的资质计算!$E$2,IF(R2223=3,X2223*$W$1*buff的资质计算!$E$3,0)))),2)</f>
        <v>22.8</v>
      </c>
      <c r="X2223" s="157">
        <f ca="1" t="shared" si="376"/>
        <v>76</v>
      </c>
      <c r="Y2223" s="157" t="e">
        <f ca="1" t="shared" si="383"/>
        <v>#VALUE!</v>
      </c>
      <c r="Z2223" s="304" t="e">
        <f ca="1" t="shared" si="377"/>
        <v>#VALUE!</v>
      </c>
      <c r="AA2223" s="304">
        <f ca="1">OFFSET(卡牌辅助配置表!$AD$1,MATCH(AB2223,卡牌辅助配置表!AB:AB,0)-1,0)</f>
        <v>65178</v>
      </c>
      <c r="AB2223" s="304">
        <f ca="1" t="shared" si="381"/>
        <v>6217</v>
      </c>
      <c r="AC2223" s="153">
        <v>12</v>
      </c>
      <c r="AF2223" s="153" t="str">
        <f ca="1" t="shared" si="375"/>
        <v>30210011|</v>
      </c>
      <c r="AJ2223" s="205" t="str">
        <f ca="1" t="shared" si="382"/>
        <v>400023|8250|;</v>
      </c>
      <c r="AK2223" s="205">
        <f ca="1">OFFSET([1]item_type!$A$1,MATCH(Q2223,[1]item_type!$G:$G,0)-1,0)</f>
        <v>303021</v>
      </c>
      <c r="AL2223" s="205"/>
      <c r="AM2223" s="205">
        <f ca="1">IF(B2223=B2224,OFFSET(卡牌辅助配置表!$AE$1,MATCH(AB2223,卡牌辅助配置表!AB:AB,0),0),0)</f>
        <v>8250</v>
      </c>
      <c r="AN2223" s="153">
        <f ca="1" t="shared" si="378"/>
        <v>3021018</v>
      </c>
      <c r="AP2223" s="153">
        <f ca="1">IF(AC2223=0,0,IF(AC2223=12,0,OFFSET(effect!$N$1,MATCH(K2223,effect!M:M,0)-1,0)))</f>
        <v>0</v>
      </c>
    </row>
    <row r="2224" spans="1:42">
      <c r="A2224" s="153">
        <f ca="1" t="shared" si="379"/>
        <v>3021018</v>
      </c>
      <c r="B2224" s="91" t="s">
        <v>923</v>
      </c>
      <c r="C2224" s="186">
        <v>3</v>
      </c>
      <c r="D2224" s="186">
        <v>3</v>
      </c>
      <c r="E2224" s="165" t="s">
        <v>1069</v>
      </c>
      <c r="F2224" s="179" t="s">
        <v>924</v>
      </c>
      <c r="G2224" s="186">
        <f ca="1">OFFSET(卡牌辅助配置表!$C$1,MATCH(AC2224,卡牌辅助配置表!A:A,0)-1,0)</f>
        <v>0</v>
      </c>
      <c r="H2224" s="186" t="e">
        <f ca="1">OFFSET(skill!$Q$1,MATCH(B2224,skill!B:B,0)-1,0)</f>
        <v>#VALUE!</v>
      </c>
      <c r="I2224" s="186"/>
      <c r="J2224" s="186">
        <f ca="1">OFFSET(card_type!$F$1,MATCH(Q2224,card_type!A:A,0)-1,0)</f>
        <v>6</v>
      </c>
      <c r="K2224" s="243">
        <f ca="1">OFFSET(card_type!$G$1,MATCH(Q2224,card_type!A:A,0)-1,0)</f>
        <v>2</v>
      </c>
      <c r="L2224" s="157">
        <v>2</v>
      </c>
      <c r="M2224" s="157">
        <v>2</v>
      </c>
      <c r="N2224" s="153">
        <f t="shared" si="384"/>
        <v>18</v>
      </c>
      <c r="O2224" s="157"/>
      <c r="P2224" s="157"/>
      <c r="Q2224" s="153">
        <f ca="1">OFFSET(card_type!$A$1,MATCH(card!B2224,card_type!B:B,0)-1,0)</f>
        <v>3021</v>
      </c>
      <c r="R2224" s="153">
        <v>1</v>
      </c>
      <c r="S2224" s="157">
        <f ca="1">ROUND(IF(R2224=0,0,IF(R2224=1,X2224*$S$1,IF(R2224=2,X2224*$S$1*buff的资质计算!$E$2,IF(R2224=3,X2224*$S$1*buff的资质计算!$E$3,0)))),0)*0</f>
        <v>0</v>
      </c>
      <c r="T2224" s="153">
        <v>3</v>
      </c>
      <c r="U2224" s="153">
        <f ca="1" t="shared" si="380"/>
        <v>62</v>
      </c>
      <c r="V2224" s="153">
        <f ca="1">ROUND((OFFSET(卡牌辅助配置表!$O$1,MATCH(U2224,卡牌辅助配置表!M:M,0)-1,0)+(N2224-1)*OFFSET(卡牌辅助配置表!$P$1,MATCH(U2224,卡牌辅助配置表!M:M,0)-1,0))*M2224,2)</f>
        <v>143.4</v>
      </c>
      <c r="W2224" s="157">
        <f ca="1">ROUND(IF(R2224=0,0,IF(R2224=1,X2224*$W$1,IF(R2224=2,X2224*$W$1*buff的资质计算!$E$2,IF(R2224=3,X2224*$W$1*buff的资质计算!$E$3,0)))),2)</f>
        <v>22.95</v>
      </c>
      <c r="X2224" s="157">
        <f ca="1" t="shared" si="376"/>
        <v>76.5</v>
      </c>
      <c r="Y2224" s="157" t="e">
        <f ca="1" t="shared" si="383"/>
        <v>#VALUE!</v>
      </c>
      <c r="Z2224" s="304" t="e">
        <f ca="1" t="shared" si="377"/>
        <v>#VALUE!</v>
      </c>
      <c r="AA2224" s="304">
        <f ca="1">OFFSET(卡牌辅助配置表!$AD$1,MATCH(AB2224,卡牌辅助配置表!AB:AB,0)-1,0)</f>
        <v>69012</v>
      </c>
      <c r="AB2224" s="304">
        <f ca="1" t="shared" si="381"/>
        <v>6218</v>
      </c>
      <c r="AC2224" s="153">
        <v>12</v>
      </c>
      <c r="AF2224" s="153" t="str">
        <f ca="1" t="shared" si="375"/>
        <v>30210011|</v>
      </c>
      <c r="AJ2224" s="205" t="str">
        <f ca="1" t="shared" si="382"/>
        <v>400023|8850|;</v>
      </c>
      <c r="AK2224" s="205">
        <f ca="1">OFFSET([1]item_type!$A$1,MATCH(Q2224,[1]item_type!$G:$G,0)-1,0)</f>
        <v>303021</v>
      </c>
      <c r="AL2224" s="205"/>
      <c r="AM2224" s="205">
        <f ca="1">IF(B2224=B2225,OFFSET(卡牌辅助配置表!$AE$1,MATCH(AB2224,卡牌辅助配置表!AB:AB,0),0),0)</f>
        <v>8850</v>
      </c>
      <c r="AN2224" s="153">
        <f ca="1" t="shared" si="378"/>
        <v>3021019</v>
      </c>
      <c r="AP2224" s="153">
        <f ca="1">IF(AC2224=0,0,IF(AC2224=12,0,OFFSET(effect!$N$1,MATCH(K2224,effect!M:M,0)-1,0)))</f>
        <v>0</v>
      </c>
    </row>
    <row r="2225" spans="1:42">
      <c r="A2225" s="153">
        <f ca="1" t="shared" si="379"/>
        <v>3021019</v>
      </c>
      <c r="B2225" s="91" t="s">
        <v>923</v>
      </c>
      <c r="C2225" s="186">
        <v>3</v>
      </c>
      <c r="D2225" s="186">
        <v>3</v>
      </c>
      <c r="E2225" s="165" t="s">
        <v>1069</v>
      </c>
      <c r="F2225" s="179" t="s">
        <v>924</v>
      </c>
      <c r="G2225" s="186">
        <f ca="1">OFFSET(卡牌辅助配置表!$C$1,MATCH(AC2225,卡牌辅助配置表!A:A,0)-1,0)</f>
        <v>0</v>
      </c>
      <c r="H2225" s="186" t="e">
        <f ca="1">OFFSET(skill!$Q$1,MATCH(B2225,skill!B:B,0)-1,0)</f>
        <v>#VALUE!</v>
      </c>
      <c r="I2225" s="186"/>
      <c r="J2225" s="186">
        <f ca="1">OFFSET(card_type!$F$1,MATCH(Q2225,card_type!A:A,0)-1,0)</f>
        <v>6</v>
      </c>
      <c r="K2225" s="243">
        <f ca="1">OFFSET(card_type!$G$1,MATCH(Q2225,card_type!A:A,0)-1,0)</f>
        <v>2</v>
      </c>
      <c r="L2225" s="157">
        <v>2</v>
      </c>
      <c r="M2225" s="157">
        <v>2</v>
      </c>
      <c r="N2225" s="153">
        <f t="shared" si="384"/>
        <v>19</v>
      </c>
      <c r="O2225" s="157"/>
      <c r="P2225" s="157"/>
      <c r="Q2225" s="153">
        <f ca="1">OFFSET(card_type!$A$1,MATCH(card!B2225,card_type!B:B,0)-1,0)</f>
        <v>3021</v>
      </c>
      <c r="R2225" s="153">
        <v>1</v>
      </c>
      <c r="S2225" s="157">
        <f ca="1">ROUND(IF(R2225=0,0,IF(R2225=1,X2225*$S$1,IF(R2225=2,X2225*$S$1*buff的资质计算!$E$2,IF(R2225=3,X2225*$S$1*buff的资质计算!$E$3,0)))),0)*0</f>
        <v>0</v>
      </c>
      <c r="T2225" s="153">
        <v>3</v>
      </c>
      <c r="U2225" s="153">
        <f ca="1" t="shared" si="380"/>
        <v>62</v>
      </c>
      <c r="V2225" s="153">
        <f ca="1">ROUND((OFFSET(卡牌辅助配置表!$O$1,MATCH(U2225,卡牌辅助配置表!M:M,0)-1,0)+(N2225-1)*OFFSET(卡牌辅助配置表!$P$1,MATCH(U2225,卡牌辅助配置表!M:M,0)-1,0))*M2225,2)</f>
        <v>143.4</v>
      </c>
      <c r="W2225" s="157">
        <f ca="1">ROUND(IF(R2225=0,0,IF(R2225=1,X2225*$W$1,IF(R2225=2,X2225*$W$1*buff的资质计算!$E$2,IF(R2225=3,X2225*$W$1*buff的资质计算!$E$3,0)))),2)</f>
        <v>23.1</v>
      </c>
      <c r="X2225" s="157">
        <f ca="1" t="shared" si="376"/>
        <v>77</v>
      </c>
      <c r="Y2225" s="157" t="e">
        <f ca="1" t="shared" si="383"/>
        <v>#VALUE!</v>
      </c>
      <c r="Z2225" s="304" t="e">
        <f ca="1" t="shared" si="377"/>
        <v>#VALUE!</v>
      </c>
      <c r="AA2225" s="304">
        <f ca="1">OFFSET(卡牌辅助配置表!$AD$1,MATCH(AB2225,卡牌辅助配置表!AB:AB,0)-1,0)</f>
        <v>72846</v>
      </c>
      <c r="AB2225" s="304">
        <f ca="1" t="shared" si="381"/>
        <v>6219</v>
      </c>
      <c r="AC2225" s="153">
        <v>12</v>
      </c>
      <c r="AF2225" s="153" t="str">
        <f ca="1" t="shared" si="375"/>
        <v>30210011|</v>
      </c>
      <c r="AJ2225" s="205" t="str">
        <f ca="1" t="shared" si="382"/>
        <v>303021|20|;400023|9450|;</v>
      </c>
      <c r="AK2225" s="205">
        <f ca="1">OFFSET([1]item_type!$A$1,MATCH(Q2225,[1]item_type!$G:$G,0)-1,0)</f>
        <v>303021</v>
      </c>
      <c r="AL2225" s="205">
        <v>20</v>
      </c>
      <c r="AM2225" s="205">
        <f ca="1">IF(B2225=B2226,OFFSET(卡牌辅助配置表!$AE$1,MATCH(AB2225,卡牌辅助配置表!AB:AB,0),0),0)</f>
        <v>9450</v>
      </c>
      <c r="AN2225" s="153">
        <f ca="1" t="shared" si="378"/>
        <v>3021020</v>
      </c>
      <c r="AP2225" s="153">
        <f ca="1">IF(AC2225=0,0,IF(AC2225=12,0,OFFSET(effect!$N$1,MATCH(K2225,effect!M:M,0)-1,0)))</f>
        <v>0</v>
      </c>
    </row>
    <row r="2226" spans="1:42">
      <c r="A2226" s="153">
        <f ca="1" t="shared" si="379"/>
        <v>3021020</v>
      </c>
      <c r="B2226" s="91" t="s">
        <v>923</v>
      </c>
      <c r="C2226" s="186">
        <v>3</v>
      </c>
      <c r="D2226" s="186">
        <v>3</v>
      </c>
      <c r="E2226" s="165" t="s">
        <v>1069</v>
      </c>
      <c r="F2226" s="179" t="s">
        <v>924</v>
      </c>
      <c r="G2226" s="186">
        <f ca="1">OFFSET(卡牌辅助配置表!$C$1,MATCH(AC2226,卡牌辅助配置表!A:A,0)-1,0)</f>
        <v>0</v>
      </c>
      <c r="H2226" s="186" t="e">
        <f ca="1">OFFSET(skill!$Q$1,MATCH(B2226,skill!B:B,0)-1,0)</f>
        <v>#VALUE!</v>
      </c>
      <c r="I2226" s="186"/>
      <c r="J2226" s="186">
        <f ca="1">OFFSET(card_type!$F$1,MATCH(Q2226,card_type!A:A,0)-1,0)</f>
        <v>6</v>
      </c>
      <c r="K2226" s="243">
        <f ca="1">OFFSET(card_type!$G$1,MATCH(Q2226,card_type!A:A,0)-1,0)</f>
        <v>2</v>
      </c>
      <c r="L2226" s="157">
        <v>2</v>
      </c>
      <c r="M2226" s="157">
        <v>2</v>
      </c>
      <c r="N2226" s="153">
        <f t="shared" si="384"/>
        <v>20</v>
      </c>
      <c r="O2226" s="157"/>
      <c r="P2226" s="157"/>
      <c r="Q2226" s="153">
        <f ca="1">OFFSET(card_type!$A$1,MATCH(card!B2226,card_type!B:B,0)-1,0)</f>
        <v>3021</v>
      </c>
      <c r="R2226" s="153">
        <v>1</v>
      </c>
      <c r="S2226" s="157">
        <f ca="1">ROUND(IF(R2226=0,0,IF(R2226=1,X2226*$S$1,IF(R2226=2,X2226*$S$1*buff的资质计算!$E$2,IF(R2226=3,X2226*$S$1*buff的资质计算!$E$3,0)))),0)*0</f>
        <v>0</v>
      </c>
      <c r="T2226" s="153">
        <v>3</v>
      </c>
      <c r="U2226" s="153">
        <f ca="1" t="shared" si="380"/>
        <v>62</v>
      </c>
      <c r="V2226" s="153">
        <f ca="1">ROUND((OFFSET(卡牌辅助配置表!$O$1,MATCH(U2226,卡牌辅助配置表!M:M,0)-1,0)+(N2226-1)*OFFSET(卡牌辅助配置表!$P$1,MATCH(U2226,卡牌辅助配置表!M:M,0)-1,0))*M2226,2)</f>
        <v>143.4</v>
      </c>
      <c r="W2226" s="157">
        <f ca="1">ROUND(IF(R2226=0,0,IF(R2226=1,X2226*$W$1,IF(R2226=2,X2226*$W$1*buff的资质计算!$E$2,IF(R2226=3,X2226*$W$1*buff的资质计算!$E$3,0)))),2)</f>
        <v>23.25</v>
      </c>
      <c r="X2226" s="157">
        <f ca="1" t="shared" si="376"/>
        <v>77.5</v>
      </c>
      <c r="Y2226" s="157" t="e">
        <f ca="1" t="shared" si="383"/>
        <v>#VALUE!</v>
      </c>
      <c r="Z2226" s="304" t="e">
        <f ca="1" t="shared" si="377"/>
        <v>#VALUE!</v>
      </c>
      <c r="AA2226" s="304">
        <f ca="1">OFFSET(卡牌辅助配置表!$AD$1,MATCH(AB2226,卡牌辅助配置表!AB:AB,0)-1,0)</f>
        <v>76680</v>
      </c>
      <c r="AB2226" s="304">
        <f ca="1" t="shared" si="381"/>
        <v>6220</v>
      </c>
      <c r="AC2226" s="153">
        <v>12</v>
      </c>
      <c r="AF2226" s="153" t="str">
        <f ca="1" t="shared" si="375"/>
        <v>30210011|</v>
      </c>
      <c r="AJ2226" s="205" t="str">
        <f ca="1" t="shared" si="382"/>
        <v>400023|10650|;</v>
      </c>
      <c r="AK2226" s="205">
        <f ca="1">OFFSET([1]item_type!$A$1,MATCH(Q2226,[1]item_type!$G:$G,0)-1,0)</f>
        <v>303021</v>
      </c>
      <c r="AL2226" s="205"/>
      <c r="AM2226" s="205">
        <f ca="1">IF(B2226=B2227,OFFSET(卡牌辅助配置表!$AE$1,MATCH(AB2226,卡牌辅助配置表!AB:AB,0),0),0)</f>
        <v>10650</v>
      </c>
      <c r="AN2226" s="153">
        <f ca="1" t="shared" si="378"/>
        <v>3021021</v>
      </c>
      <c r="AP2226" s="153">
        <f ca="1">IF(AC2226=0,0,IF(AC2226=12,0,OFFSET(effect!$N$1,MATCH(K2226,effect!M:M,0)-1,0)))</f>
        <v>0</v>
      </c>
    </row>
    <row r="2227" spans="1:42">
      <c r="A2227" s="153">
        <f ca="1" t="shared" si="379"/>
        <v>3021021</v>
      </c>
      <c r="B2227" s="91" t="s">
        <v>923</v>
      </c>
      <c r="C2227" s="186">
        <v>3</v>
      </c>
      <c r="D2227" s="186">
        <v>3</v>
      </c>
      <c r="E2227" s="165" t="s">
        <v>1069</v>
      </c>
      <c r="F2227" s="179" t="s">
        <v>924</v>
      </c>
      <c r="G2227" s="186">
        <f ca="1">OFFSET(卡牌辅助配置表!$C$1,MATCH(AC2227,卡牌辅助配置表!A:A,0)-1,0)</f>
        <v>0</v>
      </c>
      <c r="H2227" s="186" t="e">
        <f ca="1">OFFSET(skill!$Q$1,MATCH(B2227,skill!B:B,0)-1,0)</f>
        <v>#VALUE!</v>
      </c>
      <c r="I2227" s="186"/>
      <c r="J2227" s="186">
        <f ca="1">OFFSET(card_type!$F$1,MATCH(Q2227,card_type!A:A,0)-1,0)</f>
        <v>6</v>
      </c>
      <c r="K2227" s="243">
        <f ca="1">OFFSET(card_type!$G$1,MATCH(Q2227,card_type!A:A,0)-1,0)</f>
        <v>2</v>
      </c>
      <c r="L2227" s="157">
        <v>2</v>
      </c>
      <c r="M2227" s="157">
        <v>2</v>
      </c>
      <c r="N2227" s="153">
        <f t="shared" si="384"/>
        <v>21</v>
      </c>
      <c r="O2227" s="157"/>
      <c r="P2227" s="157"/>
      <c r="Q2227" s="153">
        <f ca="1">OFFSET(card_type!$A$1,MATCH(card!B2227,card_type!B:B,0)-1,0)</f>
        <v>3021</v>
      </c>
      <c r="R2227" s="153">
        <v>1</v>
      </c>
      <c r="S2227" s="157">
        <f ca="1">ROUND(IF(R2227=0,0,IF(R2227=1,X2227*$S$1,IF(R2227=2,X2227*$S$1*buff的资质计算!$E$2,IF(R2227=3,X2227*$S$1*buff的资质计算!$E$3,0)))),0)*0</f>
        <v>0</v>
      </c>
      <c r="T2227" s="153">
        <v>3</v>
      </c>
      <c r="U2227" s="153">
        <f ca="1" t="shared" si="380"/>
        <v>62</v>
      </c>
      <c r="V2227" s="153">
        <f ca="1">ROUND((OFFSET(卡牌辅助配置表!$O$1,MATCH(U2227,卡牌辅助配置表!M:M,0)-1,0)+(N2227-1)*OFFSET(卡牌辅助配置表!$P$1,MATCH(U2227,卡牌辅助配置表!M:M,0)-1,0))*M2227,2)</f>
        <v>143.4</v>
      </c>
      <c r="W2227" s="157">
        <f ca="1">ROUND(IF(R2227=0,0,IF(R2227=1,X2227*$W$1,IF(R2227=2,X2227*$W$1*buff的资质计算!$E$2,IF(R2227=3,X2227*$W$1*buff的资质计算!$E$3,0)))),2)</f>
        <v>23.4</v>
      </c>
      <c r="X2227" s="157">
        <f ca="1" t="shared" si="376"/>
        <v>78</v>
      </c>
      <c r="Y2227" s="157" t="e">
        <f ca="1" t="shared" si="383"/>
        <v>#VALUE!</v>
      </c>
      <c r="Z2227" s="304" t="e">
        <f ca="1" t="shared" si="377"/>
        <v>#VALUE!</v>
      </c>
      <c r="AA2227" s="304">
        <f ca="1">OFFSET(卡牌辅助配置表!$AD$1,MATCH(AB2227,卡牌辅助配置表!AB:AB,0)-1,0)</f>
        <v>80514</v>
      </c>
      <c r="AB2227" s="304">
        <f ca="1" t="shared" si="381"/>
        <v>6221</v>
      </c>
      <c r="AC2227" s="153">
        <v>12</v>
      </c>
      <c r="AF2227" s="153" t="str">
        <f ca="1" t="shared" ref="AF2227:AF2290" si="385">((Q2227*1000+1)*10+1)&amp;$AF$1</f>
        <v>30210011|</v>
      </c>
      <c r="AJ2227" s="205" t="str">
        <f ca="1" t="shared" si="382"/>
        <v>400023|11850|;</v>
      </c>
      <c r="AK2227" s="205">
        <f ca="1">OFFSET([1]item_type!$A$1,MATCH(Q2227,[1]item_type!$G:$G,0)-1,0)</f>
        <v>303021</v>
      </c>
      <c r="AL2227" s="205"/>
      <c r="AM2227" s="205">
        <f ca="1">IF(B2227=B2228,OFFSET(卡牌辅助配置表!$AE$1,MATCH(AB2227,卡牌辅助配置表!AB:AB,0),0),0)</f>
        <v>11850</v>
      </c>
      <c r="AN2227" s="153">
        <f ca="1" t="shared" si="378"/>
        <v>3021022</v>
      </c>
      <c r="AP2227" s="153">
        <f ca="1">IF(AC2227=0,0,IF(AC2227=12,0,OFFSET(effect!$N$1,MATCH(K2227,effect!M:M,0)-1,0)))</f>
        <v>0</v>
      </c>
    </row>
    <row r="2228" spans="1:42">
      <c r="A2228" s="153">
        <f ca="1" t="shared" si="379"/>
        <v>3021022</v>
      </c>
      <c r="B2228" s="91" t="s">
        <v>923</v>
      </c>
      <c r="C2228" s="186">
        <v>3</v>
      </c>
      <c r="D2228" s="186">
        <v>3</v>
      </c>
      <c r="E2228" s="165" t="s">
        <v>1069</v>
      </c>
      <c r="F2228" s="179" t="s">
        <v>924</v>
      </c>
      <c r="G2228" s="186">
        <f ca="1">OFFSET(卡牌辅助配置表!$C$1,MATCH(AC2228,卡牌辅助配置表!A:A,0)-1,0)</f>
        <v>0</v>
      </c>
      <c r="H2228" s="186" t="e">
        <f ca="1">OFFSET(skill!$Q$1,MATCH(B2228,skill!B:B,0)-1,0)</f>
        <v>#VALUE!</v>
      </c>
      <c r="I2228" s="186"/>
      <c r="J2228" s="186">
        <f ca="1">OFFSET(card_type!$F$1,MATCH(Q2228,card_type!A:A,0)-1,0)</f>
        <v>6</v>
      </c>
      <c r="K2228" s="243">
        <f ca="1">OFFSET(card_type!$G$1,MATCH(Q2228,card_type!A:A,0)-1,0)</f>
        <v>2</v>
      </c>
      <c r="L2228" s="157">
        <v>2</v>
      </c>
      <c r="M2228" s="157">
        <v>2</v>
      </c>
      <c r="N2228" s="153">
        <f t="shared" si="384"/>
        <v>22</v>
      </c>
      <c r="O2228" s="157"/>
      <c r="P2228" s="157"/>
      <c r="Q2228" s="153">
        <f ca="1">OFFSET(card_type!$A$1,MATCH(card!B2228,card_type!B:B,0)-1,0)</f>
        <v>3021</v>
      </c>
      <c r="R2228" s="153">
        <v>1</v>
      </c>
      <c r="S2228" s="157">
        <f ca="1">ROUND(IF(R2228=0,0,IF(R2228=1,X2228*$S$1,IF(R2228=2,X2228*$S$1*buff的资质计算!$E$2,IF(R2228=3,X2228*$S$1*buff的资质计算!$E$3,0)))),0)*0</f>
        <v>0</v>
      </c>
      <c r="T2228" s="153">
        <v>3</v>
      </c>
      <c r="U2228" s="153">
        <f ca="1" t="shared" si="380"/>
        <v>62</v>
      </c>
      <c r="V2228" s="153">
        <f ca="1">ROUND((OFFSET(卡牌辅助配置表!$O$1,MATCH(U2228,卡牌辅助配置表!M:M,0)-1,0)+(N2228-1)*OFFSET(卡牌辅助配置表!$P$1,MATCH(U2228,卡牌辅助配置表!M:M,0)-1,0))*M2228,2)</f>
        <v>143.4</v>
      </c>
      <c r="W2228" s="157">
        <f ca="1">ROUND(IF(R2228=0,0,IF(R2228=1,X2228*$W$1,IF(R2228=2,X2228*$W$1*buff的资质计算!$E$2,IF(R2228=3,X2228*$W$1*buff的资质计算!$E$3,0)))),2)</f>
        <v>23.55</v>
      </c>
      <c r="X2228" s="157">
        <f ca="1" t="shared" ref="X2228:X2291" si="386">M2228*($M$1+(J2228-1)*$J$1+(K2228-1)*$K$1)+G2228+$J$1*(N2228-1)/$N$1</f>
        <v>78.5</v>
      </c>
      <c r="Y2228" s="157" t="e">
        <f ca="1" t="shared" si="383"/>
        <v>#VALUE!</v>
      </c>
      <c r="Z2228" s="304" t="e">
        <f ca="1" t="shared" ref="Z2228:Z2291" si="387">Y2228/M2228</f>
        <v>#VALUE!</v>
      </c>
      <c r="AA2228" s="304">
        <f ca="1">OFFSET(卡牌辅助配置表!$AD$1,MATCH(AB2228,卡牌辅助配置表!AB:AB,0)-1,0)</f>
        <v>84348</v>
      </c>
      <c r="AB2228" s="304">
        <f ca="1" t="shared" si="381"/>
        <v>6222</v>
      </c>
      <c r="AC2228" s="153">
        <v>12</v>
      </c>
      <c r="AF2228" s="153" t="str">
        <f ca="1" t="shared" si="385"/>
        <v>30210011|</v>
      </c>
      <c r="AJ2228" s="205" t="str">
        <f ca="1" t="shared" si="382"/>
        <v>400023|13050|;</v>
      </c>
      <c r="AK2228" s="205">
        <f ca="1">OFFSET([1]item_type!$A$1,MATCH(Q2228,[1]item_type!$G:$G,0)-1,0)</f>
        <v>303021</v>
      </c>
      <c r="AL2228" s="205"/>
      <c r="AM2228" s="205">
        <f ca="1">IF(B2228=B2229,OFFSET(卡牌辅助配置表!$AE$1,MATCH(AB2228,卡牌辅助配置表!AB:AB,0),0),0)</f>
        <v>13050</v>
      </c>
      <c r="AN2228" s="153">
        <f ca="1" t="shared" si="378"/>
        <v>3021023</v>
      </c>
      <c r="AP2228" s="153">
        <f ca="1">IF(AC2228=0,0,IF(AC2228=12,0,OFFSET(effect!$N$1,MATCH(K2228,effect!M:M,0)-1,0)))</f>
        <v>0</v>
      </c>
    </row>
    <row r="2229" spans="1:42">
      <c r="A2229" s="153">
        <f ca="1" t="shared" si="379"/>
        <v>3021023</v>
      </c>
      <c r="B2229" s="91" t="s">
        <v>923</v>
      </c>
      <c r="C2229" s="186">
        <v>3</v>
      </c>
      <c r="D2229" s="186">
        <v>3</v>
      </c>
      <c r="E2229" s="165" t="s">
        <v>1069</v>
      </c>
      <c r="F2229" s="179" t="s">
        <v>924</v>
      </c>
      <c r="G2229" s="186">
        <f ca="1">OFFSET(卡牌辅助配置表!$C$1,MATCH(AC2229,卡牌辅助配置表!A:A,0)-1,0)</f>
        <v>0</v>
      </c>
      <c r="H2229" s="186" t="e">
        <f ca="1">OFFSET(skill!$Q$1,MATCH(B2229,skill!B:B,0)-1,0)</f>
        <v>#VALUE!</v>
      </c>
      <c r="I2229" s="186"/>
      <c r="J2229" s="186">
        <f ca="1">OFFSET(card_type!$F$1,MATCH(Q2229,card_type!A:A,0)-1,0)</f>
        <v>6</v>
      </c>
      <c r="K2229" s="243">
        <f ca="1">OFFSET(card_type!$G$1,MATCH(Q2229,card_type!A:A,0)-1,0)</f>
        <v>2</v>
      </c>
      <c r="L2229" s="157">
        <v>2</v>
      </c>
      <c r="M2229" s="157">
        <v>2</v>
      </c>
      <c r="N2229" s="153">
        <f t="shared" si="384"/>
        <v>23</v>
      </c>
      <c r="O2229" s="157"/>
      <c r="P2229" s="157"/>
      <c r="Q2229" s="153">
        <f ca="1">OFFSET(card_type!$A$1,MATCH(card!B2229,card_type!B:B,0)-1,0)</f>
        <v>3021</v>
      </c>
      <c r="R2229" s="153">
        <v>1</v>
      </c>
      <c r="S2229" s="157">
        <f ca="1">ROUND(IF(R2229=0,0,IF(R2229=1,X2229*$S$1,IF(R2229=2,X2229*$S$1*buff的资质计算!$E$2,IF(R2229=3,X2229*$S$1*buff的资质计算!$E$3,0)))),0)*0</f>
        <v>0</v>
      </c>
      <c r="T2229" s="153">
        <v>3</v>
      </c>
      <c r="U2229" s="153">
        <f ca="1" t="shared" si="380"/>
        <v>62</v>
      </c>
      <c r="V2229" s="153">
        <f ca="1">ROUND((OFFSET(卡牌辅助配置表!$O$1,MATCH(U2229,卡牌辅助配置表!M:M,0)-1,0)+(N2229-1)*OFFSET(卡牌辅助配置表!$P$1,MATCH(U2229,卡牌辅助配置表!M:M,0)-1,0))*M2229,2)</f>
        <v>143.4</v>
      </c>
      <c r="W2229" s="157">
        <f ca="1">ROUND(IF(R2229=0,0,IF(R2229=1,X2229*$W$1,IF(R2229=2,X2229*$W$1*buff的资质计算!$E$2,IF(R2229=3,X2229*$W$1*buff的资质计算!$E$3,0)))),2)</f>
        <v>23.7</v>
      </c>
      <c r="X2229" s="157">
        <f ca="1" t="shared" si="386"/>
        <v>79</v>
      </c>
      <c r="Y2229" s="157" t="e">
        <f ca="1" t="shared" si="383"/>
        <v>#VALUE!</v>
      </c>
      <c r="Z2229" s="304" t="e">
        <f ca="1" t="shared" si="387"/>
        <v>#VALUE!</v>
      </c>
      <c r="AA2229" s="304">
        <f ca="1">OFFSET(卡牌辅助配置表!$AD$1,MATCH(AB2229,卡牌辅助配置表!AB:AB,0)-1,0)</f>
        <v>88182</v>
      </c>
      <c r="AB2229" s="304">
        <f ca="1" t="shared" si="381"/>
        <v>6223</v>
      </c>
      <c r="AC2229" s="153">
        <v>12</v>
      </c>
      <c r="AF2229" s="153" t="str">
        <f ca="1" t="shared" si="385"/>
        <v>30210011|</v>
      </c>
      <c r="AJ2229" s="205" t="str">
        <f ca="1" t="shared" si="382"/>
        <v>400023|14250|;</v>
      </c>
      <c r="AK2229" s="205">
        <f ca="1">OFFSET([1]item_type!$A$1,MATCH(Q2229,[1]item_type!$G:$G,0)-1,0)</f>
        <v>303021</v>
      </c>
      <c r="AL2229" s="205"/>
      <c r="AM2229" s="205">
        <f ca="1">IF(B2229=B2230,OFFSET(卡牌辅助配置表!$AE$1,MATCH(AB2229,卡牌辅助配置表!AB:AB,0),0),0)</f>
        <v>14250</v>
      </c>
      <c r="AN2229" s="153">
        <f ca="1" t="shared" si="378"/>
        <v>3021024</v>
      </c>
      <c r="AP2229" s="153">
        <f ca="1">IF(AC2229=0,0,IF(AC2229=12,0,OFFSET(effect!$N$1,MATCH(K2229,effect!M:M,0)-1,0)))</f>
        <v>0</v>
      </c>
    </row>
    <row r="2230" spans="1:42">
      <c r="A2230" s="153">
        <f ca="1" t="shared" si="379"/>
        <v>3021024</v>
      </c>
      <c r="B2230" s="91" t="s">
        <v>923</v>
      </c>
      <c r="C2230" s="186">
        <v>3</v>
      </c>
      <c r="D2230" s="186">
        <v>3</v>
      </c>
      <c r="E2230" s="165" t="s">
        <v>1069</v>
      </c>
      <c r="F2230" s="179" t="s">
        <v>924</v>
      </c>
      <c r="G2230" s="186">
        <f ca="1">OFFSET(卡牌辅助配置表!$C$1,MATCH(AC2230,卡牌辅助配置表!A:A,0)-1,0)</f>
        <v>0</v>
      </c>
      <c r="H2230" s="186" t="e">
        <f ca="1">OFFSET(skill!$Q$1,MATCH(B2230,skill!B:B,0)-1,0)</f>
        <v>#VALUE!</v>
      </c>
      <c r="I2230" s="186"/>
      <c r="J2230" s="186">
        <f ca="1">OFFSET(card_type!$F$1,MATCH(Q2230,card_type!A:A,0)-1,0)</f>
        <v>6</v>
      </c>
      <c r="K2230" s="243">
        <f ca="1">OFFSET(card_type!$G$1,MATCH(Q2230,card_type!A:A,0)-1,0)</f>
        <v>2</v>
      </c>
      <c r="L2230" s="157">
        <v>2</v>
      </c>
      <c r="M2230" s="157">
        <v>2</v>
      </c>
      <c r="N2230" s="153">
        <f t="shared" si="384"/>
        <v>24</v>
      </c>
      <c r="O2230" s="157"/>
      <c r="P2230" s="157"/>
      <c r="Q2230" s="153">
        <f ca="1">OFFSET(card_type!$A$1,MATCH(card!B2230,card_type!B:B,0)-1,0)</f>
        <v>3021</v>
      </c>
      <c r="R2230" s="153">
        <v>1</v>
      </c>
      <c r="S2230" s="157">
        <f ca="1">ROUND(IF(R2230=0,0,IF(R2230=1,X2230*$S$1,IF(R2230=2,X2230*$S$1*buff的资质计算!$E$2,IF(R2230=3,X2230*$S$1*buff的资质计算!$E$3,0)))),0)*0</f>
        <v>0</v>
      </c>
      <c r="T2230" s="153">
        <v>3</v>
      </c>
      <c r="U2230" s="153">
        <f ca="1" t="shared" si="380"/>
        <v>62</v>
      </c>
      <c r="V2230" s="153">
        <f ca="1">ROUND((OFFSET(卡牌辅助配置表!$O$1,MATCH(U2230,卡牌辅助配置表!M:M,0)-1,0)+(N2230-1)*OFFSET(卡牌辅助配置表!$P$1,MATCH(U2230,卡牌辅助配置表!M:M,0)-1,0))*M2230,2)</f>
        <v>143.4</v>
      </c>
      <c r="W2230" s="157">
        <f ca="1">ROUND(IF(R2230=0,0,IF(R2230=1,X2230*$W$1,IF(R2230=2,X2230*$W$1*buff的资质计算!$E$2,IF(R2230=3,X2230*$W$1*buff的资质计算!$E$3,0)))),2)</f>
        <v>23.85</v>
      </c>
      <c r="X2230" s="157">
        <f ca="1" t="shared" si="386"/>
        <v>79.5</v>
      </c>
      <c r="Y2230" s="157" t="e">
        <f ca="1" t="shared" si="383"/>
        <v>#VALUE!</v>
      </c>
      <c r="Z2230" s="304" t="e">
        <f ca="1" t="shared" si="387"/>
        <v>#VALUE!</v>
      </c>
      <c r="AA2230" s="304">
        <f ca="1">OFFSET(卡牌辅助配置表!$AD$1,MATCH(AB2230,卡牌辅助配置表!AB:AB,0)-1,0)</f>
        <v>92016</v>
      </c>
      <c r="AB2230" s="304">
        <f ca="1" t="shared" si="381"/>
        <v>6224</v>
      </c>
      <c r="AC2230" s="153">
        <v>12</v>
      </c>
      <c r="AF2230" s="153" t="str">
        <f ca="1" t="shared" si="385"/>
        <v>30210011|</v>
      </c>
      <c r="AJ2230" s="205" t="str">
        <f ca="1" t="shared" si="382"/>
        <v>400023|15450|;</v>
      </c>
      <c r="AK2230" s="205">
        <f ca="1">OFFSET([1]item_type!$A$1,MATCH(Q2230,[1]item_type!$G:$G,0)-1,0)</f>
        <v>303021</v>
      </c>
      <c r="AL2230" s="205"/>
      <c r="AM2230" s="205">
        <f ca="1">IF(B2230=B2231,OFFSET(卡牌辅助配置表!$AE$1,MATCH(AB2230,卡牌辅助配置表!AB:AB,0),0),0)</f>
        <v>15450</v>
      </c>
      <c r="AN2230" s="153">
        <f ca="1" t="shared" si="378"/>
        <v>3021025</v>
      </c>
      <c r="AP2230" s="153">
        <f ca="1">IF(AC2230=0,0,IF(AC2230=12,0,OFFSET(effect!$N$1,MATCH(K2230,effect!M:M,0)-1,0)))</f>
        <v>0</v>
      </c>
    </row>
    <row r="2231" spans="1:42">
      <c r="A2231" s="153">
        <f ca="1" t="shared" si="379"/>
        <v>3021025</v>
      </c>
      <c r="B2231" s="91" t="s">
        <v>923</v>
      </c>
      <c r="C2231" s="186">
        <v>3</v>
      </c>
      <c r="D2231" s="186">
        <v>3</v>
      </c>
      <c r="E2231" s="165" t="s">
        <v>1069</v>
      </c>
      <c r="F2231" s="179" t="s">
        <v>924</v>
      </c>
      <c r="G2231" s="186">
        <f ca="1">OFFSET(卡牌辅助配置表!$C$1,MATCH(AC2231,卡牌辅助配置表!A:A,0)-1,0)</f>
        <v>0</v>
      </c>
      <c r="H2231" s="186" t="e">
        <f ca="1">OFFSET(skill!$Q$1,MATCH(B2231,skill!B:B,0)-1,0)</f>
        <v>#VALUE!</v>
      </c>
      <c r="I2231" s="186"/>
      <c r="J2231" s="186">
        <f ca="1">OFFSET(card_type!$F$1,MATCH(Q2231,card_type!A:A,0)-1,0)</f>
        <v>6</v>
      </c>
      <c r="K2231" s="243">
        <f ca="1">OFFSET(card_type!$G$1,MATCH(Q2231,card_type!A:A,0)-1,0)</f>
        <v>2</v>
      </c>
      <c r="L2231" s="157">
        <v>2</v>
      </c>
      <c r="M2231" s="157">
        <v>2</v>
      </c>
      <c r="N2231" s="153">
        <f t="shared" si="384"/>
        <v>25</v>
      </c>
      <c r="O2231" s="157"/>
      <c r="P2231" s="157"/>
      <c r="Q2231" s="153">
        <f ca="1">OFFSET(card_type!$A$1,MATCH(card!B2231,card_type!B:B,0)-1,0)</f>
        <v>3021</v>
      </c>
      <c r="R2231" s="153">
        <v>1</v>
      </c>
      <c r="S2231" s="157">
        <f ca="1">ROUND(IF(R2231=0,0,IF(R2231=1,X2231*$S$1,IF(R2231=2,X2231*$S$1*buff的资质计算!$E$2,IF(R2231=3,X2231*$S$1*buff的资质计算!$E$3,0)))),0)*0</f>
        <v>0</v>
      </c>
      <c r="T2231" s="153">
        <v>3</v>
      </c>
      <c r="U2231" s="153">
        <f ca="1" t="shared" si="380"/>
        <v>62</v>
      </c>
      <c r="V2231" s="153">
        <f ca="1">ROUND((OFFSET(卡牌辅助配置表!$O$1,MATCH(U2231,卡牌辅助配置表!M:M,0)-1,0)+(N2231-1)*OFFSET(卡牌辅助配置表!$P$1,MATCH(U2231,卡牌辅助配置表!M:M,0)-1,0))*M2231,2)</f>
        <v>143.4</v>
      </c>
      <c r="W2231" s="157">
        <f ca="1">ROUND(IF(R2231=0,0,IF(R2231=1,X2231*$W$1,IF(R2231=2,X2231*$W$1*buff的资质计算!$E$2,IF(R2231=3,X2231*$W$1*buff的资质计算!$E$3,0)))),2)</f>
        <v>24</v>
      </c>
      <c r="X2231" s="157">
        <f ca="1" t="shared" si="386"/>
        <v>80</v>
      </c>
      <c r="Y2231" s="157" t="e">
        <f ca="1" t="shared" si="383"/>
        <v>#VALUE!</v>
      </c>
      <c r="Z2231" s="304" t="e">
        <f ca="1" t="shared" si="387"/>
        <v>#VALUE!</v>
      </c>
      <c r="AA2231" s="304">
        <f ca="1">OFFSET(卡牌辅助配置表!$AD$1,MATCH(AB2231,卡牌辅助配置表!AB:AB,0)-1,0)</f>
        <v>95850</v>
      </c>
      <c r="AB2231" s="304">
        <f ca="1" t="shared" si="381"/>
        <v>6225</v>
      </c>
      <c r="AC2231" s="153">
        <v>12</v>
      </c>
      <c r="AF2231" s="153" t="str">
        <f ca="1" t="shared" si="385"/>
        <v>30210011|</v>
      </c>
      <c r="AJ2231" s="205" t="str">
        <f ca="1" t="shared" si="382"/>
        <v>400023|16650|;</v>
      </c>
      <c r="AK2231" s="205">
        <f ca="1">OFFSET([1]item_type!$A$1,MATCH(Q2231,[1]item_type!$G:$G,0)-1,0)</f>
        <v>303021</v>
      </c>
      <c r="AL2231" s="205"/>
      <c r="AM2231" s="205">
        <f ca="1">IF(B2231=B2232,OFFSET(卡牌辅助配置表!$AE$1,MATCH(AB2231,卡牌辅助配置表!AB:AB,0),0),0)</f>
        <v>16650</v>
      </c>
      <c r="AN2231" s="153">
        <f ca="1" t="shared" si="378"/>
        <v>3021026</v>
      </c>
      <c r="AP2231" s="153">
        <f ca="1">IF(AC2231=0,0,IF(AC2231=12,0,OFFSET(effect!$N$1,MATCH(K2231,effect!M:M,0)-1,0)))</f>
        <v>0</v>
      </c>
    </row>
    <row r="2232" spans="1:42">
      <c r="A2232" s="153">
        <f ca="1" t="shared" si="379"/>
        <v>3021026</v>
      </c>
      <c r="B2232" s="91" t="s">
        <v>923</v>
      </c>
      <c r="C2232" s="186">
        <v>3</v>
      </c>
      <c r="D2232" s="186">
        <v>3</v>
      </c>
      <c r="E2232" s="165" t="s">
        <v>1069</v>
      </c>
      <c r="F2232" s="179" t="s">
        <v>924</v>
      </c>
      <c r="G2232" s="186">
        <f ca="1">OFFSET(卡牌辅助配置表!$C$1,MATCH(AC2232,卡牌辅助配置表!A:A,0)-1,0)</f>
        <v>0</v>
      </c>
      <c r="H2232" s="186" t="e">
        <f ca="1">OFFSET(skill!$Q$1,MATCH(B2232,skill!B:B,0)-1,0)</f>
        <v>#VALUE!</v>
      </c>
      <c r="I2232" s="186"/>
      <c r="J2232" s="186">
        <f ca="1">OFFSET(card_type!$F$1,MATCH(Q2232,card_type!A:A,0)-1,0)</f>
        <v>6</v>
      </c>
      <c r="K2232" s="243">
        <f ca="1">OFFSET(card_type!$G$1,MATCH(Q2232,card_type!A:A,0)-1,0)</f>
        <v>2</v>
      </c>
      <c r="L2232" s="157">
        <v>2</v>
      </c>
      <c r="M2232" s="157">
        <v>2</v>
      </c>
      <c r="N2232" s="153">
        <f t="shared" si="384"/>
        <v>26</v>
      </c>
      <c r="O2232" s="157"/>
      <c r="P2232" s="157"/>
      <c r="Q2232" s="153">
        <f ca="1">OFFSET(card_type!$A$1,MATCH(card!B2232,card_type!B:B,0)-1,0)</f>
        <v>3021</v>
      </c>
      <c r="R2232" s="153">
        <v>1</v>
      </c>
      <c r="S2232" s="157">
        <f ca="1">ROUND(IF(R2232=0,0,IF(R2232=1,X2232*$S$1,IF(R2232=2,X2232*$S$1*buff的资质计算!$E$2,IF(R2232=3,X2232*$S$1*buff的资质计算!$E$3,0)))),0)*0</f>
        <v>0</v>
      </c>
      <c r="T2232" s="153">
        <v>3</v>
      </c>
      <c r="U2232" s="153">
        <f ca="1" t="shared" si="380"/>
        <v>62</v>
      </c>
      <c r="V2232" s="153">
        <f ca="1">ROUND((OFFSET(卡牌辅助配置表!$O$1,MATCH(U2232,卡牌辅助配置表!M:M,0)-1,0)+(N2232-1)*OFFSET(卡牌辅助配置表!$P$1,MATCH(U2232,卡牌辅助配置表!M:M,0)-1,0))*M2232,2)</f>
        <v>143.4</v>
      </c>
      <c r="W2232" s="157">
        <f ca="1">ROUND(IF(R2232=0,0,IF(R2232=1,X2232*$W$1,IF(R2232=2,X2232*$W$1*buff的资质计算!$E$2,IF(R2232=3,X2232*$W$1*buff的资质计算!$E$3,0)))),2)</f>
        <v>24.15</v>
      </c>
      <c r="X2232" s="157">
        <f ca="1" t="shared" si="386"/>
        <v>80.5</v>
      </c>
      <c r="Y2232" s="157" t="e">
        <f ca="1" t="shared" si="383"/>
        <v>#VALUE!</v>
      </c>
      <c r="Z2232" s="304" t="e">
        <f ca="1" t="shared" si="387"/>
        <v>#VALUE!</v>
      </c>
      <c r="AA2232" s="304">
        <f ca="1">OFFSET(卡牌辅助配置表!$AD$1,MATCH(AB2232,卡牌辅助配置表!AB:AB,0)-1,0)</f>
        <v>99684</v>
      </c>
      <c r="AB2232" s="304">
        <f ca="1" t="shared" si="381"/>
        <v>6226</v>
      </c>
      <c r="AC2232" s="153">
        <v>12</v>
      </c>
      <c r="AF2232" s="153" t="str">
        <f ca="1" t="shared" si="385"/>
        <v>30210011|</v>
      </c>
      <c r="AJ2232" s="205" t="str">
        <f ca="1" t="shared" si="382"/>
        <v>400023|17850|;</v>
      </c>
      <c r="AK2232" s="205">
        <f ca="1">OFFSET([1]item_type!$A$1,MATCH(Q2232,[1]item_type!$G:$G,0)-1,0)</f>
        <v>303021</v>
      </c>
      <c r="AL2232" s="205"/>
      <c r="AM2232" s="205">
        <f ca="1">IF(B2232=B2233,OFFSET(卡牌辅助配置表!$AE$1,MATCH(AB2232,卡牌辅助配置表!AB:AB,0),0),0)</f>
        <v>17850</v>
      </c>
      <c r="AN2232" s="153">
        <f ca="1" t="shared" si="378"/>
        <v>3021027</v>
      </c>
      <c r="AP2232" s="153">
        <f ca="1">IF(AC2232=0,0,IF(AC2232=12,0,OFFSET(effect!$N$1,MATCH(K2232,effect!M:M,0)-1,0)))</f>
        <v>0</v>
      </c>
    </row>
    <row r="2233" spans="1:42">
      <c r="A2233" s="153">
        <f ca="1" t="shared" si="379"/>
        <v>3021027</v>
      </c>
      <c r="B2233" s="91" t="s">
        <v>923</v>
      </c>
      <c r="C2233" s="186">
        <v>3</v>
      </c>
      <c r="D2233" s="186">
        <v>3</v>
      </c>
      <c r="E2233" s="165" t="s">
        <v>1069</v>
      </c>
      <c r="F2233" s="179" t="s">
        <v>924</v>
      </c>
      <c r="G2233" s="186">
        <f ca="1">OFFSET(卡牌辅助配置表!$C$1,MATCH(AC2233,卡牌辅助配置表!A:A,0)-1,0)</f>
        <v>0</v>
      </c>
      <c r="H2233" s="186" t="e">
        <f ca="1">OFFSET(skill!$Q$1,MATCH(B2233,skill!B:B,0)-1,0)</f>
        <v>#VALUE!</v>
      </c>
      <c r="I2233" s="186"/>
      <c r="J2233" s="186">
        <f ca="1">OFFSET(card_type!$F$1,MATCH(Q2233,card_type!A:A,0)-1,0)</f>
        <v>6</v>
      </c>
      <c r="K2233" s="243">
        <f ca="1">OFFSET(card_type!$G$1,MATCH(Q2233,card_type!A:A,0)-1,0)</f>
        <v>2</v>
      </c>
      <c r="L2233" s="157">
        <v>2</v>
      </c>
      <c r="M2233" s="157">
        <v>2</v>
      </c>
      <c r="N2233" s="153">
        <f t="shared" si="384"/>
        <v>27</v>
      </c>
      <c r="O2233" s="157"/>
      <c r="P2233" s="157"/>
      <c r="Q2233" s="153">
        <f ca="1">OFFSET(card_type!$A$1,MATCH(card!B2233,card_type!B:B,0)-1,0)</f>
        <v>3021</v>
      </c>
      <c r="R2233" s="153">
        <v>1</v>
      </c>
      <c r="S2233" s="157">
        <f ca="1">ROUND(IF(R2233=0,0,IF(R2233=1,X2233*$S$1,IF(R2233=2,X2233*$S$1*buff的资质计算!$E$2,IF(R2233=3,X2233*$S$1*buff的资质计算!$E$3,0)))),0)*0</f>
        <v>0</v>
      </c>
      <c r="T2233" s="153">
        <v>3</v>
      </c>
      <c r="U2233" s="153">
        <f ca="1" t="shared" si="380"/>
        <v>62</v>
      </c>
      <c r="V2233" s="153">
        <f ca="1">ROUND((OFFSET(卡牌辅助配置表!$O$1,MATCH(U2233,卡牌辅助配置表!M:M,0)-1,0)+(N2233-1)*OFFSET(卡牌辅助配置表!$P$1,MATCH(U2233,卡牌辅助配置表!M:M,0)-1,0))*M2233,2)</f>
        <v>143.4</v>
      </c>
      <c r="W2233" s="157">
        <f ca="1">ROUND(IF(R2233=0,0,IF(R2233=1,X2233*$W$1,IF(R2233=2,X2233*$W$1*buff的资质计算!$E$2,IF(R2233=3,X2233*$W$1*buff的资质计算!$E$3,0)))),2)</f>
        <v>24.3</v>
      </c>
      <c r="X2233" s="157">
        <f ca="1" t="shared" si="386"/>
        <v>81</v>
      </c>
      <c r="Y2233" s="157" t="e">
        <f ca="1" t="shared" si="383"/>
        <v>#VALUE!</v>
      </c>
      <c r="Z2233" s="304" t="e">
        <f ca="1" t="shared" si="387"/>
        <v>#VALUE!</v>
      </c>
      <c r="AA2233" s="304">
        <f ca="1">OFFSET(卡牌辅助配置表!$AD$1,MATCH(AB2233,卡牌辅助配置表!AB:AB,0)-1,0)</f>
        <v>103518</v>
      </c>
      <c r="AB2233" s="304">
        <f ca="1" t="shared" si="381"/>
        <v>6227</v>
      </c>
      <c r="AC2233" s="153">
        <v>12</v>
      </c>
      <c r="AF2233" s="153" t="str">
        <f ca="1" t="shared" si="385"/>
        <v>30210011|</v>
      </c>
      <c r="AJ2233" s="205" t="str">
        <f ca="1" t="shared" si="382"/>
        <v>400023|19050|;</v>
      </c>
      <c r="AK2233" s="205">
        <f ca="1">OFFSET([1]item_type!$A$1,MATCH(Q2233,[1]item_type!$G:$G,0)-1,0)</f>
        <v>303021</v>
      </c>
      <c r="AL2233" s="205"/>
      <c r="AM2233" s="205">
        <f ca="1">IF(B2233=B2234,OFFSET(卡牌辅助配置表!$AE$1,MATCH(AB2233,卡牌辅助配置表!AB:AB,0),0),0)</f>
        <v>19050</v>
      </c>
      <c r="AN2233" s="153">
        <f ca="1" t="shared" si="378"/>
        <v>3021028</v>
      </c>
      <c r="AP2233" s="153">
        <f ca="1">IF(AC2233=0,0,IF(AC2233=12,0,OFFSET(effect!$N$1,MATCH(K2233,effect!M:M,0)-1,0)))</f>
        <v>0</v>
      </c>
    </row>
    <row r="2234" spans="1:42">
      <c r="A2234" s="153">
        <f ca="1" t="shared" si="379"/>
        <v>3021028</v>
      </c>
      <c r="B2234" s="91" t="s">
        <v>923</v>
      </c>
      <c r="C2234" s="186">
        <v>3</v>
      </c>
      <c r="D2234" s="186">
        <v>3</v>
      </c>
      <c r="E2234" s="165" t="s">
        <v>1069</v>
      </c>
      <c r="F2234" s="179" t="s">
        <v>924</v>
      </c>
      <c r="G2234" s="186">
        <f ca="1">OFFSET(卡牌辅助配置表!$C$1,MATCH(AC2234,卡牌辅助配置表!A:A,0)-1,0)</f>
        <v>0</v>
      </c>
      <c r="H2234" s="186" t="e">
        <f ca="1">OFFSET(skill!$Q$1,MATCH(B2234,skill!B:B,0)-1,0)</f>
        <v>#VALUE!</v>
      </c>
      <c r="I2234" s="186"/>
      <c r="J2234" s="186">
        <f ca="1">OFFSET(card_type!$F$1,MATCH(Q2234,card_type!A:A,0)-1,0)</f>
        <v>6</v>
      </c>
      <c r="K2234" s="243">
        <f ca="1">OFFSET(card_type!$G$1,MATCH(Q2234,card_type!A:A,0)-1,0)</f>
        <v>2</v>
      </c>
      <c r="L2234" s="157">
        <v>2</v>
      </c>
      <c r="M2234" s="157">
        <v>2</v>
      </c>
      <c r="N2234" s="153">
        <f t="shared" si="384"/>
        <v>28</v>
      </c>
      <c r="O2234" s="157"/>
      <c r="P2234" s="157"/>
      <c r="Q2234" s="153">
        <f ca="1">OFFSET(card_type!$A$1,MATCH(card!B2234,card_type!B:B,0)-1,0)</f>
        <v>3021</v>
      </c>
      <c r="R2234" s="153">
        <v>1</v>
      </c>
      <c r="S2234" s="157">
        <f ca="1">ROUND(IF(R2234=0,0,IF(R2234=1,X2234*$S$1,IF(R2234=2,X2234*$S$1*buff的资质计算!$E$2,IF(R2234=3,X2234*$S$1*buff的资质计算!$E$3,0)))),0)*0</f>
        <v>0</v>
      </c>
      <c r="T2234" s="153">
        <v>3</v>
      </c>
      <c r="U2234" s="153">
        <f ca="1" t="shared" si="380"/>
        <v>62</v>
      </c>
      <c r="V2234" s="153">
        <f ca="1">ROUND((OFFSET(卡牌辅助配置表!$O$1,MATCH(U2234,卡牌辅助配置表!M:M,0)-1,0)+(N2234-1)*OFFSET(卡牌辅助配置表!$P$1,MATCH(U2234,卡牌辅助配置表!M:M,0)-1,0))*M2234,2)</f>
        <v>143.4</v>
      </c>
      <c r="W2234" s="157">
        <f ca="1">ROUND(IF(R2234=0,0,IF(R2234=1,X2234*$W$1,IF(R2234=2,X2234*$W$1*buff的资质计算!$E$2,IF(R2234=3,X2234*$W$1*buff的资质计算!$E$3,0)))),2)</f>
        <v>24.45</v>
      </c>
      <c r="X2234" s="157">
        <f ca="1" t="shared" si="386"/>
        <v>81.5</v>
      </c>
      <c r="Y2234" s="157" t="e">
        <f ca="1" t="shared" si="383"/>
        <v>#VALUE!</v>
      </c>
      <c r="Z2234" s="304" t="e">
        <f ca="1" t="shared" si="387"/>
        <v>#VALUE!</v>
      </c>
      <c r="AA2234" s="304">
        <f ca="1">OFFSET(卡牌辅助配置表!$AD$1,MATCH(AB2234,卡牌辅助配置表!AB:AB,0)-1,0)</f>
        <v>107352</v>
      </c>
      <c r="AB2234" s="304">
        <f ca="1" t="shared" si="381"/>
        <v>6228</v>
      </c>
      <c r="AC2234" s="153">
        <v>12</v>
      </c>
      <c r="AF2234" s="153" t="str">
        <f ca="1" t="shared" si="385"/>
        <v>30210011|</v>
      </c>
      <c r="AJ2234" s="205" t="str">
        <f ca="1" t="shared" si="382"/>
        <v>400023|20250|;</v>
      </c>
      <c r="AK2234" s="205">
        <f ca="1">OFFSET([1]item_type!$A$1,MATCH(Q2234,[1]item_type!$G:$G,0)-1,0)</f>
        <v>303021</v>
      </c>
      <c r="AL2234" s="205"/>
      <c r="AM2234" s="205">
        <f ca="1">IF(B2234=B2235,OFFSET(卡牌辅助配置表!$AE$1,MATCH(AB2234,卡牌辅助配置表!AB:AB,0),0),0)</f>
        <v>20250</v>
      </c>
      <c r="AN2234" s="153">
        <f ca="1" t="shared" si="378"/>
        <v>3021029</v>
      </c>
      <c r="AP2234" s="153">
        <f ca="1">IF(AC2234=0,0,IF(AC2234=12,0,OFFSET(effect!$N$1,MATCH(K2234,effect!M:M,0)-1,0)))</f>
        <v>0</v>
      </c>
    </row>
    <row r="2235" spans="1:42">
      <c r="A2235" s="153">
        <f ca="1" t="shared" si="379"/>
        <v>3021029</v>
      </c>
      <c r="B2235" s="91" t="s">
        <v>923</v>
      </c>
      <c r="C2235" s="186">
        <v>3</v>
      </c>
      <c r="D2235" s="186">
        <v>3</v>
      </c>
      <c r="E2235" s="165" t="s">
        <v>1069</v>
      </c>
      <c r="F2235" s="179" t="s">
        <v>924</v>
      </c>
      <c r="G2235" s="186">
        <f ca="1">OFFSET(卡牌辅助配置表!$C$1,MATCH(AC2235,卡牌辅助配置表!A:A,0)-1,0)</f>
        <v>0</v>
      </c>
      <c r="H2235" s="186" t="e">
        <f ca="1">OFFSET(skill!$Q$1,MATCH(B2235,skill!B:B,0)-1,0)</f>
        <v>#VALUE!</v>
      </c>
      <c r="I2235" s="186"/>
      <c r="J2235" s="186">
        <f ca="1">OFFSET(card_type!$F$1,MATCH(Q2235,card_type!A:A,0)-1,0)</f>
        <v>6</v>
      </c>
      <c r="K2235" s="243">
        <f ca="1">OFFSET(card_type!$G$1,MATCH(Q2235,card_type!A:A,0)-1,0)</f>
        <v>2</v>
      </c>
      <c r="L2235" s="157">
        <v>2</v>
      </c>
      <c r="M2235" s="157">
        <v>2</v>
      </c>
      <c r="N2235" s="153">
        <f t="shared" si="384"/>
        <v>29</v>
      </c>
      <c r="O2235" s="157"/>
      <c r="P2235" s="157"/>
      <c r="Q2235" s="153">
        <f ca="1">OFFSET(card_type!$A$1,MATCH(card!B2235,card_type!B:B,0)-1,0)</f>
        <v>3021</v>
      </c>
      <c r="R2235" s="153">
        <v>1</v>
      </c>
      <c r="S2235" s="157">
        <f ca="1">ROUND(IF(R2235=0,0,IF(R2235=1,X2235*$S$1,IF(R2235=2,X2235*$S$1*buff的资质计算!$E$2,IF(R2235=3,X2235*$S$1*buff的资质计算!$E$3,0)))),0)*0</f>
        <v>0</v>
      </c>
      <c r="T2235" s="153">
        <v>3</v>
      </c>
      <c r="U2235" s="153">
        <f ca="1" t="shared" si="380"/>
        <v>62</v>
      </c>
      <c r="V2235" s="153">
        <f ca="1">ROUND((OFFSET(卡牌辅助配置表!$O$1,MATCH(U2235,卡牌辅助配置表!M:M,0)-1,0)+(N2235-1)*OFFSET(卡牌辅助配置表!$P$1,MATCH(U2235,卡牌辅助配置表!M:M,0)-1,0))*M2235,2)</f>
        <v>143.4</v>
      </c>
      <c r="W2235" s="157">
        <f ca="1">ROUND(IF(R2235=0,0,IF(R2235=1,X2235*$W$1,IF(R2235=2,X2235*$W$1*buff的资质计算!$E$2,IF(R2235=3,X2235*$W$1*buff的资质计算!$E$3,0)))),2)</f>
        <v>24.6</v>
      </c>
      <c r="X2235" s="157">
        <f ca="1" t="shared" si="386"/>
        <v>82</v>
      </c>
      <c r="Y2235" s="157" t="e">
        <f ca="1" t="shared" si="383"/>
        <v>#VALUE!</v>
      </c>
      <c r="Z2235" s="304" t="e">
        <f ca="1" t="shared" si="387"/>
        <v>#VALUE!</v>
      </c>
      <c r="AA2235" s="304">
        <f ca="1">OFFSET(卡牌辅助配置表!$AD$1,MATCH(AB2235,卡牌辅助配置表!AB:AB,0)-1,0)</f>
        <v>111186</v>
      </c>
      <c r="AB2235" s="304">
        <f ca="1" t="shared" si="381"/>
        <v>6229</v>
      </c>
      <c r="AC2235" s="153">
        <v>12</v>
      </c>
      <c r="AF2235" s="153" t="str">
        <f ca="1" t="shared" si="385"/>
        <v>30210011|</v>
      </c>
      <c r="AJ2235" s="205" t="str">
        <f ca="1" t="shared" si="382"/>
        <v>303021|30|;400023|21450|;</v>
      </c>
      <c r="AK2235" s="205">
        <f ca="1">OFFSET([1]item_type!$A$1,MATCH(Q2235,[1]item_type!$G:$G,0)-1,0)</f>
        <v>303021</v>
      </c>
      <c r="AL2235" s="205">
        <v>30</v>
      </c>
      <c r="AM2235" s="205">
        <f ca="1">IF(B2235=B2236,OFFSET(卡牌辅助配置表!$AE$1,MATCH(AB2235,卡牌辅助配置表!AB:AB,0),0),0)</f>
        <v>21450</v>
      </c>
      <c r="AN2235" s="153">
        <f ca="1" t="shared" si="378"/>
        <v>3021030</v>
      </c>
      <c r="AP2235" s="153">
        <f ca="1">IF(AC2235=0,0,IF(AC2235=12,0,OFFSET(effect!$N$1,MATCH(K2235,effect!M:M,0)-1,0)))</f>
        <v>0</v>
      </c>
    </row>
    <row r="2236" spans="1:42">
      <c r="A2236" s="153">
        <f ca="1" t="shared" si="379"/>
        <v>3021030</v>
      </c>
      <c r="B2236" s="91" t="s">
        <v>923</v>
      </c>
      <c r="C2236" s="186">
        <v>3</v>
      </c>
      <c r="D2236" s="186">
        <v>3</v>
      </c>
      <c r="E2236" s="165" t="s">
        <v>1069</v>
      </c>
      <c r="F2236" s="179" t="s">
        <v>924</v>
      </c>
      <c r="G2236" s="186">
        <f ca="1">OFFSET(卡牌辅助配置表!$C$1,MATCH(AC2236,卡牌辅助配置表!A:A,0)-1,0)</f>
        <v>0</v>
      </c>
      <c r="H2236" s="186" t="e">
        <f ca="1">OFFSET(skill!$Q$1,MATCH(B2236,skill!B:B,0)-1,0)</f>
        <v>#VALUE!</v>
      </c>
      <c r="I2236" s="186"/>
      <c r="J2236" s="186">
        <f ca="1">OFFSET(card_type!$F$1,MATCH(Q2236,card_type!A:A,0)-1,0)</f>
        <v>6</v>
      </c>
      <c r="K2236" s="243">
        <f ca="1">OFFSET(card_type!$G$1,MATCH(Q2236,card_type!A:A,0)-1,0)</f>
        <v>2</v>
      </c>
      <c r="L2236" s="157">
        <v>2</v>
      </c>
      <c r="M2236" s="157">
        <v>2</v>
      </c>
      <c r="N2236" s="153">
        <f t="shared" si="384"/>
        <v>30</v>
      </c>
      <c r="O2236" s="157"/>
      <c r="P2236" s="157"/>
      <c r="Q2236" s="153">
        <f ca="1">OFFSET(card_type!$A$1,MATCH(card!B2236,card_type!B:B,0)-1,0)</f>
        <v>3021</v>
      </c>
      <c r="R2236" s="153">
        <v>1</v>
      </c>
      <c r="S2236" s="157">
        <f ca="1">ROUND(IF(R2236=0,0,IF(R2236=1,X2236*$S$1,IF(R2236=2,X2236*$S$1*buff的资质计算!$E$2,IF(R2236=3,X2236*$S$1*buff的资质计算!$E$3,0)))),0)*0</f>
        <v>0</v>
      </c>
      <c r="T2236" s="153">
        <v>3</v>
      </c>
      <c r="U2236" s="153">
        <f ca="1" t="shared" si="380"/>
        <v>62</v>
      </c>
      <c r="V2236" s="153">
        <f ca="1">ROUND((OFFSET(卡牌辅助配置表!$O$1,MATCH(U2236,卡牌辅助配置表!M:M,0)-1,0)+(N2236-1)*OFFSET(卡牌辅助配置表!$P$1,MATCH(U2236,卡牌辅助配置表!M:M,0)-1,0))*M2236,2)</f>
        <v>143.4</v>
      </c>
      <c r="W2236" s="157">
        <f ca="1">ROUND(IF(R2236=0,0,IF(R2236=1,X2236*$W$1,IF(R2236=2,X2236*$W$1*buff的资质计算!$E$2,IF(R2236=3,X2236*$W$1*buff的资质计算!$E$3,0)))),2)</f>
        <v>24.75</v>
      </c>
      <c r="X2236" s="157">
        <f ca="1" t="shared" si="386"/>
        <v>82.5</v>
      </c>
      <c r="Y2236" s="157" t="e">
        <f ca="1" t="shared" si="383"/>
        <v>#VALUE!</v>
      </c>
      <c r="Z2236" s="304" t="e">
        <f ca="1" t="shared" si="387"/>
        <v>#VALUE!</v>
      </c>
      <c r="AA2236" s="304">
        <f ca="1">OFFSET(卡牌辅助配置表!$AD$1,MATCH(AB2236,卡牌辅助配置表!AB:AB,0)-1,0)</f>
        <v>115020</v>
      </c>
      <c r="AB2236" s="304">
        <f ca="1" t="shared" si="381"/>
        <v>6230</v>
      </c>
      <c r="AC2236" s="153">
        <v>12</v>
      </c>
      <c r="AF2236" s="153" t="str">
        <f ca="1" t="shared" si="385"/>
        <v>30210011|</v>
      </c>
      <c r="AJ2236" s="205">
        <f ca="1" t="shared" si="382"/>
        <v>0</v>
      </c>
      <c r="AK2236" s="205">
        <f ca="1">OFFSET([1]item_type!$A$1,MATCH(Q2236,[1]item_type!$G:$G,0)-1,0)</f>
        <v>303021</v>
      </c>
      <c r="AL2236" s="205"/>
      <c r="AM2236" s="205">
        <f ca="1">IF(B2236=B2237,OFFSET(卡牌辅助配置表!$AE$1,MATCH(AB2236,卡牌辅助配置表!AB:AB,0),0),0)</f>
        <v>0</v>
      </c>
      <c r="AN2236" s="153">
        <f ca="1" t="shared" si="378"/>
        <v>0</v>
      </c>
      <c r="AP2236" s="153">
        <f ca="1">IF(AC2236=0,0,IF(AC2236=12,0,OFFSET(effect!$N$1,MATCH(K2236,effect!M:M,0)-1,0)))</f>
        <v>0</v>
      </c>
    </row>
    <row r="2237" spans="1:42">
      <c r="A2237" s="153">
        <f ca="1" t="shared" si="379"/>
        <v>3022001</v>
      </c>
      <c r="B2237" s="91" t="s">
        <v>476</v>
      </c>
      <c r="C2237" s="186">
        <v>3</v>
      </c>
      <c r="D2237" s="186">
        <v>2</v>
      </c>
      <c r="E2237" s="165" t="s">
        <v>1069</v>
      </c>
      <c r="F2237" s="179" t="s">
        <v>1076</v>
      </c>
      <c r="G2237" s="186">
        <f ca="1">OFFSET(卡牌辅助配置表!$C$1,MATCH(AC2237,卡牌辅助配置表!A:A,0)-1,0)</f>
        <v>0</v>
      </c>
      <c r="H2237" s="186">
        <f ca="1" t="shared" ref="H2237:H2296" si="388">IF(R2237=0,Y2237,0)</f>
        <v>0</v>
      </c>
      <c r="I2237" s="186"/>
      <c r="J2237" s="186">
        <f ca="1">OFFSET(card_type!$F$1,MATCH(Q2237,card_type!A:A,0)-1,0)</f>
        <v>2</v>
      </c>
      <c r="K2237" s="243">
        <f ca="1">OFFSET(card_type!$G$1,MATCH(Q2237,card_type!A:A,0)-1,0)</f>
        <v>1</v>
      </c>
      <c r="L2237" s="157">
        <v>2</v>
      </c>
      <c r="M2237" s="157">
        <v>2</v>
      </c>
      <c r="N2237" s="153">
        <f t="shared" si="384"/>
        <v>1</v>
      </c>
      <c r="O2237" s="157"/>
      <c r="P2237" s="157"/>
      <c r="Q2237" s="153">
        <f ca="1">OFFSET(card_type!$A$1,MATCH(card!B2237,card_type!B:B,0)-1,0)</f>
        <v>3022</v>
      </c>
      <c r="R2237" s="153">
        <v>1</v>
      </c>
      <c r="S2237" s="157">
        <f ca="1">ROUND(IF(R2237=0,0,IF(R2237=1,X2237*$S$1,IF(R2237=2,X2237*$S$1*buff的资质计算!$E$2,IF(R2237=3,X2237*$S$1*buff的资质计算!$E$3,0)))),0)*0</f>
        <v>0</v>
      </c>
      <c r="T2237" s="153">
        <v>2</v>
      </c>
      <c r="U2237" s="153">
        <f ca="1" t="shared" si="380"/>
        <v>21</v>
      </c>
      <c r="V2237" s="153">
        <f ca="1">ROUND((OFFSET(卡牌辅助配置表!$O$1,MATCH(U2237,卡牌辅助配置表!M:M,0)-1,0)+(N2237-1)*OFFSET(卡牌辅助配置表!$P$1,MATCH(U2237,卡牌辅助配置表!M:M,0)-1,0))*M2237,2)</f>
        <v>13.86</v>
      </c>
      <c r="W2237" s="157">
        <f ca="1">ROUND(IF(R2237=0,0,IF(R2237=1,X2237*$W$1,IF(R2237=2,X2237*$W$1*buff的资质计算!$E$2,IF(R2237=3,X2237*$W$1*buff的资质计算!$E$3,0)))),2)</f>
        <v>6</v>
      </c>
      <c r="X2237" s="157">
        <f ca="1" t="shared" si="386"/>
        <v>20</v>
      </c>
      <c r="Y2237" s="157">
        <f ca="1" t="shared" si="383"/>
        <v>20</v>
      </c>
      <c r="Z2237" s="304">
        <f ca="1" t="shared" si="387"/>
        <v>10</v>
      </c>
      <c r="AA2237" s="304">
        <f ca="1">OFFSET(卡牌辅助配置表!$AD$1,MATCH(AB2237,卡牌辅助配置表!AB:AB,0)-1,0)</f>
        <v>42</v>
      </c>
      <c r="AB2237" s="304">
        <f ca="1" t="shared" si="381"/>
        <v>2101</v>
      </c>
      <c r="AC2237" s="153">
        <v>12</v>
      </c>
      <c r="AF2237" s="153" t="str">
        <f ca="1" t="shared" si="385"/>
        <v>30220011|</v>
      </c>
      <c r="AJ2237" s="205" t="str">
        <f ca="1" t="shared" si="382"/>
        <v>400023|700|;</v>
      </c>
      <c r="AK2237" s="205">
        <f ca="1">OFFSET([1]item_type!$A$1,MATCH(Q2237,[1]item_type!$G:$G,0)-1,0)</f>
        <v>303022</v>
      </c>
      <c r="AL2237" s="205"/>
      <c r="AM2237" s="205">
        <f ca="1">IF(B2237=B2238,OFFSET(卡牌辅助配置表!$AE$1,MATCH(AB2237,卡牌辅助配置表!AB:AB,0),0),0)</f>
        <v>700</v>
      </c>
      <c r="AN2237" s="153">
        <f ca="1" t="shared" si="378"/>
        <v>3022002</v>
      </c>
      <c r="AP2237" s="153">
        <f ca="1">IF(AC2237=0,0,IF(AC2237=12,0,OFFSET(effect!$N$1,MATCH(K2237,effect!M:M,0)-1,0)))</f>
        <v>0</v>
      </c>
    </row>
    <row r="2238" spans="1:42">
      <c r="A2238" s="153">
        <f ca="1" t="shared" si="379"/>
        <v>3022002</v>
      </c>
      <c r="B2238" s="91" t="s">
        <v>476</v>
      </c>
      <c r="C2238" s="186">
        <v>3</v>
      </c>
      <c r="D2238" s="186">
        <v>2</v>
      </c>
      <c r="E2238" s="165" t="s">
        <v>1069</v>
      </c>
      <c r="F2238" s="179" t="s">
        <v>1076</v>
      </c>
      <c r="G2238" s="186">
        <f ca="1">OFFSET(卡牌辅助配置表!$C$1,MATCH(AC2238,卡牌辅助配置表!A:A,0)-1,0)</f>
        <v>0</v>
      </c>
      <c r="H2238" s="186">
        <f ca="1" t="shared" si="388"/>
        <v>0</v>
      </c>
      <c r="I2238" s="186"/>
      <c r="J2238" s="186">
        <f ca="1">OFFSET(card_type!$F$1,MATCH(Q2238,card_type!A:A,0)-1,0)</f>
        <v>2</v>
      </c>
      <c r="K2238" s="243">
        <f ca="1">OFFSET(card_type!$G$1,MATCH(Q2238,card_type!A:A,0)-1,0)</f>
        <v>1</v>
      </c>
      <c r="L2238" s="157">
        <v>2</v>
      </c>
      <c r="M2238" s="157">
        <v>2</v>
      </c>
      <c r="N2238" s="153">
        <f t="shared" si="384"/>
        <v>2</v>
      </c>
      <c r="O2238" s="157"/>
      <c r="P2238" s="157"/>
      <c r="Q2238" s="153">
        <f ca="1">OFFSET(card_type!$A$1,MATCH(card!B2238,card_type!B:B,0)-1,0)</f>
        <v>3022</v>
      </c>
      <c r="R2238" s="153">
        <v>1</v>
      </c>
      <c r="S2238" s="157">
        <f ca="1">ROUND(IF(R2238=0,0,IF(R2238=1,X2238*$S$1,IF(R2238=2,X2238*$S$1*buff的资质计算!$E$2,IF(R2238=3,X2238*$S$1*buff的资质计算!$E$3,0)))),0)*0</f>
        <v>0</v>
      </c>
      <c r="T2238" s="153">
        <v>2</v>
      </c>
      <c r="U2238" s="153">
        <f ca="1" t="shared" si="380"/>
        <v>21</v>
      </c>
      <c r="V2238" s="153">
        <f ca="1">ROUND((OFFSET(卡牌辅助配置表!$O$1,MATCH(U2238,卡牌辅助配置表!M:M,0)-1,0)+(N2238-1)*OFFSET(卡牌辅助配置表!$P$1,MATCH(U2238,卡牌辅助配置表!M:M,0)-1,0))*M2238,2)</f>
        <v>14.98</v>
      </c>
      <c r="W2238" s="157">
        <f ca="1">ROUND(IF(R2238=0,0,IF(R2238=1,X2238*$W$1,IF(R2238=2,X2238*$W$1*buff的资质计算!$E$2,IF(R2238=3,X2238*$W$1*buff的资质计算!$E$3,0)))),2)</f>
        <v>6.15</v>
      </c>
      <c r="X2238" s="157">
        <f ca="1" t="shared" si="386"/>
        <v>20.5</v>
      </c>
      <c r="Y2238" s="157">
        <f ca="1" t="shared" si="383"/>
        <v>20.5</v>
      </c>
      <c r="Z2238" s="304">
        <f ca="1" t="shared" si="387"/>
        <v>10.25</v>
      </c>
      <c r="AA2238" s="304">
        <f ca="1">OFFSET(卡牌辅助配置表!$AD$1,MATCH(AB2238,卡牌辅助配置表!AB:AB,0)-1,0)</f>
        <v>84</v>
      </c>
      <c r="AB2238" s="304">
        <f ca="1" t="shared" si="381"/>
        <v>2102</v>
      </c>
      <c r="AC2238" s="153">
        <v>12</v>
      </c>
      <c r="AF2238" s="153" t="str">
        <f ca="1" t="shared" si="385"/>
        <v>30220011|</v>
      </c>
      <c r="AJ2238" s="205" t="str">
        <f ca="1" t="shared" si="382"/>
        <v>400023|900|;</v>
      </c>
      <c r="AK2238" s="205">
        <f ca="1">OFFSET([1]item_type!$A$1,MATCH(Q2238,[1]item_type!$G:$G,0)-1,0)</f>
        <v>303022</v>
      </c>
      <c r="AL2238" s="205"/>
      <c r="AM2238" s="205">
        <f ca="1">IF(B2238=B2239,OFFSET(卡牌辅助配置表!$AE$1,MATCH(AB2238,卡牌辅助配置表!AB:AB,0),0),0)</f>
        <v>900</v>
      </c>
      <c r="AN2238" s="153">
        <f ca="1" t="shared" si="378"/>
        <v>3022003</v>
      </c>
      <c r="AP2238" s="153">
        <f ca="1">IF(AC2238=0,0,IF(AC2238=12,0,OFFSET(effect!$N$1,MATCH(K2238,effect!M:M,0)-1,0)))</f>
        <v>0</v>
      </c>
    </row>
    <row r="2239" spans="1:42">
      <c r="A2239" s="153">
        <f ca="1" t="shared" si="379"/>
        <v>3022003</v>
      </c>
      <c r="B2239" s="91" t="s">
        <v>476</v>
      </c>
      <c r="C2239" s="186">
        <v>3</v>
      </c>
      <c r="D2239" s="186">
        <v>2</v>
      </c>
      <c r="E2239" s="165" t="s">
        <v>1069</v>
      </c>
      <c r="F2239" s="179" t="s">
        <v>1076</v>
      </c>
      <c r="G2239" s="186">
        <f ca="1">OFFSET(卡牌辅助配置表!$C$1,MATCH(AC2239,卡牌辅助配置表!A:A,0)-1,0)</f>
        <v>0</v>
      </c>
      <c r="H2239" s="186">
        <f ca="1" t="shared" si="388"/>
        <v>0</v>
      </c>
      <c r="I2239" s="186"/>
      <c r="J2239" s="186">
        <f ca="1">OFFSET(card_type!$F$1,MATCH(Q2239,card_type!A:A,0)-1,0)</f>
        <v>2</v>
      </c>
      <c r="K2239" s="243">
        <f ca="1">OFFSET(card_type!$G$1,MATCH(Q2239,card_type!A:A,0)-1,0)</f>
        <v>1</v>
      </c>
      <c r="L2239" s="157">
        <v>2</v>
      </c>
      <c r="M2239" s="157">
        <v>2</v>
      </c>
      <c r="N2239" s="153">
        <f t="shared" si="384"/>
        <v>3</v>
      </c>
      <c r="O2239" s="157"/>
      <c r="P2239" s="157"/>
      <c r="Q2239" s="153">
        <f ca="1">OFFSET(card_type!$A$1,MATCH(card!B2239,card_type!B:B,0)-1,0)</f>
        <v>3022</v>
      </c>
      <c r="R2239" s="153">
        <v>1</v>
      </c>
      <c r="S2239" s="157">
        <f ca="1">ROUND(IF(R2239=0,0,IF(R2239=1,X2239*$S$1,IF(R2239=2,X2239*$S$1*buff的资质计算!$E$2,IF(R2239=3,X2239*$S$1*buff的资质计算!$E$3,0)))),0)*0</f>
        <v>0</v>
      </c>
      <c r="T2239" s="153">
        <v>2</v>
      </c>
      <c r="U2239" s="153">
        <f ca="1" t="shared" si="380"/>
        <v>21</v>
      </c>
      <c r="V2239" s="153">
        <f ca="1">ROUND((OFFSET(卡牌辅助配置表!$O$1,MATCH(U2239,卡牌辅助配置表!M:M,0)-1,0)+(N2239-1)*OFFSET(卡牌辅助配置表!$P$1,MATCH(U2239,卡牌辅助配置表!M:M,0)-1,0))*M2239,2)</f>
        <v>16.1</v>
      </c>
      <c r="W2239" s="157">
        <f ca="1">ROUND(IF(R2239=0,0,IF(R2239=1,X2239*$W$1,IF(R2239=2,X2239*$W$1*buff的资质计算!$E$2,IF(R2239=3,X2239*$W$1*buff的资质计算!$E$3,0)))),2)</f>
        <v>6.3</v>
      </c>
      <c r="X2239" s="157">
        <f ca="1" t="shared" si="386"/>
        <v>21</v>
      </c>
      <c r="Y2239" s="157">
        <f ca="1" t="shared" si="383"/>
        <v>21</v>
      </c>
      <c r="Z2239" s="304">
        <f ca="1" t="shared" si="387"/>
        <v>10.5</v>
      </c>
      <c r="AA2239" s="304">
        <f ca="1">OFFSET(卡牌辅助配置表!$AD$1,MATCH(AB2239,卡牌辅助配置表!AB:AB,0)-1,0)</f>
        <v>126</v>
      </c>
      <c r="AB2239" s="304">
        <f ca="1" t="shared" si="381"/>
        <v>2103</v>
      </c>
      <c r="AC2239" s="153">
        <v>12</v>
      </c>
      <c r="AF2239" s="153" t="str">
        <f ca="1" t="shared" si="385"/>
        <v>30220011|</v>
      </c>
      <c r="AJ2239" s="205" t="str">
        <f ca="1" t="shared" si="382"/>
        <v>400023|1100|;</v>
      </c>
      <c r="AK2239" s="205">
        <f ca="1">OFFSET([1]item_type!$A$1,MATCH(Q2239,[1]item_type!$G:$G,0)-1,0)</f>
        <v>303022</v>
      </c>
      <c r="AL2239" s="205"/>
      <c r="AM2239" s="205">
        <f ca="1">IF(B2239=B2240,OFFSET(卡牌辅助配置表!$AE$1,MATCH(AB2239,卡牌辅助配置表!AB:AB,0),0),0)</f>
        <v>1100</v>
      </c>
      <c r="AN2239" s="153">
        <f ca="1" t="shared" si="378"/>
        <v>3022004</v>
      </c>
      <c r="AP2239" s="153">
        <f ca="1">IF(AC2239=0,0,IF(AC2239=12,0,OFFSET(effect!$N$1,MATCH(K2239,effect!M:M,0)-1,0)))</f>
        <v>0</v>
      </c>
    </row>
    <row r="2240" spans="1:42">
      <c r="A2240" s="153">
        <f ca="1" t="shared" si="379"/>
        <v>3022004</v>
      </c>
      <c r="B2240" s="91" t="s">
        <v>476</v>
      </c>
      <c r="C2240" s="186">
        <v>3</v>
      </c>
      <c r="D2240" s="186">
        <v>2</v>
      </c>
      <c r="E2240" s="165" t="s">
        <v>1069</v>
      </c>
      <c r="F2240" s="179" t="s">
        <v>1076</v>
      </c>
      <c r="G2240" s="186">
        <f ca="1">OFFSET(卡牌辅助配置表!$C$1,MATCH(AC2240,卡牌辅助配置表!A:A,0)-1,0)</f>
        <v>0</v>
      </c>
      <c r="H2240" s="186">
        <f ca="1" t="shared" si="388"/>
        <v>0</v>
      </c>
      <c r="I2240" s="186"/>
      <c r="J2240" s="186">
        <f ca="1">OFFSET(card_type!$F$1,MATCH(Q2240,card_type!A:A,0)-1,0)</f>
        <v>2</v>
      </c>
      <c r="K2240" s="243">
        <f ca="1">OFFSET(card_type!$G$1,MATCH(Q2240,card_type!A:A,0)-1,0)</f>
        <v>1</v>
      </c>
      <c r="L2240" s="157">
        <v>2</v>
      </c>
      <c r="M2240" s="157">
        <v>2</v>
      </c>
      <c r="N2240" s="153">
        <f t="shared" si="384"/>
        <v>4</v>
      </c>
      <c r="O2240" s="157"/>
      <c r="P2240" s="157"/>
      <c r="Q2240" s="153">
        <f ca="1">OFFSET(card_type!$A$1,MATCH(card!B2240,card_type!B:B,0)-1,0)</f>
        <v>3022</v>
      </c>
      <c r="R2240" s="153">
        <v>1</v>
      </c>
      <c r="S2240" s="157">
        <f ca="1">ROUND(IF(R2240=0,0,IF(R2240=1,X2240*$S$1,IF(R2240=2,X2240*$S$1*buff的资质计算!$E$2,IF(R2240=3,X2240*$S$1*buff的资质计算!$E$3,0)))),0)*0</f>
        <v>0</v>
      </c>
      <c r="T2240" s="153">
        <v>2</v>
      </c>
      <c r="U2240" s="153">
        <f ca="1" t="shared" si="380"/>
        <v>21</v>
      </c>
      <c r="V2240" s="153">
        <f ca="1">ROUND((OFFSET(卡牌辅助配置表!$O$1,MATCH(U2240,卡牌辅助配置表!M:M,0)-1,0)+(N2240-1)*OFFSET(卡牌辅助配置表!$P$1,MATCH(U2240,卡牌辅助配置表!M:M,0)-1,0))*M2240,2)</f>
        <v>17.23</v>
      </c>
      <c r="W2240" s="157">
        <f ca="1">ROUND(IF(R2240=0,0,IF(R2240=1,X2240*$W$1,IF(R2240=2,X2240*$W$1*buff的资质计算!$E$2,IF(R2240=3,X2240*$W$1*buff的资质计算!$E$3,0)))),2)</f>
        <v>6.45</v>
      </c>
      <c r="X2240" s="157">
        <f ca="1" t="shared" si="386"/>
        <v>21.5</v>
      </c>
      <c r="Y2240" s="157">
        <f ca="1" t="shared" si="383"/>
        <v>21.5</v>
      </c>
      <c r="Z2240" s="304">
        <f ca="1" t="shared" si="387"/>
        <v>10.75</v>
      </c>
      <c r="AA2240" s="304">
        <f ca="1">OFFSET(卡牌辅助配置表!$AD$1,MATCH(AB2240,卡牌辅助配置表!AB:AB,0)-1,0)</f>
        <v>168</v>
      </c>
      <c r="AB2240" s="304">
        <f ca="1" t="shared" si="381"/>
        <v>2104</v>
      </c>
      <c r="AC2240" s="153">
        <v>12</v>
      </c>
      <c r="AF2240" s="153" t="str">
        <f ca="1" t="shared" si="385"/>
        <v>30220011|</v>
      </c>
      <c r="AJ2240" s="205" t="str">
        <f ca="1" t="shared" si="382"/>
        <v>400023|1300|;</v>
      </c>
      <c r="AK2240" s="205">
        <f ca="1">OFFSET([1]item_type!$A$1,MATCH(Q2240,[1]item_type!$G:$G,0)-1,0)</f>
        <v>303022</v>
      </c>
      <c r="AL2240" s="205"/>
      <c r="AM2240" s="205">
        <f ca="1">IF(B2240=B2241,OFFSET(卡牌辅助配置表!$AE$1,MATCH(AB2240,卡牌辅助配置表!AB:AB,0),0),0)</f>
        <v>1300</v>
      </c>
      <c r="AN2240" s="153">
        <f ca="1" t="shared" si="378"/>
        <v>3022005</v>
      </c>
      <c r="AP2240" s="153">
        <f ca="1">IF(AC2240=0,0,IF(AC2240=12,0,OFFSET(effect!$N$1,MATCH(K2240,effect!M:M,0)-1,0)))</f>
        <v>0</v>
      </c>
    </row>
    <row r="2241" spans="1:42">
      <c r="A2241" s="153">
        <f ca="1" t="shared" si="379"/>
        <v>3022005</v>
      </c>
      <c r="B2241" s="91" t="s">
        <v>476</v>
      </c>
      <c r="C2241" s="186">
        <v>3</v>
      </c>
      <c r="D2241" s="186">
        <v>2</v>
      </c>
      <c r="E2241" s="165" t="s">
        <v>1069</v>
      </c>
      <c r="F2241" s="179" t="s">
        <v>1076</v>
      </c>
      <c r="G2241" s="186">
        <f ca="1">OFFSET(卡牌辅助配置表!$C$1,MATCH(AC2241,卡牌辅助配置表!A:A,0)-1,0)</f>
        <v>0</v>
      </c>
      <c r="H2241" s="186">
        <f ca="1" t="shared" si="388"/>
        <v>0</v>
      </c>
      <c r="I2241" s="186"/>
      <c r="J2241" s="186">
        <f ca="1">OFFSET(card_type!$F$1,MATCH(Q2241,card_type!A:A,0)-1,0)</f>
        <v>2</v>
      </c>
      <c r="K2241" s="243">
        <f ca="1">OFFSET(card_type!$G$1,MATCH(Q2241,card_type!A:A,0)-1,0)</f>
        <v>1</v>
      </c>
      <c r="L2241" s="157">
        <v>2</v>
      </c>
      <c r="M2241" s="157">
        <v>2</v>
      </c>
      <c r="N2241" s="153">
        <f t="shared" si="384"/>
        <v>5</v>
      </c>
      <c r="O2241" s="157"/>
      <c r="P2241" s="157"/>
      <c r="Q2241" s="153">
        <f ca="1">OFFSET(card_type!$A$1,MATCH(card!B2241,card_type!B:B,0)-1,0)</f>
        <v>3022</v>
      </c>
      <c r="R2241" s="153">
        <v>1</v>
      </c>
      <c r="S2241" s="157">
        <f ca="1">ROUND(IF(R2241=0,0,IF(R2241=1,X2241*$S$1,IF(R2241=2,X2241*$S$1*buff的资质计算!$E$2,IF(R2241=3,X2241*$S$1*buff的资质计算!$E$3,0)))),0)*0</f>
        <v>0</v>
      </c>
      <c r="T2241" s="153">
        <v>2</v>
      </c>
      <c r="U2241" s="153">
        <f ca="1" t="shared" si="380"/>
        <v>21</v>
      </c>
      <c r="V2241" s="153">
        <f ca="1">ROUND((OFFSET(卡牌辅助配置表!$O$1,MATCH(U2241,卡牌辅助配置表!M:M,0)-1,0)+(N2241-1)*OFFSET(卡牌辅助配置表!$P$1,MATCH(U2241,卡牌辅助配置表!M:M,0)-1,0))*M2241,2)</f>
        <v>18.35</v>
      </c>
      <c r="W2241" s="157">
        <f ca="1">ROUND(IF(R2241=0,0,IF(R2241=1,X2241*$W$1,IF(R2241=2,X2241*$W$1*buff的资质计算!$E$2,IF(R2241=3,X2241*$W$1*buff的资质计算!$E$3,0)))),2)</f>
        <v>6.6</v>
      </c>
      <c r="X2241" s="157">
        <f ca="1" t="shared" si="386"/>
        <v>22</v>
      </c>
      <c r="Y2241" s="157">
        <f ca="1" t="shared" si="383"/>
        <v>22</v>
      </c>
      <c r="Z2241" s="304">
        <f ca="1" t="shared" si="387"/>
        <v>11</v>
      </c>
      <c r="AA2241" s="304">
        <f ca="1">OFFSET(卡牌辅助配置表!$AD$1,MATCH(AB2241,卡牌辅助配置表!AB:AB,0)-1,0)</f>
        <v>210</v>
      </c>
      <c r="AB2241" s="304">
        <f ca="1" t="shared" si="381"/>
        <v>2105</v>
      </c>
      <c r="AC2241" s="153">
        <v>12</v>
      </c>
      <c r="AF2241" s="153" t="str">
        <f ca="1" t="shared" si="385"/>
        <v>30220011|</v>
      </c>
      <c r="AJ2241" s="205" t="str">
        <f ca="1" t="shared" si="382"/>
        <v>400023|1500|;</v>
      </c>
      <c r="AK2241" s="205">
        <f ca="1">OFFSET([1]item_type!$A$1,MATCH(Q2241,[1]item_type!$G:$G,0)-1,0)</f>
        <v>303022</v>
      </c>
      <c r="AL2241" s="205"/>
      <c r="AM2241" s="205">
        <f ca="1">IF(B2241=B2242,OFFSET(卡牌辅助配置表!$AE$1,MATCH(AB2241,卡牌辅助配置表!AB:AB,0),0),0)</f>
        <v>1500</v>
      </c>
      <c r="AN2241" s="153">
        <f ca="1" t="shared" si="378"/>
        <v>3022006</v>
      </c>
      <c r="AP2241" s="153">
        <f ca="1">IF(AC2241=0,0,IF(AC2241=12,0,OFFSET(effect!$N$1,MATCH(K2241,effect!M:M,0)-1,0)))</f>
        <v>0</v>
      </c>
    </row>
    <row r="2242" spans="1:42">
      <c r="A2242" s="153">
        <f ca="1" t="shared" si="379"/>
        <v>3022006</v>
      </c>
      <c r="B2242" s="91" t="s">
        <v>476</v>
      </c>
      <c r="C2242" s="186">
        <v>3</v>
      </c>
      <c r="D2242" s="186">
        <v>2</v>
      </c>
      <c r="E2242" s="165" t="s">
        <v>1069</v>
      </c>
      <c r="F2242" s="179" t="s">
        <v>1076</v>
      </c>
      <c r="G2242" s="186">
        <f ca="1">OFFSET(卡牌辅助配置表!$C$1,MATCH(AC2242,卡牌辅助配置表!A:A,0)-1,0)</f>
        <v>0</v>
      </c>
      <c r="H2242" s="186">
        <f ca="1" t="shared" si="388"/>
        <v>0</v>
      </c>
      <c r="I2242" s="186"/>
      <c r="J2242" s="186">
        <f ca="1">OFFSET(card_type!$F$1,MATCH(Q2242,card_type!A:A,0)-1,0)</f>
        <v>2</v>
      </c>
      <c r="K2242" s="243">
        <f ca="1">OFFSET(card_type!$G$1,MATCH(Q2242,card_type!A:A,0)-1,0)</f>
        <v>1</v>
      </c>
      <c r="L2242" s="157">
        <v>2</v>
      </c>
      <c r="M2242" s="157">
        <v>2</v>
      </c>
      <c r="N2242" s="153">
        <f t="shared" si="384"/>
        <v>6</v>
      </c>
      <c r="O2242" s="157"/>
      <c r="P2242" s="157"/>
      <c r="Q2242" s="153">
        <f ca="1">OFFSET(card_type!$A$1,MATCH(card!B2242,card_type!B:B,0)-1,0)</f>
        <v>3022</v>
      </c>
      <c r="R2242" s="153">
        <v>1</v>
      </c>
      <c r="S2242" s="157">
        <f ca="1">ROUND(IF(R2242=0,0,IF(R2242=1,X2242*$S$1,IF(R2242=2,X2242*$S$1*buff的资质计算!$E$2,IF(R2242=3,X2242*$S$1*buff的资质计算!$E$3,0)))),0)*0</f>
        <v>0</v>
      </c>
      <c r="T2242" s="153">
        <v>2</v>
      </c>
      <c r="U2242" s="153">
        <f ca="1" t="shared" si="380"/>
        <v>21</v>
      </c>
      <c r="V2242" s="153">
        <f ca="1">ROUND((OFFSET(卡牌辅助配置表!$O$1,MATCH(U2242,卡牌辅助配置表!M:M,0)-1,0)+(N2242-1)*OFFSET(卡牌辅助配置表!$P$1,MATCH(U2242,卡牌辅助配置表!M:M,0)-1,0))*M2242,2)</f>
        <v>19.47</v>
      </c>
      <c r="W2242" s="157">
        <f ca="1">ROUND(IF(R2242=0,0,IF(R2242=1,X2242*$W$1,IF(R2242=2,X2242*$W$1*buff的资质计算!$E$2,IF(R2242=3,X2242*$W$1*buff的资质计算!$E$3,0)))),2)</f>
        <v>6.75</v>
      </c>
      <c r="X2242" s="157">
        <f ca="1" t="shared" si="386"/>
        <v>22.5</v>
      </c>
      <c r="Y2242" s="157">
        <f ca="1" t="shared" si="383"/>
        <v>22.5</v>
      </c>
      <c r="Z2242" s="304">
        <f ca="1" t="shared" si="387"/>
        <v>11.25</v>
      </c>
      <c r="AA2242" s="304">
        <f ca="1">OFFSET(卡牌辅助配置表!$AD$1,MATCH(AB2242,卡牌辅助配置表!AB:AB,0)-1,0)</f>
        <v>252</v>
      </c>
      <c r="AB2242" s="304">
        <f ca="1" t="shared" si="381"/>
        <v>2106</v>
      </c>
      <c r="AC2242" s="153">
        <v>12</v>
      </c>
      <c r="AF2242" s="153" t="str">
        <f ca="1" t="shared" si="385"/>
        <v>30220011|</v>
      </c>
      <c r="AJ2242" s="205" t="str">
        <f ca="1" t="shared" si="382"/>
        <v>400023|1700|;</v>
      </c>
      <c r="AK2242" s="205">
        <f ca="1">OFFSET([1]item_type!$A$1,MATCH(Q2242,[1]item_type!$G:$G,0)-1,0)</f>
        <v>303022</v>
      </c>
      <c r="AL2242" s="205"/>
      <c r="AM2242" s="205">
        <f ca="1">IF(B2242=B2243,OFFSET(卡牌辅助配置表!$AE$1,MATCH(AB2242,卡牌辅助配置表!AB:AB,0),0),0)</f>
        <v>1700</v>
      </c>
      <c r="AN2242" s="153">
        <f ca="1" t="shared" si="378"/>
        <v>3022007</v>
      </c>
      <c r="AP2242" s="153">
        <f ca="1">IF(AC2242=0,0,IF(AC2242=12,0,OFFSET(effect!$N$1,MATCH(K2242,effect!M:M,0)-1,0)))</f>
        <v>0</v>
      </c>
    </row>
    <row r="2243" spans="1:42">
      <c r="A2243" s="153">
        <f ca="1" t="shared" si="379"/>
        <v>3022007</v>
      </c>
      <c r="B2243" s="91" t="s">
        <v>476</v>
      </c>
      <c r="C2243" s="186">
        <v>3</v>
      </c>
      <c r="D2243" s="186">
        <v>2</v>
      </c>
      <c r="E2243" s="165" t="s">
        <v>1069</v>
      </c>
      <c r="F2243" s="179" t="s">
        <v>1076</v>
      </c>
      <c r="G2243" s="186">
        <f ca="1">OFFSET(卡牌辅助配置表!$C$1,MATCH(AC2243,卡牌辅助配置表!A:A,0)-1,0)</f>
        <v>0</v>
      </c>
      <c r="H2243" s="186">
        <f ca="1" t="shared" si="388"/>
        <v>0</v>
      </c>
      <c r="I2243" s="186"/>
      <c r="J2243" s="186">
        <f ca="1">OFFSET(card_type!$F$1,MATCH(Q2243,card_type!A:A,0)-1,0)</f>
        <v>2</v>
      </c>
      <c r="K2243" s="243">
        <f ca="1">OFFSET(card_type!$G$1,MATCH(Q2243,card_type!A:A,0)-1,0)</f>
        <v>1</v>
      </c>
      <c r="L2243" s="157">
        <v>2</v>
      </c>
      <c r="M2243" s="157">
        <v>2</v>
      </c>
      <c r="N2243" s="153">
        <f t="shared" si="384"/>
        <v>7</v>
      </c>
      <c r="O2243" s="157"/>
      <c r="P2243" s="157"/>
      <c r="Q2243" s="153">
        <f ca="1">OFFSET(card_type!$A$1,MATCH(card!B2243,card_type!B:B,0)-1,0)</f>
        <v>3022</v>
      </c>
      <c r="R2243" s="153">
        <v>1</v>
      </c>
      <c r="S2243" s="157">
        <f ca="1">ROUND(IF(R2243=0,0,IF(R2243=1,X2243*$S$1,IF(R2243=2,X2243*$S$1*buff的资质计算!$E$2,IF(R2243=3,X2243*$S$1*buff的资质计算!$E$3,0)))),0)*0</f>
        <v>0</v>
      </c>
      <c r="T2243" s="153">
        <v>2</v>
      </c>
      <c r="U2243" s="153">
        <f ca="1" t="shared" si="380"/>
        <v>21</v>
      </c>
      <c r="V2243" s="153">
        <f ca="1">ROUND((OFFSET(卡牌辅助配置表!$O$1,MATCH(U2243,卡牌辅助配置表!M:M,0)-1,0)+(N2243-1)*OFFSET(卡牌辅助配置表!$P$1,MATCH(U2243,卡牌辅助配置表!M:M,0)-1,0))*M2243,2)</f>
        <v>20.59</v>
      </c>
      <c r="W2243" s="157">
        <f ca="1">ROUND(IF(R2243=0,0,IF(R2243=1,X2243*$W$1,IF(R2243=2,X2243*$W$1*buff的资质计算!$E$2,IF(R2243=3,X2243*$W$1*buff的资质计算!$E$3,0)))),2)</f>
        <v>6.9</v>
      </c>
      <c r="X2243" s="157">
        <f ca="1" t="shared" si="386"/>
        <v>23</v>
      </c>
      <c r="Y2243" s="157">
        <f ca="1" t="shared" si="383"/>
        <v>23</v>
      </c>
      <c r="Z2243" s="304">
        <f ca="1" t="shared" si="387"/>
        <v>11.5</v>
      </c>
      <c r="AA2243" s="304">
        <f ca="1">OFFSET(卡牌辅助配置表!$AD$1,MATCH(AB2243,卡牌辅助配置表!AB:AB,0)-1,0)</f>
        <v>294</v>
      </c>
      <c r="AB2243" s="304">
        <f ca="1" t="shared" si="381"/>
        <v>2107</v>
      </c>
      <c r="AC2243" s="153">
        <v>12</v>
      </c>
      <c r="AF2243" s="153" t="str">
        <f ca="1" t="shared" si="385"/>
        <v>30220011|</v>
      </c>
      <c r="AJ2243" s="205" t="str">
        <f ca="1" t="shared" si="382"/>
        <v>400023|1900|;</v>
      </c>
      <c r="AK2243" s="205">
        <f ca="1">OFFSET([1]item_type!$A$1,MATCH(Q2243,[1]item_type!$G:$G,0)-1,0)</f>
        <v>303022</v>
      </c>
      <c r="AL2243" s="205"/>
      <c r="AM2243" s="205">
        <f ca="1">IF(B2243=B2244,OFFSET(卡牌辅助配置表!$AE$1,MATCH(AB2243,卡牌辅助配置表!AB:AB,0),0),0)</f>
        <v>1900</v>
      </c>
      <c r="AN2243" s="153">
        <f ca="1" t="shared" si="378"/>
        <v>3022008</v>
      </c>
      <c r="AP2243" s="153">
        <f ca="1">IF(AC2243=0,0,IF(AC2243=12,0,OFFSET(effect!$N$1,MATCH(K2243,effect!M:M,0)-1,0)))</f>
        <v>0</v>
      </c>
    </row>
    <row r="2244" spans="1:42">
      <c r="A2244" s="153">
        <f ca="1" t="shared" si="379"/>
        <v>3022008</v>
      </c>
      <c r="B2244" s="91" t="s">
        <v>476</v>
      </c>
      <c r="C2244" s="186">
        <v>3</v>
      </c>
      <c r="D2244" s="186">
        <v>2</v>
      </c>
      <c r="E2244" s="165" t="s">
        <v>1069</v>
      </c>
      <c r="F2244" s="179" t="s">
        <v>1076</v>
      </c>
      <c r="G2244" s="186">
        <f ca="1">OFFSET(卡牌辅助配置表!$C$1,MATCH(AC2244,卡牌辅助配置表!A:A,0)-1,0)</f>
        <v>0</v>
      </c>
      <c r="H2244" s="186">
        <f ca="1" t="shared" si="388"/>
        <v>0</v>
      </c>
      <c r="I2244" s="186"/>
      <c r="J2244" s="186">
        <f ca="1">OFFSET(card_type!$F$1,MATCH(Q2244,card_type!A:A,0)-1,0)</f>
        <v>2</v>
      </c>
      <c r="K2244" s="243">
        <f ca="1">OFFSET(card_type!$G$1,MATCH(Q2244,card_type!A:A,0)-1,0)</f>
        <v>1</v>
      </c>
      <c r="L2244" s="157">
        <v>2</v>
      </c>
      <c r="M2244" s="157">
        <v>2</v>
      </c>
      <c r="N2244" s="153">
        <f t="shared" si="384"/>
        <v>8</v>
      </c>
      <c r="O2244" s="157"/>
      <c r="P2244" s="157"/>
      <c r="Q2244" s="153">
        <f ca="1">OFFSET(card_type!$A$1,MATCH(card!B2244,card_type!B:B,0)-1,0)</f>
        <v>3022</v>
      </c>
      <c r="R2244" s="153">
        <v>1</v>
      </c>
      <c r="S2244" s="157">
        <f ca="1">ROUND(IF(R2244=0,0,IF(R2244=1,X2244*$S$1,IF(R2244=2,X2244*$S$1*buff的资质计算!$E$2,IF(R2244=3,X2244*$S$1*buff的资质计算!$E$3,0)))),0)*0</f>
        <v>0</v>
      </c>
      <c r="T2244" s="153">
        <v>2</v>
      </c>
      <c r="U2244" s="153">
        <f ca="1" t="shared" si="380"/>
        <v>21</v>
      </c>
      <c r="V2244" s="153">
        <f ca="1">ROUND((OFFSET(卡牌辅助配置表!$O$1,MATCH(U2244,卡牌辅助配置表!M:M,0)-1,0)+(N2244-1)*OFFSET(卡牌辅助配置表!$P$1,MATCH(U2244,卡牌辅助配置表!M:M,0)-1,0))*M2244,2)</f>
        <v>21.71</v>
      </c>
      <c r="W2244" s="157">
        <f ca="1">ROUND(IF(R2244=0,0,IF(R2244=1,X2244*$W$1,IF(R2244=2,X2244*$W$1*buff的资质计算!$E$2,IF(R2244=3,X2244*$W$1*buff的资质计算!$E$3,0)))),2)</f>
        <v>7.05</v>
      </c>
      <c r="X2244" s="157">
        <f ca="1" t="shared" si="386"/>
        <v>23.5</v>
      </c>
      <c r="Y2244" s="157">
        <f ca="1" t="shared" si="383"/>
        <v>23.5</v>
      </c>
      <c r="Z2244" s="304">
        <f ca="1" t="shared" si="387"/>
        <v>11.75</v>
      </c>
      <c r="AA2244" s="304">
        <f ca="1">OFFSET(卡牌辅助配置表!$AD$1,MATCH(AB2244,卡牌辅助配置表!AB:AB,0)-1,0)</f>
        <v>336</v>
      </c>
      <c r="AB2244" s="304">
        <f ca="1" t="shared" si="381"/>
        <v>2108</v>
      </c>
      <c r="AC2244" s="153">
        <v>12</v>
      </c>
      <c r="AF2244" s="153" t="str">
        <f ca="1" t="shared" si="385"/>
        <v>30220011|</v>
      </c>
      <c r="AJ2244" s="205" t="str">
        <f ca="1" t="shared" si="382"/>
        <v>400023|2100|;</v>
      </c>
      <c r="AK2244" s="205">
        <f ca="1">OFFSET([1]item_type!$A$1,MATCH(Q2244,[1]item_type!$G:$G,0)-1,0)</f>
        <v>303022</v>
      </c>
      <c r="AL2244" s="205"/>
      <c r="AM2244" s="205">
        <f ca="1">IF(B2244=B2245,OFFSET(卡牌辅助配置表!$AE$1,MATCH(AB2244,卡牌辅助配置表!AB:AB,0),0),0)</f>
        <v>2100</v>
      </c>
      <c r="AN2244" s="153">
        <f ca="1" t="shared" si="378"/>
        <v>3022009</v>
      </c>
      <c r="AP2244" s="153">
        <f ca="1">IF(AC2244=0,0,IF(AC2244=12,0,OFFSET(effect!$N$1,MATCH(K2244,effect!M:M,0)-1,0)))</f>
        <v>0</v>
      </c>
    </row>
    <row r="2245" spans="1:42">
      <c r="A2245" s="153">
        <f ca="1" t="shared" si="379"/>
        <v>3022009</v>
      </c>
      <c r="B2245" s="91" t="s">
        <v>476</v>
      </c>
      <c r="C2245" s="186">
        <v>3</v>
      </c>
      <c r="D2245" s="186">
        <v>2</v>
      </c>
      <c r="E2245" s="165" t="s">
        <v>1069</v>
      </c>
      <c r="F2245" s="179" t="s">
        <v>1076</v>
      </c>
      <c r="G2245" s="186">
        <f ca="1">OFFSET(卡牌辅助配置表!$C$1,MATCH(AC2245,卡牌辅助配置表!A:A,0)-1,0)</f>
        <v>0</v>
      </c>
      <c r="H2245" s="186">
        <f ca="1" t="shared" si="388"/>
        <v>0</v>
      </c>
      <c r="I2245" s="186"/>
      <c r="J2245" s="186">
        <f ca="1">OFFSET(card_type!$F$1,MATCH(Q2245,card_type!A:A,0)-1,0)</f>
        <v>2</v>
      </c>
      <c r="K2245" s="243">
        <f ca="1">OFFSET(card_type!$G$1,MATCH(Q2245,card_type!A:A,0)-1,0)</f>
        <v>1</v>
      </c>
      <c r="L2245" s="157">
        <v>2</v>
      </c>
      <c r="M2245" s="157">
        <v>2</v>
      </c>
      <c r="N2245" s="153">
        <f t="shared" si="384"/>
        <v>9</v>
      </c>
      <c r="O2245" s="157"/>
      <c r="P2245" s="157"/>
      <c r="Q2245" s="153">
        <f ca="1">OFFSET(card_type!$A$1,MATCH(card!B2245,card_type!B:B,0)-1,0)</f>
        <v>3022</v>
      </c>
      <c r="R2245" s="153">
        <v>1</v>
      </c>
      <c r="S2245" s="157">
        <f ca="1">ROUND(IF(R2245=0,0,IF(R2245=1,X2245*$S$1,IF(R2245=2,X2245*$S$1*buff的资质计算!$E$2,IF(R2245=3,X2245*$S$1*buff的资质计算!$E$3,0)))),0)*0</f>
        <v>0</v>
      </c>
      <c r="T2245" s="153">
        <v>2</v>
      </c>
      <c r="U2245" s="153">
        <f ca="1" t="shared" si="380"/>
        <v>21</v>
      </c>
      <c r="V2245" s="153">
        <f ca="1">ROUND((OFFSET(卡牌辅助配置表!$O$1,MATCH(U2245,卡牌辅助配置表!M:M,0)-1,0)+(N2245-1)*OFFSET(卡牌辅助配置表!$P$1,MATCH(U2245,卡牌辅助配置表!M:M,0)-1,0))*M2245,2)</f>
        <v>22.84</v>
      </c>
      <c r="W2245" s="157">
        <f ca="1">ROUND(IF(R2245=0,0,IF(R2245=1,X2245*$W$1,IF(R2245=2,X2245*$W$1*buff的资质计算!$E$2,IF(R2245=3,X2245*$W$1*buff的资质计算!$E$3,0)))),2)</f>
        <v>7.2</v>
      </c>
      <c r="X2245" s="157">
        <f ca="1" t="shared" si="386"/>
        <v>24</v>
      </c>
      <c r="Y2245" s="157">
        <f ca="1" t="shared" si="383"/>
        <v>24</v>
      </c>
      <c r="Z2245" s="304">
        <f ca="1" t="shared" si="387"/>
        <v>12</v>
      </c>
      <c r="AA2245" s="304">
        <f ca="1">OFFSET(卡牌辅助配置表!$AD$1,MATCH(AB2245,卡牌辅助配置表!AB:AB,0)-1,0)</f>
        <v>378</v>
      </c>
      <c r="AB2245" s="304">
        <f ca="1" t="shared" si="381"/>
        <v>2109</v>
      </c>
      <c r="AC2245" s="153">
        <v>12</v>
      </c>
      <c r="AF2245" s="153" t="str">
        <f ca="1" t="shared" si="385"/>
        <v>30220011|</v>
      </c>
      <c r="AJ2245" s="205" t="str">
        <f ca="1" t="shared" si="382"/>
        <v>303022|15|;400023|2300|;</v>
      </c>
      <c r="AK2245" s="205">
        <f ca="1">OFFSET([1]item_type!$A$1,MATCH(Q2245,[1]item_type!$G:$G,0)-1,0)</f>
        <v>303022</v>
      </c>
      <c r="AL2245" s="205">
        <v>15</v>
      </c>
      <c r="AM2245" s="205">
        <f ca="1">IF(B2245=B2246,OFFSET(卡牌辅助配置表!$AE$1,MATCH(AB2245,卡牌辅助配置表!AB:AB,0),0),0)</f>
        <v>2300</v>
      </c>
      <c r="AN2245" s="153">
        <f ca="1" t="shared" ref="AN2245:AN2308" si="389">IF(B2245=B2246,A2245+1,0)</f>
        <v>3022010</v>
      </c>
      <c r="AP2245" s="153">
        <f ca="1">IF(AC2245=0,0,IF(AC2245=12,0,OFFSET(effect!$N$1,MATCH(K2245,effect!M:M,0)-1,0)))</f>
        <v>0</v>
      </c>
    </row>
    <row r="2246" spans="1:42">
      <c r="A2246" s="153">
        <f ca="1" t="shared" ref="A2246:A2309" si="390">Q2246*1000+N2246</f>
        <v>3022010</v>
      </c>
      <c r="B2246" s="91" t="s">
        <v>476</v>
      </c>
      <c r="C2246" s="186">
        <v>3</v>
      </c>
      <c r="D2246" s="186">
        <v>2</v>
      </c>
      <c r="E2246" s="165" t="s">
        <v>1069</v>
      </c>
      <c r="F2246" s="179" t="s">
        <v>1076</v>
      </c>
      <c r="G2246" s="186">
        <f ca="1">OFFSET(卡牌辅助配置表!$C$1,MATCH(AC2246,卡牌辅助配置表!A:A,0)-1,0)</f>
        <v>0</v>
      </c>
      <c r="H2246" s="186">
        <f ca="1" t="shared" si="388"/>
        <v>0</v>
      </c>
      <c r="I2246" s="186"/>
      <c r="J2246" s="186">
        <f ca="1">OFFSET(card_type!$F$1,MATCH(Q2246,card_type!A:A,0)-1,0)</f>
        <v>2</v>
      </c>
      <c r="K2246" s="243">
        <f ca="1">OFFSET(card_type!$G$1,MATCH(Q2246,card_type!A:A,0)-1,0)</f>
        <v>1</v>
      </c>
      <c r="L2246" s="157">
        <v>2</v>
      </c>
      <c r="M2246" s="157">
        <v>2</v>
      </c>
      <c r="N2246" s="153">
        <f t="shared" si="384"/>
        <v>10</v>
      </c>
      <c r="O2246" s="157"/>
      <c r="P2246" s="157"/>
      <c r="Q2246" s="153">
        <f ca="1">OFFSET(card_type!$A$1,MATCH(card!B2246,card_type!B:B,0)-1,0)</f>
        <v>3022</v>
      </c>
      <c r="R2246" s="153">
        <v>1</v>
      </c>
      <c r="S2246" s="157">
        <f ca="1">ROUND(IF(R2246=0,0,IF(R2246=1,X2246*$S$1,IF(R2246=2,X2246*$S$1*buff的资质计算!$E$2,IF(R2246=3,X2246*$S$1*buff的资质计算!$E$3,0)))),0)*0</f>
        <v>0</v>
      </c>
      <c r="T2246" s="153">
        <v>2</v>
      </c>
      <c r="U2246" s="153">
        <f ca="1" t="shared" ref="U2246:U2309" si="391">J2246*10+K2246</f>
        <v>21</v>
      </c>
      <c r="V2246" s="153">
        <f ca="1">ROUND((OFFSET(卡牌辅助配置表!$O$1,MATCH(U2246,卡牌辅助配置表!M:M,0)-1,0)+(N2246-1)*OFFSET(卡牌辅助配置表!$P$1,MATCH(U2246,卡牌辅助配置表!M:M,0)-1,0))*M2246,2)</f>
        <v>23.96</v>
      </c>
      <c r="W2246" s="157">
        <f ca="1">ROUND(IF(R2246=0,0,IF(R2246=1,X2246*$W$1,IF(R2246=2,X2246*$W$1*buff的资质计算!$E$2,IF(R2246=3,X2246*$W$1*buff的资质计算!$E$3,0)))),2)</f>
        <v>7.35</v>
      </c>
      <c r="X2246" s="157">
        <f ca="1" t="shared" si="386"/>
        <v>24.5</v>
      </c>
      <c r="Y2246" s="157">
        <f ca="1" t="shared" si="383"/>
        <v>24.5</v>
      </c>
      <c r="Z2246" s="304">
        <f ca="1" t="shared" si="387"/>
        <v>12.25</v>
      </c>
      <c r="AA2246" s="304">
        <f ca="1">OFFSET(卡牌辅助配置表!$AD$1,MATCH(AB2246,卡牌辅助配置表!AB:AB,0)-1,0)</f>
        <v>420</v>
      </c>
      <c r="AB2246" s="304">
        <f ca="1" t="shared" ref="AB2246:AB2309" si="392">J2246*1000+K2246*100+N2246</f>
        <v>2110</v>
      </c>
      <c r="AC2246" s="153">
        <v>12</v>
      </c>
      <c r="AF2246" s="153" t="str">
        <f ca="1" t="shared" si="385"/>
        <v>30220011|</v>
      </c>
      <c r="AJ2246" s="205" t="str">
        <f ca="1" t="shared" ref="AJ2246:AJ2309" si="393">IF(AN2246=0,0,IF(AL2246=0,$AM$1&amp;$AF$1&amp;AM2246&amp;$AF$1&amp;$AJ$1,AK2246&amp;$AF$1&amp;AL2246&amp;$AF$1&amp;$AJ$1&amp;$AM$1&amp;$AF$1&amp;AM2246&amp;$AF$1&amp;$AJ$1))</f>
        <v>400023|2700|;</v>
      </c>
      <c r="AK2246" s="205">
        <f ca="1">OFFSET([1]item_type!$A$1,MATCH(Q2246,[1]item_type!$G:$G,0)-1,0)</f>
        <v>303022</v>
      </c>
      <c r="AL2246" s="205"/>
      <c r="AM2246" s="205">
        <f ca="1">IF(B2246=B2247,OFFSET(卡牌辅助配置表!$AE$1,MATCH(AB2246,卡牌辅助配置表!AB:AB,0),0),0)</f>
        <v>2700</v>
      </c>
      <c r="AN2246" s="153">
        <f ca="1" t="shared" si="389"/>
        <v>3022011</v>
      </c>
      <c r="AP2246" s="153">
        <f ca="1">IF(AC2246=0,0,IF(AC2246=12,0,OFFSET(effect!$N$1,MATCH(K2246,effect!M:M,0)-1,0)))</f>
        <v>0</v>
      </c>
    </row>
    <row r="2247" spans="1:42">
      <c r="A2247" s="153">
        <f ca="1" t="shared" si="390"/>
        <v>3022011</v>
      </c>
      <c r="B2247" s="91" t="s">
        <v>476</v>
      </c>
      <c r="C2247" s="186">
        <v>3</v>
      </c>
      <c r="D2247" s="186">
        <v>2</v>
      </c>
      <c r="E2247" s="165" t="s">
        <v>1069</v>
      </c>
      <c r="F2247" s="179" t="s">
        <v>1076</v>
      </c>
      <c r="G2247" s="186">
        <f ca="1">OFFSET(卡牌辅助配置表!$C$1,MATCH(AC2247,卡牌辅助配置表!A:A,0)-1,0)</f>
        <v>0</v>
      </c>
      <c r="H2247" s="186">
        <f ca="1" t="shared" si="388"/>
        <v>0</v>
      </c>
      <c r="I2247" s="186"/>
      <c r="J2247" s="186">
        <f ca="1">OFFSET(card_type!$F$1,MATCH(Q2247,card_type!A:A,0)-1,0)</f>
        <v>2</v>
      </c>
      <c r="K2247" s="243">
        <f ca="1">OFFSET(card_type!$G$1,MATCH(Q2247,card_type!A:A,0)-1,0)</f>
        <v>1</v>
      </c>
      <c r="L2247" s="157">
        <v>2</v>
      </c>
      <c r="M2247" s="157">
        <v>2</v>
      </c>
      <c r="N2247" s="153">
        <f t="shared" si="384"/>
        <v>11</v>
      </c>
      <c r="O2247" s="157"/>
      <c r="P2247" s="157"/>
      <c r="Q2247" s="153">
        <f ca="1">OFFSET(card_type!$A$1,MATCH(card!B2247,card_type!B:B,0)-1,0)</f>
        <v>3022</v>
      </c>
      <c r="R2247" s="153">
        <v>1</v>
      </c>
      <c r="S2247" s="157">
        <f ca="1">ROUND(IF(R2247=0,0,IF(R2247=1,X2247*$S$1,IF(R2247=2,X2247*$S$1*buff的资质计算!$E$2,IF(R2247=3,X2247*$S$1*buff的资质计算!$E$3,0)))),0)*0</f>
        <v>0</v>
      </c>
      <c r="T2247" s="153">
        <v>2</v>
      </c>
      <c r="U2247" s="153">
        <f ca="1" t="shared" si="391"/>
        <v>21</v>
      </c>
      <c r="V2247" s="153">
        <f ca="1">ROUND((OFFSET(卡牌辅助配置表!$O$1,MATCH(U2247,卡牌辅助配置表!M:M,0)-1,0)+(N2247-1)*OFFSET(卡牌辅助配置表!$P$1,MATCH(U2247,卡牌辅助配置表!M:M,0)-1,0))*M2247,2)</f>
        <v>25.08</v>
      </c>
      <c r="W2247" s="157">
        <f ca="1">ROUND(IF(R2247=0,0,IF(R2247=1,X2247*$W$1,IF(R2247=2,X2247*$W$1*buff的资质计算!$E$2,IF(R2247=3,X2247*$W$1*buff的资质计算!$E$3,0)))),2)</f>
        <v>7.5</v>
      </c>
      <c r="X2247" s="157">
        <f ca="1" t="shared" si="386"/>
        <v>25</v>
      </c>
      <c r="Y2247" s="157">
        <f ca="1" t="shared" si="383"/>
        <v>25</v>
      </c>
      <c r="Z2247" s="304">
        <f ca="1" t="shared" si="387"/>
        <v>12.5</v>
      </c>
      <c r="AA2247" s="304">
        <f ca="1">OFFSET(卡牌辅助配置表!$AD$1,MATCH(AB2247,卡牌辅助配置表!AB:AB,0)-1,0)</f>
        <v>483</v>
      </c>
      <c r="AB2247" s="304">
        <f ca="1" t="shared" si="392"/>
        <v>2111</v>
      </c>
      <c r="AC2247" s="153">
        <v>12</v>
      </c>
      <c r="AF2247" s="153" t="str">
        <f ca="1" t="shared" si="385"/>
        <v>30220011|</v>
      </c>
      <c r="AJ2247" s="205" t="str">
        <f ca="1" t="shared" si="393"/>
        <v>400023|3100|;</v>
      </c>
      <c r="AK2247" s="205">
        <f ca="1">OFFSET([1]item_type!$A$1,MATCH(Q2247,[1]item_type!$G:$G,0)-1,0)</f>
        <v>303022</v>
      </c>
      <c r="AL2247" s="205"/>
      <c r="AM2247" s="205">
        <f ca="1">IF(B2247=B2248,OFFSET(卡牌辅助配置表!$AE$1,MATCH(AB2247,卡牌辅助配置表!AB:AB,0),0),0)</f>
        <v>3100</v>
      </c>
      <c r="AN2247" s="153">
        <f ca="1" t="shared" si="389"/>
        <v>3022012</v>
      </c>
      <c r="AP2247" s="153">
        <f ca="1">IF(AC2247=0,0,IF(AC2247=12,0,OFFSET(effect!$N$1,MATCH(K2247,effect!M:M,0)-1,0)))</f>
        <v>0</v>
      </c>
    </row>
    <row r="2248" spans="1:42">
      <c r="A2248" s="153">
        <f ca="1" t="shared" si="390"/>
        <v>3022012</v>
      </c>
      <c r="B2248" s="91" t="s">
        <v>476</v>
      </c>
      <c r="C2248" s="186">
        <v>3</v>
      </c>
      <c r="D2248" s="186">
        <v>2</v>
      </c>
      <c r="E2248" s="165" t="s">
        <v>1069</v>
      </c>
      <c r="F2248" s="179" t="s">
        <v>1076</v>
      </c>
      <c r="G2248" s="186">
        <f ca="1">OFFSET(卡牌辅助配置表!$C$1,MATCH(AC2248,卡牌辅助配置表!A:A,0)-1,0)</f>
        <v>0</v>
      </c>
      <c r="H2248" s="186">
        <f ca="1" t="shared" si="388"/>
        <v>0</v>
      </c>
      <c r="I2248" s="186"/>
      <c r="J2248" s="186">
        <f ca="1">OFFSET(card_type!$F$1,MATCH(Q2248,card_type!A:A,0)-1,0)</f>
        <v>2</v>
      </c>
      <c r="K2248" s="243">
        <f ca="1">OFFSET(card_type!$G$1,MATCH(Q2248,card_type!A:A,0)-1,0)</f>
        <v>1</v>
      </c>
      <c r="L2248" s="157">
        <v>2</v>
      </c>
      <c r="M2248" s="157">
        <v>2</v>
      </c>
      <c r="N2248" s="153">
        <f t="shared" si="384"/>
        <v>12</v>
      </c>
      <c r="O2248" s="157"/>
      <c r="P2248" s="157"/>
      <c r="Q2248" s="153">
        <f ca="1">OFFSET(card_type!$A$1,MATCH(card!B2248,card_type!B:B,0)-1,0)</f>
        <v>3022</v>
      </c>
      <c r="R2248" s="153">
        <v>1</v>
      </c>
      <c r="S2248" s="157">
        <f ca="1">ROUND(IF(R2248=0,0,IF(R2248=1,X2248*$S$1,IF(R2248=2,X2248*$S$1*buff的资质计算!$E$2,IF(R2248=3,X2248*$S$1*buff的资质计算!$E$3,0)))),0)*0</f>
        <v>0</v>
      </c>
      <c r="T2248" s="153">
        <v>2</v>
      </c>
      <c r="U2248" s="153">
        <f ca="1" t="shared" si="391"/>
        <v>21</v>
      </c>
      <c r="V2248" s="153">
        <f ca="1">ROUND((OFFSET(卡牌辅助配置表!$O$1,MATCH(U2248,卡牌辅助配置表!M:M,0)-1,0)+(N2248-1)*OFFSET(卡牌辅助配置表!$P$1,MATCH(U2248,卡牌辅助配置表!M:M,0)-1,0))*M2248,2)</f>
        <v>26.2</v>
      </c>
      <c r="W2248" s="157">
        <f ca="1">ROUND(IF(R2248=0,0,IF(R2248=1,X2248*$W$1,IF(R2248=2,X2248*$W$1*buff的资质计算!$E$2,IF(R2248=3,X2248*$W$1*buff的资质计算!$E$3,0)))),2)</f>
        <v>7.65</v>
      </c>
      <c r="X2248" s="157">
        <f ca="1" t="shared" si="386"/>
        <v>25.5</v>
      </c>
      <c r="Y2248" s="157">
        <f ca="1" t="shared" si="383"/>
        <v>25.5</v>
      </c>
      <c r="Z2248" s="304">
        <f ca="1" t="shared" si="387"/>
        <v>12.75</v>
      </c>
      <c r="AA2248" s="304">
        <f ca="1">OFFSET(卡牌辅助配置表!$AD$1,MATCH(AB2248,卡牌辅助配置表!AB:AB,0)-1,0)</f>
        <v>546</v>
      </c>
      <c r="AB2248" s="304">
        <f ca="1" t="shared" si="392"/>
        <v>2112</v>
      </c>
      <c r="AC2248" s="153">
        <v>12</v>
      </c>
      <c r="AF2248" s="153" t="str">
        <f ca="1" t="shared" si="385"/>
        <v>30220011|</v>
      </c>
      <c r="AJ2248" s="205" t="str">
        <f ca="1" t="shared" si="393"/>
        <v>400023|3500|;</v>
      </c>
      <c r="AK2248" s="205">
        <f ca="1">OFFSET([1]item_type!$A$1,MATCH(Q2248,[1]item_type!$G:$G,0)-1,0)</f>
        <v>303022</v>
      </c>
      <c r="AL2248" s="205"/>
      <c r="AM2248" s="205">
        <f ca="1">IF(B2248=B2249,OFFSET(卡牌辅助配置表!$AE$1,MATCH(AB2248,卡牌辅助配置表!AB:AB,0),0),0)</f>
        <v>3500</v>
      </c>
      <c r="AN2248" s="153">
        <f ca="1" t="shared" si="389"/>
        <v>3022013</v>
      </c>
      <c r="AP2248" s="153">
        <f ca="1">IF(AC2248=0,0,IF(AC2248=12,0,OFFSET(effect!$N$1,MATCH(K2248,effect!M:M,0)-1,0)))</f>
        <v>0</v>
      </c>
    </row>
    <row r="2249" spans="1:42">
      <c r="A2249" s="153">
        <f ca="1" t="shared" si="390"/>
        <v>3022013</v>
      </c>
      <c r="B2249" s="91" t="s">
        <v>476</v>
      </c>
      <c r="C2249" s="186">
        <v>3</v>
      </c>
      <c r="D2249" s="186">
        <v>2</v>
      </c>
      <c r="E2249" s="165" t="s">
        <v>1069</v>
      </c>
      <c r="F2249" s="179" t="s">
        <v>1076</v>
      </c>
      <c r="G2249" s="186">
        <f ca="1">OFFSET(卡牌辅助配置表!$C$1,MATCH(AC2249,卡牌辅助配置表!A:A,0)-1,0)</f>
        <v>0</v>
      </c>
      <c r="H2249" s="186">
        <f ca="1" t="shared" si="388"/>
        <v>0</v>
      </c>
      <c r="I2249" s="186"/>
      <c r="J2249" s="186">
        <f ca="1">OFFSET(card_type!$F$1,MATCH(Q2249,card_type!A:A,0)-1,0)</f>
        <v>2</v>
      </c>
      <c r="K2249" s="243">
        <f ca="1">OFFSET(card_type!$G$1,MATCH(Q2249,card_type!A:A,0)-1,0)</f>
        <v>1</v>
      </c>
      <c r="L2249" s="157">
        <v>2</v>
      </c>
      <c r="M2249" s="157">
        <v>2</v>
      </c>
      <c r="N2249" s="153">
        <f t="shared" si="384"/>
        <v>13</v>
      </c>
      <c r="O2249" s="157"/>
      <c r="P2249" s="157"/>
      <c r="Q2249" s="153">
        <f ca="1">OFFSET(card_type!$A$1,MATCH(card!B2249,card_type!B:B,0)-1,0)</f>
        <v>3022</v>
      </c>
      <c r="R2249" s="153">
        <v>1</v>
      </c>
      <c r="S2249" s="157">
        <f ca="1">ROUND(IF(R2249=0,0,IF(R2249=1,X2249*$S$1,IF(R2249=2,X2249*$S$1*buff的资质计算!$E$2,IF(R2249=3,X2249*$S$1*buff的资质计算!$E$3,0)))),0)*0</f>
        <v>0</v>
      </c>
      <c r="T2249" s="153">
        <v>2</v>
      </c>
      <c r="U2249" s="153">
        <f ca="1" t="shared" si="391"/>
        <v>21</v>
      </c>
      <c r="V2249" s="153">
        <f ca="1">ROUND((OFFSET(卡牌辅助配置表!$O$1,MATCH(U2249,卡牌辅助配置表!M:M,0)-1,0)+(N2249-1)*OFFSET(卡牌辅助配置表!$P$1,MATCH(U2249,卡牌辅助配置表!M:M,0)-1,0))*M2249,2)</f>
        <v>27.32</v>
      </c>
      <c r="W2249" s="157">
        <f ca="1">ROUND(IF(R2249=0,0,IF(R2249=1,X2249*$W$1,IF(R2249=2,X2249*$W$1*buff的资质计算!$E$2,IF(R2249=3,X2249*$W$1*buff的资质计算!$E$3,0)))),2)</f>
        <v>7.8</v>
      </c>
      <c r="X2249" s="157">
        <f ca="1" t="shared" si="386"/>
        <v>26</v>
      </c>
      <c r="Y2249" s="157">
        <f ca="1" t="shared" si="383"/>
        <v>26</v>
      </c>
      <c r="Z2249" s="304">
        <f ca="1" t="shared" si="387"/>
        <v>13</v>
      </c>
      <c r="AA2249" s="304">
        <f ca="1">OFFSET(卡牌辅助配置表!$AD$1,MATCH(AB2249,卡牌辅助配置表!AB:AB,0)-1,0)</f>
        <v>609</v>
      </c>
      <c r="AB2249" s="304">
        <f ca="1" t="shared" si="392"/>
        <v>2113</v>
      </c>
      <c r="AC2249" s="153">
        <v>12</v>
      </c>
      <c r="AF2249" s="153" t="str">
        <f ca="1" t="shared" si="385"/>
        <v>30220011|</v>
      </c>
      <c r="AJ2249" s="205" t="str">
        <f ca="1" t="shared" si="393"/>
        <v>400023|3900|;</v>
      </c>
      <c r="AK2249" s="205">
        <f ca="1">OFFSET([1]item_type!$A$1,MATCH(Q2249,[1]item_type!$G:$G,0)-1,0)</f>
        <v>303022</v>
      </c>
      <c r="AL2249" s="205"/>
      <c r="AM2249" s="205">
        <f ca="1">IF(B2249=B2250,OFFSET(卡牌辅助配置表!$AE$1,MATCH(AB2249,卡牌辅助配置表!AB:AB,0),0),0)</f>
        <v>3900</v>
      </c>
      <c r="AN2249" s="153">
        <f ca="1" t="shared" si="389"/>
        <v>3022014</v>
      </c>
      <c r="AP2249" s="153">
        <f ca="1">IF(AC2249=0,0,IF(AC2249=12,0,OFFSET(effect!$N$1,MATCH(K2249,effect!M:M,0)-1,0)))</f>
        <v>0</v>
      </c>
    </row>
    <row r="2250" spans="1:42">
      <c r="A2250" s="153">
        <f ca="1" t="shared" si="390"/>
        <v>3022014</v>
      </c>
      <c r="B2250" s="91" t="s">
        <v>476</v>
      </c>
      <c r="C2250" s="186">
        <v>3</v>
      </c>
      <c r="D2250" s="186">
        <v>2</v>
      </c>
      <c r="E2250" s="165" t="s">
        <v>1069</v>
      </c>
      <c r="F2250" s="179" t="s">
        <v>1076</v>
      </c>
      <c r="G2250" s="186">
        <f ca="1">OFFSET(卡牌辅助配置表!$C$1,MATCH(AC2250,卡牌辅助配置表!A:A,0)-1,0)</f>
        <v>0</v>
      </c>
      <c r="H2250" s="186">
        <f ca="1" t="shared" si="388"/>
        <v>0</v>
      </c>
      <c r="I2250" s="186"/>
      <c r="J2250" s="186">
        <f ca="1">OFFSET(card_type!$F$1,MATCH(Q2250,card_type!A:A,0)-1,0)</f>
        <v>2</v>
      </c>
      <c r="K2250" s="243">
        <f ca="1">OFFSET(card_type!$G$1,MATCH(Q2250,card_type!A:A,0)-1,0)</f>
        <v>1</v>
      </c>
      <c r="L2250" s="157">
        <v>2</v>
      </c>
      <c r="M2250" s="157">
        <v>2</v>
      </c>
      <c r="N2250" s="153">
        <f t="shared" si="384"/>
        <v>14</v>
      </c>
      <c r="O2250" s="157"/>
      <c r="P2250" s="157"/>
      <c r="Q2250" s="153">
        <f ca="1">OFFSET(card_type!$A$1,MATCH(card!B2250,card_type!B:B,0)-1,0)</f>
        <v>3022</v>
      </c>
      <c r="R2250" s="153">
        <v>1</v>
      </c>
      <c r="S2250" s="157">
        <f ca="1">ROUND(IF(R2250=0,0,IF(R2250=1,X2250*$S$1,IF(R2250=2,X2250*$S$1*buff的资质计算!$E$2,IF(R2250=3,X2250*$S$1*buff的资质计算!$E$3,0)))),0)*0</f>
        <v>0</v>
      </c>
      <c r="T2250" s="153">
        <v>2</v>
      </c>
      <c r="U2250" s="153">
        <f ca="1" t="shared" si="391"/>
        <v>21</v>
      </c>
      <c r="V2250" s="153">
        <f ca="1">ROUND((OFFSET(卡牌辅助配置表!$O$1,MATCH(U2250,卡牌辅助配置表!M:M,0)-1,0)+(N2250-1)*OFFSET(卡牌辅助配置表!$P$1,MATCH(U2250,卡牌辅助配置表!M:M,0)-1,0))*M2250,2)</f>
        <v>28.45</v>
      </c>
      <c r="W2250" s="157">
        <f ca="1">ROUND(IF(R2250=0,0,IF(R2250=1,X2250*$W$1,IF(R2250=2,X2250*$W$1*buff的资质计算!$E$2,IF(R2250=3,X2250*$W$1*buff的资质计算!$E$3,0)))),2)</f>
        <v>7.95</v>
      </c>
      <c r="X2250" s="157">
        <f ca="1" t="shared" si="386"/>
        <v>26.5</v>
      </c>
      <c r="Y2250" s="157">
        <f ca="1" t="shared" ref="Y2250:Y2313" si="394">X2250+H2250</f>
        <v>26.5</v>
      </c>
      <c r="Z2250" s="304">
        <f ca="1" t="shared" si="387"/>
        <v>13.25</v>
      </c>
      <c r="AA2250" s="304">
        <f ca="1">OFFSET(卡牌辅助配置表!$AD$1,MATCH(AB2250,卡牌辅助配置表!AB:AB,0)-1,0)</f>
        <v>672</v>
      </c>
      <c r="AB2250" s="304">
        <f ca="1" t="shared" si="392"/>
        <v>2114</v>
      </c>
      <c r="AC2250" s="153">
        <v>12</v>
      </c>
      <c r="AF2250" s="153" t="str">
        <f ca="1" t="shared" si="385"/>
        <v>30220011|</v>
      </c>
      <c r="AJ2250" s="205" t="str">
        <f ca="1" t="shared" si="393"/>
        <v>400023|4300|;</v>
      </c>
      <c r="AK2250" s="205">
        <f ca="1">OFFSET([1]item_type!$A$1,MATCH(Q2250,[1]item_type!$G:$G,0)-1,0)</f>
        <v>303022</v>
      </c>
      <c r="AL2250" s="205"/>
      <c r="AM2250" s="205">
        <f ca="1">IF(B2250=B2251,OFFSET(卡牌辅助配置表!$AE$1,MATCH(AB2250,卡牌辅助配置表!AB:AB,0),0),0)</f>
        <v>4300</v>
      </c>
      <c r="AN2250" s="153">
        <f ca="1" t="shared" si="389"/>
        <v>3022015</v>
      </c>
      <c r="AP2250" s="153">
        <f ca="1">IF(AC2250=0,0,IF(AC2250=12,0,OFFSET(effect!$N$1,MATCH(K2250,effect!M:M,0)-1,0)))</f>
        <v>0</v>
      </c>
    </row>
    <row r="2251" spans="1:42">
      <c r="A2251" s="153">
        <f ca="1" t="shared" si="390"/>
        <v>3022015</v>
      </c>
      <c r="B2251" s="91" t="s">
        <v>476</v>
      </c>
      <c r="C2251" s="186">
        <v>3</v>
      </c>
      <c r="D2251" s="186">
        <v>2</v>
      </c>
      <c r="E2251" s="165" t="s">
        <v>1069</v>
      </c>
      <c r="F2251" s="179" t="s">
        <v>1076</v>
      </c>
      <c r="G2251" s="186">
        <f ca="1">OFFSET(卡牌辅助配置表!$C$1,MATCH(AC2251,卡牌辅助配置表!A:A,0)-1,0)</f>
        <v>0</v>
      </c>
      <c r="H2251" s="186">
        <f ca="1" t="shared" si="388"/>
        <v>0</v>
      </c>
      <c r="I2251" s="186"/>
      <c r="J2251" s="186">
        <f ca="1">OFFSET(card_type!$F$1,MATCH(Q2251,card_type!A:A,0)-1,0)</f>
        <v>2</v>
      </c>
      <c r="K2251" s="243">
        <f ca="1">OFFSET(card_type!$G$1,MATCH(Q2251,card_type!A:A,0)-1,0)</f>
        <v>1</v>
      </c>
      <c r="L2251" s="157">
        <v>2</v>
      </c>
      <c r="M2251" s="157">
        <v>2</v>
      </c>
      <c r="N2251" s="153">
        <f t="shared" si="384"/>
        <v>15</v>
      </c>
      <c r="O2251" s="157"/>
      <c r="P2251" s="157"/>
      <c r="Q2251" s="153">
        <f ca="1">OFFSET(card_type!$A$1,MATCH(card!B2251,card_type!B:B,0)-1,0)</f>
        <v>3022</v>
      </c>
      <c r="R2251" s="153">
        <v>1</v>
      </c>
      <c r="S2251" s="157">
        <f ca="1">ROUND(IF(R2251=0,0,IF(R2251=1,X2251*$S$1,IF(R2251=2,X2251*$S$1*buff的资质计算!$E$2,IF(R2251=3,X2251*$S$1*buff的资质计算!$E$3,0)))),0)*0</f>
        <v>0</v>
      </c>
      <c r="T2251" s="153">
        <v>2</v>
      </c>
      <c r="U2251" s="153">
        <f ca="1" t="shared" si="391"/>
        <v>21</v>
      </c>
      <c r="V2251" s="153">
        <f ca="1">ROUND((OFFSET(卡牌辅助配置表!$O$1,MATCH(U2251,卡牌辅助配置表!M:M,0)-1,0)+(N2251-1)*OFFSET(卡牌辅助配置表!$P$1,MATCH(U2251,卡牌辅助配置表!M:M,0)-1,0))*M2251,2)</f>
        <v>29.57</v>
      </c>
      <c r="W2251" s="157">
        <f ca="1">ROUND(IF(R2251=0,0,IF(R2251=1,X2251*$W$1,IF(R2251=2,X2251*$W$1*buff的资质计算!$E$2,IF(R2251=3,X2251*$W$1*buff的资质计算!$E$3,0)))),2)</f>
        <v>8.1</v>
      </c>
      <c r="X2251" s="157">
        <f ca="1" t="shared" si="386"/>
        <v>27</v>
      </c>
      <c r="Y2251" s="157">
        <f ca="1" t="shared" si="394"/>
        <v>27</v>
      </c>
      <c r="Z2251" s="304">
        <f ca="1" t="shared" si="387"/>
        <v>13.5</v>
      </c>
      <c r="AA2251" s="304">
        <f ca="1">OFFSET(卡牌辅助配置表!$AD$1,MATCH(AB2251,卡牌辅助配置表!AB:AB,0)-1,0)</f>
        <v>735</v>
      </c>
      <c r="AB2251" s="304">
        <f ca="1" t="shared" si="392"/>
        <v>2115</v>
      </c>
      <c r="AC2251" s="153">
        <v>12</v>
      </c>
      <c r="AF2251" s="153" t="str">
        <f ca="1" t="shared" si="385"/>
        <v>30220011|</v>
      </c>
      <c r="AJ2251" s="205" t="str">
        <f ca="1" t="shared" si="393"/>
        <v>400023|4700|;</v>
      </c>
      <c r="AK2251" s="205">
        <f ca="1">OFFSET([1]item_type!$A$1,MATCH(Q2251,[1]item_type!$G:$G,0)-1,0)</f>
        <v>303022</v>
      </c>
      <c r="AL2251" s="205"/>
      <c r="AM2251" s="205">
        <f ca="1">IF(B2251=B2252,OFFSET(卡牌辅助配置表!$AE$1,MATCH(AB2251,卡牌辅助配置表!AB:AB,0),0),0)</f>
        <v>4700</v>
      </c>
      <c r="AN2251" s="153">
        <f ca="1" t="shared" si="389"/>
        <v>3022016</v>
      </c>
      <c r="AP2251" s="153">
        <f ca="1">IF(AC2251=0,0,IF(AC2251=12,0,OFFSET(effect!$N$1,MATCH(K2251,effect!M:M,0)-1,0)))</f>
        <v>0</v>
      </c>
    </row>
    <row r="2252" spans="1:42">
      <c r="A2252" s="153">
        <f ca="1" t="shared" si="390"/>
        <v>3022016</v>
      </c>
      <c r="B2252" s="91" t="s">
        <v>476</v>
      </c>
      <c r="C2252" s="186">
        <v>3</v>
      </c>
      <c r="D2252" s="186">
        <v>2</v>
      </c>
      <c r="E2252" s="165" t="s">
        <v>1069</v>
      </c>
      <c r="F2252" s="179" t="s">
        <v>1076</v>
      </c>
      <c r="G2252" s="186">
        <f ca="1">OFFSET(卡牌辅助配置表!$C$1,MATCH(AC2252,卡牌辅助配置表!A:A,0)-1,0)</f>
        <v>0</v>
      </c>
      <c r="H2252" s="186">
        <f ca="1" t="shared" si="388"/>
        <v>0</v>
      </c>
      <c r="I2252" s="186"/>
      <c r="J2252" s="186">
        <f ca="1">OFFSET(card_type!$F$1,MATCH(Q2252,card_type!A:A,0)-1,0)</f>
        <v>2</v>
      </c>
      <c r="K2252" s="243">
        <f ca="1">OFFSET(card_type!$G$1,MATCH(Q2252,card_type!A:A,0)-1,0)</f>
        <v>1</v>
      </c>
      <c r="L2252" s="157">
        <v>2</v>
      </c>
      <c r="M2252" s="157">
        <v>2</v>
      </c>
      <c r="N2252" s="153">
        <f t="shared" si="384"/>
        <v>16</v>
      </c>
      <c r="O2252" s="157"/>
      <c r="P2252" s="157"/>
      <c r="Q2252" s="153">
        <f ca="1">OFFSET(card_type!$A$1,MATCH(card!B2252,card_type!B:B,0)-1,0)</f>
        <v>3022</v>
      </c>
      <c r="R2252" s="153">
        <v>1</v>
      </c>
      <c r="S2252" s="157">
        <f ca="1">ROUND(IF(R2252=0,0,IF(R2252=1,X2252*$S$1,IF(R2252=2,X2252*$S$1*buff的资质计算!$E$2,IF(R2252=3,X2252*$S$1*buff的资质计算!$E$3,0)))),0)*0</f>
        <v>0</v>
      </c>
      <c r="T2252" s="153">
        <v>2</v>
      </c>
      <c r="U2252" s="153">
        <f ca="1" t="shared" si="391"/>
        <v>21</v>
      </c>
      <c r="V2252" s="153">
        <f ca="1">ROUND((OFFSET(卡牌辅助配置表!$O$1,MATCH(U2252,卡牌辅助配置表!M:M,0)-1,0)+(N2252-1)*OFFSET(卡牌辅助配置表!$P$1,MATCH(U2252,卡牌辅助配置表!M:M,0)-1,0))*M2252,2)</f>
        <v>30.69</v>
      </c>
      <c r="W2252" s="157">
        <f ca="1">ROUND(IF(R2252=0,0,IF(R2252=1,X2252*$W$1,IF(R2252=2,X2252*$W$1*buff的资质计算!$E$2,IF(R2252=3,X2252*$W$1*buff的资质计算!$E$3,0)))),2)</f>
        <v>8.25</v>
      </c>
      <c r="X2252" s="157">
        <f ca="1" t="shared" si="386"/>
        <v>27.5</v>
      </c>
      <c r="Y2252" s="157">
        <f ca="1" t="shared" si="394"/>
        <v>27.5</v>
      </c>
      <c r="Z2252" s="304">
        <f ca="1" t="shared" si="387"/>
        <v>13.75</v>
      </c>
      <c r="AA2252" s="304">
        <f ca="1">OFFSET(卡牌辅助配置表!$AD$1,MATCH(AB2252,卡牌辅助配置表!AB:AB,0)-1,0)</f>
        <v>798</v>
      </c>
      <c r="AB2252" s="304">
        <f ca="1" t="shared" si="392"/>
        <v>2116</v>
      </c>
      <c r="AC2252" s="153">
        <v>12</v>
      </c>
      <c r="AF2252" s="153" t="str">
        <f ca="1" t="shared" si="385"/>
        <v>30220011|</v>
      </c>
      <c r="AJ2252" s="205" t="str">
        <f ca="1" t="shared" si="393"/>
        <v>400023|5100|;</v>
      </c>
      <c r="AK2252" s="205">
        <f ca="1">OFFSET([1]item_type!$A$1,MATCH(Q2252,[1]item_type!$G:$G,0)-1,0)</f>
        <v>303022</v>
      </c>
      <c r="AL2252" s="205"/>
      <c r="AM2252" s="205">
        <f ca="1">IF(B2252=B2253,OFFSET(卡牌辅助配置表!$AE$1,MATCH(AB2252,卡牌辅助配置表!AB:AB,0),0),0)</f>
        <v>5100</v>
      </c>
      <c r="AN2252" s="153">
        <f ca="1" t="shared" si="389"/>
        <v>3022017</v>
      </c>
      <c r="AP2252" s="153">
        <f ca="1">IF(AC2252=0,0,IF(AC2252=12,0,OFFSET(effect!$N$1,MATCH(K2252,effect!M:M,0)-1,0)))</f>
        <v>0</v>
      </c>
    </row>
    <row r="2253" spans="1:42">
      <c r="A2253" s="153">
        <f ca="1" t="shared" si="390"/>
        <v>3022017</v>
      </c>
      <c r="B2253" s="91" t="s">
        <v>476</v>
      </c>
      <c r="C2253" s="186">
        <v>3</v>
      </c>
      <c r="D2253" s="186">
        <v>2</v>
      </c>
      <c r="E2253" s="165" t="s">
        <v>1069</v>
      </c>
      <c r="F2253" s="179" t="s">
        <v>1076</v>
      </c>
      <c r="G2253" s="186">
        <f ca="1">OFFSET(卡牌辅助配置表!$C$1,MATCH(AC2253,卡牌辅助配置表!A:A,0)-1,0)</f>
        <v>0</v>
      </c>
      <c r="H2253" s="186">
        <f ca="1" t="shared" si="388"/>
        <v>0</v>
      </c>
      <c r="I2253" s="186"/>
      <c r="J2253" s="186">
        <f ca="1">OFFSET(card_type!$F$1,MATCH(Q2253,card_type!A:A,0)-1,0)</f>
        <v>2</v>
      </c>
      <c r="K2253" s="243">
        <f ca="1">OFFSET(card_type!$G$1,MATCH(Q2253,card_type!A:A,0)-1,0)</f>
        <v>1</v>
      </c>
      <c r="L2253" s="157">
        <v>2</v>
      </c>
      <c r="M2253" s="157">
        <v>2</v>
      </c>
      <c r="N2253" s="153">
        <f t="shared" si="384"/>
        <v>17</v>
      </c>
      <c r="O2253" s="157"/>
      <c r="P2253" s="157"/>
      <c r="Q2253" s="153">
        <f ca="1">OFFSET(card_type!$A$1,MATCH(card!B2253,card_type!B:B,0)-1,0)</f>
        <v>3022</v>
      </c>
      <c r="R2253" s="153">
        <v>1</v>
      </c>
      <c r="S2253" s="157">
        <f ca="1">ROUND(IF(R2253=0,0,IF(R2253=1,X2253*$S$1,IF(R2253=2,X2253*$S$1*buff的资质计算!$E$2,IF(R2253=3,X2253*$S$1*buff的资质计算!$E$3,0)))),0)*0</f>
        <v>0</v>
      </c>
      <c r="T2253" s="153">
        <v>2</v>
      </c>
      <c r="U2253" s="153">
        <f ca="1" t="shared" si="391"/>
        <v>21</v>
      </c>
      <c r="V2253" s="153">
        <f ca="1">ROUND((OFFSET(卡牌辅助配置表!$O$1,MATCH(U2253,卡牌辅助配置表!M:M,0)-1,0)+(N2253-1)*OFFSET(卡牌辅助配置表!$P$1,MATCH(U2253,卡牌辅助配置表!M:M,0)-1,0))*M2253,2)</f>
        <v>31.81</v>
      </c>
      <c r="W2253" s="157">
        <f ca="1">ROUND(IF(R2253=0,0,IF(R2253=1,X2253*$W$1,IF(R2253=2,X2253*$W$1*buff的资质计算!$E$2,IF(R2253=3,X2253*$W$1*buff的资质计算!$E$3,0)))),2)</f>
        <v>8.4</v>
      </c>
      <c r="X2253" s="157">
        <f ca="1" t="shared" si="386"/>
        <v>28</v>
      </c>
      <c r="Y2253" s="157">
        <f ca="1" t="shared" si="394"/>
        <v>28</v>
      </c>
      <c r="Z2253" s="304">
        <f ca="1" t="shared" si="387"/>
        <v>14</v>
      </c>
      <c r="AA2253" s="304">
        <f ca="1">OFFSET(卡牌辅助配置表!$AD$1,MATCH(AB2253,卡牌辅助配置表!AB:AB,0)-1,0)</f>
        <v>861</v>
      </c>
      <c r="AB2253" s="304">
        <f ca="1" t="shared" si="392"/>
        <v>2117</v>
      </c>
      <c r="AC2253" s="153">
        <v>12</v>
      </c>
      <c r="AF2253" s="153" t="str">
        <f ca="1" t="shared" si="385"/>
        <v>30220011|</v>
      </c>
      <c r="AJ2253" s="205" t="str">
        <f ca="1" t="shared" si="393"/>
        <v>400023|5500|;</v>
      </c>
      <c r="AK2253" s="205">
        <f ca="1">OFFSET([1]item_type!$A$1,MATCH(Q2253,[1]item_type!$G:$G,0)-1,0)</f>
        <v>303022</v>
      </c>
      <c r="AL2253" s="205"/>
      <c r="AM2253" s="205">
        <f ca="1">IF(B2253=B2254,OFFSET(卡牌辅助配置表!$AE$1,MATCH(AB2253,卡牌辅助配置表!AB:AB,0),0),0)</f>
        <v>5500</v>
      </c>
      <c r="AN2253" s="153">
        <f ca="1" t="shared" si="389"/>
        <v>3022018</v>
      </c>
      <c r="AP2253" s="153">
        <f ca="1">IF(AC2253=0,0,IF(AC2253=12,0,OFFSET(effect!$N$1,MATCH(K2253,effect!M:M,0)-1,0)))</f>
        <v>0</v>
      </c>
    </row>
    <row r="2254" spans="1:42">
      <c r="A2254" s="153">
        <f ca="1" t="shared" si="390"/>
        <v>3022018</v>
      </c>
      <c r="B2254" s="91" t="s">
        <v>476</v>
      </c>
      <c r="C2254" s="186">
        <v>3</v>
      </c>
      <c r="D2254" s="186">
        <v>2</v>
      </c>
      <c r="E2254" s="165" t="s">
        <v>1069</v>
      </c>
      <c r="F2254" s="179" t="s">
        <v>1076</v>
      </c>
      <c r="G2254" s="186">
        <f ca="1">OFFSET(卡牌辅助配置表!$C$1,MATCH(AC2254,卡牌辅助配置表!A:A,0)-1,0)</f>
        <v>0</v>
      </c>
      <c r="H2254" s="186">
        <f ca="1" t="shared" si="388"/>
        <v>0</v>
      </c>
      <c r="I2254" s="186"/>
      <c r="J2254" s="186">
        <f ca="1">OFFSET(card_type!$F$1,MATCH(Q2254,card_type!A:A,0)-1,0)</f>
        <v>2</v>
      </c>
      <c r="K2254" s="243">
        <f ca="1">OFFSET(card_type!$G$1,MATCH(Q2254,card_type!A:A,0)-1,0)</f>
        <v>1</v>
      </c>
      <c r="L2254" s="157">
        <v>2</v>
      </c>
      <c r="M2254" s="157">
        <v>2</v>
      </c>
      <c r="N2254" s="153">
        <f t="shared" si="384"/>
        <v>18</v>
      </c>
      <c r="O2254" s="157"/>
      <c r="P2254" s="157"/>
      <c r="Q2254" s="153">
        <f ca="1">OFFSET(card_type!$A$1,MATCH(card!B2254,card_type!B:B,0)-1,0)</f>
        <v>3022</v>
      </c>
      <c r="R2254" s="153">
        <v>1</v>
      </c>
      <c r="S2254" s="157">
        <f ca="1">ROUND(IF(R2254=0,0,IF(R2254=1,X2254*$S$1,IF(R2254=2,X2254*$S$1*buff的资质计算!$E$2,IF(R2254=3,X2254*$S$1*buff的资质计算!$E$3,0)))),0)*0</f>
        <v>0</v>
      </c>
      <c r="T2254" s="153">
        <v>2</v>
      </c>
      <c r="U2254" s="153">
        <f ca="1" t="shared" si="391"/>
        <v>21</v>
      </c>
      <c r="V2254" s="153">
        <f ca="1">ROUND((OFFSET(卡牌辅助配置表!$O$1,MATCH(U2254,卡牌辅助配置表!M:M,0)-1,0)+(N2254-1)*OFFSET(卡牌辅助配置表!$P$1,MATCH(U2254,卡牌辅助配置表!M:M,0)-1,0))*M2254,2)</f>
        <v>32.93</v>
      </c>
      <c r="W2254" s="157">
        <f ca="1">ROUND(IF(R2254=0,0,IF(R2254=1,X2254*$W$1,IF(R2254=2,X2254*$W$1*buff的资质计算!$E$2,IF(R2254=3,X2254*$W$1*buff的资质计算!$E$3,0)))),2)</f>
        <v>8.55</v>
      </c>
      <c r="X2254" s="157">
        <f ca="1" t="shared" si="386"/>
        <v>28.5</v>
      </c>
      <c r="Y2254" s="157">
        <f ca="1" t="shared" si="394"/>
        <v>28.5</v>
      </c>
      <c r="Z2254" s="304">
        <f ca="1" t="shared" si="387"/>
        <v>14.25</v>
      </c>
      <c r="AA2254" s="304">
        <f ca="1">OFFSET(卡牌辅助配置表!$AD$1,MATCH(AB2254,卡牌辅助配置表!AB:AB,0)-1,0)</f>
        <v>924</v>
      </c>
      <c r="AB2254" s="304">
        <f ca="1" t="shared" si="392"/>
        <v>2118</v>
      </c>
      <c r="AC2254" s="153">
        <v>12</v>
      </c>
      <c r="AF2254" s="153" t="str">
        <f ca="1" t="shared" si="385"/>
        <v>30220011|</v>
      </c>
      <c r="AJ2254" s="205" t="str">
        <f ca="1" t="shared" si="393"/>
        <v>400023|5900|;</v>
      </c>
      <c r="AK2254" s="205">
        <f ca="1">OFFSET([1]item_type!$A$1,MATCH(Q2254,[1]item_type!$G:$G,0)-1,0)</f>
        <v>303022</v>
      </c>
      <c r="AL2254" s="205"/>
      <c r="AM2254" s="205">
        <f ca="1">IF(B2254=B2255,OFFSET(卡牌辅助配置表!$AE$1,MATCH(AB2254,卡牌辅助配置表!AB:AB,0),0),0)</f>
        <v>5900</v>
      </c>
      <c r="AN2254" s="153">
        <f ca="1" t="shared" si="389"/>
        <v>3022019</v>
      </c>
      <c r="AP2254" s="153">
        <f ca="1">IF(AC2254=0,0,IF(AC2254=12,0,OFFSET(effect!$N$1,MATCH(K2254,effect!M:M,0)-1,0)))</f>
        <v>0</v>
      </c>
    </row>
    <row r="2255" spans="1:42">
      <c r="A2255" s="153">
        <f ca="1" t="shared" si="390"/>
        <v>3022019</v>
      </c>
      <c r="B2255" s="91" t="s">
        <v>476</v>
      </c>
      <c r="C2255" s="186">
        <v>3</v>
      </c>
      <c r="D2255" s="186">
        <v>2</v>
      </c>
      <c r="E2255" s="165" t="s">
        <v>1069</v>
      </c>
      <c r="F2255" s="179" t="s">
        <v>1076</v>
      </c>
      <c r="G2255" s="186">
        <f ca="1">OFFSET(卡牌辅助配置表!$C$1,MATCH(AC2255,卡牌辅助配置表!A:A,0)-1,0)</f>
        <v>0</v>
      </c>
      <c r="H2255" s="186">
        <f ca="1" t="shared" si="388"/>
        <v>0</v>
      </c>
      <c r="I2255" s="186"/>
      <c r="J2255" s="186">
        <f ca="1">OFFSET(card_type!$F$1,MATCH(Q2255,card_type!A:A,0)-1,0)</f>
        <v>2</v>
      </c>
      <c r="K2255" s="243">
        <f ca="1">OFFSET(card_type!$G$1,MATCH(Q2255,card_type!A:A,0)-1,0)</f>
        <v>1</v>
      </c>
      <c r="L2255" s="157">
        <v>2</v>
      </c>
      <c r="M2255" s="157">
        <v>2</v>
      </c>
      <c r="N2255" s="153">
        <f t="shared" si="384"/>
        <v>19</v>
      </c>
      <c r="O2255" s="157"/>
      <c r="P2255" s="157"/>
      <c r="Q2255" s="153">
        <f ca="1">OFFSET(card_type!$A$1,MATCH(card!B2255,card_type!B:B,0)-1,0)</f>
        <v>3022</v>
      </c>
      <c r="R2255" s="153">
        <v>1</v>
      </c>
      <c r="S2255" s="157">
        <f ca="1">ROUND(IF(R2255=0,0,IF(R2255=1,X2255*$S$1,IF(R2255=2,X2255*$S$1*buff的资质计算!$E$2,IF(R2255=3,X2255*$S$1*buff的资质计算!$E$3,0)))),0)*0</f>
        <v>0</v>
      </c>
      <c r="T2255" s="153">
        <v>2</v>
      </c>
      <c r="U2255" s="153">
        <f ca="1" t="shared" si="391"/>
        <v>21</v>
      </c>
      <c r="V2255" s="153">
        <f ca="1">ROUND((OFFSET(卡牌辅助配置表!$O$1,MATCH(U2255,卡牌辅助配置表!M:M,0)-1,0)+(N2255-1)*OFFSET(卡牌辅助配置表!$P$1,MATCH(U2255,卡牌辅助配置表!M:M,0)-1,0))*M2255,2)</f>
        <v>34.06</v>
      </c>
      <c r="W2255" s="157">
        <f ca="1">ROUND(IF(R2255=0,0,IF(R2255=1,X2255*$W$1,IF(R2255=2,X2255*$W$1*buff的资质计算!$E$2,IF(R2255=3,X2255*$W$1*buff的资质计算!$E$3,0)))),2)</f>
        <v>8.7</v>
      </c>
      <c r="X2255" s="157">
        <f ca="1" t="shared" si="386"/>
        <v>29</v>
      </c>
      <c r="Y2255" s="157">
        <f ca="1" t="shared" si="394"/>
        <v>29</v>
      </c>
      <c r="Z2255" s="304">
        <f ca="1" t="shared" si="387"/>
        <v>14.5</v>
      </c>
      <c r="AA2255" s="304">
        <f ca="1">OFFSET(卡牌辅助配置表!$AD$1,MATCH(AB2255,卡牌辅助配置表!AB:AB,0)-1,0)</f>
        <v>987</v>
      </c>
      <c r="AB2255" s="304">
        <f ca="1" t="shared" si="392"/>
        <v>2119</v>
      </c>
      <c r="AC2255" s="153">
        <v>12</v>
      </c>
      <c r="AF2255" s="153" t="str">
        <f ca="1" t="shared" si="385"/>
        <v>30220011|</v>
      </c>
      <c r="AJ2255" s="205" t="str">
        <f ca="1" t="shared" si="393"/>
        <v>303022|20|;400023|6300|;</v>
      </c>
      <c r="AK2255" s="205">
        <f ca="1">OFFSET([1]item_type!$A$1,MATCH(Q2255,[1]item_type!$G:$G,0)-1,0)</f>
        <v>303022</v>
      </c>
      <c r="AL2255" s="205">
        <v>20</v>
      </c>
      <c r="AM2255" s="205">
        <f ca="1">IF(B2255=B2256,OFFSET(卡牌辅助配置表!$AE$1,MATCH(AB2255,卡牌辅助配置表!AB:AB,0),0),0)</f>
        <v>6300</v>
      </c>
      <c r="AN2255" s="153">
        <f ca="1" t="shared" si="389"/>
        <v>3022020</v>
      </c>
      <c r="AP2255" s="153">
        <f ca="1">IF(AC2255=0,0,IF(AC2255=12,0,OFFSET(effect!$N$1,MATCH(K2255,effect!M:M,0)-1,0)))</f>
        <v>0</v>
      </c>
    </row>
    <row r="2256" spans="1:42">
      <c r="A2256" s="153">
        <f ca="1" t="shared" si="390"/>
        <v>3022020</v>
      </c>
      <c r="B2256" s="91" t="s">
        <v>476</v>
      </c>
      <c r="C2256" s="186">
        <v>3</v>
      </c>
      <c r="D2256" s="186">
        <v>2</v>
      </c>
      <c r="E2256" s="165" t="s">
        <v>1069</v>
      </c>
      <c r="F2256" s="179" t="s">
        <v>1076</v>
      </c>
      <c r="G2256" s="186">
        <f ca="1">OFFSET(卡牌辅助配置表!$C$1,MATCH(AC2256,卡牌辅助配置表!A:A,0)-1,0)</f>
        <v>0</v>
      </c>
      <c r="H2256" s="186">
        <f ca="1" t="shared" si="388"/>
        <v>0</v>
      </c>
      <c r="I2256" s="186"/>
      <c r="J2256" s="186">
        <f ca="1">OFFSET(card_type!$F$1,MATCH(Q2256,card_type!A:A,0)-1,0)</f>
        <v>2</v>
      </c>
      <c r="K2256" s="243">
        <f ca="1">OFFSET(card_type!$G$1,MATCH(Q2256,card_type!A:A,0)-1,0)</f>
        <v>1</v>
      </c>
      <c r="L2256" s="157">
        <v>2</v>
      </c>
      <c r="M2256" s="157">
        <v>2</v>
      </c>
      <c r="N2256" s="153">
        <f t="shared" si="384"/>
        <v>20</v>
      </c>
      <c r="O2256" s="157"/>
      <c r="P2256" s="157"/>
      <c r="Q2256" s="153">
        <f ca="1">OFFSET(card_type!$A$1,MATCH(card!B2256,card_type!B:B,0)-1,0)</f>
        <v>3022</v>
      </c>
      <c r="R2256" s="153">
        <v>1</v>
      </c>
      <c r="S2256" s="157">
        <f ca="1">ROUND(IF(R2256=0,0,IF(R2256=1,X2256*$S$1,IF(R2256=2,X2256*$S$1*buff的资质计算!$E$2,IF(R2256=3,X2256*$S$1*buff的资质计算!$E$3,0)))),0)*0</f>
        <v>0</v>
      </c>
      <c r="T2256" s="153">
        <v>2</v>
      </c>
      <c r="U2256" s="153">
        <f ca="1" t="shared" si="391"/>
        <v>21</v>
      </c>
      <c r="V2256" s="153">
        <f ca="1">ROUND((OFFSET(卡牌辅助配置表!$O$1,MATCH(U2256,卡牌辅助配置表!M:M,0)-1,0)+(N2256-1)*OFFSET(卡牌辅助配置表!$P$1,MATCH(U2256,卡牌辅助配置表!M:M,0)-1,0))*M2256,2)</f>
        <v>35.18</v>
      </c>
      <c r="W2256" s="157">
        <f ca="1">ROUND(IF(R2256=0,0,IF(R2256=1,X2256*$W$1,IF(R2256=2,X2256*$W$1*buff的资质计算!$E$2,IF(R2256=3,X2256*$W$1*buff的资质计算!$E$3,0)))),2)</f>
        <v>8.85</v>
      </c>
      <c r="X2256" s="157">
        <f ca="1" t="shared" si="386"/>
        <v>29.5</v>
      </c>
      <c r="Y2256" s="157">
        <f ca="1" t="shared" si="394"/>
        <v>29.5</v>
      </c>
      <c r="Z2256" s="304">
        <f ca="1" t="shared" si="387"/>
        <v>14.75</v>
      </c>
      <c r="AA2256" s="304">
        <f ca="1">OFFSET(卡牌辅助配置表!$AD$1,MATCH(AB2256,卡牌辅助配置表!AB:AB,0)-1,0)</f>
        <v>1050</v>
      </c>
      <c r="AB2256" s="304">
        <f ca="1" t="shared" si="392"/>
        <v>2120</v>
      </c>
      <c r="AC2256" s="153">
        <v>12</v>
      </c>
      <c r="AF2256" s="153" t="str">
        <f ca="1" t="shared" si="385"/>
        <v>30220011|</v>
      </c>
      <c r="AJ2256" s="205" t="str">
        <f ca="1" t="shared" si="393"/>
        <v>400023|7100|;</v>
      </c>
      <c r="AK2256" s="205">
        <f ca="1">OFFSET([1]item_type!$A$1,MATCH(Q2256,[1]item_type!$G:$G,0)-1,0)</f>
        <v>303022</v>
      </c>
      <c r="AL2256" s="205"/>
      <c r="AM2256" s="205">
        <f ca="1">IF(B2256=B2257,OFFSET(卡牌辅助配置表!$AE$1,MATCH(AB2256,卡牌辅助配置表!AB:AB,0),0),0)</f>
        <v>7100</v>
      </c>
      <c r="AN2256" s="153">
        <f ca="1" t="shared" si="389"/>
        <v>3022021</v>
      </c>
      <c r="AP2256" s="153">
        <f ca="1">IF(AC2256=0,0,IF(AC2256=12,0,OFFSET(effect!$N$1,MATCH(K2256,effect!M:M,0)-1,0)))</f>
        <v>0</v>
      </c>
    </row>
    <row r="2257" spans="1:42">
      <c r="A2257" s="153">
        <f ca="1" t="shared" si="390"/>
        <v>3022021</v>
      </c>
      <c r="B2257" s="91" t="s">
        <v>476</v>
      </c>
      <c r="C2257" s="186">
        <v>3</v>
      </c>
      <c r="D2257" s="186">
        <v>2</v>
      </c>
      <c r="E2257" s="165" t="s">
        <v>1069</v>
      </c>
      <c r="F2257" s="179" t="s">
        <v>1076</v>
      </c>
      <c r="G2257" s="186">
        <f ca="1">OFFSET(卡牌辅助配置表!$C$1,MATCH(AC2257,卡牌辅助配置表!A:A,0)-1,0)</f>
        <v>0</v>
      </c>
      <c r="H2257" s="186">
        <f ca="1" t="shared" si="388"/>
        <v>0</v>
      </c>
      <c r="I2257" s="186"/>
      <c r="J2257" s="186">
        <f ca="1">OFFSET(card_type!$F$1,MATCH(Q2257,card_type!A:A,0)-1,0)</f>
        <v>2</v>
      </c>
      <c r="K2257" s="243">
        <f ca="1">OFFSET(card_type!$G$1,MATCH(Q2257,card_type!A:A,0)-1,0)</f>
        <v>1</v>
      </c>
      <c r="L2257" s="157">
        <v>2</v>
      </c>
      <c r="M2257" s="157">
        <v>2</v>
      </c>
      <c r="N2257" s="153">
        <f t="shared" si="384"/>
        <v>21</v>
      </c>
      <c r="O2257" s="157"/>
      <c r="P2257" s="157"/>
      <c r="Q2257" s="153">
        <f ca="1">OFFSET(card_type!$A$1,MATCH(card!B2257,card_type!B:B,0)-1,0)</f>
        <v>3022</v>
      </c>
      <c r="R2257" s="153">
        <v>1</v>
      </c>
      <c r="S2257" s="157">
        <f ca="1">ROUND(IF(R2257=0,0,IF(R2257=1,X2257*$S$1,IF(R2257=2,X2257*$S$1*buff的资质计算!$E$2,IF(R2257=3,X2257*$S$1*buff的资质计算!$E$3,0)))),0)*0</f>
        <v>0</v>
      </c>
      <c r="T2257" s="153">
        <v>2</v>
      </c>
      <c r="U2257" s="153">
        <f ca="1" t="shared" si="391"/>
        <v>21</v>
      </c>
      <c r="V2257" s="153">
        <f ca="1">ROUND((OFFSET(卡牌辅助配置表!$O$1,MATCH(U2257,卡牌辅助配置表!M:M,0)-1,0)+(N2257-1)*OFFSET(卡牌辅助配置表!$P$1,MATCH(U2257,卡牌辅助配置表!M:M,0)-1,0))*M2257,2)</f>
        <v>36.3</v>
      </c>
      <c r="W2257" s="157">
        <f ca="1">ROUND(IF(R2257=0,0,IF(R2257=1,X2257*$W$1,IF(R2257=2,X2257*$W$1*buff的资质计算!$E$2,IF(R2257=3,X2257*$W$1*buff的资质计算!$E$3,0)))),2)</f>
        <v>9</v>
      </c>
      <c r="X2257" s="157">
        <f ca="1" t="shared" si="386"/>
        <v>30</v>
      </c>
      <c r="Y2257" s="157">
        <f ca="1" t="shared" si="394"/>
        <v>30</v>
      </c>
      <c r="Z2257" s="304">
        <f ca="1" t="shared" si="387"/>
        <v>15</v>
      </c>
      <c r="AA2257" s="304">
        <f ca="1">OFFSET(卡牌辅助配置表!$AD$1,MATCH(AB2257,卡牌辅助配置表!AB:AB,0)-1,0)</f>
        <v>1135</v>
      </c>
      <c r="AB2257" s="304">
        <f ca="1" t="shared" si="392"/>
        <v>2121</v>
      </c>
      <c r="AC2257" s="153">
        <v>12</v>
      </c>
      <c r="AF2257" s="153" t="str">
        <f ca="1" t="shared" si="385"/>
        <v>30220011|</v>
      </c>
      <c r="AJ2257" s="205" t="str">
        <f ca="1" t="shared" si="393"/>
        <v>400023|7900|;</v>
      </c>
      <c r="AK2257" s="205">
        <f ca="1">OFFSET([1]item_type!$A$1,MATCH(Q2257,[1]item_type!$G:$G,0)-1,0)</f>
        <v>303022</v>
      </c>
      <c r="AL2257" s="205"/>
      <c r="AM2257" s="205">
        <f ca="1">IF(B2257=B2258,OFFSET(卡牌辅助配置表!$AE$1,MATCH(AB2257,卡牌辅助配置表!AB:AB,0),0),0)</f>
        <v>7900</v>
      </c>
      <c r="AN2257" s="153">
        <f ca="1" t="shared" si="389"/>
        <v>3022022</v>
      </c>
      <c r="AP2257" s="153">
        <f ca="1">IF(AC2257=0,0,IF(AC2257=12,0,OFFSET(effect!$N$1,MATCH(K2257,effect!M:M,0)-1,0)))</f>
        <v>0</v>
      </c>
    </row>
    <row r="2258" spans="1:42">
      <c r="A2258" s="153">
        <f ca="1" t="shared" si="390"/>
        <v>3022022</v>
      </c>
      <c r="B2258" s="91" t="s">
        <v>476</v>
      </c>
      <c r="C2258" s="186">
        <v>3</v>
      </c>
      <c r="D2258" s="186">
        <v>2</v>
      </c>
      <c r="E2258" s="165" t="s">
        <v>1069</v>
      </c>
      <c r="F2258" s="179" t="s">
        <v>1076</v>
      </c>
      <c r="G2258" s="186">
        <f ca="1">OFFSET(卡牌辅助配置表!$C$1,MATCH(AC2258,卡牌辅助配置表!A:A,0)-1,0)</f>
        <v>0</v>
      </c>
      <c r="H2258" s="186">
        <f ca="1" t="shared" si="388"/>
        <v>0</v>
      </c>
      <c r="I2258" s="186"/>
      <c r="J2258" s="186">
        <f ca="1">OFFSET(card_type!$F$1,MATCH(Q2258,card_type!A:A,0)-1,0)</f>
        <v>2</v>
      </c>
      <c r="K2258" s="243">
        <f ca="1">OFFSET(card_type!$G$1,MATCH(Q2258,card_type!A:A,0)-1,0)</f>
        <v>1</v>
      </c>
      <c r="L2258" s="157">
        <v>2</v>
      </c>
      <c r="M2258" s="157">
        <v>2</v>
      </c>
      <c r="N2258" s="153">
        <f t="shared" si="384"/>
        <v>22</v>
      </c>
      <c r="O2258" s="157"/>
      <c r="P2258" s="157"/>
      <c r="Q2258" s="153">
        <f ca="1">OFFSET(card_type!$A$1,MATCH(card!B2258,card_type!B:B,0)-1,0)</f>
        <v>3022</v>
      </c>
      <c r="R2258" s="153">
        <v>1</v>
      </c>
      <c r="S2258" s="157">
        <f ca="1">ROUND(IF(R2258=0,0,IF(R2258=1,X2258*$S$1,IF(R2258=2,X2258*$S$1*buff的资质计算!$E$2,IF(R2258=3,X2258*$S$1*buff的资质计算!$E$3,0)))),0)*0</f>
        <v>0</v>
      </c>
      <c r="T2258" s="153">
        <v>2</v>
      </c>
      <c r="U2258" s="153">
        <f ca="1" t="shared" si="391"/>
        <v>21</v>
      </c>
      <c r="V2258" s="153">
        <f ca="1">ROUND((OFFSET(卡牌辅助配置表!$O$1,MATCH(U2258,卡牌辅助配置表!M:M,0)-1,0)+(N2258-1)*OFFSET(卡牌辅助配置表!$P$1,MATCH(U2258,卡牌辅助配置表!M:M,0)-1,0))*M2258,2)</f>
        <v>37.42</v>
      </c>
      <c r="W2258" s="157">
        <f ca="1">ROUND(IF(R2258=0,0,IF(R2258=1,X2258*$W$1,IF(R2258=2,X2258*$W$1*buff的资质计算!$E$2,IF(R2258=3,X2258*$W$1*buff的资质计算!$E$3,0)))),2)</f>
        <v>9.15</v>
      </c>
      <c r="X2258" s="157">
        <f ca="1" t="shared" si="386"/>
        <v>30.5</v>
      </c>
      <c r="Y2258" s="157">
        <f ca="1" t="shared" si="394"/>
        <v>30.5</v>
      </c>
      <c r="Z2258" s="304">
        <f ca="1" t="shared" si="387"/>
        <v>15.25</v>
      </c>
      <c r="AA2258" s="304">
        <f ca="1">OFFSET(卡牌辅助配置表!$AD$1,MATCH(AB2258,卡牌辅助配置表!AB:AB,0)-1,0)</f>
        <v>1220</v>
      </c>
      <c r="AB2258" s="304">
        <f ca="1" t="shared" si="392"/>
        <v>2122</v>
      </c>
      <c r="AC2258" s="153">
        <v>12</v>
      </c>
      <c r="AF2258" s="153" t="str">
        <f ca="1" t="shared" si="385"/>
        <v>30220011|</v>
      </c>
      <c r="AJ2258" s="205" t="str">
        <f ca="1" t="shared" si="393"/>
        <v>400023|8700|;</v>
      </c>
      <c r="AK2258" s="205">
        <f ca="1">OFFSET([1]item_type!$A$1,MATCH(Q2258,[1]item_type!$G:$G,0)-1,0)</f>
        <v>303022</v>
      </c>
      <c r="AL2258" s="205"/>
      <c r="AM2258" s="205">
        <f ca="1">IF(B2258=B2259,OFFSET(卡牌辅助配置表!$AE$1,MATCH(AB2258,卡牌辅助配置表!AB:AB,0),0),0)</f>
        <v>8700</v>
      </c>
      <c r="AN2258" s="153">
        <f ca="1" t="shared" si="389"/>
        <v>3022023</v>
      </c>
      <c r="AP2258" s="153">
        <f ca="1">IF(AC2258=0,0,IF(AC2258=12,0,OFFSET(effect!$N$1,MATCH(K2258,effect!M:M,0)-1,0)))</f>
        <v>0</v>
      </c>
    </row>
    <row r="2259" spans="1:42">
      <c r="A2259" s="153">
        <f ca="1" t="shared" si="390"/>
        <v>3022023</v>
      </c>
      <c r="B2259" s="91" t="s">
        <v>476</v>
      </c>
      <c r="C2259" s="186">
        <v>3</v>
      </c>
      <c r="D2259" s="186">
        <v>2</v>
      </c>
      <c r="E2259" s="165" t="s">
        <v>1069</v>
      </c>
      <c r="F2259" s="179" t="s">
        <v>1076</v>
      </c>
      <c r="G2259" s="186">
        <f ca="1">OFFSET(卡牌辅助配置表!$C$1,MATCH(AC2259,卡牌辅助配置表!A:A,0)-1,0)</f>
        <v>0</v>
      </c>
      <c r="H2259" s="186">
        <f ca="1" t="shared" si="388"/>
        <v>0</v>
      </c>
      <c r="I2259" s="186"/>
      <c r="J2259" s="186">
        <f ca="1">OFFSET(card_type!$F$1,MATCH(Q2259,card_type!A:A,0)-1,0)</f>
        <v>2</v>
      </c>
      <c r="K2259" s="243">
        <f ca="1">OFFSET(card_type!$G$1,MATCH(Q2259,card_type!A:A,0)-1,0)</f>
        <v>1</v>
      </c>
      <c r="L2259" s="157">
        <v>2</v>
      </c>
      <c r="M2259" s="157">
        <v>2</v>
      </c>
      <c r="N2259" s="153">
        <f t="shared" si="384"/>
        <v>23</v>
      </c>
      <c r="O2259" s="157"/>
      <c r="P2259" s="157"/>
      <c r="Q2259" s="153">
        <f ca="1">OFFSET(card_type!$A$1,MATCH(card!B2259,card_type!B:B,0)-1,0)</f>
        <v>3022</v>
      </c>
      <c r="R2259" s="153">
        <v>1</v>
      </c>
      <c r="S2259" s="157">
        <f ca="1">ROUND(IF(R2259=0,0,IF(R2259=1,X2259*$S$1,IF(R2259=2,X2259*$S$1*buff的资质计算!$E$2,IF(R2259=3,X2259*$S$1*buff的资质计算!$E$3,0)))),0)*0</f>
        <v>0</v>
      </c>
      <c r="T2259" s="153">
        <v>2</v>
      </c>
      <c r="U2259" s="153">
        <f ca="1" t="shared" si="391"/>
        <v>21</v>
      </c>
      <c r="V2259" s="153">
        <f ca="1">ROUND((OFFSET(卡牌辅助配置表!$O$1,MATCH(U2259,卡牌辅助配置表!M:M,0)-1,0)+(N2259-1)*OFFSET(卡牌辅助配置表!$P$1,MATCH(U2259,卡牌辅助配置表!M:M,0)-1,0))*M2259,2)</f>
        <v>38.54</v>
      </c>
      <c r="W2259" s="157">
        <f ca="1">ROUND(IF(R2259=0,0,IF(R2259=1,X2259*$W$1,IF(R2259=2,X2259*$W$1*buff的资质计算!$E$2,IF(R2259=3,X2259*$W$1*buff的资质计算!$E$3,0)))),2)</f>
        <v>9.3</v>
      </c>
      <c r="X2259" s="157">
        <f ca="1" t="shared" si="386"/>
        <v>31</v>
      </c>
      <c r="Y2259" s="157">
        <f ca="1" t="shared" si="394"/>
        <v>31</v>
      </c>
      <c r="Z2259" s="304">
        <f ca="1" t="shared" si="387"/>
        <v>15.5</v>
      </c>
      <c r="AA2259" s="304">
        <f ca="1">OFFSET(卡牌辅助配置表!$AD$1,MATCH(AB2259,卡牌辅助配置表!AB:AB,0)-1,0)</f>
        <v>1305</v>
      </c>
      <c r="AB2259" s="304">
        <f ca="1" t="shared" si="392"/>
        <v>2123</v>
      </c>
      <c r="AC2259" s="153">
        <v>12</v>
      </c>
      <c r="AF2259" s="153" t="str">
        <f ca="1" t="shared" si="385"/>
        <v>30220011|</v>
      </c>
      <c r="AJ2259" s="205" t="str">
        <f ca="1" t="shared" si="393"/>
        <v>400023|9500|;</v>
      </c>
      <c r="AK2259" s="205">
        <f ca="1">OFFSET([1]item_type!$A$1,MATCH(Q2259,[1]item_type!$G:$G,0)-1,0)</f>
        <v>303022</v>
      </c>
      <c r="AL2259" s="205"/>
      <c r="AM2259" s="205">
        <f ca="1">IF(B2259=B2260,OFFSET(卡牌辅助配置表!$AE$1,MATCH(AB2259,卡牌辅助配置表!AB:AB,0),0),0)</f>
        <v>9500</v>
      </c>
      <c r="AN2259" s="153">
        <f ca="1" t="shared" si="389"/>
        <v>3022024</v>
      </c>
      <c r="AP2259" s="153">
        <f ca="1">IF(AC2259=0,0,IF(AC2259=12,0,OFFSET(effect!$N$1,MATCH(K2259,effect!M:M,0)-1,0)))</f>
        <v>0</v>
      </c>
    </row>
    <row r="2260" spans="1:42">
      <c r="A2260" s="153">
        <f ca="1" t="shared" si="390"/>
        <v>3022024</v>
      </c>
      <c r="B2260" s="91" t="s">
        <v>476</v>
      </c>
      <c r="C2260" s="186">
        <v>3</v>
      </c>
      <c r="D2260" s="186">
        <v>2</v>
      </c>
      <c r="E2260" s="165" t="s">
        <v>1069</v>
      </c>
      <c r="F2260" s="179" t="s">
        <v>1076</v>
      </c>
      <c r="G2260" s="186">
        <f ca="1">OFFSET(卡牌辅助配置表!$C$1,MATCH(AC2260,卡牌辅助配置表!A:A,0)-1,0)</f>
        <v>0</v>
      </c>
      <c r="H2260" s="186">
        <f ca="1" t="shared" si="388"/>
        <v>0</v>
      </c>
      <c r="I2260" s="186"/>
      <c r="J2260" s="186">
        <f ca="1">OFFSET(card_type!$F$1,MATCH(Q2260,card_type!A:A,0)-1,0)</f>
        <v>2</v>
      </c>
      <c r="K2260" s="243">
        <f ca="1">OFFSET(card_type!$G$1,MATCH(Q2260,card_type!A:A,0)-1,0)</f>
        <v>1</v>
      </c>
      <c r="L2260" s="157">
        <v>2</v>
      </c>
      <c r="M2260" s="157">
        <v>2</v>
      </c>
      <c r="N2260" s="153">
        <f t="shared" si="384"/>
        <v>24</v>
      </c>
      <c r="O2260" s="157"/>
      <c r="P2260" s="157"/>
      <c r="Q2260" s="153">
        <f ca="1">OFFSET(card_type!$A$1,MATCH(card!B2260,card_type!B:B,0)-1,0)</f>
        <v>3022</v>
      </c>
      <c r="R2260" s="153">
        <v>1</v>
      </c>
      <c r="S2260" s="157">
        <f ca="1">ROUND(IF(R2260=0,0,IF(R2260=1,X2260*$S$1,IF(R2260=2,X2260*$S$1*buff的资质计算!$E$2,IF(R2260=3,X2260*$S$1*buff的资质计算!$E$3,0)))),0)*0</f>
        <v>0</v>
      </c>
      <c r="T2260" s="153">
        <v>2</v>
      </c>
      <c r="U2260" s="153">
        <f ca="1" t="shared" si="391"/>
        <v>21</v>
      </c>
      <c r="V2260" s="153">
        <f ca="1">ROUND((OFFSET(卡牌辅助配置表!$O$1,MATCH(U2260,卡牌辅助配置表!M:M,0)-1,0)+(N2260-1)*OFFSET(卡牌辅助配置表!$P$1,MATCH(U2260,卡牌辅助配置表!M:M,0)-1,0))*M2260,2)</f>
        <v>39.67</v>
      </c>
      <c r="W2260" s="157">
        <f ca="1">ROUND(IF(R2260=0,0,IF(R2260=1,X2260*$W$1,IF(R2260=2,X2260*$W$1*buff的资质计算!$E$2,IF(R2260=3,X2260*$W$1*buff的资质计算!$E$3,0)))),2)</f>
        <v>9.45</v>
      </c>
      <c r="X2260" s="157">
        <f ca="1" t="shared" si="386"/>
        <v>31.5</v>
      </c>
      <c r="Y2260" s="157">
        <f ca="1" t="shared" si="394"/>
        <v>31.5</v>
      </c>
      <c r="Z2260" s="304">
        <f ca="1" t="shared" si="387"/>
        <v>15.75</v>
      </c>
      <c r="AA2260" s="304">
        <f ca="1">OFFSET(卡牌辅助配置表!$AD$1,MATCH(AB2260,卡牌辅助配置表!AB:AB,0)-1,0)</f>
        <v>1390</v>
      </c>
      <c r="AB2260" s="304">
        <f ca="1" t="shared" si="392"/>
        <v>2124</v>
      </c>
      <c r="AC2260" s="153">
        <v>12</v>
      </c>
      <c r="AF2260" s="153" t="str">
        <f ca="1" t="shared" si="385"/>
        <v>30220011|</v>
      </c>
      <c r="AJ2260" s="205" t="str">
        <f ca="1" t="shared" si="393"/>
        <v>400023|10300|;</v>
      </c>
      <c r="AK2260" s="205">
        <f ca="1">OFFSET([1]item_type!$A$1,MATCH(Q2260,[1]item_type!$G:$G,0)-1,0)</f>
        <v>303022</v>
      </c>
      <c r="AL2260" s="205"/>
      <c r="AM2260" s="205">
        <f ca="1">IF(B2260=B2261,OFFSET(卡牌辅助配置表!$AE$1,MATCH(AB2260,卡牌辅助配置表!AB:AB,0),0),0)</f>
        <v>10300</v>
      </c>
      <c r="AN2260" s="153">
        <f ca="1" t="shared" si="389"/>
        <v>3022025</v>
      </c>
      <c r="AP2260" s="153">
        <f ca="1">IF(AC2260=0,0,IF(AC2260=12,0,OFFSET(effect!$N$1,MATCH(K2260,effect!M:M,0)-1,0)))</f>
        <v>0</v>
      </c>
    </row>
    <row r="2261" spans="1:42">
      <c r="A2261" s="153">
        <f ca="1" t="shared" si="390"/>
        <v>3022025</v>
      </c>
      <c r="B2261" s="91" t="s">
        <v>476</v>
      </c>
      <c r="C2261" s="186">
        <v>3</v>
      </c>
      <c r="D2261" s="186">
        <v>2</v>
      </c>
      <c r="E2261" s="165" t="s">
        <v>1069</v>
      </c>
      <c r="F2261" s="179" t="s">
        <v>1076</v>
      </c>
      <c r="G2261" s="186">
        <f ca="1">OFFSET(卡牌辅助配置表!$C$1,MATCH(AC2261,卡牌辅助配置表!A:A,0)-1,0)</f>
        <v>0</v>
      </c>
      <c r="H2261" s="186">
        <f ca="1" t="shared" si="388"/>
        <v>0</v>
      </c>
      <c r="I2261" s="186"/>
      <c r="J2261" s="186">
        <f ca="1">OFFSET(card_type!$F$1,MATCH(Q2261,card_type!A:A,0)-1,0)</f>
        <v>2</v>
      </c>
      <c r="K2261" s="243">
        <f ca="1">OFFSET(card_type!$G$1,MATCH(Q2261,card_type!A:A,0)-1,0)</f>
        <v>1</v>
      </c>
      <c r="L2261" s="157">
        <v>2</v>
      </c>
      <c r="M2261" s="157">
        <v>2</v>
      </c>
      <c r="N2261" s="153">
        <f t="shared" si="384"/>
        <v>25</v>
      </c>
      <c r="O2261" s="157"/>
      <c r="P2261" s="157"/>
      <c r="Q2261" s="153">
        <f ca="1">OFFSET(card_type!$A$1,MATCH(card!B2261,card_type!B:B,0)-1,0)</f>
        <v>3022</v>
      </c>
      <c r="R2261" s="153">
        <v>1</v>
      </c>
      <c r="S2261" s="157">
        <f ca="1">ROUND(IF(R2261=0,0,IF(R2261=1,X2261*$S$1,IF(R2261=2,X2261*$S$1*buff的资质计算!$E$2,IF(R2261=3,X2261*$S$1*buff的资质计算!$E$3,0)))),0)*0</f>
        <v>0</v>
      </c>
      <c r="T2261" s="153">
        <v>2</v>
      </c>
      <c r="U2261" s="153">
        <f ca="1" t="shared" si="391"/>
        <v>21</v>
      </c>
      <c r="V2261" s="153">
        <f ca="1">ROUND((OFFSET(卡牌辅助配置表!$O$1,MATCH(U2261,卡牌辅助配置表!M:M,0)-1,0)+(N2261-1)*OFFSET(卡牌辅助配置表!$P$1,MATCH(U2261,卡牌辅助配置表!M:M,0)-1,0))*M2261,2)</f>
        <v>40.79</v>
      </c>
      <c r="W2261" s="157">
        <f ca="1">ROUND(IF(R2261=0,0,IF(R2261=1,X2261*$W$1,IF(R2261=2,X2261*$W$1*buff的资质计算!$E$2,IF(R2261=3,X2261*$W$1*buff的资质计算!$E$3,0)))),2)</f>
        <v>9.6</v>
      </c>
      <c r="X2261" s="157">
        <f ca="1" t="shared" si="386"/>
        <v>32</v>
      </c>
      <c r="Y2261" s="157">
        <f ca="1" t="shared" si="394"/>
        <v>32</v>
      </c>
      <c r="Z2261" s="304">
        <f ca="1" t="shared" si="387"/>
        <v>16</v>
      </c>
      <c r="AA2261" s="304">
        <f ca="1">OFFSET(卡牌辅助配置表!$AD$1,MATCH(AB2261,卡牌辅助配置表!AB:AB,0)-1,0)</f>
        <v>1475</v>
      </c>
      <c r="AB2261" s="304">
        <f ca="1" t="shared" si="392"/>
        <v>2125</v>
      </c>
      <c r="AC2261" s="153">
        <v>12</v>
      </c>
      <c r="AF2261" s="153" t="str">
        <f ca="1" t="shared" si="385"/>
        <v>30220011|</v>
      </c>
      <c r="AJ2261" s="205" t="str">
        <f ca="1" t="shared" si="393"/>
        <v>400023|11100|;</v>
      </c>
      <c r="AK2261" s="205">
        <f ca="1">OFFSET([1]item_type!$A$1,MATCH(Q2261,[1]item_type!$G:$G,0)-1,0)</f>
        <v>303022</v>
      </c>
      <c r="AL2261" s="205"/>
      <c r="AM2261" s="205">
        <f ca="1">IF(B2261=B2262,OFFSET(卡牌辅助配置表!$AE$1,MATCH(AB2261,卡牌辅助配置表!AB:AB,0),0),0)</f>
        <v>11100</v>
      </c>
      <c r="AN2261" s="153">
        <f ca="1" t="shared" si="389"/>
        <v>3022026</v>
      </c>
      <c r="AP2261" s="153">
        <f ca="1">IF(AC2261=0,0,IF(AC2261=12,0,OFFSET(effect!$N$1,MATCH(K2261,effect!M:M,0)-1,0)))</f>
        <v>0</v>
      </c>
    </row>
    <row r="2262" spans="1:42">
      <c r="A2262" s="153">
        <f ca="1" t="shared" si="390"/>
        <v>3022026</v>
      </c>
      <c r="B2262" s="91" t="s">
        <v>476</v>
      </c>
      <c r="C2262" s="186">
        <v>3</v>
      </c>
      <c r="D2262" s="186">
        <v>2</v>
      </c>
      <c r="E2262" s="165" t="s">
        <v>1069</v>
      </c>
      <c r="F2262" s="179" t="s">
        <v>1076</v>
      </c>
      <c r="G2262" s="186">
        <f ca="1">OFFSET(卡牌辅助配置表!$C$1,MATCH(AC2262,卡牌辅助配置表!A:A,0)-1,0)</f>
        <v>0</v>
      </c>
      <c r="H2262" s="186">
        <f ca="1" t="shared" si="388"/>
        <v>0</v>
      </c>
      <c r="I2262" s="186"/>
      <c r="J2262" s="186">
        <f ca="1">OFFSET(card_type!$F$1,MATCH(Q2262,card_type!A:A,0)-1,0)</f>
        <v>2</v>
      </c>
      <c r="K2262" s="243">
        <f ca="1">OFFSET(card_type!$G$1,MATCH(Q2262,card_type!A:A,0)-1,0)</f>
        <v>1</v>
      </c>
      <c r="L2262" s="157">
        <v>2</v>
      </c>
      <c r="M2262" s="157">
        <v>2</v>
      </c>
      <c r="N2262" s="153">
        <f t="shared" si="384"/>
        <v>26</v>
      </c>
      <c r="O2262" s="157"/>
      <c r="P2262" s="157"/>
      <c r="Q2262" s="153">
        <f ca="1">OFFSET(card_type!$A$1,MATCH(card!B2262,card_type!B:B,0)-1,0)</f>
        <v>3022</v>
      </c>
      <c r="R2262" s="153">
        <v>1</v>
      </c>
      <c r="S2262" s="157">
        <f ca="1">ROUND(IF(R2262=0,0,IF(R2262=1,X2262*$S$1,IF(R2262=2,X2262*$S$1*buff的资质计算!$E$2,IF(R2262=3,X2262*$S$1*buff的资质计算!$E$3,0)))),0)*0</f>
        <v>0</v>
      </c>
      <c r="T2262" s="153">
        <v>2</v>
      </c>
      <c r="U2262" s="153">
        <f ca="1" t="shared" si="391"/>
        <v>21</v>
      </c>
      <c r="V2262" s="153">
        <f ca="1">ROUND((OFFSET(卡牌辅助配置表!$O$1,MATCH(U2262,卡牌辅助配置表!M:M,0)-1,0)+(N2262-1)*OFFSET(卡牌辅助配置表!$P$1,MATCH(U2262,卡牌辅助配置表!M:M,0)-1,0))*M2262,2)</f>
        <v>41.91</v>
      </c>
      <c r="W2262" s="157">
        <f ca="1">ROUND(IF(R2262=0,0,IF(R2262=1,X2262*$W$1,IF(R2262=2,X2262*$W$1*buff的资质计算!$E$2,IF(R2262=3,X2262*$W$1*buff的资质计算!$E$3,0)))),2)</f>
        <v>9.75</v>
      </c>
      <c r="X2262" s="157">
        <f ca="1" t="shared" si="386"/>
        <v>32.5</v>
      </c>
      <c r="Y2262" s="157">
        <f ca="1" t="shared" si="394"/>
        <v>32.5</v>
      </c>
      <c r="Z2262" s="304">
        <f ca="1" t="shared" si="387"/>
        <v>16.25</v>
      </c>
      <c r="AA2262" s="304">
        <f ca="1">OFFSET(卡牌辅助配置表!$AD$1,MATCH(AB2262,卡牌辅助配置表!AB:AB,0)-1,0)</f>
        <v>1560</v>
      </c>
      <c r="AB2262" s="304">
        <f ca="1" t="shared" si="392"/>
        <v>2126</v>
      </c>
      <c r="AC2262" s="153">
        <v>12</v>
      </c>
      <c r="AF2262" s="153" t="str">
        <f ca="1" t="shared" si="385"/>
        <v>30220011|</v>
      </c>
      <c r="AJ2262" s="205" t="str">
        <f ca="1" t="shared" si="393"/>
        <v>400023|11900|;</v>
      </c>
      <c r="AK2262" s="205">
        <f ca="1">OFFSET([1]item_type!$A$1,MATCH(Q2262,[1]item_type!$G:$G,0)-1,0)</f>
        <v>303022</v>
      </c>
      <c r="AL2262" s="205"/>
      <c r="AM2262" s="205">
        <f ca="1">IF(B2262=B2263,OFFSET(卡牌辅助配置表!$AE$1,MATCH(AB2262,卡牌辅助配置表!AB:AB,0),0),0)</f>
        <v>11900</v>
      </c>
      <c r="AN2262" s="153">
        <f ca="1" t="shared" si="389"/>
        <v>3022027</v>
      </c>
      <c r="AP2262" s="153">
        <f ca="1">IF(AC2262=0,0,IF(AC2262=12,0,OFFSET(effect!$N$1,MATCH(K2262,effect!M:M,0)-1,0)))</f>
        <v>0</v>
      </c>
    </row>
    <row r="2263" spans="1:42">
      <c r="A2263" s="153">
        <f ca="1" t="shared" si="390"/>
        <v>3022027</v>
      </c>
      <c r="B2263" s="91" t="s">
        <v>476</v>
      </c>
      <c r="C2263" s="186">
        <v>3</v>
      </c>
      <c r="D2263" s="186">
        <v>2</v>
      </c>
      <c r="E2263" s="165" t="s">
        <v>1069</v>
      </c>
      <c r="F2263" s="179" t="s">
        <v>1076</v>
      </c>
      <c r="G2263" s="186">
        <f ca="1">OFFSET(卡牌辅助配置表!$C$1,MATCH(AC2263,卡牌辅助配置表!A:A,0)-1,0)</f>
        <v>0</v>
      </c>
      <c r="H2263" s="186">
        <f ca="1" t="shared" si="388"/>
        <v>0</v>
      </c>
      <c r="I2263" s="186"/>
      <c r="J2263" s="186">
        <f ca="1">OFFSET(card_type!$F$1,MATCH(Q2263,card_type!A:A,0)-1,0)</f>
        <v>2</v>
      </c>
      <c r="K2263" s="243">
        <f ca="1">OFFSET(card_type!$G$1,MATCH(Q2263,card_type!A:A,0)-1,0)</f>
        <v>1</v>
      </c>
      <c r="L2263" s="157">
        <v>2</v>
      </c>
      <c r="M2263" s="157">
        <v>2</v>
      </c>
      <c r="N2263" s="153">
        <f t="shared" si="384"/>
        <v>27</v>
      </c>
      <c r="O2263" s="157"/>
      <c r="P2263" s="157"/>
      <c r="Q2263" s="153">
        <f ca="1">OFFSET(card_type!$A$1,MATCH(card!B2263,card_type!B:B,0)-1,0)</f>
        <v>3022</v>
      </c>
      <c r="R2263" s="153">
        <v>1</v>
      </c>
      <c r="S2263" s="157">
        <f ca="1">ROUND(IF(R2263=0,0,IF(R2263=1,X2263*$S$1,IF(R2263=2,X2263*$S$1*buff的资质计算!$E$2,IF(R2263=3,X2263*$S$1*buff的资质计算!$E$3,0)))),0)*0</f>
        <v>0</v>
      </c>
      <c r="T2263" s="153">
        <v>2</v>
      </c>
      <c r="U2263" s="153">
        <f ca="1" t="shared" si="391"/>
        <v>21</v>
      </c>
      <c r="V2263" s="153">
        <f ca="1">ROUND((OFFSET(卡牌辅助配置表!$O$1,MATCH(U2263,卡牌辅助配置表!M:M,0)-1,0)+(N2263-1)*OFFSET(卡牌辅助配置表!$P$1,MATCH(U2263,卡牌辅助配置表!M:M,0)-1,0))*M2263,2)</f>
        <v>43.03</v>
      </c>
      <c r="W2263" s="157">
        <f ca="1">ROUND(IF(R2263=0,0,IF(R2263=1,X2263*$W$1,IF(R2263=2,X2263*$W$1*buff的资质计算!$E$2,IF(R2263=3,X2263*$W$1*buff的资质计算!$E$3,0)))),2)</f>
        <v>9.9</v>
      </c>
      <c r="X2263" s="157">
        <f ca="1" t="shared" si="386"/>
        <v>33</v>
      </c>
      <c r="Y2263" s="157">
        <f ca="1" t="shared" si="394"/>
        <v>33</v>
      </c>
      <c r="Z2263" s="304">
        <f ca="1" t="shared" si="387"/>
        <v>16.5</v>
      </c>
      <c r="AA2263" s="304">
        <f ca="1">OFFSET(卡牌辅助配置表!$AD$1,MATCH(AB2263,卡牌辅助配置表!AB:AB,0)-1,0)</f>
        <v>1645</v>
      </c>
      <c r="AB2263" s="304">
        <f ca="1" t="shared" si="392"/>
        <v>2127</v>
      </c>
      <c r="AC2263" s="153">
        <v>12</v>
      </c>
      <c r="AF2263" s="153" t="str">
        <f ca="1" t="shared" si="385"/>
        <v>30220011|</v>
      </c>
      <c r="AJ2263" s="205" t="str">
        <f ca="1" t="shared" si="393"/>
        <v>400023|12700|;</v>
      </c>
      <c r="AK2263" s="205">
        <f ca="1">OFFSET([1]item_type!$A$1,MATCH(Q2263,[1]item_type!$G:$G,0)-1,0)</f>
        <v>303022</v>
      </c>
      <c r="AL2263" s="205"/>
      <c r="AM2263" s="205">
        <f ca="1">IF(B2263=B2264,OFFSET(卡牌辅助配置表!$AE$1,MATCH(AB2263,卡牌辅助配置表!AB:AB,0),0),0)</f>
        <v>12700</v>
      </c>
      <c r="AN2263" s="153">
        <f ca="1" t="shared" si="389"/>
        <v>3022028</v>
      </c>
      <c r="AP2263" s="153">
        <f ca="1">IF(AC2263=0,0,IF(AC2263=12,0,OFFSET(effect!$N$1,MATCH(K2263,effect!M:M,0)-1,0)))</f>
        <v>0</v>
      </c>
    </row>
    <row r="2264" spans="1:42">
      <c r="A2264" s="153">
        <f ca="1" t="shared" si="390"/>
        <v>3022028</v>
      </c>
      <c r="B2264" s="91" t="s">
        <v>476</v>
      </c>
      <c r="C2264" s="186">
        <v>3</v>
      </c>
      <c r="D2264" s="186">
        <v>2</v>
      </c>
      <c r="E2264" s="165" t="s">
        <v>1069</v>
      </c>
      <c r="F2264" s="179" t="s">
        <v>1076</v>
      </c>
      <c r="G2264" s="186">
        <f ca="1">OFFSET(卡牌辅助配置表!$C$1,MATCH(AC2264,卡牌辅助配置表!A:A,0)-1,0)</f>
        <v>0</v>
      </c>
      <c r="H2264" s="186">
        <f ca="1" t="shared" si="388"/>
        <v>0</v>
      </c>
      <c r="I2264" s="186"/>
      <c r="J2264" s="186">
        <f ca="1">OFFSET(card_type!$F$1,MATCH(Q2264,card_type!A:A,0)-1,0)</f>
        <v>2</v>
      </c>
      <c r="K2264" s="243">
        <f ca="1">OFFSET(card_type!$G$1,MATCH(Q2264,card_type!A:A,0)-1,0)</f>
        <v>1</v>
      </c>
      <c r="L2264" s="157">
        <v>2</v>
      </c>
      <c r="M2264" s="157">
        <v>2</v>
      </c>
      <c r="N2264" s="153">
        <f t="shared" si="384"/>
        <v>28</v>
      </c>
      <c r="O2264" s="157"/>
      <c r="P2264" s="157"/>
      <c r="Q2264" s="153">
        <f ca="1">OFFSET(card_type!$A$1,MATCH(card!B2264,card_type!B:B,0)-1,0)</f>
        <v>3022</v>
      </c>
      <c r="R2264" s="153">
        <v>1</v>
      </c>
      <c r="S2264" s="157">
        <f ca="1">ROUND(IF(R2264=0,0,IF(R2264=1,X2264*$S$1,IF(R2264=2,X2264*$S$1*buff的资质计算!$E$2,IF(R2264=3,X2264*$S$1*buff的资质计算!$E$3,0)))),0)*0</f>
        <v>0</v>
      </c>
      <c r="T2264" s="153">
        <v>2</v>
      </c>
      <c r="U2264" s="153">
        <f ca="1" t="shared" si="391"/>
        <v>21</v>
      </c>
      <c r="V2264" s="153">
        <f ca="1">ROUND((OFFSET(卡牌辅助配置表!$O$1,MATCH(U2264,卡牌辅助配置表!M:M,0)-1,0)+(N2264-1)*OFFSET(卡牌辅助配置表!$P$1,MATCH(U2264,卡牌辅助配置表!M:M,0)-1,0))*M2264,2)</f>
        <v>44.15</v>
      </c>
      <c r="W2264" s="157">
        <f ca="1">ROUND(IF(R2264=0,0,IF(R2264=1,X2264*$W$1,IF(R2264=2,X2264*$W$1*buff的资质计算!$E$2,IF(R2264=3,X2264*$W$1*buff的资质计算!$E$3,0)))),2)</f>
        <v>10.05</v>
      </c>
      <c r="X2264" s="157">
        <f ca="1" t="shared" si="386"/>
        <v>33.5</v>
      </c>
      <c r="Y2264" s="157">
        <f ca="1" t="shared" si="394"/>
        <v>33.5</v>
      </c>
      <c r="Z2264" s="304">
        <f ca="1" t="shared" si="387"/>
        <v>16.75</v>
      </c>
      <c r="AA2264" s="304">
        <f ca="1">OFFSET(卡牌辅助配置表!$AD$1,MATCH(AB2264,卡牌辅助配置表!AB:AB,0)-1,0)</f>
        <v>1730</v>
      </c>
      <c r="AB2264" s="304">
        <f ca="1" t="shared" si="392"/>
        <v>2128</v>
      </c>
      <c r="AC2264" s="153">
        <v>12</v>
      </c>
      <c r="AF2264" s="153" t="str">
        <f ca="1" t="shared" si="385"/>
        <v>30220011|</v>
      </c>
      <c r="AJ2264" s="205" t="str">
        <f ca="1" t="shared" si="393"/>
        <v>400023|13500|;</v>
      </c>
      <c r="AK2264" s="205">
        <f ca="1">OFFSET([1]item_type!$A$1,MATCH(Q2264,[1]item_type!$G:$G,0)-1,0)</f>
        <v>303022</v>
      </c>
      <c r="AL2264" s="205"/>
      <c r="AM2264" s="205">
        <f ca="1">IF(B2264=B2265,OFFSET(卡牌辅助配置表!$AE$1,MATCH(AB2264,卡牌辅助配置表!AB:AB,0),0),0)</f>
        <v>13500</v>
      </c>
      <c r="AN2264" s="153">
        <f ca="1" t="shared" si="389"/>
        <v>3022029</v>
      </c>
      <c r="AP2264" s="153">
        <f ca="1">IF(AC2264=0,0,IF(AC2264=12,0,OFFSET(effect!$N$1,MATCH(K2264,effect!M:M,0)-1,0)))</f>
        <v>0</v>
      </c>
    </row>
    <row r="2265" spans="1:42">
      <c r="A2265" s="153">
        <f ca="1" t="shared" si="390"/>
        <v>3022029</v>
      </c>
      <c r="B2265" s="91" t="s">
        <v>476</v>
      </c>
      <c r="C2265" s="186">
        <v>3</v>
      </c>
      <c r="D2265" s="186">
        <v>2</v>
      </c>
      <c r="E2265" s="165" t="s">
        <v>1069</v>
      </c>
      <c r="F2265" s="179" t="s">
        <v>1076</v>
      </c>
      <c r="G2265" s="186">
        <f ca="1">OFFSET(卡牌辅助配置表!$C$1,MATCH(AC2265,卡牌辅助配置表!A:A,0)-1,0)</f>
        <v>0</v>
      </c>
      <c r="H2265" s="186">
        <f ca="1" t="shared" si="388"/>
        <v>0</v>
      </c>
      <c r="I2265" s="186"/>
      <c r="J2265" s="186">
        <f ca="1">OFFSET(card_type!$F$1,MATCH(Q2265,card_type!A:A,0)-1,0)</f>
        <v>2</v>
      </c>
      <c r="K2265" s="243">
        <f ca="1">OFFSET(card_type!$G$1,MATCH(Q2265,card_type!A:A,0)-1,0)</f>
        <v>1</v>
      </c>
      <c r="L2265" s="157">
        <v>2</v>
      </c>
      <c r="M2265" s="157">
        <v>2</v>
      </c>
      <c r="N2265" s="153">
        <f t="shared" si="384"/>
        <v>29</v>
      </c>
      <c r="O2265" s="157"/>
      <c r="P2265" s="157"/>
      <c r="Q2265" s="153">
        <f ca="1">OFFSET(card_type!$A$1,MATCH(card!B2265,card_type!B:B,0)-1,0)</f>
        <v>3022</v>
      </c>
      <c r="R2265" s="153">
        <v>1</v>
      </c>
      <c r="S2265" s="157">
        <f ca="1">ROUND(IF(R2265=0,0,IF(R2265=1,X2265*$S$1,IF(R2265=2,X2265*$S$1*buff的资质计算!$E$2,IF(R2265=3,X2265*$S$1*buff的资质计算!$E$3,0)))),0)*0</f>
        <v>0</v>
      </c>
      <c r="T2265" s="153">
        <v>2</v>
      </c>
      <c r="U2265" s="153">
        <f ca="1" t="shared" si="391"/>
        <v>21</v>
      </c>
      <c r="V2265" s="153">
        <f ca="1">ROUND((OFFSET(卡牌辅助配置表!$O$1,MATCH(U2265,卡牌辅助配置表!M:M,0)-1,0)+(N2265-1)*OFFSET(卡牌辅助配置表!$P$1,MATCH(U2265,卡牌辅助配置表!M:M,0)-1,0))*M2265,2)</f>
        <v>45.28</v>
      </c>
      <c r="W2265" s="157">
        <f ca="1">ROUND(IF(R2265=0,0,IF(R2265=1,X2265*$W$1,IF(R2265=2,X2265*$W$1*buff的资质计算!$E$2,IF(R2265=3,X2265*$W$1*buff的资质计算!$E$3,0)))),2)</f>
        <v>10.2</v>
      </c>
      <c r="X2265" s="157">
        <f ca="1" t="shared" si="386"/>
        <v>34</v>
      </c>
      <c r="Y2265" s="157">
        <f ca="1" t="shared" si="394"/>
        <v>34</v>
      </c>
      <c r="Z2265" s="304">
        <f ca="1" t="shared" si="387"/>
        <v>17</v>
      </c>
      <c r="AA2265" s="304">
        <f ca="1">OFFSET(卡牌辅助配置表!$AD$1,MATCH(AB2265,卡牌辅助配置表!AB:AB,0)-1,0)</f>
        <v>1815</v>
      </c>
      <c r="AB2265" s="304">
        <f ca="1" t="shared" si="392"/>
        <v>2129</v>
      </c>
      <c r="AC2265" s="153">
        <v>12</v>
      </c>
      <c r="AF2265" s="153" t="str">
        <f ca="1" t="shared" si="385"/>
        <v>30220011|</v>
      </c>
      <c r="AJ2265" s="205" t="str">
        <f ca="1" t="shared" si="393"/>
        <v>303022|30|;400023|14300|;</v>
      </c>
      <c r="AK2265" s="205">
        <f ca="1">OFFSET([1]item_type!$A$1,MATCH(Q2265,[1]item_type!$G:$G,0)-1,0)</f>
        <v>303022</v>
      </c>
      <c r="AL2265" s="205">
        <v>30</v>
      </c>
      <c r="AM2265" s="205">
        <f ca="1">IF(B2265=B2266,OFFSET(卡牌辅助配置表!$AE$1,MATCH(AB2265,卡牌辅助配置表!AB:AB,0),0),0)</f>
        <v>14300</v>
      </c>
      <c r="AN2265" s="153">
        <f ca="1" t="shared" si="389"/>
        <v>3022030</v>
      </c>
      <c r="AP2265" s="153">
        <f ca="1">IF(AC2265=0,0,IF(AC2265=12,0,OFFSET(effect!$N$1,MATCH(K2265,effect!M:M,0)-1,0)))</f>
        <v>0</v>
      </c>
    </row>
    <row r="2266" spans="1:42">
      <c r="A2266" s="153">
        <f ca="1" t="shared" si="390"/>
        <v>3022030</v>
      </c>
      <c r="B2266" s="91" t="s">
        <v>476</v>
      </c>
      <c r="C2266" s="186">
        <v>3</v>
      </c>
      <c r="D2266" s="186">
        <v>2</v>
      </c>
      <c r="E2266" s="165" t="s">
        <v>1069</v>
      </c>
      <c r="F2266" s="179" t="s">
        <v>1076</v>
      </c>
      <c r="G2266" s="186">
        <f ca="1">OFFSET(卡牌辅助配置表!$C$1,MATCH(AC2266,卡牌辅助配置表!A:A,0)-1,0)</f>
        <v>0</v>
      </c>
      <c r="H2266" s="186">
        <f ca="1" t="shared" si="388"/>
        <v>0</v>
      </c>
      <c r="I2266" s="186"/>
      <c r="J2266" s="186">
        <f ca="1">OFFSET(card_type!$F$1,MATCH(Q2266,card_type!A:A,0)-1,0)</f>
        <v>2</v>
      </c>
      <c r="K2266" s="243">
        <f ca="1">OFFSET(card_type!$G$1,MATCH(Q2266,card_type!A:A,0)-1,0)</f>
        <v>1</v>
      </c>
      <c r="L2266" s="157">
        <v>2</v>
      </c>
      <c r="M2266" s="157">
        <v>2</v>
      </c>
      <c r="N2266" s="153">
        <f t="shared" si="384"/>
        <v>30</v>
      </c>
      <c r="O2266" s="157"/>
      <c r="P2266" s="157"/>
      <c r="Q2266" s="153">
        <f ca="1">OFFSET(card_type!$A$1,MATCH(card!B2266,card_type!B:B,0)-1,0)</f>
        <v>3022</v>
      </c>
      <c r="R2266" s="153">
        <v>1</v>
      </c>
      <c r="S2266" s="157">
        <f ca="1">ROUND(IF(R2266=0,0,IF(R2266=1,X2266*$S$1,IF(R2266=2,X2266*$S$1*buff的资质计算!$E$2,IF(R2266=3,X2266*$S$1*buff的资质计算!$E$3,0)))),0)*0</f>
        <v>0</v>
      </c>
      <c r="T2266" s="153">
        <v>2</v>
      </c>
      <c r="U2266" s="153">
        <f ca="1" t="shared" si="391"/>
        <v>21</v>
      </c>
      <c r="V2266" s="153">
        <f ca="1">ROUND((OFFSET(卡牌辅助配置表!$O$1,MATCH(U2266,卡牌辅助配置表!M:M,0)-1,0)+(N2266-1)*OFFSET(卡牌辅助配置表!$P$1,MATCH(U2266,卡牌辅助配置表!M:M,0)-1,0))*M2266,2)</f>
        <v>46.4</v>
      </c>
      <c r="W2266" s="157">
        <f ca="1">ROUND(IF(R2266=0,0,IF(R2266=1,X2266*$W$1,IF(R2266=2,X2266*$W$1*buff的资质计算!$E$2,IF(R2266=3,X2266*$W$1*buff的资质计算!$E$3,0)))),2)</f>
        <v>10.35</v>
      </c>
      <c r="X2266" s="157">
        <f ca="1" t="shared" si="386"/>
        <v>34.5</v>
      </c>
      <c r="Y2266" s="157">
        <f ca="1" t="shared" si="394"/>
        <v>34.5</v>
      </c>
      <c r="Z2266" s="304">
        <f ca="1" t="shared" si="387"/>
        <v>17.25</v>
      </c>
      <c r="AA2266" s="304">
        <f ca="1">OFFSET(卡牌辅助配置表!$AD$1,MATCH(AB2266,卡牌辅助配置表!AB:AB,0)-1,0)</f>
        <v>1900</v>
      </c>
      <c r="AB2266" s="304">
        <f ca="1" t="shared" si="392"/>
        <v>2130</v>
      </c>
      <c r="AC2266" s="153">
        <v>12</v>
      </c>
      <c r="AF2266" s="153" t="str">
        <f ca="1" t="shared" si="385"/>
        <v>30220011|</v>
      </c>
      <c r="AJ2266" s="205">
        <f ca="1" t="shared" si="393"/>
        <v>0</v>
      </c>
      <c r="AK2266" s="205">
        <f ca="1">OFFSET([1]item_type!$A$1,MATCH(Q2266,[1]item_type!$G:$G,0)-1,0)</f>
        <v>303022</v>
      </c>
      <c r="AL2266" s="205"/>
      <c r="AM2266" s="205">
        <f ca="1">IF(B2266=B2267,OFFSET(卡牌辅助配置表!$AE$1,MATCH(AB2266,卡牌辅助配置表!AB:AB,0),0),0)</f>
        <v>0</v>
      </c>
      <c r="AN2266" s="153">
        <f ca="1" t="shared" si="389"/>
        <v>0</v>
      </c>
      <c r="AP2266" s="153">
        <f ca="1">IF(AC2266=0,0,IF(AC2266=12,0,OFFSET(effect!$N$1,MATCH(K2266,effect!M:M,0)-1,0)))</f>
        <v>0</v>
      </c>
    </row>
    <row r="2267" spans="1:42">
      <c r="A2267" s="153">
        <f ca="1" t="shared" si="390"/>
        <v>3023001</v>
      </c>
      <c r="B2267" s="91" t="s">
        <v>451</v>
      </c>
      <c r="C2267" s="186">
        <v>3</v>
      </c>
      <c r="D2267" s="186">
        <v>2</v>
      </c>
      <c r="E2267" s="165" t="s">
        <v>1069</v>
      </c>
      <c r="F2267" s="179" t="s">
        <v>1077</v>
      </c>
      <c r="G2267" s="186">
        <f ca="1">OFFSET(卡牌辅助配置表!$C$1,MATCH(AC2267,卡牌辅助配置表!A:A,0)-1,0)</f>
        <v>0</v>
      </c>
      <c r="H2267" s="186">
        <f ca="1" t="shared" si="388"/>
        <v>0</v>
      </c>
      <c r="I2267" s="186"/>
      <c r="J2267" s="186">
        <f ca="1">OFFSET(card_type!$F$1,MATCH(Q2267,card_type!A:A,0)-1,0)</f>
        <v>3</v>
      </c>
      <c r="K2267" s="243">
        <f ca="1">OFFSET(card_type!$G$1,MATCH(Q2267,card_type!A:A,0)-1,0)</f>
        <v>2</v>
      </c>
      <c r="L2267" s="157">
        <v>3</v>
      </c>
      <c r="M2267" s="157">
        <v>3</v>
      </c>
      <c r="N2267" s="153">
        <f t="shared" si="384"/>
        <v>1</v>
      </c>
      <c r="O2267" s="157"/>
      <c r="P2267" s="157"/>
      <c r="Q2267" s="153">
        <f ca="1">OFFSET(card_type!$A$1,MATCH(card!B2267,card_type!B:B,0)-1,0)</f>
        <v>3023</v>
      </c>
      <c r="R2267" s="153">
        <v>1</v>
      </c>
      <c r="S2267" s="157">
        <f ca="1">ROUND(IF(R2267=0,0,IF(R2267=1,X2267*$S$1,IF(R2267=2,X2267*$S$1*buff的资质计算!$E$2,IF(R2267=3,X2267*$S$1*buff的资质计算!$E$3,0)))),0)*0</f>
        <v>0</v>
      </c>
      <c r="T2267" s="153">
        <v>5</v>
      </c>
      <c r="U2267" s="153">
        <f ca="1" t="shared" si="391"/>
        <v>32</v>
      </c>
      <c r="V2267" s="153">
        <f ca="1">ROUND((OFFSET(卡牌辅助配置表!$O$1,MATCH(U2267,卡牌辅助配置表!M:M,0)-1,0)+(N2267-1)*OFFSET(卡牌辅助配置表!$P$1,MATCH(U2267,卡牌辅助配置表!M:M,0)-1,0))*M2267,2)</f>
        <v>43.07</v>
      </c>
      <c r="W2267" s="157">
        <f ca="1">ROUND(IF(R2267=0,0,IF(R2267=1,X2267*$W$1,IF(R2267=2,X2267*$W$1*buff的资质计算!$E$2,IF(R2267=3,X2267*$W$1*buff的资质计算!$E$3,0)))),2)</f>
        <v>17.1</v>
      </c>
      <c r="X2267" s="157">
        <f ca="1" t="shared" si="386"/>
        <v>57</v>
      </c>
      <c r="Y2267" s="157">
        <f ca="1" t="shared" si="394"/>
        <v>57</v>
      </c>
      <c r="Z2267" s="304">
        <f ca="1" t="shared" si="387"/>
        <v>19</v>
      </c>
      <c r="AA2267" s="304">
        <f ca="1">OFFSET(卡牌辅助配置表!$AD$1,MATCH(AB2267,卡牌辅助配置表!AB:AB,0)-1,0)</f>
        <v>199</v>
      </c>
      <c r="AB2267" s="304">
        <f ca="1" t="shared" si="392"/>
        <v>3201</v>
      </c>
      <c r="AC2267" s="153">
        <v>12</v>
      </c>
      <c r="AF2267" s="153" t="str">
        <f ca="1" t="shared" si="385"/>
        <v>30230011|</v>
      </c>
      <c r="AJ2267" s="205" t="str">
        <f ca="1" t="shared" si="393"/>
        <v>400023|1050|;</v>
      </c>
      <c r="AK2267" s="205">
        <f ca="1">OFFSET([1]item_type!$A$1,MATCH(Q2267,[1]item_type!$G:$G,0)-1,0)</f>
        <v>303023</v>
      </c>
      <c r="AL2267" s="205"/>
      <c r="AM2267" s="205">
        <f ca="1">IF(B2267=B2268,OFFSET(卡牌辅助配置表!$AE$1,MATCH(AB2267,卡牌辅助配置表!AB:AB,0),0),0)</f>
        <v>1050</v>
      </c>
      <c r="AN2267" s="153">
        <f ca="1" t="shared" si="389"/>
        <v>3023002</v>
      </c>
      <c r="AP2267" s="153">
        <f ca="1">IF(AC2267=0,0,IF(AC2267=12,0,OFFSET(effect!$N$1,MATCH(K2267,effect!M:M,0)-1,0)))</f>
        <v>0</v>
      </c>
    </row>
    <row r="2268" spans="1:42">
      <c r="A2268" s="153">
        <f ca="1" t="shared" si="390"/>
        <v>3023002</v>
      </c>
      <c r="B2268" s="91" t="s">
        <v>451</v>
      </c>
      <c r="C2268" s="186">
        <v>3</v>
      </c>
      <c r="D2268" s="186">
        <v>2</v>
      </c>
      <c r="E2268" s="165" t="s">
        <v>1069</v>
      </c>
      <c r="F2268" s="179" t="s">
        <v>1077</v>
      </c>
      <c r="G2268" s="186">
        <f ca="1">OFFSET(卡牌辅助配置表!$C$1,MATCH(AC2268,卡牌辅助配置表!A:A,0)-1,0)</f>
        <v>0</v>
      </c>
      <c r="H2268" s="186">
        <f ca="1" t="shared" si="388"/>
        <v>0</v>
      </c>
      <c r="I2268" s="186"/>
      <c r="J2268" s="186">
        <f ca="1">OFFSET(card_type!$F$1,MATCH(Q2268,card_type!A:A,0)-1,0)</f>
        <v>3</v>
      </c>
      <c r="K2268" s="243">
        <f ca="1">OFFSET(card_type!$G$1,MATCH(Q2268,card_type!A:A,0)-1,0)</f>
        <v>2</v>
      </c>
      <c r="L2268" s="157">
        <v>3</v>
      </c>
      <c r="M2268" s="157">
        <v>3</v>
      </c>
      <c r="N2268" s="153">
        <f t="shared" si="384"/>
        <v>2</v>
      </c>
      <c r="O2268" s="157"/>
      <c r="P2268" s="157"/>
      <c r="Q2268" s="153">
        <f ca="1">OFFSET(card_type!$A$1,MATCH(card!B2268,card_type!B:B,0)-1,0)</f>
        <v>3023</v>
      </c>
      <c r="R2268" s="153">
        <v>1</v>
      </c>
      <c r="S2268" s="157">
        <f ca="1">ROUND(IF(R2268=0,0,IF(R2268=1,X2268*$S$1,IF(R2268=2,X2268*$S$1*buff的资质计算!$E$2,IF(R2268=3,X2268*$S$1*buff的资质计算!$E$3,0)))),0)*0</f>
        <v>0</v>
      </c>
      <c r="T2268" s="153">
        <v>5</v>
      </c>
      <c r="U2268" s="153">
        <f ca="1" t="shared" si="391"/>
        <v>32</v>
      </c>
      <c r="V2268" s="153">
        <f ca="1">ROUND((OFFSET(卡牌辅助配置表!$O$1,MATCH(U2268,卡牌辅助配置表!M:M,0)-1,0)+(N2268-1)*OFFSET(卡牌辅助配置表!$P$1,MATCH(U2268,卡牌辅助配置表!M:M,0)-1,0))*M2268,2)</f>
        <v>48.42</v>
      </c>
      <c r="W2268" s="157">
        <f ca="1">ROUND(IF(R2268=0,0,IF(R2268=1,X2268*$W$1,IF(R2268=2,X2268*$W$1*buff的资质计算!$E$2,IF(R2268=3,X2268*$W$1*buff的资质计算!$E$3,0)))),2)</f>
        <v>17.25</v>
      </c>
      <c r="X2268" s="157">
        <f ca="1" t="shared" si="386"/>
        <v>57.5</v>
      </c>
      <c r="Y2268" s="157">
        <f ca="1" t="shared" si="394"/>
        <v>57.5</v>
      </c>
      <c r="Z2268" s="304">
        <f ca="1" t="shared" si="387"/>
        <v>19.1666666666667</v>
      </c>
      <c r="AA2268" s="304">
        <f ca="1">OFFSET(卡牌辅助配置表!$AD$1,MATCH(AB2268,卡牌辅助配置表!AB:AB,0)-1,0)</f>
        <v>398</v>
      </c>
      <c r="AB2268" s="304">
        <f ca="1" t="shared" si="392"/>
        <v>3202</v>
      </c>
      <c r="AC2268" s="153">
        <v>12</v>
      </c>
      <c r="AF2268" s="153" t="str">
        <f ca="1" t="shared" si="385"/>
        <v>30230011|</v>
      </c>
      <c r="AJ2268" s="205" t="str">
        <f ca="1" t="shared" si="393"/>
        <v>400023|1350|;</v>
      </c>
      <c r="AK2268" s="205">
        <f ca="1">OFFSET([1]item_type!$A$1,MATCH(Q2268,[1]item_type!$G:$G,0)-1,0)</f>
        <v>303023</v>
      </c>
      <c r="AL2268" s="205"/>
      <c r="AM2268" s="205">
        <f ca="1">IF(B2268=B2269,OFFSET(卡牌辅助配置表!$AE$1,MATCH(AB2268,卡牌辅助配置表!AB:AB,0),0),0)</f>
        <v>1350</v>
      </c>
      <c r="AN2268" s="153">
        <f ca="1" t="shared" si="389"/>
        <v>3023003</v>
      </c>
      <c r="AP2268" s="153">
        <f ca="1">IF(AC2268=0,0,IF(AC2268=12,0,OFFSET(effect!$N$1,MATCH(K2268,effect!M:M,0)-1,0)))</f>
        <v>0</v>
      </c>
    </row>
    <row r="2269" spans="1:42">
      <c r="A2269" s="153">
        <f ca="1" t="shared" si="390"/>
        <v>3023003</v>
      </c>
      <c r="B2269" s="91" t="s">
        <v>451</v>
      </c>
      <c r="C2269" s="186">
        <v>3</v>
      </c>
      <c r="D2269" s="186">
        <v>2</v>
      </c>
      <c r="E2269" s="165" t="s">
        <v>1069</v>
      </c>
      <c r="F2269" s="179" t="s">
        <v>1077</v>
      </c>
      <c r="G2269" s="186">
        <f ca="1">OFFSET(卡牌辅助配置表!$C$1,MATCH(AC2269,卡牌辅助配置表!A:A,0)-1,0)</f>
        <v>0</v>
      </c>
      <c r="H2269" s="186">
        <f ca="1" t="shared" si="388"/>
        <v>0</v>
      </c>
      <c r="I2269" s="186"/>
      <c r="J2269" s="186">
        <f ca="1">OFFSET(card_type!$F$1,MATCH(Q2269,card_type!A:A,0)-1,0)</f>
        <v>3</v>
      </c>
      <c r="K2269" s="243">
        <f ca="1">OFFSET(card_type!$G$1,MATCH(Q2269,card_type!A:A,0)-1,0)</f>
        <v>2</v>
      </c>
      <c r="L2269" s="157">
        <v>3</v>
      </c>
      <c r="M2269" s="157">
        <v>3</v>
      </c>
      <c r="N2269" s="153">
        <f t="shared" si="384"/>
        <v>3</v>
      </c>
      <c r="O2269" s="157"/>
      <c r="P2269" s="157"/>
      <c r="Q2269" s="153">
        <f ca="1">OFFSET(card_type!$A$1,MATCH(card!B2269,card_type!B:B,0)-1,0)</f>
        <v>3023</v>
      </c>
      <c r="R2269" s="153">
        <v>1</v>
      </c>
      <c r="S2269" s="157">
        <f ca="1">ROUND(IF(R2269=0,0,IF(R2269=1,X2269*$S$1,IF(R2269=2,X2269*$S$1*buff的资质计算!$E$2,IF(R2269=3,X2269*$S$1*buff的资质计算!$E$3,0)))),0)*0</f>
        <v>0</v>
      </c>
      <c r="T2269" s="153">
        <v>5</v>
      </c>
      <c r="U2269" s="153">
        <f ca="1" t="shared" si="391"/>
        <v>32</v>
      </c>
      <c r="V2269" s="153">
        <f ca="1">ROUND((OFFSET(卡牌辅助配置表!$O$1,MATCH(U2269,卡牌辅助配置表!M:M,0)-1,0)+(N2269-1)*OFFSET(卡牌辅助配置表!$P$1,MATCH(U2269,卡牌辅助配置表!M:M,0)-1,0))*M2269,2)</f>
        <v>53.77</v>
      </c>
      <c r="W2269" s="157">
        <f ca="1">ROUND(IF(R2269=0,0,IF(R2269=1,X2269*$W$1,IF(R2269=2,X2269*$W$1*buff的资质计算!$E$2,IF(R2269=3,X2269*$W$1*buff的资质计算!$E$3,0)))),2)</f>
        <v>17.4</v>
      </c>
      <c r="X2269" s="157">
        <f ca="1" t="shared" si="386"/>
        <v>58</v>
      </c>
      <c r="Y2269" s="157">
        <f ca="1" t="shared" si="394"/>
        <v>58</v>
      </c>
      <c r="Z2269" s="304">
        <f ca="1" t="shared" si="387"/>
        <v>19.3333333333333</v>
      </c>
      <c r="AA2269" s="304">
        <f ca="1">OFFSET(卡牌辅助配置表!$AD$1,MATCH(AB2269,卡牌辅助配置表!AB:AB,0)-1,0)</f>
        <v>597</v>
      </c>
      <c r="AB2269" s="304">
        <f ca="1" t="shared" si="392"/>
        <v>3203</v>
      </c>
      <c r="AC2269" s="153">
        <v>12</v>
      </c>
      <c r="AF2269" s="153" t="str">
        <f ca="1" t="shared" si="385"/>
        <v>30230011|</v>
      </c>
      <c r="AJ2269" s="205" t="str">
        <f ca="1" t="shared" si="393"/>
        <v>400023|1650|;</v>
      </c>
      <c r="AK2269" s="205">
        <f ca="1">OFFSET([1]item_type!$A$1,MATCH(Q2269,[1]item_type!$G:$G,0)-1,0)</f>
        <v>303023</v>
      </c>
      <c r="AL2269" s="205"/>
      <c r="AM2269" s="205">
        <f ca="1">IF(B2269=B2270,OFFSET(卡牌辅助配置表!$AE$1,MATCH(AB2269,卡牌辅助配置表!AB:AB,0),0),0)</f>
        <v>1650</v>
      </c>
      <c r="AN2269" s="153">
        <f ca="1" t="shared" si="389"/>
        <v>3023004</v>
      </c>
      <c r="AP2269" s="153">
        <f ca="1">IF(AC2269=0,0,IF(AC2269=12,0,OFFSET(effect!$N$1,MATCH(K2269,effect!M:M,0)-1,0)))</f>
        <v>0</v>
      </c>
    </row>
    <row r="2270" spans="1:42">
      <c r="A2270" s="153">
        <f ca="1" t="shared" si="390"/>
        <v>3023004</v>
      </c>
      <c r="B2270" s="91" t="s">
        <v>451</v>
      </c>
      <c r="C2270" s="186">
        <v>3</v>
      </c>
      <c r="D2270" s="186">
        <v>2</v>
      </c>
      <c r="E2270" s="165" t="s">
        <v>1069</v>
      </c>
      <c r="F2270" s="179" t="s">
        <v>1077</v>
      </c>
      <c r="G2270" s="186">
        <f ca="1">OFFSET(卡牌辅助配置表!$C$1,MATCH(AC2270,卡牌辅助配置表!A:A,0)-1,0)</f>
        <v>0</v>
      </c>
      <c r="H2270" s="186">
        <f ca="1" t="shared" si="388"/>
        <v>0</v>
      </c>
      <c r="I2270" s="186"/>
      <c r="J2270" s="186">
        <f ca="1">OFFSET(card_type!$F$1,MATCH(Q2270,card_type!A:A,0)-1,0)</f>
        <v>3</v>
      </c>
      <c r="K2270" s="243">
        <f ca="1">OFFSET(card_type!$G$1,MATCH(Q2270,card_type!A:A,0)-1,0)</f>
        <v>2</v>
      </c>
      <c r="L2270" s="157">
        <v>3</v>
      </c>
      <c r="M2270" s="157">
        <v>3</v>
      </c>
      <c r="N2270" s="153">
        <f t="shared" si="384"/>
        <v>4</v>
      </c>
      <c r="O2270" s="157"/>
      <c r="P2270" s="157"/>
      <c r="Q2270" s="153">
        <f ca="1">OFFSET(card_type!$A$1,MATCH(card!B2270,card_type!B:B,0)-1,0)</f>
        <v>3023</v>
      </c>
      <c r="R2270" s="153">
        <v>1</v>
      </c>
      <c r="S2270" s="157">
        <f ca="1">ROUND(IF(R2270=0,0,IF(R2270=1,X2270*$S$1,IF(R2270=2,X2270*$S$1*buff的资质计算!$E$2,IF(R2270=3,X2270*$S$1*buff的资质计算!$E$3,0)))),0)*0</f>
        <v>0</v>
      </c>
      <c r="T2270" s="153">
        <v>5</v>
      </c>
      <c r="U2270" s="153">
        <f ca="1" t="shared" si="391"/>
        <v>32</v>
      </c>
      <c r="V2270" s="153">
        <f ca="1">ROUND((OFFSET(卡牌辅助配置表!$O$1,MATCH(U2270,卡牌辅助配置表!M:M,0)-1,0)+(N2270-1)*OFFSET(卡牌辅助配置表!$P$1,MATCH(U2270,卡牌辅助配置表!M:M,0)-1,0))*M2270,2)</f>
        <v>59.12</v>
      </c>
      <c r="W2270" s="157">
        <f ca="1">ROUND(IF(R2270=0,0,IF(R2270=1,X2270*$W$1,IF(R2270=2,X2270*$W$1*buff的资质计算!$E$2,IF(R2270=3,X2270*$W$1*buff的资质计算!$E$3,0)))),2)</f>
        <v>17.55</v>
      </c>
      <c r="X2270" s="157">
        <f ca="1" t="shared" si="386"/>
        <v>58.5</v>
      </c>
      <c r="Y2270" s="157">
        <f ca="1" t="shared" si="394"/>
        <v>58.5</v>
      </c>
      <c r="Z2270" s="304">
        <f ca="1" t="shared" si="387"/>
        <v>19.5</v>
      </c>
      <c r="AA2270" s="304">
        <f ca="1">OFFSET(卡牌辅助配置表!$AD$1,MATCH(AB2270,卡牌辅助配置表!AB:AB,0)-1,0)</f>
        <v>796</v>
      </c>
      <c r="AB2270" s="304">
        <f ca="1" t="shared" si="392"/>
        <v>3204</v>
      </c>
      <c r="AC2270" s="153">
        <v>12</v>
      </c>
      <c r="AF2270" s="153" t="str">
        <f ca="1" t="shared" si="385"/>
        <v>30230011|</v>
      </c>
      <c r="AJ2270" s="205" t="str">
        <f ca="1" t="shared" si="393"/>
        <v>400023|1950|;</v>
      </c>
      <c r="AK2270" s="205">
        <f ca="1">OFFSET([1]item_type!$A$1,MATCH(Q2270,[1]item_type!$G:$G,0)-1,0)</f>
        <v>303023</v>
      </c>
      <c r="AL2270" s="205"/>
      <c r="AM2270" s="205">
        <f ca="1">IF(B2270=B2271,OFFSET(卡牌辅助配置表!$AE$1,MATCH(AB2270,卡牌辅助配置表!AB:AB,0),0),0)</f>
        <v>1950</v>
      </c>
      <c r="AN2270" s="153">
        <f ca="1" t="shared" si="389"/>
        <v>3023005</v>
      </c>
      <c r="AP2270" s="153">
        <f ca="1">IF(AC2270=0,0,IF(AC2270=12,0,OFFSET(effect!$N$1,MATCH(K2270,effect!M:M,0)-1,0)))</f>
        <v>0</v>
      </c>
    </row>
    <row r="2271" spans="1:42">
      <c r="A2271" s="153">
        <f ca="1" t="shared" si="390"/>
        <v>3023005</v>
      </c>
      <c r="B2271" s="91" t="s">
        <v>451</v>
      </c>
      <c r="C2271" s="186">
        <v>3</v>
      </c>
      <c r="D2271" s="186">
        <v>2</v>
      </c>
      <c r="E2271" s="165" t="s">
        <v>1069</v>
      </c>
      <c r="F2271" s="179" t="s">
        <v>1077</v>
      </c>
      <c r="G2271" s="186">
        <f ca="1">OFFSET(卡牌辅助配置表!$C$1,MATCH(AC2271,卡牌辅助配置表!A:A,0)-1,0)</f>
        <v>0</v>
      </c>
      <c r="H2271" s="186">
        <f ca="1" t="shared" si="388"/>
        <v>0</v>
      </c>
      <c r="I2271" s="186"/>
      <c r="J2271" s="186">
        <f ca="1">OFFSET(card_type!$F$1,MATCH(Q2271,card_type!A:A,0)-1,0)</f>
        <v>3</v>
      </c>
      <c r="K2271" s="243">
        <f ca="1">OFFSET(card_type!$G$1,MATCH(Q2271,card_type!A:A,0)-1,0)</f>
        <v>2</v>
      </c>
      <c r="L2271" s="157">
        <v>3</v>
      </c>
      <c r="M2271" s="157">
        <v>3</v>
      </c>
      <c r="N2271" s="153">
        <f t="shared" si="384"/>
        <v>5</v>
      </c>
      <c r="O2271" s="157"/>
      <c r="P2271" s="157"/>
      <c r="Q2271" s="153">
        <f ca="1">OFFSET(card_type!$A$1,MATCH(card!B2271,card_type!B:B,0)-1,0)</f>
        <v>3023</v>
      </c>
      <c r="R2271" s="153">
        <v>1</v>
      </c>
      <c r="S2271" s="157">
        <f ca="1">ROUND(IF(R2271=0,0,IF(R2271=1,X2271*$S$1,IF(R2271=2,X2271*$S$1*buff的资质计算!$E$2,IF(R2271=3,X2271*$S$1*buff的资质计算!$E$3,0)))),0)*0</f>
        <v>0</v>
      </c>
      <c r="T2271" s="153">
        <v>5</v>
      </c>
      <c r="U2271" s="153">
        <f ca="1" t="shared" si="391"/>
        <v>32</v>
      </c>
      <c r="V2271" s="153">
        <f ca="1">ROUND((OFFSET(卡牌辅助配置表!$O$1,MATCH(U2271,卡牌辅助配置表!M:M,0)-1,0)+(N2271-1)*OFFSET(卡牌辅助配置表!$P$1,MATCH(U2271,卡牌辅助配置表!M:M,0)-1,0))*M2271,2)</f>
        <v>64.47</v>
      </c>
      <c r="W2271" s="157">
        <f ca="1">ROUND(IF(R2271=0,0,IF(R2271=1,X2271*$W$1,IF(R2271=2,X2271*$W$1*buff的资质计算!$E$2,IF(R2271=3,X2271*$W$1*buff的资质计算!$E$3,0)))),2)</f>
        <v>17.7</v>
      </c>
      <c r="X2271" s="157">
        <f ca="1" t="shared" si="386"/>
        <v>59</v>
      </c>
      <c r="Y2271" s="157">
        <f ca="1" t="shared" si="394"/>
        <v>59</v>
      </c>
      <c r="Z2271" s="304">
        <f ca="1" t="shared" si="387"/>
        <v>19.6666666666667</v>
      </c>
      <c r="AA2271" s="304">
        <f ca="1">OFFSET(卡牌辅助配置表!$AD$1,MATCH(AB2271,卡牌辅助配置表!AB:AB,0)-1,0)</f>
        <v>995</v>
      </c>
      <c r="AB2271" s="304">
        <f ca="1" t="shared" si="392"/>
        <v>3205</v>
      </c>
      <c r="AC2271" s="153">
        <v>12</v>
      </c>
      <c r="AF2271" s="153" t="str">
        <f ca="1" t="shared" si="385"/>
        <v>30230011|</v>
      </c>
      <c r="AJ2271" s="205" t="str">
        <f ca="1" t="shared" si="393"/>
        <v>400023|2250|;</v>
      </c>
      <c r="AK2271" s="205">
        <f ca="1">OFFSET([1]item_type!$A$1,MATCH(Q2271,[1]item_type!$G:$G,0)-1,0)</f>
        <v>303023</v>
      </c>
      <c r="AL2271" s="205"/>
      <c r="AM2271" s="205">
        <f ca="1">IF(B2271=B2272,OFFSET(卡牌辅助配置表!$AE$1,MATCH(AB2271,卡牌辅助配置表!AB:AB,0),0),0)</f>
        <v>2250</v>
      </c>
      <c r="AN2271" s="153">
        <f ca="1" t="shared" si="389"/>
        <v>3023006</v>
      </c>
      <c r="AP2271" s="153">
        <f ca="1">IF(AC2271=0,0,IF(AC2271=12,0,OFFSET(effect!$N$1,MATCH(K2271,effect!M:M,0)-1,0)))</f>
        <v>0</v>
      </c>
    </row>
    <row r="2272" spans="1:42">
      <c r="A2272" s="153">
        <f ca="1" t="shared" si="390"/>
        <v>3023006</v>
      </c>
      <c r="B2272" s="91" t="s">
        <v>451</v>
      </c>
      <c r="C2272" s="186">
        <v>3</v>
      </c>
      <c r="D2272" s="186">
        <v>2</v>
      </c>
      <c r="E2272" s="165" t="s">
        <v>1069</v>
      </c>
      <c r="F2272" s="179" t="s">
        <v>1077</v>
      </c>
      <c r="G2272" s="186">
        <f ca="1">OFFSET(卡牌辅助配置表!$C$1,MATCH(AC2272,卡牌辅助配置表!A:A,0)-1,0)</f>
        <v>0</v>
      </c>
      <c r="H2272" s="186">
        <f ca="1" t="shared" si="388"/>
        <v>0</v>
      </c>
      <c r="I2272" s="186"/>
      <c r="J2272" s="186">
        <f ca="1">OFFSET(card_type!$F$1,MATCH(Q2272,card_type!A:A,0)-1,0)</f>
        <v>3</v>
      </c>
      <c r="K2272" s="243">
        <f ca="1">OFFSET(card_type!$G$1,MATCH(Q2272,card_type!A:A,0)-1,0)</f>
        <v>2</v>
      </c>
      <c r="L2272" s="157">
        <v>3</v>
      </c>
      <c r="M2272" s="157">
        <v>3</v>
      </c>
      <c r="N2272" s="153">
        <f t="shared" si="384"/>
        <v>6</v>
      </c>
      <c r="O2272" s="157"/>
      <c r="P2272" s="157"/>
      <c r="Q2272" s="153">
        <f ca="1">OFFSET(card_type!$A$1,MATCH(card!B2272,card_type!B:B,0)-1,0)</f>
        <v>3023</v>
      </c>
      <c r="R2272" s="153">
        <v>1</v>
      </c>
      <c r="S2272" s="157">
        <f ca="1">ROUND(IF(R2272=0,0,IF(R2272=1,X2272*$S$1,IF(R2272=2,X2272*$S$1*buff的资质计算!$E$2,IF(R2272=3,X2272*$S$1*buff的资质计算!$E$3,0)))),0)*0</f>
        <v>0</v>
      </c>
      <c r="T2272" s="153">
        <v>5</v>
      </c>
      <c r="U2272" s="153">
        <f ca="1" t="shared" si="391"/>
        <v>32</v>
      </c>
      <c r="V2272" s="153">
        <f ca="1">ROUND((OFFSET(卡牌辅助配置表!$O$1,MATCH(U2272,卡牌辅助配置表!M:M,0)-1,0)+(N2272-1)*OFFSET(卡牌辅助配置表!$P$1,MATCH(U2272,卡牌辅助配置表!M:M,0)-1,0))*M2272,2)</f>
        <v>69.82</v>
      </c>
      <c r="W2272" s="157">
        <f ca="1">ROUND(IF(R2272=0,0,IF(R2272=1,X2272*$W$1,IF(R2272=2,X2272*$W$1*buff的资质计算!$E$2,IF(R2272=3,X2272*$W$1*buff的资质计算!$E$3,0)))),2)</f>
        <v>17.85</v>
      </c>
      <c r="X2272" s="157">
        <f ca="1" t="shared" si="386"/>
        <v>59.5</v>
      </c>
      <c r="Y2272" s="157">
        <f ca="1" t="shared" si="394"/>
        <v>59.5</v>
      </c>
      <c r="Z2272" s="304">
        <f ca="1" t="shared" si="387"/>
        <v>19.8333333333333</v>
      </c>
      <c r="AA2272" s="304">
        <f ca="1">OFFSET(卡牌辅助配置表!$AD$1,MATCH(AB2272,卡牌辅助配置表!AB:AB,0)-1,0)</f>
        <v>1194</v>
      </c>
      <c r="AB2272" s="304">
        <f ca="1" t="shared" si="392"/>
        <v>3206</v>
      </c>
      <c r="AC2272" s="153">
        <v>12</v>
      </c>
      <c r="AF2272" s="153" t="str">
        <f ca="1" t="shared" si="385"/>
        <v>30230011|</v>
      </c>
      <c r="AJ2272" s="205" t="str">
        <f ca="1" t="shared" si="393"/>
        <v>400023|2550|;</v>
      </c>
      <c r="AK2272" s="205">
        <f ca="1">OFFSET([1]item_type!$A$1,MATCH(Q2272,[1]item_type!$G:$G,0)-1,0)</f>
        <v>303023</v>
      </c>
      <c r="AL2272" s="205"/>
      <c r="AM2272" s="205">
        <f ca="1">IF(B2272=B2273,OFFSET(卡牌辅助配置表!$AE$1,MATCH(AB2272,卡牌辅助配置表!AB:AB,0),0),0)</f>
        <v>2550</v>
      </c>
      <c r="AN2272" s="153">
        <f ca="1" t="shared" si="389"/>
        <v>3023007</v>
      </c>
      <c r="AP2272" s="153">
        <f ca="1">IF(AC2272=0,0,IF(AC2272=12,0,OFFSET(effect!$N$1,MATCH(K2272,effect!M:M,0)-1,0)))</f>
        <v>0</v>
      </c>
    </row>
    <row r="2273" spans="1:42">
      <c r="A2273" s="153">
        <f ca="1" t="shared" si="390"/>
        <v>3023007</v>
      </c>
      <c r="B2273" s="91" t="s">
        <v>451</v>
      </c>
      <c r="C2273" s="186">
        <v>3</v>
      </c>
      <c r="D2273" s="186">
        <v>2</v>
      </c>
      <c r="E2273" s="165" t="s">
        <v>1069</v>
      </c>
      <c r="F2273" s="179" t="s">
        <v>1077</v>
      </c>
      <c r="G2273" s="186">
        <f ca="1">OFFSET(卡牌辅助配置表!$C$1,MATCH(AC2273,卡牌辅助配置表!A:A,0)-1,0)</f>
        <v>0</v>
      </c>
      <c r="H2273" s="186">
        <f ca="1" t="shared" si="388"/>
        <v>0</v>
      </c>
      <c r="I2273" s="186"/>
      <c r="J2273" s="186">
        <f ca="1">OFFSET(card_type!$F$1,MATCH(Q2273,card_type!A:A,0)-1,0)</f>
        <v>3</v>
      </c>
      <c r="K2273" s="243">
        <f ca="1">OFFSET(card_type!$G$1,MATCH(Q2273,card_type!A:A,0)-1,0)</f>
        <v>2</v>
      </c>
      <c r="L2273" s="157">
        <v>3</v>
      </c>
      <c r="M2273" s="157">
        <v>3</v>
      </c>
      <c r="N2273" s="153">
        <f t="shared" si="384"/>
        <v>7</v>
      </c>
      <c r="O2273" s="157"/>
      <c r="P2273" s="157"/>
      <c r="Q2273" s="153">
        <f ca="1">OFFSET(card_type!$A$1,MATCH(card!B2273,card_type!B:B,0)-1,0)</f>
        <v>3023</v>
      </c>
      <c r="R2273" s="153">
        <v>1</v>
      </c>
      <c r="S2273" s="157">
        <f ca="1">ROUND(IF(R2273=0,0,IF(R2273=1,X2273*$S$1,IF(R2273=2,X2273*$S$1*buff的资质计算!$E$2,IF(R2273=3,X2273*$S$1*buff的资质计算!$E$3,0)))),0)*0</f>
        <v>0</v>
      </c>
      <c r="T2273" s="153">
        <v>5</v>
      </c>
      <c r="U2273" s="153">
        <f ca="1" t="shared" si="391"/>
        <v>32</v>
      </c>
      <c r="V2273" s="153">
        <f ca="1">ROUND((OFFSET(卡牌辅助配置表!$O$1,MATCH(U2273,卡牌辅助配置表!M:M,0)-1,0)+(N2273-1)*OFFSET(卡牌辅助配置表!$P$1,MATCH(U2273,卡牌辅助配置表!M:M,0)-1,0))*M2273,2)</f>
        <v>75.17</v>
      </c>
      <c r="W2273" s="157">
        <f ca="1">ROUND(IF(R2273=0,0,IF(R2273=1,X2273*$W$1,IF(R2273=2,X2273*$W$1*buff的资质计算!$E$2,IF(R2273=3,X2273*$W$1*buff的资质计算!$E$3,0)))),2)</f>
        <v>18</v>
      </c>
      <c r="X2273" s="157">
        <f ca="1" t="shared" si="386"/>
        <v>60</v>
      </c>
      <c r="Y2273" s="157">
        <f ca="1" t="shared" si="394"/>
        <v>60</v>
      </c>
      <c r="Z2273" s="304">
        <f ca="1" t="shared" si="387"/>
        <v>20</v>
      </c>
      <c r="AA2273" s="304">
        <f ca="1">OFFSET(卡牌辅助配置表!$AD$1,MATCH(AB2273,卡牌辅助配置表!AB:AB,0)-1,0)</f>
        <v>1393</v>
      </c>
      <c r="AB2273" s="304">
        <f ca="1" t="shared" si="392"/>
        <v>3207</v>
      </c>
      <c r="AC2273" s="153">
        <v>12</v>
      </c>
      <c r="AF2273" s="153" t="str">
        <f ca="1" t="shared" si="385"/>
        <v>30230011|</v>
      </c>
      <c r="AJ2273" s="205" t="str">
        <f ca="1" t="shared" si="393"/>
        <v>400023|2850|;</v>
      </c>
      <c r="AK2273" s="205">
        <f ca="1">OFFSET([1]item_type!$A$1,MATCH(Q2273,[1]item_type!$G:$G,0)-1,0)</f>
        <v>303023</v>
      </c>
      <c r="AL2273" s="205"/>
      <c r="AM2273" s="205">
        <f ca="1">IF(B2273=B2274,OFFSET(卡牌辅助配置表!$AE$1,MATCH(AB2273,卡牌辅助配置表!AB:AB,0),0),0)</f>
        <v>2850</v>
      </c>
      <c r="AN2273" s="153">
        <f ca="1" t="shared" si="389"/>
        <v>3023008</v>
      </c>
      <c r="AP2273" s="153">
        <f ca="1">IF(AC2273=0,0,IF(AC2273=12,0,OFFSET(effect!$N$1,MATCH(K2273,effect!M:M,0)-1,0)))</f>
        <v>0</v>
      </c>
    </row>
    <row r="2274" spans="1:42">
      <c r="A2274" s="153">
        <f ca="1" t="shared" si="390"/>
        <v>3023008</v>
      </c>
      <c r="B2274" s="91" t="s">
        <v>451</v>
      </c>
      <c r="C2274" s="186">
        <v>3</v>
      </c>
      <c r="D2274" s="186">
        <v>2</v>
      </c>
      <c r="E2274" s="165" t="s">
        <v>1069</v>
      </c>
      <c r="F2274" s="179" t="s">
        <v>1077</v>
      </c>
      <c r="G2274" s="186">
        <f ca="1">OFFSET(卡牌辅助配置表!$C$1,MATCH(AC2274,卡牌辅助配置表!A:A,0)-1,0)</f>
        <v>0</v>
      </c>
      <c r="H2274" s="186">
        <f ca="1" t="shared" si="388"/>
        <v>0</v>
      </c>
      <c r="I2274" s="186"/>
      <c r="J2274" s="186">
        <f ca="1">OFFSET(card_type!$F$1,MATCH(Q2274,card_type!A:A,0)-1,0)</f>
        <v>3</v>
      </c>
      <c r="K2274" s="243">
        <f ca="1">OFFSET(card_type!$G$1,MATCH(Q2274,card_type!A:A,0)-1,0)</f>
        <v>2</v>
      </c>
      <c r="L2274" s="157">
        <v>3</v>
      </c>
      <c r="M2274" s="157">
        <v>3</v>
      </c>
      <c r="N2274" s="153">
        <f t="shared" si="384"/>
        <v>8</v>
      </c>
      <c r="O2274" s="157"/>
      <c r="P2274" s="157"/>
      <c r="Q2274" s="153">
        <f ca="1">OFFSET(card_type!$A$1,MATCH(card!B2274,card_type!B:B,0)-1,0)</f>
        <v>3023</v>
      </c>
      <c r="R2274" s="153">
        <v>1</v>
      </c>
      <c r="S2274" s="157">
        <f ca="1">ROUND(IF(R2274=0,0,IF(R2274=1,X2274*$S$1,IF(R2274=2,X2274*$S$1*buff的资质计算!$E$2,IF(R2274=3,X2274*$S$1*buff的资质计算!$E$3,0)))),0)*0</f>
        <v>0</v>
      </c>
      <c r="T2274" s="153">
        <v>5</v>
      </c>
      <c r="U2274" s="153">
        <f ca="1" t="shared" si="391"/>
        <v>32</v>
      </c>
      <c r="V2274" s="153">
        <f ca="1">ROUND((OFFSET(卡牌辅助配置表!$O$1,MATCH(U2274,卡牌辅助配置表!M:M,0)-1,0)+(N2274-1)*OFFSET(卡牌辅助配置表!$P$1,MATCH(U2274,卡牌辅助配置表!M:M,0)-1,0))*M2274,2)</f>
        <v>80.51</v>
      </c>
      <c r="W2274" s="157">
        <f ca="1">ROUND(IF(R2274=0,0,IF(R2274=1,X2274*$W$1,IF(R2274=2,X2274*$W$1*buff的资质计算!$E$2,IF(R2274=3,X2274*$W$1*buff的资质计算!$E$3,0)))),2)</f>
        <v>18.15</v>
      </c>
      <c r="X2274" s="157">
        <f ca="1" t="shared" si="386"/>
        <v>60.5</v>
      </c>
      <c r="Y2274" s="157">
        <f ca="1" t="shared" si="394"/>
        <v>60.5</v>
      </c>
      <c r="Z2274" s="304">
        <f ca="1" t="shared" si="387"/>
        <v>20.1666666666667</v>
      </c>
      <c r="AA2274" s="304">
        <f ca="1">OFFSET(卡牌辅助配置表!$AD$1,MATCH(AB2274,卡牌辅助配置表!AB:AB,0)-1,0)</f>
        <v>1592</v>
      </c>
      <c r="AB2274" s="304">
        <f ca="1" t="shared" si="392"/>
        <v>3208</v>
      </c>
      <c r="AC2274" s="153">
        <v>12</v>
      </c>
      <c r="AF2274" s="153" t="str">
        <f ca="1" t="shared" si="385"/>
        <v>30230011|</v>
      </c>
      <c r="AJ2274" s="205" t="str">
        <f ca="1" t="shared" si="393"/>
        <v>400023|3150|;</v>
      </c>
      <c r="AK2274" s="205">
        <f ca="1">OFFSET([1]item_type!$A$1,MATCH(Q2274,[1]item_type!$G:$G,0)-1,0)</f>
        <v>303023</v>
      </c>
      <c r="AL2274" s="205"/>
      <c r="AM2274" s="205">
        <f ca="1">IF(B2274=B2275,OFFSET(卡牌辅助配置表!$AE$1,MATCH(AB2274,卡牌辅助配置表!AB:AB,0),0),0)</f>
        <v>3150</v>
      </c>
      <c r="AN2274" s="153">
        <f ca="1" t="shared" si="389"/>
        <v>3023009</v>
      </c>
      <c r="AP2274" s="153">
        <f ca="1">IF(AC2274=0,0,IF(AC2274=12,0,OFFSET(effect!$N$1,MATCH(K2274,effect!M:M,0)-1,0)))</f>
        <v>0</v>
      </c>
    </row>
    <row r="2275" spans="1:42">
      <c r="A2275" s="153">
        <f ca="1" t="shared" si="390"/>
        <v>3023009</v>
      </c>
      <c r="B2275" s="91" t="s">
        <v>451</v>
      </c>
      <c r="C2275" s="186">
        <v>3</v>
      </c>
      <c r="D2275" s="186">
        <v>2</v>
      </c>
      <c r="E2275" s="165" t="s">
        <v>1069</v>
      </c>
      <c r="F2275" s="179" t="s">
        <v>1077</v>
      </c>
      <c r="G2275" s="186">
        <f ca="1">OFFSET(卡牌辅助配置表!$C$1,MATCH(AC2275,卡牌辅助配置表!A:A,0)-1,0)</f>
        <v>0</v>
      </c>
      <c r="H2275" s="186">
        <f ca="1" t="shared" si="388"/>
        <v>0</v>
      </c>
      <c r="I2275" s="186"/>
      <c r="J2275" s="186">
        <f ca="1">OFFSET(card_type!$F$1,MATCH(Q2275,card_type!A:A,0)-1,0)</f>
        <v>3</v>
      </c>
      <c r="K2275" s="243">
        <f ca="1">OFFSET(card_type!$G$1,MATCH(Q2275,card_type!A:A,0)-1,0)</f>
        <v>2</v>
      </c>
      <c r="L2275" s="157">
        <v>3</v>
      </c>
      <c r="M2275" s="157">
        <v>3</v>
      </c>
      <c r="N2275" s="153">
        <f t="shared" si="384"/>
        <v>9</v>
      </c>
      <c r="O2275" s="157"/>
      <c r="P2275" s="157"/>
      <c r="Q2275" s="153">
        <f ca="1">OFFSET(card_type!$A$1,MATCH(card!B2275,card_type!B:B,0)-1,0)</f>
        <v>3023</v>
      </c>
      <c r="R2275" s="153">
        <v>1</v>
      </c>
      <c r="S2275" s="157">
        <f ca="1">ROUND(IF(R2275=0,0,IF(R2275=1,X2275*$S$1,IF(R2275=2,X2275*$S$1*buff的资质计算!$E$2,IF(R2275=3,X2275*$S$1*buff的资质计算!$E$3,0)))),0)*0</f>
        <v>0</v>
      </c>
      <c r="T2275" s="153">
        <v>5</v>
      </c>
      <c r="U2275" s="153">
        <f ca="1" t="shared" si="391"/>
        <v>32</v>
      </c>
      <c r="V2275" s="153">
        <f ca="1">ROUND((OFFSET(卡牌辅助配置表!$O$1,MATCH(U2275,卡牌辅助配置表!M:M,0)-1,0)+(N2275-1)*OFFSET(卡牌辅助配置表!$P$1,MATCH(U2275,卡牌辅助配置表!M:M,0)-1,0))*M2275,2)</f>
        <v>85.86</v>
      </c>
      <c r="W2275" s="157">
        <f ca="1">ROUND(IF(R2275=0,0,IF(R2275=1,X2275*$W$1,IF(R2275=2,X2275*$W$1*buff的资质计算!$E$2,IF(R2275=3,X2275*$W$1*buff的资质计算!$E$3,0)))),2)</f>
        <v>18.3</v>
      </c>
      <c r="X2275" s="157">
        <f ca="1" t="shared" si="386"/>
        <v>61</v>
      </c>
      <c r="Y2275" s="157">
        <f ca="1" t="shared" si="394"/>
        <v>61</v>
      </c>
      <c r="Z2275" s="304">
        <f ca="1" t="shared" si="387"/>
        <v>20.3333333333333</v>
      </c>
      <c r="AA2275" s="304">
        <f ca="1">OFFSET(卡牌辅助配置表!$AD$1,MATCH(AB2275,卡牌辅助配置表!AB:AB,0)-1,0)</f>
        <v>1791</v>
      </c>
      <c r="AB2275" s="304">
        <f ca="1" t="shared" si="392"/>
        <v>3209</v>
      </c>
      <c r="AC2275" s="153">
        <v>12</v>
      </c>
      <c r="AF2275" s="153" t="str">
        <f ca="1" t="shared" si="385"/>
        <v>30230011|</v>
      </c>
      <c r="AJ2275" s="205" t="str">
        <f ca="1" t="shared" si="393"/>
        <v>303023|15|;400023|3450|;</v>
      </c>
      <c r="AK2275" s="205">
        <f ca="1">OFFSET([1]item_type!$A$1,MATCH(Q2275,[1]item_type!$G:$G,0)-1,0)</f>
        <v>303023</v>
      </c>
      <c r="AL2275" s="205">
        <v>15</v>
      </c>
      <c r="AM2275" s="205">
        <f ca="1">IF(B2275=B2276,OFFSET(卡牌辅助配置表!$AE$1,MATCH(AB2275,卡牌辅助配置表!AB:AB,0),0),0)</f>
        <v>3450</v>
      </c>
      <c r="AN2275" s="153">
        <f ca="1" t="shared" si="389"/>
        <v>3023010</v>
      </c>
      <c r="AP2275" s="153">
        <f ca="1">IF(AC2275=0,0,IF(AC2275=12,0,OFFSET(effect!$N$1,MATCH(K2275,effect!M:M,0)-1,0)))</f>
        <v>0</v>
      </c>
    </row>
    <row r="2276" spans="1:42">
      <c r="A2276" s="153">
        <f ca="1" t="shared" si="390"/>
        <v>3023010</v>
      </c>
      <c r="B2276" s="91" t="s">
        <v>451</v>
      </c>
      <c r="C2276" s="186">
        <v>3</v>
      </c>
      <c r="D2276" s="186">
        <v>2</v>
      </c>
      <c r="E2276" s="165" t="s">
        <v>1069</v>
      </c>
      <c r="F2276" s="179" t="s">
        <v>1077</v>
      </c>
      <c r="G2276" s="186">
        <f ca="1">OFFSET(卡牌辅助配置表!$C$1,MATCH(AC2276,卡牌辅助配置表!A:A,0)-1,0)</f>
        <v>0</v>
      </c>
      <c r="H2276" s="186">
        <f ca="1" t="shared" si="388"/>
        <v>0</v>
      </c>
      <c r="I2276" s="186"/>
      <c r="J2276" s="186">
        <f ca="1">OFFSET(card_type!$F$1,MATCH(Q2276,card_type!A:A,0)-1,0)</f>
        <v>3</v>
      </c>
      <c r="K2276" s="243">
        <f ca="1">OFFSET(card_type!$G$1,MATCH(Q2276,card_type!A:A,0)-1,0)</f>
        <v>2</v>
      </c>
      <c r="L2276" s="157">
        <v>3</v>
      </c>
      <c r="M2276" s="157">
        <v>3</v>
      </c>
      <c r="N2276" s="153">
        <f t="shared" ref="N2276:N2339" si="395">IF(B2275=B2276,N2275+1,1)</f>
        <v>10</v>
      </c>
      <c r="O2276" s="157"/>
      <c r="P2276" s="157"/>
      <c r="Q2276" s="153">
        <f ca="1">OFFSET(card_type!$A$1,MATCH(card!B2276,card_type!B:B,0)-1,0)</f>
        <v>3023</v>
      </c>
      <c r="R2276" s="153">
        <v>1</v>
      </c>
      <c r="S2276" s="157">
        <f ca="1">ROUND(IF(R2276=0,0,IF(R2276=1,X2276*$S$1,IF(R2276=2,X2276*$S$1*buff的资质计算!$E$2,IF(R2276=3,X2276*$S$1*buff的资质计算!$E$3,0)))),0)*0</f>
        <v>0</v>
      </c>
      <c r="T2276" s="153">
        <v>5</v>
      </c>
      <c r="U2276" s="153">
        <f ca="1" t="shared" si="391"/>
        <v>32</v>
      </c>
      <c r="V2276" s="153">
        <f ca="1">ROUND((OFFSET(卡牌辅助配置表!$O$1,MATCH(U2276,卡牌辅助配置表!M:M,0)-1,0)+(N2276-1)*OFFSET(卡牌辅助配置表!$P$1,MATCH(U2276,卡牌辅助配置表!M:M,0)-1,0))*M2276,2)</f>
        <v>91.21</v>
      </c>
      <c r="W2276" s="157">
        <f ca="1">ROUND(IF(R2276=0,0,IF(R2276=1,X2276*$W$1,IF(R2276=2,X2276*$W$1*buff的资质计算!$E$2,IF(R2276=3,X2276*$W$1*buff的资质计算!$E$3,0)))),2)</f>
        <v>18.45</v>
      </c>
      <c r="X2276" s="157">
        <f ca="1" t="shared" si="386"/>
        <v>61.5</v>
      </c>
      <c r="Y2276" s="157">
        <f ca="1" t="shared" si="394"/>
        <v>61.5</v>
      </c>
      <c r="Z2276" s="304">
        <f ca="1" t="shared" si="387"/>
        <v>20.5</v>
      </c>
      <c r="AA2276" s="304">
        <f ca="1">OFFSET(卡牌辅助配置表!$AD$1,MATCH(AB2276,卡牌辅助配置表!AB:AB,0)-1,0)</f>
        <v>1990</v>
      </c>
      <c r="AB2276" s="304">
        <f ca="1" t="shared" si="392"/>
        <v>3210</v>
      </c>
      <c r="AC2276" s="153">
        <v>12</v>
      </c>
      <c r="AF2276" s="153" t="str">
        <f ca="1" t="shared" si="385"/>
        <v>30230011|</v>
      </c>
      <c r="AJ2276" s="205" t="str">
        <f ca="1" t="shared" si="393"/>
        <v>400023|4050|;</v>
      </c>
      <c r="AK2276" s="205">
        <f ca="1">OFFSET([1]item_type!$A$1,MATCH(Q2276,[1]item_type!$G:$G,0)-1,0)</f>
        <v>303023</v>
      </c>
      <c r="AL2276" s="205"/>
      <c r="AM2276" s="205">
        <f ca="1">IF(B2276=B2277,OFFSET(卡牌辅助配置表!$AE$1,MATCH(AB2276,卡牌辅助配置表!AB:AB,0),0),0)</f>
        <v>4050</v>
      </c>
      <c r="AN2276" s="153">
        <f ca="1" t="shared" si="389"/>
        <v>3023011</v>
      </c>
      <c r="AP2276" s="153">
        <f ca="1">IF(AC2276=0,0,IF(AC2276=12,0,OFFSET(effect!$N$1,MATCH(K2276,effect!M:M,0)-1,0)))</f>
        <v>0</v>
      </c>
    </row>
    <row r="2277" spans="1:42">
      <c r="A2277" s="153">
        <f ca="1" t="shared" si="390"/>
        <v>3023011</v>
      </c>
      <c r="B2277" s="91" t="s">
        <v>451</v>
      </c>
      <c r="C2277" s="186">
        <v>3</v>
      </c>
      <c r="D2277" s="186">
        <v>2</v>
      </c>
      <c r="E2277" s="165" t="s">
        <v>1069</v>
      </c>
      <c r="F2277" s="179" t="s">
        <v>1077</v>
      </c>
      <c r="G2277" s="186">
        <f ca="1">OFFSET(卡牌辅助配置表!$C$1,MATCH(AC2277,卡牌辅助配置表!A:A,0)-1,0)</f>
        <v>0</v>
      </c>
      <c r="H2277" s="186">
        <f ca="1" t="shared" si="388"/>
        <v>0</v>
      </c>
      <c r="I2277" s="186"/>
      <c r="J2277" s="186">
        <f ca="1">OFFSET(card_type!$F$1,MATCH(Q2277,card_type!A:A,0)-1,0)</f>
        <v>3</v>
      </c>
      <c r="K2277" s="243">
        <f ca="1">OFFSET(card_type!$G$1,MATCH(Q2277,card_type!A:A,0)-1,0)</f>
        <v>2</v>
      </c>
      <c r="L2277" s="157">
        <v>3</v>
      </c>
      <c r="M2277" s="157">
        <v>3</v>
      </c>
      <c r="N2277" s="153">
        <f t="shared" si="395"/>
        <v>11</v>
      </c>
      <c r="O2277" s="157"/>
      <c r="P2277" s="157"/>
      <c r="Q2277" s="153">
        <f ca="1">OFFSET(card_type!$A$1,MATCH(card!B2277,card_type!B:B,0)-1,0)</f>
        <v>3023</v>
      </c>
      <c r="R2277" s="153">
        <v>1</v>
      </c>
      <c r="S2277" s="157">
        <f ca="1">ROUND(IF(R2277=0,0,IF(R2277=1,X2277*$S$1,IF(R2277=2,X2277*$S$1*buff的资质计算!$E$2,IF(R2277=3,X2277*$S$1*buff的资质计算!$E$3,0)))),0)*0</f>
        <v>0</v>
      </c>
      <c r="T2277" s="153">
        <v>5</v>
      </c>
      <c r="U2277" s="153">
        <f ca="1" t="shared" si="391"/>
        <v>32</v>
      </c>
      <c r="V2277" s="153">
        <f ca="1">ROUND((OFFSET(卡牌辅助配置表!$O$1,MATCH(U2277,卡牌辅助配置表!M:M,0)-1,0)+(N2277-1)*OFFSET(卡牌辅助配置表!$P$1,MATCH(U2277,卡牌辅助配置表!M:M,0)-1,0))*M2277,2)</f>
        <v>96.56</v>
      </c>
      <c r="W2277" s="157">
        <f ca="1">ROUND(IF(R2277=0,0,IF(R2277=1,X2277*$W$1,IF(R2277=2,X2277*$W$1*buff的资质计算!$E$2,IF(R2277=3,X2277*$W$1*buff的资质计算!$E$3,0)))),2)</f>
        <v>18.6</v>
      </c>
      <c r="X2277" s="157">
        <f ca="1" t="shared" si="386"/>
        <v>62</v>
      </c>
      <c r="Y2277" s="157">
        <f ca="1" t="shared" si="394"/>
        <v>62</v>
      </c>
      <c r="Z2277" s="304">
        <f ca="1" t="shared" si="387"/>
        <v>20.6666666666667</v>
      </c>
      <c r="AA2277" s="304">
        <f ca="1">OFFSET(卡牌辅助配置表!$AD$1,MATCH(AB2277,卡牌辅助配置表!AB:AB,0)-1,0)</f>
        <v>2289</v>
      </c>
      <c r="AB2277" s="304">
        <f ca="1" t="shared" si="392"/>
        <v>3211</v>
      </c>
      <c r="AC2277" s="153">
        <v>12</v>
      </c>
      <c r="AF2277" s="153" t="str">
        <f ca="1" t="shared" si="385"/>
        <v>30230011|</v>
      </c>
      <c r="AJ2277" s="205" t="str">
        <f ca="1" t="shared" si="393"/>
        <v>400023|4650|;</v>
      </c>
      <c r="AK2277" s="205">
        <f ca="1">OFFSET([1]item_type!$A$1,MATCH(Q2277,[1]item_type!$G:$G,0)-1,0)</f>
        <v>303023</v>
      </c>
      <c r="AL2277" s="205"/>
      <c r="AM2277" s="205">
        <f ca="1">IF(B2277=B2278,OFFSET(卡牌辅助配置表!$AE$1,MATCH(AB2277,卡牌辅助配置表!AB:AB,0),0),0)</f>
        <v>4650</v>
      </c>
      <c r="AN2277" s="153">
        <f ca="1" t="shared" si="389"/>
        <v>3023012</v>
      </c>
      <c r="AP2277" s="153">
        <f ca="1">IF(AC2277=0,0,IF(AC2277=12,0,OFFSET(effect!$N$1,MATCH(K2277,effect!M:M,0)-1,0)))</f>
        <v>0</v>
      </c>
    </row>
    <row r="2278" spans="1:42">
      <c r="A2278" s="153">
        <f ca="1" t="shared" si="390"/>
        <v>3023012</v>
      </c>
      <c r="B2278" s="91" t="s">
        <v>451</v>
      </c>
      <c r="C2278" s="186">
        <v>3</v>
      </c>
      <c r="D2278" s="186">
        <v>2</v>
      </c>
      <c r="E2278" s="165" t="s">
        <v>1069</v>
      </c>
      <c r="F2278" s="179" t="s">
        <v>1077</v>
      </c>
      <c r="G2278" s="186">
        <f ca="1">OFFSET(卡牌辅助配置表!$C$1,MATCH(AC2278,卡牌辅助配置表!A:A,0)-1,0)</f>
        <v>0</v>
      </c>
      <c r="H2278" s="186">
        <f ca="1" t="shared" si="388"/>
        <v>0</v>
      </c>
      <c r="I2278" s="186"/>
      <c r="J2278" s="186">
        <f ca="1">OFFSET(card_type!$F$1,MATCH(Q2278,card_type!A:A,0)-1,0)</f>
        <v>3</v>
      </c>
      <c r="K2278" s="243">
        <f ca="1">OFFSET(card_type!$G$1,MATCH(Q2278,card_type!A:A,0)-1,0)</f>
        <v>2</v>
      </c>
      <c r="L2278" s="157">
        <v>3</v>
      </c>
      <c r="M2278" s="157">
        <v>3</v>
      </c>
      <c r="N2278" s="153">
        <f t="shared" si="395"/>
        <v>12</v>
      </c>
      <c r="O2278" s="157"/>
      <c r="P2278" s="157"/>
      <c r="Q2278" s="153">
        <f ca="1">OFFSET(card_type!$A$1,MATCH(card!B2278,card_type!B:B,0)-1,0)</f>
        <v>3023</v>
      </c>
      <c r="R2278" s="153">
        <v>1</v>
      </c>
      <c r="S2278" s="157">
        <f ca="1">ROUND(IF(R2278=0,0,IF(R2278=1,X2278*$S$1,IF(R2278=2,X2278*$S$1*buff的资质计算!$E$2,IF(R2278=3,X2278*$S$1*buff的资质计算!$E$3,0)))),0)*0</f>
        <v>0</v>
      </c>
      <c r="T2278" s="153">
        <v>5</v>
      </c>
      <c r="U2278" s="153">
        <f ca="1" t="shared" si="391"/>
        <v>32</v>
      </c>
      <c r="V2278" s="153">
        <f ca="1">ROUND((OFFSET(卡牌辅助配置表!$O$1,MATCH(U2278,卡牌辅助配置表!M:M,0)-1,0)+(N2278-1)*OFFSET(卡牌辅助配置表!$P$1,MATCH(U2278,卡牌辅助配置表!M:M,0)-1,0))*M2278,2)</f>
        <v>101.92</v>
      </c>
      <c r="W2278" s="157">
        <f ca="1">ROUND(IF(R2278=0,0,IF(R2278=1,X2278*$W$1,IF(R2278=2,X2278*$W$1*buff的资质计算!$E$2,IF(R2278=3,X2278*$W$1*buff的资质计算!$E$3,0)))),2)</f>
        <v>18.75</v>
      </c>
      <c r="X2278" s="157">
        <f ca="1" t="shared" si="386"/>
        <v>62.5</v>
      </c>
      <c r="Y2278" s="157">
        <f ca="1" t="shared" si="394"/>
        <v>62.5</v>
      </c>
      <c r="Z2278" s="304">
        <f ca="1" t="shared" si="387"/>
        <v>20.8333333333333</v>
      </c>
      <c r="AA2278" s="304">
        <f ca="1">OFFSET(卡牌辅助配置表!$AD$1,MATCH(AB2278,卡牌辅助配置表!AB:AB,0)-1,0)</f>
        <v>2588</v>
      </c>
      <c r="AB2278" s="304">
        <f ca="1" t="shared" si="392"/>
        <v>3212</v>
      </c>
      <c r="AC2278" s="153">
        <v>12</v>
      </c>
      <c r="AF2278" s="153" t="str">
        <f ca="1" t="shared" si="385"/>
        <v>30230011|</v>
      </c>
      <c r="AJ2278" s="205" t="str">
        <f ca="1" t="shared" si="393"/>
        <v>400023|5250|;</v>
      </c>
      <c r="AK2278" s="205">
        <f ca="1">OFFSET([1]item_type!$A$1,MATCH(Q2278,[1]item_type!$G:$G,0)-1,0)</f>
        <v>303023</v>
      </c>
      <c r="AL2278" s="205"/>
      <c r="AM2278" s="205">
        <f ca="1">IF(B2278=B2279,OFFSET(卡牌辅助配置表!$AE$1,MATCH(AB2278,卡牌辅助配置表!AB:AB,0),0),0)</f>
        <v>5250</v>
      </c>
      <c r="AN2278" s="153">
        <f ca="1" t="shared" si="389"/>
        <v>3023013</v>
      </c>
      <c r="AP2278" s="153">
        <f ca="1">IF(AC2278=0,0,IF(AC2278=12,0,OFFSET(effect!$N$1,MATCH(K2278,effect!M:M,0)-1,0)))</f>
        <v>0</v>
      </c>
    </row>
    <row r="2279" spans="1:42">
      <c r="A2279" s="153">
        <f ca="1" t="shared" si="390"/>
        <v>3023013</v>
      </c>
      <c r="B2279" s="91" t="s">
        <v>451</v>
      </c>
      <c r="C2279" s="186">
        <v>3</v>
      </c>
      <c r="D2279" s="186">
        <v>2</v>
      </c>
      <c r="E2279" s="165" t="s">
        <v>1069</v>
      </c>
      <c r="F2279" s="179" t="s">
        <v>1077</v>
      </c>
      <c r="G2279" s="186">
        <f ca="1">OFFSET(卡牌辅助配置表!$C$1,MATCH(AC2279,卡牌辅助配置表!A:A,0)-1,0)</f>
        <v>0</v>
      </c>
      <c r="H2279" s="186">
        <f ca="1" t="shared" si="388"/>
        <v>0</v>
      </c>
      <c r="I2279" s="186"/>
      <c r="J2279" s="186">
        <f ca="1">OFFSET(card_type!$F$1,MATCH(Q2279,card_type!A:A,0)-1,0)</f>
        <v>3</v>
      </c>
      <c r="K2279" s="243">
        <f ca="1">OFFSET(card_type!$G$1,MATCH(Q2279,card_type!A:A,0)-1,0)</f>
        <v>2</v>
      </c>
      <c r="L2279" s="157">
        <v>3</v>
      </c>
      <c r="M2279" s="157">
        <v>3</v>
      </c>
      <c r="N2279" s="153">
        <f t="shared" si="395"/>
        <v>13</v>
      </c>
      <c r="O2279" s="157"/>
      <c r="P2279" s="157"/>
      <c r="Q2279" s="153">
        <f ca="1">OFFSET(card_type!$A$1,MATCH(card!B2279,card_type!B:B,0)-1,0)</f>
        <v>3023</v>
      </c>
      <c r="R2279" s="153">
        <v>1</v>
      </c>
      <c r="S2279" s="157">
        <f ca="1">ROUND(IF(R2279=0,0,IF(R2279=1,X2279*$S$1,IF(R2279=2,X2279*$S$1*buff的资质计算!$E$2,IF(R2279=3,X2279*$S$1*buff的资质计算!$E$3,0)))),0)*0</f>
        <v>0</v>
      </c>
      <c r="T2279" s="153">
        <v>5</v>
      </c>
      <c r="U2279" s="153">
        <f ca="1" t="shared" si="391"/>
        <v>32</v>
      </c>
      <c r="V2279" s="153">
        <f ca="1">ROUND((OFFSET(卡牌辅助配置表!$O$1,MATCH(U2279,卡牌辅助配置表!M:M,0)-1,0)+(N2279-1)*OFFSET(卡牌辅助配置表!$P$1,MATCH(U2279,卡牌辅助配置表!M:M,0)-1,0))*M2279,2)</f>
        <v>107.27</v>
      </c>
      <c r="W2279" s="157">
        <f ca="1">ROUND(IF(R2279=0,0,IF(R2279=1,X2279*$W$1,IF(R2279=2,X2279*$W$1*buff的资质计算!$E$2,IF(R2279=3,X2279*$W$1*buff的资质计算!$E$3,0)))),2)</f>
        <v>18.9</v>
      </c>
      <c r="X2279" s="157">
        <f ca="1" t="shared" si="386"/>
        <v>63</v>
      </c>
      <c r="Y2279" s="157">
        <f ca="1" t="shared" si="394"/>
        <v>63</v>
      </c>
      <c r="Z2279" s="304">
        <f ca="1" t="shared" si="387"/>
        <v>21</v>
      </c>
      <c r="AA2279" s="304">
        <f ca="1">OFFSET(卡牌辅助配置表!$AD$1,MATCH(AB2279,卡牌辅助配置表!AB:AB,0)-1,0)</f>
        <v>2887</v>
      </c>
      <c r="AB2279" s="304">
        <f ca="1" t="shared" si="392"/>
        <v>3213</v>
      </c>
      <c r="AC2279" s="153">
        <v>12</v>
      </c>
      <c r="AF2279" s="153" t="str">
        <f ca="1" t="shared" si="385"/>
        <v>30230011|</v>
      </c>
      <c r="AJ2279" s="205" t="str">
        <f ca="1" t="shared" si="393"/>
        <v>400023|5850|;</v>
      </c>
      <c r="AK2279" s="205">
        <f ca="1">OFFSET([1]item_type!$A$1,MATCH(Q2279,[1]item_type!$G:$G,0)-1,0)</f>
        <v>303023</v>
      </c>
      <c r="AL2279" s="205"/>
      <c r="AM2279" s="205">
        <f ca="1">IF(B2279=B2280,OFFSET(卡牌辅助配置表!$AE$1,MATCH(AB2279,卡牌辅助配置表!AB:AB,0),0),0)</f>
        <v>5850</v>
      </c>
      <c r="AN2279" s="153">
        <f ca="1" t="shared" si="389"/>
        <v>3023014</v>
      </c>
      <c r="AP2279" s="153">
        <f ca="1">IF(AC2279=0,0,IF(AC2279=12,0,OFFSET(effect!$N$1,MATCH(K2279,effect!M:M,0)-1,0)))</f>
        <v>0</v>
      </c>
    </row>
    <row r="2280" spans="1:42">
      <c r="A2280" s="153">
        <f ca="1" t="shared" si="390"/>
        <v>3023014</v>
      </c>
      <c r="B2280" s="91" t="s">
        <v>451</v>
      </c>
      <c r="C2280" s="186">
        <v>3</v>
      </c>
      <c r="D2280" s="186">
        <v>2</v>
      </c>
      <c r="E2280" s="165" t="s">
        <v>1069</v>
      </c>
      <c r="F2280" s="179" t="s">
        <v>1077</v>
      </c>
      <c r="G2280" s="186">
        <f ca="1">OFFSET(卡牌辅助配置表!$C$1,MATCH(AC2280,卡牌辅助配置表!A:A,0)-1,0)</f>
        <v>0</v>
      </c>
      <c r="H2280" s="186">
        <f ca="1" t="shared" si="388"/>
        <v>0</v>
      </c>
      <c r="I2280" s="186"/>
      <c r="J2280" s="186">
        <f ca="1">OFFSET(card_type!$F$1,MATCH(Q2280,card_type!A:A,0)-1,0)</f>
        <v>3</v>
      </c>
      <c r="K2280" s="243">
        <f ca="1">OFFSET(card_type!$G$1,MATCH(Q2280,card_type!A:A,0)-1,0)</f>
        <v>2</v>
      </c>
      <c r="L2280" s="157">
        <v>3</v>
      </c>
      <c r="M2280" s="157">
        <v>3</v>
      </c>
      <c r="N2280" s="153">
        <f t="shared" si="395"/>
        <v>14</v>
      </c>
      <c r="O2280" s="157"/>
      <c r="P2280" s="157"/>
      <c r="Q2280" s="153">
        <f ca="1">OFFSET(card_type!$A$1,MATCH(card!B2280,card_type!B:B,0)-1,0)</f>
        <v>3023</v>
      </c>
      <c r="R2280" s="153">
        <v>1</v>
      </c>
      <c r="S2280" s="157">
        <f ca="1">ROUND(IF(R2280=0,0,IF(R2280=1,X2280*$S$1,IF(R2280=2,X2280*$S$1*buff的资质计算!$E$2,IF(R2280=3,X2280*$S$1*buff的资质计算!$E$3,0)))),0)*0</f>
        <v>0</v>
      </c>
      <c r="T2280" s="153">
        <v>5</v>
      </c>
      <c r="U2280" s="153">
        <f ca="1" t="shared" si="391"/>
        <v>32</v>
      </c>
      <c r="V2280" s="153">
        <f ca="1">ROUND((OFFSET(卡牌辅助配置表!$O$1,MATCH(U2280,卡牌辅助配置表!M:M,0)-1,0)+(N2280-1)*OFFSET(卡牌辅助配置表!$P$1,MATCH(U2280,卡牌辅助配置表!M:M,0)-1,0))*M2280,2)</f>
        <v>112.62</v>
      </c>
      <c r="W2280" s="157">
        <f ca="1">ROUND(IF(R2280=0,0,IF(R2280=1,X2280*$W$1,IF(R2280=2,X2280*$W$1*buff的资质计算!$E$2,IF(R2280=3,X2280*$W$1*buff的资质计算!$E$3,0)))),2)</f>
        <v>19.05</v>
      </c>
      <c r="X2280" s="157">
        <f ca="1" t="shared" si="386"/>
        <v>63.5</v>
      </c>
      <c r="Y2280" s="157">
        <f ca="1" t="shared" si="394"/>
        <v>63.5</v>
      </c>
      <c r="Z2280" s="304">
        <f ca="1" t="shared" si="387"/>
        <v>21.1666666666667</v>
      </c>
      <c r="AA2280" s="304">
        <f ca="1">OFFSET(卡牌辅助配置表!$AD$1,MATCH(AB2280,卡牌辅助配置表!AB:AB,0)-1,0)</f>
        <v>3186</v>
      </c>
      <c r="AB2280" s="304">
        <f ca="1" t="shared" si="392"/>
        <v>3214</v>
      </c>
      <c r="AC2280" s="153">
        <v>12</v>
      </c>
      <c r="AF2280" s="153" t="str">
        <f ca="1" t="shared" si="385"/>
        <v>30230011|</v>
      </c>
      <c r="AJ2280" s="205" t="str">
        <f ca="1" t="shared" si="393"/>
        <v>400023|6450|;</v>
      </c>
      <c r="AK2280" s="205">
        <f ca="1">OFFSET([1]item_type!$A$1,MATCH(Q2280,[1]item_type!$G:$G,0)-1,0)</f>
        <v>303023</v>
      </c>
      <c r="AL2280" s="205"/>
      <c r="AM2280" s="205">
        <f ca="1">IF(B2280=B2281,OFFSET(卡牌辅助配置表!$AE$1,MATCH(AB2280,卡牌辅助配置表!AB:AB,0),0),0)</f>
        <v>6450</v>
      </c>
      <c r="AN2280" s="153">
        <f ca="1" t="shared" si="389"/>
        <v>3023015</v>
      </c>
      <c r="AP2280" s="153">
        <f ca="1">IF(AC2280=0,0,IF(AC2280=12,0,OFFSET(effect!$N$1,MATCH(K2280,effect!M:M,0)-1,0)))</f>
        <v>0</v>
      </c>
    </row>
    <row r="2281" spans="1:42">
      <c r="A2281" s="153">
        <f ca="1" t="shared" si="390"/>
        <v>3023015</v>
      </c>
      <c r="B2281" s="91" t="s">
        <v>451</v>
      </c>
      <c r="C2281" s="186">
        <v>3</v>
      </c>
      <c r="D2281" s="186">
        <v>2</v>
      </c>
      <c r="E2281" s="165" t="s">
        <v>1069</v>
      </c>
      <c r="F2281" s="179" t="s">
        <v>1077</v>
      </c>
      <c r="G2281" s="186">
        <f ca="1">OFFSET(卡牌辅助配置表!$C$1,MATCH(AC2281,卡牌辅助配置表!A:A,0)-1,0)</f>
        <v>0</v>
      </c>
      <c r="H2281" s="186">
        <f ca="1" t="shared" si="388"/>
        <v>0</v>
      </c>
      <c r="I2281" s="186"/>
      <c r="J2281" s="186">
        <f ca="1">OFFSET(card_type!$F$1,MATCH(Q2281,card_type!A:A,0)-1,0)</f>
        <v>3</v>
      </c>
      <c r="K2281" s="243">
        <f ca="1">OFFSET(card_type!$G$1,MATCH(Q2281,card_type!A:A,0)-1,0)</f>
        <v>2</v>
      </c>
      <c r="L2281" s="157">
        <v>3</v>
      </c>
      <c r="M2281" s="157">
        <v>3</v>
      </c>
      <c r="N2281" s="153">
        <f t="shared" si="395"/>
        <v>15</v>
      </c>
      <c r="O2281" s="157"/>
      <c r="P2281" s="157"/>
      <c r="Q2281" s="153">
        <f ca="1">OFFSET(card_type!$A$1,MATCH(card!B2281,card_type!B:B,0)-1,0)</f>
        <v>3023</v>
      </c>
      <c r="R2281" s="153">
        <v>1</v>
      </c>
      <c r="S2281" s="157">
        <f ca="1">ROUND(IF(R2281=0,0,IF(R2281=1,X2281*$S$1,IF(R2281=2,X2281*$S$1*buff的资质计算!$E$2,IF(R2281=3,X2281*$S$1*buff的资质计算!$E$3,0)))),0)*0</f>
        <v>0</v>
      </c>
      <c r="T2281" s="153">
        <v>5</v>
      </c>
      <c r="U2281" s="153">
        <f ca="1" t="shared" si="391"/>
        <v>32</v>
      </c>
      <c r="V2281" s="153">
        <f ca="1">ROUND((OFFSET(卡牌辅助配置表!$O$1,MATCH(U2281,卡牌辅助配置表!M:M,0)-1,0)+(N2281-1)*OFFSET(卡牌辅助配置表!$P$1,MATCH(U2281,卡牌辅助配置表!M:M,0)-1,0))*M2281,2)</f>
        <v>117.97</v>
      </c>
      <c r="W2281" s="157">
        <f ca="1">ROUND(IF(R2281=0,0,IF(R2281=1,X2281*$W$1,IF(R2281=2,X2281*$W$1*buff的资质计算!$E$2,IF(R2281=3,X2281*$W$1*buff的资质计算!$E$3,0)))),2)</f>
        <v>19.2</v>
      </c>
      <c r="X2281" s="157">
        <f ca="1" t="shared" si="386"/>
        <v>64</v>
      </c>
      <c r="Y2281" s="157">
        <f ca="1" t="shared" si="394"/>
        <v>64</v>
      </c>
      <c r="Z2281" s="304">
        <f ca="1" t="shared" si="387"/>
        <v>21.3333333333333</v>
      </c>
      <c r="AA2281" s="304">
        <f ca="1">OFFSET(卡牌辅助配置表!$AD$1,MATCH(AB2281,卡牌辅助配置表!AB:AB,0)-1,0)</f>
        <v>3485</v>
      </c>
      <c r="AB2281" s="304">
        <f ca="1" t="shared" si="392"/>
        <v>3215</v>
      </c>
      <c r="AC2281" s="153">
        <v>12</v>
      </c>
      <c r="AF2281" s="153" t="str">
        <f ca="1" t="shared" si="385"/>
        <v>30230011|</v>
      </c>
      <c r="AJ2281" s="205" t="str">
        <f ca="1" t="shared" si="393"/>
        <v>400023|7050|;</v>
      </c>
      <c r="AK2281" s="205">
        <f ca="1">OFFSET([1]item_type!$A$1,MATCH(Q2281,[1]item_type!$G:$G,0)-1,0)</f>
        <v>303023</v>
      </c>
      <c r="AL2281" s="205"/>
      <c r="AM2281" s="205">
        <f ca="1">IF(B2281=B2282,OFFSET(卡牌辅助配置表!$AE$1,MATCH(AB2281,卡牌辅助配置表!AB:AB,0),0),0)</f>
        <v>7050</v>
      </c>
      <c r="AN2281" s="153">
        <f ca="1" t="shared" si="389"/>
        <v>3023016</v>
      </c>
      <c r="AP2281" s="153">
        <f ca="1">IF(AC2281=0,0,IF(AC2281=12,0,OFFSET(effect!$N$1,MATCH(K2281,effect!M:M,0)-1,0)))</f>
        <v>0</v>
      </c>
    </row>
    <row r="2282" spans="1:42">
      <c r="A2282" s="153">
        <f ca="1" t="shared" si="390"/>
        <v>3023016</v>
      </c>
      <c r="B2282" s="91" t="s">
        <v>451</v>
      </c>
      <c r="C2282" s="186">
        <v>3</v>
      </c>
      <c r="D2282" s="186">
        <v>2</v>
      </c>
      <c r="E2282" s="165" t="s">
        <v>1069</v>
      </c>
      <c r="F2282" s="179" t="s">
        <v>1077</v>
      </c>
      <c r="G2282" s="186">
        <f ca="1">OFFSET(卡牌辅助配置表!$C$1,MATCH(AC2282,卡牌辅助配置表!A:A,0)-1,0)</f>
        <v>0</v>
      </c>
      <c r="H2282" s="186">
        <f ca="1" t="shared" si="388"/>
        <v>0</v>
      </c>
      <c r="I2282" s="186"/>
      <c r="J2282" s="186">
        <f ca="1">OFFSET(card_type!$F$1,MATCH(Q2282,card_type!A:A,0)-1,0)</f>
        <v>3</v>
      </c>
      <c r="K2282" s="243">
        <f ca="1">OFFSET(card_type!$G$1,MATCH(Q2282,card_type!A:A,0)-1,0)</f>
        <v>2</v>
      </c>
      <c r="L2282" s="157">
        <v>3</v>
      </c>
      <c r="M2282" s="157">
        <v>3</v>
      </c>
      <c r="N2282" s="153">
        <f t="shared" si="395"/>
        <v>16</v>
      </c>
      <c r="O2282" s="157"/>
      <c r="P2282" s="157"/>
      <c r="Q2282" s="153">
        <f ca="1">OFFSET(card_type!$A$1,MATCH(card!B2282,card_type!B:B,0)-1,0)</f>
        <v>3023</v>
      </c>
      <c r="R2282" s="153">
        <v>1</v>
      </c>
      <c r="S2282" s="157">
        <f ca="1">ROUND(IF(R2282=0,0,IF(R2282=1,X2282*$S$1,IF(R2282=2,X2282*$S$1*buff的资质计算!$E$2,IF(R2282=3,X2282*$S$1*buff的资质计算!$E$3,0)))),0)*0</f>
        <v>0</v>
      </c>
      <c r="T2282" s="153">
        <v>5</v>
      </c>
      <c r="U2282" s="153">
        <f ca="1" t="shared" si="391"/>
        <v>32</v>
      </c>
      <c r="V2282" s="153">
        <f ca="1">ROUND((OFFSET(卡牌辅助配置表!$O$1,MATCH(U2282,卡牌辅助配置表!M:M,0)-1,0)+(N2282-1)*OFFSET(卡牌辅助配置表!$P$1,MATCH(U2282,卡牌辅助配置表!M:M,0)-1,0))*M2282,2)</f>
        <v>123.32</v>
      </c>
      <c r="W2282" s="157">
        <f ca="1">ROUND(IF(R2282=0,0,IF(R2282=1,X2282*$W$1,IF(R2282=2,X2282*$W$1*buff的资质计算!$E$2,IF(R2282=3,X2282*$W$1*buff的资质计算!$E$3,0)))),2)</f>
        <v>19.35</v>
      </c>
      <c r="X2282" s="157">
        <f ca="1" t="shared" si="386"/>
        <v>64.5</v>
      </c>
      <c r="Y2282" s="157">
        <f ca="1" t="shared" si="394"/>
        <v>64.5</v>
      </c>
      <c r="Z2282" s="304">
        <f ca="1" t="shared" si="387"/>
        <v>21.5</v>
      </c>
      <c r="AA2282" s="304">
        <f ca="1">OFFSET(卡牌辅助配置表!$AD$1,MATCH(AB2282,卡牌辅助配置表!AB:AB,0)-1,0)</f>
        <v>3784</v>
      </c>
      <c r="AB2282" s="304">
        <f ca="1" t="shared" si="392"/>
        <v>3216</v>
      </c>
      <c r="AC2282" s="153">
        <v>12</v>
      </c>
      <c r="AF2282" s="153" t="str">
        <f ca="1" t="shared" si="385"/>
        <v>30230011|</v>
      </c>
      <c r="AJ2282" s="205" t="str">
        <f ca="1" t="shared" si="393"/>
        <v>400023|7650|;</v>
      </c>
      <c r="AK2282" s="205">
        <f ca="1">OFFSET([1]item_type!$A$1,MATCH(Q2282,[1]item_type!$G:$G,0)-1,0)</f>
        <v>303023</v>
      </c>
      <c r="AL2282" s="205"/>
      <c r="AM2282" s="205">
        <f ca="1">IF(B2282=B2283,OFFSET(卡牌辅助配置表!$AE$1,MATCH(AB2282,卡牌辅助配置表!AB:AB,0),0),0)</f>
        <v>7650</v>
      </c>
      <c r="AN2282" s="153">
        <f ca="1" t="shared" si="389"/>
        <v>3023017</v>
      </c>
      <c r="AP2282" s="153">
        <f ca="1">IF(AC2282=0,0,IF(AC2282=12,0,OFFSET(effect!$N$1,MATCH(K2282,effect!M:M,0)-1,0)))</f>
        <v>0</v>
      </c>
    </row>
    <row r="2283" spans="1:42">
      <c r="A2283" s="153">
        <f ca="1" t="shared" si="390"/>
        <v>3023017</v>
      </c>
      <c r="B2283" s="91" t="s">
        <v>451</v>
      </c>
      <c r="C2283" s="186">
        <v>3</v>
      </c>
      <c r="D2283" s="186">
        <v>2</v>
      </c>
      <c r="E2283" s="165" t="s">
        <v>1069</v>
      </c>
      <c r="F2283" s="179" t="s">
        <v>1077</v>
      </c>
      <c r="G2283" s="186">
        <f ca="1">OFFSET(卡牌辅助配置表!$C$1,MATCH(AC2283,卡牌辅助配置表!A:A,0)-1,0)</f>
        <v>0</v>
      </c>
      <c r="H2283" s="186">
        <f ca="1" t="shared" si="388"/>
        <v>0</v>
      </c>
      <c r="I2283" s="186"/>
      <c r="J2283" s="186">
        <f ca="1">OFFSET(card_type!$F$1,MATCH(Q2283,card_type!A:A,0)-1,0)</f>
        <v>3</v>
      </c>
      <c r="K2283" s="243">
        <f ca="1">OFFSET(card_type!$G$1,MATCH(Q2283,card_type!A:A,0)-1,0)</f>
        <v>2</v>
      </c>
      <c r="L2283" s="157">
        <v>3</v>
      </c>
      <c r="M2283" s="157">
        <v>3</v>
      </c>
      <c r="N2283" s="153">
        <f t="shared" si="395"/>
        <v>17</v>
      </c>
      <c r="O2283" s="157"/>
      <c r="P2283" s="157"/>
      <c r="Q2283" s="153">
        <f ca="1">OFFSET(card_type!$A$1,MATCH(card!B2283,card_type!B:B,0)-1,0)</f>
        <v>3023</v>
      </c>
      <c r="R2283" s="153">
        <v>1</v>
      </c>
      <c r="S2283" s="157">
        <f ca="1">ROUND(IF(R2283=0,0,IF(R2283=1,X2283*$S$1,IF(R2283=2,X2283*$S$1*buff的资质计算!$E$2,IF(R2283=3,X2283*$S$1*buff的资质计算!$E$3,0)))),0)*0</f>
        <v>0</v>
      </c>
      <c r="T2283" s="153">
        <v>5</v>
      </c>
      <c r="U2283" s="153">
        <f ca="1" t="shared" si="391"/>
        <v>32</v>
      </c>
      <c r="V2283" s="153">
        <f ca="1">ROUND((OFFSET(卡牌辅助配置表!$O$1,MATCH(U2283,卡牌辅助配置表!M:M,0)-1,0)+(N2283-1)*OFFSET(卡牌辅助配置表!$P$1,MATCH(U2283,卡牌辅助配置表!M:M,0)-1,0))*M2283,2)</f>
        <v>128.67</v>
      </c>
      <c r="W2283" s="157">
        <f ca="1">ROUND(IF(R2283=0,0,IF(R2283=1,X2283*$W$1,IF(R2283=2,X2283*$W$1*buff的资质计算!$E$2,IF(R2283=3,X2283*$W$1*buff的资质计算!$E$3,0)))),2)</f>
        <v>19.5</v>
      </c>
      <c r="X2283" s="157">
        <f ca="1" t="shared" si="386"/>
        <v>65</v>
      </c>
      <c r="Y2283" s="157">
        <f ca="1" t="shared" si="394"/>
        <v>65</v>
      </c>
      <c r="Z2283" s="304">
        <f ca="1" t="shared" si="387"/>
        <v>21.6666666666667</v>
      </c>
      <c r="AA2283" s="304">
        <f ca="1">OFFSET(卡牌辅助配置表!$AD$1,MATCH(AB2283,卡牌辅助配置表!AB:AB,0)-1,0)</f>
        <v>4083</v>
      </c>
      <c r="AB2283" s="304">
        <f ca="1" t="shared" si="392"/>
        <v>3217</v>
      </c>
      <c r="AC2283" s="153">
        <v>12</v>
      </c>
      <c r="AF2283" s="153" t="str">
        <f ca="1" t="shared" si="385"/>
        <v>30230011|</v>
      </c>
      <c r="AJ2283" s="205" t="str">
        <f ca="1" t="shared" si="393"/>
        <v>400023|8250|;</v>
      </c>
      <c r="AK2283" s="205">
        <f ca="1">OFFSET([1]item_type!$A$1,MATCH(Q2283,[1]item_type!$G:$G,0)-1,0)</f>
        <v>303023</v>
      </c>
      <c r="AL2283" s="205"/>
      <c r="AM2283" s="205">
        <f ca="1">IF(B2283=B2284,OFFSET(卡牌辅助配置表!$AE$1,MATCH(AB2283,卡牌辅助配置表!AB:AB,0),0),0)</f>
        <v>8250</v>
      </c>
      <c r="AN2283" s="153">
        <f ca="1" t="shared" si="389"/>
        <v>3023018</v>
      </c>
      <c r="AP2283" s="153">
        <f ca="1">IF(AC2283=0,0,IF(AC2283=12,0,OFFSET(effect!$N$1,MATCH(K2283,effect!M:M,0)-1,0)))</f>
        <v>0</v>
      </c>
    </row>
    <row r="2284" spans="1:42">
      <c r="A2284" s="153">
        <f ca="1" t="shared" si="390"/>
        <v>3023018</v>
      </c>
      <c r="B2284" s="91" t="s">
        <v>451</v>
      </c>
      <c r="C2284" s="186">
        <v>3</v>
      </c>
      <c r="D2284" s="186">
        <v>2</v>
      </c>
      <c r="E2284" s="165" t="s">
        <v>1069</v>
      </c>
      <c r="F2284" s="179" t="s">
        <v>1077</v>
      </c>
      <c r="G2284" s="186">
        <f ca="1">OFFSET(卡牌辅助配置表!$C$1,MATCH(AC2284,卡牌辅助配置表!A:A,0)-1,0)</f>
        <v>0</v>
      </c>
      <c r="H2284" s="186">
        <f ca="1" t="shared" si="388"/>
        <v>0</v>
      </c>
      <c r="I2284" s="186"/>
      <c r="J2284" s="186">
        <f ca="1">OFFSET(card_type!$F$1,MATCH(Q2284,card_type!A:A,0)-1,0)</f>
        <v>3</v>
      </c>
      <c r="K2284" s="243">
        <f ca="1">OFFSET(card_type!$G$1,MATCH(Q2284,card_type!A:A,0)-1,0)</f>
        <v>2</v>
      </c>
      <c r="L2284" s="157">
        <v>3</v>
      </c>
      <c r="M2284" s="157">
        <v>3</v>
      </c>
      <c r="N2284" s="153">
        <f t="shared" si="395"/>
        <v>18</v>
      </c>
      <c r="O2284" s="157"/>
      <c r="P2284" s="157"/>
      <c r="Q2284" s="153">
        <f ca="1">OFFSET(card_type!$A$1,MATCH(card!B2284,card_type!B:B,0)-1,0)</f>
        <v>3023</v>
      </c>
      <c r="R2284" s="153">
        <v>1</v>
      </c>
      <c r="S2284" s="157">
        <f ca="1">ROUND(IF(R2284=0,0,IF(R2284=1,X2284*$S$1,IF(R2284=2,X2284*$S$1*buff的资质计算!$E$2,IF(R2284=3,X2284*$S$1*buff的资质计算!$E$3,0)))),0)*0</f>
        <v>0</v>
      </c>
      <c r="T2284" s="153">
        <v>5</v>
      </c>
      <c r="U2284" s="153">
        <f ca="1" t="shared" si="391"/>
        <v>32</v>
      </c>
      <c r="V2284" s="153">
        <f ca="1">ROUND((OFFSET(卡牌辅助配置表!$O$1,MATCH(U2284,卡牌辅助配置表!M:M,0)-1,0)+(N2284-1)*OFFSET(卡牌辅助配置表!$P$1,MATCH(U2284,卡牌辅助配置表!M:M,0)-1,0))*M2284,2)</f>
        <v>134.02</v>
      </c>
      <c r="W2284" s="157">
        <f ca="1">ROUND(IF(R2284=0,0,IF(R2284=1,X2284*$W$1,IF(R2284=2,X2284*$W$1*buff的资质计算!$E$2,IF(R2284=3,X2284*$W$1*buff的资质计算!$E$3,0)))),2)</f>
        <v>19.65</v>
      </c>
      <c r="X2284" s="157">
        <f ca="1" t="shared" si="386"/>
        <v>65.5</v>
      </c>
      <c r="Y2284" s="157">
        <f ca="1" t="shared" si="394"/>
        <v>65.5</v>
      </c>
      <c r="Z2284" s="304">
        <f ca="1" t="shared" si="387"/>
        <v>21.8333333333333</v>
      </c>
      <c r="AA2284" s="304">
        <f ca="1">OFFSET(卡牌辅助配置表!$AD$1,MATCH(AB2284,卡牌辅助配置表!AB:AB,0)-1,0)</f>
        <v>4382</v>
      </c>
      <c r="AB2284" s="304">
        <f ca="1" t="shared" si="392"/>
        <v>3218</v>
      </c>
      <c r="AC2284" s="153">
        <v>12</v>
      </c>
      <c r="AF2284" s="153" t="str">
        <f ca="1" t="shared" si="385"/>
        <v>30230011|</v>
      </c>
      <c r="AJ2284" s="205" t="str">
        <f ca="1" t="shared" si="393"/>
        <v>400023|8850|;</v>
      </c>
      <c r="AK2284" s="205">
        <f ca="1">OFFSET([1]item_type!$A$1,MATCH(Q2284,[1]item_type!$G:$G,0)-1,0)</f>
        <v>303023</v>
      </c>
      <c r="AL2284" s="205"/>
      <c r="AM2284" s="205">
        <f ca="1">IF(B2284=B2285,OFFSET(卡牌辅助配置表!$AE$1,MATCH(AB2284,卡牌辅助配置表!AB:AB,0),0),0)</f>
        <v>8850</v>
      </c>
      <c r="AN2284" s="153">
        <f ca="1" t="shared" si="389"/>
        <v>3023019</v>
      </c>
      <c r="AP2284" s="153">
        <f ca="1">IF(AC2284=0,0,IF(AC2284=12,0,OFFSET(effect!$N$1,MATCH(K2284,effect!M:M,0)-1,0)))</f>
        <v>0</v>
      </c>
    </row>
    <row r="2285" spans="1:42">
      <c r="A2285" s="153">
        <f ca="1" t="shared" si="390"/>
        <v>3023019</v>
      </c>
      <c r="B2285" s="91" t="s">
        <v>451</v>
      </c>
      <c r="C2285" s="186">
        <v>3</v>
      </c>
      <c r="D2285" s="186">
        <v>2</v>
      </c>
      <c r="E2285" s="165" t="s">
        <v>1069</v>
      </c>
      <c r="F2285" s="179" t="s">
        <v>1077</v>
      </c>
      <c r="G2285" s="186">
        <f ca="1">OFFSET(卡牌辅助配置表!$C$1,MATCH(AC2285,卡牌辅助配置表!A:A,0)-1,0)</f>
        <v>0</v>
      </c>
      <c r="H2285" s="186">
        <f ca="1" t="shared" si="388"/>
        <v>0</v>
      </c>
      <c r="I2285" s="186"/>
      <c r="J2285" s="186">
        <f ca="1">OFFSET(card_type!$F$1,MATCH(Q2285,card_type!A:A,0)-1,0)</f>
        <v>3</v>
      </c>
      <c r="K2285" s="243">
        <f ca="1">OFFSET(card_type!$G$1,MATCH(Q2285,card_type!A:A,0)-1,0)</f>
        <v>2</v>
      </c>
      <c r="L2285" s="157">
        <v>3</v>
      </c>
      <c r="M2285" s="157">
        <v>3</v>
      </c>
      <c r="N2285" s="153">
        <f t="shared" si="395"/>
        <v>19</v>
      </c>
      <c r="O2285" s="157"/>
      <c r="P2285" s="157"/>
      <c r="Q2285" s="153">
        <f ca="1">OFFSET(card_type!$A$1,MATCH(card!B2285,card_type!B:B,0)-1,0)</f>
        <v>3023</v>
      </c>
      <c r="R2285" s="153">
        <v>1</v>
      </c>
      <c r="S2285" s="157">
        <f ca="1">ROUND(IF(R2285=0,0,IF(R2285=1,X2285*$S$1,IF(R2285=2,X2285*$S$1*buff的资质计算!$E$2,IF(R2285=3,X2285*$S$1*buff的资质计算!$E$3,0)))),0)*0</f>
        <v>0</v>
      </c>
      <c r="T2285" s="153">
        <v>5</v>
      </c>
      <c r="U2285" s="153">
        <f ca="1" t="shared" si="391"/>
        <v>32</v>
      </c>
      <c r="V2285" s="153">
        <f ca="1">ROUND((OFFSET(卡牌辅助配置表!$O$1,MATCH(U2285,卡牌辅助配置表!M:M,0)-1,0)+(N2285-1)*OFFSET(卡牌辅助配置表!$P$1,MATCH(U2285,卡牌辅助配置表!M:M,0)-1,0))*M2285,2)</f>
        <v>139.37</v>
      </c>
      <c r="W2285" s="157">
        <f ca="1">ROUND(IF(R2285=0,0,IF(R2285=1,X2285*$W$1,IF(R2285=2,X2285*$W$1*buff的资质计算!$E$2,IF(R2285=3,X2285*$W$1*buff的资质计算!$E$3,0)))),2)</f>
        <v>19.8</v>
      </c>
      <c r="X2285" s="157">
        <f ca="1" t="shared" si="386"/>
        <v>66</v>
      </c>
      <c r="Y2285" s="157">
        <f ca="1" t="shared" si="394"/>
        <v>66</v>
      </c>
      <c r="Z2285" s="304">
        <f ca="1" t="shared" si="387"/>
        <v>22</v>
      </c>
      <c r="AA2285" s="304">
        <f ca="1">OFFSET(卡牌辅助配置表!$AD$1,MATCH(AB2285,卡牌辅助配置表!AB:AB,0)-1,0)</f>
        <v>4681</v>
      </c>
      <c r="AB2285" s="304">
        <f ca="1" t="shared" si="392"/>
        <v>3219</v>
      </c>
      <c r="AC2285" s="153">
        <v>12</v>
      </c>
      <c r="AF2285" s="153" t="str">
        <f ca="1" t="shared" si="385"/>
        <v>30230011|</v>
      </c>
      <c r="AJ2285" s="205" t="str">
        <f ca="1" t="shared" si="393"/>
        <v>303023|20|;400023|9450|;</v>
      </c>
      <c r="AK2285" s="205">
        <f ca="1">OFFSET([1]item_type!$A$1,MATCH(Q2285,[1]item_type!$G:$G,0)-1,0)</f>
        <v>303023</v>
      </c>
      <c r="AL2285" s="205">
        <v>20</v>
      </c>
      <c r="AM2285" s="205">
        <f ca="1">IF(B2285=B2286,OFFSET(卡牌辅助配置表!$AE$1,MATCH(AB2285,卡牌辅助配置表!AB:AB,0),0),0)</f>
        <v>9450</v>
      </c>
      <c r="AN2285" s="153">
        <f ca="1" t="shared" si="389"/>
        <v>3023020</v>
      </c>
      <c r="AP2285" s="153">
        <f ca="1">IF(AC2285=0,0,IF(AC2285=12,0,OFFSET(effect!$N$1,MATCH(K2285,effect!M:M,0)-1,0)))</f>
        <v>0</v>
      </c>
    </row>
    <row r="2286" spans="1:42">
      <c r="A2286" s="153">
        <f ca="1" t="shared" si="390"/>
        <v>3023020</v>
      </c>
      <c r="B2286" s="91" t="s">
        <v>451</v>
      </c>
      <c r="C2286" s="186">
        <v>3</v>
      </c>
      <c r="D2286" s="186">
        <v>2</v>
      </c>
      <c r="E2286" s="165" t="s">
        <v>1069</v>
      </c>
      <c r="F2286" s="179" t="s">
        <v>1077</v>
      </c>
      <c r="G2286" s="186">
        <f ca="1">OFFSET(卡牌辅助配置表!$C$1,MATCH(AC2286,卡牌辅助配置表!A:A,0)-1,0)</f>
        <v>0</v>
      </c>
      <c r="H2286" s="186">
        <f ca="1" t="shared" si="388"/>
        <v>0</v>
      </c>
      <c r="I2286" s="186"/>
      <c r="J2286" s="186">
        <f ca="1">OFFSET(card_type!$F$1,MATCH(Q2286,card_type!A:A,0)-1,0)</f>
        <v>3</v>
      </c>
      <c r="K2286" s="243">
        <f ca="1">OFFSET(card_type!$G$1,MATCH(Q2286,card_type!A:A,0)-1,0)</f>
        <v>2</v>
      </c>
      <c r="L2286" s="157">
        <v>3</v>
      </c>
      <c r="M2286" s="157">
        <v>3</v>
      </c>
      <c r="N2286" s="153">
        <f t="shared" si="395"/>
        <v>20</v>
      </c>
      <c r="O2286" s="157"/>
      <c r="P2286" s="157"/>
      <c r="Q2286" s="153">
        <f ca="1">OFFSET(card_type!$A$1,MATCH(card!B2286,card_type!B:B,0)-1,0)</f>
        <v>3023</v>
      </c>
      <c r="R2286" s="153">
        <v>1</v>
      </c>
      <c r="S2286" s="157">
        <f ca="1">ROUND(IF(R2286=0,0,IF(R2286=1,X2286*$S$1,IF(R2286=2,X2286*$S$1*buff的资质计算!$E$2,IF(R2286=3,X2286*$S$1*buff的资质计算!$E$3,0)))),0)*0</f>
        <v>0</v>
      </c>
      <c r="T2286" s="153">
        <v>5</v>
      </c>
      <c r="U2286" s="153">
        <f ca="1" t="shared" si="391"/>
        <v>32</v>
      </c>
      <c r="V2286" s="153">
        <f ca="1">ROUND((OFFSET(卡牌辅助配置表!$O$1,MATCH(U2286,卡牌辅助配置表!M:M,0)-1,0)+(N2286-1)*OFFSET(卡牌辅助配置表!$P$1,MATCH(U2286,卡牌辅助配置表!M:M,0)-1,0))*M2286,2)</f>
        <v>144.72</v>
      </c>
      <c r="W2286" s="157">
        <f ca="1">ROUND(IF(R2286=0,0,IF(R2286=1,X2286*$W$1,IF(R2286=2,X2286*$W$1*buff的资质计算!$E$2,IF(R2286=3,X2286*$W$1*buff的资质计算!$E$3,0)))),2)</f>
        <v>19.95</v>
      </c>
      <c r="X2286" s="157">
        <f ca="1" t="shared" si="386"/>
        <v>66.5</v>
      </c>
      <c r="Y2286" s="157">
        <f ca="1" t="shared" si="394"/>
        <v>66.5</v>
      </c>
      <c r="Z2286" s="304">
        <f ca="1" t="shared" si="387"/>
        <v>22.1666666666667</v>
      </c>
      <c r="AA2286" s="304">
        <f ca="1">OFFSET(卡牌辅助配置表!$AD$1,MATCH(AB2286,卡牌辅助配置表!AB:AB,0)-1,0)</f>
        <v>4980</v>
      </c>
      <c r="AB2286" s="304">
        <f ca="1" t="shared" si="392"/>
        <v>3220</v>
      </c>
      <c r="AC2286" s="153">
        <v>12</v>
      </c>
      <c r="AF2286" s="153" t="str">
        <f ca="1" t="shared" si="385"/>
        <v>30230011|</v>
      </c>
      <c r="AJ2286" s="205" t="str">
        <f ca="1" t="shared" si="393"/>
        <v>400023|10650|;</v>
      </c>
      <c r="AK2286" s="205">
        <f ca="1">OFFSET([1]item_type!$A$1,MATCH(Q2286,[1]item_type!$G:$G,0)-1,0)</f>
        <v>303023</v>
      </c>
      <c r="AL2286" s="205"/>
      <c r="AM2286" s="205">
        <f ca="1">IF(B2286=B2287,OFFSET(卡牌辅助配置表!$AE$1,MATCH(AB2286,卡牌辅助配置表!AB:AB,0),0),0)</f>
        <v>10650</v>
      </c>
      <c r="AN2286" s="153">
        <f ca="1" t="shared" si="389"/>
        <v>3023021</v>
      </c>
      <c r="AP2286" s="153">
        <f ca="1">IF(AC2286=0,0,IF(AC2286=12,0,OFFSET(effect!$N$1,MATCH(K2286,effect!M:M,0)-1,0)))</f>
        <v>0</v>
      </c>
    </row>
    <row r="2287" spans="1:42">
      <c r="A2287" s="153">
        <f ca="1" t="shared" si="390"/>
        <v>3023021</v>
      </c>
      <c r="B2287" s="91" t="s">
        <v>451</v>
      </c>
      <c r="C2287" s="186">
        <v>3</v>
      </c>
      <c r="D2287" s="186">
        <v>2</v>
      </c>
      <c r="E2287" s="165" t="s">
        <v>1069</v>
      </c>
      <c r="F2287" s="179" t="s">
        <v>1077</v>
      </c>
      <c r="G2287" s="186">
        <f ca="1">OFFSET(卡牌辅助配置表!$C$1,MATCH(AC2287,卡牌辅助配置表!A:A,0)-1,0)</f>
        <v>0</v>
      </c>
      <c r="H2287" s="186">
        <f ca="1" t="shared" si="388"/>
        <v>0</v>
      </c>
      <c r="I2287" s="186"/>
      <c r="J2287" s="186">
        <f ca="1">OFFSET(card_type!$F$1,MATCH(Q2287,card_type!A:A,0)-1,0)</f>
        <v>3</v>
      </c>
      <c r="K2287" s="243">
        <f ca="1">OFFSET(card_type!$G$1,MATCH(Q2287,card_type!A:A,0)-1,0)</f>
        <v>2</v>
      </c>
      <c r="L2287" s="157">
        <v>3</v>
      </c>
      <c r="M2287" s="157">
        <v>3</v>
      </c>
      <c r="N2287" s="153">
        <f t="shared" si="395"/>
        <v>21</v>
      </c>
      <c r="O2287" s="157"/>
      <c r="P2287" s="157"/>
      <c r="Q2287" s="153">
        <f ca="1">OFFSET(card_type!$A$1,MATCH(card!B2287,card_type!B:B,0)-1,0)</f>
        <v>3023</v>
      </c>
      <c r="R2287" s="153">
        <v>1</v>
      </c>
      <c r="S2287" s="157">
        <f ca="1">ROUND(IF(R2287=0,0,IF(R2287=1,X2287*$S$1,IF(R2287=2,X2287*$S$1*buff的资质计算!$E$2,IF(R2287=3,X2287*$S$1*buff的资质计算!$E$3,0)))),0)*0</f>
        <v>0</v>
      </c>
      <c r="T2287" s="153">
        <v>5</v>
      </c>
      <c r="U2287" s="153">
        <f ca="1" t="shared" si="391"/>
        <v>32</v>
      </c>
      <c r="V2287" s="153">
        <f ca="1">ROUND((OFFSET(卡牌辅助配置表!$O$1,MATCH(U2287,卡牌辅助配置表!M:M,0)-1,0)+(N2287-1)*OFFSET(卡牌辅助配置表!$P$1,MATCH(U2287,卡牌辅助配置表!M:M,0)-1,0))*M2287,2)</f>
        <v>150.07</v>
      </c>
      <c r="W2287" s="157">
        <f ca="1">ROUND(IF(R2287=0,0,IF(R2287=1,X2287*$W$1,IF(R2287=2,X2287*$W$1*buff的资质计算!$E$2,IF(R2287=3,X2287*$W$1*buff的资质计算!$E$3,0)))),2)</f>
        <v>20.1</v>
      </c>
      <c r="X2287" s="157">
        <f ca="1" t="shared" si="386"/>
        <v>67</v>
      </c>
      <c r="Y2287" s="157">
        <f ca="1" t="shared" si="394"/>
        <v>67</v>
      </c>
      <c r="Z2287" s="304">
        <f ca="1" t="shared" si="387"/>
        <v>22.3333333333333</v>
      </c>
      <c r="AA2287" s="304">
        <f ca="1">OFFSET(卡牌辅助配置表!$AD$1,MATCH(AB2287,卡牌辅助配置表!AB:AB,0)-1,0)</f>
        <v>5378</v>
      </c>
      <c r="AB2287" s="304">
        <f ca="1" t="shared" si="392"/>
        <v>3221</v>
      </c>
      <c r="AC2287" s="153">
        <v>12</v>
      </c>
      <c r="AF2287" s="153" t="str">
        <f ca="1" t="shared" si="385"/>
        <v>30230011|</v>
      </c>
      <c r="AJ2287" s="205" t="str">
        <f ca="1" t="shared" si="393"/>
        <v>400023|11850|;</v>
      </c>
      <c r="AK2287" s="205">
        <f ca="1">OFFSET([1]item_type!$A$1,MATCH(Q2287,[1]item_type!$G:$G,0)-1,0)</f>
        <v>303023</v>
      </c>
      <c r="AL2287" s="205"/>
      <c r="AM2287" s="205">
        <f ca="1">IF(B2287=B2288,OFFSET(卡牌辅助配置表!$AE$1,MATCH(AB2287,卡牌辅助配置表!AB:AB,0),0),0)</f>
        <v>11850</v>
      </c>
      <c r="AN2287" s="153">
        <f ca="1" t="shared" si="389"/>
        <v>3023022</v>
      </c>
      <c r="AP2287" s="153">
        <f ca="1">IF(AC2287=0,0,IF(AC2287=12,0,OFFSET(effect!$N$1,MATCH(K2287,effect!M:M,0)-1,0)))</f>
        <v>0</v>
      </c>
    </row>
    <row r="2288" spans="1:42">
      <c r="A2288" s="153">
        <f ca="1" t="shared" si="390"/>
        <v>3023022</v>
      </c>
      <c r="B2288" s="91" t="s">
        <v>451</v>
      </c>
      <c r="C2288" s="186">
        <v>3</v>
      </c>
      <c r="D2288" s="186">
        <v>2</v>
      </c>
      <c r="E2288" s="165" t="s">
        <v>1069</v>
      </c>
      <c r="F2288" s="179" t="s">
        <v>1077</v>
      </c>
      <c r="G2288" s="186">
        <f ca="1">OFFSET(卡牌辅助配置表!$C$1,MATCH(AC2288,卡牌辅助配置表!A:A,0)-1,0)</f>
        <v>0</v>
      </c>
      <c r="H2288" s="186">
        <f ca="1" t="shared" si="388"/>
        <v>0</v>
      </c>
      <c r="I2288" s="186"/>
      <c r="J2288" s="186">
        <f ca="1">OFFSET(card_type!$F$1,MATCH(Q2288,card_type!A:A,0)-1,0)</f>
        <v>3</v>
      </c>
      <c r="K2288" s="243">
        <f ca="1">OFFSET(card_type!$G$1,MATCH(Q2288,card_type!A:A,0)-1,0)</f>
        <v>2</v>
      </c>
      <c r="L2288" s="157">
        <v>3</v>
      </c>
      <c r="M2288" s="157">
        <v>3</v>
      </c>
      <c r="N2288" s="153">
        <f t="shared" si="395"/>
        <v>22</v>
      </c>
      <c r="O2288" s="157"/>
      <c r="P2288" s="157"/>
      <c r="Q2288" s="153">
        <f ca="1">OFFSET(card_type!$A$1,MATCH(card!B2288,card_type!B:B,0)-1,0)</f>
        <v>3023</v>
      </c>
      <c r="R2288" s="153">
        <v>1</v>
      </c>
      <c r="S2288" s="157">
        <f ca="1">ROUND(IF(R2288=0,0,IF(R2288=1,X2288*$S$1,IF(R2288=2,X2288*$S$1*buff的资质计算!$E$2,IF(R2288=3,X2288*$S$1*buff的资质计算!$E$3,0)))),0)*0</f>
        <v>0</v>
      </c>
      <c r="T2288" s="153">
        <v>5</v>
      </c>
      <c r="U2288" s="153">
        <f ca="1" t="shared" si="391"/>
        <v>32</v>
      </c>
      <c r="V2288" s="153">
        <f ca="1">ROUND((OFFSET(卡牌辅助配置表!$O$1,MATCH(U2288,卡牌辅助配置表!M:M,0)-1,0)+(N2288-1)*OFFSET(卡牌辅助配置表!$P$1,MATCH(U2288,卡牌辅助配置表!M:M,0)-1,0))*M2288,2)</f>
        <v>155.42</v>
      </c>
      <c r="W2288" s="157">
        <f ca="1">ROUND(IF(R2288=0,0,IF(R2288=1,X2288*$W$1,IF(R2288=2,X2288*$W$1*buff的资质计算!$E$2,IF(R2288=3,X2288*$W$1*buff的资质计算!$E$3,0)))),2)</f>
        <v>20.25</v>
      </c>
      <c r="X2288" s="157">
        <f ca="1" t="shared" si="386"/>
        <v>67.5</v>
      </c>
      <c r="Y2288" s="157">
        <f ca="1" t="shared" si="394"/>
        <v>67.5</v>
      </c>
      <c r="Z2288" s="304">
        <f ca="1" t="shared" si="387"/>
        <v>22.5</v>
      </c>
      <c r="AA2288" s="304">
        <f ca="1">OFFSET(卡牌辅助配置表!$AD$1,MATCH(AB2288,卡牌辅助配置表!AB:AB,0)-1,0)</f>
        <v>5776</v>
      </c>
      <c r="AB2288" s="304">
        <f ca="1" t="shared" si="392"/>
        <v>3222</v>
      </c>
      <c r="AC2288" s="153">
        <v>12</v>
      </c>
      <c r="AF2288" s="153" t="str">
        <f ca="1" t="shared" si="385"/>
        <v>30230011|</v>
      </c>
      <c r="AJ2288" s="205" t="str">
        <f ca="1" t="shared" si="393"/>
        <v>400023|13050|;</v>
      </c>
      <c r="AK2288" s="205">
        <f ca="1">OFFSET([1]item_type!$A$1,MATCH(Q2288,[1]item_type!$G:$G,0)-1,0)</f>
        <v>303023</v>
      </c>
      <c r="AL2288" s="205"/>
      <c r="AM2288" s="205">
        <f ca="1">IF(B2288=B2289,OFFSET(卡牌辅助配置表!$AE$1,MATCH(AB2288,卡牌辅助配置表!AB:AB,0),0),0)</f>
        <v>13050</v>
      </c>
      <c r="AN2288" s="153">
        <f ca="1" t="shared" si="389"/>
        <v>3023023</v>
      </c>
      <c r="AP2288" s="153">
        <f ca="1">IF(AC2288=0,0,IF(AC2288=12,0,OFFSET(effect!$N$1,MATCH(K2288,effect!M:M,0)-1,0)))</f>
        <v>0</v>
      </c>
    </row>
    <row r="2289" spans="1:42">
      <c r="A2289" s="153">
        <f ca="1" t="shared" si="390"/>
        <v>3023023</v>
      </c>
      <c r="B2289" s="91" t="s">
        <v>451</v>
      </c>
      <c r="C2289" s="186">
        <v>3</v>
      </c>
      <c r="D2289" s="186">
        <v>2</v>
      </c>
      <c r="E2289" s="165" t="s">
        <v>1069</v>
      </c>
      <c r="F2289" s="179" t="s">
        <v>1077</v>
      </c>
      <c r="G2289" s="186">
        <f ca="1">OFFSET(卡牌辅助配置表!$C$1,MATCH(AC2289,卡牌辅助配置表!A:A,0)-1,0)</f>
        <v>0</v>
      </c>
      <c r="H2289" s="186">
        <f ca="1" t="shared" si="388"/>
        <v>0</v>
      </c>
      <c r="I2289" s="186"/>
      <c r="J2289" s="186">
        <f ca="1">OFFSET(card_type!$F$1,MATCH(Q2289,card_type!A:A,0)-1,0)</f>
        <v>3</v>
      </c>
      <c r="K2289" s="243">
        <f ca="1">OFFSET(card_type!$G$1,MATCH(Q2289,card_type!A:A,0)-1,0)</f>
        <v>2</v>
      </c>
      <c r="L2289" s="157">
        <v>3</v>
      </c>
      <c r="M2289" s="157">
        <v>3</v>
      </c>
      <c r="N2289" s="153">
        <f t="shared" si="395"/>
        <v>23</v>
      </c>
      <c r="O2289" s="157"/>
      <c r="P2289" s="157"/>
      <c r="Q2289" s="153">
        <f ca="1">OFFSET(card_type!$A$1,MATCH(card!B2289,card_type!B:B,0)-1,0)</f>
        <v>3023</v>
      </c>
      <c r="R2289" s="153">
        <v>1</v>
      </c>
      <c r="S2289" s="157">
        <f ca="1">ROUND(IF(R2289=0,0,IF(R2289=1,X2289*$S$1,IF(R2289=2,X2289*$S$1*buff的资质计算!$E$2,IF(R2289=3,X2289*$S$1*buff的资质计算!$E$3,0)))),0)*0</f>
        <v>0</v>
      </c>
      <c r="T2289" s="153">
        <v>5</v>
      </c>
      <c r="U2289" s="153">
        <f ca="1" t="shared" si="391"/>
        <v>32</v>
      </c>
      <c r="V2289" s="153">
        <f ca="1">ROUND((OFFSET(卡牌辅助配置表!$O$1,MATCH(U2289,卡牌辅助配置表!M:M,0)-1,0)+(N2289-1)*OFFSET(卡牌辅助配置表!$P$1,MATCH(U2289,卡牌辅助配置表!M:M,0)-1,0))*M2289,2)</f>
        <v>160.77</v>
      </c>
      <c r="W2289" s="157">
        <f ca="1">ROUND(IF(R2289=0,0,IF(R2289=1,X2289*$W$1,IF(R2289=2,X2289*$W$1*buff的资质计算!$E$2,IF(R2289=3,X2289*$W$1*buff的资质计算!$E$3,0)))),2)</f>
        <v>20.4</v>
      </c>
      <c r="X2289" s="157">
        <f ca="1" t="shared" si="386"/>
        <v>68</v>
      </c>
      <c r="Y2289" s="157">
        <f ca="1" t="shared" si="394"/>
        <v>68</v>
      </c>
      <c r="Z2289" s="304">
        <f ca="1" t="shared" si="387"/>
        <v>22.6666666666667</v>
      </c>
      <c r="AA2289" s="304">
        <f ca="1">OFFSET(卡牌辅助配置表!$AD$1,MATCH(AB2289,卡牌辅助配置表!AB:AB,0)-1,0)</f>
        <v>6174</v>
      </c>
      <c r="AB2289" s="304">
        <f ca="1" t="shared" si="392"/>
        <v>3223</v>
      </c>
      <c r="AC2289" s="153">
        <v>12</v>
      </c>
      <c r="AF2289" s="153" t="str">
        <f ca="1" t="shared" si="385"/>
        <v>30230011|</v>
      </c>
      <c r="AJ2289" s="205" t="str">
        <f ca="1" t="shared" si="393"/>
        <v>400023|14250|;</v>
      </c>
      <c r="AK2289" s="205">
        <f ca="1">OFFSET([1]item_type!$A$1,MATCH(Q2289,[1]item_type!$G:$G,0)-1,0)</f>
        <v>303023</v>
      </c>
      <c r="AL2289" s="205"/>
      <c r="AM2289" s="205">
        <f ca="1">IF(B2289=B2290,OFFSET(卡牌辅助配置表!$AE$1,MATCH(AB2289,卡牌辅助配置表!AB:AB,0),0),0)</f>
        <v>14250</v>
      </c>
      <c r="AN2289" s="153">
        <f ca="1" t="shared" si="389"/>
        <v>3023024</v>
      </c>
      <c r="AP2289" s="153">
        <f ca="1">IF(AC2289=0,0,IF(AC2289=12,0,OFFSET(effect!$N$1,MATCH(K2289,effect!M:M,0)-1,0)))</f>
        <v>0</v>
      </c>
    </row>
    <row r="2290" spans="1:42">
      <c r="A2290" s="153">
        <f ca="1" t="shared" si="390"/>
        <v>3023024</v>
      </c>
      <c r="B2290" s="91" t="s">
        <v>451</v>
      </c>
      <c r="C2290" s="186">
        <v>3</v>
      </c>
      <c r="D2290" s="186">
        <v>2</v>
      </c>
      <c r="E2290" s="165" t="s">
        <v>1069</v>
      </c>
      <c r="F2290" s="179" t="s">
        <v>1077</v>
      </c>
      <c r="G2290" s="186">
        <f ca="1">OFFSET(卡牌辅助配置表!$C$1,MATCH(AC2290,卡牌辅助配置表!A:A,0)-1,0)</f>
        <v>0</v>
      </c>
      <c r="H2290" s="186">
        <f ca="1" t="shared" si="388"/>
        <v>0</v>
      </c>
      <c r="I2290" s="186"/>
      <c r="J2290" s="186">
        <f ca="1">OFFSET(card_type!$F$1,MATCH(Q2290,card_type!A:A,0)-1,0)</f>
        <v>3</v>
      </c>
      <c r="K2290" s="243">
        <f ca="1">OFFSET(card_type!$G$1,MATCH(Q2290,card_type!A:A,0)-1,0)</f>
        <v>2</v>
      </c>
      <c r="L2290" s="157">
        <v>3</v>
      </c>
      <c r="M2290" s="157">
        <v>3</v>
      </c>
      <c r="N2290" s="153">
        <f t="shared" si="395"/>
        <v>24</v>
      </c>
      <c r="O2290" s="157"/>
      <c r="P2290" s="157"/>
      <c r="Q2290" s="153">
        <f ca="1">OFFSET(card_type!$A$1,MATCH(card!B2290,card_type!B:B,0)-1,0)</f>
        <v>3023</v>
      </c>
      <c r="R2290" s="153">
        <v>1</v>
      </c>
      <c r="S2290" s="157">
        <f ca="1">ROUND(IF(R2290=0,0,IF(R2290=1,X2290*$S$1,IF(R2290=2,X2290*$S$1*buff的资质计算!$E$2,IF(R2290=3,X2290*$S$1*buff的资质计算!$E$3,0)))),0)*0</f>
        <v>0</v>
      </c>
      <c r="T2290" s="153">
        <v>5</v>
      </c>
      <c r="U2290" s="153">
        <f ca="1" t="shared" si="391"/>
        <v>32</v>
      </c>
      <c r="V2290" s="153">
        <f ca="1">ROUND((OFFSET(卡牌辅助配置表!$O$1,MATCH(U2290,卡牌辅助配置表!M:M,0)-1,0)+(N2290-1)*OFFSET(卡牌辅助配置表!$P$1,MATCH(U2290,卡牌辅助配置表!M:M,0)-1,0))*M2290,2)</f>
        <v>166.12</v>
      </c>
      <c r="W2290" s="157">
        <f ca="1">ROUND(IF(R2290=0,0,IF(R2290=1,X2290*$W$1,IF(R2290=2,X2290*$W$1*buff的资质计算!$E$2,IF(R2290=3,X2290*$W$1*buff的资质计算!$E$3,0)))),2)</f>
        <v>20.55</v>
      </c>
      <c r="X2290" s="157">
        <f ca="1" t="shared" si="386"/>
        <v>68.5</v>
      </c>
      <c r="Y2290" s="157">
        <f ca="1" t="shared" si="394"/>
        <v>68.5</v>
      </c>
      <c r="Z2290" s="304">
        <f ca="1" t="shared" si="387"/>
        <v>22.8333333333333</v>
      </c>
      <c r="AA2290" s="304">
        <f ca="1">OFFSET(卡牌辅助配置表!$AD$1,MATCH(AB2290,卡牌辅助配置表!AB:AB,0)-1,0)</f>
        <v>6572</v>
      </c>
      <c r="AB2290" s="304">
        <f ca="1" t="shared" si="392"/>
        <v>3224</v>
      </c>
      <c r="AC2290" s="153">
        <v>12</v>
      </c>
      <c r="AF2290" s="153" t="str">
        <f ca="1" t="shared" si="385"/>
        <v>30230011|</v>
      </c>
      <c r="AJ2290" s="205" t="str">
        <f ca="1" t="shared" si="393"/>
        <v>400023|15450|;</v>
      </c>
      <c r="AK2290" s="205">
        <f ca="1">OFFSET([1]item_type!$A$1,MATCH(Q2290,[1]item_type!$G:$G,0)-1,0)</f>
        <v>303023</v>
      </c>
      <c r="AL2290" s="205"/>
      <c r="AM2290" s="205">
        <f ca="1">IF(B2290=B2291,OFFSET(卡牌辅助配置表!$AE$1,MATCH(AB2290,卡牌辅助配置表!AB:AB,0),0),0)</f>
        <v>15450</v>
      </c>
      <c r="AN2290" s="153">
        <f ca="1" t="shared" si="389"/>
        <v>3023025</v>
      </c>
      <c r="AP2290" s="153">
        <f ca="1">IF(AC2290=0,0,IF(AC2290=12,0,OFFSET(effect!$N$1,MATCH(K2290,effect!M:M,0)-1,0)))</f>
        <v>0</v>
      </c>
    </row>
    <row r="2291" spans="1:42">
      <c r="A2291" s="153">
        <f ca="1" t="shared" si="390"/>
        <v>3023025</v>
      </c>
      <c r="B2291" s="91" t="s">
        <v>451</v>
      </c>
      <c r="C2291" s="186">
        <v>3</v>
      </c>
      <c r="D2291" s="186">
        <v>2</v>
      </c>
      <c r="E2291" s="165" t="s">
        <v>1069</v>
      </c>
      <c r="F2291" s="179" t="s">
        <v>1077</v>
      </c>
      <c r="G2291" s="186">
        <f ca="1">OFFSET(卡牌辅助配置表!$C$1,MATCH(AC2291,卡牌辅助配置表!A:A,0)-1,0)</f>
        <v>0</v>
      </c>
      <c r="H2291" s="186">
        <f ca="1" t="shared" si="388"/>
        <v>0</v>
      </c>
      <c r="I2291" s="186"/>
      <c r="J2291" s="186">
        <f ca="1">OFFSET(card_type!$F$1,MATCH(Q2291,card_type!A:A,0)-1,0)</f>
        <v>3</v>
      </c>
      <c r="K2291" s="243">
        <f ca="1">OFFSET(card_type!$G$1,MATCH(Q2291,card_type!A:A,0)-1,0)</f>
        <v>2</v>
      </c>
      <c r="L2291" s="157">
        <v>3</v>
      </c>
      <c r="M2291" s="157">
        <v>3</v>
      </c>
      <c r="N2291" s="153">
        <f t="shared" si="395"/>
        <v>25</v>
      </c>
      <c r="O2291" s="157"/>
      <c r="P2291" s="157"/>
      <c r="Q2291" s="153">
        <f ca="1">OFFSET(card_type!$A$1,MATCH(card!B2291,card_type!B:B,0)-1,0)</f>
        <v>3023</v>
      </c>
      <c r="R2291" s="153">
        <v>1</v>
      </c>
      <c r="S2291" s="157">
        <f ca="1">ROUND(IF(R2291=0,0,IF(R2291=1,X2291*$S$1,IF(R2291=2,X2291*$S$1*buff的资质计算!$E$2,IF(R2291=3,X2291*$S$1*buff的资质计算!$E$3,0)))),0)*0</f>
        <v>0</v>
      </c>
      <c r="T2291" s="153">
        <v>5</v>
      </c>
      <c r="U2291" s="153">
        <f ca="1" t="shared" si="391"/>
        <v>32</v>
      </c>
      <c r="V2291" s="153">
        <f ca="1">ROUND((OFFSET(卡牌辅助配置表!$O$1,MATCH(U2291,卡牌辅助配置表!M:M,0)-1,0)+(N2291-1)*OFFSET(卡牌辅助配置表!$P$1,MATCH(U2291,卡牌辅助配置表!M:M,0)-1,0))*M2291,2)</f>
        <v>171.47</v>
      </c>
      <c r="W2291" s="157">
        <f ca="1">ROUND(IF(R2291=0,0,IF(R2291=1,X2291*$W$1,IF(R2291=2,X2291*$W$1*buff的资质计算!$E$2,IF(R2291=3,X2291*$W$1*buff的资质计算!$E$3,0)))),2)</f>
        <v>20.7</v>
      </c>
      <c r="X2291" s="157">
        <f ca="1" t="shared" si="386"/>
        <v>69</v>
      </c>
      <c r="Y2291" s="157">
        <f ca="1" t="shared" si="394"/>
        <v>69</v>
      </c>
      <c r="Z2291" s="304">
        <f ca="1" t="shared" si="387"/>
        <v>23</v>
      </c>
      <c r="AA2291" s="304">
        <f ca="1">OFFSET(卡牌辅助配置表!$AD$1,MATCH(AB2291,卡牌辅助配置表!AB:AB,0)-1,0)</f>
        <v>6970</v>
      </c>
      <c r="AB2291" s="304">
        <f ca="1" t="shared" si="392"/>
        <v>3225</v>
      </c>
      <c r="AC2291" s="153">
        <v>12</v>
      </c>
      <c r="AF2291" s="153" t="str">
        <f ca="1" t="shared" ref="AF2291:AF2296" si="396">((Q2291*1000+1)*10+1)&amp;$AF$1</f>
        <v>30230011|</v>
      </c>
      <c r="AJ2291" s="205" t="str">
        <f ca="1" t="shared" si="393"/>
        <v>400023|16650|;</v>
      </c>
      <c r="AK2291" s="205">
        <f ca="1">OFFSET([1]item_type!$A$1,MATCH(Q2291,[1]item_type!$G:$G,0)-1,0)</f>
        <v>303023</v>
      </c>
      <c r="AL2291" s="205"/>
      <c r="AM2291" s="205">
        <f ca="1">IF(B2291=B2292,OFFSET(卡牌辅助配置表!$AE$1,MATCH(AB2291,卡牌辅助配置表!AB:AB,0),0),0)</f>
        <v>16650</v>
      </c>
      <c r="AN2291" s="153">
        <f ca="1" t="shared" si="389"/>
        <v>3023026</v>
      </c>
      <c r="AP2291" s="153">
        <f ca="1">IF(AC2291=0,0,IF(AC2291=12,0,OFFSET(effect!$N$1,MATCH(K2291,effect!M:M,0)-1,0)))</f>
        <v>0</v>
      </c>
    </row>
    <row r="2292" spans="1:42">
      <c r="A2292" s="153">
        <f ca="1" t="shared" si="390"/>
        <v>3023026</v>
      </c>
      <c r="B2292" s="91" t="s">
        <v>451</v>
      </c>
      <c r="C2292" s="186">
        <v>3</v>
      </c>
      <c r="D2292" s="186">
        <v>2</v>
      </c>
      <c r="E2292" s="165" t="s">
        <v>1069</v>
      </c>
      <c r="F2292" s="179" t="s">
        <v>1077</v>
      </c>
      <c r="G2292" s="186">
        <f ca="1">OFFSET(卡牌辅助配置表!$C$1,MATCH(AC2292,卡牌辅助配置表!A:A,0)-1,0)</f>
        <v>0</v>
      </c>
      <c r="H2292" s="186">
        <f ca="1" t="shared" si="388"/>
        <v>0</v>
      </c>
      <c r="I2292" s="186"/>
      <c r="J2292" s="186">
        <f ca="1">OFFSET(card_type!$F$1,MATCH(Q2292,card_type!A:A,0)-1,0)</f>
        <v>3</v>
      </c>
      <c r="K2292" s="243">
        <f ca="1">OFFSET(card_type!$G$1,MATCH(Q2292,card_type!A:A,0)-1,0)</f>
        <v>2</v>
      </c>
      <c r="L2292" s="157">
        <v>3</v>
      </c>
      <c r="M2292" s="157">
        <v>3</v>
      </c>
      <c r="N2292" s="153">
        <f t="shared" si="395"/>
        <v>26</v>
      </c>
      <c r="O2292" s="157"/>
      <c r="P2292" s="157"/>
      <c r="Q2292" s="153">
        <f ca="1">OFFSET(card_type!$A$1,MATCH(card!B2292,card_type!B:B,0)-1,0)</f>
        <v>3023</v>
      </c>
      <c r="R2292" s="153">
        <v>1</v>
      </c>
      <c r="S2292" s="157">
        <f ca="1">ROUND(IF(R2292=0,0,IF(R2292=1,X2292*$S$1,IF(R2292=2,X2292*$S$1*buff的资质计算!$E$2,IF(R2292=3,X2292*$S$1*buff的资质计算!$E$3,0)))),0)*0</f>
        <v>0</v>
      </c>
      <c r="T2292" s="153">
        <v>5</v>
      </c>
      <c r="U2292" s="153">
        <f ca="1" t="shared" si="391"/>
        <v>32</v>
      </c>
      <c r="V2292" s="153">
        <f ca="1">ROUND((OFFSET(卡牌辅助配置表!$O$1,MATCH(U2292,卡牌辅助配置表!M:M,0)-1,0)+(N2292-1)*OFFSET(卡牌辅助配置表!$P$1,MATCH(U2292,卡牌辅助配置表!M:M,0)-1,0))*M2292,2)</f>
        <v>176.82</v>
      </c>
      <c r="W2292" s="157">
        <f ca="1">ROUND(IF(R2292=0,0,IF(R2292=1,X2292*$W$1,IF(R2292=2,X2292*$W$1*buff的资质计算!$E$2,IF(R2292=3,X2292*$W$1*buff的资质计算!$E$3,0)))),2)</f>
        <v>20.85</v>
      </c>
      <c r="X2292" s="157">
        <f ca="1" t="shared" ref="X2292:X2355" si="397">M2292*($M$1+(J2292-1)*$J$1+(K2292-1)*$K$1)+G2292+$J$1*(N2292-1)/$N$1</f>
        <v>69.5</v>
      </c>
      <c r="Y2292" s="157">
        <f ca="1" t="shared" si="394"/>
        <v>69.5</v>
      </c>
      <c r="Z2292" s="304">
        <f ca="1" t="shared" ref="Z2292:Z2355" si="398">Y2292/M2292</f>
        <v>23.1666666666667</v>
      </c>
      <c r="AA2292" s="304">
        <f ca="1">OFFSET(卡牌辅助配置表!$AD$1,MATCH(AB2292,卡牌辅助配置表!AB:AB,0)-1,0)</f>
        <v>7368</v>
      </c>
      <c r="AB2292" s="304">
        <f ca="1" t="shared" si="392"/>
        <v>3226</v>
      </c>
      <c r="AC2292" s="153">
        <v>12</v>
      </c>
      <c r="AF2292" s="153" t="str">
        <f ca="1" t="shared" si="396"/>
        <v>30230011|</v>
      </c>
      <c r="AJ2292" s="205" t="str">
        <f ca="1" t="shared" si="393"/>
        <v>400023|17850|;</v>
      </c>
      <c r="AK2292" s="205">
        <f ca="1">OFFSET([1]item_type!$A$1,MATCH(Q2292,[1]item_type!$G:$G,0)-1,0)</f>
        <v>303023</v>
      </c>
      <c r="AL2292" s="205"/>
      <c r="AM2292" s="205">
        <f ca="1">IF(B2292=B2293,OFFSET(卡牌辅助配置表!$AE$1,MATCH(AB2292,卡牌辅助配置表!AB:AB,0),0),0)</f>
        <v>17850</v>
      </c>
      <c r="AN2292" s="153">
        <f ca="1" t="shared" si="389"/>
        <v>3023027</v>
      </c>
      <c r="AP2292" s="153">
        <f ca="1">IF(AC2292=0,0,IF(AC2292=12,0,OFFSET(effect!$N$1,MATCH(K2292,effect!M:M,0)-1,0)))</f>
        <v>0</v>
      </c>
    </row>
    <row r="2293" spans="1:42">
      <c r="A2293" s="153">
        <f ca="1" t="shared" si="390"/>
        <v>3023027</v>
      </c>
      <c r="B2293" s="91" t="s">
        <v>451</v>
      </c>
      <c r="C2293" s="186">
        <v>3</v>
      </c>
      <c r="D2293" s="186">
        <v>2</v>
      </c>
      <c r="E2293" s="165" t="s">
        <v>1069</v>
      </c>
      <c r="F2293" s="179" t="s">
        <v>1077</v>
      </c>
      <c r="G2293" s="186">
        <f ca="1">OFFSET(卡牌辅助配置表!$C$1,MATCH(AC2293,卡牌辅助配置表!A:A,0)-1,0)</f>
        <v>0</v>
      </c>
      <c r="H2293" s="186">
        <f ca="1" t="shared" si="388"/>
        <v>0</v>
      </c>
      <c r="I2293" s="186"/>
      <c r="J2293" s="186">
        <f ca="1">OFFSET(card_type!$F$1,MATCH(Q2293,card_type!A:A,0)-1,0)</f>
        <v>3</v>
      </c>
      <c r="K2293" s="243">
        <f ca="1">OFFSET(card_type!$G$1,MATCH(Q2293,card_type!A:A,0)-1,0)</f>
        <v>2</v>
      </c>
      <c r="L2293" s="157">
        <v>3</v>
      </c>
      <c r="M2293" s="157">
        <v>3</v>
      </c>
      <c r="N2293" s="153">
        <f t="shared" si="395"/>
        <v>27</v>
      </c>
      <c r="O2293" s="157"/>
      <c r="P2293" s="157"/>
      <c r="Q2293" s="153">
        <f ca="1">OFFSET(card_type!$A$1,MATCH(card!B2293,card_type!B:B,0)-1,0)</f>
        <v>3023</v>
      </c>
      <c r="R2293" s="153">
        <v>1</v>
      </c>
      <c r="S2293" s="157">
        <f ca="1">ROUND(IF(R2293=0,0,IF(R2293=1,X2293*$S$1,IF(R2293=2,X2293*$S$1*buff的资质计算!$E$2,IF(R2293=3,X2293*$S$1*buff的资质计算!$E$3,0)))),0)*0</f>
        <v>0</v>
      </c>
      <c r="T2293" s="153">
        <v>5</v>
      </c>
      <c r="U2293" s="153">
        <f ca="1" t="shared" si="391"/>
        <v>32</v>
      </c>
      <c r="V2293" s="153">
        <f ca="1">ROUND((OFFSET(卡牌辅助配置表!$O$1,MATCH(U2293,卡牌辅助配置表!M:M,0)-1,0)+(N2293-1)*OFFSET(卡牌辅助配置表!$P$1,MATCH(U2293,卡牌辅助配置表!M:M,0)-1,0))*M2293,2)</f>
        <v>182.17</v>
      </c>
      <c r="W2293" s="157">
        <f ca="1">ROUND(IF(R2293=0,0,IF(R2293=1,X2293*$W$1,IF(R2293=2,X2293*$W$1*buff的资质计算!$E$2,IF(R2293=3,X2293*$W$1*buff的资质计算!$E$3,0)))),2)</f>
        <v>21</v>
      </c>
      <c r="X2293" s="157">
        <f ca="1" t="shared" si="397"/>
        <v>70</v>
      </c>
      <c r="Y2293" s="157">
        <f ca="1" t="shared" si="394"/>
        <v>70</v>
      </c>
      <c r="Z2293" s="304">
        <f ca="1" t="shared" si="398"/>
        <v>23.3333333333333</v>
      </c>
      <c r="AA2293" s="304">
        <f ca="1">OFFSET(卡牌辅助配置表!$AD$1,MATCH(AB2293,卡牌辅助配置表!AB:AB,0)-1,0)</f>
        <v>7766</v>
      </c>
      <c r="AB2293" s="304">
        <f ca="1" t="shared" si="392"/>
        <v>3227</v>
      </c>
      <c r="AC2293" s="153">
        <v>12</v>
      </c>
      <c r="AF2293" s="153" t="str">
        <f ca="1" t="shared" si="396"/>
        <v>30230011|</v>
      </c>
      <c r="AJ2293" s="205" t="str">
        <f ca="1" t="shared" si="393"/>
        <v>400023|19050|;</v>
      </c>
      <c r="AK2293" s="205">
        <f ca="1">OFFSET([1]item_type!$A$1,MATCH(Q2293,[1]item_type!$G:$G,0)-1,0)</f>
        <v>303023</v>
      </c>
      <c r="AL2293" s="205"/>
      <c r="AM2293" s="205">
        <f ca="1">IF(B2293=B2294,OFFSET(卡牌辅助配置表!$AE$1,MATCH(AB2293,卡牌辅助配置表!AB:AB,0),0),0)</f>
        <v>19050</v>
      </c>
      <c r="AN2293" s="153">
        <f ca="1" t="shared" si="389"/>
        <v>3023028</v>
      </c>
      <c r="AP2293" s="153">
        <f ca="1">IF(AC2293=0,0,IF(AC2293=12,0,OFFSET(effect!$N$1,MATCH(K2293,effect!M:M,0)-1,0)))</f>
        <v>0</v>
      </c>
    </row>
    <row r="2294" spans="1:42">
      <c r="A2294" s="153">
        <f ca="1" t="shared" si="390"/>
        <v>3023028</v>
      </c>
      <c r="B2294" s="91" t="s">
        <v>451</v>
      </c>
      <c r="C2294" s="186">
        <v>3</v>
      </c>
      <c r="D2294" s="186">
        <v>2</v>
      </c>
      <c r="E2294" s="165" t="s">
        <v>1069</v>
      </c>
      <c r="F2294" s="179" t="s">
        <v>1077</v>
      </c>
      <c r="G2294" s="186">
        <f ca="1">OFFSET(卡牌辅助配置表!$C$1,MATCH(AC2294,卡牌辅助配置表!A:A,0)-1,0)</f>
        <v>0</v>
      </c>
      <c r="H2294" s="186">
        <f ca="1" t="shared" si="388"/>
        <v>0</v>
      </c>
      <c r="I2294" s="186"/>
      <c r="J2294" s="186">
        <f ca="1">OFFSET(card_type!$F$1,MATCH(Q2294,card_type!A:A,0)-1,0)</f>
        <v>3</v>
      </c>
      <c r="K2294" s="243">
        <f ca="1">OFFSET(card_type!$G$1,MATCH(Q2294,card_type!A:A,0)-1,0)</f>
        <v>2</v>
      </c>
      <c r="L2294" s="157">
        <v>3</v>
      </c>
      <c r="M2294" s="157">
        <v>3</v>
      </c>
      <c r="N2294" s="153">
        <f t="shared" si="395"/>
        <v>28</v>
      </c>
      <c r="O2294" s="157"/>
      <c r="P2294" s="157"/>
      <c r="Q2294" s="153">
        <f ca="1">OFFSET(card_type!$A$1,MATCH(card!B2294,card_type!B:B,0)-1,0)</f>
        <v>3023</v>
      </c>
      <c r="R2294" s="153">
        <v>1</v>
      </c>
      <c r="S2294" s="157">
        <f ca="1">ROUND(IF(R2294=0,0,IF(R2294=1,X2294*$S$1,IF(R2294=2,X2294*$S$1*buff的资质计算!$E$2,IF(R2294=3,X2294*$S$1*buff的资质计算!$E$3,0)))),0)*0</f>
        <v>0</v>
      </c>
      <c r="T2294" s="153">
        <v>5</v>
      </c>
      <c r="U2294" s="153">
        <f ca="1" t="shared" si="391"/>
        <v>32</v>
      </c>
      <c r="V2294" s="153">
        <f ca="1">ROUND((OFFSET(卡牌辅助配置表!$O$1,MATCH(U2294,卡牌辅助配置表!M:M,0)-1,0)+(N2294-1)*OFFSET(卡牌辅助配置表!$P$1,MATCH(U2294,卡牌辅助配置表!M:M,0)-1,0))*M2294,2)</f>
        <v>187.52</v>
      </c>
      <c r="W2294" s="157">
        <f ca="1">ROUND(IF(R2294=0,0,IF(R2294=1,X2294*$W$1,IF(R2294=2,X2294*$W$1*buff的资质计算!$E$2,IF(R2294=3,X2294*$W$1*buff的资质计算!$E$3,0)))),2)</f>
        <v>21.15</v>
      </c>
      <c r="X2294" s="157">
        <f ca="1" t="shared" si="397"/>
        <v>70.5</v>
      </c>
      <c r="Y2294" s="157">
        <f ca="1" t="shared" si="394"/>
        <v>70.5</v>
      </c>
      <c r="Z2294" s="304">
        <f ca="1" t="shared" si="398"/>
        <v>23.5</v>
      </c>
      <c r="AA2294" s="304">
        <f ca="1">OFFSET(卡牌辅助配置表!$AD$1,MATCH(AB2294,卡牌辅助配置表!AB:AB,0)-1,0)</f>
        <v>8164</v>
      </c>
      <c r="AB2294" s="304">
        <f ca="1" t="shared" si="392"/>
        <v>3228</v>
      </c>
      <c r="AC2294" s="153">
        <v>12</v>
      </c>
      <c r="AF2294" s="153" t="str">
        <f ca="1" t="shared" si="396"/>
        <v>30230011|</v>
      </c>
      <c r="AJ2294" s="205" t="str">
        <f ca="1" t="shared" si="393"/>
        <v>400023|20250|;</v>
      </c>
      <c r="AK2294" s="205">
        <f ca="1">OFFSET([1]item_type!$A$1,MATCH(Q2294,[1]item_type!$G:$G,0)-1,0)</f>
        <v>303023</v>
      </c>
      <c r="AL2294" s="205"/>
      <c r="AM2294" s="205">
        <f ca="1">IF(B2294=B2295,OFFSET(卡牌辅助配置表!$AE$1,MATCH(AB2294,卡牌辅助配置表!AB:AB,0),0),0)</f>
        <v>20250</v>
      </c>
      <c r="AN2294" s="153">
        <f ca="1" t="shared" si="389"/>
        <v>3023029</v>
      </c>
      <c r="AP2294" s="153">
        <f ca="1">IF(AC2294=0,0,IF(AC2294=12,0,OFFSET(effect!$N$1,MATCH(K2294,effect!M:M,0)-1,0)))</f>
        <v>0</v>
      </c>
    </row>
    <row r="2295" spans="1:42">
      <c r="A2295" s="153">
        <f ca="1" t="shared" si="390"/>
        <v>3023029</v>
      </c>
      <c r="B2295" s="91" t="s">
        <v>451</v>
      </c>
      <c r="C2295" s="186">
        <v>3</v>
      </c>
      <c r="D2295" s="186">
        <v>2</v>
      </c>
      <c r="E2295" s="165" t="s">
        <v>1069</v>
      </c>
      <c r="F2295" s="179" t="s">
        <v>1077</v>
      </c>
      <c r="G2295" s="186">
        <f ca="1">OFFSET(卡牌辅助配置表!$C$1,MATCH(AC2295,卡牌辅助配置表!A:A,0)-1,0)</f>
        <v>0</v>
      </c>
      <c r="H2295" s="186">
        <f ca="1" t="shared" si="388"/>
        <v>0</v>
      </c>
      <c r="I2295" s="186"/>
      <c r="J2295" s="186">
        <f ca="1">OFFSET(card_type!$F$1,MATCH(Q2295,card_type!A:A,0)-1,0)</f>
        <v>3</v>
      </c>
      <c r="K2295" s="243">
        <f ca="1">OFFSET(card_type!$G$1,MATCH(Q2295,card_type!A:A,0)-1,0)</f>
        <v>2</v>
      </c>
      <c r="L2295" s="157">
        <v>3</v>
      </c>
      <c r="M2295" s="157">
        <v>3</v>
      </c>
      <c r="N2295" s="153">
        <f t="shared" si="395"/>
        <v>29</v>
      </c>
      <c r="O2295" s="157"/>
      <c r="P2295" s="157"/>
      <c r="Q2295" s="153">
        <f ca="1">OFFSET(card_type!$A$1,MATCH(card!B2295,card_type!B:B,0)-1,0)</f>
        <v>3023</v>
      </c>
      <c r="R2295" s="153">
        <v>1</v>
      </c>
      <c r="S2295" s="157">
        <f ca="1">ROUND(IF(R2295=0,0,IF(R2295=1,X2295*$S$1,IF(R2295=2,X2295*$S$1*buff的资质计算!$E$2,IF(R2295=3,X2295*$S$1*buff的资质计算!$E$3,0)))),0)*0</f>
        <v>0</v>
      </c>
      <c r="T2295" s="153">
        <v>5</v>
      </c>
      <c r="U2295" s="153">
        <f ca="1" t="shared" si="391"/>
        <v>32</v>
      </c>
      <c r="V2295" s="153">
        <f ca="1">ROUND((OFFSET(卡牌辅助配置表!$O$1,MATCH(U2295,卡牌辅助配置表!M:M,0)-1,0)+(N2295-1)*OFFSET(卡牌辅助配置表!$P$1,MATCH(U2295,卡牌辅助配置表!M:M,0)-1,0))*M2295,2)</f>
        <v>192.87</v>
      </c>
      <c r="W2295" s="157">
        <f ca="1">ROUND(IF(R2295=0,0,IF(R2295=1,X2295*$W$1,IF(R2295=2,X2295*$W$1*buff的资质计算!$E$2,IF(R2295=3,X2295*$W$1*buff的资质计算!$E$3,0)))),2)</f>
        <v>21.3</v>
      </c>
      <c r="X2295" s="157">
        <f ca="1" t="shared" si="397"/>
        <v>71</v>
      </c>
      <c r="Y2295" s="157">
        <f ca="1" t="shared" si="394"/>
        <v>71</v>
      </c>
      <c r="Z2295" s="304">
        <f ca="1" t="shared" si="398"/>
        <v>23.6666666666667</v>
      </c>
      <c r="AA2295" s="304">
        <f ca="1">OFFSET(卡牌辅助配置表!$AD$1,MATCH(AB2295,卡牌辅助配置表!AB:AB,0)-1,0)</f>
        <v>8562</v>
      </c>
      <c r="AB2295" s="304">
        <f ca="1" t="shared" si="392"/>
        <v>3229</v>
      </c>
      <c r="AC2295" s="153">
        <v>12</v>
      </c>
      <c r="AF2295" s="153" t="str">
        <f ca="1" t="shared" si="396"/>
        <v>30230011|</v>
      </c>
      <c r="AJ2295" s="205" t="str">
        <f ca="1" t="shared" si="393"/>
        <v>303023|30|;400023|21450|;</v>
      </c>
      <c r="AK2295" s="205">
        <f ca="1">OFFSET([1]item_type!$A$1,MATCH(Q2295,[1]item_type!$G:$G,0)-1,0)</f>
        <v>303023</v>
      </c>
      <c r="AL2295" s="205">
        <v>30</v>
      </c>
      <c r="AM2295" s="205">
        <f ca="1">IF(B2295=B2296,OFFSET(卡牌辅助配置表!$AE$1,MATCH(AB2295,卡牌辅助配置表!AB:AB,0),0),0)</f>
        <v>21450</v>
      </c>
      <c r="AN2295" s="153">
        <f ca="1" t="shared" si="389"/>
        <v>3023030</v>
      </c>
      <c r="AP2295" s="153">
        <f ca="1">IF(AC2295=0,0,IF(AC2295=12,0,OFFSET(effect!$N$1,MATCH(K2295,effect!M:M,0)-1,0)))</f>
        <v>0</v>
      </c>
    </row>
    <row r="2296" spans="1:42">
      <c r="A2296" s="153">
        <f ca="1" t="shared" si="390"/>
        <v>3023030</v>
      </c>
      <c r="B2296" s="91" t="s">
        <v>451</v>
      </c>
      <c r="C2296" s="186">
        <v>3</v>
      </c>
      <c r="D2296" s="186">
        <v>2</v>
      </c>
      <c r="E2296" s="165" t="s">
        <v>1069</v>
      </c>
      <c r="F2296" s="179" t="s">
        <v>1077</v>
      </c>
      <c r="G2296" s="186">
        <f ca="1">OFFSET(卡牌辅助配置表!$C$1,MATCH(AC2296,卡牌辅助配置表!A:A,0)-1,0)</f>
        <v>0</v>
      </c>
      <c r="H2296" s="186">
        <f ca="1" t="shared" si="388"/>
        <v>0</v>
      </c>
      <c r="I2296" s="186"/>
      <c r="J2296" s="186">
        <f ca="1">OFFSET(card_type!$F$1,MATCH(Q2296,card_type!A:A,0)-1,0)</f>
        <v>3</v>
      </c>
      <c r="K2296" s="243">
        <f ca="1">OFFSET(card_type!$G$1,MATCH(Q2296,card_type!A:A,0)-1,0)</f>
        <v>2</v>
      </c>
      <c r="L2296" s="157">
        <v>3</v>
      </c>
      <c r="M2296" s="157">
        <v>3</v>
      </c>
      <c r="N2296" s="153">
        <f t="shared" si="395"/>
        <v>30</v>
      </c>
      <c r="O2296" s="157"/>
      <c r="P2296" s="157"/>
      <c r="Q2296" s="153">
        <f ca="1">OFFSET(card_type!$A$1,MATCH(card!B2296,card_type!B:B,0)-1,0)</f>
        <v>3023</v>
      </c>
      <c r="R2296" s="153">
        <v>1</v>
      </c>
      <c r="S2296" s="157">
        <f ca="1">ROUND(IF(R2296=0,0,IF(R2296=1,X2296*$S$1,IF(R2296=2,X2296*$S$1*buff的资质计算!$E$2,IF(R2296=3,X2296*$S$1*buff的资质计算!$E$3,0)))),0)*0</f>
        <v>0</v>
      </c>
      <c r="T2296" s="153">
        <v>5</v>
      </c>
      <c r="U2296" s="153">
        <f ca="1" t="shared" si="391"/>
        <v>32</v>
      </c>
      <c r="V2296" s="153">
        <f ca="1">ROUND((OFFSET(卡牌辅助配置表!$O$1,MATCH(U2296,卡牌辅助配置表!M:M,0)-1,0)+(N2296-1)*OFFSET(卡牌辅助配置表!$P$1,MATCH(U2296,卡牌辅助配置表!M:M,0)-1,0))*M2296,2)</f>
        <v>198.22</v>
      </c>
      <c r="W2296" s="157">
        <f ca="1">ROUND(IF(R2296=0,0,IF(R2296=1,X2296*$W$1,IF(R2296=2,X2296*$W$1*buff的资质计算!$E$2,IF(R2296=3,X2296*$W$1*buff的资质计算!$E$3,0)))),2)</f>
        <v>21.45</v>
      </c>
      <c r="X2296" s="157">
        <f ca="1" t="shared" si="397"/>
        <v>71.5</v>
      </c>
      <c r="Y2296" s="157">
        <f ca="1" t="shared" si="394"/>
        <v>71.5</v>
      </c>
      <c r="Z2296" s="304">
        <f ca="1" t="shared" si="398"/>
        <v>23.8333333333333</v>
      </c>
      <c r="AA2296" s="304">
        <f ca="1">OFFSET(卡牌辅助配置表!$AD$1,MATCH(AB2296,卡牌辅助配置表!AB:AB,0)-1,0)</f>
        <v>8960</v>
      </c>
      <c r="AB2296" s="304">
        <f ca="1" t="shared" si="392"/>
        <v>3230</v>
      </c>
      <c r="AC2296" s="153">
        <v>12</v>
      </c>
      <c r="AF2296" s="153" t="str">
        <f ca="1" t="shared" si="396"/>
        <v>30230011|</v>
      </c>
      <c r="AJ2296" s="205">
        <f ca="1" t="shared" si="393"/>
        <v>0</v>
      </c>
      <c r="AK2296" s="205">
        <f ca="1">OFFSET([1]item_type!$A$1,MATCH(Q2296,[1]item_type!$G:$G,0)-1,0)</f>
        <v>303023</v>
      </c>
      <c r="AL2296" s="205"/>
      <c r="AM2296" s="205">
        <f ca="1">IF(B2296=B2297,OFFSET(卡牌辅助配置表!$AE$1,MATCH(AB2296,卡牌辅助配置表!AB:AB,0),0),0)</f>
        <v>0</v>
      </c>
      <c r="AN2296" s="153">
        <f ca="1" t="shared" si="389"/>
        <v>0</v>
      </c>
      <c r="AP2296" s="153">
        <f ca="1">IF(AC2296=0,0,IF(AC2296=12,0,OFFSET(effect!$N$1,MATCH(K2296,effect!M:M,0)-1,0)))</f>
        <v>0</v>
      </c>
    </row>
    <row r="2297" spans="1:42">
      <c r="A2297" s="153">
        <f ca="1" t="shared" si="390"/>
        <v>3024001</v>
      </c>
      <c r="B2297" s="91" t="s">
        <v>453</v>
      </c>
      <c r="C2297" s="186">
        <v>3</v>
      </c>
      <c r="D2297" s="186">
        <v>2</v>
      </c>
      <c r="E2297" s="165" t="s">
        <v>1069</v>
      </c>
      <c r="F2297" s="179" t="s">
        <v>1078</v>
      </c>
      <c r="G2297" s="186">
        <f ca="1">OFFSET(卡牌辅助配置表!$C$1,MATCH(AC2297,卡牌辅助配置表!A:A,0)-1,0)</f>
        <v>3</v>
      </c>
      <c r="H2297" s="186">
        <f ca="1">OFFSET(skill!$Q$1,MATCH(B2297,skill!B:B,0)-1,0)</f>
        <v>7.5</v>
      </c>
      <c r="I2297" s="186"/>
      <c r="J2297" s="186">
        <f ca="1">OFFSET(card_type!$F$1,MATCH(Q2297,card_type!A:A,0)-1,0)</f>
        <v>2</v>
      </c>
      <c r="K2297" s="243">
        <f ca="1">OFFSET(card_type!$G$1,MATCH(Q2297,card_type!A:A,0)-1,0)</f>
        <v>3</v>
      </c>
      <c r="L2297" s="157">
        <v>3</v>
      </c>
      <c r="M2297" s="157">
        <v>3</v>
      </c>
      <c r="N2297" s="153">
        <f t="shared" si="395"/>
        <v>1</v>
      </c>
      <c r="O2297" s="157"/>
      <c r="P2297" s="157"/>
      <c r="Q2297" s="153">
        <f ca="1">OFFSET(card_type!$A$1,MATCH(card!B2297,card_type!B:B,0)-1,0)</f>
        <v>3024</v>
      </c>
      <c r="R2297" s="153">
        <v>1</v>
      </c>
      <c r="S2297" s="157">
        <f ca="1">ROUND(IF(R2297=0,0,IF(R2297=1,X2297*$S$1,IF(R2297=2,X2297*$S$1*buff的资质计算!$E$2,IF(R2297=3,X2297*$S$1*buff的资质计算!$E$3,0)))),0)*0</f>
        <v>0</v>
      </c>
      <c r="T2297" s="153">
        <v>2</v>
      </c>
      <c r="U2297" s="153">
        <f ca="1" t="shared" si="391"/>
        <v>23</v>
      </c>
      <c r="V2297" s="153">
        <f ca="1">ROUND((OFFSET(卡牌辅助配置表!$O$1,MATCH(U2297,卡牌辅助配置表!M:M,0)-1,0)+(N2297-1)*OFFSET(卡牌辅助配置表!$P$1,MATCH(U2297,卡牌辅助配置表!M:M,0)-1,0))*M2297,2)</f>
        <v>50.4</v>
      </c>
      <c r="W2297" s="157">
        <f ca="1">ROUND(IF(R2297=0,0,IF(R2297=1,X2297*$W$1,IF(R2297=2,X2297*$W$1*buff的资质计算!$E$2,IF(R2297=3,X2297*$W$1*buff的资质计算!$E$3,0)))),2)</f>
        <v>17.1</v>
      </c>
      <c r="X2297" s="157">
        <f ca="1" t="shared" si="397"/>
        <v>57</v>
      </c>
      <c r="Y2297" s="157">
        <f ca="1" t="shared" si="394"/>
        <v>64.5</v>
      </c>
      <c r="Z2297" s="304">
        <f ca="1" t="shared" si="398"/>
        <v>21.5</v>
      </c>
      <c r="AA2297" s="304">
        <f ca="1">OFFSET(卡牌辅助配置表!$AD$1,MATCH(AB2297,卡牌辅助配置表!AB:AB,0)-1,0)</f>
        <v>211</v>
      </c>
      <c r="AB2297" s="304">
        <f ca="1" t="shared" si="392"/>
        <v>2301</v>
      </c>
      <c r="AC2297" s="153">
        <v>10</v>
      </c>
      <c r="AD2297" s="153">
        <v>3</v>
      </c>
      <c r="AE2297" s="153">
        <v>1</v>
      </c>
      <c r="AF2297" s="153" t="str">
        <f ca="1">((Q2297*1000+1)*10+1)&amp;$AF$1&amp;((Q2297*1000+1)*10+2)&amp;$AF$1</f>
        <v>30240011|30240012|</v>
      </c>
      <c r="AI2297" s="153">
        <v>1</v>
      </c>
      <c r="AJ2297" s="205" t="str">
        <f ca="1" t="shared" si="393"/>
        <v>400023|1400|;</v>
      </c>
      <c r="AK2297" s="205">
        <f ca="1">OFFSET([1]item_type!$A$1,MATCH(Q2297,[1]item_type!$G:$G,0)-1,0)</f>
        <v>303024</v>
      </c>
      <c r="AL2297" s="205"/>
      <c r="AM2297" s="205">
        <f ca="1">IF(B2297=B2298,OFFSET(卡牌辅助配置表!$AE$1,MATCH(AB2297,卡牌辅助配置表!AB:AB,0),0),0)</f>
        <v>1400</v>
      </c>
      <c r="AN2297" s="153">
        <f ca="1" t="shared" si="389"/>
        <v>3024002</v>
      </c>
      <c r="AP2297" s="153" t="str">
        <f ca="1">IF(AC2297=0,0,IF(AC2297=12,0,OFFSET(effect!$N$1,MATCH(K2297,effect!M:M,0)-1,0)))</f>
        <v>kpsx_zise</v>
      </c>
    </row>
    <row r="2298" spans="1:42">
      <c r="A2298" s="153">
        <f ca="1" t="shared" si="390"/>
        <v>3024002</v>
      </c>
      <c r="B2298" s="91" t="s">
        <v>453</v>
      </c>
      <c r="C2298" s="186">
        <v>3</v>
      </c>
      <c r="D2298" s="186">
        <v>2</v>
      </c>
      <c r="E2298" s="165" t="s">
        <v>1069</v>
      </c>
      <c r="F2298" s="179" t="s">
        <v>1078</v>
      </c>
      <c r="G2298" s="186">
        <f ca="1">OFFSET(卡牌辅助配置表!$C$1,MATCH(AC2298,卡牌辅助配置表!A:A,0)-1,0)</f>
        <v>3</v>
      </c>
      <c r="H2298" s="186">
        <f ca="1">OFFSET(skill!$Q$1,MATCH(B2298,skill!B:B,0)-1,0)</f>
        <v>7.5</v>
      </c>
      <c r="I2298" s="186"/>
      <c r="J2298" s="186">
        <f ca="1">OFFSET(card_type!$F$1,MATCH(Q2298,card_type!A:A,0)-1,0)</f>
        <v>2</v>
      </c>
      <c r="K2298" s="243">
        <f ca="1">OFFSET(card_type!$G$1,MATCH(Q2298,card_type!A:A,0)-1,0)</f>
        <v>3</v>
      </c>
      <c r="L2298" s="157">
        <v>3</v>
      </c>
      <c r="M2298" s="157">
        <v>3</v>
      </c>
      <c r="N2298" s="153">
        <f t="shared" si="395"/>
        <v>2</v>
      </c>
      <c r="O2298" s="157"/>
      <c r="P2298" s="157"/>
      <c r="Q2298" s="153">
        <f ca="1">OFFSET(card_type!$A$1,MATCH(card!B2298,card_type!B:B,0)-1,0)</f>
        <v>3024</v>
      </c>
      <c r="R2298" s="153">
        <v>1</v>
      </c>
      <c r="S2298" s="157">
        <f ca="1">ROUND(IF(R2298=0,0,IF(R2298=1,X2298*$S$1,IF(R2298=2,X2298*$S$1*buff的资质计算!$E$2,IF(R2298=3,X2298*$S$1*buff的资质计算!$E$3,0)))),0)*0</f>
        <v>0</v>
      </c>
      <c r="T2298" s="153">
        <v>2</v>
      </c>
      <c r="U2298" s="153">
        <f ca="1" t="shared" si="391"/>
        <v>23</v>
      </c>
      <c r="V2298" s="153">
        <f ca="1">ROUND((OFFSET(卡牌辅助配置表!$O$1,MATCH(U2298,卡牌辅助配置表!M:M,0)-1,0)+(N2298-1)*OFFSET(卡牌辅助配置表!$P$1,MATCH(U2298,卡牌辅助配置表!M:M,0)-1,0))*M2298,2)</f>
        <v>53.76</v>
      </c>
      <c r="W2298" s="157">
        <f ca="1">ROUND(IF(R2298=0,0,IF(R2298=1,X2298*$W$1,IF(R2298=2,X2298*$W$1*buff的资质计算!$E$2,IF(R2298=3,X2298*$W$1*buff的资质计算!$E$3,0)))),2)</f>
        <v>17.25</v>
      </c>
      <c r="X2298" s="157">
        <f ca="1" t="shared" si="397"/>
        <v>57.5</v>
      </c>
      <c r="Y2298" s="157">
        <f ca="1" t="shared" si="394"/>
        <v>65</v>
      </c>
      <c r="Z2298" s="304">
        <f ca="1" t="shared" si="398"/>
        <v>21.6666666666667</v>
      </c>
      <c r="AA2298" s="304">
        <f ca="1">OFFSET(卡牌辅助配置表!$AD$1,MATCH(AB2298,卡牌辅助配置表!AB:AB,0)-1,0)</f>
        <v>422</v>
      </c>
      <c r="AB2298" s="304">
        <f ca="1" t="shared" si="392"/>
        <v>2302</v>
      </c>
      <c r="AC2298" s="153">
        <v>10</v>
      </c>
      <c r="AD2298" s="153">
        <v>3</v>
      </c>
      <c r="AE2298" s="153">
        <v>1</v>
      </c>
      <c r="AF2298" s="153" t="str">
        <f ca="1" t="shared" ref="AF2298:AF2326" si="399">((Q2298*1000+1)*10+1)&amp;$AF$1&amp;((Q2298*1000+1)*10+2)&amp;$AF$1</f>
        <v>30240011|30240012|</v>
      </c>
      <c r="AI2298" s="153">
        <v>1</v>
      </c>
      <c r="AJ2298" s="205" t="str">
        <f ca="1" t="shared" si="393"/>
        <v>400023|1800|;</v>
      </c>
      <c r="AK2298" s="205">
        <f ca="1">OFFSET([1]item_type!$A$1,MATCH(Q2298,[1]item_type!$G:$G,0)-1,0)</f>
        <v>303024</v>
      </c>
      <c r="AL2298" s="205"/>
      <c r="AM2298" s="205">
        <f ca="1">IF(B2298=B2299,OFFSET(卡牌辅助配置表!$AE$1,MATCH(AB2298,卡牌辅助配置表!AB:AB,0),0),0)</f>
        <v>1800</v>
      </c>
      <c r="AN2298" s="153">
        <f ca="1" t="shared" si="389"/>
        <v>3024003</v>
      </c>
      <c r="AP2298" s="153" t="str">
        <f ca="1">IF(AC2298=0,0,IF(AC2298=12,0,OFFSET(effect!$N$1,MATCH(K2298,effect!M:M,0)-1,0)))</f>
        <v>kpsx_zise</v>
      </c>
    </row>
    <row r="2299" spans="1:42">
      <c r="A2299" s="153">
        <f ca="1" t="shared" si="390"/>
        <v>3024003</v>
      </c>
      <c r="B2299" s="91" t="s">
        <v>453</v>
      </c>
      <c r="C2299" s="186">
        <v>3</v>
      </c>
      <c r="D2299" s="186">
        <v>2</v>
      </c>
      <c r="E2299" s="165" t="s">
        <v>1069</v>
      </c>
      <c r="F2299" s="179" t="s">
        <v>1078</v>
      </c>
      <c r="G2299" s="186">
        <f ca="1">OFFSET(卡牌辅助配置表!$C$1,MATCH(AC2299,卡牌辅助配置表!A:A,0)-1,0)</f>
        <v>3</v>
      </c>
      <c r="H2299" s="186">
        <f ca="1">OFFSET(skill!$Q$1,MATCH(B2299,skill!B:B,0)-1,0)</f>
        <v>7.5</v>
      </c>
      <c r="I2299" s="186"/>
      <c r="J2299" s="186">
        <f ca="1">OFFSET(card_type!$F$1,MATCH(Q2299,card_type!A:A,0)-1,0)</f>
        <v>2</v>
      </c>
      <c r="K2299" s="243">
        <f ca="1">OFFSET(card_type!$G$1,MATCH(Q2299,card_type!A:A,0)-1,0)</f>
        <v>3</v>
      </c>
      <c r="L2299" s="157">
        <v>3</v>
      </c>
      <c r="M2299" s="157">
        <v>3</v>
      </c>
      <c r="N2299" s="153">
        <f t="shared" si="395"/>
        <v>3</v>
      </c>
      <c r="O2299" s="157"/>
      <c r="P2299" s="157"/>
      <c r="Q2299" s="153">
        <f ca="1">OFFSET(card_type!$A$1,MATCH(card!B2299,card_type!B:B,0)-1,0)</f>
        <v>3024</v>
      </c>
      <c r="R2299" s="153">
        <v>1</v>
      </c>
      <c r="S2299" s="157">
        <f ca="1">ROUND(IF(R2299=0,0,IF(R2299=1,X2299*$S$1,IF(R2299=2,X2299*$S$1*buff的资质计算!$E$2,IF(R2299=3,X2299*$S$1*buff的资质计算!$E$3,0)))),0)*0</f>
        <v>0</v>
      </c>
      <c r="T2299" s="153">
        <v>2</v>
      </c>
      <c r="U2299" s="153">
        <f ca="1" t="shared" si="391"/>
        <v>23</v>
      </c>
      <c r="V2299" s="153">
        <f ca="1">ROUND((OFFSET(卡牌辅助配置表!$O$1,MATCH(U2299,卡牌辅助配置表!M:M,0)-1,0)+(N2299-1)*OFFSET(卡牌辅助配置表!$P$1,MATCH(U2299,卡牌辅助配置表!M:M,0)-1,0))*M2299,2)</f>
        <v>57.12</v>
      </c>
      <c r="W2299" s="157">
        <f ca="1">ROUND(IF(R2299=0,0,IF(R2299=1,X2299*$W$1,IF(R2299=2,X2299*$W$1*buff的资质计算!$E$2,IF(R2299=3,X2299*$W$1*buff的资质计算!$E$3,0)))),2)</f>
        <v>17.4</v>
      </c>
      <c r="X2299" s="157">
        <f ca="1" t="shared" si="397"/>
        <v>58</v>
      </c>
      <c r="Y2299" s="157">
        <f ca="1" t="shared" si="394"/>
        <v>65.5</v>
      </c>
      <c r="Z2299" s="304">
        <f ca="1" t="shared" si="398"/>
        <v>21.8333333333333</v>
      </c>
      <c r="AA2299" s="304">
        <f ca="1">OFFSET(卡牌辅助配置表!$AD$1,MATCH(AB2299,卡牌辅助配置表!AB:AB,0)-1,0)</f>
        <v>633</v>
      </c>
      <c r="AB2299" s="304">
        <f ca="1" t="shared" si="392"/>
        <v>2303</v>
      </c>
      <c r="AC2299" s="153">
        <v>10</v>
      </c>
      <c r="AD2299" s="153">
        <v>3</v>
      </c>
      <c r="AE2299" s="153">
        <v>1</v>
      </c>
      <c r="AF2299" s="153" t="str">
        <f ca="1" t="shared" si="399"/>
        <v>30240011|30240012|</v>
      </c>
      <c r="AI2299" s="153">
        <v>1</v>
      </c>
      <c r="AJ2299" s="205" t="str">
        <f ca="1" t="shared" si="393"/>
        <v>400023|2200|;</v>
      </c>
      <c r="AK2299" s="205">
        <f ca="1">OFFSET([1]item_type!$A$1,MATCH(Q2299,[1]item_type!$G:$G,0)-1,0)</f>
        <v>303024</v>
      </c>
      <c r="AL2299" s="205"/>
      <c r="AM2299" s="205">
        <f ca="1">IF(B2299=B2300,OFFSET(卡牌辅助配置表!$AE$1,MATCH(AB2299,卡牌辅助配置表!AB:AB,0),0),0)</f>
        <v>2200</v>
      </c>
      <c r="AN2299" s="153">
        <f ca="1" t="shared" si="389"/>
        <v>3024004</v>
      </c>
      <c r="AP2299" s="153" t="str">
        <f ca="1">IF(AC2299=0,0,IF(AC2299=12,0,OFFSET(effect!$N$1,MATCH(K2299,effect!M:M,0)-1,0)))</f>
        <v>kpsx_zise</v>
      </c>
    </row>
    <row r="2300" spans="1:42">
      <c r="A2300" s="153">
        <f ca="1" t="shared" si="390"/>
        <v>3024004</v>
      </c>
      <c r="B2300" s="91" t="s">
        <v>453</v>
      </c>
      <c r="C2300" s="186">
        <v>3</v>
      </c>
      <c r="D2300" s="186">
        <v>2</v>
      </c>
      <c r="E2300" s="165" t="s">
        <v>1069</v>
      </c>
      <c r="F2300" s="179" t="s">
        <v>1078</v>
      </c>
      <c r="G2300" s="186">
        <f ca="1">OFFSET(卡牌辅助配置表!$C$1,MATCH(AC2300,卡牌辅助配置表!A:A,0)-1,0)</f>
        <v>3</v>
      </c>
      <c r="H2300" s="186">
        <f ca="1">OFFSET(skill!$Q$1,MATCH(B2300,skill!B:B,0)-1,0)</f>
        <v>7.5</v>
      </c>
      <c r="I2300" s="186"/>
      <c r="J2300" s="186">
        <f ca="1">OFFSET(card_type!$F$1,MATCH(Q2300,card_type!A:A,0)-1,0)</f>
        <v>2</v>
      </c>
      <c r="K2300" s="243">
        <f ca="1">OFFSET(card_type!$G$1,MATCH(Q2300,card_type!A:A,0)-1,0)</f>
        <v>3</v>
      </c>
      <c r="L2300" s="157">
        <v>3</v>
      </c>
      <c r="M2300" s="157">
        <v>3</v>
      </c>
      <c r="N2300" s="153">
        <f t="shared" si="395"/>
        <v>4</v>
      </c>
      <c r="O2300" s="157"/>
      <c r="P2300" s="157"/>
      <c r="Q2300" s="153">
        <f ca="1">OFFSET(card_type!$A$1,MATCH(card!B2300,card_type!B:B,0)-1,0)</f>
        <v>3024</v>
      </c>
      <c r="R2300" s="153">
        <v>1</v>
      </c>
      <c r="S2300" s="157">
        <f ca="1">ROUND(IF(R2300=0,0,IF(R2300=1,X2300*$S$1,IF(R2300=2,X2300*$S$1*buff的资质计算!$E$2,IF(R2300=3,X2300*$S$1*buff的资质计算!$E$3,0)))),0)*0</f>
        <v>0</v>
      </c>
      <c r="T2300" s="153">
        <v>2</v>
      </c>
      <c r="U2300" s="153">
        <f ca="1" t="shared" si="391"/>
        <v>23</v>
      </c>
      <c r="V2300" s="153">
        <f ca="1">ROUND((OFFSET(卡牌辅助配置表!$O$1,MATCH(U2300,卡牌辅助配置表!M:M,0)-1,0)+(N2300-1)*OFFSET(卡牌辅助配置表!$P$1,MATCH(U2300,卡牌辅助配置表!M:M,0)-1,0))*M2300,2)</f>
        <v>60.48</v>
      </c>
      <c r="W2300" s="157">
        <f ca="1">ROUND(IF(R2300=0,0,IF(R2300=1,X2300*$W$1,IF(R2300=2,X2300*$W$1*buff的资质计算!$E$2,IF(R2300=3,X2300*$W$1*buff的资质计算!$E$3,0)))),2)</f>
        <v>17.55</v>
      </c>
      <c r="X2300" s="157">
        <f ca="1" t="shared" si="397"/>
        <v>58.5</v>
      </c>
      <c r="Y2300" s="157">
        <f ca="1" t="shared" si="394"/>
        <v>66</v>
      </c>
      <c r="Z2300" s="304">
        <f ca="1" t="shared" si="398"/>
        <v>22</v>
      </c>
      <c r="AA2300" s="304">
        <f ca="1">OFFSET(卡牌辅助配置表!$AD$1,MATCH(AB2300,卡牌辅助配置表!AB:AB,0)-1,0)</f>
        <v>844</v>
      </c>
      <c r="AB2300" s="304">
        <f ca="1" t="shared" si="392"/>
        <v>2304</v>
      </c>
      <c r="AC2300" s="153">
        <v>10</v>
      </c>
      <c r="AD2300" s="153">
        <v>3</v>
      </c>
      <c r="AE2300" s="153">
        <v>1</v>
      </c>
      <c r="AF2300" s="153" t="str">
        <f ca="1" t="shared" si="399"/>
        <v>30240011|30240012|</v>
      </c>
      <c r="AI2300" s="153">
        <v>1</v>
      </c>
      <c r="AJ2300" s="205" t="str">
        <f ca="1" t="shared" si="393"/>
        <v>400023|2600|;</v>
      </c>
      <c r="AK2300" s="205">
        <f ca="1">OFFSET([1]item_type!$A$1,MATCH(Q2300,[1]item_type!$G:$G,0)-1,0)</f>
        <v>303024</v>
      </c>
      <c r="AL2300" s="205"/>
      <c r="AM2300" s="205">
        <f ca="1">IF(B2300=B2301,OFFSET(卡牌辅助配置表!$AE$1,MATCH(AB2300,卡牌辅助配置表!AB:AB,0),0),0)</f>
        <v>2600</v>
      </c>
      <c r="AN2300" s="153">
        <f ca="1" t="shared" si="389"/>
        <v>3024005</v>
      </c>
      <c r="AP2300" s="153" t="str">
        <f ca="1">IF(AC2300=0,0,IF(AC2300=12,0,OFFSET(effect!$N$1,MATCH(K2300,effect!M:M,0)-1,0)))</f>
        <v>kpsx_zise</v>
      </c>
    </row>
    <row r="2301" spans="1:42">
      <c r="A2301" s="153">
        <f ca="1" t="shared" si="390"/>
        <v>3024005</v>
      </c>
      <c r="B2301" s="91" t="s">
        <v>453</v>
      </c>
      <c r="C2301" s="186">
        <v>3</v>
      </c>
      <c r="D2301" s="186">
        <v>2</v>
      </c>
      <c r="E2301" s="165" t="s">
        <v>1069</v>
      </c>
      <c r="F2301" s="179" t="s">
        <v>1078</v>
      </c>
      <c r="G2301" s="186">
        <f ca="1">OFFSET(卡牌辅助配置表!$C$1,MATCH(AC2301,卡牌辅助配置表!A:A,0)-1,0)</f>
        <v>3</v>
      </c>
      <c r="H2301" s="186">
        <f ca="1">OFFSET(skill!$Q$1,MATCH(B2301,skill!B:B,0)-1,0)</f>
        <v>7.5</v>
      </c>
      <c r="I2301" s="186"/>
      <c r="J2301" s="186">
        <f ca="1">OFFSET(card_type!$F$1,MATCH(Q2301,card_type!A:A,0)-1,0)</f>
        <v>2</v>
      </c>
      <c r="K2301" s="243">
        <f ca="1">OFFSET(card_type!$G$1,MATCH(Q2301,card_type!A:A,0)-1,0)</f>
        <v>3</v>
      </c>
      <c r="L2301" s="157">
        <v>3</v>
      </c>
      <c r="M2301" s="157">
        <v>3</v>
      </c>
      <c r="N2301" s="153">
        <f t="shared" si="395"/>
        <v>5</v>
      </c>
      <c r="O2301" s="157"/>
      <c r="P2301" s="157"/>
      <c r="Q2301" s="153">
        <f ca="1">OFFSET(card_type!$A$1,MATCH(card!B2301,card_type!B:B,0)-1,0)</f>
        <v>3024</v>
      </c>
      <c r="R2301" s="153">
        <v>1</v>
      </c>
      <c r="S2301" s="157">
        <f ca="1">ROUND(IF(R2301=0,0,IF(R2301=1,X2301*$S$1,IF(R2301=2,X2301*$S$1*buff的资质计算!$E$2,IF(R2301=3,X2301*$S$1*buff的资质计算!$E$3,0)))),0)*0</f>
        <v>0</v>
      </c>
      <c r="T2301" s="153">
        <v>2</v>
      </c>
      <c r="U2301" s="153">
        <f ca="1" t="shared" si="391"/>
        <v>23</v>
      </c>
      <c r="V2301" s="153">
        <f ca="1">ROUND((OFFSET(卡牌辅助配置表!$O$1,MATCH(U2301,卡牌辅助配置表!M:M,0)-1,0)+(N2301-1)*OFFSET(卡牌辅助配置表!$P$1,MATCH(U2301,卡牌辅助配置表!M:M,0)-1,0))*M2301,2)</f>
        <v>63.84</v>
      </c>
      <c r="W2301" s="157">
        <f ca="1">ROUND(IF(R2301=0,0,IF(R2301=1,X2301*$W$1,IF(R2301=2,X2301*$W$1*buff的资质计算!$E$2,IF(R2301=3,X2301*$W$1*buff的资质计算!$E$3,0)))),2)</f>
        <v>17.7</v>
      </c>
      <c r="X2301" s="157">
        <f ca="1" t="shared" si="397"/>
        <v>59</v>
      </c>
      <c r="Y2301" s="157">
        <f ca="1" t="shared" si="394"/>
        <v>66.5</v>
      </c>
      <c r="Z2301" s="304">
        <f ca="1" t="shared" si="398"/>
        <v>22.1666666666667</v>
      </c>
      <c r="AA2301" s="304">
        <f ca="1">OFFSET(卡牌辅助配置表!$AD$1,MATCH(AB2301,卡牌辅助配置表!AB:AB,0)-1,0)</f>
        <v>1055</v>
      </c>
      <c r="AB2301" s="304">
        <f ca="1" t="shared" si="392"/>
        <v>2305</v>
      </c>
      <c r="AC2301" s="153">
        <v>10</v>
      </c>
      <c r="AD2301" s="153">
        <v>3</v>
      </c>
      <c r="AE2301" s="153">
        <v>1</v>
      </c>
      <c r="AF2301" s="153" t="str">
        <f ca="1" t="shared" si="399"/>
        <v>30240011|30240012|</v>
      </c>
      <c r="AI2301" s="153">
        <v>1</v>
      </c>
      <c r="AJ2301" s="205" t="str">
        <f ca="1" t="shared" si="393"/>
        <v>400023|3000|;</v>
      </c>
      <c r="AK2301" s="205">
        <f ca="1">OFFSET([1]item_type!$A$1,MATCH(Q2301,[1]item_type!$G:$G,0)-1,0)</f>
        <v>303024</v>
      </c>
      <c r="AL2301" s="205"/>
      <c r="AM2301" s="205">
        <f ca="1">IF(B2301=B2302,OFFSET(卡牌辅助配置表!$AE$1,MATCH(AB2301,卡牌辅助配置表!AB:AB,0),0),0)</f>
        <v>3000</v>
      </c>
      <c r="AN2301" s="153">
        <f ca="1" t="shared" si="389"/>
        <v>3024006</v>
      </c>
      <c r="AP2301" s="153" t="str">
        <f ca="1">IF(AC2301=0,0,IF(AC2301=12,0,OFFSET(effect!$N$1,MATCH(K2301,effect!M:M,0)-1,0)))</f>
        <v>kpsx_zise</v>
      </c>
    </row>
    <row r="2302" spans="1:42">
      <c r="A2302" s="153">
        <f ca="1" t="shared" si="390"/>
        <v>3024006</v>
      </c>
      <c r="B2302" s="91" t="s">
        <v>453</v>
      </c>
      <c r="C2302" s="186">
        <v>3</v>
      </c>
      <c r="D2302" s="186">
        <v>2</v>
      </c>
      <c r="E2302" s="165" t="s">
        <v>1069</v>
      </c>
      <c r="F2302" s="179" t="s">
        <v>1078</v>
      </c>
      <c r="G2302" s="186">
        <f ca="1">OFFSET(卡牌辅助配置表!$C$1,MATCH(AC2302,卡牌辅助配置表!A:A,0)-1,0)</f>
        <v>3</v>
      </c>
      <c r="H2302" s="186">
        <f ca="1">OFFSET(skill!$Q$1,MATCH(B2302,skill!B:B,0)-1,0)</f>
        <v>7.5</v>
      </c>
      <c r="I2302" s="186"/>
      <c r="J2302" s="186">
        <f ca="1">OFFSET(card_type!$F$1,MATCH(Q2302,card_type!A:A,0)-1,0)</f>
        <v>2</v>
      </c>
      <c r="K2302" s="243">
        <f ca="1">OFFSET(card_type!$G$1,MATCH(Q2302,card_type!A:A,0)-1,0)</f>
        <v>3</v>
      </c>
      <c r="L2302" s="157">
        <v>3</v>
      </c>
      <c r="M2302" s="157">
        <v>3</v>
      </c>
      <c r="N2302" s="153">
        <f t="shared" si="395"/>
        <v>6</v>
      </c>
      <c r="O2302" s="157"/>
      <c r="P2302" s="157"/>
      <c r="Q2302" s="153">
        <f ca="1">OFFSET(card_type!$A$1,MATCH(card!B2302,card_type!B:B,0)-1,0)</f>
        <v>3024</v>
      </c>
      <c r="R2302" s="153">
        <v>1</v>
      </c>
      <c r="S2302" s="157">
        <f ca="1">ROUND(IF(R2302=0,0,IF(R2302=1,X2302*$S$1,IF(R2302=2,X2302*$S$1*buff的资质计算!$E$2,IF(R2302=3,X2302*$S$1*buff的资质计算!$E$3,0)))),0)*0</f>
        <v>0</v>
      </c>
      <c r="T2302" s="153">
        <v>2</v>
      </c>
      <c r="U2302" s="153">
        <f ca="1" t="shared" si="391"/>
        <v>23</v>
      </c>
      <c r="V2302" s="153">
        <f ca="1">ROUND((OFFSET(卡牌辅助配置表!$O$1,MATCH(U2302,卡牌辅助配置表!M:M,0)-1,0)+(N2302-1)*OFFSET(卡牌辅助配置表!$P$1,MATCH(U2302,卡牌辅助配置表!M:M,0)-1,0))*M2302,2)</f>
        <v>67.2</v>
      </c>
      <c r="W2302" s="157">
        <f ca="1">ROUND(IF(R2302=0,0,IF(R2302=1,X2302*$W$1,IF(R2302=2,X2302*$W$1*buff的资质计算!$E$2,IF(R2302=3,X2302*$W$1*buff的资质计算!$E$3,0)))),2)</f>
        <v>17.85</v>
      </c>
      <c r="X2302" s="157">
        <f ca="1" t="shared" si="397"/>
        <v>59.5</v>
      </c>
      <c r="Y2302" s="157">
        <f ca="1" t="shared" si="394"/>
        <v>67</v>
      </c>
      <c r="Z2302" s="304">
        <f ca="1" t="shared" si="398"/>
        <v>22.3333333333333</v>
      </c>
      <c r="AA2302" s="304">
        <f ca="1">OFFSET(卡牌辅助配置表!$AD$1,MATCH(AB2302,卡牌辅助配置表!AB:AB,0)-1,0)</f>
        <v>1266</v>
      </c>
      <c r="AB2302" s="304">
        <f ca="1" t="shared" si="392"/>
        <v>2306</v>
      </c>
      <c r="AC2302" s="153">
        <v>10</v>
      </c>
      <c r="AD2302" s="153">
        <v>3</v>
      </c>
      <c r="AE2302" s="153">
        <v>1</v>
      </c>
      <c r="AF2302" s="153" t="str">
        <f ca="1" t="shared" si="399"/>
        <v>30240011|30240012|</v>
      </c>
      <c r="AI2302" s="153">
        <v>1</v>
      </c>
      <c r="AJ2302" s="205" t="str">
        <f ca="1" t="shared" si="393"/>
        <v>400023|3400|;</v>
      </c>
      <c r="AK2302" s="205">
        <f ca="1">OFFSET([1]item_type!$A$1,MATCH(Q2302,[1]item_type!$G:$G,0)-1,0)</f>
        <v>303024</v>
      </c>
      <c r="AL2302" s="205"/>
      <c r="AM2302" s="205">
        <f ca="1">IF(B2302=B2303,OFFSET(卡牌辅助配置表!$AE$1,MATCH(AB2302,卡牌辅助配置表!AB:AB,0),0),0)</f>
        <v>3400</v>
      </c>
      <c r="AN2302" s="153">
        <f ca="1" t="shared" si="389"/>
        <v>3024007</v>
      </c>
      <c r="AP2302" s="153" t="str">
        <f ca="1">IF(AC2302=0,0,IF(AC2302=12,0,OFFSET(effect!$N$1,MATCH(K2302,effect!M:M,0)-1,0)))</f>
        <v>kpsx_zise</v>
      </c>
    </row>
    <row r="2303" spans="1:42">
      <c r="A2303" s="153">
        <f ca="1" t="shared" si="390"/>
        <v>3024007</v>
      </c>
      <c r="B2303" s="91" t="s">
        <v>453</v>
      </c>
      <c r="C2303" s="186">
        <v>3</v>
      </c>
      <c r="D2303" s="186">
        <v>2</v>
      </c>
      <c r="E2303" s="165" t="s">
        <v>1069</v>
      </c>
      <c r="F2303" s="179" t="s">
        <v>1078</v>
      </c>
      <c r="G2303" s="186">
        <f ca="1">OFFSET(卡牌辅助配置表!$C$1,MATCH(AC2303,卡牌辅助配置表!A:A,0)-1,0)</f>
        <v>3</v>
      </c>
      <c r="H2303" s="186">
        <f ca="1">OFFSET(skill!$Q$1,MATCH(B2303,skill!B:B,0)-1,0)</f>
        <v>7.5</v>
      </c>
      <c r="I2303" s="186"/>
      <c r="J2303" s="186">
        <f ca="1">OFFSET(card_type!$F$1,MATCH(Q2303,card_type!A:A,0)-1,0)</f>
        <v>2</v>
      </c>
      <c r="K2303" s="243">
        <f ca="1">OFFSET(card_type!$G$1,MATCH(Q2303,card_type!A:A,0)-1,0)</f>
        <v>3</v>
      </c>
      <c r="L2303" s="157">
        <v>3</v>
      </c>
      <c r="M2303" s="157">
        <v>3</v>
      </c>
      <c r="N2303" s="153">
        <f t="shared" si="395"/>
        <v>7</v>
      </c>
      <c r="O2303" s="157"/>
      <c r="P2303" s="157"/>
      <c r="Q2303" s="153">
        <f ca="1">OFFSET(card_type!$A$1,MATCH(card!B2303,card_type!B:B,0)-1,0)</f>
        <v>3024</v>
      </c>
      <c r="R2303" s="153">
        <v>1</v>
      </c>
      <c r="S2303" s="157">
        <f ca="1">ROUND(IF(R2303=0,0,IF(R2303=1,X2303*$S$1,IF(R2303=2,X2303*$S$1*buff的资质计算!$E$2,IF(R2303=3,X2303*$S$1*buff的资质计算!$E$3,0)))),0)*0</f>
        <v>0</v>
      </c>
      <c r="T2303" s="153">
        <v>2</v>
      </c>
      <c r="U2303" s="153">
        <f ca="1" t="shared" si="391"/>
        <v>23</v>
      </c>
      <c r="V2303" s="153">
        <f ca="1">ROUND((OFFSET(卡牌辅助配置表!$O$1,MATCH(U2303,卡牌辅助配置表!M:M,0)-1,0)+(N2303-1)*OFFSET(卡牌辅助配置表!$P$1,MATCH(U2303,卡牌辅助配置表!M:M,0)-1,0))*M2303,2)</f>
        <v>70.56</v>
      </c>
      <c r="W2303" s="157">
        <f ca="1">ROUND(IF(R2303=0,0,IF(R2303=1,X2303*$W$1,IF(R2303=2,X2303*$W$1*buff的资质计算!$E$2,IF(R2303=3,X2303*$W$1*buff的资质计算!$E$3,0)))),2)</f>
        <v>18</v>
      </c>
      <c r="X2303" s="157">
        <f ca="1" t="shared" si="397"/>
        <v>60</v>
      </c>
      <c r="Y2303" s="157">
        <f ca="1" t="shared" si="394"/>
        <v>67.5</v>
      </c>
      <c r="Z2303" s="304">
        <f ca="1" t="shared" si="398"/>
        <v>22.5</v>
      </c>
      <c r="AA2303" s="304">
        <f ca="1">OFFSET(卡牌辅助配置表!$AD$1,MATCH(AB2303,卡牌辅助配置表!AB:AB,0)-1,0)</f>
        <v>1477</v>
      </c>
      <c r="AB2303" s="304">
        <f ca="1" t="shared" si="392"/>
        <v>2307</v>
      </c>
      <c r="AC2303" s="153">
        <v>10</v>
      </c>
      <c r="AD2303" s="153">
        <v>3</v>
      </c>
      <c r="AE2303" s="153">
        <v>1</v>
      </c>
      <c r="AF2303" s="153" t="str">
        <f ca="1" t="shared" si="399"/>
        <v>30240011|30240012|</v>
      </c>
      <c r="AI2303" s="153">
        <v>1</v>
      </c>
      <c r="AJ2303" s="205" t="str">
        <f ca="1" t="shared" si="393"/>
        <v>400023|3800|;</v>
      </c>
      <c r="AK2303" s="205">
        <f ca="1">OFFSET([1]item_type!$A$1,MATCH(Q2303,[1]item_type!$G:$G,0)-1,0)</f>
        <v>303024</v>
      </c>
      <c r="AL2303" s="205"/>
      <c r="AM2303" s="205">
        <f ca="1">IF(B2303=B2304,OFFSET(卡牌辅助配置表!$AE$1,MATCH(AB2303,卡牌辅助配置表!AB:AB,0),0),0)</f>
        <v>3800</v>
      </c>
      <c r="AN2303" s="153">
        <f ca="1" t="shared" si="389"/>
        <v>3024008</v>
      </c>
      <c r="AP2303" s="153" t="str">
        <f ca="1">IF(AC2303=0,0,IF(AC2303=12,0,OFFSET(effect!$N$1,MATCH(K2303,effect!M:M,0)-1,0)))</f>
        <v>kpsx_zise</v>
      </c>
    </row>
    <row r="2304" spans="1:42">
      <c r="A2304" s="153">
        <f ca="1" t="shared" si="390"/>
        <v>3024008</v>
      </c>
      <c r="B2304" s="91" t="s">
        <v>453</v>
      </c>
      <c r="C2304" s="186">
        <v>3</v>
      </c>
      <c r="D2304" s="186">
        <v>2</v>
      </c>
      <c r="E2304" s="165" t="s">
        <v>1069</v>
      </c>
      <c r="F2304" s="179" t="s">
        <v>1078</v>
      </c>
      <c r="G2304" s="186">
        <f ca="1">OFFSET(卡牌辅助配置表!$C$1,MATCH(AC2304,卡牌辅助配置表!A:A,0)-1,0)</f>
        <v>3</v>
      </c>
      <c r="H2304" s="186">
        <f ca="1">OFFSET(skill!$Q$1,MATCH(B2304,skill!B:B,0)-1,0)</f>
        <v>7.5</v>
      </c>
      <c r="I2304" s="186"/>
      <c r="J2304" s="186">
        <f ca="1">OFFSET(card_type!$F$1,MATCH(Q2304,card_type!A:A,0)-1,0)</f>
        <v>2</v>
      </c>
      <c r="K2304" s="243">
        <f ca="1">OFFSET(card_type!$G$1,MATCH(Q2304,card_type!A:A,0)-1,0)</f>
        <v>3</v>
      </c>
      <c r="L2304" s="157">
        <v>3</v>
      </c>
      <c r="M2304" s="157">
        <v>3</v>
      </c>
      <c r="N2304" s="153">
        <f t="shared" si="395"/>
        <v>8</v>
      </c>
      <c r="O2304" s="157"/>
      <c r="P2304" s="157"/>
      <c r="Q2304" s="153">
        <f ca="1">OFFSET(card_type!$A$1,MATCH(card!B2304,card_type!B:B,0)-1,0)</f>
        <v>3024</v>
      </c>
      <c r="R2304" s="153">
        <v>1</v>
      </c>
      <c r="S2304" s="157">
        <f ca="1">ROUND(IF(R2304=0,0,IF(R2304=1,X2304*$S$1,IF(R2304=2,X2304*$S$1*buff的资质计算!$E$2,IF(R2304=3,X2304*$S$1*buff的资质计算!$E$3,0)))),0)*0</f>
        <v>0</v>
      </c>
      <c r="T2304" s="153">
        <v>2</v>
      </c>
      <c r="U2304" s="153">
        <f ca="1" t="shared" si="391"/>
        <v>23</v>
      </c>
      <c r="V2304" s="153">
        <f ca="1">ROUND((OFFSET(卡牌辅助配置表!$O$1,MATCH(U2304,卡牌辅助配置表!M:M,0)-1,0)+(N2304-1)*OFFSET(卡牌辅助配置表!$P$1,MATCH(U2304,卡牌辅助配置表!M:M,0)-1,0))*M2304,2)</f>
        <v>73.92</v>
      </c>
      <c r="W2304" s="157">
        <f ca="1">ROUND(IF(R2304=0,0,IF(R2304=1,X2304*$W$1,IF(R2304=2,X2304*$W$1*buff的资质计算!$E$2,IF(R2304=3,X2304*$W$1*buff的资质计算!$E$3,0)))),2)</f>
        <v>18.15</v>
      </c>
      <c r="X2304" s="157">
        <f ca="1" t="shared" si="397"/>
        <v>60.5</v>
      </c>
      <c r="Y2304" s="157">
        <f ca="1" t="shared" si="394"/>
        <v>68</v>
      </c>
      <c r="Z2304" s="304">
        <f ca="1" t="shared" si="398"/>
        <v>22.6666666666667</v>
      </c>
      <c r="AA2304" s="304">
        <f ca="1">OFFSET(卡牌辅助配置表!$AD$1,MATCH(AB2304,卡牌辅助配置表!AB:AB,0)-1,0)</f>
        <v>1688</v>
      </c>
      <c r="AB2304" s="304">
        <f ca="1" t="shared" si="392"/>
        <v>2308</v>
      </c>
      <c r="AC2304" s="153">
        <v>10</v>
      </c>
      <c r="AD2304" s="153">
        <v>3</v>
      </c>
      <c r="AE2304" s="153">
        <v>1</v>
      </c>
      <c r="AF2304" s="153" t="str">
        <f ca="1" t="shared" si="399"/>
        <v>30240011|30240012|</v>
      </c>
      <c r="AI2304" s="153">
        <v>1</v>
      </c>
      <c r="AJ2304" s="205" t="str">
        <f ca="1" t="shared" si="393"/>
        <v>400023|4200|;</v>
      </c>
      <c r="AK2304" s="205">
        <f ca="1">OFFSET([1]item_type!$A$1,MATCH(Q2304,[1]item_type!$G:$G,0)-1,0)</f>
        <v>303024</v>
      </c>
      <c r="AL2304" s="205"/>
      <c r="AM2304" s="205">
        <f ca="1">IF(B2304=B2305,OFFSET(卡牌辅助配置表!$AE$1,MATCH(AB2304,卡牌辅助配置表!AB:AB,0),0),0)</f>
        <v>4200</v>
      </c>
      <c r="AN2304" s="153">
        <f ca="1" t="shared" si="389"/>
        <v>3024009</v>
      </c>
      <c r="AP2304" s="153" t="str">
        <f ca="1">IF(AC2304=0,0,IF(AC2304=12,0,OFFSET(effect!$N$1,MATCH(K2304,effect!M:M,0)-1,0)))</f>
        <v>kpsx_zise</v>
      </c>
    </row>
    <row r="2305" spans="1:42">
      <c r="A2305" s="153">
        <f ca="1" t="shared" si="390"/>
        <v>3024009</v>
      </c>
      <c r="B2305" s="91" t="s">
        <v>453</v>
      </c>
      <c r="C2305" s="186">
        <v>3</v>
      </c>
      <c r="D2305" s="186">
        <v>2</v>
      </c>
      <c r="E2305" s="165" t="s">
        <v>1069</v>
      </c>
      <c r="F2305" s="179" t="s">
        <v>1078</v>
      </c>
      <c r="G2305" s="186">
        <f ca="1">OFFSET(卡牌辅助配置表!$C$1,MATCH(AC2305,卡牌辅助配置表!A:A,0)-1,0)</f>
        <v>3</v>
      </c>
      <c r="H2305" s="186">
        <f ca="1">OFFSET(skill!$Q$1,MATCH(B2305,skill!B:B,0)-1,0)</f>
        <v>7.5</v>
      </c>
      <c r="I2305" s="186"/>
      <c r="J2305" s="186">
        <f ca="1">OFFSET(card_type!$F$1,MATCH(Q2305,card_type!A:A,0)-1,0)</f>
        <v>2</v>
      </c>
      <c r="K2305" s="243">
        <f ca="1">OFFSET(card_type!$G$1,MATCH(Q2305,card_type!A:A,0)-1,0)</f>
        <v>3</v>
      </c>
      <c r="L2305" s="157">
        <v>3</v>
      </c>
      <c r="M2305" s="157">
        <v>3</v>
      </c>
      <c r="N2305" s="153">
        <f t="shared" si="395"/>
        <v>9</v>
      </c>
      <c r="O2305" s="157"/>
      <c r="P2305" s="157"/>
      <c r="Q2305" s="153">
        <f ca="1">OFFSET(card_type!$A$1,MATCH(card!B2305,card_type!B:B,0)-1,0)</f>
        <v>3024</v>
      </c>
      <c r="R2305" s="153">
        <v>1</v>
      </c>
      <c r="S2305" s="157">
        <f ca="1">ROUND(IF(R2305=0,0,IF(R2305=1,X2305*$S$1,IF(R2305=2,X2305*$S$1*buff的资质计算!$E$2,IF(R2305=3,X2305*$S$1*buff的资质计算!$E$3,0)))),0)*0</f>
        <v>0</v>
      </c>
      <c r="T2305" s="153">
        <v>2</v>
      </c>
      <c r="U2305" s="153">
        <f ca="1" t="shared" si="391"/>
        <v>23</v>
      </c>
      <c r="V2305" s="153">
        <f ca="1">ROUND((OFFSET(卡牌辅助配置表!$O$1,MATCH(U2305,卡牌辅助配置表!M:M,0)-1,0)+(N2305-1)*OFFSET(卡牌辅助配置表!$P$1,MATCH(U2305,卡牌辅助配置表!M:M,0)-1,0))*M2305,2)</f>
        <v>77.28</v>
      </c>
      <c r="W2305" s="157">
        <f ca="1">ROUND(IF(R2305=0,0,IF(R2305=1,X2305*$W$1,IF(R2305=2,X2305*$W$1*buff的资质计算!$E$2,IF(R2305=3,X2305*$W$1*buff的资质计算!$E$3,0)))),2)</f>
        <v>18.3</v>
      </c>
      <c r="X2305" s="157">
        <f ca="1" t="shared" si="397"/>
        <v>61</v>
      </c>
      <c r="Y2305" s="157">
        <f ca="1" t="shared" si="394"/>
        <v>68.5</v>
      </c>
      <c r="Z2305" s="304">
        <f ca="1" t="shared" si="398"/>
        <v>22.8333333333333</v>
      </c>
      <c r="AA2305" s="304">
        <f ca="1">OFFSET(卡牌辅助配置表!$AD$1,MATCH(AB2305,卡牌辅助配置表!AB:AB,0)-1,0)</f>
        <v>1899</v>
      </c>
      <c r="AB2305" s="304">
        <f ca="1" t="shared" si="392"/>
        <v>2309</v>
      </c>
      <c r="AC2305" s="153">
        <v>10</v>
      </c>
      <c r="AD2305" s="153">
        <v>3</v>
      </c>
      <c r="AE2305" s="153">
        <v>1</v>
      </c>
      <c r="AF2305" s="153" t="str">
        <f ca="1" t="shared" si="399"/>
        <v>30240011|30240012|</v>
      </c>
      <c r="AI2305" s="153">
        <v>1</v>
      </c>
      <c r="AJ2305" s="205" t="str">
        <f ca="1" t="shared" si="393"/>
        <v>303024|15|;400023|4600|;</v>
      </c>
      <c r="AK2305" s="205">
        <f ca="1">OFFSET([1]item_type!$A$1,MATCH(Q2305,[1]item_type!$G:$G,0)-1,0)</f>
        <v>303024</v>
      </c>
      <c r="AL2305" s="205">
        <v>15</v>
      </c>
      <c r="AM2305" s="205">
        <f ca="1">IF(B2305=B2306,OFFSET(卡牌辅助配置表!$AE$1,MATCH(AB2305,卡牌辅助配置表!AB:AB,0),0),0)</f>
        <v>4600</v>
      </c>
      <c r="AN2305" s="153">
        <f ca="1" t="shared" si="389"/>
        <v>3024010</v>
      </c>
      <c r="AP2305" s="153" t="str">
        <f ca="1">IF(AC2305=0,0,IF(AC2305=12,0,OFFSET(effect!$N$1,MATCH(K2305,effect!M:M,0)-1,0)))</f>
        <v>kpsx_zise</v>
      </c>
    </row>
    <row r="2306" spans="1:42">
      <c r="A2306" s="153">
        <f ca="1" t="shared" si="390"/>
        <v>3024010</v>
      </c>
      <c r="B2306" s="91" t="s">
        <v>453</v>
      </c>
      <c r="C2306" s="186">
        <v>3</v>
      </c>
      <c r="D2306" s="186">
        <v>2</v>
      </c>
      <c r="E2306" s="165" t="s">
        <v>1069</v>
      </c>
      <c r="F2306" s="179" t="s">
        <v>1078</v>
      </c>
      <c r="G2306" s="186">
        <f ca="1">OFFSET(卡牌辅助配置表!$C$1,MATCH(AC2306,卡牌辅助配置表!A:A,0)-1,0)</f>
        <v>3</v>
      </c>
      <c r="H2306" s="186">
        <f ca="1">OFFSET(skill!$Q$1,MATCH(B2306,skill!B:B,0)-1,0)</f>
        <v>7.5</v>
      </c>
      <c r="I2306" s="186"/>
      <c r="J2306" s="186">
        <f ca="1">OFFSET(card_type!$F$1,MATCH(Q2306,card_type!A:A,0)-1,0)</f>
        <v>2</v>
      </c>
      <c r="K2306" s="243">
        <f ca="1">OFFSET(card_type!$G$1,MATCH(Q2306,card_type!A:A,0)-1,0)</f>
        <v>3</v>
      </c>
      <c r="L2306" s="157">
        <v>3</v>
      </c>
      <c r="M2306" s="157">
        <v>3</v>
      </c>
      <c r="N2306" s="153">
        <f t="shared" si="395"/>
        <v>10</v>
      </c>
      <c r="O2306" s="157"/>
      <c r="P2306" s="157"/>
      <c r="Q2306" s="153">
        <f ca="1">OFFSET(card_type!$A$1,MATCH(card!B2306,card_type!B:B,0)-1,0)</f>
        <v>3024</v>
      </c>
      <c r="R2306" s="153">
        <v>1</v>
      </c>
      <c r="S2306" s="157">
        <f ca="1">ROUND(IF(R2306=0,0,IF(R2306=1,X2306*$S$1,IF(R2306=2,X2306*$S$1*buff的资质计算!$E$2,IF(R2306=3,X2306*$S$1*buff的资质计算!$E$3,0)))),0)*0</f>
        <v>0</v>
      </c>
      <c r="T2306" s="153">
        <v>2</v>
      </c>
      <c r="U2306" s="153">
        <f ca="1" t="shared" si="391"/>
        <v>23</v>
      </c>
      <c r="V2306" s="153">
        <f ca="1">ROUND((OFFSET(卡牌辅助配置表!$O$1,MATCH(U2306,卡牌辅助配置表!M:M,0)-1,0)+(N2306-1)*OFFSET(卡牌辅助配置表!$P$1,MATCH(U2306,卡牌辅助配置表!M:M,0)-1,0))*M2306,2)</f>
        <v>80.64</v>
      </c>
      <c r="W2306" s="157">
        <f ca="1">ROUND(IF(R2306=0,0,IF(R2306=1,X2306*$W$1,IF(R2306=2,X2306*$W$1*buff的资质计算!$E$2,IF(R2306=3,X2306*$W$1*buff的资质计算!$E$3,0)))),2)</f>
        <v>18.45</v>
      </c>
      <c r="X2306" s="157">
        <f ca="1" t="shared" si="397"/>
        <v>61.5</v>
      </c>
      <c r="Y2306" s="157">
        <f ca="1" t="shared" si="394"/>
        <v>69</v>
      </c>
      <c r="Z2306" s="304">
        <f ca="1" t="shared" si="398"/>
        <v>23</v>
      </c>
      <c r="AA2306" s="304">
        <f ca="1">OFFSET(卡牌辅助配置表!$AD$1,MATCH(AB2306,卡牌辅助配置表!AB:AB,0)-1,0)</f>
        <v>2110</v>
      </c>
      <c r="AB2306" s="304">
        <f ca="1" t="shared" si="392"/>
        <v>2310</v>
      </c>
      <c r="AC2306" s="153">
        <v>10</v>
      </c>
      <c r="AD2306" s="153">
        <v>3</v>
      </c>
      <c r="AE2306" s="153">
        <v>1</v>
      </c>
      <c r="AF2306" s="153" t="str">
        <f ca="1" t="shared" si="399"/>
        <v>30240011|30240012|</v>
      </c>
      <c r="AI2306" s="153">
        <v>1</v>
      </c>
      <c r="AJ2306" s="205" t="str">
        <f ca="1" t="shared" si="393"/>
        <v>400023|5400|;</v>
      </c>
      <c r="AK2306" s="205">
        <f ca="1">OFFSET([1]item_type!$A$1,MATCH(Q2306,[1]item_type!$G:$G,0)-1,0)</f>
        <v>303024</v>
      </c>
      <c r="AL2306" s="205"/>
      <c r="AM2306" s="205">
        <f ca="1">IF(B2306=B2307,OFFSET(卡牌辅助配置表!$AE$1,MATCH(AB2306,卡牌辅助配置表!AB:AB,0),0),0)</f>
        <v>5400</v>
      </c>
      <c r="AN2306" s="153">
        <f ca="1" t="shared" si="389"/>
        <v>3024011</v>
      </c>
      <c r="AP2306" s="153" t="str">
        <f ca="1">IF(AC2306=0,0,IF(AC2306=12,0,OFFSET(effect!$N$1,MATCH(K2306,effect!M:M,0)-1,0)))</f>
        <v>kpsx_zise</v>
      </c>
    </row>
    <row r="2307" spans="1:42">
      <c r="A2307" s="153">
        <f ca="1" t="shared" si="390"/>
        <v>3024011</v>
      </c>
      <c r="B2307" s="91" t="s">
        <v>453</v>
      </c>
      <c r="C2307" s="186">
        <v>3</v>
      </c>
      <c r="D2307" s="186">
        <v>2</v>
      </c>
      <c r="E2307" s="165" t="s">
        <v>1069</v>
      </c>
      <c r="F2307" s="179" t="s">
        <v>1078</v>
      </c>
      <c r="G2307" s="186">
        <f ca="1">OFFSET(卡牌辅助配置表!$C$1,MATCH(AC2307,卡牌辅助配置表!A:A,0)-1,0)</f>
        <v>3</v>
      </c>
      <c r="H2307" s="186">
        <f ca="1">OFFSET(skill!$Q$1,MATCH(B2307,skill!B:B,0)-1,0)</f>
        <v>7.5</v>
      </c>
      <c r="I2307" s="186"/>
      <c r="J2307" s="186">
        <f ca="1">OFFSET(card_type!$F$1,MATCH(Q2307,card_type!A:A,0)-1,0)</f>
        <v>2</v>
      </c>
      <c r="K2307" s="243">
        <f ca="1">OFFSET(card_type!$G$1,MATCH(Q2307,card_type!A:A,0)-1,0)</f>
        <v>3</v>
      </c>
      <c r="L2307" s="157">
        <v>3</v>
      </c>
      <c r="M2307" s="157">
        <v>3</v>
      </c>
      <c r="N2307" s="153">
        <f t="shared" si="395"/>
        <v>11</v>
      </c>
      <c r="O2307" s="157"/>
      <c r="P2307" s="157"/>
      <c r="Q2307" s="153">
        <f ca="1">OFFSET(card_type!$A$1,MATCH(card!B2307,card_type!B:B,0)-1,0)</f>
        <v>3024</v>
      </c>
      <c r="R2307" s="153">
        <v>1</v>
      </c>
      <c r="S2307" s="157">
        <f ca="1">ROUND(IF(R2307=0,0,IF(R2307=1,X2307*$S$1,IF(R2307=2,X2307*$S$1*buff的资质计算!$E$2,IF(R2307=3,X2307*$S$1*buff的资质计算!$E$3,0)))),0)*0</f>
        <v>0</v>
      </c>
      <c r="T2307" s="153">
        <v>2</v>
      </c>
      <c r="U2307" s="153">
        <f ca="1" t="shared" si="391"/>
        <v>23</v>
      </c>
      <c r="V2307" s="153">
        <f ca="1">ROUND((OFFSET(卡牌辅助配置表!$O$1,MATCH(U2307,卡牌辅助配置表!M:M,0)-1,0)+(N2307-1)*OFFSET(卡牌辅助配置表!$P$1,MATCH(U2307,卡牌辅助配置表!M:M,0)-1,0))*M2307,2)</f>
        <v>84</v>
      </c>
      <c r="W2307" s="157">
        <f ca="1">ROUND(IF(R2307=0,0,IF(R2307=1,X2307*$W$1,IF(R2307=2,X2307*$W$1*buff的资质计算!$E$2,IF(R2307=3,X2307*$W$1*buff的资质计算!$E$3,0)))),2)</f>
        <v>18.6</v>
      </c>
      <c r="X2307" s="157">
        <f ca="1" t="shared" si="397"/>
        <v>62</v>
      </c>
      <c r="Y2307" s="157">
        <f ca="1" t="shared" si="394"/>
        <v>69.5</v>
      </c>
      <c r="Z2307" s="304">
        <f ca="1" t="shared" si="398"/>
        <v>23.1666666666667</v>
      </c>
      <c r="AA2307" s="304">
        <f ca="1">OFFSET(卡牌辅助配置表!$AD$1,MATCH(AB2307,卡牌辅助配置表!AB:AB,0)-1,0)</f>
        <v>2427</v>
      </c>
      <c r="AB2307" s="304">
        <f ca="1" t="shared" si="392"/>
        <v>2311</v>
      </c>
      <c r="AC2307" s="153">
        <v>10</v>
      </c>
      <c r="AD2307" s="153">
        <v>3</v>
      </c>
      <c r="AE2307" s="153">
        <v>1</v>
      </c>
      <c r="AF2307" s="153" t="str">
        <f ca="1" t="shared" si="399"/>
        <v>30240011|30240012|</v>
      </c>
      <c r="AI2307" s="153">
        <v>1</v>
      </c>
      <c r="AJ2307" s="205" t="str">
        <f ca="1" t="shared" si="393"/>
        <v>400023|6200|;</v>
      </c>
      <c r="AK2307" s="205">
        <f ca="1">OFFSET([1]item_type!$A$1,MATCH(Q2307,[1]item_type!$G:$G,0)-1,0)</f>
        <v>303024</v>
      </c>
      <c r="AL2307" s="205"/>
      <c r="AM2307" s="205">
        <f ca="1">IF(B2307=B2308,OFFSET(卡牌辅助配置表!$AE$1,MATCH(AB2307,卡牌辅助配置表!AB:AB,0),0),0)</f>
        <v>6200</v>
      </c>
      <c r="AN2307" s="153">
        <f ca="1" t="shared" si="389"/>
        <v>3024012</v>
      </c>
      <c r="AP2307" s="153" t="str">
        <f ca="1">IF(AC2307=0,0,IF(AC2307=12,0,OFFSET(effect!$N$1,MATCH(K2307,effect!M:M,0)-1,0)))</f>
        <v>kpsx_zise</v>
      </c>
    </row>
    <row r="2308" spans="1:42">
      <c r="A2308" s="153">
        <f ca="1" t="shared" si="390"/>
        <v>3024012</v>
      </c>
      <c r="B2308" s="91" t="s">
        <v>453</v>
      </c>
      <c r="C2308" s="186">
        <v>3</v>
      </c>
      <c r="D2308" s="186">
        <v>2</v>
      </c>
      <c r="E2308" s="165" t="s">
        <v>1069</v>
      </c>
      <c r="F2308" s="179" t="s">
        <v>1078</v>
      </c>
      <c r="G2308" s="186">
        <f ca="1">OFFSET(卡牌辅助配置表!$C$1,MATCH(AC2308,卡牌辅助配置表!A:A,0)-1,0)</f>
        <v>3</v>
      </c>
      <c r="H2308" s="186">
        <f ca="1">OFFSET(skill!$Q$1,MATCH(B2308,skill!B:B,0)-1,0)</f>
        <v>7.5</v>
      </c>
      <c r="I2308" s="186"/>
      <c r="J2308" s="186">
        <f ca="1">OFFSET(card_type!$F$1,MATCH(Q2308,card_type!A:A,0)-1,0)</f>
        <v>2</v>
      </c>
      <c r="K2308" s="243">
        <f ca="1">OFFSET(card_type!$G$1,MATCH(Q2308,card_type!A:A,0)-1,0)</f>
        <v>3</v>
      </c>
      <c r="L2308" s="157">
        <v>3</v>
      </c>
      <c r="M2308" s="157">
        <v>3</v>
      </c>
      <c r="N2308" s="153">
        <f t="shared" si="395"/>
        <v>12</v>
      </c>
      <c r="O2308" s="157"/>
      <c r="P2308" s="157"/>
      <c r="Q2308" s="153">
        <f ca="1">OFFSET(card_type!$A$1,MATCH(card!B2308,card_type!B:B,0)-1,0)</f>
        <v>3024</v>
      </c>
      <c r="R2308" s="153">
        <v>1</v>
      </c>
      <c r="S2308" s="157">
        <f ca="1">ROUND(IF(R2308=0,0,IF(R2308=1,X2308*$S$1,IF(R2308=2,X2308*$S$1*buff的资质计算!$E$2,IF(R2308=3,X2308*$S$1*buff的资质计算!$E$3,0)))),0)*0</f>
        <v>0</v>
      </c>
      <c r="T2308" s="153">
        <v>2</v>
      </c>
      <c r="U2308" s="153">
        <f ca="1" t="shared" si="391"/>
        <v>23</v>
      </c>
      <c r="V2308" s="153">
        <f ca="1">ROUND((OFFSET(卡牌辅助配置表!$O$1,MATCH(U2308,卡牌辅助配置表!M:M,0)-1,0)+(N2308-1)*OFFSET(卡牌辅助配置表!$P$1,MATCH(U2308,卡牌辅助配置表!M:M,0)-1,0))*M2308,2)</f>
        <v>87.36</v>
      </c>
      <c r="W2308" s="157">
        <f ca="1">ROUND(IF(R2308=0,0,IF(R2308=1,X2308*$W$1,IF(R2308=2,X2308*$W$1*buff的资质计算!$E$2,IF(R2308=3,X2308*$W$1*buff的资质计算!$E$3,0)))),2)</f>
        <v>18.75</v>
      </c>
      <c r="X2308" s="157">
        <f ca="1" t="shared" si="397"/>
        <v>62.5</v>
      </c>
      <c r="Y2308" s="157">
        <f ca="1" t="shared" si="394"/>
        <v>70</v>
      </c>
      <c r="Z2308" s="304">
        <f ca="1" t="shared" si="398"/>
        <v>23.3333333333333</v>
      </c>
      <c r="AA2308" s="304">
        <f ca="1">OFFSET(卡牌辅助配置表!$AD$1,MATCH(AB2308,卡牌辅助配置表!AB:AB,0)-1,0)</f>
        <v>2744</v>
      </c>
      <c r="AB2308" s="304">
        <f ca="1" t="shared" si="392"/>
        <v>2312</v>
      </c>
      <c r="AC2308" s="153">
        <v>10</v>
      </c>
      <c r="AD2308" s="153">
        <v>3</v>
      </c>
      <c r="AE2308" s="153">
        <v>1</v>
      </c>
      <c r="AF2308" s="153" t="str">
        <f ca="1" t="shared" si="399"/>
        <v>30240011|30240012|</v>
      </c>
      <c r="AI2308" s="153">
        <v>1</v>
      </c>
      <c r="AJ2308" s="205" t="str">
        <f ca="1" t="shared" si="393"/>
        <v>400023|7000|;</v>
      </c>
      <c r="AK2308" s="205">
        <f ca="1">OFFSET([1]item_type!$A$1,MATCH(Q2308,[1]item_type!$G:$G,0)-1,0)</f>
        <v>303024</v>
      </c>
      <c r="AL2308" s="205"/>
      <c r="AM2308" s="205">
        <f ca="1">IF(B2308=B2309,OFFSET(卡牌辅助配置表!$AE$1,MATCH(AB2308,卡牌辅助配置表!AB:AB,0),0),0)</f>
        <v>7000</v>
      </c>
      <c r="AN2308" s="153">
        <f ca="1" t="shared" si="389"/>
        <v>3024013</v>
      </c>
      <c r="AP2308" s="153" t="str">
        <f ca="1">IF(AC2308=0,0,IF(AC2308=12,0,OFFSET(effect!$N$1,MATCH(K2308,effect!M:M,0)-1,0)))</f>
        <v>kpsx_zise</v>
      </c>
    </row>
    <row r="2309" spans="1:42">
      <c r="A2309" s="153">
        <f ca="1" t="shared" si="390"/>
        <v>3024013</v>
      </c>
      <c r="B2309" s="91" t="s">
        <v>453</v>
      </c>
      <c r="C2309" s="186">
        <v>3</v>
      </c>
      <c r="D2309" s="186">
        <v>2</v>
      </c>
      <c r="E2309" s="165" t="s">
        <v>1069</v>
      </c>
      <c r="F2309" s="179" t="s">
        <v>1078</v>
      </c>
      <c r="G2309" s="186">
        <f ca="1">OFFSET(卡牌辅助配置表!$C$1,MATCH(AC2309,卡牌辅助配置表!A:A,0)-1,0)</f>
        <v>3</v>
      </c>
      <c r="H2309" s="186">
        <f ca="1">OFFSET(skill!$Q$1,MATCH(B2309,skill!B:B,0)-1,0)</f>
        <v>7.5</v>
      </c>
      <c r="I2309" s="186"/>
      <c r="J2309" s="186">
        <f ca="1">OFFSET(card_type!$F$1,MATCH(Q2309,card_type!A:A,0)-1,0)</f>
        <v>2</v>
      </c>
      <c r="K2309" s="243">
        <f ca="1">OFFSET(card_type!$G$1,MATCH(Q2309,card_type!A:A,0)-1,0)</f>
        <v>3</v>
      </c>
      <c r="L2309" s="157">
        <v>3</v>
      </c>
      <c r="M2309" s="157">
        <v>3</v>
      </c>
      <c r="N2309" s="153">
        <f t="shared" si="395"/>
        <v>13</v>
      </c>
      <c r="O2309" s="157"/>
      <c r="P2309" s="157"/>
      <c r="Q2309" s="153">
        <f ca="1">OFFSET(card_type!$A$1,MATCH(card!B2309,card_type!B:B,0)-1,0)</f>
        <v>3024</v>
      </c>
      <c r="R2309" s="153">
        <v>1</v>
      </c>
      <c r="S2309" s="157">
        <f ca="1">ROUND(IF(R2309=0,0,IF(R2309=1,X2309*$S$1,IF(R2309=2,X2309*$S$1*buff的资质计算!$E$2,IF(R2309=3,X2309*$S$1*buff的资质计算!$E$3,0)))),0)*0</f>
        <v>0</v>
      </c>
      <c r="T2309" s="153">
        <v>2</v>
      </c>
      <c r="U2309" s="153">
        <f ca="1" t="shared" si="391"/>
        <v>23</v>
      </c>
      <c r="V2309" s="153">
        <f ca="1">ROUND((OFFSET(卡牌辅助配置表!$O$1,MATCH(U2309,卡牌辅助配置表!M:M,0)-1,0)+(N2309-1)*OFFSET(卡牌辅助配置表!$P$1,MATCH(U2309,卡牌辅助配置表!M:M,0)-1,0))*M2309,2)</f>
        <v>90.72</v>
      </c>
      <c r="W2309" s="157">
        <f ca="1">ROUND(IF(R2309=0,0,IF(R2309=1,X2309*$W$1,IF(R2309=2,X2309*$W$1*buff的资质计算!$E$2,IF(R2309=3,X2309*$W$1*buff的资质计算!$E$3,0)))),2)</f>
        <v>18.9</v>
      </c>
      <c r="X2309" s="157">
        <f ca="1" t="shared" si="397"/>
        <v>63</v>
      </c>
      <c r="Y2309" s="157">
        <f ca="1" t="shared" si="394"/>
        <v>70.5</v>
      </c>
      <c r="Z2309" s="304">
        <f ca="1" t="shared" si="398"/>
        <v>23.5</v>
      </c>
      <c r="AA2309" s="304">
        <f ca="1">OFFSET(卡牌辅助配置表!$AD$1,MATCH(AB2309,卡牌辅助配置表!AB:AB,0)-1,0)</f>
        <v>3061</v>
      </c>
      <c r="AB2309" s="304">
        <f ca="1" t="shared" si="392"/>
        <v>2313</v>
      </c>
      <c r="AC2309" s="153">
        <v>10</v>
      </c>
      <c r="AD2309" s="153">
        <v>3</v>
      </c>
      <c r="AE2309" s="153">
        <v>1</v>
      </c>
      <c r="AF2309" s="153" t="str">
        <f ca="1" t="shared" si="399"/>
        <v>30240011|30240012|</v>
      </c>
      <c r="AI2309" s="153">
        <v>1</v>
      </c>
      <c r="AJ2309" s="205" t="str">
        <f ca="1" t="shared" si="393"/>
        <v>400023|7800|;</v>
      </c>
      <c r="AK2309" s="205">
        <f ca="1">OFFSET([1]item_type!$A$1,MATCH(Q2309,[1]item_type!$G:$G,0)-1,0)</f>
        <v>303024</v>
      </c>
      <c r="AL2309" s="205"/>
      <c r="AM2309" s="205">
        <f ca="1">IF(B2309=B2310,OFFSET(卡牌辅助配置表!$AE$1,MATCH(AB2309,卡牌辅助配置表!AB:AB,0),0),0)</f>
        <v>7800</v>
      </c>
      <c r="AN2309" s="153">
        <f ca="1" t="shared" ref="AN2309:AN2372" si="400">IF(B2309=B2310,A2309+1,0)</f>
        <v>3024014</v>
      </c>
      <c r="AP2309" s="153" t="str">
        <f ca="1">IF(AC2309=0,0,IF(AC2309=12,0,OFFSET(effect!$N$1,MATCH(K2309,effect!M:M,0)-1,0)))</f>
        <v>kpsx_zise</v>
      </c>
    </row>
    <row r="2310" spans="1:42">
      <c r="A2310" s="153">
        <f ca="1" t="shared" ref="A2310:A2373" si="401">Q2310*1000+N2310</f>
        <v>3024014</v>
      </c>
      <c r="B2310" s="91" t="s">
        <v>453</v>
      </c>
      <c r="C2310" s="186">
        <v>3</v>
      </c>
      <c r="D2310" s="186">
        <v>2</v>
      </c>
      <c r="E2310" s="165" t="s">
        <v>1069</v>
      </c>
      <c r="F2310" s="179" t="s">
        <v>1078</v>
      </c>
      <c r="G2310" s="186">
        <f ca="1">OFFSET(卡牌辅助配置表!$C$1,MATCH(AC2310,卡牌辅助配置表!A:A,0)-1,0)</f>
        <v>3</v>
      </c>
      <c r="H2310" s="186">
        <f ca="1">OFFSET(skill!$Q$1,MATCH(B2310,skill!B:B,0)-1,0)</f>
        <v>7.5</v>
      </c>
      <c r="I2310" s="186"/>
      <c r="J2310" s="186">
        <f ca="1">OFFSET(card_type!$F$1,MATCH(Q2310,card_type!A:A,0)-1,0)</f>
        <v>2</v>
      </c>
      <c r="K2310" s="243">
        <f ca="1">OFFSET(card_type!$G$1,MATCH(Q2310,card_type!A:A,0)-1,0)</f>
        <v>3</v>
      </c>
      <c r="L2310" s="157">
        <v>3</v>
      </c>
      <c r="M2310" s="157">
        <v>3</v>
      </c>
      <c r="N2310" s="153">
        <f t="shared" si="395"/>
        <v>14</v>
      </c>
      <c r="O2310" s="157"/>
      <c r="P2310" s="157"/>
      <c r="Q2310" s="153">
        <f ca="1">OFFSET(card_type!$A$1,MATCH(card!B2310,card_type!B:B,0)-1,0)</f>
        <v>3024</v>
      </c>
      <c r="R2310" s="153">
        <v>1</v>
      </c>
      <c r="S2310" s="157">
        <f ca="1">ROUND(IF(R2310=0,0,IF(R2310=1,X2310*$S$1,IF(R2310=2,X2310*$S$1*buff的资质计算!$E$2,IF(R2310=3,X2310*$S$1*buff的资质计算!$E$3,0)))),0)*0</f>
        <v>0</v>
      </c>
      <c r="T2310" s="153">
        <v>2</v>
      </c>
      <c r="U2310" s="153">
        <f ca="1" t="shared" ref="U2310:U2373" si="402">J2310*10+K2310</f>
        <v>23</v>
      </c>
      <c r="V2310" s="153">
        <f ca="1">ROUND((OFFSET(卡牌辅助配置表!$O$1,MATCH(U2310,卡牌辅助配置表!M:M,0)-1,0)+(N2310-1)*OFFSET(卡牌辅助配置表!$P$1,MATCH(U2310,卡牌辅助配置表!M:M,0)-1,0))*M2310,2)</f>
        <v>94.08</v>
      </c>
      <c r="W2310" s="157">
        <f ca="1">ROUND(IF(R2310=0,0,IF(R2310=1,X2310*$W$1,IF(R2310=2,X2310*$W$1*buff的资质计算!$E$2,IF(R2310=3,X2310*$W$1*buff的资质计算!$E$3,0)))),2)</f>
        <v>19.05</v>
      </c>
      <c r="X2310" s="157">
        <f ca="1" t="shared" si="397"/>
        <v>63.5</v>
      </c>
      <c r="Y2310" s="157">
        <f ca="1" t="shared" si="394"/>
        <v>71</v>
      </c>
      <c r="Z2310" s="304">
        <f ca="1" t="shared" si="398"/>
        <v>23.6666666666667</v>
      </c>
      <c r="AA2310" s="304">
        <f ca="1">OFFSET(卡牌辅助配置表!$AD$1,MATCH(AB2310,卡牌辅助配置表!AB:AB,0)-1,0)</f>
        <v>3378</v>
      </c>
      <c r="AB2310" s="304">
        <f ca="1" t="shared" ref="AB2310:AB2373" si="403">J2310*1000+K2310*100+N2310</f>
        <v>2314</v>
      </c>
      <c r="AC2310" s="153">
        <v>10</v>
      </c>
      <c r="AD2310" s="153">
        <v>3</v>
      </c>
      <c r="AE2310" s="153">
        <v>1</v>
      </c>
      <c r="AF2310" s="153" t="str">
        <f ca="1" t="shared" si="399"/>
        <v>30240011|30240012|</v>
      </c>
      <c r="AI2310" s="153">
        <v>1</v>
      </c>
      <c r="AJ2310" s="205" t="str">
        <f ca="1" t="shared" ref="AJ2310:AJ2373" si="404">IF(AN2310=0,0,IF(AL2310=0,$AM$1&amp;$AF$1&amp;AM2310&amp;$AF$1&amp;$AJ$1,AK2310&amp;$AF$1&amp;AL2310&amp;$AF$1&amp;$AJ$1&amp;$AM$1&amp;$AF$1&amp;AM2310&amp;$AF$1&amp;$AJ$1))</f>
        <v>400023|8600|;</v>
      </c>
      <c r="AK2310" s="205">
        <f ca="1">OFFSET([1]item_type!$A$1,MATCH(Q2310,[1]item_type!$G:$G,0)-1,0)</f>
        <v>303024</v>
      </c>
      <c r="AL2310" s="205"/>
      <c r="AM2310" s="205">
        <f ca="1">IF(B2310=B2311,OFFSET(卡牌辅助配置表!$AE$1,MATCH(AB2310,卡牌辅助配置表!AB:AB,0),0),0)</f>
        <v>8600</v>
      </c>
      <c r="AN2310" s="153">
        <f ca="1" t="shared" si="400"/>
        <v>3024015</v>
      </c>
      <c r="AP2310" s="153" t="str">
        <f ca="1">IF(AC2310=0,0,IF(AC2310=12,0,OFFSET(effect!$N$1,MATCH(K2310,effect!M:M,0)-1,0)))</f>
        <v>kpsx_zise</v>
      </c>
    </row>
    <row r="2311" spans="1:42">
      <c r="A2311" s="153">
        <f ca="1" t="shared" si="401"/>
        <v>3024015</v>
      </c>
      <c r="B2311" s="91" t="s">
        <v>453</v>
      </c>
      <c r="C2311" s="186">
        <v>3</v>
      </c>
      <c r="D2311" s="186">
        <v>2</v>
      </c>
      <c r="E2311" s="165" t="s">
        <v>1069</v>
      </c>
      <c r="F2311" s="179" t="s">
        <v>1078</v>
      </c>
      <c r="G2311" s="186">
        <f ca="1">OFFSET(卡牌辅助配置表!$C$1,MATCH(AC2311,卡牌辅助配置表!A:A,0)-1,0)</f>
        <v>3</v>
      </c>
      <c r="H2311" s="186">
        <f ca="1">OFFSET(skill!$Q$1,MATCH(B2311,skill!B:B,0)-1,0)</f>
        <v>7.5</v>
      </c>
      <c r="I2311" s="186"/>
      <c r="J2311" s="186">
        <f ca="1">OFFSET(card_type!$F$1,MATCH(Q2311,card_type!A:A,0)-1,0)</f>
        <v>2</v>
      </c>
      <c r="K2311" s="243">
        <f ca="1">OFFSET(card_type!$G$1,MATCH(Q2311,card_type!A:A,0)-1,0)</f>
        <v>3</v>
      </c>
      <c r="L2311" s="157">
        <v>3</v>
      </c>
      <c r="M2311" s="157">
        <v>3</v>
      </c>
      <c r="N2311" s="153">
        <f t="shared" si="395"/>
        <v>15</v>
      </c>
      <c r="O2311" s="157"/>
      <c r="P2311" s="157"/>
      <c r="Q2311" s="153">
        <f ca="1">OFFSET(card_type!$A$1,MATCH(card!B2311,card_type!B:B,0)-1,0)</f>
        <v>3024</v>
      </c>
      <c r="R2311" s="153">
        <v>1</v>
      </c>
      <c r="S2311" s="157">
        <f ca="1">ROUND(IF(R2311=0,0,IF(R2311=1,X2311*$S$1,IF(R2311=2,X2311*$S$1*buff的资质计算!$E$2,IF(R2311=3,X2311*$S$1*buff的资质计算!$E$3,0)))),0)*0</f>
        <v>0</v>
      </c>
      <c r="T2311" s="153">
        <v>2</v>
      </c>
      <c r="U2311" s="153">
        <f ca="1" t="shared" si="402"/>
        <v>23</v>
      </c>
      <c r="V2311" s="153">
        <f ca="1">ROUND((OFFSET(卡牌辅助配置表!$O$1,MATCH(U2311,卡牌辅助配置表!M:M,0)-1,0)+(N2311-1)*OFFSET(卡牌辅助配置表!$P$1,MATCH(U2311,卡牌辅助配置表!M:M,0)-1,0))*M2311,2)</f>
        <v>97.44</v>
      </c>
      <c r="W2311" s="157">
        <f ca="1">ROUND(IF(R2311=0,0,IF(R2311=1,X2311*$W$1,IF(R2311=2,X2311*$W$1*buff的资质计算!$E$2,IF(R2311=3,X2311*$W$1*buff的资质计算!$E$3,0)))),2)</f>
        <v>19.2</v>
      </c>
      <c r="X2311" s="157">
        <f ca="1" t="shared" si="397"/>
        <v>64</v>
      </c>
      <c r="Y2311" s="157">
        <f ca="1" t="shared" si="394"/>
        <v>71.5</v>
      </c>
      <c r="Z2311" s="304">
        <f ca="1" t="shared" si="398"/>
        <v>23.8333333333333</v>
      </c>
      <c r="AA2311" s="304">
        <f ca="1">OFFSET(卡牌辅助配置表!$AD$1,MATCH(AB2311,卡牌辅助配置表!AB:AB,0)-1,0)</f>
        <v>3695</v>
      </c>
      <c r="AB2311" s="304">
        <f ca="1" t="shared" si="403"/>
        <v>2315</v>
      </c>
      <c r="AC2311" s="153">
        <v>10</v>
      </c>
      <c r="AD2311" s="153">
        <v>3</v>
      </c>
      <c r="AE2311" s="153">
        <v>1</v>
      </c>
      <c r="AF2311" s="153" t="str">
        <f ca="1" t="shared" si="399"/>
        <v>30240011|30240012|</v>
      </c>
      <c r="AI2311" s="153">
        <v>1</v>
      </c>
      <c r="AJ2311" s="205" t="str">
        <f ca="1" t="shared" si="404"/>
        <v>400023|9400|;</v>
      </c>
      <c r="AK2311" s="205">
        <f ca="1">OFFSET([1]item_type!$A$1,MATCH(Q2311,[1]item_type!$G:$G,0)-1,0)</f>
        <v>303024</v>
      </c>
      <c r="AL2311" s="205"/>
      <c r="AM2311" s="205">
        <f ca="1">IF(B2311=B2312,OFFSET(卡牌辅助配置表!$AE$1,MATCH(AB2311,卡牌辅助配置表!AB:AB,0),0),0)</f>
        <v>9400</v>
      </c>
      <c r="AN2311" s="153">
        <f ca="1" t="shared" si="400"/>
        <v>3024016</v>
      </c>
      <c r="AP2311" s="153" t="str">
        <f ca="1">IF(AC2311=0,0,IF(AC2311=12,0,OFFSET(effect!$N$1,MATCH(K2311,effect!M:M,0)-1,0)))</f>
        <v>kpsx_zise</v>
      </c>
    </row>
    <row r="2312" spans="1:42">
      <c r="A2312" s="153">
        <f ca="1" t="shared" si="401"/>
        <v>3024016</v>
      </c>
      <c r="B2312" s="91" t="s">
        <v>453</v>
      </c>
      <c r="C2312" s="186">
        <v>3</v>
      </c>
      <c r="D2312" s="186">
        <v>2</v>
      </c>
      <c r="E2312" s="165" t="s">
        <v>1069</v>
      </c>
      <c r="F2312" s="179" t="s">
        <v>1078</v>
      </c>
      <c r="G2312" s="186">
        <f ca="1">OFFSET(卡牌辅助配置表!$C$1,MATCH(AC2312,卡牌辅助配置表!A:A,0)-1,0)</f>
        <v>3</v>
      </c>
      <c r="H2312" s="186">
        <f ca="1">OFFSET(skill!$Q$1,MATCH(B2312,skill!B:B,0)-1,0)</f>
        <v>7.5</v>
      </c>
      <c r="I2312" s="186"/>
      <c r="J2312" s="186">
        <f ca="1">OFFSET(card_type!$F$1,MATCH(Q2312,card_type!A:A,0)-1,0)</f>
        <v>2</v>
      </c>
      <c r="K2312" s="243">
        <f ca="1">OFFSET(card_type!$G$1,MATCH(Q2312,card_type!A:A,0)-1,0)</f>
        <v>3</v>
      </c>
      <c r="L2312" s="157">
        <v>3</v>
      </c>
      <c r="M2312" s="157">
        <v>3</v>
      </c>
      <c r="N2312" s="153">
        <f t="shared" si="395"/>
        <v>16</v>
      </c>
      <c r="O2312" s="157"/>
      <c r="P2312" s="157"/>
      <c r="Q2312" s="153">
        <f ca="1">OFFSET(card_type!$A$1,MATCH(card!B2312,card_type!B:B,0)-1,0)</f>
        <v>3024</v>
      </c>
      <c r="R2312" s="153">
        <v>1</v>
      </c>
      <c r="S2312" s="157">
        <f ca="1">ROUND(IF(R2312=0,0,IF(R2312=1,X2312*$S$1,IF(R2312=2,X2312*$S$1*buff的资质计算!$E$2,IF(R2312=3,X2312*$S$1*buff的资质计算!$E$3,0)))),0)*0</f>
        <v>0</v>
      </c>
      <c r="T2312" s="153">
        <v>2</v>
      </c>
      <c r="U2312" s="153">
        <f ca="1" t="shared" si="402"/>
        <v>23</v>
      </c>
      <c r="V2312" s="153">
        <f ca="1">ROUND((OFFSET(卡牌辅助配置表!$O$1,MATCH(U2312,卡牌辅助配置表!M:M,0)-1,0)+(N2312-1)*OFFSET(卡牌辅助配置表!$P$1,MATCH(U2312,卡牌辅助配置表!M:M,0)-1,0))*M2312,2)</f>
        <v>100.8</v>
      </c>
      <c r="W2312" s="157">
        <f ca="1">ROUND(IF(R2312=0,0,IF(R2312=1,X2312*$W$1,IF(R2312=2,X2312*$W$1*buff的资质计算!$E$2,IF(R2312=3,X2312*$W$1*buff的资质计算!$E$3,0)))),2)</f>
        <v>19.35</v>
      </c>
      <c r="X2312" s="157">
        <f ca="1" t="shared" si="397"/>
        <v>64.5</v>
      </c>
      <c r="Y2312" s="157">
        <f ca="1" t="shared" si="394"/>
        <v>72</v>
      </c>
      <c r="Z2312" s="304">
        <f ca="1" t="shared" si="398"/>
        <v>24</v>
      </c>
      <c r="AA2312" s="304">
        <f ca="1">OFFSET(卡牌辅助配置表!$AD$1,MATCH(AB2312,卡牌辅助配置表!AB:AB,0)-1,0)</f>
        <v>4012</v>
      </c>
      <c r="AB2312" s="304">
        <f ca="1" t="shared" si="403"/>
        <v>2316</v>
      </c>
      <c r="AC2312" s="153">
        <v>10</v>
      </c>
      <c r="AD2312" s="153">
        <v>3</v>
      </c>
      <c r="AE2312" s="153">
        <v>1</v>
      </c>
      <c r="AF2312" s="153" t="str">
        <f ca="1" t="shared" si="399"/>
        <v>30240011|30240012|</v>
      </c>
      <c r="AI2312" s="153">
        <v>1</v>
      </c>
      <c r="AJ2312" s="205" t="str">
        <f ca="1" t="shared" si="404"/>
        <v>400023|10200|;</v>
      </c>
      <c r="AK2312" s="205">
        <f ca="1">OFFSET([1]item_type!$A$1,MATCH(Q2312,[1]item_type!$G:$G,0)-1,0)</f>
        <v>303024</v>
      </c>
      <c r="AL2312" s="205"/>
      <c r="AM2312" s="205">
        <f ca="1">IF(B2312=B2313,OFFSET(卡牌辅助配置表!$AE$1,MATCH(AB2312,卡牌辅助配置表!AB:AB,0),0),0)</f>
        <v>10200</v>
      </c>
      <c r="AN2312" s="153">
        <f ca="1" t="shared" si="400"/>
        <v>3024017</v>
      </c>
      <c r="AP2312" s="153" t="str">
        <f ca="1">IF(AC2312=0,0,IF(AC2312=12,0,OFFSET(effect!$N$1,MATCH(K2312,effect!M:M,0)-1,0)))</f>
        <v>kpsx_zise</v>
      </c>
    </row>
    <row r="2313" spans="1:42">
      <c r="A2313" s="153">
        <f ca="1" t="shared" si="401"/>
        <v>3024017</v>
      </c>
      <c r="B2313" s="91" t="s">
        <v>453</v>
      </c>
      <c r="C2313" s="186">
        <v>3</v>
      </c>
      <c r="D2313" s="186">
        <v>2</v>
      </c>
      <c r="E2313" s="165" t="s">
        <v>1069</v>
      </c>
      <c r="F2313" s="179" t="s">
        <v>1078</v>
      </c>
      <c r="G2313" s="186">
        <f ca="1">OFFSET(卡牌辅助配置表!$C$1,MATCH(AC2313,卡牌辅助配置表!A:A,0)-1,0)</f>
        <v>3</v>
      </c>
      <c r="H2313" s="186">
        <f ca="1">OFFSET(skill!$Q$1,MATCH(B2313,skill!B:B,0)-1,0)</f>
        <v>7.5</v>
      </c>
      <c r="I2313" s="186"/>
      <c r="J2313" s="186">
        <f ca="1">OFFSET(card_type!$F$1,MATCH(Q2313,card_type!A:A,0)-1,0)</f>
        <v>2</v>
      </c>
      <c r="K2313" s="243">
        <f ca="1">OFFSET(card_type!$G$1,MATCH(Q2313,card_type!A:A,0)-1,0)</f>
        <v>3</v>
      </c>
      <c r="L2313" s="157">
        <v>3</v>
      </c>
      <c r="M2313" s="157">
        <v>3</v>
      </c>
      <c r="N2313" s="153">
        <f t="shared" si="395"/>
        <v>17</v>
      </c>
      <c r="O2313" s="157"/>
      <c r="P2313" s="157"/>
      <c r="Q2313" s="153">
        <f ca="1">OFFSET(card_type!$A$1,MATCH(card!B2313,card_type!B:B,0)-1,0)</f>
        <v>3024</v>
      </c>
      <c r="R2313" s="153">
        <v>1</v>
      </c>
      <c r="S2313" s="157">
        <f ca="1">ROUND(IF(R2313=0,0,IF(R2313=1,X2313*$S$1,IF(R2313=2,X2313*$S$1*buff的资质计算!$E$2,IF(R2313=3,X2313*$S$1*buff的资质计算!$E$3,0)))),0)*0</f>
        <v>0</v>
      </c>
      <c r="T2313" s="153">
        <v>2</v>
      </c>
      <c r="U2313" s="153">
        <f ca="1" t="shared" si="402"/>
        <v>23</v>
      </c>
      <c r="V2313" s="153">
        <f ca="1">ROUND((OFFSET(卡牌辅助配置表!$O$1,MATCH(U2313,卡牌辅助配置表!M:M,0)-1,0)+(N2313-1)*OFFSET(卡牌辅助配置表!$P$1,MATCH(U2313,卡牌辅助配置表!M:M,0)-1,0))*M2313,2)</f>
        <v>104.16</v>
      </c>
      <c r="W2313" s="157">
        <f ca="1">ROUND(IF(R2313=0,0,IF(R2313=1,X2313*$W$1,IF(R2313=2,X2313*$W$1*buff的资质计算!$E$2,IF(R2313=3,X2313*$W$1*buff的资质计算!$E$3,0)))),2)</f>
        <v>19.5</v>
      </c>
      <c r="X2313" s="157">
        <f ca="1" t="shared" si="397"/>
        <v>65</v>
      </c>
      <c r="Y2313" s="157">
        <f ca="1" t="shared" si="394"/>
        <v>72.5</v>
      </c>
      <c r="Z2313" s="304">
        <f ca="1" t="shared" si="398"/>
        <v>24.1666666666667</v>
      </c>
      <c r="AA2313" s="304">
        <f ca="1">OFFSET(卡牌辅助配置表!$AD$1,MATCH(AB2313,卡牌辅助配置表!AB:AB,0)-1,0)</f>
        <v>4329</v>
      </c>
      <c r="AB2313" s="304">
        <f ca="1" t="shared" si="403"/>
        <v>2317</v>
      </c>
      <c r="AC2313" s="153">
        <v>10</v>
      </c>
      <c r="AD2313" s="153">
        <v>3</v>
      </c>
      <c r="AE2313" s="153">
        <v>1</v>
      </c>
      <c r="AF2313" s="153" t="str">
        <f ca="1" t="shared" si="399"/>
        <v>30240011|30240012|</v>
      </c>
      <c r="AI2313" s="153">
        <v>1</v>
      </c>
      <c r="AJ2313" s="205" t="str">
        <f ca="1" t="shared" si="404"/>
        <v>400023|11000|;</v>
      </c>
      <c r="AK2313" s="205">
        <f ca="1">OFFSET([1]item_type!$A$1,MATCH(Q2313,[1]item_type!$G:$G,0)-1,0)</f>
        <v>303024</v>
      </c>
      <c r="AL2313" s="205"/>
      <c r="AM2313" s="205">
        <f ca="1">IF(B2313=B2314,OFFSET(卡牌辅助配置表!$AE$1,MATCH(AB2313,卡牌辅助配置表!AB:AB,0),0),0)</f>
        <v>11000</v>
      </c>
      <c r="AN2313" s="153">
        <f ca="1" t="shared" si="400"/>
        <v>3024018</v>
      </c>
      <c r="AP2313" s="153" t="str">
        <f ca="1">IF(AC2313=0,0,IF(AC2313=12,0,OFFSET(effect!$N$1,MATCH(K2313,effect!M:M,0)-1,0)))</f>
        <v>kpsx_zise</v>
      </c>
    </row>
    <row r="2314" spans="1:42">
      <c r="A2314" s="153">
        <f ca="1" t="shared" si="401"/>
        <v>3024018</v>
      </c>
      <c r="B2314" s="91" t="s">
        <v>453</v>
      </c>
      <c r="C2314" s="186">
        <v>3</v>
      </c>
      <c r="D2314" s="186">
        <v>2</v>
      </c>
      <c r="E2314" s="165" t="s">
        <v>1069</v>
      </c>
      <c r="F2314" s="179" t="s">
        <v>1078</v>
      </c>
      <c r="G2314" s="186">
        <f ca="1">OFFSET(卡牌辅助配置表!$C$1,MATCH(AC2314,卡牌辅助配置表!A:A,0)-1,0)</f>
        <v>3</v>
      </c>
      <c r="H2314" s="186">
        <f ca="1">OFFSET(skill!$Q$1,MATCH(B2314,skill!B:B,0)-1,0)</f>
        <v>7.5</v>
      </c>
      <c r="I2314" s="186"/>
      <c r="J2314" s="186">
        <f ca="1">OFFSET(card_type!$F$1,MATCH(Q2314,card_type!A:A,0)-1,0)</f>
        <v>2</v>
      </c>
      <c r="K2314" s="243">
        <f ca="1">OFFSET(card_type!$G$1,MATCH(Q2314,card_type!A:A,0)-1,0)</f>
        <v>3</v>
      </c>
      <c r="L2314" s="157">
        <v>3</v>
      </c>
      <c r="M2314" s="157">
        <v>3</v>
      </c>
      <c r="N2314" s="153">
        <f t="shared" si="395"/>
        <v>18</v>
      </c>
      <c r="O2314" s="157"/>
      <c r="P2314" s="157"/>
      <c r="Q2314" s="153">
        <f ca="1">OFFSET(card_type!$A$1,MATCH(card!B2314,card_type!B:B,0)-1,0)</f>
        <v>3024</v>
      </c>
      <c r="R2314" s="153">
        <v>1</v>
      </c>
      <c r="S2314" s="157">
        <f ca="1">ROUND(IF(R2314=0,0,IF(R2314=1,X2314*$S$1,IF(R2314=2,X2314*$S$1*buff的资质计算!$E$2,IF(R2314=3,X2314*$S$1*buff的资质计算!$E$3,0)))),0)*0</f>
        <v>0</v>
      </c>
      <c r="T2314" s="153">
        <v>2</v>
      </c>
      <c r="U2314" s="153">
        <f ca="1" t="shared" si="402"/>
        <v>23</v>
      </c>
      <c r="V2314" s="153">
        <f ca="1">ROUND((OFFSET(卡牌辅助配置表!$O$1,MATCH(U2314,卡牌辅助配置表!M:M,0)-1,0)+(N2314-1)*OFFSET(卡牌辅助配置表!$P$1,MATCH(U2314,卡牌辅助配置表!M:M,0)-1,0))*M2314,2)</f>
        <v>107.52</v>
      </c>
      <c r="W2314" s="157">
        <f ca="1">ROUND(IF(R2314=0,0,IF(R2314=1,X2314*$W$1,IF(R2314=2,X2314*$W$1*buff的资质计算!$E$2,IF(R2314=3,X2314*$W$1*buff的资质计算!$E$3,0)))),2)</f>
        <v>19.65</v>
      </c>
      <c r="X2314" s="157">
        <f ca="1" t="shared" si="397"/>
        <v>65.5</v>
      </c>
      <c r="Y2314" s="157">
        <f ca="1" t="shared" ref="Y2314:Y2377" si="405">X2314+H2314</f>
        <v>73</v>
      </c>
      <c r="Z2314" s="304">
        <f ca="1" t="shared" si="398"/>
        <v>24.3333333333333</v>
      </c>
      <c r="AA2314" s="304">
        <f ca="1">OFFSET(卡牌辅助配置表!$AD$1,MATCH(AB2314,卡牌辅助配置表!AB:AB,0)-1,0)</f>
        <v>4646</v>
      </c>
      <c r="AB2314" s="304">
        <f ca="1" t="shared" si="403"/>
        <v>2318</v>
      </c>
      <c r="AC2314" s="153">
        <v>10</v>
      </c>
      <c r="AD2314" s="153">
        <v>3</v>
      </c>
      <c r="AE2314" s="153">
        <v>1</v>
      </c>
      <c r="AF2314" s="153" t="str">
        <f ca="1" t="shared" si="399"/>
        <v>30240011|30240012|</v>
      </c>
      <c r="AI2314" s="153">
        <v>1</v>
      </c>
      <c r="AJ2314" s="205" t="str">
        <f ca="1" t="shared" si="404"/>
        <v>400023|11800|;</v>
      </c>
      <c r="AK2314" s="205">
        <f ca="1">OFFSET([1]item_type!$A$1,MATCH(Q2314,[1]item_type!$G:$G,0)-1,0)</f>
        <v>303024</v>
      </c>
      <c r="AL2314" s="205"/>
      <c r="AM2314" s="205">
        <f ca="1">IF(B2314=B2315,OFFSET(卡牌辅助配置表!$AE$1,MATCH(AB2314,卡牌辅助配置表!AB:AB,0),0),0)</f>
        <v>11800</v>
      </c>
      <c r="AN2314" s="153">
        <f ca="1" t="shared" si="400"/>
        <v>3024019</v>
      </c>
      <c r="AP2314" s="153" t="str">
        <f ca="1">IF(AC2314=0,0,IF(AC2314=12,0,OFFSET(effect!$N$1,MATCH(K2314,effect!M:M,0)-1,0)))</f>
        <v>kpsx_zise</v>
      </c>
    </row>
    <row r="2315" spans="1:42">
      <c r="A2315" s="153">
        <f ca="1" t="shared" si="401"/>
        <v>3024019</v>
      </c>
      <c r="B2315" s="91" t="s">
        <v>453</v>
      </c>
      <c r="C2315" s="186">
        <v>3</v>
      </c>
      <c r="D2315" s="186">
        <v>2</v>
      </c>
      <c r="E2315" s="165" t="s">
        <v>1069</v>
      </c>
      <c r="F2315" s="179" t="s">
        <v>1078</v>
      </c>
      <c r="G2315" s="186">
        <f ca="1">OFFSET(卡牌辅助配置表!$C$1,MATCH(AC2315,卡牌辅助配置表!A:A,0)-1,0)</f>
        <v>3</v>
      </c>
      <c r="H2315" s="186">
        <f ca="1">OFFSET(skill!$Q$1,MATCH(B2315,skill!B:B,0)-1,0)</f>
        <v>7.5</v>
      </c>
      <c r="I2315" s="186"/>
      <c r="J2315" s="186">
        <f ca="1">OFFSET(card_type!$F$1,MATCH(Q2315,card_type!A:A,0)-1,0)</f>
        <v>2</v>
      </c>
      <c r="K2315" s="243">
        <f ca="1">OFFSET(card_type!$G$1,MATCH(Q2315,card_type!A:A,0)-1,0)</f>
        <v>3</v>
      </c>
      <c r="L2315" s="157">
        <v>3</v>
      </c>
      <c r="M2315" s="157">
        <v>3</v>
      </c>
      <c r="N2315" s="153">
        <f t="shared" si="395"/>
        <v>19</v>
      </c>
      <c r="O2315" s="157"/>
      <c r="P2315" s="157"/>
      <c r="Q2315" s="153">
        <f ca="1">OFFSET(card_type!$A$1,MATCH(card!B2315,card_type!B:B,0)-1,0)</f>
        <v>3024</v>
      </c>
      <c r="R2315" s="153">
        <v>1</v>
      </c>
      <c r="S2315" s="157">
        <f ca="1">ROUND(IF(R2315=0,0,IF(R2315=1,X2315*$S$1,IF(R2315=2,X2315*$S$1*buff的资质计算!$E$2,IF(R2315=3,X2315*$S$1*buff的资质计算!$E$3,0)))),0)*0</f>
        <v>0</v>
      </c>
      <c r="T2315" s="153">
        <v>2</v>
      </c>
      <c r="U2315" s="153">
        <f ca="1" t="shared" si="402"/>
        <v>23</v>
      </c>
      <c r="V2315" s="153">
        <f ca="1">ROUND((OFFSET(卡牌辅助配置表!$O$1,MATCH(U2315,卡牌辅助配置表!M:M,0)-1,0)+(N2315-1)*OFFSET(卡牌辅助配置表!$P$1,MATCH(U2315,卡牌辅助配置表!M:M,0)-1,0))*M2315,2)</f>
        <v>110.88</v>
      </c>
      <c r="W2315" s="157">
        <f ca="1">ROUND(IF(R2315=0,0,IF(R2315=1,X2315*$W$1,IF(R2315=2,X2315*$W$1*buff的资质计算!$E$2,IF(R2315=3,X2315*$W$1*buff的资质计算!$E$3,0)))),2)</f>
        <v>19.8</v>
      </c>
      <c r="X2315" s="157">
        <f ca="1" t="shared" si="397"/>
        <v>66</v>
      </c>
      <c r="Y2315" s="157">
        <f ca="1" t="shared" si="405"/>
        <v>73.5</v>
      </c>
      <c r="Z2315" s="304">
        <f ca="1" t="shared" si="398"/>
        <v>24.5</v>
      </c>
      <c r="AA2315" s="304">
        <f ca="1">OFFSET(卡牌辅助配置表!$AD$1,MATCH(AB2315,卡牌辅助配置表!AB:AB,0)-1,0)</f>
        <v>4963</v>
      </c>
      <c r="AB2315" s="304">
        <f ca="1" t="shared" si="403"/>
        <v>2319</v>
      </c>
      <c r="AC2315" s="153">
        <v>10</v>
      </c>
      <c r="AD2315" s="153">
        <v>3</v>
      </c>
      <c r="AE2315" s="153">
        <v>1</v>
      </c>
      <c r="AF2315" s="153" t="str">
        <f ca="1" t="shared" si="399"/>
        <v>30240011|30240012|</v>
      </c>
      <c r="AI2315" s="153">
        <v>1</v>
      </c>
      <c r="AJ2315" s="205" t="str">
        <f ca="1" t="shared" si="404"/>
        <v>303024|20|;400023|12600|;</v>
      </c>
      <c r="AK2315" s="205">
        <f ca="1">OFFSET([1]item_type!$A$1,MATCH(Q2315,[1]item_type!$G:$G,0)-1,0)</f>
        <v>303024</v>
      </c>
      <c r="AL2315" s="205">
        <v>20</v>
      </c>
      <c r="AM2315" s="205">
        <f ca="1">IF(B2315=B2316,OFFSET(卡牌辅助配置表!$AE$1,MATCH(AB2315,卡牌辅助配置表!AB:AB,0),0),0)</f>
        <v>12600</v>
      </c>
      <c r="AN2315" s="153">
        <f ca="1" t="shared" si="400"/>
        <v>3024020</v>
      </c>
      <c r="AP2315" s="153" t="str">
        <f ca="1">IF(AC2315=0,0,IF(AC2315=12,0,OFFSET(effect!$N$1,MATCH(K2315,effect!M:M,0)-1,0)))</f>
        <v>kpsx_zise</v>
      </c>
    </row>
    <row r="2316" spans="1:42">
      <c r="A2316" s="153">
        <f ca="1" t="shared" si="401"/>
        <v>3024020</v>
      </c>
      <c r="B2316" s="91" t="s">
        <v>453</v>
      </c>
      <c r="C2316" s="186">
        <v>3</v>
      </c>
      <c r="D2316" s="186">
        <v>2</v>
      </c>
      <c r="E2316" s="165" t="s">
        <v>1069</v>
      </c>
      <c r="F2316" s="179" t="s">
        <v>1078</v>
      </c>
      <c r="G2316" s="186">
        <f ca="1">OFFSET(卡牌辅助配置表!$C$1,MATCH(AC2316,卡牌辅助配置表!A:A,0)-1,0)</f>
        <v>3</v>
      </c>
      <c r="H2316" s="186">
        <f ca="1">OFFSET(skill!$Q$1,MATCH(B2316,skill!B:B,0)-1,0)</f>
        <v>7.5</v>
      </c>
      <c r="I2316" s="186"/>
      <c r="J2316" s="186">
        <f ca="1">OFFSET(card_type!$F$1,MATCH(Q2316,card_type!A:A,0)-1,0)</f>
        <v>2</v>
      </c>
      <c r="K2316" s="243">
        <f ca="1">OFFSET(card_type!$G$1,MATCH(Q2316,card_type!A:A,0)-1,0)</f>
        <v>3</v>
      </c>
      <c r="L2316" s="157">
        <v>3</v>
      </c>
      <c r="M2316" s="157">
        <v>3</v>
      </c>
      <c r="N2316" s="153">
        <f t="shared" si="395"/>
        <v>20</v>
      </c>
      <c r="O2316" s="157"/>
      <c r="P2316" s="157"/>
      <c r="Q2316" s="153">
        <f ca="1">OFFSET(card_type!$A$1,MATCH(card!B2316,card_type!B:B,0)-1,0)</f>
        <v>3024</v>
      </c>
      <c r="R2316" s="153">
        <v>1</v>
      </c>
      <c r="S2316" s="157">
        <f ca="1">ROUND(IF(R2316=0,0,IF(R2316=1,X2316*$S$1,IF(R2316=2,X2316*$S$1*buff的资质计算!$E$2,IF(R2316=3,X2316*$S$1*buff的资质计算!$E$3,0)))),0)*0</f>
        <v>0</v>
      </c>
      <c r="T2316" s="153">
        <v>2</v>
      </c>
      <c r="U2316" s="153">
        <f ca="1" t="shared" si="402"/>
        <v>23</v>
      </c>
      <c r="V2316" s="153">
        <f ca="1">ROUND((OFFSET(卡牌辅助配置表!$O$1,MATCH(U2316,卡牌辅助配置表!M:M,0)-1,0)+(N2316-1)*OFFSET(卡牌辅助配置表!$P$1,MATCH(U2316,卡牌辅助配置表!M:M,0)-1,0))*M2316,2)</f>
        <v>114.24</v>
      </c>
      <c r="W2316" s="157">
        <f ca="1">ROUND(IF(R2316=0,0,IF(R2316=1,X2316*$W$1,IF(R2316=2,X2316*$W$1*buff的资质计算!$E$2,IF(R2316=3,X2316*$W$1*buff的资质计算!$E$3,0)))),2)</f>
        <v>19.95</v>
      </c>
      <c r="X2316" s="157">
        <f ca="1" t="shared" si="397"/>
        <v>66.5</v>
      </c>
      <c r="Y2316" s="157">
        <f ca="1" t="shared" si="405"/>
        <v>74</v>
      </c>
      <c r="Z2316" s="304">
        <f ca="1" t="shared" si="398"/>
        <v>24.6666666666667</v>
      </c>
      <c r="AA2316" s="304">
        <f ca="1">OFFSET(卡牌辅助配置表!$AD$1,MATCH(AB2316,卡牌辅助配置表!AB:AB,0)-1,0)</f>
        <v>5280</v>
      </c>
      <c r="AB2316" s="304">
        <f ca="1" t="shared" si="403"/>
        <v>2320</v>
      </c>
      <c r="AC2316" s="153">
        <v>10</v>
      </c>
      <c r="AD2316" s="153">
        <v>3</v>
      </c>
      <c r="AE2316" s="153">
        <v>1</v>
      </c>
      <c r="AF2316" s="153" t="str">
        <f ca="1" t="shared" si="399"/>
        <v>30240011|30240012|</v>
      </c>
      <c r="AI2316" s="153">
        <v>1</v>
      </c>
      <c r="AJ2316" s="205" t="str">
        <f ca="1" t="shared" si="404"/>
        <v>400023|14200|;</v>
      </c>
      <c r="AK2316" s="205">
        <f ca="1">OFFSET([1]item_type!$A$1,MATCH(Q2316,[1]item_type!$G:$G,0)-1,0)</f>
        <v>303024</v>
      </c>
      <c r="AL2316" s="205"/>
      <c r="AM2316" s="205">
        <f ca="1">IF(B2316=B2317,OFFSET(卡牌辅助配置表!$AE$1,MATCH(AB2316,卡牌辅助配置表!AB:AB,0),0),0)</f>
        <v>14200</v>
      </c>
      <c r="AN2316" s="153">
        <f ca="1" t="shared" si="400"/>
        <v>3024021</v>
      </c>
      <c r="AP2316" s="153" t="str">
        <f ca="1">IF(AC2316=0,0,IF(AC2316=12,0,OFFSET(effect!$N$1,MATCH(K2316,effect!M:M,0)-1,0)))</f>
        <v>kpsx_zise</v>
      </c>
    </row>
    <row r="2317" spans="1:42">
      <c r="A2317" s="153">
        <f ca="1" t="shared" si="401"/>
        <v>3024021</v>
      </c>
      <c r="B2317" s="91" t="s">
        <v>453</v>
      </c>
      <c r="C2317" s="186">
        <v>3</v>
      </c>
      <c r="D2317" s="186">
        <v>2</v>
      </c>
      <c r="E2317" s="165" t="s">
        <v>1069</v>
      </c>
      <c r="F2317" s="179" t="s">
        <v>1078</v>
      </c>
      <c r="G2317" s="186">
        <f ca="1">OFFSET(卡牌辅助配置表!$C$1,MATCH(AC2317,卡牌辅助配置表!A:A,0)-1,0)</f>
        <v>3</v>
      </c>
      <c r="H2317" s="186">
        <f ca="1">OFFSET(skill!$Q$1,MATCH(B2317,skill!B:B,0)-1,0)</f>
        <v>7.5</v>
      </c>
      <c r="I2317" s="186"/>
      <c r="J2317" s="186">
        <f ca="1">OFFSET(card_type!$F$1,MATCH(Q2317,card_type!A:A,0)-1,0)</f>
        <v>2</v>
      </c>
      <c r="K2317" s="243">
        <f ca="1">OFFSET(card_type!$G$1,MATCH(Q2317,card_type!A:A,0)-1,0)</f>
        <v>3</v>
      </c>
      <c r="L2317" s="157">
        <v>3</v>
      </c>
      <c r="M2317" s="157">
        <v>3</v>
      </c>
      <c r="N2317" s="153">
        <f t="shared" si="395"/>
        <v>21</v>
      </c>
      <c r="O2317" s="157"/>
      <c r="P2317" s="157"/>
      <c r="Q2317" s="153">
        <f ca="1">OFFSET(card_type!$A$1,MATCH(card!B2317,card_type!B:B,0)-1,0)</f>
        <v>3024</v>
      </c>
      <c r="R2317" s="153">
        <v>1</v>
      </c>
      <c r="S2317" s="157">
        <f ca="1">ROUND(IF(R2317=0,0,IF(R2317=1,X2317*$S$1,IF(R2317=2,X2317*$S$1*buff的资质计算!$E$2,IF(R2317=3,X2317*$S$1*buff的资质计算!$E$3,0)))),0)*0</f>
        <v>0</v>
      </c>
      <c r="T2317" s="153">
        <v>2</v>
      </c>
      <c r="U2317" s="153">
        <f ca="1" t="shared" si="402"/>
        <v>23</v>
      </c>
      <c r="V2317" s="153">
        <f ca="1">ROUND((OFFSET(卡牌辅助配置表!$O$1,MATCH(U2317,卡牌辅助配置表!M:M,0)-1,0)+(N2317-1)*OFFSET(卡牌辅助配置表!$P$1,MATCH(U2317,卡牌辅助配置表!M:M,0)-1,0))*M2317,2)</f>
        <v>117.6</v>
      </c>
      <c r="W2317" s="157">
        <f ca="1">ROUND(IF(R2317=0,0,IF(R2317=1,X2317*$W$1,IF(R2317=2,X2317*$W$1*buff的资质计算!$E$2,IF(R2317=3,X2317*$W$1*buff的资质计算!$E$3,0)))),2)</f>
        <v>20.1</v>
      </c>
      <c r="X2317" s="157">
        <f ca="1" t="shared" si="397"/>
        <v>67</v>
      </c>
      <c r="Y2317" s="157">
        <f ca="1" t="shared" si="405"/>
        <v>74.5</v>
      </c>
      <c r="Z2317" s="304">
        <f ca="1" t="shared" si="398"/>
        <v>24.8333333333333</v>
      </c>
      <c r="AA2317" s="304">
        <f ca="1">OFFSET(卡牌辅助配置表!$AD$1,MATCH(AB2317,卡牌辅助配置表!AB:AB,0)-1,0)</f>
        <v>5703</v>
      </c>
      <c r="AB2317" s="304">
        <f ca="1" t="shared" si="403"/>
        <v>2321</v>
      </c>
      <c r="AC2317" s="153">
        <v>10</v>
      </c>
      <c r="AD2317" s="153">
        <v>3</v>
      </c>
      <c r="AE2317" s="153">
        <v>1</v>
      </c>
      <c r="AF2317" s="153" t="str">
        <f ca="1" t="shared" si="399"/>
        <v>30240011|30240012|</v>
      </c>
      <c r="AI2317" s="153">
        <v>1</v>
      </c>
      <c r="AJ2317" s="205" t="str">
        <f ca="1" t="shared" si="404"/>
        <v>400023|15800|;</v>
      </c>
      <c r="AK2317" s="205">
        <f ca="1">OFFSET([1]item_type!$A$1,MATCH(Q2317,[1]item_type!$G:$G,0)-1,0)</f>
        <v>303024</v>
      </c>
      <c r="AL2317" s="205"/>
      <c r="AM2317" s="205">
        <f ca="1">IF(B2317=B2318,OFFSET(卡牌辅助配置表!$AE$1,MATCH(AB2317,卡牌辅助配置表!AB:AB,0),0),0)</f>
        <v>15800</v>
      </c>
      <c r="AN2317" s="153">
        <f ca="1" t="shared" si="400"/>
        <v>3024022</v>
      </c>
      <c r="AP2317" s="153" t="str">
        <f ca="1">IF(AC2317=0,0,IF(AC2317=12,0,OFFSET(effect!$N$1,MATCH(K2317,effect!M:M,0)-1,0)))</f>
        <v>kpsx_zise</v>
      </c>
    </row>
    <row r="2318" spans="1:42">
      <c r="A2318" s="153">
        <f ca="1" t="shared" si="401"/>
        <v>3024022</v>
      </c>
      <c r="B2318" s="91" t="s">
        <v>453</v>
      </c>
      <c r="C2318" s="186">
        <v>3</v>
      </c>
      <c r="D2318" s="186">
        <v>2</v>
      </c>
      <c r="E2318" s="165" t="s">
        <v>1069</v>
      </c>
      <c r="F2318" s="179" t="s">
        <v>1078</v>
      </c>
      <c r="G2318" s="186">
        <f ca="1">OFFSET(卡牌辅助配置表!$C$1,MATCH(AC2318,卡牌辅助配置表!A:A,0)-1,0)</f>
        <v>3</v>
      </c>
      <c r="H2318" s="186">
        <f ca="1">OFFSET(skill!$Q$1,MATCH(B2318,skill!B:B,0)-1,0)</f>
        <v>7.5</v>
      </c>
      <c r="I2318" s="186"/>
      <c r="J2318" s="186">
        <f ca="1">OFFSET(card_type!$F$1,MATCH(Q2318,card_type!A:A,0)-1,0)</f>
        <v>2</v>
      </c>
      <c r="K2318" s="243">
        <f ca="1">OFFSET(card_type!$G$1,MATCH(Q2318,card_type!A:A,0)-1,0)</f>
        <v>3</v>
      </c>
      <c r="L2318" s="157">
        <v>3</v>
      </c>
      <c r="M2318" s="157">
        <v>3</v>
      </c>
      <c r="N2318" s="153">
        <f t="shared" si="395"/>
        <v>22</v>
      </c>
      <c r="O2318" s="157"/>
      <c r="P2318" s="157"/>
      <c r="Q2318" s="153">
        <f ca="1">OFFSET(card_type!$A$1,MATCH(card!B2318,card_type!B:B,0)-1,0)</f>
        <v>3024</v>
      </c>
      <c r="R2318" s="153">
        <v>1</v>
      </c>
      <c r="S2318" s="157">
        <f ca="1">ROUND(IF(R2318=0,0,IF(R2318=1,X2318*$S$1,IF(R2318=2,X2318*$S$1*buff的资质计算!$E$2,IF(R2318=3,X2318*$S$1*buff的资质计算!$E$3,0)))),0)*0</f>
        <v>0</v>
      </c>
      <c r="T2318" s="153">
        <v>2</v>
      </c>
      <c r="U2318" s="153">
        <f ca="1" t="shared" si="402"/>
        <v>23</v>
      </c>
      <c r="V2318" s="153">
        <f ca="1">ROUND((OFFSET(卡牌辅助配置表!$O$1,MATCH(U2318,卡牌辅助配置表!M:M,0)-1,0)+(N2318-1)*OFFSET(卡牌辅助配置表!$P$1,MATCH(U2318,卡牌辅助配置表!M:M,0)-1,0))*M2318,2)</f>
        <v>120.96</v>
      </c>
      <c r="W2318" s="157">
        <f ca="1">ROUND(IF(R2318=0,0,IF(R2318=1,X2318*$W$1,IF(R2318=2,X2318*$W$1*buff的资质计算!$E$2,IF(R2318=3,X2318*$W$1*buff的资质计算!$E$3,0)))),2)</f>
        <v>20.25</v>
      </c>
      <c r="X2318" s="157">
        <f ca="1" t="shared" si="397"/>
        <v>67.5</v>
      </c>
      <c r="Y2318" s="157">
        <f ca="1" t="shared" si="405"/>
        <v>75</v>
      </c>
      <c r="Z2318" s="304">
        <f ca="1" t="shared" si="398"/>
        <v>25</v>
      </c>
      <c r="AA2318" s="304">
        <f ca="1">OFFSET(卡牌辅助配置表!$AD$1,MATCH(AB2318,卡牌辅助配置表!AB:AB,0)-1,0)</f>
        <v>6126</v>
      </c>
      <c r="AB2318" s="304">
        <f ca="1" t="shared" si="403"/>
        <v>2322</v>
      </c>
      <c r="AC2318" s="153">
        <v>10</v>
      </c>
      <c r="AD2318" s="153">
        <v>3</v>
      </c>
      <c r="AE2318" s="153">
        <v>1</v>
      </c>
      <c r="AF2318" s="153" t="str">
        <f ca="1" t="shared" si="399"/>
        <v>30240011|30240012|</v>
      </c>
      <c r="AI2318" s="153">
        <v>1</v>
      </c>
      <c r="AJ2318" s="205" t="str">
        <f ca="1" t="shared" si="404"/>
        <v>400023|17400|;</v>
      </c>
      <c r="AK2318" s="205">
        <f ca="1">OFFSET([1]item_type!$A$1,MATCH(Q2318,[1]item_type!$G:$G,0)-1,0)</f>
        <v>303024</v>
      </c>
      <c r="AL2318" s="205"/>
      <c r="AM2318" s="205">
        <f ca="1">IF(B2318=B2319,OFFSET(卡牌辅助配置表!$AE$1,MATCH(AB2318,卡牌辅助配置表!AB:AB,0),0),0)</f>
        <v>17400</v>
      </c>
      <c r="AN2318" s="153">
        <f ca="1" t="shared" si="400"/>
        <v>3024023</v>
      </c>
      <c r="AP2318" s="153" t="str">
        <f ca="1">IF(AC2318=0,0,IF(AC2318=12,0,OFFSET(effect!$N$1,MATCH(K2318,effect!M:M,0)-1,0)))</f>
        <v>kpsx_zise</v>
      </c>
    </row>
    <row r="2319" spans="1:42">
      <c r="A2319" s="153">
        <f ca="1" t="shared" si="401"/>
        <v>3024023</v>
      </c>
      <c r="B2319" s="91" t="s">
        <v>453</v>
      </c>
      <c r="C2319" s="186">
        <v>3</v>
      </c>
      <c r="D2319" s="186">
        <v>2</v>
      </c>
      <c r="E2319" s="165" t="s">
        <v>1069</v>
      </c>
      <c r="F2319" s="179" t="s">
        <v>1078</v>
      </c>
      <c r="G2319" s="186">
        <f ca="1">OFFSET(卡牌辅助配置表!$C$1,MATCH(AC2319,卡牌辅助配置表!A:A,0)-1,0)</f>
        <v>3</v>
      </c>
      <c r="H2319" s="186">
        <f ca="1">OFFSET(skill!$Q$1,MATCH(B2319,skill!B:B,0)-1,0)</f>
        <v>7.5</v>
      </c>
      <c r="I2319" s="186"/>
      <c r="J2319" s="186">
        <f ca="1">OFFSET(card_type!$F$1,MATCH(Q2319,card_type!A:A,0)-1,0)</f>
        <v>2</v>
      </c>
      <c r="K2319" s="243">
        <f ca="1">OFFSET(card_type!$G$1,MATCH(Q2319,card_type!A:A,0)-1,0)</f>
        <v>3</v>
      </c>
      <c r="L2319" s="157">
        <v>3</v>
      </c>
      <c r="M2319" s="157">
        <v>3</v>
      </c>
      <c r="N2319" s="153">
        <f t="shared" si="395"/>
        <v>23</v>
      </c>
      <c r="O2319" s="157"/>
      <c r="P2319" s="157"/>
      <c r="Q2319" s="153">
        <f ca="1">OFFSET(card_type!$A$1,MATCH(card!B2319,card_type!B:B,0)-1,0)</f>
        <v>3024</v>
      </c>
      <c r="R2319" s="153">
        <v>1</v>
      </c>
      <c r="S2319" s="157">
        <f ca="1">ROUND(IF(R2319=0,0,IF(R2319=1,X2319*$S$1,IF(R2319=2,X2319*$S$1*buff的资质计算!$E$2,IF(R2319=3,X2319*$S$1*buff的资质计算!$E$3,0)))),0)*0</f>
        <v>0</v>
      </c>
      <c r="T2319" s="153">
        <v>2</v>
      </c>
      <c r="U2319" s="153">
        <f ca="1" t="shared" si="402"/>
        <v>23</v>
      </c>
      <c r="V2319" s="153">
        <f ca="1">ROUND((OFFSET(卡牌辅助配置表!$O$1,MATCH(U2319,卡牌辅助配置表!M:M,0)-1,0)+(N2319-1)*OFFSET(卡牌辅助配置表!$P$1,MATCH(U2319,卡牌辅助配置表!M:M,0)-1,0))*M2319,2)</f>
        <v>124.32</v>
      </c>
      <c r="W2319" s="157">
        <f ca="1">ROUND(IF(R2319=0,0,IF(R2319=1,X2319*$W$1,IF(R2319=2,X2319*$W$1*buff的资质计算!$E$2,IF(R2319=3,X2319*$W$1*buff的资质计算!$E$3,0)))),2)</f>
        <v>20.4</v>
      </c>
      <c r="X2319" s="157">
        <f ca="1" t="shared" si="397"/>
        <v>68</v>
      </c>
      <c r="Y2319" s="157">
        <f ca="1" t="shared" si="405"/>
        <v>75.5</v>
      </c>
      <c r="Z2319" s="304">
        <f ca="1" t="shared" si="398"/>
        <v>25.1666666666667</v>
      </c>
      <c r="AA2319" s="304">
        <f ca="1">OFFSET(卡牌辅助配置表!$AD$1,MATCH(AB2319,卡牌辅助配置表!AB:AB,0)-1,0)</f>
        <v>6549</v>
      </c>
      <c r="AB2319" s="304">
        <f ca="1" t="shared" si="403"/>
        <v>2323</v>
      </c>
      <c r="AC2319" s="153">
        <v>10</v>
      </c>
      <c r="AD2319" s="153">
        <v>3</v>
      </c>
      <c r="AE2319" s="153">
        <v>1</v>
      </c>
      <c r="AF2319" s="153" t="str">
        <f ca="1" t="shared" si="399"/>
        <v>30240011|30240012|</v>
      </c>
      <c r="AI2319" s="153">
        <v>1</v>
      </c>
      <c r="AJ2319" s="205" t="str">
        <f ca="1" t="shared" si="404"/>
        <v>400023|19000|;</v>
      </c>
      <c r="AK2319" s="205">
        <f ca="1">OFFSET([1]item_type!$A$1,MATCH(Q2319,[1]item_type!$G:$G,0)-1,0)</f>
        <v>303024</v>
      </c>
      <c r="AL2319" s="205"/>
      <c r="AM2319" s="205">
        <f ca="1">IF(B2319=B2320,OFFSET(卡牌辅助配置表!$AE$1,MATCH(AB2319,卡牌辅助配置表!AB:AB,0),0),0)</f>
        <v>19000</v>
      </c>
      <c r="AN2319" s="153">
        <f ca="1" t="shared" si="400"/>
        <v>3024024</v>
      </c>
      <c r="AP2319" s="153" t="str">
        <f ca="1">IF(AC2319=0,0,IF(AC2319=12,0,OFFSET(effect!$N$1,MATCH(K2319,effect!M:M,0)-1,0)))</f>
        <v>kpsx_zise</v>
      </c>
    </row>
    <row r="2320" spans="1:42">
      <c r="A2320" s="153">
        <f ca="1" t="shared" si="401"/>
        <v>3024024</v>
      </c>
      <c r="B2320" s="91" t="s">
        <v>453</v>
      </c>
      <c r="C2320" s="186">
        <v>3</v>
      </c>
      <c r="D2320" s="186">
        <v>2</v>
      </c>
      <c r="E2320" s="165" t="s">
        <v>1069</v>
      </c>
      <c r="F2320" s="179" t="s">
        <v>1078</v>
      </c>
      <c r="G2320" s="186">
        <f ca="1">OFFSET(卡牌辅助配置表!$C$1,MATCH(AC2320,卡牌辅助配置表!A:A,0)-1,0)</f>
        <v>3</v>
      </c>
      <c r="H2320" s="186">
        <f ca="1">OFFSET(skill!$Q$1,MATCH(B2320,skill!B:B,0)-1,0)</f>
        <v>7.5</v>
      </c>
      <c r="I2320" s="186"/>
      <c r="J2320" s="186">
        <f ca="1">OFFSET(card_type!$F$1,MATCH(Q2320,card_type!A:A,0)-1,0)</f>
        <v>2</v>
      </c>
      <c r="K2320" s="243">
        <f ca="1">OFFSET(card_type!$G$1,MATCH(Q2320,card_type!A:A,0)-1,0)</f>
        <v>3</v>
      </c>
      <c r="L2320" s="157">
        <v>3</v>
      </c>
      <c r="M2320" s="157">
        <v>3</v>
      </c>
      <c r="N2320" s="153">
        <f t="shared" si="395"/>
        <v>24</v>
      </c>
      <c r="O2320" s="157"/>
      <c r="P2320" s="157"/>
      <c r="Q2320" s="153">
        <f ca="1">OFFSET(card_type!$A$1,MATCH(card!B2320,card_type!B:B,0)-1,0)</f>
        <v>3024</v>
      </c>
      <c r="R2320" s="153">
        <v>1</v>
      </c>
      <c r="S2320" s="157">
        <f ca="1">ROUND(IF(R2320=0,0,IF(R2320=1,X2320*$S$1,IF(R2320=2,X2320*$S$1*buff的资质计算!$E$2,IF(R2320=3,X2320*$S$1*buff的资质计算!$E$3,0)))),0)*0</f>
        <v>0</v>
      </c>
      <c r="T2320" s="153">
        <v>2</v>
      </c>
      <c r="U2320" s="153">
        <f ca="1" t="shared" si="402"/>
        <v>23</v>
      </c>
      <c r="V2320" s="153">
        <f ca="1">ROUND((OFFSET(卡牌辅助配置表!$O$1,MATCH(U2320,卡牌辅助配置表!M:M,0)-1,0)+(N2320-1)*OFFSET(卡牌辅助配置表!$P$1,MATCH(U2320,卡牌辅助配置表!M:M,0)-1,0))*M2320,2)</f>
        <v>127.68</v>
      </c>
      <c r="W2320" s="157">
        <f ca="1">ROUND(IF(R2320=0,0,IF(R2320=1,X2320*$W$1,IF(R2320=2,X2320*$W$1*buff的资质计算!$E$2,IF(R2320=3,X2320*$W$1*buff的资质计算!$E$3,0)))),2)</f>
        <v>20.55</v>
      </c>
      <c r="X2320" s="157">
        <f ca="1" t="shared" si="397"/>
        <v>68.5</v>
      </c>
      <c r="Y2320" s="157">
        <f ca="1" t="shared" si="405"/>
        <v>76</v>
      </c>
      <c r="Z2320" s="304">
        <f ca="1" t="shared" si="398"/>
        <v>25.3333333333333</v>
      </c>
      <c r="AA2320" s="304">
        <f ca="1">OFFSET(卡牌辅助配置表!$AD$1,MATCH(AB2320,卡牌辅助配置表!AB:AB,0)-1,0)</f>
        <v>6972</v>
      </c>
      <c r="AB2320" s="304">
        <f ca="1" t="shared" si="403"/>
        <v>2324</v>
      </c>
      <c r="AC2320" s="153">
        <v>10</v>
      </c>
      <c r="AD2320" s="153">
        <v>3</v>
      </c>
      <c r="AE2320" s="153">
        <v>1</v>
      </c>
      <c r="AF2320" s="153" t="str">
        <f ca="1" t="shared" si="399"/>
        <v>30240011|30240012|</v>
      </c>
      <c r="AI2320" s="153">
        <v>1</v>
      </c>
      <c r="AJ2320" s="205" t="str">
        <f ca="1" t="shared" si="404"/>
        <v>400023|20600|;</v>
      </c>
      <c r="AK2320" s="205">
        <f ca="1">OFFSET([1]item_type!$A$1,MATCH(Q2320,[1]item_type!$G:$G,0)-1,0)</f>
        <v>303024</v>
      </c>
      <c r="AL2320" s="205"/>
      <c r="AM2320" s="205">
        <f ca="1">IF(B2320=B2321,OFFSET(卡牌辅助配置表!$AE$1,MATCH(AB2320,卡牌辅助配置表!AB:AB,0),0),0)</f>
        <v>20600</v>
      </c>
      <c r="AN2320" s="153">
        <f ca="1" t="shared" si="400"/>
        <v>3024025</v>
      </c>
      <c r="AP2320" s="153" t="str">
        <f ca="1">IF(AC2320=0,0,IF(AC2320=12,0,OFFSET(effect!$N$1,MATCH(K2320,effect!M:M,0)-1,0)))</f>
        <v>kpsx_zise</v>
      </c>
    </row>
    <row r="2321" spans="1:42">
      <c r="A2321" s="153">
        <f ca="1" t="shared" si="401"/>
        <v>3024025</v>
      </c>
      <c r="B2321" s="91" t="s">
        <v>453</v>
      </c>
      <c r="C2321" s="186">
        <v>3</v>
      </c>
      <c r="D2321" s="186">
        <v>2</v>
      </c>
      <c r="E2321" s="165" t="s">
        <v>1069</v>
      </c>
      <c r="F2321" s="179" t="s">
        <v>1078</v>
      </c>
      <c r="G2321" s="186">
        <f ca="1">OFFSET(卡牌辅助配置表!$C$1,MATCH(AC2321,卡牌辅助配置表!A:A,0)-1,0)</f>
        <v>3</v>
      </c>
      <c r="H2321" s="186">
        <f ca="1">OFFSET(skill!$Q$1,MATCH(B2321,skill!B:B,0)-1,0)</f>
        <v>7.5</v>
      </c>
      <c r="I2321" s="186"/>
      <c r="J2321" s="186">
        <f ca="1">OFFSET(card_type!$F$1,MATCH(Q2321,card_type!A:A,0)-1,0)</f>
        <v>2</v>
      </c>
      <c r="K2321" s="243">
        <f ca="1">OFFSET(card_type!$G$1,MATCH(Q2321,card_type!A:A,0)-1,0)</f>
        <v>3</v>
      </c>
      <c r="L2321" s="157">
        <v>3</v>
      </c>
      <c r="M2321" s="157">
        <v>3</v>
      </c>
      <c r="N2321" s="153">
        <f t="shared" si="395"/>
        <v>25</v>
      </c>
      <c r="O2321" s="157"/>
      <c r="P2321" s="157"/>
      <c r="Q2321" s="153">
        <f ca="1">OFFSET(card_type!$A$1,MATCH(card!B2321,card_type!B:B,0)-1,0)</f>
        <v>3024</v>
      </c>
      <c r="R2321" s="153">
        <v>1</v>
      </c>
      <c r="S2321" s="157">
        <f ca="1">ROUND(IF(R2321=0,0,IF(R2321=1,X2321*$S$1,IF(R2321=2,X2321*$S$1*buff的资质计算!$E$2,IF(R2321=3,X2321*$S$1*buff的资质计算!$E$3,0)))),0)*0</f>
        <v>0</v>
      </c>
      <c r="T2321" s="153">
        <v>2</v>
      </c>
      <c r="U2321" s="153">
        <f ca="1" t="shared" si="402"/>
        <v>23</v>
      </c>
      <c r="V2321" s="153">
        <f ca="1">ROUND((OFFSET(卡牌辅助配置表!$O$1,MATCH(U2321,卡牌辅助配置表!M:M,0)-1,0)+(N2321-1)*OFFSET(卡牌辅助配置表!$P$1,MATCH(U2321,卡牌辅助配置表!M:M,0)-1,0))*M2321,2)</f>
        <v>131.04</v>
      </c>
      <c r="W2321" s="157">
        <f ca="1">ROUND(IF(R2321=0,0,IF(R2321=1,X2321*$W$1,IF(R2321=2,X2321*$W$1*buff的资质计算!$E$2,IF(R2321=3,X2321*$W$1*buff的资质计算!$E$3,0)))),2)</f>
        <v>20.7</v>
      </c>
      <c r="X2321" s="157">
        <f ca="1" t="shared" si="397"/>
        <v>69</v>
      </c>
      <c r="Y2321" s="157">
        <f ca="1" t="shared" si="405"/>
        <v>76.5</v>
      </c>
      <c r="Z2321" s="304">
        <f ca="1" t="shared" si="398"/>
        <v>25.5</v>
      </c>
      <c r="AA2321" s="304">
        <f ca="1">OFFSET(卡牌辅助配置表!$AD$1,MATCH(AB2321,卡牌辅助配置表!AB:AB,0)-1,0)</f>
        <v>7395</v>
      </c>
      <c r="AB2321" s="304">
        <f ca="1" t="shared" si="403"/>
        <v>2325</v>
      </c>
      <c r="AC2321" s="153">
        <v>10</v>
      </c>
      <c r="AD2321" s="153">
        <v>3</v>
      </c>
      <c r="AE2321" s="153">
        <v>1</v>
      </c>
      <c r="AF2321" s="153" t="str">
        <f ca="1" t="shared" si="399"/>
        <v>30240011|30240012|</v>
      </c>
      <c r="AI2321" s="153">
        <v>1</v>
      </c>
      <c r="AJ2321" s="205" t="str">
        <f ca="1" t="shared" si="404"/>
        <v>400023|22200|;</v>
      </c>
      <c r="AK2321" s="205">
        <f ca="1">OFFSET([1]item_type!$A$1,MATCH(Q2321,[1]item_type!$G:$G,0)-1,0)</f>
        <v>303024</v>
      </c>
      <c r="AL2321" s="205"/>
      <c r="AM2321" s="205">
        <f ca="1">IF(B2321=B2322,OFFSET(卡牌辅助配置表!$AE$1,MATCH(AB2321,卡牌辅助配置表!AB:AB,0),0),0)</f>
        <v>22200</v>
      </c>
      <c r="AN2321" s="153">
        <f ca="1" t="shared" si="400"/>
        <v>3024026</v>
      </c>
      <c r="AP2321" s="153" t="str">
        <f ca="1">IF(AC2321=0,0,IF(AC2321=12,0,OFFSET(effect!$N$1,MATCH(K2321,effect!M:M,0)-1,0)))</f>
        <v>kpsx_zise</v>
      </c>
    </row>
    <row r="2322" spans="1:42">
      <c r="A2322" s="153">
        <f ca="1" t="shared" si="401"/>
        <v>3024026</v>
      </c>
      <c r="B2322" s="91" t="s">
        <v>453</v>
      </c>
      <c r="C2322" s="186">
        <v>3</v>
      </c>
      <c r="D2322" s="186">
        <v>2</v>
      </c>
      <c r="E2322" s="165" t="s">
        <v>1069</v>
      </c>
      <c r="F2322" s="179" t="s">
        <v>1078</v>
      </c>
      <c r="G2322" s="186">
        <f ca="1">OFFSET(卡牌辅助配置表!$C$1,MATCH(AC2322,卡牌辅助配置表!A:A,0)-1,0)</f>
        <v>3</v>
      </c>
      <c r="H2322" s="186">
        <f ca="1">OFFSET(skill!$Q$1,MATCH(B2322,skill!B:B,0)-1,0)</f>
        <v>7.5</v>
      </c>
      <c r="I2322" s="186"/>
      <c r="J2322" s="186">
        <f ca="1">OFFSET(card_type!$F$1,MATCH(Q2322,card_type!A:A,0)-1,0)</f>
        <v>2</v>
      </c>
      <c r="K2322" s="243">
        <f ca="1">OFFSET(card_type!$G$1,MATCH(Q2322,card_type!A:A,0)-1,0)</f>
        <v>3</v>
      </c>
      <c r="L2322" s="157">
        <v>3</v>
      </c>
      <c r="M2322" s="157">
        <v>3</v>
      </c>
      <c r="N2322" s="153">
        <f t="shared" si="395"/>
        <v>26</v>
      </c>
      <c r="O2322" s="157"/>
      <c r="P2322" s="157"/>
      <c r="Q2322" s="153">
        <f ca="1">OFFSET(card_type!$A$1,MATCH(card!B2322,card_type!B:B,0)-1,0)</f>
        <v>3024</v>
      </c>
      <c r="R2322" s="153">
        <v>1</v>
      </c>
      <c r="S2322" s="157">
        <f ca="1">ROUND(IF(R2322=0,0,IF(R2322=1,X2322*$S$1,IF(R2322=2,X2322*$S$1*buff的资质计算!$E$2,IF(R2322=3,X2322*$S$1*buff的资质计算!$E$3,0)))),0)*0</f>
        <v>0</v>
      </c>
      <c r="T2322" s="153">
        <v>2</v>
      </c>
      <c r="U2322" s="153">
        <f ca="1" t="shared" si="402"/>
        <v>23</v>
      </c>
      <c r="V2322" s="153">
        <f ca="1">ROUND((OFFSET(卡牌辅助配置表!$O$1,MATCH(U2322,卡牌辅助配置表!M:M,0)-1,0)+(N2322-1)*OFFSET(卡牌辅助配置表!$P$1,MATCH(U2322,卡牌辅助配置表!M:M,0)-1,0))*M2322,2)</f>
        <v>134.4</v>
      </c>
      <c r="W2322" s="157">
        <f ca="1">ROUND(IF(R2322=0,0,IF(R2322=1,X2322*$W$1,IF(R2322=2,X2322*$W$1*buff的资质计算!$E$2,IF(R2322=3,X2322*$W$1*buff的资质计算!$E$3,0)))),2)</f>
        <v>20.85</v>
      </c>
      <c r="X2322" s="157">
        <f ca="1" t="shared" si="397"/>
        <v>69.5</v>
      </c>
      <c r="Y2322" s="157">
        <f ca="1" t="shared" si="405"/>
        <v>77</v>
      </c>
      <c r="Z2322" s="304">
        <f ca="1" t="shared" si="398"/>
        <v>25.6666666666667</v>
      </c>
      <c r="AA2322" s="304">
        <f ca="1">OFFSET(卡牌辅助配置表!$AD$1,MATCH(AB2322,卡牌辅助配置表!AB:AB,0)-1,0)</f>
        <v>7818</v>
      </c>
      <c r="AB2322" s="304">
        <f ca="1" t="shared" si="403"/>
        <v>2326</v>
      </c>
      <c r="AC2322" s="153">
        <v>10</v>
      </c>
      <c r="AD2322" s="153">
        <v>3</v>
      </c>
      <c r="AE2322" s="153">
        <v>1</v>
      </c>
      <c r="AF2322" s="153" t="str">
        <f ca="1" t="shared" si="399"/>
        <v>30240011|30240012|</v>
      </c>
      <c r="AI2322" s="153">
        <v>1</v>
      </c>
      <c r="AJ2322" s="205" t="str">
        <f ca="1" t="shared" si="404"/>
        <v>400023|23800|;</v>
      </c>
      <c r="AK2322" s="205">
        <f ca="1">OFFSET([1]item_type!$A$1,MATCH(Q2322,[1]item_type!$G:$G,0)-1,0)</f>
        <v>303024</v>
      </c>
      <c r="AL2322" s="205"/>
      <c r="AM2322" s="205">
        <f ca="1">IF(B2322=B2323,OFFSET(卡牌辅助配置表!$AE$1,MATCH(AB2322,卡牌辅助配置表!AB:AB,0),0),0)</f>
        <v>23800</v>
      </c>
      <c r="AN2322" s="153">
        <f ca="1" t="shared" si="400"/>
        <v>3024027</v>
      </c>
      <c r="AP2322" s="153" t="str">
        <f ca="1">IF(AC2322=0,0,IF(AC2322=12,0,OFFSET(effect!$N$1,MATCH(K2322,effect!M:M,0)-1,0)))</f>
        <v>kpsx_zise</v>
      </c>
    </row>
    <row r="2323" spans="1:42">
      <c r="A2323" s="153">
        <f ca="1" t="shared" si="401"/>
        <v>3024027</v>
      </c>
      <c r="B2323" s="91" t="s">
        <v>453</v>
      </c>
      <c r="C2323" s="186">
        <v>3</v>
      </c>
      <c r="D2323" s="186">
        <v>2</v>
      </c>
      <c r="E2323" s="165" t="s">
        <v>1069</v>
      </c>
      <c r="F2323" s="179" t="s">
        <v>1078</v>
      </c>
      <c r="G2323" s="186">
        <f ca="1">OFFSET(卡牌辅助配置表!$C$1,MATCH(AC2323,卡牌辅助配置表!A:A,0)-1,0)</f>
        <v>3</v>
      </c>
      <c r="H2323" s="186">
        <f ca="1">OFFSET(skill!$Q$1,MATCH(B2323,skill!B:B,0)-1,0)</f>
        <v>7.5</v>
      </c>
      <c r="I2323" s="186"/>
      <c r="J2323" s="186">
        <f ca="1">OFFSET(card_type!$F$1,MATCH(Q2323,card_type!A:A,0)-1,0)</f>
        <v>2</v>
      </c>
      <c r="K2323" s="243">
        <f ca="1">OFFSET(card_type!$G$1,MATCH(Q2323,card_type!A:A,0)-1,0)</f>
        <v>3</v>
      </c>
      <c r="L2323" s="157">
        <v>3</v>
      </c>
      <c r="M2323" s="157">
        <v>3</v>
      </c>
      <c r="N2323" s="153">
        <f t="shared" si="395"/>
        <v>27</v>
      </c>
      <c r="O2323" s="157"/>
      <c r="P2323" s="157"/>
      <c r="Q2323" s="153">
        <f ca="1">OFFSET(card_type!$A$1,MATCH(card!B2323,card_type!B:B,0)-1,0)</f>
        <v>3024</v>
      </c>
      <c r="R2323" s="153">
        <v>1</v>
      </c>
      <c r="S2323" s="157">
        <f ca="1">ROUND(IF(R2323=0,0,IF(R2323=1,X2323*$S$1,IF(R2323=2,X2323*$S$1*buff的资质计算!$E$2,IF(R2323=3,X2323*$S$1*buff的资质计算!$E$3,0)))),0)*0</f>
        <v>0</v>
      </c>
      <c r="T2323" s="153">
        <v>2</v>
      </c>
      <c r="U2323" s="153">
        <f ca="1" t="shared" si="402"/>
        <v>23</v>
      </c>
      <c r="V2323" s="153">
        <f ca="1">ROUND((OFFSET(卡牌辅助配置表!$O$1,MATCH(U2323,卡牌辅助配置表!M:M,0)-1,0)+(N2323-1)*OFFSET(卡牌辅助配置表!$P$1,MATCH(U2323,卡牌辅助配置表!M:M,0)-1,0))*M2323,2)</f>
        <v>137.76</v>
      </c>
      <c r="W2323" s="157">
        <f ca="1">ROUND(IF(R2323=0,0,IF(R2323=1,X2323*$W$1,IF(R2323=2,X2323*$W$1*buff的资质计算!$E$2,IF(R2323=3,X2323*$W$1*buff的资质计算!$E$3,0)))),2)</f>
        <v>21</v>
      </c>
      <c r="X2323" s="157">
        <f ca="1" t="shared" si="397"/>
        <v>70</v>
      </c>
      <c r="Y2323" s="157">
        <f ca="1" t="shared" si="405"/>
        <v>77.5</v>
      </c>
      <c r="Z2323" s="304">
        <f ca="1" t="shared" si="398"/>
        <v>25.8333333333333</v>
      </c>
      <c r="AA2323" s="304">
        <f ca="1">OFFSET(卡牌辅助配置表!$AD$1,MATCH(AB2323,卡牌辅助配置表!AB:AB,0)-1,0)</f>
        <v>8241</v>
      </c>
      <c r="AB2323" s="304">
        <f ca="1" t="shared" si="403"/>
        <v>2327</v>
      </c>
      <c r="AC2323" s="153">
        <v>10</v>
      </c>
      <c r="AD2323" s="153">
        <v>3</v>
      </c>
      <c r="AE2323" s="153">
        <v>1</v>
      </c>
      <c r="AF2323" s="153" t="str">
        <f ca="1" t="shared" si="399"/>
        <v>30240011|30240012|</v>
      </c>
      <c r="AI2323" s="153">
        <v>1</v>
      </c>
      <c r="AJ2323" s="205" t="str">
        <f ca="1" t="shared" si="404"/>
        <v>400023|25400|;</v>
      </c>
      <c r="AK2323" s="205">
        <f ca="1">OFFSET([1]item_type!$A$1,MATCH(Q2323,[1]item_type!$G:$G,0)-1,0)</f>
        <v>303024</v>
      </c>
      <c r="AL2323" s="205"/>
      <c r="AM2323" s="205">
        <f ca="1">IF(B2323=B2324,OFFSET(卡牌辅助配置表!$AE$1,MATCH(AB2323,卡牌辅助配置表!AB:AB,0),0),0)</f>
        <v>25400</v>
      </c>
      <c r="AN2323" s="153">
        <f ca="1" t="shared" si="400"/>
        <v>3024028</v>
      </c>
      <c r="AP2323" s="153" t="str">
        <f ca="1">IF(AC2323=0,0,IF(AC2323=12,0,OFFSET(effect!$N$1,MATCH(K2323,effect!M:M,0)-1,0)))</f>
        <v>kpsx_zise</v>
      </c>
    </row>
    <row r="2324" spans="1:42">
      <c r="A2324" s="153">
        <f ca="1" t="shared" si="401"/>
        <v>3024028</v>
      </c>
      <c r="B2324" s="91" t="s">
        <v>453</v>
      </c>
      <c r="C2324" s="186">
        <v>3</v>
      </c>
      <c r="D2324" s="186">
        <v>2</v>
      </c>
      <c r="E2324" s="165" t="s">
        <v>1069</v>
      </c>
      <c r="F2324" s="179" t="s">
        <v>1078</v>
      </c>
      <c r="G2324" s="186">
        <f ca="1">OFFSET(卡牌辅助配置表!$C$1,MATCH(AC2324,卡牌辅助配置表!A:A,0)-1,0)</f>
        <v>3</v>
      </c>
      <c r="H2324" s="186">
        <f ca="1">OFFSET(skill!$Q$1,MATCH(B2324,skill!B:B,0)-1,0)</f>
        <v>7.5</v>
      </c>
      <c r="I2324" s="186"/>
      <c r="J2324" s="186">
        <f ca="1">OFFSET(card_type!$F$1,MATCH(Q2324,card_type!A:A,0)-1,0)</f>
        <v>2</v>
      </c>
      <c r="K2324" s="243">
        <f ca="1">OFFSET(card_type!$G$1,MATCH(Q2324,card_type!A:A,0)-1,0)</f>
        <v>3</v>
      </c>
      <c r="L2324" s="157">
        <v>3</v>
      </c>
      <c r="M2324" s="157">
        <v>3</v>
      </c>
      <c r="N2324" s="153">
        <f t="shared" si="395"/>
        <v>28</v>
      </c>
      <c r="O2324" s="157"/>
      <c r="P2324" s="157"/>
      <c r="Q2324" s="153">
        <f ca="1">OFFSET(card_type!$A$1,MATCH(card!B2324,card_type!B:B,0)-1,0)</f>
        <v>3024</v>
      </c>
      <c r="R2324" s="153">
        <v>1</v>
      </c>
      <c r="S2324" s="157">
        <f ca="1">ROUND(IF(R2324=0,0,IF(R2324=1,X2324*$S$1,IF(R2324=2,X2324*$S$1*buff的资质计算!$E$2,IF(R2324=3,X2324*$S$1*buff的资质计算!$E$3,0)))),0)*0</f>
        <v>0</v>
      </c>
      <c r="T2324" s="153">
        <v>2</v>
      </c>
      <c r="U2324" s="153">
        <f ca="1" t="shared" si="402"/>
        <v>23</v>
      </c>
      <c r="V2324" s="153">
        <f ca="1">ROUND((OFFSET(卡牌辅助配置表!$O$1,MATCH(U2324,卡牌辅助配置表!M:M,0)-1,0)+(N2324-1)*OFFSET(卡牌辅助配置表!$P$1,MATCH(U2324,卡牌辅助配置表!M:M,0)-1,0))*M2324,2)</f>
        <v>141.12</v>
      </c>
      <c r="W2324" s="157">
        <f ca="1">ROUND(IF(R2324=0,0,IF(R2324=1,X2324*$W$1,IF(R2324=2,X2324*$W$1*buff的资质计算!$E$2,IF(R2324=3,X2324*$W$1*buff的资质计算!$E$3,0)))),2)</f>
        <v>21.15</v>
      </c>
      <c r="X2324" s="157">
        <f ca="1" t="shared" si="397"/>
        <v>70.5</v>
      </c>
      <c r="Y2324" s="157">
        <f ca="1" t="shared" si="405"/>
        <v>78</v>
      </c>
      <c r="Z2324" s="304">
        <f ca="1" t="shared" si="398"/>
        <v>26</v>
      </c>
      <c r="AA2324" s="304">
        <f ca="1">OFFSET(卡牌辅助配置表!$AD$1,MATCH(AB2324,卡牌辅助配置表!AB:AB,0)-1,0)</f>
        <v>8664</v>
      </c>
      <c r="AB2324" s="304">
        <f ca="1" t="shared" si="403"/>
        <v>2328</v>
      </c>
      <c r="AC2324" s="153">
        <v>10</v>
      </c>
      <c r="AD2324" s="153">
        <v>3</v>
      </c>
      <c r="AE2324" s="153">
        <v>1</v>
      </c>
      <c r="AF2324" s="153" t="str">
        <f ca="1" t="shared" si="399"/>
        <v>30240011|30240012|</v>
      </c>
      <c r="AI2324" s="153">
        <v>1</v>
      </c>
      <c r="AJ2324" s="205" t="str">
        <f ca="1" t="shared" si="404"/>
        <v>400023|27000|;</v>
      </c>
      <c r="AK2324" s="205">
        <f ca="1">OFFSET([1]item_type!$A$1,MATCH(Q2324,[1]item_type!$G:$G,0)-1,0)</f>
        <v>303024</v>
      </c>
      <c r="AL2324" s="205"/>
      <c r="AM2324" s="205">
        <f ca="1">IF(B2324=B2325,OFFSET(卡牌辅助配置表!$AE$1,MATCH(AB2324,卡牌辅助配置表!AB:AB,0),0),0)</f>
        <v>27000</v>
      </c>
      <c r="AN2324" s="153">
        <f ca="1" t="shared" si="400"/>
        <v>3024029</v>
      </c>
      <c r="AP2324" s="153" t="str">
        <f ca="1">IF(AC2324=0,0,IF(AC2324=12,0,OFFSET(effect!$N$1,MATCH(K2324,effect!M:M,0)-1,0)))</f>
        <v>kpsx_zise</v>
      </c>
    </row>
    <row r="2325" spans="1:42">
      <c r="A2325" s="153">
        <f ca="1" t="shared" si="401"/>
        <v>3024029</v>
      </c>
      <c r="B2325" s="91" t="s">
        <v>453</v>
      </c>
      <c r="C2325" s="186">
        <v>3</v>
      </c>
      <c r="D2325" s="186">
        <v>2</v>
      </c>
      <c r="E2325" s="165" t="s">
        <v>1069</v>
      </c>
      <c r="F2325" s="179" t="s">
        <v>1078</v>
      </c>
      <c r="G2325" s="186">
        <f ca="1">OFFSET(卡牌辅助配置表!$C$1,MATCH(AC2325,卡牌辅助配置表!A:A,0)-1,0)</f>
        <v>3</v>
      </c>
      <c r="H2325" s="186">
        <f ca="1">OFFSET(skill!$Q$1,MATCH(B2325,skill!B:B,0)-1,0)</f>
        <v>7.5</v>
      </c>
      <c r="I2325" s="186"/>
      <c r="J2325" s="186">
        <f ca="1">OFFSET(card_type!$F$1,MATCH(Q2325,card_type!A:A,0)-1,0)</f>
        <v>2</v>
      </c>
      <c r="K2325" s="243">
        <f ca="1">OFFSET(card_type!$G$1,MATCH(Q2325,card_type!A:A,0)-1,0)</f>
        <v>3</v>
      </c>
      <c r="L2325" s="157">
        <v>3</v>
      </c>
      <c r="M2325" s="157">
        <v>3</v>
      </c>
      <c r="N2325" s="153">
        <f t="shared" si="395"/>
        <v>29</v>
      </c>
      <c r="O2325" s="157"/>
      <c r="P2325" s="157"/>
      <c r="Q2325" s="153">
        <f ca="1">OFFSET(card_type!$A$1,MATCH(card!B2325,card_type!B:B,0)-1,0)</f>
        <v>3024</v>
      </c>
      <c r="R2325" s="153">
        <v>1</v>
      </c>
      <c r="S2325" s="157">
        <f ca="1">ROUND(IF(R2325=0,0,IF(R2325=1,X2325*$S$1,IF(R2325=2,X2325*$S$1*buff的资质计算!$E$2,IF(R2325=3,X2325*$S$1*buff的资质计算!$E$3,0)))),0)*0</f>
        <v>0</v>
      </c>
      <c r="T2325" s="153">
        <v>2</v>
      </c>
      <c r="U2325" s="153">
        <f ca="1" t="shared" si="402"/>
        <v>23</v>
      </c>
      <c r="V2325" s="153">
        <f ca="1">ROUND((OFFSET(卡牌辅助配置表!$O$1,MATCH(U2325,卡牌辅助配置表!M:M,0)-1,0)+(N2325-1)*OFFSET(卡牌辅助配置表!$P$1,MATCH(U2325,卡牌辅助配置表!M:M,0)-1,0))*M2325,2)</f>
        <v>144.48</v>
      </c>
      <c r="W2325" s="157">
        <f ca="1">ROUND(IF(R2325=0,0,IF(R2325=1,X2325*$W$1,IF(R2325=2,X2325*$W$1*buff的资质计算!$E$2,IF(R2325=3,X2325*$W$1*buff的资质计算!$E$3,0)))),2)</f>
        <v>21.3</v>
      </c>
      <c r="X2325" s="157">
        <f ca="1" t="shared" si="397"/>
        <v>71</v>
      </c>
      <c r="Y2325" s="157">
        <f ca="1" t="shared" si="405"/>
        <v>78.5</v>
      </c>
      <c r="Z2325" s="304">
        <f ca="1" t="shared" si="398"/>
        <v>26.1666666666667</v>
      </c>
      <c r="AA2325" s="304">
        <f ca="1">OFFSET(卡牌辅助配置表!$AD$1,MATCH(AB2325,卡牌辅助配置表!AB:AB,0)-1,0)</f>
        <v>9087</v>
      </c>
      <c r="AB2325" s="304">
        <f ca="1" t="shared" si="403"/>
        <v>2329</v>
      </c>
      <c r="AC2325" s="153">
        <v>10</v>
      </c>
      <c r="AD2325" s="153">
        <v>3</v>
      </c>
      <c r="AE2325" s="153">
        <v>1</v>
      </c>
      <c r="AF2325" s="153" t="str">
        <f ca="1" t="shared" si="399"/>
        <v>30240011|30240012|</v>
      </c>
      <c r="AI2325" s="153">
        <v>1</v>
      </c>
      <c r="AJ2325" s="205" t="str">
        <f ca="1" t="shared" si="404"/>
        <v>303024|30|;400023|28600|;</v>
      </c>
      <c r="AK2325" s="205">
        <f ca="1">OFFSET([1]item_type!$A$1,MATCH(Q2325,[1]item_type!$G:$G,0)-1,0)</f>
        <v>303024</v>
      </c>
      <c r="AL2325" s="205">
        <v>30</v>
      </c>
      <c r="AM2325" s="205">
        <f ca="1">IF(B2325=B2326,OFFSET(卡牌辅助配置表!$AE$1,MATCH(AB2325,卡牌辅助配置表!AB:AB,0),0),0)</f>
        <v>28600</v>
      </c>
      <c r="AN2325" s="153">
        <f ca="1" t="shared" si="400"/>
        <v>3024030</v>
      </c>
      <c r="AP2325" s="153" t="str">
        <f ca="1">IF(AC2325=0,0,IF(AC2325=12,0,OFFSET(effect!$N$1,MATCH(K2325,effect!M:M,0)-1,0)))</f>
        <v>kpsx_zise</v>
      </c>
    </row>
    <row r="2326" spans="1:42">
      <c r="A2326" s="153">
        <f ca="1" t="shared" si="401"/>
        <v>3024030</v>
      </c>
      <c r="B2326" s="91" t="s">
        <v>453</v>
      </c>
      <c r="C2326" s="186">
        <v>3</v>
      </c>
      <c r="D2326" s="186">
        <v>2</v>
      </c>
      <c r="E2326" s="165" t="s">
        <v>1069</v>
      </c>
      <c r="F2326" s="179" t="s">
        <v>1078</v>
      </c>
      <c r="G2326" s="186">
        <f ca="1">OFFSET(卡牌辅助配置表!$C$1,MATCH(AC2326,卡牌辅助配置表!A:A,0)-1,0)</f>
        <v>3</v>
      </c>
      <c r="H2326" s="186">
        <f ca="1">OFFSET(skill!$Q$1,MATCH(B2326,skill!B:B,0)-1,0)</f>
        <v>7.5</v>
      </c>
      <c r="I2326" s="186"/>
      <c r="J2326" s="186">
        <f ca="1">OFFSET(card_type!$F$1,MATCH(Q2326,card_type!A:A,0)-1,0)</f>
        <v>2</v>
      </c>
      <c r="K2326" s="243">
        <f ca="1">OFFSET(card_type!$G$1,MATCH(Q2326,card_type!A:A,0)-1,0)</f>
        <v>3</v>
      </c>
      <c r="L2326" s="157">
        <v>3</v>
      </c>
      <c r="M2326" s="157">
        <v>3</v>
      </c>
      <c r="N2326" s="153">
        <f t="shared" si="395"/>
        <v>30</v>
      </c>
      <c r="O2326" s="157"/>
      <c r="P2326" s="157"/>
      <c r="Q2326" s="153">
        <f ca="1">OFFSET(card_type!$A$1,MATCH(card!B2326,card_type!B:B,0)-1,0)</f>
        <v>3024</v>
      </c>
      <c r="R2326" s="153">
        <v>1</v>
      </c>
      <c r="S2326" s="157">
        <f ca="1">ROUND(IF(R2326=0,0,IF(R2326=1,X2326*$S$1,IF(R2326=2,X2326*$S$1*buff的资质计算!$E$2,IF(R2326=3,X2326*$S$1*buff的资质计算!$E$3,0)))),0)*0</f>
        <v>0</v>
      </c>
      <c r="T2326" s="153">
        <v>2</v>
      </c>
      <c r="U2326" s="153">
        <f ca="1" t="shared" si="402"/>
        <v>23</v>
      </c>
      <c r="V2326" s="153">
        <f ca="1">ROUND((OFFSET(卡牌辅助配置表!$O$1,MATCH(U2326,卡牌辅助配置表!M:M,0)-1,0)+(N2326-1)*OFFSET(卡牌辅助配置表!$P$1,MATCH(U2326,卡牌辅助配置表!M:M,0)-1,0))*M2326,2)</f>
        <v>147.84</v>
      </c>
      <c r="W2326" s="157">
        <f ca="1">ROUND(IF(R2326=0,0,IF(R2326=1,X2326*$W$1,IF(R2326=2,X2326*$W$1*buff的资质计算!$E$2,IF(R2326=3,X2326*$W$1*buff的资质计算!$E$3,0)))),2)</f>
        <v>21.45</v>
      </c>
      <c r="X2326" s="157">
        <f ca="1" t="shared" si="397"/>
        <v>71.5</v>
      </c>
      <c r="Y2326" s="157">
        <f ca="1" t="shared" si="405"/>
        <v>79</v>
      </c>
      <c r="Z2326" s="304">
        <f ca="1" t="shared" si="398"/>
        <v>26.3333333333333</v>
      </c>
      <c r="AA2326" s="304">
        <f ca="1">OFFSET(卡牌辅助配置表!$AD$1,MATCH(AB2326,卡牌辅助配置表!AB:AB,0)-1,0)</f>
        <v>9510</v>
      </c>
      <c r="AB2326" s="304">
        <f ca="1" t="shared" si="403"/>
        <v>2330</v>
      </c>
      <c r="AC2326" s="153">
        <v>10</v>
      </c>
      <c r="AD2326" s="153">
        <v>3</v>
      </c>
      <c r="AE2326" s="153">
        <v>1</v>
      </c>
      <c r="AF2326" s="153" t="str">
        <f ca="1" t="shared" si="399"/>
        <v>30240011|30240012|</v>
      </c>
      <c r="AI2326" s="153">
        <v>1</v>
      </c>
      <c r="AJ2326" s="205">
        <f ca="1" t="shared" si="404"/>
        <v>0</v>
      </c>
      <c r="AK2326" s="205">
        <f ca="1">OFFSET([1]item_type!$A$1,MATCH(Q2326,[1]item_type!$G:$G,0)-1,0)</f>
        <v>303024</v>
      </c>
      <c r="AL2326" s="205"/>
      <c r="AM2326" s="205">
        <f ca="1">IF(B2326=B2327,OFFSET(卡牌辅助配置表!$AE$1,MATCH(AB2326,卡牌辅助配置表!AB:AB,0),0),0)</f>
        <v>0</v>
      </c>
      <c r="AN2326" s="153">
        <f ca="1" t="shared" si="400"/>
        <v>0</v>
      </c>
      <c r="AP2326" s="153" t="str">
        <f ca="1">IF(AC2326=0,0,IF(AC2326=12,0,OFFSET(effect!$N$1,MATCH(K2326,effect!M:M,0)-1,0)))</f>
        <v>kpsx_zise</v>
      </c>
    </row>
    <row r="2327" spans="1:42">
      <c r="A2327" s="153">
        <f ca="1" t="shared" si="401"/>
        <v>3025001</v>
      </c>
      <c r="B2327" s="91" t="s">
        <v>435</v>
      </c>
      <c r="C2327" s="186">
        <v>3</v>
      </c>
      <c r="D2327" s="186">
        <v>2</v>
      </c>
      <c r="E2327" s="165" t="s">
        <v>1069</v>
      </c>
      <c r="F2327" s="165" t="str">
        <f>"存在魂时，获得"&amp;skill!$O$154/100&amp;"%吸血效果"</f>
        <v>存在魂时，获得50%吸血效果</v>
      </c>
      <c r="G2327" s="186">
        <f ca="1">OFFSET(卡牌辅助配置表!$C$1,MATCH(AC2327,卡牌辅助配置表!A:A,0)-1,0)</f>
        <v>3</v>
      </c>
      <c r="H2327" s="186">
        <f ca="1" t="shared" ref="H2327:H2386" si="406">IF(R2327=0,Y2327,0)</f>
        <v>0</v>
      </c>
      <c r="I2327" s="186"/>
      <c r="J2327" s="186">
        <f ca="1">OFFSET(card_type!$F$1,MATCH(Q2327,card_type!A:A,0)-1,0)</f>
        <v>3</v>
      </c>
      <c r="K2327" s="243">
        <f ca="1">OFFSET(card_type!$G$1,MATCH(Q2327,card_type!A:A,0)-1,0)</f>
        <v>2</v>
      </c>
      <c r="L2327" s="157">
        <v>2</v>
      </c>
      <c r="M2327" s="157">
        <v>2</v>
      </c>
      <c r="N2327" s="153">
        <f t="shared" si="395"/>
        <v>1</v>
      </c>
      <c r="O2327" s="157"/>
      <c r="P2327" s="157"/>
      <c r="Q2327" s="153">
        <f ca="1">OFFSET(card_type!$A$1,MATCH(card!B2327,card_type!B:B,0)-1,0)</f>
        <v>3025</v>
      </c>
      <c r="R2327" s="153">
        <v>1</v>
      </c>
      <c r="S2327" s="157">
        <f ca="1">ROUND(IF(R2327=0,0,IF(R2327=1,X2327*$S$1,IF(R2327=2,X2327*$S$1*buff的资质计算!$E$2,IF(R2327=3,X2327*$S$1*buff的资质计算!$E$3,0)))),0)*0</f>
        <v>0</v>
      </c>
      <c r="T2327" s="153">
        <v>2</v>
      </c>
      <c r="U2327" s="153">
        <f ca="1" t="shared" si="402"/>
        <v>32</v>
      </c>
      <c r="V2327" s="153">
        <f ca="1">ROUND((OFFSET(卡牌辅助配置表!$O$1,MATCH(U2327,卡牌辅助配置表!M:M,0)-1,0)+(N2327-1)*OFFSET(卡牌辅助配置表!$P$1,MATCH(U2327,卡牌辅助配置表!M:M,0)-1,0))*M2327,2)</f>
        <v>28.71</v>
      </c>
      <c r="W2327" s="157">
        <f ca="1">ROUND(IF(R2327=0,0,IF(R2327=1,X2327*$W$1,IF(R2327=2,X2327*$W$1*buff的资质计算!$E$2,IF(R2327=3,X2327*$W$1*buff的资质计算!$E$3,0)))),2)</f>
        <v>12.3</v>
      </c>
      <c r="X2327" s="157">
        <f ca="1" t="shared" si="397"/>
        <v>41</v>
      </c>
      <c r="Y2327" s="157">
        <f ca="1" t="shared" si="405"/>
        <v>41</v>
      </c>
      <c r="Z2327" s="304">
        <f ca="1" t="shared" si="398"/>
        <v>20.5</v>
      </c>
      <c r="AA2327" s="304">
        <f ca="1">OFFSET(卡牌辅助配置表!$AD$1,MATCH(AB2327,卡牌辅助配置表!AB:AB,0)-1,0)</f>
        <v>199</v>
      </c>
      <c r="AB2327" s="304">
        <f ca="1" t="shared" si="403"/>
        <v>3201</v>
      </c>
      <c r="AC2327" s="153">
        <v>10</v>
      </c>
      <c r="AD2327" s="153">
        <v>3</v>
      </c>
      <c r="AE2327" s="153">
        <v>1</v>
      </c>
      <c r="AF2327" s="153" t="str">
        <f ca="1" t="shared" ref="AF2327:AF2358" si="407">((Q2327*1000+1)*10+1)&amp;$AF$1</f>
        <v>30250011|</v>
      </c>
      <c r="AH2327" s="153">
        <v>2</v>
      </c>
      <c r="AJ2327" s="205" t="str">
        <f ca="1" t="shared" si="404"/>
        <v>400023|1050|;</v>
      </c>
      <c r="AK2327" s="205">
        <f ca="1">OFFSET([1]item_type!$A$1,MATCH(Q2327,[1]item_type!$G:$G,0)-1,0)</f>
        <v>303025</v>
      </c>
      <c r="AL2327" s="205"/>
      <c r="AM2327" s="205">
        <f ca="1">IF(B2327=B2328,OFFSET(卡牌辅助配置表!$AE$1,MATCH(AB2327,卡牌辅助配置表!AB:AB,0),0),0)</f>
        <v>1050</v>
      </c>
      <c r="AN2327" s="153">
        <f ca="1" t="shared" si="400"/>
        <v>3025002</v>
      </c>
      <c r="AP2327" s="153" t="str">
        <f ca="1">IF(AC2327=0,0,IF(AC2327=12,0,OFFSET(effect!$N$1,MATCH(K2327,effect!M:M,0)-1,0)))</f>
        <v>kpsx_pt</v>
      </c>
    </row>
    <row r="2328" spans="1:42">
      <c r="A2328" s="153">
        <f ca="1" t="shared" si="401"/>
        <v>3025002</v>
      </c>
      <c r="B2328" s="91" t="s">
        <v>435</v>
      </c>
      <c r="C2328" s="186">
        <v>3</v>
      </c>
      <c r="D2328" s="186">
        <v>2</v>
      </c>
      <c r="E2328" s="165" t="s">
        <v>1069</v>
      </c>
      <c r="F2328" s="165" t="str">
        <f>"存在魂时，获得"&amp;skill!$O$154/100&amp;"%吸血效果"</f>
        <v>存在魂时，获得50%吸血效果</v>
      </c>
      <c r="G2328" s="186">
        <f ca="1">OFFSET(卡牌辅助配置表!$C$1,MATCH(AC2328,卡牌辅助配置表!A:A,0)-1,0)</f>
        <v>3</v>
      </c>
      <c r="H2328" s="186">
        <f ca="1" t="shared" si="406"/>
        <v>0</v>
      </c>
      <c r="I2328" s="186"/>
      <c r="J2328" s="186">
        <f ca="1">OFFSET(card_type!$F$1,MATCH(Q2328,card_type!A:A,0)-1,0)</f>
        <v>3</v>
      </c>
      <c r="K2328" s="243">
        <f ca="1">OFFSET(card_type!$G$1,MATCH(Q2328,card_type!A:A,0)-1,0)</f>
        <v>2</v>
      </c>
      <c r="L2328" s="157">
        <v>2</v>
      </c>
      <c r="M2328" s="157">
        <v>2</v>
      </c>
      <c r="N2328" s="153">
        <f t="shared" si="395"/>
        <v>2</v>
      </c>
      <c r="O2328" s="157"/>
      <c r="P2328" s="157"/>
      <c r="Q2328" s="153">
        <f ca="1">OFFSET(card_type!$A$1,MATCH(card!B2328,card_type!B:B,0)-1,0)</f>
        <v>3025</v>
      </c>
      <c r="R2328" s="153">
        <v>1</v>
      </c>
      <c r="S2328" s="157">
        <f ca="1">ROUND(IF(R2328=0,0,IF(R2328=1,X2328*$S$1,IF(R2328=2,X2328*$S$1*buff的资质计算!$E$2,IF(R2328=3,X2328*$S$1*buff的资质计算!$E$3,0)))),0)*0</f>
        <v>0</v>
      </c>
      <c r="T2328" s="153">
        <v>2</v>
      </c>
      <c r="U2328" s="153">
        <f ca="1" t="shared" si="402"/>
        <v>32</v>
      </c>
      <c r="V2328" s="153">
        <f ca="1">ROUND((OFFSET(卡牌辅助配置表!$O$1,MATCH(U2328,卡牌辅助配置表!M:M,0)-1,0)+(N2328-1)*OFFSET(卡牌辅助配置表!$P$1,MATCH(U2328,卡牌辅助配置表!M:M,0)-1,0))*M2328,2)</f>
        <v>32.28</v>
      </c>
      <c r="W2328" s="157">
        <f ca="1">ROUND(IF(R2328=0,0,IF(R2328=1,X2328*$W$1,IF(R2328=2,X2328*$W$1*buff的资质计算!$E$2,IF(R2328=3,X2328*$W$1*buff的资质计算!$E$3,0)))),2)</f>
        <v>12.45</v>
      </c>
      <c r="X2328" s="157">
        <f ca="1" t="shared" si="397"/>
        <v>41.5</v>
      </c>
      <c r="Y2328" s="157">
        <f ca="1" t="shared" si="405"/>
        <v>41.5</v>
      </c>
      <c r="Z2328" s="304">
        <f ca="1" t="shared" si="398"/>
        <v>20.75</v>
      </c>
      <c r="AA2328" s="304">
        <f ca="1">OFFSET(卡牌辅助配置表!$AD$1,MATCH(AB2328,卡牌辅助配置表!AB:AB,0)-1,0)</f>
        <v>398</v>
      </c>
      <c r="AB2328" s="304">
        <f ca="1" t="shared" si="403"/>
        <v>3202</v>
      </c>
      <c r="AC2328" s="153">
        <v>10</v>
      </c>
      <c r="AD2328" s="153">
        <v>3</v>
      </c>
      <c r="AE2328" s="153">
        <v>1</v>
      </c>
      <c r="AF2328" s="153" t="str">
        <f ca="1" t="shared" si="407"/>
        <v>30250011|</v>
      </c>
      <c r="AH2328" s="153">
        <v>2</v>
      </c>
      <c r="AJ2328" s="205" t="str">
        <f ca="1" t="shared" si="404"/>
        <v>400023|1350|;</v>
      </c>
      <c r="AK2328" s="205">
        <f ca="1">OFFSET([1]item_type!$A$1,MATCH(Q2328,[1]item_type!$G:$G,0)-1,0)</f>
        <v>303025</v>
      </c>
      <c r="AL2328" s="205"/>
      <c r="AM2328" s="205">
        <f ca="1">IF(B2328=B2329,OFFSET(卡牌辅助配置表!$AE$1,MATCH(AB2328,卡牌辅助配置表!AB:AB,0),0),0)</f>
        <v>1350</v>
      </c>
      <c r="AN2328" s="153">
        <f ca="1" t="shared" si="400"/>
        <v>3025003</v>
      </c>
      <c r="AP2328" s="153" t="str">
        <f ca="1">IF(AC2328=0,0,IF(AC2328=12,0,OFFSET(effect!$N$1,MATCH(K2328,effect!M:M,0)-1,0)))</f>
        <v>kpsx_pt</v>
      </c>
    </row>
    <row r="2329" spans="1:42">
      <c r="A2329" s="153">
        <f ca="1" t="shared" si="401"/>
        <v>3025003</v>
      </c>
      <c r="B2329" s="91" t="s">
        <v>435</v>
      </c>
      <c r="C2329" s="186">
        <v>3</v>
      </c>
      <c r="D2329" s="186">
        <v>2</v>
      </c>
      <c r="E2329" s="165" t="s">
        <v>1069</v>
      </c>
      <c r="F2329" s="165" t="str">
        <f>"存在魂时，获得"&amp;skill!$O$154/100&amp;"%吸血效果"</f>
        <v>存在魂时，获得50%吸血效果</v>
      </c>
      <c r="G2329" s="186">
        <f ca="1">OFFSET(卡牌辅助配置表!$C$1,MATCH(AC2329,卡牌辅助配置表!A:A,0)-1,0)</f>
        <v>3</v>
      </c>
      <c r="H2329" s="186">
        <f ca="1" t="shared" si="406"/>
        <v>0</v>
      </c>
      <c r="I2329" s="186"/>
      <c r="J2329" s="186">
        <f ca="1">OFFSET(card_type!$F$1,MATCH(Q2329,card_type!A:A,0)-1,0)</f>
        <v>3</v>
      </c>
      <c r="K2329" s="243">
        <f ca="1">OFFSET(card_type!$G$1,MATCH(Q2329,card_type!A:A,0)-1,0)</f>
        <v>2</v>
      </c>
      <c r="L2329" s="157">
        <v>2</v>
      </c>
      <c r="M2329" s="157">
        <v>2</v>
      </c>
      <c r="N2329" s="153">
        <f t="shared" si="395"/>
        <v>3</v>
      </c>
      <c r="O2329" s="157"/>
      <c r="P2329" s="157"/>
      <c r="Q2329" s="153">
        <f ca="1">OFFSET(card_type!$A$1,MATCH(card!B2329,card_type!B:B,0)-1,0)</f>
        <v>3025</v>
      </c>
      <c r="R2329" s="153">
        <v>1</v>
      </c>
      <c r="S2329" s="157">
        <f ca="1">ROUND(IF(R2329=0,0,IF(R2329=1,X2329*$S$1,IF(R2329=2,X2329*$S$1*buff的资质计算!$E$2,IF(R2329=3,X2329*$S$1*buff的资质计算!$E$3,0)))),0)*0</f>
        <v>0</v>
      </c>
      <c r="T2329" s="153">
        <v>2</v>
      </c>
      <c r="U2329" s="153">
        <f ca="1" t="shared" si="402"/>
        <v>32</v>
      </c>
      <c r="V2329" s="153">
        <f ca="1">ROUND((OFFSET(卡牌辅助配置表!$O$1,MATCH(U2329,卡牌辅助配置表!M:M,0)-1,0)+(N2329-1)*OFFSET(卡牌辅助配置表!$P$1,MATCH(U2329,卡牌辅助配置表!M:M,0)-1,0))*M2329,2)</f>
        <v>35.84</v>
      </c>
      <c r="W2329" s="157">
        <f ca="1">ROUND(IF(R2329=0,0,IF(R2329=1,X2329*$W$1,IF(R2329=2,X2329*$W$1*buff的资质计算!$E$2,IF(R2329=3,X2329*$W$1*buff的资质计算!$E$3,0)))),2)</f>
        <v>12.6</v>
      </c>
      <c r="X2329" s="157">
        <f ca="1" t="shared" si="397"/>
        <v>42</v>
      </c>
      <c r="Y2329" s="157">
        <f ca="1" t="shared" si="405"/>
        <v>42</v>
      </c>
      <c r="Z2329" s="304">
        <f ca="1" t="shared" si="398"/>
        <v>21</v>
      </c>
      <c r="AA2329" s="304">
        <f ca="1">OFFSET(卡牌辅助配置表!$AD$1,MATCH(AB2329,卡牌辅助配置表!AB:AB,0)-1,0)</f>
        <v>597</v>
      </c>
      <c r="AB2329" s="304">
        <f ca="1" t="shared" si="403"/>
        <v>3203</v>
      </c>
      <c r="AC2329" s="153">
        <v>10</v>
      </c>
      <c r="AD2329" s="153">
        <v>3</v>
      </c>
      <c r="AE2329" s="153">
        <v>1</v>
      </c>
      <c r="AF2329" s="153" t="str">
        <f ca="1" t="shared" si="407"/>
        <v>30250011|</v>
      </c>
      <c r="AH2329" s="153">
        <v>2</v>
      </c>
      <c r="AJ2329" s="205" t="str">
        <f ca="1" t="shared" si="404"/>
        <v>400023|1650|;</v>
      </c>
      <c r="AK2329" s="205">
        <f ca="1">OFFSET([1]item_type!$A$1,MATCH(Q2329,[1]item_type!$G:$G,0)-1,0)</f>
        <v>303025</v>
      </c>
      <c r="AL2329" s="205"/>
      <c r="AM2329" s="205">
        <f ca="1">IF(B2329=B2330,OFFSET(卡牌辅助配置表!$AE$1,MATCH(AB2329,卡牌辅助配置表!AB:AB,0),0),0)</f>
        <v>1650</v>
      </c>
      <c r="AN2329" s="153">
        <f ca="1" t="shared" si="400"/>
        <v>3025004</v>
      </c>
      <c r="AP2329" s="153" t="str">
        <f ca="1">IF(AC2329=0,0,IF(AC2329=12,0,OFFSET(effect!$N$1,MATCH(K2329,effect!M:M,0)-1,0)))</f>
        <v>kpsx_pt</v>
      </c>
    </row>
    <row r="2330" spans="1:42">
      <c r="A2330" s="153">
        <f ca="1" t="shared" si="401"/>
        <v>3025004</v>
      </c>
      <c r="B2330" s="91" t="s">
        <v>435</v>
      </c>
      <c r="C2330" s="186">
        <v>3</v>
      </c>
      <c r="D2330" s="186">
        <v>2</v>
      </c>
      <c r="E2330" s="165" t="s">
        <v>1069</v>
      </c>
      <c r="F2330" s="165" t="str">
        <f>"存在魂时，获得"&amp;skill!$O$154/100&amp;"%吸血效果"</f>
        <v>存在魂时，获得50%吸血效果</v>
      </c>
      <c r="G2330" s="186">
        <f ca="1">OFFSET(卡牌辅助配置表!$C$1,MATCH(AC2330,卡牌辅助配置表!A:A,0)-1,0)</f>
        <v>3</v>
      </c>
      <c r="H2330" s="186">
        <f ca="1" t="shared" si="406"/>
        <v>0</v>
      </c>
      <c r="I2330" s="186"/>
      <c r="J2330" s="186">
        <f ca="1">OFFSET(card_type!$F$1,MATCH(Q2330,card_type!A:A,0)-1,0)</f>
        <v>3</v>
      </c>
      <c r="K2330" s="243">
        <f ca="1">OFFSET(card_type!$G$1,MATCH(Q2330,card_type!A:A,0)-1,0)</f>
        <v>2</v>
      </c>
      <c r="L2330" s="157">
        <v>2</v>
      </c>
      <c r="M2330" s="157">
        <v>2</v>
      </c>
      <c r="N2330" s="153">
        <f t="shared" si="395"/>
        <v>4</v>
      </c>
      <c r="O2330" s="157"/>
      <c r="P2330" s="157"/>
      <c r="Q2330" s="153">
        <f ca="1">OFFSET(card_type!$A$1,MATCH(card!B2330,card_type!B:B,0)-1,0)</f>
        <v>3025</v>
      </c>
      <c r="R2330" s="153">
        <v>1</v>
      </c>
      <c r="S2330" s="157">
        <f ca="1">ROUND(IF(R2330=0,0,IF(R2330=1,X2330*$S$1,IF(R2330=2,X2330*$S$1*buff的资质计算!$E$2,IF(R2330=3,X2330*$S$1*buff的资质计算!$E$3,0)))),0)*0</f>
        <v>0</v>
      </c>
      <c r="T2330" s="153">
        <v>2</v>
      </c>
      <c r="U2330" s="153">
        <f ca="1" t="shared" si="402"/>
        <v>32</v>
      </c>
      <c r="V2330" s="153">
        <f ca="1">ROUND((OFFSET(卡牌辅助配置表!$O$1,MATCH(U2330,卡牌辅助配置表!M:M,0)-1,0)+(N2330-1)*OFFSET(卡牌辅助配置表!$P$1,MATCH(U2330,卡牌辅助配置表!M:M,0)-1,0))*M2330,2)</f>
        <v>39.41</v>
      </c>
      <c r="W2330" s="157">
        <f ca="1">ROUND(IF(R2330=0,0,IF(R2330=1,X2330*$W$1,IF(R2330=2,X2330*$W$1*buff的资质计算!$E$2,IF(R2330=3,X2330*$W$1*buff的资质计算!$E$3,0)))),2)</f>
        <v>12.75</v>
      </c>
      <c r="X2330" s="157">
        <f ca="1" t="shared" si="397"/>
        <v>42.5</v>
      </c>
      <c r="Y2330" s="157">
        <f ca="1" t="shared" si="405"/>
        <v>42.5</v>
      </c>
      <c r="Z2330" s="304">
        <f ca="1" t="shared" si="398"/>
        <v>21.25</v>
      </c>
      <c r="AA2330" s="304">
        <f ca="1">OFFSET(卡牌辅助配置表!$AD$1,MATCH(AB2330,卡牌辅助配置表!AB:AB,0)-1,0)</f>
        <v>796</v>
      </c>
      <c r="AB2330" s="304">
        <f ca="1" t="shared" si="403"/>
        <v>3204</v>
      </c>
      <c r="AC2330" s="153">
        <v>10</v>
      </c>
      <c r="AD2330" s="153">
        <v>3</v>
      </c>
      <c r="AE2330" s="153">
        <v>1</v>
      </c>
      <c r="AF2330" s="153" t="str">
        <f ca="1" t="shared" si="407"/>
        <v>30250011|</v>
      </c>
      <c r="AH2330" s="153">
        <v>2</v>
      </c>
      <c r="AJ2330" s="205" t="str">
        <f ca="1" t="shared" si="404"/>
        <v>400023|1950|;</v>
      </c>
      <c r="AK2330" s="205">
        <f ca="1">OFFSET([1]item_type!$A$1,MATCH(Q2330,[1]item_type!$G:$G,0)-1,0)</f>
        <v>303025</v>
      </c>
      <c r="AL2330" s="205"/>
      <c r="AM2330" s="205">
        <f ca="1">IF(B2330=B2331,OFFSET(卡牌辅助配置表!$AE$1,MATCH(AB2330,卡牌辅助配置表!AB:AB,0),0),0)</f>
        <v>1950</v>
      </c>
      <c r="AN2330" s="153">
        <f ca="1" t="shared" si="400"/>
        <v>3025005</v>
      </c>
      <c r="AP2330" s="153" t="str">
        <f ca="1">IF(AC2330=0,0,IF(AC2330=12,0,OFFSET(effect!$N$1,MATCH(K2330,effect!M:M,0)-1,0)))</f>
        <v>kpsx_pt</v>
      </c>
    </row>
    <row r="2331" spans="1:42">
      <c r="A2331" s="153">
        <f ca="1" t="shared" si="401"/>
        <v>3025005</v>
      </c>
      <c r="B2331" s="91" t="s">
        <v>435</v>
      </c>
      <c r="C2331" s="186">
        <v>3</v>
      </c>
      <c r="D2331" s="186">
        <v>2</v>
      </c>
      <c r="E2331" s="165" t="s">
        <v>1069</v>
      </c>
      <c r="F2331" s="165" t="str">
        <f>"存在魂时，获得"&amp;skill!$O$154/100&amp;"%吸血效果"</f>
        <v>存在魂时，获得50%吸血效果</v>
      </c>
      <c r="G2331" s="186">
        <f ca="1">OFFSET(卡牌辅助配置表!$C$1,MATCH(AC2331,卡牌辅助配置表!A:A,0)-1,0)</f>
        <v>3</v>
      </c>
      <c r="H2331" s="186">
        <f ca="1" t="shared" si="406"/>
        <v>0</v>
      </c>
      <c r="I2331" s="186"/>
      <c r="J2331" s="186">
        <f ca="1">OFFSET(card_type!$F$1,MATCH(Q2331,card_type!A:A,0)-1,0)</f>
        <v>3</v>
      </c>
      <c r="K2331" s="243">
        <f ca="1">OFFSET(card_type!$G$1,MATCH(Q2331,card_type!A:A,0)-1,0)</f>
        <v>2</v>
      </c>
      <c r="L2331" s="157">
        <v>2</v>
      </c>
      <c r="M2331" s="157">
        <v>2</v>
      </c>
      <c r="N2331" s="153">
        <f t="shared" si="395"/>
        <v>5</v>
      </c>
      <c r="O2331" s="157"/>
      <c r="P2331" s="157"/>
      <c r="Q2331" s="153">
        <f ca="1">OFFSET(card_type!$A$1,MATCH(card!B2331,card_type!B:B,0)-1,0)</f>
        <v>3025</v>
      </c>
      <c r="R2331" s="153">
        <v>1</v>
      </c>
      <c r="S2331" s="157">
        <f ca="1">ROUND(IF(R2331=0,0,IF(R2331=1,X2331*$S$1,IF(R2331=2,X2331*$S$1*buff的资质计算!$E$2,IF(R2331=3,X2331*$S$1*buff的资质计算!$E$3,0)))),0)*0</f>
        <v>0</v>
      </c>
      <c r="T2331" s="153">
        <v>2</v>
      </c>
      <c r="U2331" s="153">
        <f ca="1" t="shared" si="402"/>
        <v>32</v>
      </c>
      <c r="V2331" s="153">
        <f ca="1">ROUND((OFFSET(卡牌辅助配置表!$O$1,MATCH(U2331,卡牌辅助配置表!M:M,0)-1,0)+(N2331-1)*OFFSET(卡牌辅助配置表!$P$1,MATCH(U2331,卡牌辅助配置表!M:M,0)-1,0))*M2331,2)</f>
        <v>42.98</v>
      </c>
      <c r="W2331" s="157">
        <f ca="1">ROUND(IF(R2331=0,0,IF(R2331=1,X2331*$W$1,IF(R2331=2,X2331*$W$1*buff的资质计算!$E$2,IF(R2331=3,X2331*$W$1*buff的资质计算!$E$3,0)))),2)</f>
        <v>12.9</v>
      </c>
      <c r="X2331" s="157">
        <f ca="1" t="shared" si="397"/>
        <v>43</v>
      </c>
      <c r="Y2331" s="157">
        <f ca="1" t="shared" si="405"/>
        <v>43</v>
      </c>
      <c r="Z2331" s="304">
        <f ca="1" t="shared" si="398"/>
        <v>21.5</v>
      </c>
      <c r="AA2331" s="304">
        <f ca="1">OFFSET(卡牌辅助配置表!$AD$1,MATCH(AB2331,卡牌辅助配置表!AB:AB,0)-1,0)</f>
        <v>995</v>
      </c>
      <c r="AB2331" s="304">
        <f ca="1" t="shared" si="403"/>
        <v>3205</v>
      </c>
      <c r="AC2331" s="153">
        <v>10</v>
      </c>
      <c r="AD2331" s="153">
        <v>3</v>
      </c>
      <c r="AE2331" s="153">
        <v>1</v>
      </c>
      <c r="AF2331" s="153" t="str">
        <f ca="1" t="shared" si="407"/>
        <v>30250011|</v>
      </c>
      <c r="AH2331" s="153">
        <v>2</v>
      </c>
      <c r="AJ2331" s="205" t="str">
        <f ca="1" t="shared" si="404"/>
        <v>400023|2250|;</v>
      </c>
      <c r="AK2331" s="205">
        <f ca="1">OFFSET([1]item_type!$A$1,MATCH(Q2331,[1]item_type!$G:$G,0)-1,0)</f>
        <v>303025</v>
      </c>
      <c r="AL2331" s="205"/>
      <c r="AM2331" s="205">
        <f ca="1">IF(B2331=B2332,OFFSET(卡牌辅助配置表!$AE$1,MATCH(AB2331,卡牌辅助配置表!AB:AB,0),0),0)</f>
        <v>2250</v>
      </c>
      <c r="AN2331" s="153">
        <f ca="1" t="shared" si="400"/>
        <v>3025006</v>
      </c>
      <c r="AP2331" s="153" t="str">
        <f ca="1">IF(AC2331=0,0,IF(AC2331=12,0,OFFSET(effect!$N$1,MATCH(K2331,effect!M:M,0)-1,0)))</f>
        <v>kpsx_pt</v>
      </c>
    </row>
    <row r="2332" spans="1:42">
      <c r="A2332" s="153">
        <f ca="1" t="shared" si="401"/>
        <v>3025006</v>
      </c>
      <c r="B2332" s="91" t="s">
        <v>435</v>
      </c>
      <c r="C2332" s="186">
        <v>3</v>
      </c>
      <c r="D2332" s="186">
        <v>2</v>
      </c>
      <c r="E2332" s="165" t="s">
        <v>1069</v>
      </c>
      <c r="F2332" s="165" t="str">
        <f>"存在魂时，获得"&amp;skill!$O$154/100&amp;"%吸血效果"</f>
        <v>存在魂时，获得50%吸血效果</v>
      </c>
      <c r="G2332" s="186">
        <f ca="1">OFFSET(卡牌辅助配置表!$C$1,MATCH(AC2332,卡牌辅助配置表!A:A,0)-1,0)</f>
        <v>3</v>
      </c>
      <c r="H2332" s="186">
        <f ca="1" t="shared" si="406"/>
        <v>0</v>
      </c>
      <c r="I2332" s="186"/>
      <c r="J2332" s="186">
        <f ca="1">OFFSET(card_type!$F$1,MATCH(Q2332,card_type!A:A,0)-1,0)</f>
        <v>3</v>
      </c>
      <c r="K2332" s="243">
        <f ca="1">OFFSET(card_type!$G$1,MATCH(Q2332,card_type!A:A,0)-1,0)</f>
        <v>2</v>
      </c>
      <c r="L2332" s="157">
        <v>2</v>
      </c>
      <c r="M2332" s="157">
        <v>2</v>
      </c>
      <c r="N2332" s="153">
        <f t="shared" si="395"/>
        <v>6</v>
      </c>
      <c r="O2332" s="157"/>
      <c r="P2332" s="157"/>
      <c r="Q2332" s="153">
        <f ca="1">OFFSET(card_type!$A$1,MATCH(card!B2332,card_type!B:B,0)-1,0)</f>
        <v>3025</v>
      </c>
      <c r="R2332" s="153">
        <v>1</v>
      </c>
      <c r="S2332" s="157">
        <f ca="1">ROUND(IF(R2332=0,0,IF(R2332=1,X2332*$S$1,IF(R2332=2,X2332*$S$1*buff的资质计算!$E$2,IF(R2332=3,X2332*$S$1*buff的资质计算!$E$3,0)))),0)*0</f>
        <v>0</v>
      </c>
      <c r="T2332" s="153">
        <v>2</v>
      </c>
      <c r="U2332" s="153">
        <f ca="1" t="shared" si="402"/>
        <v>32</v>
      </c>
      <c r="V2332" s="153">
        <f ca="1">ROUND((OFFSET(卡牌辅助配置表!$O$1,MATCH(U2332,卡牌辅助配置表!M:M,0)-1,0)+(N2332-1)*OFFSET(卡牌辅助配置表!$P$1,MATCH(U2332,卡牌辅助配置表!M:M,0)-1,0))*M2332,2)</f>
        <v>46.54</v>
      </c>
      <c r="W2332" s="157">
        <f ca="1">ROUND(IF(R2332=0,0,IF(R2332=1,X2332*$W$1,IF(R2332=2,X2332*$W$1*buff的资质计算!$E$2,IF(R2332=3,X2332*$W$1*buff的资质计算!$E$3,0)))),2)</f>
        <v>13.05</v>
      </c>
      <c r="X2332" s="157">
        <f ca="1" t="shared" si="397"/>
        <v>43.5</v>
      </c>
      <c r="Y2332" s="157">
        <f ca="1" t="shared" si="405"/>
        <v>43.5</v>
      </c>
      <c r="Z2332" s="304">
        <f ca="1" t="shared" si="398"/>
        <v>21.75</v>
      </c>
      <c r="AA2332" s="304">
        <f ca="1">OFFSET(卡牌辅助配置表!$AD$1,MATCH(AB2332,卡牌辅助配置表!AB:AB,0)-1,0)</f>
        <v>1194</v>
      </c>
      <c r="AB2332" s="304">
        <f ca="1" t="shared" si="403"/>
        <v>3206</v>
      </c>
      <c r="AC2332" s="153">
        <v>10</v>
      </c>
      <c r="AD2332" s="153">
        <v>3</v>
      </c>
      <c r="AE2332" s="153">
        <v>1</v>
      </c>
      <c r="AF2332" s="153" t="str">
        <f ca="1" t="shared" si="407"/>
        <v>30250011|</v>
      </c>
      <c r="AH2332" s="153">
        <v>2</v>
      </c>
      <c r="AJ2332" s="205" t="str">
        <f ca="1" t="shared" si="404"/>
        <v>400023|2550|;</v>
      </c>
      <c r="AK2332" s="205">
        <f ca="1">OFFSET([1]item_type!$A$1,MATCH(Q2332,[1]item_type!$G:$G,0)-1,0)</f>
        <v>303025</v>
      </c>
      <c r="AL2332" s="205"/>
      <c r="AM2332" s="205">
        <f ca="1">IF(B2332=B2333,OFFSET(卡牌辅助配置表!$AE$1,MATCH(AB2332,卡牌辅助配置表!AB:AB,0),0),0)</f>
        <v>2550</v>
      </c>
      <c r="AN2332" s="153">
        <f ca="1" t="shared" si="400"/>
        <v>3025007</v>
      </c>
      <c r="AP2332" s="153" t="str">
        <f ca="1">IF(AC2332=0,0,IF(AC2332=12,0,OFFSET(effect!$N$1,MATCH(K2332,effect!M:M,0)-1,0)))</f>
        <v>kpsx_pt</v>
      </c>
    </row>
    <row r="2333" spans="1:42">
      <c r="A2333" s="153">
        <f ca="1" t="shared" si="401"/>
        <v>3025007</v>
      </c>
      <c r="B2333" s="91" t="s">
        <v>435</v>
      </c>
      <c r="C2333" s="186">
        <v>3</v>
      </c>
      <c r="D2333" s="186">
        <v>2</v>
      </c>
      <c r="E2333" s="165" t="s">
        <v>1069</v>
      </c>
      <c r="F2333" s="165" t="str">
        <f>"存在魂时，获得"&amp;skill!$O$154/100&amp;"%吸血效果"</f>
        <v>存在魂时，获得50%吸血效果</v>
      </c>
      <c r="G2333" s="186">
        <f ca="1">OFFSET(卡牌辅助配置表!$C$1,MATCH(AC2333,卡牌辅助配置表!A:A,0)-1,0)</f>
        <v>3</v>
      </c>
      <c r="H2333" s="186">
        <f ca="1" t="shared" si="406"/>
        <v>0</v>
      </c>
      <c r="I2333" s="186"/>
      <c r="J2333" s="186">
        <f ca="1">OFFSET(card_type!$F$1,MATCH(Q2333,card_type!A:A,0)-1,0)</f>
        <v>3</v>
      </c>
      <c r="K2333" s="243">
        <f ca="1">OFFSET(card_type!$G$1,MATCH(Q2333,card_type!A:A,0)-1,0)</f>
        <v>2</v>
      </c>
      <c r="L2333" s="157">
        <v>2</v>
      </c>
      <c r="M2333" s="157">
        <v>2</v>
      </c>
      <c r="N2333" s="153">
        <f t="shared" si="395"/>
        <v>7</v>
      </c>
      <c r="O2333" s="157"/>
      <c r="P2333" s="157"/>
      <c r="Q2333" s="153">
        <f ca="1">OFFSET(card_type!$A$1,MATCH(card!B2333,card_type!B:B,0)-1,0)</f>
        <v>3025</v>
      </c>
      <c r="R2333" s="153">
        <v>1</v>
      </c>
      <c r="S2333" s="157">
        <f ca="1">ROUND(IF(R2333=0,0,IF(R2333=1,X2333*$S$1,IF(R2333=2,X2333*$S$1*buff的资质计算!$E$2,IF(R2333=3,X2333*$S$1*buff的资质计算!$E$3,0)))),0)*0</f>
        <v>0</v>
      </c>
      <c r="T2333" s="153">
        <v>2</v>
      </c>
      <c r="U2333" s="153">
        <f ca="1" t="shared" si="402"/>
        <v>32</v>
      </c>
      <c r="V2333" s="153">
        <f ca="1">ROUND((OFFSET(卡牌辅助配置表!$O$1,MATCH(U2333,卡牌辅助配置表!M:M,0)-1,0)+(N2333-1)*OFFSET(卡牌辅助配置表!$P$1,MATCH(U2333,卡牌辅助配置表!M:M,0)-1,0))*M2333,2)</f>
        <v>50.11</v>
      </c>
      <c r="W2333" s="157">
        <f ca="1">ROUND(IF(R2333=0,0,IF(R2333=1,X2333*$W$1,IF(R2333=2,X2333*$W$1*buff的资质计算!$E$2,IF(R2333=3,X2333*$W$1*buff的资质计算!$E$3,0)))),2)</f>
        <v>13.2</v>
      </c>
      <c r="X2333" s="157">
        <f ca="1" t="shared" si="397"/>
        <v>44</v>
      </c>
      <c r="Y2333" s="157">
        <f ca="1" t="shared" si="405"/>
        <v>44</v>
      </c>
      <c r="Z2333" s="304">
        <f ca="1" t="shared" si="398"/>
        <v>22</v>
      </c>
      <c r="AA2333" s="304">
        <f ca="1">OFFSET(卡牌辅助配置表!$AD$1,MATCH(AB2333,卡牌辅助配置表!AB:AB,0)-1,0)</f>
        <v>1393</v>
      </c>
      <c r="AB2333" s="304">
        <f ca="1" t="shared" si="403"/>
        <v>3207</v>
      </c>
      <c r="AC2333" s="153">
        <v>10</v>
      </c>
      <c r="AD2333" s="153">
        <v>3</v>
      </c>
      <c r="AE2333" s="153">
        <v>1</v>
      </c>
      <c r="AF2333" s="153" t="str">
        <f ca="1" t="shared" si="407"/>
        <v>30250011|</v>
      </c>
      <c r="AH2333" s="153">
        <v>2</v>
      </c>
      <c r="AJ2333" s="205" t="str">
        <f ca="1" t="shared" si="404"/>
        <v>400023|2850|;</v>
      </c>
      <c r="AK2333" s="205">
        <f ca="1">OFFSET([1]item_type!$A$1,MATCH(Q2333,[1]item_type!$G:$G,0)-1,0)</f>
        <v>303025</v>
      </c>
      <c r="AL2333" s="205"/>
      <c r="AM2333" s="205">
        <f ca="1">IF(B2333=B2334,OFFSET(卡牌辅助配置表!$AE$1,MATCH(AB2333,卡牌辅助配置表!AB:AB,0),0),0)</f>
        <v>2850</v>
      </c>
      <c r="AN2333" s="153">
        <f ca="1" t="shared" si="400"/>
        <v>3025008</v>
      </c>
      <c r="AP2333" s="153" t="str">
        <f ca="1">IF(AC2333=0,0,IF(AC2333=12,0,OFFSET(effect!$N$1,MATCH(K2333,effect!M:M,0)-1,0)))</f>
        <v>kpsx_pt</v>
      </c>
    </row>
    <row r="2334" spans="1:42">
      <c r="A2334" s="153">
        <f ca="1" t="shared" si="401"/>
        <v>3025008</v>
      </c>
      <c r="B2334" s="91" t="s">
        <v>435</v>
      </c>
      <c r="C2334" s="186">
        <v>3</v>
      </c>
      <c r="D2334" s="186">
        <v>2</v>
      </c>
      <c r="E2334" s="165" t="s">
        <v>1069</v>
      </c>
      <c r="F2334" s="165" t="str">
        <f>"存在魂时，获得"&amp;skill!$O$154/100&amp;"%吸血效果"</f>
        <v>存在魂时，获得50%吸血效果</v>
      </c>
      <c r="G2334" s="186">
        <f ca="1">OFFSET(卡牌辅助配置表!$C$1,MATCH(AC2334,卡牌辅助配置表!A:A,0)-1,0)</f>
        <v>3</v>
      </c>
      <c r="H2334" s="186">
        <f ca="1" t="shared" si="406"/>
        <v>0</v>
      </c>
      <c r="I2334" s="186"/>
      <c r="J2334" s="186">
        <f ca="1">OFFSET(card_type!$F$1,MATCH(Q2334,card_type!A:A,0)-1,0)</f>
        <v>3</v>
      </c>
      <c r="K2334" s="243">
        <f ca="1">OFFSET(card_type!$G$1,MATCH(Q2334,card_type!A:A,0)-1,0)</f>
        <v>2</v>
      </c>
      <c r="L2334" s="157">
        <v>2</v>
      </c>
      <c r="M2334" s="157">
        <v>2</v>
      </c>
      <c r="N2334" s="153">
        <f t="shared" si="395"/>
        <v>8</v>
      </c>
      <c r="O2334" s="157"/>
      <c r="P2334" s="157"/>
      <c r="Q2334" s="153">
        <f ca="1">OFFSET(card_type!$A$1,MATCH(card!B2334,card_type!B:B,0)-1,0)</f>
        <v>3025</v>
      </c>
      <c r="R2334" s="153">
        <v>1</v>
      </c>
      <c r="S2334" s="157">
        <f ca="1">ROUND(IF(R2334=0,0,IF(R2334=1,X2334*$S$1,IF(R2334=2,X2334*$S$1*buff的资质计算!$E$2,IF(R2334=3,X2334*$S$1*buff的资质计算!$E$3,0)))),0)*0</f>
        <v>0</v>
      </c>
      <c r="T2334" s="153">
        <v>2</v>
      </c>
      <c r="U2334" s="153">
        <f ca="1" t="shared" si="402"/>
        <v>32</v>
      </c>
      <c r="V2334" s="153">
        <f ca="1">ROUND((OFFSET(卡牌辅助配置表!$O$1,MATCH(U2334,卡牌辅助配置表!M:M,0)-1,0)+(N2334-1)*OFFSET(卡牌辅助配置表!$P$1,MATCH(U2334,卡牌辅助配置表!M:M,0)-1,0))*M2334,2)</f>
        <v>53.68</v>
      </c>
      <c r="W2334" s="157">
        <f ca="1">ROUND(IF(R2334=0,0,IF(R2334=1,X2334*$W$1,IF(R2334=2,X2334*$W$1*buff的资质计算!$E$2,IF(R2334=3,X2334*$W$1*buff的资质计算!$E$3,0)))),2)</f>
        <v>13.35</v>
      </c>
      <c r="X2334" s="157">
        <f ca="1" t="shared" si="397"/>
        <v>44.5</v>
      </c>
      <c r="Y2334" s="157">
        <f ca="1" t="shared" si="405"/>
        <v>44.5</v>
      </c>
      <c r="Z2334" s="304">
        <f ca="1" t="shared" si="398"/>
        <v>22.25</v>
      </c>
      <c r="AA2334" s="304">
        <f ca="1">OFFSET(卡牌辅助配置表!$AD$1,MATCH(AB2334,卡牌辅助配置表!AB:AB,0)-1,0)</f>
        <v>1592</v>
      </c>
      <c r="AB2334" s="304">
        <f ca="1" t="shared" si="403"/>
        <v>3208</v>
      </c>
      <c r="AC2334" s="153">
        <v>10</v>
      </c>
      <c r="AD2334" s="153">
        <v>3</v>
      </c>
      <c r="AE2334" s="153">
        <v>1</v>
      </c>
      <c r="AF2334" s="153" t="str">
        <f ca="1" t="shared" si="407"/>
        <v>30250011|</v>
      </c>
      <c r="AH2334" s="153">
        <v>2</v>
      </c>
      <c r="AJ2334" s="205" t="str">
        <f ca="1" t="shared" si="404"/>
        <v>400023|3150|;</v>
      </c>
      <c r="AK2334" s="205">
        <f ca="1">OFFSET([1]item_type!$A$1,MATCH(Q2334,[1]item_type!$G:$G,0)-1,0)</f>
        <v>303025</v>
      </c>
      <c r="AL2334" s="205"/>
      <c r="AM2334" s="205">
        <f ca="1">IF(B2334=B2335,OFFSET(卡牌辅助配置表!$AE$1,MATCH(AB2334,卡牌辅助配置表!AB:AB,0),0),0)</f>
        <v>3150</v>
      </c>
      <c r="AN2334" s="153">
        <f ca="1" t="shared" si="400"/>
        <v>3025009</v>
      </c>
      <c r="AP2334" s="153" t="str">
        <f ca="1">IF(AC2334=0,0,IF(AC2334=12,0,OFFSET(effect!$N$1,MATCH(K2334,effect!M:M,0)-1,0)))</f>
        <v>kpsx_pt</v>
      </c>
    </row>
    <row r="2335" spans="1:42">
      <c r="A2335" s="153">
        <f ca="1" t="shared" si="401"/>
        <v>3025009</v>
      </c>
      <c r="B2335" s="91" t="s">
        <v>435</v>
      </c>
      <c r="C2335" s="186">
        <v>3</v>
      </c>
      <c r="D2335" s="186">
        <v>2</v>
      </c>
      <c r="E2335" s="165" t="s">
        <v>1069</v>
      </c>
      <c r="F2335" s="165" t="str">
        <f>"存在魂时，获得"&amp;skill!$O$154/100&amp;"%吸血效果"</f>
        <v>存在魂时，获得50%吸血效果</v>
      </c>
      <c r="G2335" s="186">
        <f ca="1">OFFSET(卡牌辅助配置表!$C$1,MATCH(AC2335,卡牌辅助配置表!A:A,0)-1,0)</f>
        <v>3</v>
      </c>
      <c r="H2335" s="186">
        <f ca="1" t="shared" si="406"/>
        <v>0</v>
      </c>
      <c r="I2335" s="186"/>
      <c r="J2335" s="186">
        <f ca="1">OFFSET(card_type!$F$1,MATCH(Q2335,card_type!A:A,0)-1,0)</f>
        <v>3</v>
      </c>
      <c r="K2335" s="243">
        <f ca="1">OFFSET(card_type!$G$1,MATCH(Q2335,card_type!A:A,0)-1,0)</f>
        <v>2</v>
      </c>
      <c r="L2335" s="157">
        <v>2</v>
      </c>
      <c r="M2335" s="157">
        <v>2</v>
      </c>
      <c r="N2335" s="153">
        <f t="shared" si="395"/>
        <v>9</v>
      </c>
      <c r="O2335" s="157"/>
      <c r="P2335" s="157"/>
      <c r="Q2335" s="153">
        <f ca="1">OFFSET(card_type!$A$1,MATCH(card!B2335,card_type!B:B,0)-1,0)</f>
        <v>3025</v>
      </c>
      <c r="R2335" s="153">
        <v>1</v>
      </c>
      <c r="S2335" s="157">
        <f ca="1">ROUND(IF(R2335=0,0,IF(R2335=1,X2335*$S$1,IF(R2335=2,X2335*$S$1*buff的资质计算!$E$2,IF(R2335=3,X2335*$S$1*buff的资质计算!$E$3,0)))),0)*0</f>
        <v>0</v>
      </c>
      <c r="T2335" s="153">
        <v>2</v>
      </c>
      <c r="U2335" s="153">
        <f ca="1" t="shared" si="402"/>
        <v>32</v>
      </c>
      <c r="V2335" s="153">
        <f ca="1">ROUND((OFFSET(卡牌辅助配置表!$O$1,MATCH(U2335,卡牌辅助配置表!M:M,0)-1,0)+(N2335-1)*OFFSET(卡牌辅助配置表!$P$1,MATCH(U2335,卡牌辅助配置表!M:M,0)-1,0))*M2335,2)</f>
        <v>57.24</v>
      </c>
      <c r="W2335" s="157">
        <f ca="1">ROUND(IF(R2335=0,0,IF(R2335=1,X2335*$W$1,IF(R2335=2,X2335*$W$1*buff的资质计算!$E$2,IF(R2335=3,X2335*$W$1*buff的资质计算!$E$3,0)))),2)</f>
        <v>13.5</v>
      </c>
      <c r="X2335" s="157">
        <f ca="1" t="shared" si="397"/>
        <v>45</v>
      </c>
      <c r="Y2335" s="157">
        <f ca="1" t="shared" si="405"/>
        <v>45</v>
      </c>
      <c r="Z2335" s="304">
        <f ca="1" t="shared" si="398"/>
        <v>22.5</v>
      </c>
      <c r="AA2335" s="304">
        <f ca="1">OFFSET(卡牌辅助配置表!$AD$1,MATCH(AB2335,卡牌辅助配置表!AB:AB,0)-1,0)</f>
        <v>1791</v>
      </c>
      <c r="AB2335" s="304">
        <f ca="1" t="shared" si="403"/>
        <v>3209</v>
      </c>
      <c r="AC2335" s="153">
        <v>10</v>
      </c>
      <c r="AD2335" s="153">
        <v>3</v>
      </c>
      <c r="AE2335" s="153">
        <v>1</v>
      </c>
      <c r="AF2335" s="153" t="str">
        <f ca="1" t="shared" si="407"/>
        <v>30250011|</v>
      </c>
      <c r="AH2335" s="153">
        <v>2</v>
      </c>
      <c r="AJ2335" s="205" t="str">
        <f ca="1" t="shared" si="404"/>
        <v>303025|15|;400023|3450|;</v>
      </c>
      <c r="AK2335" s="205">
        <f ca="1">OFFSET([1]item_type!$A$1,MATCH(Q2335,[1]item_type!$G:$G,0)-1,0)</f>
        <v>303025</v>
      </c>
      <c r="AL2335" s="205">
        <v>15</v>
      </c>
      <c r="AM2335" s="205">
        <f ca="1">IF(B2335=B2336,OFFSET(卡牌辅助配置表!$AE$1,MATCH(AB2335,卡牌辅助配置表!AB:AB,0),0),0)</f>
        <v>3450</v>
      </c>
      <c r="AN2335" s="153">
        <f ca="1" t="shared" si="400"/>
        <v>3025010</v>
      </c>
      <c r="AP2335" s="153" t="str">
        <f ca="1">IF(AC2335=0,0,IF(AC2335=12,0,OFFSET(effect!$N$1,MATCH(K2335,effect!M:M,0)-1,0)))</f>
        <v>kpsx_pt</v>
      </c>
    </row>
    <row r="2336" spans="1:42">
      <c r="A2336" s="153">
        <f ca="1" t="shared" si="401"/>
        <v>3025010</v>
      </c>
      <c r="B2336" s="91" t="s">
        <v>435</v>
      </c>
      <c r="C2336" s="186">
        <v>3</v>
      </c>
      <c r="D2336" s="186">
        <v>2</v>
      </c>
      <c r="E2336" s="165" t="s">
        <v>1069</v>
      </c>
      <c r="F2336" s="165" t="str">
        <f>"存在魂时，获得"&amp;skill!$O$154/100&amp;"%吸血效果"</f>
        <v>存在魂时，获得50%吸血效果</v>
      </c>
      <c r="G2336" s="186">
        <f ca="1">OFFSET(卡牌辅助配置表!$C$1,MATCH(AC2336,卡牌辅助配置表!A:A,0)-1,0)</f>
        <v>3</v>
      </c>
      <c r="H2336" s="186">
        <f ca="1" t="shared" si="406"/>
        <v>0</v>
      </c>
      <c r="I2336" s="186"/>
      <c r="J2336" s="186">
        <f ca="1">OFFSET(card_type!$F$1,MATCH(Q2336,card_type!A:A,0)-1,0)</f>
        <v>3</v>
      </c>
      <c r="K2336" s="243">
        <f ca="1">OFFSET(card_type!$G$1,MATCH(Q2336,card_type!A:A,0)-1,0)</f>
        <v>2</v>
      </c>
      <c r="L2336" s="157">
        <v>2</v>
      </c>
      <c r="M2336" s="157">
        <v>2</v>
      </c>
      <c r="N2336" s="153">
        <f t="shared" si="395"/>
        <v>10</v>
      </c>
      <c r="O2336" s="157"/>
      <c r="P2336" s="157"/>
      <c r="Q2336" s="153">
        <f ca="1">OFFSET(card_type!$A$1,MATCH(card!B2336,card_type!B:B,0)-1,0)</f>
        <v>3025</v>
      </c>
      <c r="R2336" s="153">
        <v>1</v>
      </c>
      <c r="S2336" s="157">
        <f ca="1">ROUND(IF(R2336=0,0,IF(R2336=1,X2336*$S$1,IF(R2336=2,X2336*$S$1*buff的资质计算!$E$2,IF(R2336=3,X2336*$S$1*buff的资质计算!$E$3,0)))),0)*0</f>
        <v>0</v>
      </c>
      <c r="T2336" s="153">
        <v>2</v>
      </c>
      <c r="U2336" s="153">
        <f ca="1" t="shared" si="402"/>
        <v>32</v>
      </c>
      <c r="V2336" s="153">
        <f ca="1">ROUND((OFFSET(卡牌辅助配置表!$O$1,MATCH(U2336,卡牌辅助配置表!M:M,0)-1,0)+(N2336-1)*OFFSET(卡牌辅助配置表!$P$1,MATCH(U2336,卡牌辅助配置表!M:M,0)-1,0))*M2336,2)</f>
        <v>60.81</v>
      </c>
      <c r="W2336" s="157">
        <f ca="1">ROUND(IF(R2336=0,0,IF(R2336=1,X2336*$W$1,IF(R2336=2,X2336*$W$1*buff的资质计算!$E$2,IF(R2336=3,X2336*$W$1*buff的资质计算!$E$3,0)))),2)</f>
        <v>13.65</v>
      </c>
      <c r="X2336" s="157">
        <f ca="1" t="shared" si="397"/>
        <v>45.5</v>
      </c>
      <c r="Y2336" s="157">
        <f ca="1" t="shared" si="405"/>
        <v>45.5</v>
      </c>
      <c r="Z2336" s="304">
        <f ca="1" t="shared" si="398"/>
        <v>22.75</v>
      </c>
      <c r="AA2336" s="304">
        <f ca="1">OFFSET(卡牌辅助配置表!$AD$1,MATCH(AB2336,卡牌辅助配置表!AB:AB,0)-1,0)</f>
        <v>1990</v>
      </c>
      <c r="AB2336" s="304">
        <f ca="1" t="shared" si="403"/>
        <v>3210</v>
      </c>
      <c r="AC2336" s="153">
        <v>10</v>
      </c>
      <c r="AD2336" s="153">
        <v>3</v>
      </c>
      <c r="AE2336" s="153">
        <v>1</v>
      </c>
      <c r="AF2336" s="153" t="str">
        <f ca="1" t="shared" si="407"/>
        <v>30250011|</v>
      </c>
      <c r="AH2336" s="153">
        <v>2</v>
      </c>
      <c r="AJ2336" s="205" t="str">
        <f ca="1" t="shared" si="404"/>
        <v>400023|4050|;</v>
      </c>
      <c r="AK2336" s="205">
        <f ca="1">OFFSET([1]item_type!$A$1,MATCH(Q2336,[1]item_type!$G:$G,0)-1,0)</f>
        <v>303025</v>
      </c>
      <c r="AL2336" s="205"/>
      <c r="AM2336" s="205">
        <f ca="1">IF(B2336=B2337,OFFSET(卡牌辅助配置表!$AE$1,MATCH(AB2336,卡牌辅助配置表!AB:AB,0),0),0)</f>
        <v>4050</v>
      </c>
      <c r="AN2336" s="153">
        <f ca="1" t="shared" si="400"/>
        <v>3025011</v>
      </c>
      <c r="AP2336" s="153" t="str">
        <f ca="1">IF(AC2336=0,0,IF(AC2336=12,0,OFFSET(effect!$N$1,MATCH(K2336,effect!M:M,0)-1,0)))</f>
        <v>kpsx_pt</v>
      </c>
    </row>
    <row r="2337" spans="1:42">
      <c r="A2337" s="153">
        <f ca="1" t="shared" si="401"/>
        <v>3025011</v>
      </c>
      <c r="B2337" s="91" t="s">
        <v>435</v>
      </c>
      <c r="C2337" s="186">
        <v>3</v>
      </c>
      <c r="D2337" s="186">
        <v>2</v>
      </c>
      <c r="E2337" s="165" t="s">
        <v>1069</v>
      </c>
      <c r="F2337" s="165" t="str">
        <f>"存在魂时，获得"&amp;skill!$O$154/100&amp;"%吸血效果"</f>
        <v>存在魂时，获得50%吸血效果</v>
      </c>
      <c r="G2337" s="186">
        <f ca="1">OFFSET(卡牌辅助配置表!$C$1,MATCH(AC2337,卡牌辅助配置表!A:A,0)-1,0)</f>
        <v>3</v>
      </c>
      <c r="H2337" s="186">
        <f ca="1" t="shared" si="406"/>
        <v>0</v>
      </c>
      <c r="I2337" s="186"/>
      <c r="J2337" s="186">
        <f ca="1">OFFSET(card_type!$F$1,MATCH(Q2337,card_type!A:A,0)-1,0)</f>
        <v>3</v>
      </c>
      <c r="K2337" s="243">
        <f ca="1">OFFSET(card_type!$G$1,MATCH(Q2337,card_type!A:A,0)-1,0)</f>
        <v>2</v>
      </c>
      <c r="L2337" s="157">
        <v>2</v>
      </c>
      <c r="M2337" s="157">
        <v>2</v>
      </c>
      <c r="N2337" s="153">
        <f t="shared" si="395"/>
        <v>11</v>
      </c>
      <c r="O2337" s="157"/>
      <c r="P2337" s="157"/>
      <c r="Q2337" s="153">
        <f ca="1">OFFSET(card_type!$A$1,MATCH(card!B2337,card_type!B:B,0)-1,0)</f>
        <v>3025</v>
      </c>
      <c r="R2337" s="153">
        <v>1</v>
      </c>
      <c r="S2337" s="157">
        <f ca="1">ROUND(IF(R2337=0,0,IF(R2337=1,X2337*$S$1,IF(R2337=2,X2337*$S$1*buff的资质计算!$E$2,IF(R2337=3,X2337*$S$1*buff的资质计算!$E$3,0)))),0)*0</f>
        <v>0</v>
      </c>
      <c r="T2337" s="153">
        <v>2</v>
      </c>
      <c r="U2337" s="153">
        <f ca="1" t="shared" si="402"/>
        <v>32</v>
      </c>
      <c r="V2337" s="153">
        <f ca="1">ROUND((OFFSET(卡牌辅助配置表!$O$1,MATCH(U2337,卡牌辅助配置表!M:M,0)-1,0)+(N2337-1)*OFFSET(卡牌辅助配置表!$P$1,MATCH(U2337,卡牌辅助配置表!M:M,0)-1,0))*M2337,2)</f>
        <v>64.38</v>
      </c>
      <c r="W2337" s="157">
        <f ca="1">ROUND(IF(R2337=0,0,IF(R2337=1,X2337*$W$1,IF(R2337=2,X2337*$W$1*buff的资质计算!$E$2,IF(R2337=3,X2337*$W$1*buff的资质计算!$E$3,0)))),2)</f>
        <v>13.8</v>
      </c>
      <c r="X2337" s="157">
        <f ca="1" t="shared" si="397"/>
        <v>46</v>
      </c>
      <c r="Y2337" s="157">
        <f ca="1" t="shared" si="405"/>
        <v>46</v>
      </c>
      <c r="Z2337" s="304">
        <f ca="1" t="shared" si="398"/>
        <v>23</v>
      </c>
      <c r="AA2337" s="304">
        <f ca="1">OFFSET(卡牌辅助配置表!$AD$1,MATCH(AB2337,卡牌辅助配置表!AB:AB,0)-1,0)</f>
        <v>2289</v>
      </c>
      <c r="AB2337" s="304">
        <f ca="1" t="shared" si="403"/>
        <v>3211</v>
      </c>
      <c r="AC2337" s="153">
        <v>10</v>
      </c>
      <c r="AD2337" s="153">
        <v>3</v>
      </c>
      <c r="AE2337" s="153">
        <v>1</v>
      </c>
      <c r="AF2337" s="153" t="str">
        <f ca="1" t="shared" si="407"/>
        <v>30250011|</v>
      </c>
      <c r="AH2337" s="153">
        <v>2</v>
      </c>
      <c r="AJ2337" s="205" t="str">
        <f ca="1" t="shared" si="404"/>
        <v>400023|4650|;</v>
      </c>
      <c r="AK2337" s="205">
        <f ca="1">OFFSET([1]item_type!$A$1,MATCH(Q2337,[1]item_type!$G:$G,0)-1,0)</f>
        <v>303025</v>
      </c>
      <c r="AL2337" s="205"/>
      <c r="AM2337" s="205">
        <f ca="1">IF(B2337=B2338,OFFSET(卡牌辅助配置表!$AE$1,MATCH(AB2337,卡牌辅助配置表!AB:AB,0),0),0)</f>
        <v>4650</v>
      </c>
      <c r="AN2337" s="153">
        <f ca="1" t="shared" si="400"/>
        <v>3025012</v>
      </c>
      <c r="AP2337" s="153" t="str">
        <f ca="1">IF(AC2337=0,0,IF(AC2337=12,0,OFFSET(effect!$N$1,MATCH(K2337,effect!M:M,0)-1,0)))</f>
        <v>kpsx_pt</v>
      </c>
    </row>
    <row r="2338" spans="1:42">
      <c r="A2338" s="153">
        <f ca="1" t="shared" si="401"/>
        <v>3025012</v>
      </c>
      <c r="B2338" s="91" t="s">
        <v>435</v>
      </c>
      <c r="C2338" s="186">
        <v>3</v>
      </c>
      <c r="D2338" s="186">
        <v>2</v>
      </c>
      <c r="E2338" s="165" t="s">
        <v>1069</v>
      </c>
      <c r="F2338" s="165" t="str">
        <f>"存在魂时，获得"&amp;skill!$O$154/100&amp;"%吸血效果"</f>
        <v>存在魂时，获得50%吸血效果</v>
      </c>
      <c r="G2338" s="186">
        <f ca="1">OFFSET(卡牌辅助配置表!$C$1,MATCH(AC2338,卡牌辅助配置表!A:A,0)-1,0)</f>
        <v>3</v>
      </c>
      <c r="H2338" s="186">
        <f ca="1" t="shared" si="406"/>
        <v>0</v>
      </c>
      <c r="I2338" s="186"/>
      <c r="J2338" s="186">
        <f ca="1">OFFSET(card_type!$F$1,MATCH(Q2338,card_type!A:A,0)-1,0)</f>
        <v>3</v>
      </c>
      <c r="K2338" s="243">
        <f ca="1">OFFSET(card_type!$G$1,MATCH(Q2338,card_type!A:A,0)-1,0)</f>
        <v>2</v>
      </c>
      <c r="L2338" s="157">
        <v>2</v>
      </c>
      <c r="M2338" s="157">
        <v>2</v>
      </c>
      <c r="N2338" s="153">
        <f t="shared" si="395"/>
        <v>12</v>
      </c>
      <c r="O2338" s="157"/>
      <c r="P2338" s="157"/>
      <c r="Q2338" s="153">
        <f ca="1">OFFSET(card_type!$A$1,MATCH(card!B2338,card_type!B:B,0)-1,0)</f>
        <v>3025</v>
      </c>
      <c r="R2338" s="153">
        <v>1</v>
      </c>
      <c r="S2338" s="157">
        <f ca="1">ROUND(IF(R2338=0,0,IF(R2338=1,X2338*$S$1,IF(R2338=2,X2338*$S$1*buff的资质计算!$E$2,IF(R2338=3,X2338*$S$1*buff的资质计算!$E$3,0)))),0)*0</f>
        <v>0</v>
      </c>
      <c r="T2338" s="153">
        <v>2</v>
      </c>
      <c r="U2338" s="153">
        <f ca="1" t="shared" si="402"/>
        <v>32</v>
      </c>
      <c r="V2338" s="153">
        <f ca="1">ROUND((OFFSET(卡牌辅助配置表!$O$1,MATCH(U2338,卡牌辅助配置表!M:M,0)-1,0)+(N2338-1)*OFFSET(卡牌辅助配置表!$P$1,MATCH(U2338,卡牌辅助配置表!M:M,0)-1,0))*M2338,2)</f>
        <v>67.94</v>
      </c>
      <c r="W2338" s="157">
        <f ca="1">ROUND(IF(R2338=0,0,IF(R2338=1,X2338*$W$1,IF(R2338=2,X2338*$W$1*buff的资质计算!$E$2,IF(R2338=3,X2338*$W$1*buff的资质计算!$E$3,0)))),2)</f>
        <v>13.95</v>
      </c>
      <c r="X2338" s="157">
        <f ca="1" t="shared" si="397"/>
        <v>46.5</v>
      </c>
      <c r="Y2338" s="157">
        <f ca="1" t="shared" si="405"/>
        <v>46.5</v>
      </c>
      <c r="Z2338" s="304">
        <f ca="1" t="shared" si="398"/>
        <v>23.25</v>
      </c>
      <c r="AA2338" s="304">
        <f ca="1">OFFSET(卡牌辅助配置表!$AD$1,MATCH(AB2338,卡牌辅助配置表!AB:AB,0)-1,0)</f>
        <v>2588</v>
      </c>
      <c r="AB2338" s="304">
        <f ca="1" t="shared" si="403"/>
        <v>3212</v>
      </c>
      <c r="AC2338" s="153">
        <v>10</v>
      </c>
      <c r="AD2338" s="153">
        <v>3</v>
      </c>
      <c r="AE2338" s="153">
        <v>1</v>
      </c>
      <c r="AF2338" s="153" t="str">
        <f ca="1" t="shared" si="407"/>
        <v>30250011|</v>
      </c>
      <c r="AH2338" s="153">
        <v>2</v>
      </c>
      <c r="AJ2338" s="205" t="str">
        <f ca="1" t="shared" si="404"/>
        <v>400023|5250|;</v>
      </c>
      <c r="AK2338" s="205">
        <f ca="1">OFFSET([1]item_type!$A$1,MATCH(Q2338,[1]item_type!$G:$G,0)-1,0)</f>
        <v>303025</v>
      </c>
      <c r="AL2338" s="205"/>
      <c r="AM2338" s="205">
        <f ca="1">IF(B2338=B2339,OFFSET(卡牌辅助配置表!$AE$1,MATCH(AB2338,卡牌辅助配置表!AB:AB,0),0),0)</f>
        <v>5250</v>
      </c>
      <c r="AN2338" s="153">
        <f ca="1" t="shared" si="400"/>
        <v>3025013</v>
      </c>
      <c r="AP2338" s="153" t="str">
        <f ca="1">IF(AC2338=0,0,IF(AC2338=12,0,OFFSET(effect!$N$1,MATCH(K2338,effect!M:M,0)-1,0)))</f>
        <v>kpsx_pt</v>
      </c>
    </row>
    <row r="2339" spans="1:42">
      <c r="A2339" s="153">
        <f ca="1" t="shared" si="401"/>
        <v>3025013</v>
      </c>
      <c r="B2339" s="91" t="s">
        <v>435</v>
      </c>
      <c r="C2339" s="186">
        <v>3</v>
      </c>
      <c r="D2339" s="186">
        <v>2</v>
      </c>
      <c r="E2339" s="165" t="s">
        <v>1069</v>
      </c>
      <c r="F2339" s="165" t="str">
        <f>"存在魂时，获得"&amp;skill!$O$154/100&amp;"%吸血效果"</f>
        <v>存在魂时，获得50%吸血效果</v>
      </c>
      <c r="G2339" s="186">
        <f ca="1">OFFSET(卡牌辅助配置表!$C$1,MATCH(AC2339,卡牌辅助配置表!A:A,0)-1,0)</f>
        <v>3</v>
      </c>
      <c r="H2339" s="186">
        <f ca="1" t="shared" si="406"/>
        <v>0</v>
      </c>
      <c r="I2339" s="186"/>
      <c r="J2339" s="186">
        <f ca="1">OFFSET(card_type!$F$1,MATCH(Q2339,card_type!A:A,0)-1,0)</f>
        <v>3</v>
      </c>
      <c r="K2339" s="243">
        <f ca="1">OFFSET(card_type!$G$1,MATCH(Q2339,card_type!A:A,0)-1,0)</f>
        <v>2</v>
      </c>
      <c r="L2339" s="157">
        <v>2</v>
      </c>
      <c r="M2339" s="157">
        <v>2</v>
      </c>
      <c r="N2339" s="153">
        <f t="shared" si="395"/>
        <v>13</v>
      </c>
      <c r="O2339" s="157"/>
      <c r="P2339" s="157"/>
      <c r="Q2339" s="153">
        <f ca="1">OFFSET(card_type!$A$1,MATCH(card!B2339,card_type!B:B,0)-1,0)</f>
        <v>3025</v>
      </c>
      <c r="R2339" s="153">
        <v>1</v>
      </c>
      <c r="S2339" s="157">
        <f ca="1">ROUND(IF(R2339=0,0,IF(R2339=1,X2339*$S$1,IF(R2339=2,X2339*$S$1*buff的资质计算!$E$2,IF(R2339=3,X2339*$S$1*buff的资质计算!$E$3,0)))),0)*0</f>
        <v>0</v>
      </c>
      <c r="T2339" s="153">
        <v>2</v>
      </c>
      <c r="U2339" s="153">
        <f ca="1" t="shared" si="402"/>
        <v>32</v>
      </c>
      <c r="V2339" s="153">
        <f ca="1">ROUND((OFFSET(卡牌辅助配置表!$O$1,MATCH(U2339,卡牌辅助配置表!M:M,0)-1,0)+(N2339-1)*OFFSET(卡牌辅助配置表!$P$1,MATCH(U2339,卡牌辅助配置表!M:M,0)-1,0))*M2339,2)</f>
        <v>71.51</v>
      </c>
      <c r="W2339" s="157">
        <f ca="1">ROUND(IF(R2339=0,0,IF(R2339=1,X2339*$W$1,IF(R2339=2,X2339*$W$1*buff的资质计算!$E$2,IF(R2339=3,X2339*$W$1*buff的资质计算!$E$3,0)))),2)</f>
        <v>14.1</v>
      </c>
      <c r="X2339" s="157">
        <f ca="1" t="shared" si="397"/>
        <v>47</v>
      </c>
      <c r="Y2339" s="157">
        <f ca="1" t="shared" si="405"/>
        <v>47</v>
      </c>
      <c r="Z2339" s="304">
        <f ca="1" t="shared" si="398"/>
        <v>23.5</v>
      </c>
      <c r="AA2339" s="304">
        <f ca="1">OFFSET(卡牌辅助配置表!$AD$1,MATCH(AB2339,卡牌辅助配置表!AB:AB,0)-1,0)</f>
        <v>2887</v>
      </c>
      <c r="AB2339" s="304">
        <f ca="1" t="shared" si="403"/>
        <v>3213</v>
      </c>
      <c r="AC2339" s="153">
        <v>10</v>
      </c>
      <c r="AD2339" s="153">
        <v>3</v>
      </c>
      <c r="AE2339" s="153">
        <v>1</v>
      </c>
      <c r="AF2339" s="153" t="str">
        <f ca="1" t="shared" si="407"/>
        <v>30250011|</v>
      </c>
      <c r="AH2339" s="153">
        <v>2</v>
      </c>
      <c r="AJ2339" s="205" t="str">
        <f ca="1" t="shared" si="404"/>
        <v>400023|5850|;</v>
      </c>
      <c r="AK2339" s="205">
        <f ca="1">OFFSET([1]item_type!$A$1,MATCH(Q2339,[1]item_type!$G:$G,0)-1,0)</f>
        <v>303025</v>
      </c>
      <c r="AL2339" s="205"/>
      <c r="AM2339" s="205">
        <f ca="1">IF(B2339=B2340,OFFSET(卡牌辅助配置表!$AE$1,MATCH(AB2339,卡牌辅助配置表!AB:AB,0),0),0)</f>
        <v>5850</v>
      </c>
      <c r="AN2339" s="153">
        <f ca="1" t="shared" si="400"/>
        <v>3025014</v>
      </c>
      <c r="AP2339" s="153" t="str">
        <f ca="1">IF(AC2339=0,0,IF(AC2339=12,0,OFFSET(effect!$N$1,MATCH(K2339,effect!M:M,0)-1,0)))</f>
        <v>kpsx_pt</v>
      </c>
    </row>
    <row r="2340" spans="1:42">
      <c r="A2340" s="153">
        <f ca="1" t="shared" si="401"/>
        <v>3025014</v>
      </c>
      <c r="B2340" s="91" t="s">
        <v>435</v>
      </c>
      <c r="C2340" s="186">
        <v>3</v>
      </c>
      <c r="D2340" s="186">
        <v>2</v>
      </c>
      <c r="E2340" s="165" t="s">
        <v>1069</v>
      </c>
      <c r="F2340" s="165" t="str">
        <f>"存在魂时，获得"&amp;skill!$O$154/100&amp;"%吸血效果"</f>
        <v>存在魂时，获得50%吸血效果</v>
      </c>
      <c r="G2340" s="186">
        <f ca="1">OFFSET(卡牌辅助配置表!$C$1,MATCH(AC2340,卡牌辅助配置表!A:A,0)-1,0)</f>
        <v>3</v>
      </c>
      <c r="H2340" s="186">
        <f ca="1" t="shared" si="406"/>
        <v>0</v>
      </c>
      <c r="I2340" s="186"/>
      <c r="J2340" s="186">
        <f ca="1">OFFSET(card_type!$F$1,MATCH(Q2340,card_type!A:A,0)-1,0)</f>
        <v>3</v>
      </c>
      <c r="K2340" s="243">
        <f ca="1">OFFSET(card_type!$G$1,MATCH(Q2340,card_type!A:A,0)-1,0)</f>
        <v>2</v>
      </c>
      <c r="L2340" s="157">
        <v>2</v>
      </c>
      <c r="M2340" s="157">
        <v>2</v>
      </c>
      <c r="N2340" s="153">
        <f t="shared" ref="N2340:N2403" si="408">IF(B2339=B2340,N2339+1,1)</f>
        <v>14</v>
      </c>
      <c r="O2340" s="157"/>
      <c r="P2340" s="157"/>
      <c r="Q2340" s="153">
        <f ca="1">OFFSET(card_type!$A$1,MATCH(card!B2340,card_type!B:B,0)-1,0)</f>
        <v>3025</v>
      </c>
      <c r="R2340" s="153">
        <v>1</v>
      </c>
      <c r="S2340" s="157">
        <f ca="1">ROUND(IF(R2340=0,0,IF(R2340=1,X2340*$S$1,IF(R2340=2,X2340*$S$1*buff的资质计算!$E$2,IF(R2340=3,X2340*$S$1*buff的资质计算!$E$3,0)))),0)*0</f>
        <v>0</v>
      </c>
      <c r="T2340" s="153">
        <v>2</v>
      </c>
      <c r="U2340" s="153">
        <f ca="1" t="shared" si="402"/>
        <v>32</v>
      </c>
      <c r="V2340" s="153">
        <f ca="1">ROUND((OFFSET(卡牌辅助配置表!$O$1,MATCH(U2340,卡牌辅助配置表!M:M,0)-1,0)+(N2340-1)*OFFSET(卡牌辅助配置表!$P$1,MATCH(U2340,卡牌辅助配置表!M:M,0)-1,0))*M2340,2)</f>
        <v>75.08</v>
      </c>
      <c r="W2340" s="157">
        <f ca="1">ROUND(IF(R2340=0,0,IF(R2340=1,X2340*$W$1,IF(R2340=2,X2340*$W$1*buff的资质计算!$E$2,IF(R2340=3,X2340*$W$1*buff的资质计算!$E$3,0)))),2)</f>
        <v>14.25</v>
      </c>
      <c r="X2340" s="157">
        <f ca="1" t="shared" si="397"/>
        <v>47.5</v>
      </c>
      <c r="Y2340" s="157">
        <f ca="1" t="shared" si="405"/>
        <v>47.5</v>
      </c>
      <c r="Z2340" s="304">
        <f ca="1" t="shared" si="398"/>
        <v>23.75</v>
      </c>
      <c r="AA2340" s="304">
        <f ca="1">OFFSET(卡牌辅助配置表!$AD$1,MATCH(AB2340,卡牌辅助配置表!AB:AB,0)-1,0)</f>
        <v>3186</v>
      </c>
      <c r="AB2340" s="304">
        <f ca="1" t="shared" si="403"/>
        <v>3214</v>
      </c>
      <c r="AC2340" s="153">
        <v>10</v>
      </c>
      <c r="AD2340" s="153">
        <v>3</v>
      </c>
      <c r="AE2340" s="153">
        <v>1</v>
      </c>
      <c r="AF2340" s="153" t="str">
        <f ca="1" t="shared" si="407"/>
        <v>30250011|</v>
      </c>
      <c r="AH2340" s="153">
        <v>2</v>
      </c>
      <c r="AJ2340" s="205" t="str">
        <f ca="1" t="shared" si="404"/>
        <v>400023|6450|;</v>
      </c>
      <c r="AK2340" s="205">
        <f ca="1">OFFSET([1]item_type!$A$1,MATCH(Q2340,[1]item_type!$G:$G,0)-1,0)</f>
        <v>303025</v>
      </c>
      <c r="AL2340" s="205"/>
      <c r="AM2340" s="205">
        <f ca="1">IF(B2340=B2341,OFFSET(卡牌辅助配置表!$AE$1,MATCH(AB2340,卡牌辅助配置表!AB:AB,0),0),0)</f>
        <v>6450</v>
      </c>
      <c r="AN2340" s="153">
        <f ca="1" t="shared" si="400"/>
        <v>3025015</v>
      </c>
      <c r="AP2340" s="153" t="str">
        <f ca="1">IF(AC2340=0,0,IF(AC2340=12,0,OFFSET(effect!$N$1,MATCH(K2340,effect!M:M,0)-1,0)))</f>
        <v>kpsx_pt</v>
      </c>
    </row>
    <row r="2341" spans="1:42">
      <c r="A2341" s="153">
        <f ca="1" t="shared" si="401"/>
        <v>3025015</v>
      </c>
      <c r="B2341" s="91" t="s">
        <v>435</v>
      </c>
      <c r="C2341" s="186">
        <v>3</v>
      </c>
      <c r="D2341" s="186">
        <v>2</v>
      </c>
      <c r="E2341" s="165" t="s">
        <v>1069</v>
      </c>
      <c r="F2341" s="165" t="str">
        <f>"存在魂时，获得"&amp;skill!$O$154/100&amp;"%吸血效果"</f>
        <v>存在魂时，获得50%吸血效果</v>
      </c>
      <c r="G2341" s="186">
        <f ca="1">OFFSET(卡牌辅助配置表!$C$1,MATCH(AC2341,卡牌辅助配置表!A:A,0)-1,0)</f>
        <v>3</v>
      </c>
      <c r="H2341" s="186">
        <f ca="1" t="shared" si="406"/>
        <v>0</v>
      </c>
      <c r="I2341" s="186"/>
      <c r="J2341" s="186">
        <f ca="1">OFFSET(card_type!$F$1,MATCH(Q2341,card_type!A:A,0)-1,0)</f>
        <v>3</v>
      </c>
      <c r="K2341" s="243">
        <f ca="1">OFFSET(card_type!$G$1,MATCH(Q2341,card_type!A:A,0)-1,0)</f>
        <v>2</v>
      </c>
      <c r="L2341" s="157">
        <v>2</v>
      </c>
      <c r="M2341" s="157">
        <v>2</v>
      </c>
      <c r="N2341" s="153">
        <f t="shared" si="408"/>
        <v>15</v>
      </c>
      <c r="O2341" s="157"/>
      <c r="P2341" s="157"/>
      <c r="Q2341" s="153">
        <f ca="1">OFFSET(card_type!$A$1,MATCH(card!B2341,card_type!B:B,0)-1,0)</f>
        <v>3025</v>
      </c>
      <c r="R2341" s="153">
        <v>1</v>
      </c>
      <c r="S2341" s="157">
        <f ca="1">ROUND(IF(R2341=0,0,IF(R2341=1,X2341*$S$1,IF(R2341=2,X2341*$S$1*buff的资质计算!$E$2,IF(R2341=3,X2341*$S$1*buff的资质计算!$E$3,0)))),0)*0</f>
        <v>0</v>
      </c>
      <c r="T2341" s="153">
        <v>2</v>
      </c>
      <c r="U2341" s="153">
        <f ca="1" t="shared" si="402"/>
        <v>32</v>
      </c>
      <c r="V2341" s="153">
        <f ca="1">ROUND((OFFSET(卡牌辅助配置表!$O$1,MATCH(U2341,卡牌辅助配置表!M:M,0)-1,0)+(N2341-1)*OFFSET(卡牌辅助配置表!$P$1,MATCH(U2341,卡牌辅助配置表!M:M,0)-1,0))*M2341,2)</f>
        <v>78.64</v>
      </c>
      <c r="W2341" s="157">
        <f ca="1">ROUND(IF(R2341=0,0,IF(R2341=1,X2341*$W$1,IF(R2341=2,X2341*$W$1*buff的资质计算!$E$2,IF(R2341=3,X2341*$W$1*buff的资质计算!$E$3,0)))),2)</f>
        <v>14.4</v>
      </c>
      <c r="X2341" s="157">
        <f ca="1" t="shared" si="397"/>
        <v>48</v>
      </c>
      <c r="Y2341" s="157">
        <f ca="1" t="shared" si="405"/>
        <v>48</v>
      </c>
      <c r="Z2341" s="304">
        <f ca="1" t="shared" si="398"/>
        <v>24</v>
      </c>
      <c r="AA2341" s="304">
        <f ca="1">OFFSET(卡牌辅助配置表!$AD$1,MATCH(AB2341,卡牌辅助配置表!AB:AB,0)-1,0)</f>
        <v>3485</v>
      </c>
      <c r="AB2341" s="304">
        <f ca="1" t="shared" si="403"/>
        <v>3215</v>
      </c>
      <c r="AC2341" s="153">
        <v>10</v>
      </c>
      <c r="AD2341" s="153">
        <v>3</v>
      </c>
      <c r="AE2341" s="153">
        <v>1</v>
      </c>
      <c r="AF2341" s="153" t="str">
        <f ca="1" t="shared" si="407"/>
        <v>30250011|</v>
      </c>
      <c r="AH2341" s="153">
        <v>2</v>
      </c>
      <c r="AJ2341" s="205" t="str">
        <f ca="1" t="shared" si="404"/>
        <v>400023|7050|;</v>
      </c>
      <c r="AK2341" s="205">
        <f ca="1">OFFSET([1]item_type!$A$1,MATCH(Q2341,[1]item_type!$G:$G,0)-1,0)</f>
        <v>303025</v>
      </c>
      <c r="AL2341" s="205"/>
      <c r="AM2341" s="205">
        <f ca="1">IF(B2341=B2342,OFFSET(卡牌辅助配置表!$AE$1,MATCH(AB2341,卡牌辅助配置表!AB:AB,0),0),0)</f>
        <v>7050</v>
      </c>
      <c r="AN2341" s="153">
        <f ca="1" t="shared" si="400"/>
        <v>3025016</v>
      </c>
      <c r="AP2341" s="153" t="str">
        <f ca="1">IF(AC2341=0,0,IF(AC2341=12,0,OFFSET(effect!$N$1,MATCH(K2341,effect!M:M,0)-1,0)))</f>
        <v>kpsx_pt</v>
      </c>
    </row>
    <row r="2342" spans="1:42">
      <c r="A2342" s="153">
        <f ca="1" t="shared" si="401"/>
        <v>3025016</v>
      </c>
      <c r="B2342" s="91" t="s">
        <v>435</v>
      </c>
      <c r="C2342" s="186">
        <v>3</v>
      </c>
      <c r="D2342" s="186">
        <v>2</v>
      </c>
      <c r="E2342" s="165" t="s">
        <v>1069</v>
      </c>
      <c r="F2342" s="165" t="str">
        <f>"存在魂时，获得"&amp;skill!$O$154/100&amp;"%吸血效果"</f>
        <v>存在魂时，获得50%吸血效果</v>
      </c>
      <c r="G2342" s="186">
        <f ca="1">OFFSET(卡牌辅助配置表!$C$1,MATCH(AC2342,卡牌辅助配置表!A:A,0)-1,0)</f>
        <v>3</v>
      </c>
      <c r="H2342" s="186">
        <f ca="1" t="shared" si="406"/>
        <v>0</v>
      </c>
      <c r="I2342" s="186"/>
      <c r="J2342" s="186">
        <f ca="1">OFFSET(card_type!$F$1,MATCH(Q2342,card_type!A:A,0)-1,0)</f>
        <v>3</v>
      </c>
      <c r="K2342" s="243">
        <f ca="1">OFFSET(card_type!$G$1,MATCH(Q2342,card_type!A:A,0)-1,0)</f>
        <v>2</v>
      </c>
      <c r="L2342" s="157">
        <v>2</v>
      </c>
      <c r="M2342" s="157">
        <v>2</v>
      </c>
      <c r="N2342" s="153">
        <f t="shared" si="408"/>
        <v>16</v>
      </c>
      <c r="O2342" s="157"/>
      <c r="P2342" s="157"/>
      <c r="Q2342" s="153">
        <f ca="1">OFFSET(card_type!$A$1,MATCH(card!B2342,card_type!B:B,0)-1,0)</f>
        <v>3025</v>
      </c>
      <c r="R2342" s="153">
        <v>1</v>
      </c>
      <c r="S2342" s="157">
        <f ca="1">ROUND(IF(R2342=0,0,IF(R2342=1,X2342*$S$1,IF(R2342=2,X2342*$S$1*buff的资质计算!$E$2,IF(R2342=3,X2342*$S$1*buff的资质计算!$E$3,0)))),0)*0</f>
        <v>0</v>
      </c>
      <c r="T2342" s="153">
        <v>2</v>
      </c>
      <c r="U2342" s="153">
        <f ca="1" t="shared" si="402"/>
        <v>32</v>
      </c>
      <c r="V2342" s="153">
        <f ca="1">ROUND((OFFSET(卡牌辅助配置表!$O$1,MATCH(U2342,卡牌辅助配置表!M:M,0)-1,0)+(N2342-1)*OFFSET(卡牌辅助配置表!$P$1,MATCH(U2342,卡牌辅助配置表!M:M,0)-1,0))*M2342,2)</f>
        <v>82.21</v>
      </c>
      <c r="W2342" s="157">
        <f ca="1">ROUND(IF(R2342=0,0,IF(R2342=1,X2342*$W$1,IF(R2342=2,X2342*$W$1*buff的资质计算!$E$2,IF(R2342=3,X2342*$W$1*buff的资质计算!$E$3,0)))),2)</f>
        <v>14.55</v>
      </c>
      <c r="X2342" s="157">
        <f ca="1" t="shared" si="397"/>
        <v>48.5</v>
      </c>
      <c r="Y2342" s="157">
        <f ca="1" t="shared" si="405"/>
        <v>48.5</v>
      </c>
      <c r="Z2342" s="304">
        <f ca="1" t="shared" si="398"/>
        <v>24.25</v>
      </c>
      <c r="AA2342" s="304">
        <f ca="1">OFFSET(卡牌辅助配置表!$AD$1,MATCH(AB2342,卡牌辅助配置表!AB:AB,0)-1,0)</f>
        <v>3784</v>
      </c>
      <c r="AB2342" s="304">
        <f ca="1" t="shared" si="403"/>
        <v>3216</v>
      </c>
      <c r="AC2342" s="153">
        <v>10</v>
      </c>
      <c r="AD2342" s="153">
        <v>3</v>
      </c>
      <c r="AE2342" s="153">
        <v>1</v>
      </c>
      <c r="AF2342" s="153" t="str">
        <f ca="1" t="shared" si="407"/>
        <v>30250011|</v>
      </c>
      <c r="AH2342" s="153">
        <v>2</v>
      </c>
      <c r="AJ2342" s="205" t="str">
        <f ca="1" t="shared" si="404"/>
        <v>400023|7650|;</v>
      </c>
      <c r="AK2342" s="205">
        <f ca="1">OFFSET([1]item_type!$A$1,MATCH(Q2342,[1]item_type!$G:$G,0)-1,0)</f>
        <v>303025</v>
      </c>
      <c r="AL2342" s="205"/>
      <c r="AM2342" s="205">
        <f ca="1">IF(B2342=B2343,OFFSET(卡牌辅助配置表!$AE$1,MATCH(AB2342,卡牌辅助配置表!AB:AB,0),0),0)</f>
        <v>7650</v>
      </c>
      <c r="AN2342" s="153">
        <f ca="1" t="shared" si="400"/>
        <v>3025017</v>
      </c>
      <c r="AP2342" s="153" t="str">
        <f ca="1">IF(AC2342=0,0,IF(AC2342=12,0,OFFSET(effect!$N$1,MATCH(K2342,effect!M:M,0)-1,0)))</f>
        <v>kpsx_pt</v>
      </c>
    </row>
    <row r="2343" spans="1:42">
      <c r="A2343" s="153">
        <f ca="1" t="shared" si="401"/>
        <v>3025017</v>
      </c>
      <c r="B2343" s="91" t="s">
        <v>435</v>
      </c>
      <c r="C2343" s="186">
        <v>3</v>
      </c>
      <c r="D2343" s="186">
        <v>2</v>
      </c>
      <c r="E2343" s="165" t="s">
        <v>1069</v>
      </c>
      <c r="F2343" s="165" t="str">
        <f>"存在魂时，获得"&amp;skill!$O$154/100&amp;"%吸血效果"</f>
        <v>存在魂时，获得50%吸血效果</v>
      </c>
      <c r="G2343" s="186">
        <f ca="1">OFFSET(卡牌辅助配置表!$C$1,MATCH(AC2343,卡牌辅助配置表!A:A,0)-1,0)</f>
        <v>3</v>
      </c>
      <c r="H2343" s="186">
        <f ca="1" t="shared" si="406"/>
        <v>0</v>
      </c>
      <c r="I2343" s="186"/>
      <c r="J2343" s="186">
        <f ca="1">OFFSET(card_type!$F$1,MATCH(Q2343,card_type!A:A,0)-1,0)</f>
        <v>3</v>
      </c>
      <c r="K2343" s="243">
        <f ca="1">OFFSET(card_type!$G$1,MATCH(Q2343,card_type!A:A,0)-1,0)</f>
        <v>2</v>
      </c>
      <c r="L2343" s="157">
        <v>2</v>
      </c>
      <c r="M2343" s="157">
        <v>2</v>
      </c>
      <c r="N2343" s="153">
        <f t="shared" si="408"/>
        <v>17</v>
      </c>
      <c r="O2343" s="157"/>
      <c r="P2343" s="157"/>
      <c r="Q2343" s="153">
        <f ca="1">OFFSET(card_type!$A$1,MATCH(card!B2343,card_type!B:B,0)-1,0)</f>
        <v>3025</v>
      </c>
      <c r="R2343" s="153">
        <v>1</v>
      </c>
      <c r="S2343" s="157">
        <f ca="1">ROUND(IF(R2343=0,0,IF(R2343=1,X2343*$S$1,IF(R2343=2,X2343*$S$1*buff的资质计算!$E$2,IF(R2343=3,X2343*$S$1*buff的资质计算!$E$3,0)))),0)*0</f>
        <v>0</v>
      </c>
      <c r="T2343" s="153">
        <v>2</v>
      </c>
      <c r="U2343" s="153">
        <f ca="1" t="shared" si="402"/>
        <v>32</v>
      </c>
      <c r="V2343" s="153">
        <f ca="1">ROUND((OFFSET(卡牌辅助配置表!$O$1,MATCH(U2343,卡牌辅助配置表!M:M,0)-1,0)+(N2343-1)*OFFSET(卡牌辅助配置表!$P$1,MATCH(U2343,卡牌辅助配置表!M:M,0)-1,0))*M2343,2)</f>
        <v>85.78</v>
      </c>
      <c r="W2343" s="157">
        <f ca="1">ROUND(IF(R2343=0,0,IF(R2343=1,X2343*$W$1,IF(R2343=2,X2343*$W$1*buff的资质计算!$E$2,IF(R2343=3,X2343*$W$1*buff的资质计算!$E$3,0)))),2)</f>
        <v>14.7</v>
      </c>
      <c r="X2343" s="157">
        <f ca="1" t="shared" si="397"/>
        <v>49</v>
      </c>
      <c r="Y2343" s="157">
        <f ca="1" t="shared" si="405"/>
        <v>49</v>
      </c>
      <c r="Z2343" s="304">
        <f ca="1" t="shared" si="398"/>
        <v>24.5</v>
      </c>
      <c r="AA2343" s="304">
        <f ca="1">OFFSET(卡牌辅助配置表!$AD$1,MATCH(AB2343,卡牌辅助配置表!AB:AB,0)-1,0)</f>
        <v>4083</v>
      </c>
      <c r="AB2343" s="304">
        <f ca="1" t="shared" si="403"/>
        <v>3217</v>
      </c>
      <c r="AC2343" s="153">
        <v>10</v>
      </c>
      <c r="AD2343" s="153">
        <v>3</v>
      </c>
      <c r="AE2343" s="153">
        <v>1</v>
      </c>
      <c r="AF2343" s="153" t="str">
        <f ca="1" t="shared" si="407"/>
        <v>30250011|</v>
      </c>
      <c r="AH2343" s="153">
        <v>2</v>
      </c>
      <c r="AJ2343" s="205" t="str">
        <f ca="1" t="shared" si="404"/>
        <v>400023|8250|;</v>
      </c>
      <c r="AK2343" s="205">
        <f ca="1">OFFSET([1]item_type!$A$1,MATCH(Q2343,[1]item_type!$G:$G,0)-1,0)</f>
        <v>303025</v>
      </c>
      <c r="AL2343" s="205"/>
      <c r="AM2343" s="205">
        <f ca="1">IF(B2343=B2344,OFFSET(卡牌辅助配置表!$AE$1,MATCH(AB2343,卡牌辅助配置表!AB:AB,0),0),0)</f>
        <v>8250</v>
      </c>
      <c r="AN2343" s="153">
        <f ca="1" t="shared" si="400"/>
        <v>3025018</v>
      </c>
      <c r="AP2343" s="153" t="str">
        <f ca="1">IF(AC2343=0,0,IF(AC2343=12,0,OFFSET(effect!$N$1,MATCH(K2343,effect!M:M,0)-1,0)))</f>
        <v>kpsx_pt</v>
      </c>
    </row>
    <row r="2344" spans="1:42">
      <c r="A2344" s="153">
        <f ca="1" t="shared" si="401"/>
        <v>3025018</v>
      </c>
      <c r="B2344" s="91" t="s">
        <v>435</v>
      </c>
      <c r="C2344" s="186">
        <v>3</v>
      </c>
      <c r="D2344" s="186">
        <v>2</v>
      </c>
      <c r="E2344" s="165" t="s">
        <v>1069</v>
      </c>
      <c r="F2344" s="165" t="str">
        <f>"存在魂时，获得"&amp;skill!$O$154/100&amp;"%吸血效果"</f>
        <v>存在魂时，获得50%吸血效果</v>
      </c>
      <c r="G2344" s="186">
        <f ca="1">OFFSET(卡牌辅助配置表!$C$1,MATCH(AC2344,卡牌辅助配置表!A:A,0)-1,0)</f>
        <v>3</v>
      </c>
      <c r="H2344" s="186">
        <f ca="1" t="shared" si="406"/>
        <v>0</v>
      </c>
      <c r="I2344" s="186"/>
      <c r="J2344" s="186">
        <f ca="1">OFFSET(card_type!$F$1,MATCH(Q2344,card_type!A:A,0)-1,0)</f>
        <v>3</v>
      </c>
      <c r="K2344" s="243">
        <f ca="1">OFFSET(card_type!$G$1,MATCH(Q2344,card_type!A:A,0)-1,0)</f>
        <v>2</v>
      </c>
      <c r="L2344" s="157">
        <v>2</v>
      </c>
      <c r="M2344" s="157">
        <v>2</v>
      </c>
      <c r="N2344" s="153">
        <f t="shared" si="408"/>
        <v>18</v>
      </c>
      <c r="O2344" s="157"/>
      <c r="P2344" s="157"/>
      <c r="Q2344" s="153">
        <f ca="1">OFFSET(card_type!$A$1,MATCH(card!B2344,card_type!B:B,0)-1,0)</f>
        <v>3025</v>
      </c>
      <c r="R2344" s="153">
        <v>1</v>
      </c>
      <c r="S2344" s="157">
        <f ca="1">ROUND(IF(R2344=0,0,IF(R2344=1,X2344*$S$1,IF(R2344=2,X2344*$S$1*buff的资质计算!$E$2,IF(R2344=3,X2344*$S$1*buff的资质计算!$E$3,0)))),0)*0</f>
        <v>0</v>
      </c>
      <c r="T2344" s="153">
        <v>2</v>
      </c>
      <c r="U2344" s="153">
        <f ca="1" t="shared" si="402"/>
        <v>32</v>
      </c>
      <c r="V2344" s="153">
        <f ca="1">ROUND((OFFSET(卡牌辅助配置表!$O$1,MATCH(U2344,卡牌辅助配置表!M:M,0)-1,0)+(N2344-1)*OFFSET(卡牌辅助配置表!$P$1,MATCH(U2344,卡牌辅助配置表!M:M,0)-1,0))*M2344,2)</f>
        <v>89.34</v>
      </c>
      <c r="W2344" s="157">
        <f ca="1">ROUND(IF(R2344=0,0,IF(R2344=1,X2344*$W$1,IF(R2344=2,X2344*$W$1*buff的资质计算!$E$2,IF(R2344=3,X2344*$W$1*buff的资质计算!$E$3,0)))),2)</f>
        <v>14.85</v>
      </c>
      <c r="X2344" s="157">
        <f ca="1" t="shared" si="397"/>
        <v>49.5</v>
      </c>
      <c r="Y2344" s="157">
        <f ca="1" t="shared" si="405"/>
        <v>49.5</v>
      </c>
      <c r="Z2344" s="304">
        <f ca="1" t="shared" si="398"/>
        <v>24.75</v>
      </c>
      <c r="AA2344" s="304">
        <f ca="1">OFFSET(卡牌辅助配置表!$AD$1,MATCH(AB2344,卡牌辅助配置表!AB:AB,0)-1,0)</f>
        <v>4382</v>
      </c>
      <c r="AB2344" s="304">
        <f ca="1" t="shared" si="403"/>
        <v>3218</v>
      </c>
      <c r="AC2344" s="153">
        <v>10</v>
      </c>
      <c r="AD2344" s="153">
        <v>3</v>
      </c>
      <c r="AE2344" s="153">
        <v>1</v>
      </c>
      <c r="AF2344" s="153" t="str">
        <f ca="1" t="shared" si="407"/>
        <v>30250011|</v>
      </c>
      <c r="AH2344" s="153">
        <v>2</v>
      </c>
      <c r="AJ2344" s="205" t="str">
        <f ca="1" t="shared" si="404"/>
        <v>400023|8850|;</v>
      </c>
      <c r="AK2344" s="205">
        <f ca="1">OFFSET([1]item_type!$A$1,MATCH(Q2344,[1]item_type!$G:$G,0)-1,0)</f>
        <v>303025</v>
      </c>
      <c r="AL2344" s="205"/>
      <c r="AM2344" s="205">
        <f ca="1">IF(B2344=B2345,OFFSET(卡牌辅助配置表!$AE$1,MATCH(AB2344,卡牌辅助配置表!AB:AB,0),0),0)</f>
        <v>8850</v>
      </c>
      <c r="AN2344" s="153">
        <f ca="1" t="shared" si="400"/>
        <v>3025019</v>
      </c>
      <c r="AP2344" s="153" t="str">
        <f ca="1">IF(AC2344=0,0,IF(AC2344=12,0,OFFSET(effect!$N$1,MATCH(K2344,effect!M:M,0)-1,0)))</f>
        <v>kpsx_pt</v>
      </c>
    </row>
    <row r="2345" spans="1:42">
      <c r="A2345" s="153">
        <f ca="1" t="shared" si="401"/>
        <v>3025019</v>
      </c>
      <c r="B2345" s="91" t="s">
        <v>435</v>
      </c>
      <c r="C2345" s="186">
        <v>3</v>
      </c>
      <c r="D2345" s="186">
        <v>2</v>
      </c>
      <c r="E2345" s="165" t="s">
        <v>1069</v>
      </c>
      <c r="F2345" s="165" t="str">
        <f>"存在魂时，获得"&amp;skill!$O$154/100&amp;"%吸血效果"</f>
        <v>存在魂时，获得50%吸血效果</v>
      </c>
      <c r="G2345" s="186">
        <f ca="1">OFFSET(卡牌辅助配置表!$C$1,MATCH(AC2345,卡牌辅助配置表!A:A,0)-1,0)</f>
        <v>3</v>
      </c>
      <c r="H2345" s="186">
        <f ca="1" t="shared" si="406"/>
        <v>0</v>
      </c>
      <c r="I2345" s="186"/>
      <c r="J2345" s="186">
        <f ca="1">OFFSET(card_type!$F$1,MATCH(Q2345,card_type!A:A,0)-1,0)</f>
        <v>3</v>
      </c>
      <c r="K2345" s="243">
        <f ca="1">OFFSET(card_type!$G$1,MATCH(Q2345,card_type!A:A,0)-1,0)</f>
        <v>2</v>
      </c>
      <c r="L2345" s="157">
        <v>2</v>
      </c>
      <c r="M2345" s="157">
        <v>2</v>
      </c>
      <c r="N2345" s="153">
        <f t="shared" si="408"/>
        <v>19</v>
      </c>
      <c r="O2345" s="157"/>
      <c r="P2345" s="157"/>
      <c r="Q2345" s="153">
        <f ca="1">OFFSET(card_type!$A$1,MATCH(card!B2345,card_type!B:B,0)-1,0)</f>
        <v>3025</v>
      </c>
      <c r="R2345" s="153">
        <v>1</v>
      </c>
      <c r="S2345" s="157">
        <f ca="1">ROUND(IF(R2345=0,0,IF(R2345=1,X2345*$S$1,IF(R2345=2,X2345*$S$1*buff的资质计算!$E$2,IF(R2345=3,X2345*$S$1*buff的资质计算!$E$3,0)))),0)*0</f>
        <v>0</v>
      </c>
      <c r="T2345" s="153">
        <v>2</v>
      </c>
      <c r="U2345" s="153">
        <f ca="1" t="shared" si="402"/>
        <v>32</v>
      </c>
      <c r="V2345" s="153">
        <f ca="1">ROUND((OFFSET(卡牌辅助配置表!$O$1,MATCH(U2345,卡牌辅助配置表!M:M,0)-1,0)+(N2345-1)*OFFSET(卡牌辅助配置表!$P$1,MATCH(U2345,卡牌辅助配置表!M:M,0)-1,0))*M2345,2)</f>
        <v>92.91</v>
      </c>
      <c r="W2345" s="157">
        <f ca="1">ROUND(IF(R2345=0,0,IF(R2345=1,X2345*$W$1,IF(R2345=2,X2345*$W$1*buff的资质计算!$E$2,IF(R2345=3,X2345*$W$1*buff的资质计算!$E$3,0)))),2)</f>
        <v>15</v>
      </c>
      <c r="X2345" s="157">
        <f ca="1" t="shared" si="397"/>
        <v>50</v>
      </c>
      <c r="Y2345" s="157">
        <f ca="1" t="shared" si="405"/>
        <v>50</v>
      </c>
      <c r="Z2345" s="304">
        <f ca="1" t="shared" si="398"/>
        <v>25</v>
      </c>
      <c r="AA2345" s="304">
        <f ca="1">OFFSET(卡牌辅助配置表!$AD$1,MATCH(AB2345,卡牌辅助配置表!AB:AB,0)-1,0)</f>
        <v>4681</v>
      </c>
      <c r="AB2345" s="304">
        <f ca="1" t="shared" si="403"/>
        <v>3219</v>
      </c>
      <c r="AC2345" s="153">
        <v>10</v>
      </c>
      <c r="AD2345" s="153">
        <v>3</v>
      </c>
      <c r="AE2345" s="153">
        <v>1</v>
      </c>
      <c r="AF2345" s="153" t="str">
        <f ca="1" t="shared" si="407"/>
        <v>30250011|</v>
      </c>
      <c r="AH2345" s="153">
        <v>2</v>
      </c>
      <c r="AJ2345" s="205" t="str">
        <f ca="1" t="shared" si="404"/>
        <v>303025|20|;400023|9450|;</v>
      </c>
      <c r="AK2345" s="205">
        <f ca="1">OFFSET([1]item_type!$A$1,MATCH(Q2345,[1]item_type!$G:$G,0)-1,0)</f>
        <v>303025</v>
      </c>
      <c r="AL2345" s="205">
        <v>20</v>
      </c>
      <c r="AM2345" s="205">
        <f ca="1">IF(B2345=B2346,OFFSET(卡牌辅助配置表!$AE$1,MATCH(AB2345,卡牌辅助配置表!AB:AB,0),0),0)</f>
        <v>9450</v>
      </c>
      <c r="AN2345" s="153">
        <f ca="1" t="shared" si="400"/>
        <v>3025020</v>
      </c>
      <c r="AP2345" s="153" t="str">
        <f ca="1">IF(AC2345=0,0,IF(AC2345=12,0,OFFSET(effect!$N$1,MATCH(K2345,effect!M:M,0)-1,0)))</f>
        <v>kpsx_pt</v>
      </c>
    </row>
    <row r="2346" spans="1:42">
      <c r="A2346" s="153">
        <f ca="1" t="shared" si="401"/>
        <v>3025020</v>
      </c>
      <c r="B2346" s="91" t="s">
        <v>435</v>
      </c>
      <c r="C2346" s="186">
        <v>3</v>
      </c>
      <c r="D2346" s="186">
        <v>2</v>
      </c>
      <c r="E2346" s="165" t="s">
        <v>1069</v>
      </c>
      <c r="F2346" s="165" t="str">
        <f>"存在魂时，获得"&amp;skill!$O$154/100&amp;"%吸血效果"</f>
        <v>存在魂时，获得50%吸血效果</v>
      </c>
      <c r="G2346" s="186">
        <f ca="1">OFFSET(卡牌辅助配置表!$C$1,MATCH(AC2346,卡牌辅助配置表!A:A,0)-1,0)</f>
        <v>3</v>
      </c>
      <c r="H2346" s="186">
        <f ca="1" t="shared" si="406"/>
        <v>0</v>
      </c>
      <c r="I2346" s="186"/>
      <c r="J2346" s="186">
        <f ca="1">OFFSET(card_type!$F$1,MATCH(Q2346,card_type!A:A,0)-1,0)</f>
        <v>3</v>
      </c>
      <c r="K2346" s="243">
        <f ca="1">OFFSET(card_type!$G$1,MATCH(Q2346,card_type!A:A,0)-1,0)</f>
        <v>2</v>
      </c>
      <c r="L2346" s="157">
        <v>2</v>
      </c>
      <c r="M2346" s="157">
        <v>2</v>
      </c>
      <c r="N2346" s="153">
        <f t="shared" si="408"/>
        <v>20</v>
      </c>
      <c r="O2346" s="157"/>
      <c r="P2346" s="157"/>
      <c r="Q2346" s="153">
        <f ca="1">OFFSET(card_type!$A$1,MATCH(card!B2346,card_type!B:B,0)-1,0)</f>
        <v>3025</v>
      </c>
      <c r="R2346" s="153">
        <v>1</v>
      </c>
      <c r="S2346" s="157">
        <f ca="1">ROUND(IF(R2346=0,0,IF(R2346=1,X2346*$S$1,IF(R2346=2,X2346*$S$1*buff的资质计算!$E$2,IF(R2346=3,X2346*$S$1*buff的资质计算!$E$3,0)))),0)*0</f>
        <v>0</v>
      </c>
      <c r="T2346" s="153">
        <v>2</v>
      </c>
      <c r="U2346" s="153">
        <f ca="1" t="shared" si="402"/>
        <v>32</v>
      </c>
      <c r="V2346" s="153">
        <f ca="1">ROUND((OFFSET(卡牌辅助配置表!$O$1,MATCH(U2346,卡牌辅助配置表!M:M,0)-1,0)+(N2346-1)*OFFSET(卡牌辅助配置表!$P$1,MATCH(U2346,卡牌辅助配置表!M:M,0)-1,0))*M2346,2)</f>
        <v>96.48</v>
      </c>
      <c r="W2346" s="157">
        <f ca="1">ROUND(IF(R2346=0,0,IF(R2346=1,X2346*$W$1,IF(R2346=2,X2346*$W$1*buff的资质计算!$E$2,IF(R2346=3,X2346*$W$1*buff的资质计算!$E$3,0)))),2)</f>
        <v>15.15</v>
      </c>
      <c r="X2346" s="157">
        <f ca="1" t="shared" si="397"/>
        <v>50.5</v>
      </c>
      <c r="Y2346" s="157">
        <f ca="1" t="shared" si="405"/>
        <v>50.5</v>
      </c>
      <c r="Z2346" s="304">
        <f ca="1" t="shared" si="398"/>
        <v>25.25</v>
      </c>
      <c r="AA2346" s="304">
        <f ca="1">OFFSET(卡牌辅助配置表!$AD$1,MATCH(AB2346,卡牌辅助配置表!AB:AB,0)-1,0)</f>
        <v>4980</v>
      </c>
      <c r="AB2346" s="304">
        <f ca="1" t="shared" si="403"/>
        <v>3220</v>
      </c>
      <c r="AC2346" s="153">
        <v>10</v>
      </c>
      <c r="AD2346" s="153">
        <v>3</v>
      </c>
      <c r="AE2346" s="153">
        <v>1</v>
      </c>
      <c r="AF2346" s="153" t="str">
        <f ca="1" t="shared" si="407"/>
        <v>30250011|</v>
      </c>
      <c r="AH2346" s="153">
        <v>2</v>
      </c>
      <c r="AJ2346" s="205" t="str">
        <f ca="1" t="shared" si="404"/>
        <v>400023|10650|;</v>
      </c>
      <c r="AK2346" s="205">
        <f ca="1">OFFSET([1]item_type!$A$1,MATCH(Q2346,[1]item_type!$G:$G,0)-1,0)</f>
        <v>303025</v>
      </c>
      <c r="AL2346" s="205"/>
      <c r="AM2346" s="205">
        <f ca="1">IF(B2346=B2347,OFFSET(卡牌辅助配置表!$AE$1,MATCH(AB2346,卡牌辅助配置表!AB:AB,0),0),0)</f>
        <v>10650</v>
      </c>
      <c r="AN2346" s="153">
        <f ca="1" t="shared" si="400"/>
        <v>3025021</v>
      </c>
      <c r="AP2346" s="153" t="str">
        <f ca="1">IF(AC2346=0,0,IF(AC2346=12,0,OFFSET(effect!$N$1,MATCH(K2346,effect!M:M,0)-1,0)))</f>
        <v>kpsx_pt</v>
      </c>
    </row>
    <row r="2347" spans="1:42">
      <c r="A2347" s="153">
        <f ca="1" t="shared" si="401"/>
        <v>3025021</v>
      </c>
      <c r="B2347" s="91" t="s">
        <v>435</v>
      </c>
      <c r="C2347" s="186">
        <v>3</v>
      </c>
      <c r="D2347" s="186">
        <v>2</v>
      </c>
      <c r="E2347" s="165" t="s">
        <v>1069</v>
      </c>
      <c r="F2347" s="165" t="str">
        <f>"存在魂时，获得"&amp;skill!$O$154/100&amp;"%吸血效果"</f>
        <v>存在魂时，获得50%吸血效果</v>
      </c>
      <c r="G2347" s="186">
        <f ca="1">OFFSET(卡牌辅助配置表!$C$1,MATCH(AC2347,卡牌辅助配置表!A:A,0)-1,0)</f>
        <v>3</v>
      </c>
      <c r="H2347" s="186">
        <f ca="1" t="shared" si="406"/>
        <v>0</v>
      </c>
      <c r="I2347" s="186"/>
      <c r="J2347" s="186">
        <f ca="1">OFFSET(card_type!$F$1,MATCH(Q2347,card_type!A:A,0)-1,0)</f>
        <v>3</v>
      </c>
      <c r="K2347" s="243">
        <f ca="1">OFFSET(card_type!$G$1,MATCH(Q2347,card_type!A:A,0)-1,0)</f>
        <v>2</v>
      </c>
      <c r="L2347" s="157">
        <v>2</v>
      </c>
      <c r="M2347" s="157">
        <v>2</v>
      </c>
      <c r="N2347" s="153">
        <f t="shared" si="408"/>
        <v>21</v>
      </c>
      <c r="O2347" s="157"/>
      <c r="P2347" s="157"/>
      <c r="Q2347" s="153">
        <f ca="1">OFFSET(card_type!$A$1,MATCH(card!B2347,card_type!B:B,0)-1,0)</f>
        <v>3025</v>
      </c>
      <c r="R2347" s="153">
        <v>1</v>
      </c>
      <c r="S2347" s="157">
        <f ca="1">ROUND(IF(R2347=0,0,IF(R2347=1,X2347*$S$1,IF(R2347=2,X2347*$S$1*buff的资质计算!$E$2,IF(R2347=3,X2347*$S$1*buff的资质计算!$E$3,0)))),0)*0</f>
        <v>0</v>
      </c>
      <c r="T2347" s="153">
        <v>2</v>
      </c>
      <c r="U2347" s="153">
        <f ca="1" t="shared" si="402"/>
        <v>32</v>
      </c>
      <c r="V2347" s="153">
        <f ca="1">ROUND((OFFSET(卡牌辅助配置表!$O$1,MATCH(U2347,卡牌辅助配置表!M:M,0)-1,0)+(N2347-1)*OFFSET(卡牌辅助配置表!$P$1,MATCH(U2347,卡牌辅助配置表!M:M,0)-1,0))*M2347,2)</f>
        <v>100.04</v>
      </c>
      <c r="W2347" s="157">
        <f ca="1">ROUND(IF(R2347=0,0,IF(R2347=1,X2347*$W$1,IF(R2347=2,X2347*$W$1*buff的资质计算!$E$2,IF(R2347=3,X2347*$W$1*buff的资质计算!$E$3,0)))),2)</f>
        <v>15.3</v>
      </c>
      <c r="X2347" s="157">
        <f ca="1" t="shared" si="397"/>
        <v>51</v>
      </c>
      <c r="Y2347" s="157">
        <f ca="1" t="shared" si="405"/>
        <v>51</v>
      </c>
      <c r="Z2347" s="304">
        <f ca="1" t="shared" si="398"/>
        <v>25.5</v>
      </c>
      <c r="AA2347" s="304">
        <f ca="1">OFFSET(卡牌辅助配置表!$AD$1,MATCH(AB2347,卡牌辅助配置表!AB:AB,0)-1,0)</f>
        <v>5378</v>
      </c>
      <c r="AB2347" s="304">
        <f ca="1" t="shared" si="403"/>
        <v>3221</v>
      </c>
      <c r="AC2347" s="153">
        <v>10</v>
      </c>
      <c r="AD2347" s="153">
        <v>3</v>
      </c>
      <c r="AE2347" s="153">
        <v>1</v>
      </c>
      <c r="AF2347" s="153" t="str">
        <f ca="1" t="shared" si="407"/>
        <v>30250011|</v>
      </c>
      <c r="AH2347" s="153">
        <v>2</v>
      </c>
      <c r="AJ2347" s="205" t="str">
        <f ca="1" t="shared" si="404"/>
        <v>400023|11850|;</v>
      </c>
      <c r="AK2347" s="205">
        <f ca="1">OFFSET([1]item_type!$A$1,MATCH(Q2347,[1]item_type!$G:$G,0)-1,0)</f>
        <v>303025</v>
      </c>
      <c r="AL2347" s="205"/>
      <c r="AM2347" s="205">
        <f ca="1">IF(B2347=B2348,OFFSET(卡牌辅助配置表!$AE$1,MATCH(AB2347,卡牌辅助配置表!AB:AB,0),0),0)</f>
        <v>11850</v>
      </c>
      <c r="AN2347" s="153">
        <f ca="1" t="shared" si="400"/>
        <v>3025022</v>
      </c>
      <c r="AP2347" s="153" t="str">
        <f ca="1">IF(AC2347=0,0,IF(AC2347=12,0,OFFSET(effect!$N$1,MATCH(K2347,effect!M:M,0)-1,0)))</f>
        <v>kpsx_pt</v>
      </c>
    </row>
    <row r="2348" spans="1:42">
      <c r="A2348" s="153">
        <f ca="1" t="shared" si="401"/>
        <v>3025022</v>
      </c>
      <c r="B2348" s="91" t="s">
        <v>435</v>
      </c>
      <c r="C2348" s="186">
        <v>3</v>
      </c>
      <c r="D2348" s="186">
        <v>2</v>
      </c>
      <c r="E2348" s="165" t="s">
        <v>1069</v>
      </c>
      <c r="F2348" s="165" t="str">
        <f>"存在魂时，获得"&amp;skill!$O$154/100&amp;"%吸血效果"</f>
        <v>存在魂时，获得50%吸血效果</v>
      </c>
      <c r="G2348" s="186">
        <f ca="1">OFFSET(卡牌辅助配置表!$C$1,MATCH(AC2348,卡牌辅助配置表!A:A,0)-1,0)</f>
        <v>3</v>
      </c>
      <c r="H2348" s="186">
        <f ca="1" t="shared" si="406"/>
        <v>0</v>
      </c>
      <c r="I2348" s="186"/>
      <c r="J2348" s="186">
        <f ca="1">OFFSET(card_type!$F$1,MATCH(Q2348,card_type!A:A,0)-1,0)</f>
        <v>3</v>
      </c>
      <c r="K2348" s="243">
        <f ca="1">OFFSET(card_type!$G$1,MATCH(Q2348,card_type!A:A,0)-1,0)</f>
        <v>2</v>
      </c>
      <c r="L2348" s="157">
        <v>2</v>
      </c>
      <c r="M2348" s="157">
        <v>2</v>
      </c>
      <c r="N2348" s="153">
        <f t="shared" si="408"/>
        <v>22</v>
      </c>
      <c r="O2348" s="157"/>
      <c r="P2348" s="157"/>
      <c r="Q2348" s="153">
        <f ca="1">OFFSET(card_type!$A$1,MATCH(card!B2348,card_type!B:B,0)-1,0)</f>
        <v>3025</v>
      </c>
      <c r="R2348" s="153">
        <v>1</v>
      </c>
      <c r="S2348" s="157">
        <f ca="1">ROUND(IF(R2348=0,0,IF(R2348=1,X2348*$S$1,IF(R2348=2,X2348*$S$1*buff的资质计算!$E$2,IF(R2348=3,X2348*$S$1*buff的资质计算!$E$3,0)))),0)*0</f>
        <v>0</v>
      </c>
      <c r="T2348" s="153">
        <v>2</v>
      </c>
      <c r="U2348" s="153">
        <f ca="1" t="shared" si="402"/>
        <v>32</v>
      </c>
      <c r="V2348" s="153">
        <f ca="1">ROUND((OFFSET(卡牌辅助配置表!$O$1,MATCH(U2348,卡牌辅助配置表!M:M,0)-1,0)+(N2348-1)*OFFSET(卡牌辅助配置表!$P$1,MATCH(U2348,卡牌辅助配置表!M:M,0)-1,0))*M2348,2)</f>
        <v>103.61</v>
      </c>
      <c r="W2348" s="157">
        <f ca="1">ROUND(IF(R2348=0,0,IF(R2348=1,X2348*$W$1,IF(R2348=2,X2348*$W$1*buff的资质计算!$E$2,IF(R2348=3,X2348*$W$1*buff的资质计算!$E$3,0)))),2)</f>
        <v>15.45</v>
      </c>
      <c r="X2348" s="157">
        <f ca="1" t="shared" si="397"/>
        <v>51.5</v>
      </c>
      <c r="Y2348" s="157">
        <f ca="1" t="shared" si="405"/>
        <v>51.5</v>
      </c>
      <c r="Z2348" s="304">
        <f ca="1" t="shared" si="398"/>
        <v>25.75</v>
      </c>
      <c r="AA2348" s="304">
        <f ca="1">OFFSET(卡牌辅助配置表!$AD$1,MATCH(AB2348,卡牌辅助配置表!AB:AB,0)-1,0)</f>
        <v>5776</v>
      </c>
      <c r="AB2348" s="304">
        <f ca="1" t="shared" si="403"/>
        <v>3222</v>
      </c>
      <c r="AC2348" s="153">
        <v>10</v>
      </c>
      <c r="AD2348" s="153">
        <v>3</v>
      </c>
      <c r="AE2348" s="153">
        <v>1</v>
      </c>
      <c r="AF2348" s="153" t="str">
        <f ca="1" t="shared" si="407"/>
        <v>30250011|</v>
      </c>
      <c r="AH2348" s="153">
        <v>2</v>
      </c>
      <c r="AJ2348" s="205" t="str">
        <f ca="1" t="shared" si="404"/>
        <v>400023|13050|;</v>
      </c>
      <c r="AK2348" s="205">
        <f ca="1">OFFSET([1]item_type!$A$1,MATCH(Q2348,[1]item_type!$G:$G,0)-1,0)</f>
        <v>303025</v>
      </c>
      <c r="AL2348" s="205"/>
      <c r="AM2348" s="205">
        <f ca="1">IF(B2348=B2349,OFFSET(卡牌辅助配置表!$AE$1,MATCH(AB2348,卡牌辅助配置表!AB:AB,0),0),0)</f>
        <v>13050</v>
      </c>
      <c r="AN2348" s="153">
        <f ca="1" t="shared" si="400"/>
        <v>3025023</v>
      </c>
      <c r="AP2348" s="153" t="str">
        <f ca="1">IF(AC2348=0,0,IF(AC2348=12,0,OFFSET(effect!$N$1,MATCH(K2348,effect!M:M,0)-1,0)))</f>
        <v>kpsx_pt</v>
      </c>
    </row>
    <row r="2349" spans="1:42">
      <c r="A2349" s="153">
        <f ca="1" t="shared" si="401"/>
        <v>3025023</v>
      </c>
      <c r="B2349" s="91" t="s">
        <v>435</v>
      </c>
      <c r="C2349" s="186">
        <v>3</v>
      </c>
      <c r="D2349" s="186">
        <v>2</v>
      </c>
      <c r="E2349" s="165" t="s">
        <v>1069</v>
      </c>
      <c r="F2349" s="165" t="str">
        <f>"存在魂时，获得"&amp;skill!$O$154/100&amp;"%吸血效果"</f>
        <v>存在魂时，获得50%吸血效果</v>
      </c>
      <c r="G2349" s="186">
        <f ca="1">OFFSET(卡牌辅助配置表!$C$1,MATCH(AC2349,卡牌辅助配置表!A:A,0)-1,0)</f>
        <v>3</v>
      </c>
      <c r="H2349" s="186">
        <f ca="1" t="shared" si="406"/>
        <v>0</v>
      </c>
      <c r="I2349" s="186"/>
      <c r="J2349" s="186">
        <f ca="1">OFFSET(card_type!$F$1,MATCH(Q2349,card_type!A:A,0)-1,0)</f>
        <v>3</v>
      </c>
      <c r="K2349" s="243">
        <f ca="1">OFFSET(card_type!$G$1,MATCH(Q2349,card_type!A:A,0)-1,0)</f>
        <v>2</v>
      </c>
      <c r="L2349" s="157">
        <v>2</v>
      </c>
      <c r="M2349" s="157">
        <v>2</v>
      </c>
      <c r="N2349" s="153">
        <f t="shared" si="408"/>
        <v>23</v>
      </c>
      <c r="O2349" s="157"/>
      <c r="P2349" s="157"/>
      <c r="Q2349" s="153">
        <f ca="1">OFFSET(card_type!$A$1,MATCH(card!B2349,card_type!B:B,0)-1,0)</f>
        <v>3025</v>
      </c>
      <c r="R2349" s="153">
        <v>1</v>
      </c>
      <c r="S2349" s="157">
        <f ca="1">ROUND(IF(R2349=0,0,IF(R2349=1,X2349*$S$1,IF(R2349=2,X2349*$S$1*buff的资质计算!$E$2,IF(R2349=3,X2349*$S$1*buff的资质计算!$E$3,0)))),0)*0</f>
        <v>0</v>
      </c>
      <c r="T2349" s="153">
        <v>2</v>
      </c>
      <c r="U2349" s="153">
        <f ca="1" t="shared" si="402"/>
        <v>32</v>
      </c>
      <c r="V2349" s="153">
        <f ca="1">ROUND((OFFSET(卡牌辅助配置表!$O$1,MATCH(U2349,卡牌辅助配置表!M:M,0)-1,0)+(N2349-1)*OFFSET(卡牌辅助配置表!$P$1,MATCH(U2349,卡牌辅助配置表!M:M,0)-1,0))*M2349,2)</f>
        <v>107.18</v>
      </c>
      <c r="W2349" s="157">
        <f ca="1">ROUND(IF(R2349=0,0,IF(R2349=1,X2349*$W$1,IF(R2349=2,X2349*$W$1*buff的资质计算!$E$2,IF(R2349=3,X2349*$W$1*buff的资质计算!$E$3,0)))),2)</f>
        <v>15.6</v>
      </c>
      <c r="X2349" s="157">
        <f ca="1" t="shared" si="397"/>
        <v>52</v>
      </c>
      <c r="Y2349" s="157">
        <f ca="1" t="shared" si="405"/>
        <v>52</v>
      </c>
      <c r="Z2349" s="304">
        <f ca="1" t="shared" si="398"/>
        <v>26</v>
      </c>
      <c r="AA2349" s="304">
        <f ca="1">OFFSET(卡牌辅助配置表!$AD$1,MATCH(AB2349,卡牌辅助配置表!AB:AB,0)-1,0)</f>
        <v>6174</v>
      </c>
      <c r="AB2349" s="304">
        <f ca="1" t="shared" si="403"/>
        <v>3223</v>
      </c>
      <c r="AC2349" s="153">
        <v>10</v>
      </c>
      <c r="AD2349" s="153">
        <v>3</v>
      </c>
      <c r="AE2349" s="153">
        <v>1</v>
      </c>
      <c r="AF2349" s="153" t="str">
        <f ca="1" t="shared" si="407"/>
        <v>30250011|</v>
      </c>
      <c r="AH2349" s="153">
        <v>2</v>
      </c>
      <c r="AJ2349" s="205" t="str">
        <f ca="1" t="shared" si="404"/>
        <v>400023|14250|;</v>
      </c>
      <c r="AK2349" s="205">
        <f ca="1">OFFSET([1]item_type!$A$1,MATCH(Q2349,[1]item_type!$G:$G,0)-1,0)</f>
        <v>303025</v>
      </c>
      <c r="AL2349" s="205"/>
      <c r="AM2349" s="205">
        <f ca="1">IF(B2349=B2350,OFFSET(卡牌辅助配置表!$AE$1,MATCH(AB2349,卡牌辅助配置表!AB:AB,0),0),0)</f>
        <v>14250</v>
      </c>
      <c r="AN2349" s="153">
        <f ca="1" t="shared" si="400"/>
        <v>3025024</v>
      </c>
      <c r="AP2349" s="153" t="str">
        <f ca="1">IF(AC2349=0,0,IF(AC2349=12,0,OFFSET(effect!$N$1,MATCH(K2349,effect!M:M,0)-1,0)))</f>
        <v>kpsx_pt</v>
      </c>
    </row>
    <row r="2350" spans="1:42">
      <c r="A2350" s="153">
        <f ca="1" t="shared" si="401"/>
        <v>3025024</v>
      </c>
      <c r="B2350" s="91" t="s">
        <v>435</v>
      </c>
      <c r="C2350" s="186">
        <v>3</v>
      </c>
      <c r="D2350" s="186">
        <v>2</v>
      </c>
      <c r="E2350" s="165" t="s">
        <v>1069</v>
      </c>
      <c r="F2350" s="165" t="str">
        <f>"存在魂时，获得"&amp;skill!$O$154/100&amp;"%吸血效果"</f>
        <v>存在魂时，获得50%吸血效果</v>
      </c>
      <c r="G2350" s="186">
        <f ca="1">OFFSET(卡牌辅助配置表!$C$1,MATCH(AC2350,卡牌辅助配置表!A:A,0)-1,0)</f>
        <v>3</v>
      </c>
      <c r="H2350" s="186">
        <f ca="1" t="shared" si="406"/>
        <v>0</v>
      </c>
      <c r="I2350" s="186"/>
      <c r="J2350" s="186">
        <f ca="1">OFFSET(card_type!$F$1,MATCH(Q2350,card_type!A:A,0)-1,0)</f>
        <v>3</v>
      </c>
      <c r="K2350" s="243">
        <f ca="1">OFFSET(card_type!$G$1,MATCH(Q2350,card_type!A:A,0)-1,0)</f>
        <v>2</v>
      </c>
      <c r="L2350" s="157">
        <v>2</v>
      </c>
      <c r="M2350" s="157">
        <v>2</v>
      </c>
      <c r="N2350" s="153">
        <f t="shared" si="408"/>
        <v>24</v>
      </c>
      <c r="O2350" s="157"/>
      <c r="P2350" s="157"/>
      <c r="Q2350" s="153">
        <f ca="1">OFFSET(card_type!$A$1,MATCH(card!B2350,card_type!B:B,0)-1,0)</f>
        <v>3025</v>
      </c>
      <c r="R2350" s="153">
        <v>1</v>
      </c>
      <c r="S2350" s="157">
        <f ca="1">ROUND(IF(R2350=0,0,IF(R2350=1,X2350*$S$1,IF(R2350=2,X2350*$S$1*buff的资质计算!$E$2,IF(R2350=3,X2350*$S$1*buff的资质计算!$E$3,0)))),0)*0</f>
        <v>0</v>
      </c>
      <c r="T2350" s="153">
        <v>2</v>
      </c>
      <c r="U2350" s="153">
        <f ca="1" t="shared" si="402"/>
        <v>32</v>
      </c>
      <c r="V2350" s="153">
        <f ca="1">ROUND((OFFSET(卡牌辅助配置表!$O$1,MATCH(U2350,卡牌辅助配置表!M:M,0)-1,0)+(N2350-1)*OFFSET(卡牌辅助配置表!$P$1,MATCH(U2350,卡牌辅助配置表!M:M,0)-1,0))*M2350,2)</f>
        <v>110.74</v>
      </c>
      <c r="W2350" s="157">
        <f ca="1">ROUND(IF(R2350=0,0,IF(R2350=1,X2350*$W$1,IF(R2350=2,X2350*$W$1*buff的资质计算!$E$2,IF(R2350=3,X2350*$W$1*buff的资质计算!$E$3,0)))),2)</f>
        <v>15.75</v>
      </c>
      <c r="X2350" s="157">
        <f ca="1" t="shared" si="397"/>
        <v>52.5</v>
      </c>
      <c r="Y2350" s="157">
        <f ca="1" t="shared" si="405"/>
        <v>52.5</v>
      </c>
      <c r="Z2350" s="304">
        <f ca="1" t="shared" si="398"/>
        <v>26.25</v>
      </c>
      <c r="AA2350" s="304">
        <f ca="1">OFFSET(卡牌辅助配置表!$AD$1,MATCH(AB2350,卡牌辅助配置表!AB:AB,0)-1,0)</f>
        <v>6572</v>
      </c>
      <c r="AB2350" s="304">
        <f ca="1" t="shared" si="403"/>
        <v>3224</v>
      </c>
      <c r="AC2350" s="153">
        <v>10</v>
      </c>
      <c r="AD2350" s="153">
        <v>3</v>
      </c>
      <c r="AE2350" s="153">
        <v>1</v>
      </c>
      <c r="AF2350" s="153" t="str">
        <f ca="1" t="shared" si="407"/>
        <v>30250011|</v>
      </c>
      <c r="AH2350" s="153">
        <v>2</v>
      </c>
      <c r="AJ2350" s="205" t="str">
        <f ca="1" t="shared" si="404"/>
        <v>400023|15450|;</v>
      </c>
      <c r="AK2350" s="205">
        <f ca="1">OFFSET([1]item_type!$A$1,MATCH(Q2350,[1]item_type!$G:$G,0)-1,0)</f>
        <v>303025</v>
      </c>
      <c r="AL2350" s="205"/>
      <c r="AM2350" s="205">
        <f ca="1">IF(B2350=B2351,OFFSET(卡牌辅助配置表!$AE$1,MATCH(AB2350,卡牌辅助配置表!AB:AB,0),0),0)</f>
        <v>15450</v>
      </c>
      <c r="AN2350" s="153">
        <f ca="1" t="shared" si="400"/>
        <v>3025025</v>
      </c>
      <c r="AP2350" s="153" t="str">
        <f ca="1">IF(AC2350=0,0,IF(AC2350=12,0,OFFSET(effect!$N$1,MATCH(K2350,effect!M:M,0)-1,0)))</f>
        <v>kpsx_pt</v>
      </c>
    </row>
    <row r="2351" spans="1:42">
      <c r="A2351" s="153">
        <f ca="1" t="shared" si="401"/>
        <v>3025025</v>
      </c>
      <c r="B2351" s="91" t="s">
        <v>435</v>
      </c>
      <c r="C2351" s="186">
        <v>3</v>
      </c>
      <c r="D2351" s="186">
        <v>2</v>
      </c>
      <c r="E2351" s="165" t="s">
        <v>1069</v>
      </c>
      <c r="F2351" s="165" t="str">
        <f>"存在魂时，获得"&amp;skill!$O$154/100&amp;"%吸血效果"</f>
        <v>存在魂时，获得50%吸血效果</v>
      </c>
      <c r="G2351" s="186">
        <f ca="1">OFFSET(卡牌辅助配置表!$C$1,MATCH(AC2351,卡牌辅助配置表!A:A,0)-1,0)</f>
        <v>3</v>
      </c>
      <c r="H2351" s="186">
        <f ca="1" t="shared" si="406"/>
        <v>0</v>
      </c>
      <c r="I2351" s="186"/>
      <c r="J2351" s="186">
        <f ca="1">OFFSET(card_type!$F$1,MATCH(Q2351,card_type!A:A,0)-1,0)</f>
        <v>3</v>
      </c>
      <c r="K2351" s="243">
        <f ca="1">OFFSET(card_type!$G$1,MATCH(Q2351,card_type!A:A,0)-1,0)</f>
        <v>2</v>
      </c>
      <c r="L2351" s="157">
        <v>2</v>
      </c>
      <c r="M2351" s="157">
        <v>2</v>
      </c>
      <c r="N2351" s="153">
        <f t="shared" si="408"/>
        <v>25</v>
      </c>
      <c r="O2351" s="157"/>
      <c r="P2351" s="157"/>
      <c r="Q2351" s="153">
        <f ca="1">OFFSET(card_type!$A$1,MATCH(card!B2351,card_type!B:B,0)-1,0)</f>
        <v>3025</v>
      </c>
      <c r="R2351" s="153">
        <v>1</v>
      </c>
      <c r="S2351" s="157">
        <f ca="1">ROUND(IF(R2351=0,0,IF(R2351=1,X2351*$S$1,IF(R2351=2,X2351*$S$1*buff的资质计算!$E$2,IF(R2351=3,X2351*$S$1*buff的资质计算!$E$3,0)))),0)*0</f>
        <v>0</v>
      </c>
      <c r="T2351" s="153">
        <v>2</v>
      </c>
      <c r="U2351" s="153">
        <f ca="1" t="shared" si="402"/>
        <v>32</v>
      </c>
      <c r="V2351" s="153">
        <f ca="1">ROUND((OFFSET(卡牌辅助配置表!$O$1,MATCH(U2351,卡牌辅助配置表!M:M,0)-1,0)+(N2351-1)*OFFSET(卡牌辅助配置表!$P$1,MATCH(U2351,卡牌辅助配置表!M:M,0)-1,0))*M2351,2)</f>
        <v>114.31</v>
      </c>
      <c r="W2351" s="157">
        <f ca="1">ROUND(IF(R2351=0,0,IF(R2351=1,X2351*$W$1,IF(R2351=2,X2351*$W$1*buff的资质计算!$E$2,IF(R2351=3,X2351*$W$1*buff的资质计算!$E$3,0)))),2)</f>
        <v>15.9</v>
      </c>
      <c r="X2351" s="157">
        <f ca="1" t="shared" si="397"/>
        <v>53</v>
      </c>
      <c r="Y2351" s="157">
        <f ca="1" t="shared" si="405"/>
        <v>53</v>
      </c>
      <c r="Z2351" s="304">
        <f ca="1" t="shared" si="398"/>
        <v>26.5</v>
      </c>
      <c r="AA2351" s="304">
        <f ca="1">OFFSET(卡牌辅助配置表!$AD$1,MATCH(AB2351,卡牌辅助配置表!AB:AB,0)-1,0)</f>
        <v>6970</v>
      </c>
      <c r="AB2351" s="304">
        <f ca="1" t="shared" si="403"/>
        <v>3225</v>
      </c>
      <c r="AC2351" s="153">
        <v>10</v>
      </c>
      <c r="AD2351" s="153">
        <v>3</v>
      </c>
      <c r="AE2351" s="153">
        <v>1</v>
      </c>
      <c r="AF2351" s="153" t="str">
        <f ca="1" t="shared" si="407"/>
        <v>30250011|</v>
      </c>
      <c r="AH2351" s="153">
        <v>2</v>
      </c>
      <c r="AJ2351" s="205" t="str">
        <f ca="1" t="shared" si="404"/>
        <v>400023|16650|;</v>
      </c>
      <c r="AK2351" s="205">
        <f ca="1">OFFSET([1]item_type!$A$1,MATCH(Q2351,[1]item_type!$G:$G,0)-1,0)</f>
        <v>303025</v>
      </c>
      <c r="AL2351" s="205"/>
      <c r="AM2351" s="205">
        <f ca="1">IF(B2351=B2352,OFFSET(卡牌辅助配置表!$AE$1,MATCH(AB2351,卡牌辅助配置表!AB:AB,0),0),0)</f>
        <v>16650</v>
      </c>
      <c r="AN2351" s="153">
        <f ca="1" t="shared" si="400"/>
        <v>3025026</v>
      </c>
      <c r="AP2351" s="153" t="str">
        <f ca="1">IF(AC2351=0,0,IF(AC2351=12,0,OFFSET(effect!$N$1,MATCH(K2351,effect!M:M,0)-1,0)))</f>
        <v>kpsx_pt</v>
      </c>
    </row>
    <row r="2352" spans="1:42">
      <c r="A2352" s="153">
        <f ca="1" t="shared" si="401"/>
        <v>3025026</v>
      </c>
      <c r="B2352" s="91" t="s">
        <v>435</v>
      </c>
      <c r="C2352" s="186">
        <v>3</v>
      </c>
      <c r="D2352" s="186">
        <v>2</v>
      </c>
      <c r="E2352" s="165" t="s">
        <v>1069</v>
      </c>
      <c r="F2352" s="165" t="str">
        <f>"存在魂时，获得"&amp;skill!$O$154/100&amp;"%吸血效果"</f>
        <v>存在魂时，获得50%吸血效果</v>
      </c>
      <c r="G2352" s="186">
        <f ca="1">OFFSET(卡牌辅助配置表!$C$1,MATCH(AC2352,卡牌辅助配置表!A:A,0)-1,0)</f>
        <v>3</v>
      </c>
      <c r="H2352" s="186">
        <f ca="1" t="shared" si="406"/>
        <v>0</v>
      </c>
      <c r="I2352" s="186"/>
      <c r="J2352" s="186">
        <f ca="1">OFFSET(card_type!$F$1,MATCH(Q2352,card_type!A:A,0)-1,0)</f>
        <v>3</v>
      </c>
      <c r="K2352" s="243">
        <f ca="1">OFFSET(card_type!$G$1,MATCH(Q2352,card_type!A:A,0)-1,0)</f>
        <v>2</v>
      </c>
      <c r="L2352" s="157">
        <v>2</v>
      </c>
      <c r="M2352" s="157">
        <v>2</v>
      </c>
      <c r="N2352" s="153">
        <f t="shared" si="408"/>
        <v>26</v>
      </c>
      <c r="O2352" s="157"/>
      <c r="P2352" s="157"/>
      <c r="Q2352" s="153">
        <f ca="1">OFFSET(card_type!$A$1,MATCH(card!B2352,card_type!B:B,0)-1,0)</f>
        <v>3025</v>
      </c>
      <c r="R2352" s="153">
        <v>1</v>
      </c>
      <c r="S2352" s="157">
        <f ca="1">ROUND(IF(R2352=0,0,IF(R2352=1,X2352*$S$1,IF(R2352=2,X2352*$S$1*buff的资质计算!$E$2,IF(R2352=3,X2352*$S$1*buff的资质计算!$E$3,0)))),0)*0</f>
        <v>0</v>
      </c>
      <c r="T2352" s="153">
        <v>2</v>
      </c>
      <c r="U2352" s="153">
        <f ca="1" t="shared" si="402"/>
        <v>32</v>
      </c>
      <c r="V2352" s="153">
        <f ca="1">ROUND((OFFSET(卡牌辅助配置表!$O$1,MATCH(U2352,卡牌辅助配置表!M:M,0)-1,0)+(N2352-1)*OFFSET(卡牌辅助配置表!$P$1,MATCH(U2352,卡牌辅助配置表!M:M,0)-1,0))*M2352,2)</f>
        <v>117.88</v>
      </c>
      <c r="W2352" s="157">
        <f ca="1">ROUND(IF(R2352=0,0,IF(R2352=1,X2352*$W$1,IF(R2352=2,X2352*$W$1*buff的资质计算!$E$2,IF(R2352=3,X2352*$W$1*buff的资质计算!$E$3,0)))),2)</f>
        <v>16.05</v>
      </c>
      <c r="X2352" s="157">
        <f ca="1" t="shared" si="397"/>
        <v>53.5</v>
      </c>
      <c r="Y2352" s="157">
        <f ca="1" t="shared" si="405"/>
        <v>53.5</v>
      </c>
      <c r="Z2352" s="304">
        <f ca="1" t="shared" si="398"/>
        <v>26.75</v>
      </c>
      <c r="AA2352" s="304">
        <f ca="1">OFFSET(卡牌辅助配置表!$AD$1,MATCH(AB2352,卡牌辅助配置表!AB:AB,0)-1,0)</f>
        <v>7368</v>
      </c>
      <c r="AB2352" s="304">
        <f ca="1" t="shared" si="403"/>
        <v>3226</v>
      </c>
      <c r="AC2352" s="153">
        <v>10</v>
      </c>
      <c r="AD2352" s="153">
        <v>3</v>
      </c>
      <c r="AE2352" s="153">
        <v>1</v>
      </c>
      <c r="AF2352" s="153" t="str">
        <f ca="1" t="shared" si="407"/>
        <v>30250011|</v>
      </c>
      <c r="AH2352" s="153">
        <v>2</v>
      </c>
      <c r="AJ2352" s="205" t="str">
        <f ca="1" t="shared" si="404"/>
        <v>400023|17850|;</v>
      </c>
      <c r="AK2352" s="205">
        <f ca="1">OFFSET([1]item_type!$A$1,MATCH(Q2352,[1]item_type!$G:$G,0)-1,0)</f>
        <v>303025</v>
      </c>
      <c r="AL2352" s="205"/>
      <c r="AM2352" s="205">
        <f ca="1">IF(B2352=B2353,OFFSET(卡牌辅助配置表!$AE$1,MATCH(AB2352,卡牌辅助配置表!AB:AB,0),0),0)</f>
        <v>17850</v>
      </c>
      <c r="AN2352" s="153">
        <f ca="1" t="shared" si="400"/>
        <v>3025027</v>
      </c>
      <c r="AP2352" s="153" t="str">
        <f ca="1">IF(AC2352=0,0,IF(AC2352=12,0,OFFSET(effect!$N$1,MATCH(K2352,effect!M:M,0)-1,0)))</f>
        <v>kpsx_pt</v>
      </c>
    </row>
    <row r="2353" spans="1:42">
      <c r="A2353" s="153">
        <f ca="1" t="shared" si="401"/>
        <v>3025027</v>
      </c>
      <c r="B2353" s="91" t="s">
        <v>435</v>
      </c>
      <c r="C2353" s="186">
        <v>3</v>
      </c>
      <c r="D2353" s="186">
        <v>2</v>
      </c>
      <c r="E2353" s="165" t="s">
        <v>1069</v>
      </c>
      <c r="F2353" s="165" t="str">
        <f>"存在魂时，获得"&amp;skill!$O$154/100&amp;"%吸血效果"</f>
        <v>存在魂时，获得50%吸血效果</v>
      </c>
      <c r="G2353" s="186">
        <f ca="1">OFFSET(卡牌辅助配置表!$C$1,MATCH(AC2353,卡牌辅助配置表!A:A,0)-1,0)</f>
        <v>3</v>
      </c>
      <c r="H2353" s="186">
        <f ca="1" t="shared" si="406"/>
        <v>0</v>
      </c>
      <c r="I2353" s="186"/>
      <c r="J2353" s="186">
        <f ca="1">OFFSET(card_type!$F$1,MATCH(Q2353,card_type!A:A,0)-1,0)</f>
        <v>3</v>
      </c>
      <c r="K2353" s="243">
        <f ca="1">OFFSET(card_type!$G$1,MATCH(Q2353,card_type!A:A,0)-1,0)</f>
        <v>2</v>
      </c>
      <c r="L2353" s="157">
        <v>2</v>
      </c>
      <c r="M2353" s="157">
        <v>2</v>
      </c>
      <c r="N2353" s="153">
        <f t="shared" si="408"/>
        <v>27</v>
      </c>
      <c r="O2353" s="157"/>
      <c r="P2353" s="157"/>
      <c r="Q2353" s="153">
        <f ca="1">OFFSET(card_type!$A$1,MATCH(card!B2353,card_type!B:B,0)-1,0)</f>
        <v>3025</v>
      </c>
      <c r="R2353" s="153">
        <v>1</v>
      </c>
      <c r="S2353" s="157">
        <f ca="1">ROUND(IF(R2353=0,0,IF(R2353=1,X2353*$S$1,IF(R2353=2,X2353*$S$1*buff的资质计算!$E$2,IF(R2353=3,X2353*$S$1*buff的资质计算!$E$3,0)))),0)*0</f>
        <v>0</v>
      </c>
      <c r="T2353" s="153">
        <v>2</v>
      </c>
      <c r="U2353" s="153">
        <f ca="1" t="shared" si="402"/>
        <v>32</v>
      </c>
      <c r="V2353" s="153">
        <f ca="1">ROUND((OFFSET(卡牌辅助配置表!$O$1,MATCH(U2353,卡牌辅助配置表!M:M,0)-1,0)+(N2353-1)*OFFSET(卡牌辅助配置表!$P$1,MATCH(U2353,卡牌辅助配置表!M:M,0)-1,0))*M2353,2)</f>
        <v>121.44</v>
      </c>
      <c r="W2353" s="157">
        <f ca="1">ROUND(IF(R2353=0,0,IF(R2353=1,X2353*$W$1,IF(R2353=2,X2353*$W$1*buff的资质计算!$E$2,IF(R2353=3,X2353*$W$1*buff的资质计算!$E$3,0)))),2)</f>
        <v>16.2</v>
      </c>
      <c r="X2353" s="157">
        <f ca="1" t="shared" si="397"/>
        <v>54</v>
      </c>
      <c r="Y2353" s="157">
        <f ca="1" t="shared" si="405"/>
        <v>54</v>
      </c>
      <c r="Z2353" s="304">
        <f ca="1" t="shared" si="398"/>
        <v>27</v>
      </c>
      <c r="AA2353" s="304">
        <f ca="1">OFFSET(卡牌辅助配置表!$AD$1,MATCH(AB2353,卡牌辅助配置表!AB:AB,0)-1,0)</f>
        <v>7766</v>
      </c>
      <c r="AB2353" s="304">
        <f ca="1" t="shared" si="403"/>
        <v>3227</v>
      </c>
      <c r="AC2353" s="153">
        <v>10</v>
      </c>
      <c r="AD2353" s="153">
        <v>3</v>
      </c>
      <c r="AE2353" s="153">
        <v>1</v>
      </c>
      <c r="AF2353" s="153" t="str">
        <f ca="1" t="shared" si="407"/>
        <v>30250011|</v>
      </c>
      <c r="AH2353" s="153">
        <v>2</v>
      </c>
      <c r="AJ2353" s="205" t="str">
        <f ca="1" t="shared" si="404"/>
        <v>400023|19050|;</v>
      </c>
      <c r="AK2353" s="205">
        <f ca="1">OFFSET([1]item_type!$A$1,MATCH(Q2353,[1]item_type!$G:$G,0)-1,0)</f>
        <v>303025</v>
      </c>
      <c r="AL2353" s="205"/>
      <c r="AM2353" s="205">
        <f ca="1">IF(B2353=B2354,OFFSET(卡牌辅助配置表!$AE$1,MATCH(AB2353,卡牌辅助配置表!AB:AB,0),0),0)</f>
        <v>19050</v>
      </c>
      <c r="AN2353" s="153">
        <f ca="1" t="shared" si="400"/>
        <v>3025028</v>
      </c>
      <c r="AP2353" s="153" t="str">
        <f ca="1">IF(AC2353=0,0,IF(AC2353=12,0,OFFSET(effect!$N$1,MATCH(K2353,effect!M:M,0)-1,0)))</f>
        <v>kpsx_pt</v>
      </c>
    </row>
    <row r="2354" spans="1:42">
      <c r="A2354" s="153">
        <f ca="1" t="shared" si="401"/>
        <v>3025028</v>
      </c>
      <c r="B2354" s="91" t="s">
        <v>435</v>
      </c>
      <c r="C2354" s="186">
        <v>3</v>
      </c>
      <c r="D2354" s="186">
        <v>2</v>
      </c>
      <c r="E2354" s="165" t="s">
        <v>1069</v>
      </c>
      <c r="F2354" s="165" t="str">
        <f>"存在魂时，获得"&amp;skill!$O$154/100&amp;"%吸血效果"</f>
        <v>存在魂时，获得50%吸血效果</v>
      </c>
      <c r="G2354" s="186">
        <f ca="1">OFFSET(卡牌辅助配置表!$C$1,MATCH(AC2354,卡牌辅助配置表!A:A,0)-1,0)</f>
        <v>3</v>
      </c>
      <c r="H2354" s="186">
        <f ca="1" t="shared" si="406"/>
        <v>0</v>
      </c>
      <c r="I2354" s="186"/>
      <c r="J2354" s="186">
        <f ca="1">OFFSET(card_type!$F$1,MATCH(Q2354,card_type!A:A,0)-1,0)</f>
        <v>3</v>
      </c>
      <c r="K2354" s="243">
        <f ca="1">OFFSET(card_type!$G$1,MATCH(Q2354,card_type!A:A,0)-1,0)</f>
        <v>2</v>
      </c>
      <c r="L2354" s="157">
        <v>2</v>
      </c>
      <c r="M2354" s="157">
        <v>2</v>
      </c>
      <c r="N2354" s="153">
        <f t="shared" si="408"/>
        <v>28</v>
      </c>
      <c r="O2354" s="157"/>
      <c r="P2354" s="157"/>
      <c r="Q2354" s="153">
        <f ca="1">OFFSET(card_type!$A$1,MATCH(card!B2354,card_type!B:B,0)-1,0)</f>
        <v>3025</v>
      </c>
      <c r="R2354" s="153">
        <v>1</v>
      </c>
      <c r="S2354" s="157">
        <f ca="1">ROUND(IF(R2354=0,0,IF(R2354=1,X2354*$S$1,IF(R2354=2,X2354*$S$1*buff的资质计算!$E$2,IF(R2354=3,X2354*$S$1*buff的资质计算!$E$3,0)))),0)*0</f>
        <v>0</v>
      </c>
      <c r="T2354" s="153">
        <v>2</v>
      </c>
      <c r="U2354" s="153">
        <f ca="1" t="shared" si="402"/>
        <v>32</v>
      </c>
      <c r="V2354" s="153">
        <f ca="1">ROUND((OFFSET(卡牌辅助配置表!$O$1,MATCH(U2354,卡牌辅助配置表!M:M,0)-1,0)+(N2354-1)*OFFSET(卡牌辅助配置表!$P$1,MATCH(U2354,卡牌辅助配置表!M:M,0)-1,0))*M2354,2)</f>
        <v>125.01</v>
      </c>
      <c r="W2354" s="157">
        <f ca="1">ROUND(IF(R2354=0,0,IF(R2354=1,X2354*$W$1,IF(R2354=2,X2354*$W$1*buff的资质计算!$E$2,IF(R2354=3,X2354*$W$1*buff的资质计算!$E$3,0)))),2)</f>
        <v>16.35</v>
      </c>
      <c r="X2354" s="157">
        <f ca="1" t="shared" si="397"/>
        <v>54.5</v>
      </c>
      <c r="Y2354" s="157">
        <f ca="1" t="shared" si="405"/>
        <v>54.5</v>
      </c>
      <c r="Z2354" s="304">
        <f ca="1" t="shared" si="398"/>
        <v>27.25</v>
      </c>
      <c r="AA2354" s="304">
        <f ca="1">OFFSET(卡牌辅助配置表!$AD$1,MATCH(AB2354,卡牌辅助配置表!AB:AB,0)-1,0)</f>
        <v>8164</v>
      </c>
      <c r="AB2354" s="304">
        <f ca="1" t="shared" si="403"/>
        <v>3228</v>
      </c>
      <c r="AC2354" s="153">
        <v>10</v>
      </c>
      <c r="AD2354" s="153">
        <v>3</v>
      </c>
      <c r="AE2354" s="153">
        <v>1</v>
      </c>
      <c r="AF2354" s="153" t="str">
        <f ca="1" t="shared" si="407"/>
        <v>30250011|</v>
      </c>
      <c r="AH2354" s="153">
        <v>2</v>
      </c>
      <c r="AJ2354" s="205" t="str">
        <f ca="1" t="shared" si="404"/>
        <v>400023|20250|;</v>
      </c>
      <c r="AK2354" s="205">
        <f ca="1">OFFSET([1]item_type!$A$1,MATCH(Q2354,[1]item_type!$G:$G,0)-1,0)</f>
        <v>303025</v>
      </c>
      <c r="AL2354" s="205"/>
      <c r="AM2354" s="205">
        <f ca="1">IF(B2354=B2355,OFFSET(卡牌辅助配置表!$AE$1,MATCH(AB2354,卡牌辅助配置表!AB:AB,0),0),0)</f>
        <v>20250</v>
      </c>
      <c r="AN2354" s="153">
        <f ca="1" t="shared" si="400"/>
        <v>3025029</v>
      </c>
      <c r="AP2354" s="153" t="str">
        <f ca="1">IF(AC2354=0,0,IF(AC2354=12,0,OFFSET(effect!$N$1,MATCH(K2354,effect!M:M,0)-1,0)))</f>
        <v>kpsx_pt</v>
      </c>
    </row>
    <row r="2355" spans="1:42">
      <c r="A2355" s="153">
        <f ca="1" t="shared" si="401"/>
        <v>3025029</v>
      </c>
      <c r="B2355" s="91" t="s">
        <v>435</v>
      </c>
      <c r="C2355" s="186">
        <v>3</v>
      </c>
      <c r="D2355" s="186">
        <v>2</v>
      </c>
      <c r="E2355" s="165" t="s">
        <v>1069</v>
      </c>
      <c r="F2355" s="165" t="str">
        <f>"存在魂时，获得"&amp;skill!$O$154/100&amp;"%吸血效果"</f>
        <v>存在魂时，获得50%吸血效果</v>
      </c>
      <c r="G2355" s="186">
        <f ca="1">OFFSET(卡牌辅助配置表!$C$1,MATCH(AC2355,卡牌辅助配置表!A:A,0)-1,0)</f>
        <v>3</v>
      </c>
      <c r="H2355" s="186">
        <f ca="1" t="shared" si="406"/>
        <v>0</v>
      </c>
      <c r="I2355" s="186"/>
      <c r="J2355" s="186">
        <f ca="1">OFFSET(card_type!$F$1,MATCH(Q2355,card_type!A:A,0)-1,0)</f>
        <v>3</v>
      </c>
      <c r="K2355" s="243">
        <f ca="1">OFFSET(card_type!$G$1,MATCH(Q2355,card_type!A:A,0)-1,0)</f>
        <v>2</v>
      </c>
      <c r="L2355" s="157">
        <v>2</v>
      </c>
      <c r="M2355" s="157">
        <v>2</v>
      </c>
      <c r="N2355" s="153">
        <f t="shared" si="408"/>
        <v>29</v>
      </c>
      <c r="O2355" s="157"/>
      <c r="P2355" s="157"/>
      <c r="Q2355" s="153">
        <f ca="1">OFFSET(card_type!$A$1,MATCH(card!B2355,card_type!B:B,0)-1,0)</f>
        <v>3025</v>
      </c>
      <c r="R2355" s="153">
        <v>1</v>
      </c>
      <c r="S2355" s="157">
        <f ca="1">ROUND(IF(R2355=0,0,IF(R2355=1,X2355*$S$1,IF(R2355=2,X2355*$S$1*buff的资质计算!$E$2,IF(R2355=3,X2355*$S$1*buff的资质计算!$E$3,0)))),0)*0</f>
        <v>0</v>
      </c>
      <c r="T2355" s="153">
        <v>2</v>
      </c>
      <c r="U2355" s="153">
        <f ca="1" t="shared" si="402"/>
        <v>32</v>
      </c>
      <c r="V2355" s="153">
        <f ca="1">ROUND((OFFSET(卡牌辅助配置表!$O$1,MATCH(U2355,卡牌辅助配置表!M:M,0)-1,0)+(N2355-1)*OFFSET(卡牌辅助配置表!$P$1,MATCH(U2355,卡牌辅助配置表!M:M,0)-1,0))*M2355,2)</f>
        <v>128.58</v>
      </c>
      <c r="W2355" s="157">
        <f ca="1">ROUND(IF(R2355=0,0,IF(R2355=1,X2355*$W$1,IF(R2355=2,X2355*$W$1*buff的资质计算!$E$2,IF(R2355=3,X2355*$W$1*buff的资质计算!$E$3,0)))),2)</f>
        <v>16.5</v>
      </c>
      <c r="X2355" s="157">
        <f ca="1" t="shared" si="397"/>
        <v>55</v>
      </c>
      <c r="Y2355" s="157">
        <f ca="1" t="shared" si="405"/>
        <v>55</v>
      </c>
      <c r="Z2355" s="304">
        <f ca="1" t="shared" si="398"/>
        <v>27.5</v>
      </c>
      <c r="AA2355" s="304">
        <f ca="1">OFFSET(卡牌辅助配置表!$AD$1,MATCH(AB2355,卡牌辅助配置表!AB:AB,0)-1,0)</f>
        <v>8562</v>
      </c>
      <c r="AB2355" s="304">
        <f ca="1" t="shared" si="403"/>
        <v>3229</v>
      </c>
      <c r="AC2355" s="153">
        <v>10</v>
      </c>
      <c r="AD2355" s="153">
        <v>3</v>
      </c>
      <c r="AE2355" s="153">
        <v>1</v>
      </c>
      <c r="AF2355" s="153" t="str">
        <f ca="1" t="shared" si="407"/>
        <v>30250011|</v>
      </c>
      <c r="AH2355" s="153">
        <v>2</v>
      </c>
      <c r="AJ2355" s="205" t="str">
        <f ca="1" t="shared" si="404"/>
        <v>303025|30|;400023|21450|;</v>
      </c>
      <c r="AK2355" s="205">
        <f ca="1">OFFSET([1]item_type!$A$1,MATCH(Q2355,[1]item_type!$G:$G,0)-1,0)</f>
        <v>303025</v>
      </c>
      <c r="AL2355" s="205">
        <v>30</v>
      </c>
      <c r="AM2355" s="205">
        <f ca="1">IF(B2355=B2356,OFFSET(卡牌辅助配置表!$AE$1,MATCH(AB2355,卡牌辅助配置表!AB:AB,0),0),0)</f>
        <v>21450</v>
      </c>
      <c r="AN2355" s="153">
        <f ca="1" t="shared" si="400"/>
        <v>3025030</v>
      </c>
      <c r="AP2355" s="153" t="str">
        <f ca="1">IF(AC2355=0,0,IF(AC2355=12,0,OFFSET(effect!$N$1,MATCH(K2355,effect!M:M,0)-1,0)))</f>
        <v>kpsx_pt</v>
      </c>
    </row>
    <row r="2356" spans="1:42">
      <c r="A2356" s="153">
        <f ca="1" t="shared" si="401"/>
        <v>3025030</v>
      </c>
      <c r="B2356" s="91" t="s">
        <v>435</v>
      </c>
      <c r="C2356" s="186">
        <v>3</v>
      </c>
      <c r="D2356" s="186">
        <v>2</v>
      </c>
      <c r="E2356" s="165" t="s">
        <v>1069</v>
      </c>
      <c r="F2356" s="165" t="str">
        <f>"存在魂时，获得"&amp;skill!$O$154/100&amp;"%吸血效果"</f>
        <v>存在魂时，获得50%吸血效果</v>
      </c>
      <c r="G2356" s="186">
        <f ca="1">OFFSET(卡牌辅助配置表!$C$1,MATCH(AC2356,卡牌辅助配置表!A:A,0)-1,0)</f>
        <v>3</v>
      </c>
      <c r="H2356" s="186">
        <f ca="1" t="shared" si="406"/>
        <v>0</v>
      </c>
      <c r="I2356" s="186"/>
      <c r="J2356" s="186">
        <f ca="1">OFFSET(card_type!$F$1,MATCH(Q2356,card_type!A:A,0)-1,0)</f>
        <v>3</v>
      </c>
      <c r="K2356" s="243">
        <f ca="1">OFFSET(card_type!$G$1,MATCH(Q2356,card_type!A:A,0)-1,0)</f>
        <v>2</v>
      </c>
      <c r="L2356" s="157">
        <v>2</v>
      </c>
      <c r="M2356" s="157">
        <v>2</v>
      </c>
      <c r="N2356" s="153">
        <f t="shared" si="408"/>
        <v>30</v>
      </c>
      <c r="O2356" s="157"/>
      <c r="P2356" s="157"/>
      <c r="Q2356" s="153">
        <f ca="1">OFFSET(card_type!$A$1,MATCH(card!B2356,card_type!B:B,0)-1,0)</f>
        <v>3025</v>
      </c>
      <c r="R2356" s="153">
        <v>1</v>
      </c>
      <c r="S2356" s="157">
        <f ca="1">ROUND(IF(R2356=0,0,IF(R2356=1,X2356*$S$1,IF(R2356=2,X2356*$S$1*buff的资质计算!$E$2,IF(R2356=3,X2356*$S$1*buff的资质计算!$E$3,0)))),0)*0</f>
        <v>0</v>
      </c>
      <c r="T2356" s="153">
        <v>2</v>
      </c>
      <c r="U2356" s="153">
        <f ca="1" t="shared" si="402"/>
        <v>32</v>
      </c>
      <c r="V2356" s="153">
        <f ca="1">ROUND((OFFSET(卡牌辅助配置表!$O$1,MATCH(U2356,卡牌辅助配置表!M:M,0)-1,0)+(N2356-1)*OFFSET(卡牌辅助配置表!$P$1,MATCH(U2356,卡牌辅助配置表!M:M,0)-1,0))*M2356,2)</f>
        <v>132.14</v>
      </c>
      <c r="W2356" s="157">
        <f ca="1">ROUND(IF(R2356=0,0,IF(R2356=1,X2356*$W$1,IF(R2356=2,X2356*$W$1*buff的资质计算!$E$2,IF(R2356=3,X2356*$W$1*buff的资质计算!$E$3,0)))),2)</f>
        <v>16.65</v>
      </c>
      <c r="X2356" s="157">
        <f ca="1" t="shared" ref="X2356:X2419" si="409">M2356*($M$1+(J2356-1)*$J$1+(K2356-1)*$K$1)+G2356+$J$1*(N2356-1)/$N$1</f>
        <v>55.5</v>
      </c>
      <c r="Y2356" s="157">
        <f ca="1" t="shared" si="405"/>
        <v>55.5</v>
      </c>
      <c r="Z2356" s="304">
        <f ca="1" t="shared" ref="Z2356:Z2419" si="410">Y2356/M2356</f>
        <v>27.75</v>
      </c>
      <c r="AA2356" s="304">
        <f ca="1">OFFSET(卡牌辅助配置表!$AD$1,MATCH(AB2356,卡牌辅助配置表!AB:AB,0)-1,0)</f>
        <v>8960</v>
      </c>
      <c r="AB2356" s="304">
        <f ca="1" t="shared" si="403"/>
        <v>3230</v>
      </c>
      <c r="AC2356" s="153">
        <v>10</v>
      </c>
      <c r="AD2356" s="153">
        <v>3</v>
      </c>
      <c r="AE2356" s="153">
        <v>1</v>
      </c>
      <c r="AF2356" s="153" t="str">
        <f ca="1" t="shared" si="407"/>
        <v>30250011|</v>
      </c>
      <c r="AH2356" s="153">
        <v>2</v>
      </c>
      <c r="AJ2356" s="205">
        <f ca="1" t="shared" si="404"/>
        <v>0</v>
      </c>
      <c r="AK2356" s="205">
        <f ca="1">OFFSET([1]item_type!$A$1,MATCH(Q2356,[1]item_type!$G:$G,0)-1,0)</f>
        <v>303025</v>
      </c>
      <c r="AL2356" s="205"/>
      <c r="AM2356" s="205">
        <f ca="1">IF(B2356=B2357,OFFSET(卡牌辅助配置表!$AE$1,MATCH(AB2356,卡牌辅助配置表!AB:AB,0),0),0)</f>
        <v>0</v>
      </c>
      <c r="AN2356" s="153">
        <f ca="1" t="shared" si="400"/>
        <v>0</v>
      </c>
      <c r="AP2356" s="153" t="str">
        <f ca="1">IF(AC2356=0,0,IF(AC2356=12,0,OFFSET(effect!$N$1,MATCH(K2356,effect!M:M,0)-1,0)))</f>
        <v>kpsx_pt</v>
      </c>
    </row>
    <row r="2357" spans="1:42">
      <c r="A2357" s="153">
        <f ca="1" t="shared" si="401"/>
        <v>3026001</v>
      </c>
      <c r="B2357" s="91" t="s">
        <v>478</v>
      </c>
      <c r="C2357" s="186">
        <v>3</v>
      </c>
      <c r="D2357" s="186">
        <v>2</v>
      </c>
      <c r="E2357" s="165" t="s">
        <v>1069</v>
      </c>
      <c r="F2357" s="165" t="str">
        <f>"每存在1个魂伤害增加"&amp;skill!$O$155/100&amp;"%"</f>
        <v>每存在1个魂伤害增加40%</v>
      </c>
      <c r="G2357" s="186">
        <f ca="1">OFFSET(卡牌辅助配置表!$C$1,MATCH(AC2357,卡牌辅助配置表!A:A,0)-1,0)</f>
        <v>3</v>
      </c>
      <c r="H2357" s="186">
        <f ca="1" t="shared" si="406"/>
        <v>0</v>
      </c>
      <c r="I2357" s="186"/>
      <c r="J2357" s="186">
        <f ca="1">OFFSET(card_type!$F$1,MATCH(Q2357,card_type!A:A,0)-1,0)</f>
        <v>3</v>
      </c>
      <c r="K2357" s="243">
        <f ca="1">OFFSET(card_type!$G$1,MATCH(Q2357,card_type!A:A,0)-1,0)</f>
        <v>4</v>
      </c>
      <c r="L2357" s="157">
        <v>3</v>
      </c>
      <c r="M2357" s="157">
        <v>3</v>
      </c>
      <c r="N2357" s="153">
        <f t="shared" si="408"/>
        <v>1</v>
      </c>
      <c r="O2357" s="157"/>
      <c r="P2357" s="157"/>
      <c r="Q2357" s="153">
        <f ca="1">OFFSET(card_type!$A$1,MATCH(card!B2357,card_type!B:B,0)-1,0)</f>
        <v>3026</v>
      </c>
      <c r="R2357" s="153">
        <v>1</v>
      </c>
      <c r="S2357" s="157">
        <f ca="1">ROUND(IF(R2357=0,0,IF(R2357=1,X2357*$S$1,IF(R2357=2,X2357*$S$1*buff的资质计算!$E$2,IF(R2357=3,X2357*$S$1*buff的资质计算!$E$3,0)))),0)*0</f>
        <v>0</v>
      </c>
      <c r="T2357" s="153">
        <v>2</v>
      </c>
      <c r="U2357" s="153">
        <f ca="1" t="shared" si="402"/>
        <v>34</v>
      </c>
      <c r="V2357" s="153">
        <f ca="1">ROUND((OFFSET(卡牌辅助配置表!$O$1,MATCH(U2357,卡牌辅助配置表!M:M,0)-1,0)+(N2357-1)*OFFSET(卡牌辅助配置表!$P$1,MATCH(U2357,卡牌辅助配置表!M:M,0)-1,0))*M2357,2)</f>
        <v>103.36</v>
      </c>
      <c r="W2357" s="157">
        <f ca="1">ROUND(IF(R2357=0,0,IF(R2357=1,X2357*$W$1,IF(R2357=2,X2357*$W$1*buff的资质计算!$E$2,IF(R2357=3,X2357*$W$1*buff的资质计算!$E$3,0)))),2)</f>
        <v>25.2</v>
      </c>
      <c r="X2357" s="157">
        <f ca="1" t="shared" si="409"/>
        <v>84</v>
      </c>
      <c r="Y2357" s="157">
        <f ca="1" t="shared" si="405"/>
        <v>84</v>
      </c>
      <c r="Z2357" s="304">
        <f ca="1" t="shared" si="410"/>
        <v>28</v>
      </c>
      <c r="AA2357" s="304">
        <f ca="1">OFFSET(卡牌辅助配置表!$AD$1,MATCH(AB2357,卡牌辅助配置表!AB:AB,0)-1,0)</f>
        <v>830</v>
      </c>
      <c r="AB2357" s="304">
        <f ca="1" t="shared" si="403"/>
        <v>3401</v>
      </c>
      <c r="AC2357" s="153">
        <v>10</v>
      </c>
      <c r="AD2357" s="153">
        <v>3</v>
      </c>
      <c r="AE2357" s="153">
        <v>1</v>
      </c>
      <c r="AF2357" s="153" t="str">
        <f ca="1" t="shared" si="407"/>
        <v>30260011|</v>
      </c>
      <c r="AJ2357" s="205" t="str">
        <f ca="1" t="shared" si="404"/>
        <v>400023|2100|;</v>
      </c>
      <c r="AK2357" s="205">
        <f ca="1">OFFSET([1]item_type!$A$1,MATCH(Q2357,[1]item_type!$G:$G,0)-1,0)</f>
        <v>303026</v>
      </c>
      <c r="AL2357" s="205"/>
      <c r="AM2357" s="205">
        <f ca="1">IF(B2357=B2358,OFFSET(卡牌辅助配置表!$AE$1,MATCH(AB2357,卡牌辅助配置表!AB:AB,0),0),0)</f>
        <v>2100</v>
      </c>
      <c r="AN2357" s="153">
        <f ca="1" t="shared" si="400"/>
        <v>3026002</v>
      </c>
      <c r="AP2357" s="153" t="str">
        <f ca="1">IF(AC2357=0,0,IF(AC2357=12,0,OFFSET(effect!$N$1,MATCH(K2357,effect!M:M,0)-1,0)))</f>
        <v>kpsx_huangse</v>
      </c>
    </row>
    <row r="2358" spans="1:42">
      <c r="A2358" s="153">
        <f ca="1" t="shared" si="401"/>
        <v>3026002</v>
      </c>
      <c r="B2358" s="91" t="s">
        <v>478</v>
      </c>
      <c r="C2358" s="186">
        <v>3</v>
      </c>
      <c r="D2358" s="186">
        <v>2</v>
      </c>
      <c r="E2358" s="165" t="s">
        <v>1069</v>
      </c>
      <c r="F2358" s="165" t="str">
        <f>"每存在1个魂伤害增加"&amp;skill!$O$155/100&amp;"%"</f>
        <v>每存在1个魂伤害增加40%</v>
      </c>
      <c r="G2358" s="186">
        <f ca="1">OFFSET(卡牌辅助配置表!$C$1,MATCH(AC2358,卡牌辅助配置表!A:A,0)-1,0)</f>
        <v>3</v>
      </c>
      <c r="H2358" s="186">
        <f ca="1" t="shared" si="406"/>
        <v>0</v>
      </c>
      <c r="I2358" s="186"/>
      <c r="J2358" s="186">
        <f ca="1">OFFSET(card_type!$F$1,MATCH(Q2358,card_type!A:A,0)-1,0)</f>
        <v>3</v>
      </c>
      <c r="K2358" s="243">
        <f ca="1">OFFSET(card_type!$G$1,MATCH(Q2358,card_type!A:A,0)-1,0)</f>
        <v>4</v>
      </c>
      <c r="L2358" s="157">
        <v>3</v>
      </c>
      <c r="M2358" s="157">
        <v>3</v>
      </c>
      <c r="N2358" s="153">
        <f t="shared" si="408"/>
        <v>2</v>
      </c>
      <c r="O2358" s="157"/>
      <c r="P2358" s="157"/>
      <c r="Q2358" s="153">
        <f ca="1">OFFSET(card_type!$A$1,MATCH(card!B2358,card_type!B:B,0)-1,0)</f>
        <v>3026</v>
      </c>
      <c r="R2358" s="153">
        <v>1</v>
      </c>
      <c r="S2358" s="157">
        <f ca="1">ROUND(IF(R2358=0,0,IF(R2358=1,X2358*$S$1,IF(R2358=2,X2358*$S$1*buff的资质计算!$E$2,IF(R2358=3,X2358*$S$1*buff的资质计算!$E$3,0)))),0)*0</f>
        <v>0</v>
      </c>
      <c r="T2358" s="153">
        <v>2</v>
      </c>
      <c r="U2358" s="153">
        <f ca="1" t="shared" si="402"/>
        <v>34</v>
      </c>
      <c r="V2358" s="153">
        <f ca="1">ROUND((OFFSET(卡牌辅助配置表!$O$1,MATCH(U2358,卡牌辅助配置表!M:M,0)-1,0)+(N2358-1)*OFFSET(卡牌辅助配置表!$P$1,MATCH(U2358,卡牌辅助配置表!M:M,0)-1,0))*M2358,2)</f>
        <v>113.8</v>
      </c>
      <c r="W2358" s="157">
        <f ca="1">ROUND(IF(R2358=0,0,IF(R2358=1,X2358*$W$1,IF(R2358=2,X2358*$W$1*buff的资质计算!$E$2,IF(R2358=3,X2358*$W$1*buff的资质计算!$E$3,0)))),2)</f>
        <v>25.35</v>
      </c>
      <c r="X2358" s="157">
        <f ca="1" t="shared" si="409"/>
        <v>84.5</v>
      </c>
      <c r="Y2358" s="157">
        <f ca="1" t="shared" si="405"/>
        <v>84.5</v>
      </c>
      <c r="Z2358" s="304">
        <f ca="1" t="shared" si="410"/>
        <v>28.1666666666667</v>
      </c>
      <c r="AA2358" s="304">
        <f ca="1">OFFSET(卡牌辅助配置表!$AD$1,MATCH(AB2358,卡牌辅助配置表!AB:AB,0)-1,0)</f>
        <v>1660</v>
      </c>
      <c r="AB2358" s="304">
        <f ca="1" t="shared" si="403"/>
        <v>3402</v>
      </c>
      <c r="AC2358" s="153">
        <v>10</v>
      </c>
      <c r="AD2358" s="153">
        <v>3</v>
      </c>
      <c r="AE2358" s="153">
        <v>1</v>
      </c>
      <c r="AF2358" s="153" t="str">
        <f ca="1" t="shared" si="407"/>
        <v>30260011|</v>
      </c>
      <c r="AJ2358" s="205" t="str">
        <f ca="1" t="shared" si="404"/>
        <v>400023|2700|;</v>
      </c>
      <c r="AK2358" s="205">
        <f ca="1">OFFSET([1]item_type!$A$1,MATCH(Q2358,[1]item_type!$G:$G,0)-1,0)</f>
        <v>303026</v>
      </c>
      <c r="AL2358" s="205"/>
      <c r="AM2358" s="205">
        <f ca="1">IF(B2358=B2359,OFFSET(卡牌辅助配置表!$AE$1,MATCH(AB2358,卡牌辅助配置表!AB:AB,0),0),0)</f>
        <v>2700</v>
      </c>
      <c r="AN2358" s="153">
        <f ca="1" t="shared" si="400"/>
        <v>3026003</v>
      </c>
      <c r="AP2358" s="153" t="str">
        <f ca="1">IF(AC2358=0,0,IF(AC2358=12,0,OFFSET(effect!$N$1,MATCH(K2358,effect!M:M,0)-1,0)))</f>
        <v>kpsx_huangse</v>
      </c>
    </row>
    <row r="2359" spans="1:42">
      <c r="A2359" s="153">
        <f ca="1" t="shared" si="401"/>
        <v>3026003</v>
      </c>
      <c r="B2359" s="91" t="s">
        <v>478</v>
      </c>
      <c r="C2359" s="186">
        <v>3</v>
      </c>
      <c r="D2359" s="186">
        <v>2</v>
      </c>
      <c r="E2359" s="165" t="s">
        <v>1069</v>
      </c>
      <c r="F2359" s="165" t="str">
        <f>"每存在1个魂伤害增加"&amp;skill!$O$155/100&amp;"%"</f>
        <v>每存在1个魂伤害增加40%</v>
      </c>
      <c r="G2359" s="186">
        <f ca="1">OFFSET(卡牌辅助配置表!$C$1,MATCH(AC2359,卡牌辅助配置表!A:A,0)-1,0)</f>
        <v>3</v>
      </c>
      <c r="H2359" s="186">
        <f ca="1" t="shared" si="406"/>
        <v>0</v>
      </c>
      <c r="I2359" s="186"/>
      <c r="J2359" s="186">
        <f ca="1">OFFSET(card_type!$F$1,MATCH(Q2359,card_type!A:A,0)-1,0)</f>
        <v>3</v>
      </c>
      <c r="K2359" s="243">
        <f ca="1">OFFSET(card_type!$G$1,MATCH(Q2359,card_type!A:A,0)-1,0)</f>
        <v>4</v>
      </c>
      <c r="L2359" s="157">
        <v>3</v>
      </c>
      <c r="M2359" s="157">
        <v>3</v>
      </c>
      <c r="N2359" s="153">
        <f t="shared" si="408"/>
        <v>3</v>
      </c>
      <c r="O2359" s="157"/>
      <c r="P2359" s="157"/>
      <c r="Q2359" s="153">
        <f ca="1">OFFSET(card_type!$A$1,MATCH(card!B2359,card_type!B:B,0)-1,0)</f>
        <v>3026</v>
      </c>
      <c r="R2359" s="153">
        <v>1</v>
      </c>
      <c r="S2359" s="157">
        <f ca="1">ROUND(IF(R2359=0,0,IF(R2359=1,X2359*$S$1,IF(R2359=2,X2359*$S$1*buff的资质计算!$E$2,IF(R2359=3,X2359*$S$1*buff的资质计算!$E$3,0)))),0)*0</f>
        <v>0</v>
      </c>
      <c r="T2359" s="153">
        <v>2</v>
      </c>
      <c r="U2359" s="153">
        <f ca="1" t="shared" si="402"/>
        <v>34</v>
      </c>
      <c r="V2359" s="153">
        <f ca="1">ROUND((OFFSET(卡牌辅助配置表!$O$1,MATCH(U2359,卡牌辅助配置表!M:M,0)-1,0)+(N2359-1)*OFFSET(卡牌辅助配置表!$P$1,MATCH(U2359,卡牌辅助配置表!M:M,0)-1,0))*M2359,2)</f>
        <v>124.24</v>
      </c>
      <c r="W2359" s="157">
        <f ca="1">ROUND(IF(R2359=0,0,IF(R2359=1,X2359*$W$1,IF(R2359=2,X2359*$W$1*buff的资质计算!$E$2,IF(R2359=3,X2359*$W$1*buff的资质计算!$E$3,0)))),2)</f>
        <v>25.5</v>
      </c>
      <c r="X2359" s="157">
        <f ca="1" t="shared" si="409"/>
        <v>85</v>
      </c>
      <c r="Y2359" s="157">
        <f ca="1" t="shared" si="405"/>
        <v>85</v>
      </c>
      <c r="Z2359" s="304">
        <f ca="1" t="shared" si="410"/>
        <v>28.3333333333333</v>
      </c>
      <c r="AA2359" s="304">
        <f ca="1">OFFSET(卡牌辅助配置表!$AD$1,MATCH(AB2359,卡牌辅助配置表!AB:AB,0)-1,0)</f>
        <v>2490</v>
      </c>
      <c r="AB2359" s="304">
        <f ca="1" t="shared" si="403"/>
        <v>3403</v>
      </c>
      <c r="AC2359" s="153">
        <v>10</v>
      </c>
      <c r="AD2359" s="153">
        <v>3</v>
      </c>
      <c r="AE2359" s="153">
        <v>1</v>
      </c>
      <c r="AF2359" s="153" t="str">
        <f ca="1" t="shared" ref="AF2359:AF2386" si="411">((Q2359*1000+1)*10+1)&amp;$AF$1</f>
        <v>30260011|</v>
      </c>
      <c r="AJ2359" s="205" t="str">
        <f ca="1" t="shared" si="404"/>
        <v>400023|3300|;</v>
      </c>
      <c r="AK2359" s="205">
        <f ca="1">OFFSET([1]item_type!$A$1,MATCH(Q2359,[1]item_type!$G:$G,0)-1,0)</f>
        <v>303026</v>
      </c>
      <c r="AL2359" s="205"/>
      <c r="AM2359" s="205">
        <f ca="1">IF(B2359=B2360,OFFSET(卡牌辅助配置表!$AE$1,MATCH(AB2359,卡牌辅助配置表!AB:AB,0),0),0)</f>
        <v>3300</v>
      </c>
      <c r="AN2359" s="153">
        <f ca="1" t="shared" si="400"/>
        <v>3026004</v>
      </c>
      <c r="AP2359" s="153" t="str">
        <f ca="1">IF(AC2359=0,0,IF(AC2359=12,0,OFFSET(effect!$N$1,MATCH(K2359,effect!M:M,0)-1,0)))</f>
        <v>kpsx_huangse</v>
      </c>
    </row>
    <row r="2360" spans="1:42">
      <c r="A2360" s="153">
        <f ca="1" t="shared" si="401"/>
        <v>3026004</v>
      </c>
      <c r="B2360" s="91" t="s">
        <v>478</v>
      </c>
      <c r="C2360" s="186">
        <v>3</v>
      </c>
      <c r="D2360" s="186">
        <v>2</v>
      </c>
      <c r="E2360" s="165" t="s">
        <v>1069</v>
      </c>
      <c r="F2360" s="165" t="str">
        <f>"每存在1个魂伤害增加"&amp;skill!$O$155/100&amp;"%"</f>
        <v>每存在1个魂伤害增加40%</v>
      </c>
      <c r="G2360" s="186">
        <f ca="1">OFFSET(卡牌辅助配置表!$C$1,MATCH(AC2360,卡牌辅助配置表!A:A,0)-1,0)</f>
        <v>3</v>
      </c>
      <c r="H2360" s="186">
        <f ca="1" t="shared" si="406"/>
        <v>0</v>
      </c>
      <c r="I2360" s="186"/>
      <c r="J2360" s="186">
        <f ca="1">OFFSET(card_type!$F$1,MATCH(Q2360,card_type!A:A,0)-1,0)</f>
        <v>3</v>
      </c>
      <c r="K2360" s="243">
        <f ca="1">OFFSET(card_type!$G$1,MATCH(Q2360,card_type!A:A,0)-1,0)</f>
        <v>4</v>
      </c>
      <c r="L2360" s="157">
        <v>3</v>
      </c>
      <c r="M2360" s="157">
        <v>3</v>
      </c>
      <c r="N2360" s="153">
        <f t="shared" si="408"/>
        <v>4</v>
      </c>
      <c r="O2360" s="157"/>
      <c r="P2360" s="157"/>
      <c r="Q2360" s="153">
        <f ca="1">OFFSET(card_type!$A$1,MATCH(card!B2360,card_type!B:B,0)-1,0)</f>
        <v>3026</v>
      </c>
      <c r="R2360" s="153">
        <v>1</v>
      </c>
      <c r="S2360" s="157">
        <f ca="1">ROUND(IF(R2360=0,0,IF(R2360=1,X2360*$S$1,IF(R2360=2,X2360*$S$1*buff的资质计算!$E$2,IF(R2360=3,X2360*$S$1*buff的资质计算!$E$3,0)))),0)*0</f>
        <v>0</v>
      </c>
      <c r="T2360" s="153">
        <v>2</v>
      </c>
      <c r="U2360" s="153">
        <f ca="1" t="shared" si="402"/>
        <v>34</v>
      </c>
      <c r="V2360" s="153">
        <f ca="1">ROUND((OFFSET(卡牌辅助配置表!$O$1,MATCH(U2360,卡牌辅助配置表!M:M,0)-1,0)+(N2360-1)*OFFSET(卡牌辅助配置表!$P$1,MATCH(U2360,卡牌辅助配置表!M:M,0)-1,0))*M2360,2)</f>
        <v>134.68</v>
      </c>
      <c r="W2360" s="157">
        <f ca="1">ROUND(IF(R2360=0,0,IF(R2360=1,X2360*$W$1,IF(R2360=2,X2360*$W$1*buff的资质计算!$E$2,IF(R2360=3,X2360*$W$1*buff的资质计算!$E$3,0)))),2)</f>
        <v>25.65</v>
      </c>
      <c r="X2360" s="157">
        <f ca="1" t="shared" si="409"/>
        <v>85.5</v>
      </c>
      <c r="Y2360" s="157">
        <f ca="1" t="shared" si="405"/>
        <v>85.5</v>
      </c>
      <c r="Z2360" s="304">
        <f ca="1" t="shared" si="410"/>
        <v>28.5</v>
      </c>
      <c r="AA2360" s="304">
        <f ca="1">OFFSET(卡牌辅助配置表!$AD$1,MATCH(AB2360,卡牌辅助配置表!AB:AB,0)-1,0)</f>
        <v>3320</v>
      </c>
      <c r="AB2360" s="304">
        <f ca="1" t="shared" si="403"/>
        <v>3404</v>
      </c>
      <c r="AC2360" s="153">
        <v>10</v>
      </c>
      <c r="AD2360" s="153">
        <v>3</v>
      </c>
      <c r="AE2360" s="153">
        <v>1</v>
      </c>
      <c r="AF2360" s="153" t="str">
        <f ca="1" t="shared" si="411"/>
        <v>30260011|</v>
      </c>
      <c r="AJ2360" s="205" t="str">
        <f ca="1" t="shared" si="404"/>
        <v>400023|3900|;</v>
      </c>
      <c r="AK2360" s="205">
        <f ca="1">OFFSET([1]item_type!$A$1,MATCH(Q2360,[1]item_type!$G:$G,0)-1,0)</f>
        <v>303026</v>
      </c>
      <c r="AL2360" s="205"/>
      <c r="AM2360" s="205">
        <f ca="1">IF(B2360=B2361,OFFSET(卡牌辅助配置表!$AE$1,MATCH(AB2360,卡牌辅助配置表!AB:AB,0),0),0)</f>
        <v>3900</v>
      </c>
      <c r="AN2360" s="153">
        <f ca="1" t="shared" si="400"/>
        <v>3026005</v>
      </c>
      <c r="AP2360" s="153" t="str">
        <f ca="1">IF(AC2360=0,0,IF(AC2360=12,0,OFFSET(effect!$N$1,MATCH(K2360,effect!M:M,0)-1,0)))</f>
        <v>kpsx_huangse</v>
      </c>
    </row>
    <row r="2361" spans="1:42">
      <c r="A2361" s="153">
        <f ca="1" t="shared" si="401"/>
        <v>3026005</v>
      </c>
      <c r="B2361" s="91" t="s">
        <v>478</v>
      </c>
      <c r="C2361" s="186">
        <v>3</v>
      </c>
      <c r="D2361" s="186">
        <v>2</v>
      </c>
      <c r="E2361" s="165" t="s">
        <v>1069</v>
      </c>
      <c r="F2361" s="165" t="str">
        <f>"每存在1个魂伤害增加"&amp;skill!$O$155/100&amp;"%"</f>
        <v>每存在1个魂伤害增加40%</v>
      </c>
      <c r="G2361" s="186">
        <f ca="1">OFFSET(卡牌辅助配置表!$C$1,MATCH(AC2361,卡牌辅助配置表!A:A,0)-1,0)</f>
        <v>3</v>
      </c>
      <c r="H2361" s="186">
        <f ca="1" t="shared" si="406"/>
        <v>0</v>
      </c>
      <c r="I2361" s="186"/>
      <c r="J2361" s="186">
        <f ca="1">OFFSET(card_type!$F$1,MATCH(Q2361,card_type!A:A,0)-1,0)</f>
        <v>3</v>
      </c>
      <c r="K2361" s="243">
        <f ca="1">OFFSET(card_type!$G$1,MATCH(Q2361,card_type!A:A,0)-1,0)</f>
        <v>4</v>
      </c>
      <c r="L2361" s="157">
        <v>3</v>
      </c>
      <c r="M2361" s="157">
        <v>3</v>
      </c>
      <c r="N2361" s="153">
        <f t="shared" si="408"/>
        <v>5</v>
      </c>
      <c r="O2361" s="157"/>
      <c r="P2361" s="157"/>
      <c r="Q2361" s="153">
        <f ca="1">OFFSET(card_type!$A$1,MATCH(card!B2361,card_type!B:B,0)-1,0)</f>
        <v>3026</v>
      </c>
      <c r="R2361" s="153">
        <v>1</v>
      </c>
      <c r="S2361" s="157">
        <f ca="1">ROUND(IF(R2361=0,0,IF(R2361=1,X2361*$S$1,IF(R2361=2,X2361*$S$1*buff的资质计算!$E$2,IF(R2361=3,X2361*$S$1*buff的资质计算!$E$3,0)))),0)*0</f>
        <v>0</v>
      </c>
      <c r="T2361" s="153">
        <v>2</v>
      </c>
      <c r="U2361" s="153">
        <f ca="1" t="shared" si="402"/>
        <v>34</v>
      </c>
      <c r="V2361" s="153">
        <f ca="1">ROUND((OFFSET(卡牌辅助配置表!$O$1,MATCH(U2361,卡牌辅助配置表!M:M,0)-1,0)+(N2361-1)*OFFSET(卡牌辅助配置表!$P$1,MATCH(U2361,卡牌辅助配置表!M:M,0)-1,0))*M2361,2)</f>
        <v>145.12</v>
      </c>
      <c r="W2361" s="157">
        <f ca="1">ROUND(IF(R2361=0,0,IF(R2361=1,X2361*$W$1,IF(R2361=2,X2361*$W$1*buff的资质计算!$E$2,IF(R2361=3,X2361*$W$1*buff的资质计算!$E$3,0)))),2)</f>
        <v>25.8</v>
      </c>
      <c r="X2361" s="157">
        <f ca="1" t="shared" si="409"/>
        <v>86</v>
      </c>
      <c r="Y2361" s="157">
        <f ca="1" t="shared" si="405"/>
        <v>86</v>
      </c>
      <c r="Z2361" s="304">
        <f ca="1" t="shared" si="410"/>
        <v>28.6666666666667</v>
      </c>
      <c r="AA2361" s="304">
        <f ca="1">OFFSET(卡牌辅助配置表!$AD$1,MATCH(AB2361,卡牌辅助配置表!AB:AB,0)-1,0)</f>
        <v>4150</v>
      </c>
      <c r="AB2361" s="304">
        <f ca="1" t="shared" si="403"/>
        <v>3405</v>
      </c>
      <c r="AC2361" s="153">
        <v>10</v>
      </c>
      <c r="AD2361" s="153">
        <v>3</v>
      </c>
      <c r="AE2361" s="153">
        <v>1</v>
      </c>
      <c r="AF2361" s="153" t="str">
        <f ca="1" t="shared" si="411"/>
        <v>30260011|</v>
      </c>
      <c r="AJ2361" s="205" t="str">
        <f ca="1" t="shared" si="404"/>
        <v>400023|4500|;</v>
      </c>
      <c r="AK2361" s="205">
        <f ca="1">OFFSET([1]item_type!$A$1,MATCH(Q2361,[1]item_type!$G:$G,0)-1,0)</f>
        <v>303026</v>
      </c>
      <c r="AL2361" s="205"/>
      <c r="AM2361" s="205">
        <f ca="1">IF(B2361=B2362,OFFSET(卡牌辅助配置表!$AE$1,MATCH(AB2361,卡牌辅助配置表!AB:AB,0),0),0)</f>
        <v>4500</v>
      </c>
      <c r="AN2361" s="153">
        <f ca="1" t="shared" si="400"/>
        <v>3026006</v>
      </c>
      <c r="AP2361" s="153" t="str">
        <f ca="1">IF(AC2361=0,0,IF(AC2361=12,0,OFFSET(effect!$N$1,MATCH(K2361,effect!M:M,0)-1,0)))</f>
        <v>kpsx_huangse</v>
      </c>
    </row>
    <row r="2362" spans="1:42">
      <c r="A2362" s="153">
        <f ca="1" t="shared" si="401"/>
        <v>3026006</v>
      </c>
      <c r="B2362" s="91" t="s">
        <v>478</v>
      </c>
      <c r="C2362" s="186">
        <v>3</v>
      </c>
      <c r="D2362" s="186">
        <v>2</v>
      </c>
      <c r="E2362" s="165" t="s">
        <v>1069</v>
      </c>
      <c r="F2362" s="165" t="str">
        <f>"每存在1个魂伤害增加"&amp;skill!$O$155/100&amp;"%"</f>
        <v>每存在1个魂伤害增加40%</v>
      </c>
      <c r="G2362" s="186">
        <f ca="1">OFFSET(卡牌辅助配置表!$C$1,MATCH(AC2362,卡牌辅助配置表!A:A,0)-1,0)</f>
        <v>3</v>
      </c>
      <c r="H2362" s="186">
        <f ca="1" t="shared" si="406"/>
        <v>0</v>
      </c>
      <c r="I2362" s="186"/>
      <c r="J2362" s="186">
        <f ca="1">OFFSET(card_type!$F$1,MATCH(Q2362,card_type!A:A,0)-1,0)</f>
        <v>3</v>
      </c>
      <c r="K2362" s="243">
        <f ca="1">OFFSET(card_type!$G$1,MATCH(Q2362,card_type!A:A,0)-1,0)</f>
        <v>4</v>
      </c>
      <c r="L2362" s="157">
        <v>3</v>
      </c>
      <c r="M2362" s="157">
        <v>3</v>
      </c>
      <c r="N2362" s="153">
        <f t="shared" si="408"/>
        <v>6</v>
      </c>
      <c r="O2362" s="157"/>
      <c r="P2362" s="157"/>
      <c r="Q2362" s="153">
        <f ca="1">OFFSET(card_type!$A$1,MATCH(card!B2362,card_type!B:B,0)-1,0)</f>
        <v>3026</v>
      </c>
      <c r="R2362" s="153">
        <v>1</v>
      </c>
      <c r="S2362" s="157">
        <f ca="1">ROUND(IF(R2362=0,0,IF(R2362=1,X2362*$S$1,IF(R2362=2,X2362*$S$1*buff的资质计算!$E$2,IF(R2362=3,X2362*$S$1*buff的资质计算!$E$3,0)))),0)*0</f>
        <v>0</v>
      </c>
      <c r="T2362" s="153">
        <v>2</v>
      </c>
      <c r="U2362" s="153">
        <f ca="1" t="shared" si="402"/>
        <v>34</v>
      </c>
      <c r="V2362" s="153">
        <f ca="1">ROUND((OFFSET(卡牌辅助配置表!$O$1,MATCH(U2362,卡牌辅助配置表!M:M,0)-1,0)+(N2362-1)*OFFSET(卡牌辅助配置表!$P$1,MATCH(U2362,卡牌辅助配置表!M:M,0)-1,0))*M2362,2)</f>
        <v>155.56</v>
      </c>
      <c r="W2362" s="157">
        <f ca="1">ROUND(IF(R2362=0,0,IF(R2362=1,X2362*$W$1,IF(R2362=2,X2362*$W$1*buff的资质计算!$E$2,IF(R2362=3,X2362*$W$1*buff的资质计算!$E$3,0)))),2)</f>
        <v>25.95</v>
      </c>
      <c r="X2362" s="157">
        <f ca="1" t="shared" si="409"/>
        <v>86.5</v>
      </c>
      <c r="Y2362" s="157">
        <f ca="1" t="shared" si="405"/>
        <v>86.5</v>
      </c>
      <c r="Z2362" s="304">
        <f ca="1" t="shared" si="410"/>
        <v>28.8333333333333</v>
      </c>
      <c r="AA2362" s="304">
        <f ca="1">OFFSET(卡牌辅助配置表!$AD$1,MATCH(AB2362,卡牌辅助配置表!AB:AB,0)-1,0)</f>
        <v>4980</v>
      </c>
      <c r="AB2362" s="304">
        <f ca="1" t="shared" si="403"/>
        <v>3406</v>
      </c>
      <c r="AC2362" s="153">
        <v>10</v>
      </c>
      <c r="AD2362" s="153">
        <v>3</v>
      </c>
      <c r="AE2362" s="153">
        <v>1</v>
      </c>
      <c r="AF2362" s="153" t="str">
        <f ca="1" t="shared" si="411"/>
        <v>30260011|</v>
      </c>
      <c r="AJ2362" s="205" t="str">
        <f ca="1" t="shared" si="404"/>
        <v>400023|5100|;</v>
      </c>
      <c r="AK2362" s="205">
        <f ca="1">OFFSET([1]item_type!$A$1,MATCH(Q2362,[1]item_type!$G:$G,0)-1,0)</f>
        <v>303026</v>
      </c>
      <c r="AL2362" s="205"/>
      <c r="AM2362" s="205">
        <f ca="1">IF(B2362=B2363,OFFSET(卡牌辅助配置表!$AE$1,MATCH(AB2362,卡牌辅助配置表!AB:AB,0),0),0)</f>
        <v>5100</v>
      </c>
      <c r="AN2362" s="153">
        <f ca="1" t="shared" si="400"/>
        <v>3026007</v>
      </c>
      <c r="AP2362" s="153" t="str">
        <f ca="1">IF(AC2362=0,0,IF(AC2362=12,0,OFFSET(effect!$N$1,MATCH(K2362,effect!M:M,0)-1,0)))</f>
        <v>kpsx_huangse</v>
      </c>
    </row>
    <row r="2363" spans="1:42">
      <c r="A2363" s="153">
        <f ca="1" t="shared" si="401"/>
        <v>3026007</v>
      </c>
      <c r="B2363" s="91" t="s">
        <v>478</v>
      </c>
      <c r="C2363" s="186">
        <v>3</v>
      </c>
      <c r="D2363" s="186">
        <v>2</v>
      </c>
      <c r="E2363" s="165" t="s">
        <v>1069</v>
      </c>
      <c r="F2363" s="165" t="str">
        <f>"每存在1个魂伤害增加"&amp;skill!$O$155/100&amp;"%"</f>
        <v>每存在1个魂伤害增加40%</v>
      </c>
      <c r="G2363" s="186">
        <f ca="1">OFFSET(卡牌辅助配置表!$C$1,MATCH(AC2363,卡牌辅助配置表!A:A,0)-1,0)</f>
        <v>3</v>
      </c>
      <c r="H2363" s="186">
        <f ca="1" t="shared" si="406"/>
        <v>0</v>
      </c>
      <c r="I2363" s="186"/>
      <c r="J2363" s="186">
        <f ca="1">OFFSET(card_type!$F$1,MATCH(Q2363,card_type!A:A,0)-1,0)</f>
        <v>3</v>
      </c>
      <c r="K2363" s="243">
        <f ca="1">OFFSET(card_type!$G$1,MATCH(Q2363,card_type!A:A,0)-1,0)</f>
        <v>4</v>
      </c>
      <c r="L2363" s="157">
        <v>3</v>
      </c>
      <c r="M2363" s="157">
        <v>3</v>
      </c>
      <c r="N2363" s="153">
        <f t="shared" si="408"/>
        <v>7</v>
      </c>
      <c r="O2363" s="157"/>
      <c r="P2363" s="157"/>
      <c r="Q2363" s="153">
        <f ca="1">OFFSET(card_type!$A$1,MATCH(card!B2363,card_type!B:B,0)-1,0)</f>
        <v>3026</v>
      </c>
      <c r="R2363" s="153">
        <v>1</v>
      </c>
      <c r="S2363" s="157">
        <f ca="1">ROUND(IF(R2363=0,0,IF(R2363=1,X2363*$S$1,IF(R2363=2,X2363*$S$1*buff的资质计算!$E$2,IF(R2363=3,X2363*$S$1*buff的资质计算!$E$3,0)))),0)*0</f>
        <v>0</v>
      </c>
      <c r="T2363" s="153">
        <v>2</v>
      </c>
      <c r="U2363" s="153">
        <f ca="1" t="shared" si="402"/>
        <v>34</v>
      </c>
      <c r="V2363" s="153">
        <f ca="1">ROUND((OFFSET(卡牌辅助配置表!$O$1,MATCH(U2363,卡牌辅助配置表!M:M,0)-1,0)+(N2363-1)*OFFSET(卡牌辅助配置表!$P$1,MATCH(U2363,卡牌辅助配置表!M:M,0)-1,0))*M2363,2)</f>
        <v>166</v>
      </c>
      <c r="W2363" s="157">
        <f ca="1">ROUND(IF(R2363=0,0,IF(R2363=1,X2363*$W$1,IF(R2363=2,X2363*$W$1*buff的资质计算!$E$2,IF(R2363=3,X2363*$W$1*buff的资质计算!$E$3,0)))),2)</f>
        <v>26.1</v>
      </c>
      <c r="X2363" s="157">
        <f ca="1" t="shared" si="409"/>
        <v>87</v>
      </c>
      <c r="Y2363" s="157">
        <f ca="1" t="shared" si="405"/>
        <v>87</v>
      </c>
      <c r="Z2363" s="304">
        <f ca="1" t="shared" si="410"/>
        <v>29</v>
      </c>
      <c r="AA2363" s="304">
        <f ca="1">OFFSET(卡牌辅助配置表!$AD$1,MATCH(AB2363,卡牌辅助配置表!AB:AB,0)-1,0)</f>
        <v>5810</v>
      </c>
      <c r="AB2363" s="304">
        <f ca="1" t="shared" si="403"/>
        <v>3407</v>
      </c>
      <c r="AC2363" s="153">
        <v>10</v>
      </c>
      <c r="AD2363" s="153">
        <v>3</v>
      </c>
      <c r="AE2363" s="153">
        <v>1</v>
      </c>
      <c r="AF2363" s="153" t="str">
        <f ca="1" t="shared" si="411"/>
        <v>30260011|</v>
      </c>
      <c r="AJ2363" s="205" t="str">
        <f ca="1" t="shared" si="404"/>
        <v>400023|5700|;</v>
      </c>
      <c r="AK2363" s="205">
        <f ca="1">OFFSET([1]item_type!$A$1,MATCH(Q2363,[1]item_type!$G:$G,0)-1,0)</f>
        <v>303026</v>
      </c>
      <c r="AL2363" s="205"/>
      <c r="AM2363" s="205">
        <f ca="1">IF(B2363=B2364,OFFSET(卡牌辅助配置表!$AE$1,MATCH(AB2363,卡牌辅助配置表!AB:AB,0),0),0)</f>
        <v>5700</v>
      </c>
      <c r="AN2363" s="153">
        <f ca="1" t="shared" si="400"/>
        <v>3026008</v>
      </c>
      <c r="AP2363" s="153" t="str">
        <f ca="1">IF(AC2363=0,0,IF(AC2363=12,0,OFFSET(effect!$N$1,MATCH(K2363,effect!M:M,0)-1,0)))</f>
        <v>kpsx_huangse</v>
      </c>
    </row>
    <row r="2364" spans="1:42">
      <c r="A2364" s="153">
        <f ca="1" t="shared" si="401"/>
        <v>3026008</v>
      </c>
      <c r="B2364" s="91" t="s">
        <v>478</v>
      </c>
      <c r="C2364" s="186">
        <v>3</v>
      </c>
      <c r="D2364" s="186">
        <v>2</v>
      </c>
      <c r="E2364" s="165" t="s">
        <v>1069</v>
      </c>
      <c r="F2364" s="165" t="str">
        <f>"每存在1个魂伤害增加"&amp;skill!$O$155/100&amp;"%"</f>
        <v>每存在1个魂伤害增加40%</v>
      </c>
      <c r="G2364" s="186">
        <f ca="1">OFFSET(卡牌辅助配置表!$C$1,MATCH(AC2364,卡牌辅助配置表!A:A,0)-1,0)</f>
        <v>3</v>
      </c>
      <c r="H2364" s="186">
        <f ca="1" t="shared" si="406"/>
        <v>0</v>
      </c>
      <c r="I2364" s="186"/>
      <c r="J2364" s="186">
        <f ca="1">OFFSET(card_type!$F$1,MATCH(Q2364,card_type!A:A,0)-1,0)</f>
        <v>3</v>
      </c>
      <c r="K2364" s="243">
        <f ca="1">OFFSET(card_type!$G$1,MATCH(Q2364,card_type!A:A,0)-1,0)</f>
        <v>4</v>
      </c>
      <c r="L2364" s="157">
        <v>3</v>
      </c>
      <c r="M2364" s="157">
        <v>3</v>
      </c>
      <c r="N2364" s="153">
        <f t="shared" si="408"/>
        <v>8</v>
      </c>
      <c r="O2364" s="157"/>
      <c r="P2364" s="157"/>
      <c r="Q2364" s="153">
        <f ca="1">OFFSET(card_type!$A$1,MATCH(card!B2364,card_type!B:B,0)-1,0)</f>
        <v>3026</v>
      </c>
      <c r="R2364" s="153">
        <v>1</v>
      </c>
      <c r="S2364" s="157">
        <f ca="1">ROUND(IF(R2364=0,0,IF(R2364=1,X2364*$S$1,IF(R2364=2,X2364*$S$1*buff的资质计算!$E$2,IF(R2364=3,X2364*$S$1*buff的资质计算!$E$3,0)))),0)*0</f>
        <v>0</v>
      </c>
      <c r="T2364" s="153">
        <v>2</v>
      </c>
      <c r="U2364" s="153">
        <f ca="1" t="shared" si="402"/>
        <v>34</v>
      </c>
      <c r="V2364" s="153">
        <f ca="1">ROUND((OFFSET(卡牌辅助配置表!$O$1,MATCH(U2364,卡牌辅助配置表!M:M,0)-1,0)+(N2364-1)*OFFSET(卡牌辅助配置表!$P$1,MATCH(U2364,卡牌辅助配置表!M:M,0)-1,0))*M2364,2)</f>
        <v>176.44</v>
      </c>
      <c r="W2364" s="157">
        <f ca="1">ROUND(IF(R2364=0,0,IF(R2364=1,X2364*$W$1,IF(R2364=2,X2364*$W$1*buff的资质计算!$E$2,IF(R2364=3,X2364*$W$1*buff的资质计算!$E$3,0)))),2)</f>
        <v>26.25</v>
      </c>
      <c r="X2364" s="157">
        <f ca="1" t="shared" si="409"/>
        <v>87.5</v>
      </c>
      <c r="Y2364" s="157">
        <f ca="1" t="shared" si="405"/>
        <v>87.5</v>
      </c>
      <c r="Z2364" s="304">
        <f ca="1" t="shared" si="410"/>
        <v>29.1666666666667</v>
      </c>
      <c r="AA2364" s="304">
        <f ca="1">OFFSET(卡牌辅助配置表!$AD$1,MATCH(AB2364,卡牌辅助配置表!AB:AB,0)-1,0)</f>
        <v>6640</v>
      </c>
      <c r="AB2364" s="304">
        <f ca="1" t="shared" si="403"/>
        <v>3408</v>
      </c>
      <c r="AC2364" s="153">
        <v>10</v>
      </c>
      <c r="AD2364" s="153">
        <v>3</v>
      </c>
      <c r="AE2364" s="153">
        <v>1</v>
      </c>
      <c r="AF2364" s="153" t="str">
        <f ca="1" t="shared" si="411"/>
        <v>30260011|</v>
      </c>
      <c r="AJ2364" s="205" t="str">
        <f ca="1" t="shared" si="404"/>
        <v>400023|6300|;</v>
      </c>
      <c r="AK2364" s="205">
        <f ca="1">OFFSET([1]item_type!$A$1,MATCH(Q2364,[1]item_type!$G:$G,0)-1,0)</f>
        <v>303026</v>
      </c>
      <c r="AL2364" s="205"/>
      <c r="AM2364" s="205">
        <f ca="1">IF(B2364=B2365,OFFSET(卡牌辅助配置表!$AE$1,MATCH(AB2364,卡牌辅助配置表!AB:AB,0),0),0)</f>
        <v>6300</v>
      </c>
      <c r="AN2364" s="153">
        <f ca="1" t="shared" si="400"/>
        <v>3026009</v>
      </c>
      <c r="AP2364" s="153" t="str">
        <f ca="1">IF(AC2364=0,0,IF(AC2364=12,0,OFFSET(effect!$N$1,MATCH(K2364,effect!M:M,0)-1,0)))</f>
        <v>kpsx_huangse</v>
      </c>
    </row>
    <row r="2365" spans="1:42">
      <c r="A2365" s="153">
        <f ca="1" t="shared" si="401"/>
        <v>3026009</v>
      </c>
      <c r="B2365" s="91" t="s">
        <v>478</v>
      </c>
      <c r="C2365" s="186">
        <v>3</v>
      </c>
      <c r="D2365" s="186">
        <v>2</v>
      </c>
      <c r="E2365" s="165" t="s">
        <v>1069</v>
      </c>
      <c r="F2365" s="165" t="str">
        <f>"每存在1个魂伤害增加"&amp;skill!$O$155/100&amp;"%"</f>
        <v>每存在1个魂伤害增加40%</v>
      </c>
      <c r="G2365" s="186">
        <f ca="1">OFFSET(卡牌辅助配置表!$C$1,MATCH(AC2365,卡牌辅助配置表!A:A,0)-1,0)</f>
        <v>3</v>
      </c>
      <c r="H2365" s="186">
        <f ca="1" t="shared" si="406"/>
        <v>0</v>
      </c>
      <c r="I2365" s="186"/>
      <c r="J2365" s="186">
        <f ca="1">OFFSET(card_type!$F$1,MATCH(Q2365,card_type!A:A,0)-1,0)</f>
        <v>3</v>
      </c>
      <c r="K2365" s="243">
        <f ca="1">OFFSET(card_type!$G$1,MATCH(Q2365,card_type!A:A,0)-1,0)</f>
        <v>4</v>
      </c>
      <c r="L2365" s="157">
        <v>3</v>
      </c>
      <c r="M2365" s="157">
        <v>3</v>
      </c>
      <c r="N2365" s="153">
        <f t="shared" si="408"/>
        <v>9</v>
      </c>
      <c r="O2365" s="157"/>
      <c r="P2365" s="157"/>
      <c r="Q2365" s="153">
        <f ca="1">OFFSET(card_type!$A$1,MATCH(card!B2365,card_type!B:B,0)-1,0)</f>
        <v>3026</v>
      </c>
      <c r="R2365" s="153">
        <v>1</v>
      </c>
      <c r="S2365" s="157">
        <f ca="1">ROUND(IF(R2365=0,0,IF(R2365=1,X2365*$S$1,IF(R2365=2,X2365*$S$1*buff的资质计算!$E$2,IF(R2365=3,X2365*$S$1*buff的资质计算!$E$3,0)))),0)*0</f>
        <v>0</v>
      </c>
      <c r="T2365" s="153">
        <v>2</v>
      </c>
      <c r="U2365" s="153">
        <f ca="1" t="shared" si="402"/>
        <v>34</v>
      </c>
      <c r="V2365" s="153">
        <f ca="1">ROUND((OFFSET(卡牌辅助配置表!$O$1,MATCH(U2365,卡牌辅助配置表!M:M,0)-1,0)+(N2365-1)*OFFSET(卡牌辅助配置表!$P$1,MATCH(U2365,卡牌辅助配置表!M:M,0)-1,0))*M2365,2)</f>
        <v>186.88</v>
      </c>
      <c r="W2365" s="157">
        <f ca="1">ROUND(IF(R2365=0,0,IF(R2365=1,X2365*$W$1,IF(R2365=2,X2365*$W$1*buff的资质计算!$E$2,IF(R2365=3,X2365*$W$1*buff的资质计算!$E$3,0)))),2)</f>
        <v>26.4</v>
      </c>
      <c r="X2365" s="157">
        <f ca="1" t="shared" si="409"/>
        <v>88</v>
      </c>
      <c r="Y2365" s="157">
        <f ca="1" t="shared" si="405"/>
        <v>88</v>
      </c>
      <c r="Z2365" s="304">
        <f ca="1" t="shared" si="410"/>
        <v>29.3333333333333</v>
      </c>
      <c r="AA2365" s="304">
        <f ca="1">OFFSET(卡牌辅助配置表!$AD$1,MATCH(AB2365,卡牌辅助配置表!AB:AB,0)-1,0)</f>
        <v>7470</v>
      </c>
      <c r="AB2365" s="304">
        <f ca="1" t="shared" si="403"/>
        <v>3409</v>
      </c>
      <c r="AC2365" s="153">
        <v>10</v>
      </c>
      <c r="AD2365" s="153">
        <v>3</v>
      </c>
      <c r="AE2365" s="153">
        <v>1</v>
      </c>
      <c r="AF2365" s="153" t="str">
        <f ca="1" t="shared" si="411"/>
        <v>30260011|</v>
      </c>
      <c r="AJ2365" s="205" t="str">
        <f ca="1" t="shared" si="404"/>
        <v>303026|15|;400023|6900|;</v>
      </c>
      <c r="AK2365" s="205">
        <f ca="1">OFFSET([1]item_type!$A$1,MATCH(Q2365,[1]item_type!$G:$G,0)-1,0)</f>
        <v>303026</v>
      </c>
      <c r="AL2365" s="205">
        <v>15</v>
      </c>
      <c r="AM2365" s="205">
        <f ca="1">IF(B2365=B2366,OFFSET(卡牌辅助配置表!$AE$1,MATCH(AB2365,卡牌辅助配置表!AB:AB,0),0),0)</f>
        <v>6900</v>
      </c>
      <c r="AN2365" s="153">
        <f ca="1" t="shared" si="400"/>
        <v>3026010</v>
      </c>
      <c r="AP2365" s="153" t="str">
        <f ca="1">IF(AC2365=0,0,IF(AC2365=12,0,OFFSET(effect!$N$1,MATCH(K2365,effect!M:M,0)-1,0)))</f>
        <v>kpsx_huangse</v>
      </c>
    </row>
    <row r="2366" spans="1:42">
      <c r="A2366" s="153">
        <f ca="1" t="shared" si="401"/>
        <v>3026010</v>
      </c>
      <c r="B2366" s="91" t="s">
        <v>478</v>
      </c>
      <c r="C2366" s="186">
        <v>3</v>
      </c>
      <c r="D2366" s="186">
        <v>2</v>
      </c>
      <c r="E2366" s="165" t="s">
        <v>1069</v>
      </c>
      <c r="F2366" s="165" t="str">
        <f>"每存在1个魂伤害增加"&amp;skill!$O$155/100&amp;"%"</f>
        <v>每存在1个魂伤害增加40%</v>
      </c>
      <c r="G2366" s="186">
        <f ca="1">OFFSET(卡牌辅助配置表!$C$1,MATCH(AC2366,卡牌辅助配置表!A:A,0)-1,0)</f>
        <v>3</v>
      </c>
      <c r="H2366" s="186">
        <f ca="1" t="shared" si="406"/>
        <v>0</v>
      </c>
      <c r="I2366" s="186"/>
      <c r="J2366" s="186">
        <f ca="1">OFFSET(card_type!$F$1,MATCH(Q2366,card_type!A:A,0)-1,0)</f>
        <v>3</v>
      </c>
      <c r="K2366" s="243">
        <f ca="1">OFFSET(card_type!$G$1,MATCH(Q2366,card_type!A:A,0)-1,0)</f>
        <v>4</v>
      </c>
      <c r="L2366" s="157">
        <v>3</v>
      </c>
      <c r="M2366" s="157">
        <v>3</v>
      </c>
      <c r="N2366" s="153">
        <f t="shared" si="408"/>
        <v>10</v>
      </c>
      <c r="O2366" s="157"/>
      <c r="P2366" s="157"/>
      <c r="Q2366" s="153">
        <f ca="1">OFFSET(card_type!$A$1,MATCH(card!B2366,card_type!B:B,0)-1,0)</f>
        <v>3026</v>
      </c>
      <c r="R2366" s="153">
        <v>1</v>
      </c>
      <c r="S2366" s="157">
        <f ca="1">ROUND(IF(R2366=0,0,IF(R2366=1,X2366*$S$1,IF(R2366=2,X2366*$S$1*buff的资质计算!$E$2,IF(R2366=3,X2366*$S$1*buff的资质计算!$E$3,0)))),0)*0</f>
        <v>0</v>
      </c>
      <c r="T2366" s="153">
        <v>2</v>
      </c>
      <c r="U2366" s="153">
        <f ca="1" t="shared" si="402"/>
        <v>34</v>
      </c>
      <c r="V2366" s="153">
        <f ca="1">ROUND((OFFSET(卡牌辅助配置表!$O$1,MATCH(U2366,卡牌辅助配置表!M:M,0)-1,0)+(N2366-1)*OFFSET(卡牌辅助配置表!$P$1,MATCH(U2366,卡牌辅助配置表!M:M,0)-1,0))*M2366,2)</f>
        <v>197.32</v>
      </c>
      <c r="W2366" s="157">
        <f ca="1">ROUND(IF(R2366=0,0,IF(R2366=1,X2366*$W$1,IF(R2366=2,X2366*$W$1*buff的资质计算!$E$2,IF(R2366=3,X2366*$W$1*buff的资质计算!$E$3,0)))),2)</f>
        <v>26.55</v>
      </c>
      <c r="X2366" s="157">
        <f ca="1" t="shared" si="409"/>
        <v>88.5</v>
      </c>
      <c r="Y2366" s="157">
        <f ca="1" t="shared" si="405"/>
        <v>88.5</v>
      </c>
      <c r="Z2366" s="304">
        <f ca="1" t="shared" si="410"/>
        <v>29.5</v>
      </c>
      <c r="AA2366" s="304">
        <f ca="1">OFFSET(卡牌辅助配置表!$AD$1,MATCH(AB2366,卡牌辅助配置表!AB:AB,0)-1,0)</f>
        <v>8300</v>
      </c>
      <c r="AB2366" s="304">
        <f ca="1" t="shared" si="403"/>
        <v>3410</v>
      </c>
      <c r="AC2366" s="153">
        <v>10</v>
      </c>
      <c r="AD2366" s="153">
        <v>3</v>
      </c>
      <c r="AE2366" s="153">
        <v>1</v>
      </c>
      <c r="AF2366" s="153" t="str">
        <f ca="1" t="shared" si="411"/>
        <v>30260011|</v>
      </c>
      <c r="AJ2366" s="205" t="str">
        <f ca="1" t="shared" si="404"/>
        <v>400023|8100|;</v>
      </c>
      <c r="AK2366" s="205">
        <f ca="1">OFFSET([1]item_type!$A$1,MATCH(Q2366,[1]item_type!$G:$G,0)-1,0)</f>
        <v>303026</v>
      </c>
      <c r="AL2366" s="205"/>
      <c r="AM2366" s="205">
        <f ca="1">IF(B2366=B2367,OFFSET(卡牌辅助配置表!$AE$1,MATCH(AB2366,卡牌辅助配置表!AB:AB,0),0),0)</f>
        <v>8100</v>
      </c>
      <c r="AN2366" s="153">
        <f ca="1" t="shared" si="400"/>
        <v>3026011</v>
      </c>
      <c r="AP2366" s="153" t="str">
        <f ca="1">IF(AC2366=0,0,IF(AC2366=12,0,OFFSET(effect!$N$1,MATCH(K2366,effect!M:M,0)-1,0)))</f>
        <v>kpsx_huangse</v>
      </c>
    </row>
    <row r="2367" spans="1:42">
      <c r="A2367" s="153">
        <f ca="1" t="shared" si="401"/>
        <v>3026011</v>
      </c>
      <c r="B2367" s="91" t="s">
        <v>478</v>
      </c>
      <c r="C2367" s="186">
        <v>3</v>
      </c>
      <c r="D2367" s="186">
        <v>2</v>
      </c>
      <c r="E2367" s="165" t="s">
        <v>1069</v>
      </c>
      <c r="F2367" s="165" t="str">
        <f>"每存在1个魂伤害增加"&amp;skill!$O$155/100&amp;"%"</f>
        <v>每存在1个魂伤害增加40%</v>
      </c>
      <c r="G2367" s="186">
        <f ca="1">OFFSET(卡牌辅助配置表!$C$1,MATCH(AC2367,卡牌辅助配置表!A:A,0)-1,0)</f>
        <v>3</v>
      </c>
      <c r="H2367" s="186">
        <f ca="1" t="shared" si="406"/>
        <v>0</v>
      </c>
      <c r="I2367" s="186"/>
      <c r="J2367" s="186">
        <f ca="1">OFFSET(card_type!$F$1,MATCH(Q2367,card_type!A:A,0)-1,0)</f>
        <v>3</v>
      </c>
      <c r="K2367" s="243">
        <f ca="1">OFFSET(card_type!$G$1,MATCH(Q2367,card_type!A:A,0)-1,0)</f>
        <v>4</v>
      </c>
      <c r="L2367" s="157">
        <v>3</v>
      </c>
      <c r="M2367" s="157">
        <v>3</v>
      </c>
      <c r="N2367" s="153">
        <f t="shared" si="408"/>
        <v>11</v>
      </c>
      <c r="O2367" s="157"/>
      <c r="P2367" s="157"/>
      <c r="Q2367" s="153">
        <f ca="1">OFFSET(card_type!$A$1,MATCH(card!B2367,card_type!B:B,0)-1,0)</f>
        <v>3026</v>
      </c>
      <c r="R2367" s="153">
        <v>1</v>
      </c>
      <c r="S2367" s="157">
        <f ca="1">ROUND(IF(R2367=0,0,IF(R2367=1,X2367*$S$1,IF(R2367=2,X2367*$S$1*buff的资质计算!$E$2,IF(R2367=3,X2367*$S$1*buff的资质计算!$E$3,0)))),0)*0</f>
        <v>0</v>
      </c>
      <c r="T2367" s="153">
        <v>2</v>
      </c>
      <c r="U2367" s="153">
        <f ca="1" t="shared" si="402"/>
        <v>34</v>
      </c>
      <c r="V2367" s="153">
        <f ca="1">ROUND((OFFSET(卡牌辅助配置表!$O$1,MATCH(U2367,卡牌辅助配置表!M:M,0)-1,0)+(N2367-1)*OFFSET(卡牌辅助配置表!$P$1,MATCH(U2367,卡牌辅助配置表!M:M,0)-1,0))*M2367,2)</f>
        <v>207.76</v>
      </c>
      <c r="W2367" s="157">
        <f ca="1">ROUND(IF(R2367=0,0,IF(R2367=1,X2367*$W$1,IF(R2367=2,X2367*$W$1*buff的资质计算!$E$2,IF(R2367=3,X2367*$W$1*buff的资质计算!$E$3,0)))),2)</f>
        <v>26.7</v>
      </c>
      <c r="X2367" s="157">
        <f ca="1" t="shared" si="409"/>
        <v>89</v>
      </c>
      <c r="Y2367" s="157">
        <f ca="1" t="shared" si="405"/>
        <v>89</v>
      </c>
      <c r="Z2367" s="304">
        <f ca="1" t="shared" si="410"/>
        <v>29.6666666666667</v>
      </c>
      <c r="AA2367" s="304">
        <f ca="1">OFFSET(卡牌辅助配置表!$AD$1,MATCH(AB2367,卡牌辅助配置表!AB:AB,0)-1,0)</f>
        <v>9545</v>
      </c>
      <c r="AB2367" s="304">
        <f ca="1" t="shared" si="403"/>
        <v>3411</v>
      </c>
      <c r="AC2367" s="153">
        <v>10</v>
      </c>
      <c r="AD2367" s="153">
        <v>3</v>
      </c>
      <c r="AE2367" s="153">
        <v>1</v>
      </c>
      <c r="AF2367" s="153" t="str">
        <f ca="1" t="shared" si="411"/>
        <v>30260011|</v>
      </c>
      <c r="AJ2367" s="205" t="str">
        <f ca="1" t="shared" si="404"/>
        <v>400023|9300|;</v>
      </c>
      <c r="AK2367" s="205">
        <f ca="1">OFFSET([1]item_type!$A$1,MATCH(Q2367,[1]item_type!$G:$G,0)-1,0)</f>
        <v>303026</v>
      </c>
      <c r="AL2367" s="205"/>
      <c r="AM2367" s="205">
        <f ca="1">IF(B2367=B2368,OFFSET(卡牌辅助配置表!$AE$1,MATCH(AB2367,卡牌辅助配置表!AB:AB,0),0),0)</f>
        <v>9300</v>
      </c>
      <c r="AN2367" s="153">
        <f ca="1" t="shared" si="400"/>
        <v>3026012</v>
      </c>
      <c r="AP2367" s="153" t="str">
        <f ca="1">IF(AC2367=0,0,IF(AC2367=12,0,OFFSET(effect!$N$1,MATCH(K2367,effect!M:M,0)-1,0)))</f>
        <v>kpsx_huangse</v>
      </c>
    </row>
    <row r="2368" spans="1:42">
      <c r="A2368" s="153">
        <f ca="1" t="shared" si="401"/>
        <v>3026012</v>
      </c>
      <c r="B2368" s="91" t="s">
        <v>478</v>
      </c>
      <c r="C2368" s="186">
        <v>3</v>
      </c>
      <c r="D2368" s="186">
        <v>2</v>
      </c>
      <c r="E2368" s="165" t="s">
        <v>1069</v>
      </c>
      <c r="F2368" s="165" t="str">
        <f>"每存在1个魂伤害增加"&amp;skill!$O$155/100&amp;"%"</f>
        <v>每存在1个魂伤害增加40%</v>
      </c>
      <c r="G2368" s="186">
        <f ca="1">OFFSET(卡牌辅助配置表!$C$1,MATCH(AC2368,卡牌辅助配置表!A:A,0)-1,0)</f>
        <v>3</v>
      </c>
      <c r="H2368" s="186">
        <f ca="1" t="shared" si="406"/>
        <v>0</v>
      </c>
      <c r="I2368" s="186"/>
      <c r="J2368" s="186">
        <f ca="1">OFFSET(card_type!$F$1,MATCH(Q2368,card_type!A:A,0)-1,0)</f>
        <v>3</v>
      </c>
      <c r="K2368" s="243">
        <f ca="1">OFFSET(card_type!$G$1,MATCH(Q2368,card_type!A:A,0)-1,0)</f>
        <v>4</v>
      </c>
      <c r="L2368" s="157">
        <v>3</v>
      </c>
      <c r="M2368" s="157">
        <v>3</v>
      </c>
      <c r="N2368" s="153">
        <f t="shared" si="408"/>
        <v>12</v>
      </c>
      <c r="O2368" s="157"/>
      <c r="P2368" s="157"/>
      <c r="Q2368" s="153">
        <f ca="1">OFFSET(card_type!$A$1,MATCH(card!B2368,card_type!B:B,0)-1,0)</f>
        <v>3026</v>
      </c>
      <c r="R2368" s="153">
        <v>1</v>
      </c>
      <c r="S2368" s="157">
        <f ca="1">ROUND(IF(R2368=0,0,IF(R2368=1,X2368*$S$1,IF(R2368=2,X2368*$S$1*buff的资质计算!$E$2,IF(R2368=3,X2368*$S$1*buff的资质计算!$E$3,0)))),0)*0</f>
        <v>0</v>
      </c>
      <c r="T2368" s="153">
        <v>2</v>
      </c>
      <c r="U2368" s="153">
        <f ca="1" t="shared" si="402"/>
        <v>34</v>
      </c>
      <c r="V2368" s="153">
        <f ca="1">ROUND((OFFSET(卡牌辅助配置表!$O$1,MATCH(U2368,卡牌辅助配置表!M:M,0)-1,0)+(N2368-1)*OFFSET(卡牌辅助配置表!$P$1,MATCH(U2368,卡牌辅助配置表!M:M,0)-1,0))*M2368,2)</f>
        <v>218.2</v>
      </c>
      <c r="W2368" s="157">
        <f ca="1">ROUND(IF(R2368=0,0,IF(R2368=1,X2368*$W$1,IF(R2368=2,X2368*$W$1*buff的资质计算!$E$2,IF(R2368=3,X2368*$W$1*buff的资质计算!$E$3,0)))),2)</f>
        <v>26.85</v>
      </c>
      <c r="X2368" s="157">
        <f ca="1" t="shared" si="409"/>
        <v>89.5</v>
      </c>
      <c r="Y2368" s="157">
        <f ca="1" t="shared" si="405"/>
        <v>89.5</v>
      </c>
      <c r="Z2368" s="304">
        <f ca="1" t="shared" si="410"/>
        <v>29.8333333333333</v>
      </c>
      <c r="AA2368" s="304">
        <f ca="1">OFFSET(卡牌辅助配置表!$AD$1,MATCH(AB2368,卡牌辅助配置表!AB:AB,0)-1,0)</f>
        <v>10790</v>
      </c>
      <c r="AB2368" s="304">
        <f ca="1" t="shared" si="403"/>
        <v>3412</v>
      </c>
      <c r="AC2368" s="153">
        <v>10</v>
      </c>
      <c r="AD2368" s="153">
        <v>3</v>
      </c>
      <c r="AE2368" s="153">
        <v>1</v>
      </c>
      <c r="AF2368" s="153" t="str">
        <f ca="1" t="shared" si="411"/>
        <v>30260011|</v>
      </c>
      <c r="AJ2368" s="205" t="str">
        <f ca="1" t="shared" si="404"/>
        <v>400023|10500|;</v>
      </c>
      <c r="AK2368" s="205">
        <f ca="1">OFFSET([1]item_type!$A$1,MATCH(Q2368,[1]item_type!$G:$G,0)-1,0)</f>
        <v>303026</v>
      </c>
      <c r="AL2368" s="205"/>
      <c r="AM2368" s="205">
        <f ca="1">IF(B2368=B2369,OFFSET(卡牌辅助配置表!$AE$1,MATCH(AB2368,卡牌辅助配置表!AB:AB,0),0),0)</f>
        <v>10500</v>
      </c>
      <c r="AN2368" s="153">
        <f ca="1" t="shared" si="400"/>
        <v>3026013</v>
      </c>
      <c r="AP2368" s="153" t="str">
        <f ca="1">IF(AC2368=0,0,IF(AC2368=12,0,OFFSET(effect!$N$1,MATCH(K2368,effect!M:M,0)-1,0)))</f>
        <v>kpsx_huangse</v>
      </c>
    </row>
    <row r="2369" spans="1:42">
      <c r="A2369" s="153">
        <f ca="1" t="shared" si="401"/>
        <v>3026013</v>
      </c>
      <c r="B2369" s="91" t="s">
        <v>478</v>
      </c>
      <c r="C2369" s="186">
        <v>3</v>
      </c>
      <c r="D2369" s="186">
        <v>2</v>
      </c>
      <c r="E2369" s="165" t="s">
        <v>1069</v>
      </c>
      <c r="F2369" s="165" t="str">
        <f>"每存在1个魂伤害增加"&amp;skill!$O$155/100&amp;"%"</f>
        <v>每存在1个魂伤害增加40%</v>
      </c>
      <c r="G2369" s="186">
        <f ca="1">OFFSET(卡牌辅助配置表!$C$1,MATCH(AC2369,卡牌辅助配置表!A:A,0)-1,0)</f>
        <v>3</v>
      </c>
      <c r="H2369" s="186">
        <f ca="1" t="shared" si="406"/>
        <v>0</v>
      </c>
      <c r="I2369" s="186"/>
      <c r="J2369" s="186">
        <f ca="1">OFFSET(card_type!$F$1,MATCH(Q2369,card_type!A:A,0)-1,0)</f>
        <v>3</v>
      </c>
      <c r="K2369" s="243">
        <f ca="1">OFFSET(card_type!$G$1,MATCH(Q2369,card_type!A:A,0)-1,0)</f>
        <v>4</v>
      </c>
      <c r="L2369" s="157">
        <v>3</v>
      </c>
      <c r="M2369" s="157">
        <v>3</v>
      </c>
      <c r="N2369" s="153">
        <f t="shared" si="408"/>
        <v>13</v>
      </c>
      <c r="O2369" s="157"/>
      <c r="P2369" s="157"/>
      <c r="Q2369" s="153">
        <f ca="1">OFFSET(card_type!$A$1,MATCH(card!B2369,card_type!B:B,0)-1,0)</f>
        <v>3026</v>
      </c>
      <c r="R2369" s="153">
        <v>1</v>
      </c>
      <c r="S2369" s="157">
        <f ca="1">ROUND(IF(R2369=0,0,IF(R2369=1,X2369*$S$1,IF(R2369=2,X2369*$S$1*buff的资质计算!$E$2,IF(R2369=3,X2369*$S$1*buff的资质计算!$E$3,0)))),0)*0</f>
        <v>0</v>
      </c>
      <c r="T2369" s="153">
        <v>2</v>
      </c>
      <c r="U2369" s="153">
        <f ca="1" t="shared" si="402"/>
        <v>34</v>
      </c>
      <c r="V2369" s="153">
        <f ca="1">ROUND((OFFSET(卡牌辅助配置表!$O$1,MATCH(U2369,卡牌辅助配置表!M:M,0)-1,0)+(N2369-1)*OFFSET(卡牌辅助配置表!$P$1,MATCH(U2369,卡牌辅助配置表!M:M,0)-1,0))*M2369,2)</f>
        <v>228.64</v>
      </c>
      <c r="W2369" s="157">
        <f ca="1">ROUND(IF(R2369=0,0,IF(R2369=1,X2369*$W$1,IF(R2369=2,X2369*$W$1*buff的资质计算!$E$2,IF(R2369=3,X2369*$W$1*buff的资质计算!$E$3,0)))),2)</f>
        <v>27</v>
      </c>
      <c r="X2369" s="157">
        <f ca="1" t="shared" si="409"/>
        <v>90</v>
      </c>
      <c r="Y2369" s="157">
        <f ca="1" t="shared" si="405"/>
        <v>90</v>
      </c>
      <c r="Z2369" s="304">
        <f ca="1" t="shared" si="410"/>
        <v>30</v>
      </c>
      <c r="AA2369" s="304">
        <f ca="1">OFFSET(卡牌辅助配置表!$AD$1,MATCH(AB2369,卡牌辅助配置表!AB:AB,0)-1,0)</f>
        <v>12035</v>
      </c>
      <c r="AB2369" s="304">
        <f ca="1" t="shared" si="403"/>
        <v>3413</v>
      </c>
      <c r="AC2369" s="153">
        <v>10</v>
      </c>
      <c r="AD2369" s="153">
        <v>3</v>
      </c>
      <c r="AE2369" s="153">
        <v>1</v>
      </c>
      <c r="AF2369" s="153" t="str">
        <f ca="1" t="shared" si="411"/>
        <v>30260011|</v>
      </c>
      <c r="AJ2369" s="205" t="str">
        <f ca="1" t="shared" si="404"/>
        <v>400023|11700|;</v>
      </c>
      <c r="AK2369" s="205">
        <f ca="1">OFFSET([1]item_type!$A$1,MATCH(Q2369,[1]item_type!$G:$G,0)-1,0)</f>
        <v>303026</v>
      </c>
      <c r="AL2369" s="205"/>
      <c r="AM2369" s="205">
        <f ca="1">IF(B2369=B2370,OFFSET(卡牌辅助配置表!$AE$1,MATCH(AB2369,卡牌辅助配置表!AB:AB,0),0),0)</f>
        <v>11700</v>
      </c>
      <c r="AN2369" s="153">
        <f ca="1" t="shared" si="400"/>
        <v>3026014</v>
      </c>
      <c r="AP2369" s="153" t="str">
        <f ca="1">IF(AC2369=0,0,IF(AC2369=12,0,OFFSET(effect!$N$1,MATCH(K2369,effect!M:M,0)-1,0)))</f>
        <v>kpsx_huangse</v>
      </c>
    </row>
    <row r="2370" spans="1:42">
      <c r="A2370" s="153">
        <f ca="1" t="shared" si="401"/>
        <v>3026014</v>
      </c>
      <c r="B2370" s="91" t="s">
        <v>478</v>
      </c>
      <c r="C2370" s="186">
        <v>3</v>
      </c>
      <c r="D2370" s="186">
        <v>2</v>
      </c>
      <c r="E2370" s="165" t="s">
        <v>1069</v>
      </c>
      <c r="F2370" s="165" t="str">
        <f>"每存在1个魂伤害增加"&amp;skill!$O$155/100&amp;"%"</f>
        <v>每存在1个魂伤害增加40%</v>
      </c>
      <c r="G2370" s="186">
        <f ca="1">OFFSET(卡牌辅助配置表!$C$1,MATCH(AC2370,卡牌辅助配置表!A:A,0)-1,0)</f>
        <v>3</v>
      </c>
      <c r="H2370" s="186">
        <f ca="1" t="shared" si="406"/>
        <v>0</v>
      </c>
      <c r="I2370" s="186"/>
      <c r="J2370" s="186">
        <f ca="1">OFFSET(card_type!$F$1,MATCH(Q2370,card_type!A:A,0)-1,0)</f>
        <v>3</v>
      </c>
      <c r="K2370" s="243">
        <f ca="1">OFFSET(card_type!$G$1,MATCH(Q2370,card_type!A:A,0)-1,0)</f>
        <v>4</v>
      </c>
      <c r="L2370" s="157">
        <v>3</v>
      </c>
      <c r="M2370" s="157">
        <v>3</v>
      </c>
      <c r="N2370" s="153">
        <f t="shared" si="408"/>
        <v>14</v>
      </c>
      <c r="O2370" s="157"/>
      <c r="P2370" s="157"/>
      <c r="Q2370" s="153">
        <f ca="1">OFFSET(card_type!$A$1,MATCH(card!B2370,card_type!B:B,0)-1,0)</f>
        <v>3026</v>
      </c>
      <c r="R2370" s="153">
        <v>1</v>
      </c>
      <c r="S2370" s="157">
        <f ca="1">ROUND(IF(R2370=0,0,IF(R2370=1,X2370*$S$1,IF(R2370=2,X2370*$S$1*buff的资质计算!$E$2,IF(R2370=3,X2370*$S$1*buff的资质计算!$E$3,0)))),0)*0</f>
        <v>0</v>
      </c>
      <c r="T2370" s="153">
        <v>2</v>
      </c>
      <c r="U2370" s="153">
        <f ca="1" t="shared" si="402"/>
        <v>34</v>
      </c>
      <c r="V2370" s="153">
        <f ca="1">ROUND((OFFSET(卡牌辅助配置表!$O$1,MATCH(U2370,卡牌辅助配置表!M:M,0)-1,0)+(N2370-1)*OFFSET(卡牌辅助配置表!$P$1,MATCH(U2370,卡牌辅助配置表!M:M,0)-1,0))*M2370,2)</f>
        <v>239.08</v>
      </c>
      <c r="W2370" s="157">
        <f ca="1">ROUND(IF(R2370=0,0,IF(R2370=1,X2370*$W$1,IF(R2370=2,X2370*$W$1*buff的资质计算!$E$2,IF(R2370=3,X2370*$W$1*buff的资质计算!$E$3,0)))),2)</f>
        <v>27.15</v>
      </c>
      <c r="X2370" s="157">
        <f ca="1" t="shared" si="409"/>
        <v>90.5</v>
      </c>
      <c r="Y2370" s="157">
        <f ca="1" t="shared" si="405"/>
        <v>90.5</v>
      </c>
      <c r="Z2370" s="304">
        <f ca="1" t="shared" si="410"/>
        <v>30.1666666666667</v>
      </c>
      <c r="AA2370" s="304">
        <f ca="1">OFFSET(卡牌辅助配置表!$AD$1,MATCH(AB2370,卡牌辅助配置表!AB:AB,0)-1,0)</f>
        <v>13280</v>
      </c>
      <c r="AB2370" s="304">
        <f ca="1" t="shared" si="403"/>
        <v>3414</v>
      </c>
      <c r="AC2370" s="153">
        <v>10</v>
      </c>
      <c r="AD2370" s="153">
        <v>3</v>
      </c>
      <c r="AE2370" s="153">
        <v>1</v>
      </c>
      <c r="AF2370" s="153" t="str">
        <f ca="1" t="shared" si="411"/>
        <v>30260011|</v>
      </c>
      <c r="AJ2370" s="205" t="str">
        <f ca="1" t="shared" si="404"/>
        <v>400023|12900|;</v>
      </c>
      <c r="AK2370" s="205">
        <f ca="1">OFFSET([1]item_type!$A$1,MATCH(Q2370,[1]item_type!$G:$G,0)-1,0)</f>
        <v>303026</v>
      </c>
      <c r="AL2370" s="205"/>
      <c r="AM2370" s="205">
        <f ca="1">IF(B2370=B2371,OFFSET(卡牌辅助配置表!$AE$1,MATCH(AB2370,卡牌辅助配置表!AB:AB,0),0),0)</f>
        <v>12900</v>
      </c>
      <c r="AN2370" s="153">
        <f ca="1" t="shared" si="400"/>
        <v>3026015</v>
      </c>
      <c r="AP2370" s="153" t="str">
        <f ca="1">IF(AC2370=0,0,IF(AC2370=12,0,OFFSET(effect!$N$1,MATCH(K2370,effect!M:M,0)-1,0)))</f>
        <v>kpsx_huangse</v>
      </c>
    </row>
    <row r="2371" spans="1:42">
      <c r="A2371" s="153">
        <f ca="1" t="shared" si="401"/>
        <v>3026015</v>
      </c>
      <c r="B2371" s="91" t="s">
        <v>478</v>
      </c>
      <c r="C2371" s="186">
        <v>3</v>
      </c>
      <c r="D2371" s="186">
        <v>2</v>
      </c>
      <c r="E2371" s="165" t="s">
        <v>1069</v>
      </c>
      <c r="F2371" s="165" t="str">
        <f>"每存在1个魂伤害增加"&amp;skill!$O$155/100&amp;"%"</f>
        <v>每存在1个魂伤害增加40%</v>
      </c>
      <c r="G2371" s="186">
        <f ca="1">OFFSET(卡牌辅助配置表!$C$1,MATCH(AC2371,卡牌辅助配置表!A:A,0)-1,0)</f>
        <v>3</v>
      </c>
      <c r="H2371" s="186">
        <f ca="1" t="shared" si="406"/>
        <v>0</v>
      </c>
      <c r="I2371" s="186"/>
      <c r="J2371" s="186">
        <f ca="1">OFFSET(card_type!$F$1,MATCH(Q2371,card_type!A:A,0)-1,0)</f>
        <v>3</v>
      </c>
      <c r="K2371" s="243">
        <f ca="1">OFFSET(card_type!$G$1,MATCH(Q2371,card_type!A:A,0)-1,0)</f>
        <v>4</v>
      </c>
      <c r="L2371" s="157">
        <v>3</v>
      </c>
      <c r="M2371" s="157">
        <v>3</v>
      </c>
      <c r="N2371" s="153">
        <f t="shared" si="408"/>
        <v>15</v>
      </c>
      <c r="O2371" s="157"/>
      <c r="P2371" s="157"/>
      <c r="Q2371" s="153">
        <f ca="1">OFFSET(card_type!$A$1,MATCH(card!B2371,card_type!B:B,0)-1,0)</f>
        <v>3026</v>
      </c>
      <c r="R2371" s="153">
        <v>1</v>
      </c>
      <c r="S2371" s="157">
        <f ca="1">ROUND(IF(R2371=0,0,IF(R2371=1,X2371*$S$1,IF(R2371=2,X2371*$S$1*buff的资质计算!$E$2,IF(R2371=3,X2371*$S$1*buff的资质计算!$E$3,0)))),0)*0</f>
        <v>0</v>
      </c>
      <c r="T2371" s="153">
        <v>2</v>
      </c>
      <c r="U2371" s="153">
        <f ca="1" t="shared" si="402"/>
        <v>34</v>
      </c>
      <c r="V2371" s="153">
        <f ca="1">ROUND((OFFSET(卡牌辅助配置表!$O$1,MATCH(U2371,卡牌辅助配置表!M:M,0)-1,0)+(N2371-1)*OFFSET(卡牌辅助配置表!$P$1,MATCH(U2371,卡牌辅助配置表!M:M,0)-1,0))*M2371,2)</f>
        <v>249.52</v>
      </c>
      <c r="W2371" s="157">
        <f ca="1">ROUND(IF(R2371=0,0,IF(R2371=1,X2371*$W$1,IF(R2371=2,X2371*$W$1*buff的资质计算!$E$2,IF(R2371=3,X2371*$W$1*buff的资质计算!$E$3,0)))),2)</f>
        <v>27.3</v>
      </c>
      <c r="X2371" s="157">
        <f ca="1" t="shared" si="409"/>
        <v>91</v>
      </c>
      <c r="Y2371" s="157">
        <f ca="1" t="shared" si="405"/>
        <v>91</v>
      </c>
      <c r="Z2371" s="304">
        <f ca="1" t="shared" si="410"/>
        <v>30.3333333333333</v>
      </c>
      <c r="AA2371" s="304">
        <f ca="1">OFFSET(卡牌辅助配置表!$AD$1,MATCH(AB2371,卡牌辅助配置表!AB:AB,0)-1,0)</f>
        <v>14525</v>
      </c>
      <c r="AB2371" s="304">
        <f ca="1" t="shared" si="403"/>
        <v>3415</v>
      </c>
      <c r="AC2371" s="153">
        <v>10</v>
      </c>
      <c r="AD2371" s="153">
        <v>3</v>
      </c>
      <c r="AE2371" s="153">
        <v>1</v>
      </c>
      <c r="AF2371" s="153" t="str">
        <f ca="1" t="shared" si="411"/>
        <v>30260011|</v>
      </c>
      <c r="AJ2371" s="205" t="str">
        <f ca="1" t="shared" si="404"/>
        <v>400023|14100|;</v>
      </c>
      <c r="AK2371" s="205">
        <f ca="1">OFFSET([1]item_type!$A$1,MATCH(Q2371,[1]item_type!$G:$G,0)-1,0)</f>
        <v>303026</v>
      </c>
      <c r="AL2371" s="205"/>
      <c r="AM2371" s="205">
        <f ca="1">IF(B2371=B2372,OFFSET(卡牌辅助配置表!$AE$1,MATCH(AB2371,卡牌辅助配置表!AB:AB,0),0),0)</f>
        <v>14100</v>
      </c>
      <c r="AN2371" s="153">
        <f ca="1" t="shared" si="400"/>
        <v>3026016</v>
      </c>
      <c r="AP2371" s="153" t="str">
        <f ca="1">IF(AC2371=0,0,IF(AC2371=12,0,OFFSET(effect!$N$1,MATCH(K2371,effect!M:M,0)-1,0)))</f>
        <v>kpsx_huangse</v>
      </c>
    </row>
    <row r="2372" spans="1:42">
      <c r="A2372" s="153">
        <f ca="1" t="shared" si="401"/>
        <v>3026016</v>
      </c>
      <c r="B2372" s="91" t="s">
        <v>478</v>
      </c>
      <c r="C2372" s="186">
        <v>3</v>
      </c>
      <c r="D2372" s="186">
        <v>2</v>
      </c>
      <c r="E2372" s="165" t="s">
        <v>1069</v>
      </c>
      <c r="F2372" s="165" t="str">
        <f>"每存在1个魂伤害增加"&amp;skill!$O$155/100&amp;"%"</f>
        <v>每存在1个魂伤害增加40%</v>
      </c>
      <c r="G2372" s="186">
        <f ca="1">OFFSET(卡牌辅助配置表!$C$1,MATCH(AC2372,卡牌辅助配置表!A:A,0)-1,0)</f>
        <v>3</v>
      </c>
      <c r="H2372" s="186">
        <f ca="1" t="shared" si="406"/>
        <v>0</v>
      </c>
      <c r="I2372" s="186"/>
      <c r="J2372" s="186">
        <f ca="1">OFFSET(card_type!$F$1,MATCH(Q2372,card_type!A:A,0)-1,0)</f>
        <v>3</v>
      </c>
      <c r="K2372" s="243">
        <f ca="1">OFFSET(card_type!$G$1,MATCH(Q2372,card_type!A:A,0)-1,0)</f>
        <v>4</v>
      </c>
      <c r="L2372" s="157">
        <v>3</v>
      </c>
      <c r="M2372" s="157">
        <v>3</v>
      </c>
      <c r="N2372" s="153">
        <f t="shared" si="408"/>
        <v>16</v>
      </c>
      <c r="O2372" s="157"/>
      <c r="P2372" s="157"/>
      <c r="Q2372" s="153">
        <f ca="1">OFFSET(card_type!$A$1,MATCH(card!B2372,card_type!B:B,0)-1,0)</f>
        <v>3026</v>
      </c>
      <c r="R2372" s="153">
        <v>1</v>
      </c>
      <c r="S2372" s="157">
        <f ca="1">ROUND(IF(R2372=0,0,IF(R2372=1,X2372*$S$1,IF(R2372=2,X2372*$S$1*buff的资质计算!$E$2,IF(R2372=3,X2372*$S$1*buff的资质计算!$E$3,0)))),0)*0</f>
        <v>0</v>
      </c>
      <c r="T2372" s="153">
        <v>2</v>
      </c>
      <c r="U2372" s="153">
        <f ca="1" t="shared" si="402"/>
        <v>34</v>
      </c>
      <c r="V2372" s="153">
        <f ca="1">ROUND((OFFSET(卡牌辅助配置表!$O$1,MATCH(U2372,卡牌辅助配置表!M:M,0)-1,0)+(N2372-1)*OFFSET(卡牌辅助配置表!$P$1,MATCH(U2372,卡牌辅助配置表!M:M,0)-1,0))*M2372,2)</f>
        <v>259.96</v>
      </c>
      <c r="W2372" s="157">
        <f ca="1">ROUND(IF(R2372=0,0,IF(R2372=1,X2372*$W$1,IF(R2372=2,X2372*$W$1*buff的资质计算!$E$2,IF(R2372=3,X2372*$W$1*buff的资质计算!$E$3,0)))),2)</f>
        <v>27.45</v>
      </c>
      <c r="X2372" s="157">
        <f ca="1" t="shared" si="409"/>
        <v>91.5</v>
      </c>
      <c r="Y2372" s="157">
        <f ca="1" t="shared" si="405"/>
        <v>91.5</v>
      </c>
      <c r="Z2372" s="304">
        <f ca="1" t="shared" si="410"/>
        <v>30.5</v>
      </c>
      <c r="AA2372" s="304">
        <f ca="1">OFFSET(卡牌辅助配置表!$AD$1,MATCH(AB2372,卡牌辅助配置表!AB:AB,0)-1,0)</f>
        <v>15770</v>
      </c>
      <c r="AB2372" s="304">
        <f ca="1" t="shared" si="403"/>
        <v>3416</v>
      </c>
      <c r="AC2372" s="153">
        <v>10</v>
      </c>
      <c r="AD2372" s="153">
        <v>3</v>
      </c>
      <c r="AE2372" s="153">
        <v>1</v>
      </c>
      <c r="AF2372" s="153" t="str">
        <f ca="1" t="shared" si="411"/>
        <v>30260011|</v>
      </c>
      <c r="AJ2372" s="205" t="str">
        <f ca="1" t="shared" si="404"/>
        <v>400023|15300|;</v>
      </c>
      <c r="AK2372" s="205">
        <f ca="1">OFFSET([1]item_type!$A$1,MATCH(Q2372,[1]item_type!$G:$G,0)-1,0)</f>
        <v>303026</v>
      </c>
      <c r="AL2372" s="205"/>
      <c r="AM2372" s="205">
        <f ca="1">IF(B2372=B2373,OFFSET(卡牌辅助配置表!$AE$1,MATCH(AB2372,卡牌辅助配置表!AB:AB,0),0),0)</f>
        <v>15300</v>
      </c>
      <c r="AN2372" s="153">
        <f ca="1" t="shared" si="400"/>
        <v>3026017</v>
      </c>
      <c r="AP2372" s="153" t="str">
        <f ca="1">IF(AC2372=0,0,IF(AC2372=12,0,OFFSET(effect!$N$1,MATCH(K2372,effect!M:M,0)-1,0)))</f>
        <v>kpsx_huangse</v>
      </c>
    </row>
    <row r="2373" spans="1:42">
      <c r="A2373" s="153">
        <f ca="1" t="shared" si="401"/>
        <v>3026017</v>
      </c>
      <c r="B2373" s="91" t="s">
        <v>478</v>
      </c>
      <c r="C2373" s="186">
        <v>3</v>
      </c>
      <c r="D2373" s="186">
        <v>2</v>
      </c>
      <c r="E2373" s="165" t="s">
        <v>1069</v>
      </c>
      <c r="F2373" s="165" t="str">
        <f>"每存在1个魂伤害增加"&amp;skill!$O$155/100&amp;"%"</f>
        <v>每存在1个魂伤害增加40%</v>
      </c>
      <c r="G2373" s="186">
        <f ca="1">OFFSET(卡牌辅助配置表!$C$1,MATCH(AC2373,卡牌辅助配置表!A:A,0)-1,0)</f>
        <v>3</v>
      </c>
      <c r="H2373" s="186">
        <f ca="1" t="shared" si="406"/>
        <v>0</v>
      </c>
      <c r="I2373" s="186"/>
      <c r="J2373" s="186">
        <f ca="1">OFFSET(card_type!$F$1,MATCH(Q2373,card_type!A:A,0)-1,0)</f>
        <v>3</v>
      </c>
      <c r="K2373" s="243">
        <f ca="1">OFFSET(card_type!$G$1,MATCH(Q2373,card_type!A:A,0)-1,0)</f>
        <v>4</v>
      </c>
      <c r="L2373" s="157">
        <v>3</v>
      </c>
      <c r="M2373" s="157">
        <v>3</v>
      </c>
      <c r="N2373" s="153">
        <f t="shared" si="408"/>
        <v>17</v>
      </c>
      <c r="O2373" s="157"/>
      <c r="P2373" s="157"/>
      <c r="Q2373" s="153">
        <f ca="1">OFFSET(card_type!$A$1,MATCH(card!B2373,card_type!B:B,0)-1,0)</f>
        <v>3026</v>
      </c>
      <c r="R2373" s="153">
        <v>1</v>
      </c>
      <c r="S2373" s="157">
        <f ca="1">ROUND(IF(R2373=0,0,IF(R2373=1,X2373*$S$1,IF(R2373=2,X2373*$S$1*buff的资质计算!$E$2,IF(R2373=3,X2373*$S$1*buff的资质计算!$E$3,0)))),0)*0</f>
        <v>0</v>
      </c>
      <c r="T2373" s="153">
        <v>2</v>
      </c>
      <c r="U2373" s="153">
        <f ca="1" t="shared" si="402"/>
        <v>34</v>
      </c>
      <c r="V2373" s="153">
        <f ca="1">ROUND((OFFSET(卡牌辅助配置表!$O$1,MATCH(U2373,卡牌辅助配置表!M:M,0)-1,0)+(N2373-1)*OFFSET(卡牌辅助配置表!$P$1,MATCH(U2373,卡牌辅助配置表!M:M,0)-1,0))*M2373,2)</f>
        <v>270.4</v>
      </c>
      <c r="W2373" s="157">
        <f ca="1">ROUND(IF(R2373=0,0,IF(R2373=1,X2373*$W$1,IF(R2373=2,X2373*$W$1*buff的资质计算!$E$2,IF(R2373=3,X2373*$W$1*buff的资质计算!$E$3,0)))),2)</f>
        <v>27.6</v>
      </c>
      <c r="X2373" s="157">
        <f ca="1" t="shared" si="409"/>
        <v>92</v>
      </c>
      <c r="Y2373" s="157">
        <f ca="1" t="shared" si="405"/>
        <v>92</v>
      </c>
      <c r="Z2373" s="304">
        <f ca="1" t="shared" si="410"/>
        <v>30.6666666666667</v>
      </c>
      <c r="AA2373" s="304">
        <f ca="1">OFFSET(卡牌辅助配置表!$AD$1,MATCH(AB2373,卡牌辅助配置表!AB:AB,0)-1,0)</f>
        <v>17015</v>
      </c>
      <c r="AB2373" s="304">
        <f ca="1" t="shared" si="403"/>
        <v>3417</v>
      </c>
      <c r="AC2373" s="153">
        <v>10</v>
      </c>
      <c r="AD2373" s="153">
        <v>3</v>
      </c>
      <c r="AE2373" s="153">
        <v>1</v>
      </c>
      <c r="AF2373" s="153" t="str">
        <f ca="1" t="shared" si="411"/>
        <v>30260011|</v>
      </c>
      <c r="AJ2373" s="205" t="str">
        <f ca="1" t="shared" si="404"/>
        <v>400023|16500|;</v>
      </c>
      <c r="AK2373" s="205">
        <f ca="1">OFFSET([1]item_type!$A$1,MATCH(Q2373,[1]item_type!$G:$G,0)-1,0)</f>
        <v>303026</v>
      </c>
      <c r="AL2373" s="205"/>
      <c r="AM2373" s="205">
        <f ca="1">IF(B2373=B2374,OFFSET(卡牌辅助配置表!$AE$1,MATCH(AB2373,卡牌辅助配置表!AB:AB,0),0),0)</f>
        <v>16500</v>
      </c>
      <c r="AN2373" s="153">
        <f ca="1" t="shared" ref="AN2373:AN2385" si="412">IF(B2373=B2374,A2373+1,0)</f>
        <v>3026018</v>
      </c>
      <c r="AP2373" s="153" t="str">
        <f ca="1">IF(AC2373=0,0,IF(AC2373=12,0,OFFSET(effect!$N$1,MATCH(K2373,effect!M:M,0)-1,0)))</f>
        <v>kpsx_huangse</v>
      </c>
    </row>
    <row r="2374" spans="1:42">
      <c r="A2374" s="153">
        <f ca="1" t="shared" ref="A2374:A2437" si="413">Q2374*1000+N2374</f>
        <v>3026018</v>
      </c>
      <c r="B2374" s="91" t="s">
        <v>478</v>
      </c>
      <c r="C2374" s="186">
        <v>3</v>
      </c>
      <c r="D2374" s="186">
        <v>2</v>
      </c>
      <c r="E2374" s="165" t="s">
        <v>1069</v>
      </c>
      <c r="F2374" s="165" t="str">
        <f>"每存在1个魂伤害增加"&amp;skill!$O$155/100&amp;"%"</f>
        <v>每存在1个魂伤害增加40%</v>
      </c>
      <c r="G2374" s="186">
        <f ca="1">OFFSET(卡牌辅助配置表!$C$1,MATCH(AC2374,卡牌辅助配置表!A:A,0)-1,0)</f>
        <v>3</v>
      </c>
      <c r="H2374" s="186">
        <f ca="1" t="shared" si="406"/>
        <v>0</v>
      </c>
      <c r="I2374" s="186"/>
      <c r="J2374" s="186">
        <f ca="1">OFFSET(card_type!$F$1,MATCH(Q2374,card_type!A:A,0)-1,0)</f>
        <v>3</v>
      </c>
      <c r="K2374" s="243">
        <f ca="1">OFFSET(card_type!$G$1,MATCH(Q2374,card_type!A:A,0)-1,0)</f>
        <v>4</v>
      </c>
      <c r="L2374" s="157">
        <v>3</v>
      </c>
      <c r="M2374" s="157">
        <v>3</v>
      </c>
      <c r="N2374" s="153">
        <f t="shared" si="408"/>
        <v>18</v>
      </c>
      <c r="O2374" s="157"/>
      <c r="P2374" s="157"/>
      <c r="Q2374" s="153">
        <f ca="1">OFFSET(card_type!$A$1,MATCH(card!B2374,card_type!B:B,0)-1,0)</f>
        <v>3026</v>
      </c>
      <c r="R2374" s="153">
        <v>1</v>
      </c>
      <c r="S2374" s="157">
        <f ca="1">ROUND(IF(R2374=0,0,IF(R2374=1,X2374*$S$1,IF(R2374=2,X2374*$S$1*buff的资质计算!$E$2,IF(R2374=3,X2374*$S$1*buff的资质计算!$E$3,0)))),0)*0</f>
        <v>0</v>
      </c>
      <c r="T2374" s="153">
        <v>2</v>
      </c>
      <c r="U2374" s="153">
        <f ca="1" t="shared" ref="U2374:U2437" si="414">J2374*10+K2374</f>
        <v>34</v>
      </c>
      <c r="V2374" s="153">
        <f ca="1">ROUND((OFFSET(卡牌辅助配置表!$O$1,MATCH(U2374,卡牌辅助配置表!M:M,0)-1,0)+(N2374-1)*OFFSET(卡牌辅助配置表!$P$1,MATCH(U2374,卡牌辅助配置表!M:M,0)-1,0))*M2374,2)</f>
        <v>280.84</v>
      </c>
      <c r="W2374" s="157">
        <f ca="1">ROUND(IF(R2374=0,0,IF(R2374=1,X2374*$W$1,IF(R2374=2,X2374*$W$1*buff的资质计算!$E$2,IF(R2374=3,X2374*$W$1*buff的资质计算!$E$3,0)))),2)</f>
        <v>27.75</v>
      </c>
      <c r="X2374" s="157">
        <f ca="1" t="shared" si="409"/>
        <v>92.5</v>
      </c>
      <c r="Y2374" s="157">
        <f ca="1" t="shared" si="405"/>
        <v>92.5</v>
      </c>
      <c r="Z2374" s="304">
        <f ca="1" t="shared" si="410"/>
        <v>30.8333333333333</v>
      </c>
      <c r="AA2374" s="304">
        <f ca="1">OFFSET(卡牌辅助配置表!$AD$1,MATCH(AB2374,卡牌辅助配置表!AB:AB,0)-1,0)</f>
        <v>18260</v>
      </c>
      <c r="AB2374" s="304">
        <f ca="1" t="shared" ref="AB2374:AB2437" si="415">J2374*1000+K2374*100+N2374</f>
        <v>3418</v>
      </c>
      <c r="AC2374" s="153">
        <v>10</v>
      </c>
      <c r="AD2374" s="153">
        <v>3</v>
      </c>
      <c r="AE2374" s="153">
        <v>1</v>
      </c>
      <c r="AF2374" s="153" t="str">
        <f ca="1" t="shared" si="411"/>
        <v>30260011|</v>
      </c>
      <c r="AJ2374" s="205" t="str">
        <f ca="1" t="shared" ref="AJ2374:AJ2437" si="416">IF(AN2374=0,0,IF(AL2374=0,$AM$1&amp;$AF$1&amp;AM2374&amp;$AF$1&amp;$AJ$1,AK2374&amp;$AF$1&amp;AL2374&amp;$AF$1&amp;$AJ$1&amp;$AM$1&amp;$AF$1&amp;AM2374&amp;$AF$1&amp;$AJ$1))</f>
        <v>400023|17700|;</v>
      </c>
      <c r="AK2374" s="205">
        <f ca="1">OFFSET([1]item_type!$A$1,MATCH(Q2374,[1]item_type!$G:$G,0)-1,0)</f>
        <v>303026</v>
      </c>
      <c r="AL2374" s="205"/>
      <c r="AM2374" s="205">
        <f ca="1">IF(B2374=B2375,OFFSET(卡牌辅助配置表!$AE$1,MATCH(AB2374,卡牌辅助配置表!AB:AB,0),0),0)</f>
        <v>17700</v>
      </c>
      <c r="AN2374" s="153">
        <f ca="1" t="shared" si="412"/>
        <v>3026019</v>
      </c>
      <c r="AP2374" s="153" t="str">
        <f ca="1">IF(AC2374=0,0,IF(AC2374=12,0,OFFSET(effect!$N$1,MATCH(K2374,effect!M:M,0)-1,0)))</f>
        <v>kpsx_huangse</v>
      </c>
    </row>
    <row r="2375" spans="1:42">
      <c r="A2375" s="153">
        <f ca="1" t="shared" si="413"/>
        <v>3026019</v>
      </c>
      <c r="B2375" s="91" t="s">
        <v>478</v>
      </c>
      <c r="C2375" s="186">
        <v>3</v>
      </c>
      <c r="D2375" s="186">
        <v>2</v>
      </c>
      <c r="E2375" s="165" t="s">
        <v>1069</v>
      </c>
      <c r="F2375" s="165" t="str">
        <f>"每存在1个魂伤害增加"&amp;skill!$O$155/100&amp;"%"</f>
        <v>每存在1个魂伤害增加40%</v>
      </c>
      <c r="G2375" s="186">
        <f ca="1">OFFSET(卡牌辅助配置表!$C$1,MATCH(AC2375,卡牌辅助配置表!A:A,0)-1,0)</f>
        <v>3</v>
      </c>
      <c r="H2375" s="186">
        <f ca="1" t="shared" si="406"/>
        <v>0</v>
      </c>
      <c r="I2375" s="186"/>
      <c r="J2375" s="186">
        <f ca="1">OFFSET(card_type!$F$1,MATCH(Q2375,card_type!A:A,0)-1,0)</f>
        <v>3</v>
      </c>
      <c r="K2375" s="243">
        <f ca="1">OFFSET(card_type!$G$1,MATCH(Q2375,card_type!A:A,0)-1,0)</f>
        <v>4</v>
      </c>
      <c r="L2375" s="157">
        <v>3</v>
      </c>
      <c r="M2375" s="157">
        <v>3</v>
      </c>
      <c r="N2375" s="153">
        <f t="shared" si="408"/>
        <v>19</v>
      </c>
      <c r="O2375" s="157"/>
      <c r="P2375" s="157"/>
      <c r="Q2375" s="153">
        <f ca="1">OFFSET(card_type!$A$1,MATCH(card!B2375,card_type!B:B,0)-1,0)</f>
        <v>3026</v>
      </c>
      <c r="R2375" s="153">
        <v>1</v>
      </c>
      <c r="S2375" s="157">
        <f ca="1">ROUND(IF(R2375=0,0,IF(R2375=1,X2375*$S$1,IF(R2375=2,X2375*$S$1*buff的资质计算!$E$2,IF(R2375=3,X2375*$S$1*buff的资质计算!$E$3,0)))),0)*0</f>
        <v>0</v>
      </c>
      <c r="T2375" s="153">
        <v>2</v>
      </c>
      <c r="U2375" s="153">
        <f ca="1" t="shared" si="414"/>
        <v>34</v>
      </c>
      <c r="V2375" s="153">
        <f ca="1">ROUND((OFFSET(卡牌辅助配置表!$O$1,MATCH(U2375,卡牌辅助配置表!M:M,0)-1,0)+(N2375-1)*OFFSET(卡牌辅助配置表!$P$1,MATCH(U2375,卡牌辅助配置表!M:M,0)-1,0))*M2375,2)</f>
        <v>291.28</v>
      </c>
      <c r="W2375" s="157">
        <f ca="1">ROUND(IF(R2375=0,0,IF(R2375=1,X2375*$W$1,IF(R2375=2,X2375*$W$1*buff的资质计算!$E$2,IF(R2375=3,X2375*$W$1*buff的资质计算!$E$3,0)))),2)</f>
        <v>27.9</v>
      </c>
      <c r="X2375" s="157">
        <f ca="1" t="shared" si="409"/>
        <v>93</v>
      </c>
      <c r="Y2375" s="157">
        <f ca="1" t="shared" si="405"/>
        <v>93</v>
      </c>
      <c r="Z2375" s="304">
        <f ca="1" t="shared" si="410"/>
        <v>31</v>
      </c>
      <c r="AA2375" s="304">
        <f ca="1">OFFSET(卡牌辅助配置表!$AD$1,MATCH(AB2375,卡牌辅助配置表!AB:AB,0)-1,0)</f>
        <v>19505</v>
      </c>
      <c r="AB2375" s="304">
        <f ca="1" t="shared" si="415"/>
        <v>3419</v>
      </c>
      <c r="AC2375" s="153">
        <v>10</v>
      </c>
      <c r="AD2375" s="153">
        <v>3</v>
      </c>
      <c r="AE2375" s="153">
        <v>1</v>
      </c>
      <c r="AF2375" s="153" t="str">
        <f ca="1" t="shared" si="411"/>
        <v>30260011|</v>
      </c>
      <c r="AJ2375" s="205" t="str">
        <f ca="1" t="shared" si="416"/>
        <v>303026|20|;400023|18900|;</v>
      </c>
      <c r="AK2375" s="205">
        <f ca="1">OFFSET([1]item_type!$A$1,MATCH(Q2375,[1]item_type!$G:$G,0)-1,0)</f>
        <v>303026</v>
      </c>
      <c r="AL2375" s="205">
        <v>20</v>
      </c>
      <c r="AM2375" s="205">
        <f ca="1">IF(B2375=B2376,OFFSET(卡牌辅助配置表!$AE$1,MATCH(AB2375,卡牌辅助配置表!AB:AB,0),0),0)</f>
        <v>18900</v>
      </c>
      <c r="AN2375" s="153">
        <f ca="1" t="shared" si="412"/>
        <v>3026020</v>
      </c>
      <c r="AP2375" s="153" t="str">
        <f ca="1">IF(AC2375=0,0,IF(AC2375=12,0,OFFSET(effect!$N$1,MATCH(K2375,effect!M:M,0)-1,0)))</f>
        <v>kpsx_huangse</v>
      </c>
    </row>
    <row r="2376" spans="1:42">
      <c r="A2376" s="153">
        <f ca="1" t="shared" si="413"/>
        <v>3026020</v>
      </c>
      <c r="B2376" s="91" t="s">
        <v>478</v>
      </c>
      <c r="C2376" s="186">
        <v>3</v>
      </c>
      <c r="D2376" s="186">
        <v>2</v>
      </c>
      <c r="E2376" s="165" t="s">
        <v>1069</v>
      </c>
      <c r="F2376" s="165" t="str">
        <f>"每存在1个魂伤害增加"&amp;skill!$O$155/100&amp;"%"</f>
        <v>每存在1个魂伤害增加40%</v>
      </c>
      <c r="G2376" s="186">
        <f ca="1">OFFSET(卡牌辅助配置表!$C$1,MATCH(AC2376,卡牌辅助配置表!A:A,0)-1,0)</f>
        <v>3</v>
      </c>
      <c r="H2376" s="186">
        <f ca="1" t="shared" si="406"/>
        <v>0</v>
      </c>
      <c r="I2376" s="186"/>
      <c r="J2376" s="186">
        <f ca="1">OFFSET(card_type!$F$1,MATCH(Q2376,card_type!A:A,0)-1,0)</f>
        <v>3</v>
      </c>
      <c r="K2376" s="243">
        <f ca="1">OFFSET(card_type!$G$1,MATCH(Q2376,card_type!A:A,0)-1,0)</f>
        <v>4</v>
      </c>
      <c r="L2376" s="157">
        <v>3</v>
      </c>
      <c r="M2376" s="157">
        <v>3</v>
      </c>
      <c r="N2376" s="153">
        <f t="shared" si="408"/>
        <v>20</v>
      </c>
      <c r="O2376" s="157"/>
      <c r="P2376" s="157"/>
      <c r="Q2376" s="153">
        <f ca="1">OFFSET(card_type!$A$1,MATCH(card!B2376,card_type!B:B,0)-1,0)</f>
        <v>3026</v>
      </c>
      <c r="R2376" s="153">
        <v>1</v>
      </c>
      <c r="S2376" s="157">
        <f ca="1">ROUND(IF(R2376=0,0,IF(R2376=1,X2376*$S$1,IF(R2376=2,X2376*$S$1*buff的资质计算!$E$2,IF(R2376=3,X2376*$S$1*buff的资质计算!$E$3,0)))),0)*0</f>
        <v>0</v>
      </c>
      <c r="T2376" s="153">
        <v>2</v>
      </c>
      <c r="U2376" s="153">
        <f ca="1" t="shared" si="414"/>
        <v>34</v>
      </c>
      <c r="V2376" s="153">
        <f ca="1">ROUND((OFFSET(卡牌辅助配置表!$O$1,MATCH(U2376,卡牌辅助配置表!M:M,0)-1,0)+(N2376-1)*OFFSET(卡牌辅助配置表!$P$1,MATCH(U2376,卡牌辅助配置表!M:M,0)-1,0))*M2376,2)</f>
        <v>301.72</v>
      </c>
      <c r="W2376" s="157">
        <f ca="1">ROUND(IF(R2376=0,0,IF(R2376=1,X2376*$W$1,IF(R2376=2,X2376*$W$1*buff的资质计算!$E$2,IF(R2376=3,X2376*$W$1*buff的资质计算!$E$3,0)))),2)</f>
        <v>28.05</v>
      </c>
      <c r="X2376" s="157">
        <f ca="1" t="shared" si="409"/>
        <v>93.5</v>
      </c>
      <c r="Y2376" s="157">
        <f ca="1" t="shared" si="405"/>
        <v>93.5</v>
      </c>
      <c r="Z2376" s="304">
        <f ca="1" t="shared" si="410"/>
        <v>31.1666666666667</v>
      </c>
      <c r="AA2376" s="304">
        <f ca="1">OFFSET(卡牌辅助配置表!$AD$1,MATCH(AB2376,卡牌辅助配置表!AB:AB,0)-1,0)</f>
        <v>20750</v>
      </c>
      <c r="AB2376" s="304">
        <f ca="1" t="shared" si="415"/>
        <v>3420</v>
      </c>
      <c r="AC2376" s="153">
        <v>10</v>
      </c>
      <c r="AD2376" s="153">
        <v>3</v>
      </c>
      <c r="AE2376" s="153">
        <v>1</v>
      </c>
      <c r="AF2376" s="153" t="str">
        <f ca="1" t="shared" si="411"/>
        <v>30260011|</v>
      </c>
      <c r="AJ2376" s="205" t="str">
        <f ca="1" t="shared" si="416"/>
        <v>400023|21300|;</v>
      </c>
      <c r="AK2376" s="205">
        <f ca="1">OFFSET([1]item_type!$A$1,MATCH(Q2376,[1]item_type!$G:$G,0)-1,0)</f>
        <v>303026</v>
      </c>
      <c r="AL2376" s="205"/>
      <c r="AM2376" s="205">
        <f ca="1">IF(B2376=B2377,OFFSET(卡牌辅助配置表!$AE$1,MATCH(AB2376,卡牌辅助配置表!AB:AB,0),0),0)</f>
        <v>21300</v>
      </c>
      <c r="AN2376" s="153">
        <f ca="1" t="shared" si="412"/>
        <v>3026021</v>
      </c>
      <c r="AP2376" s="153" t="str">
        <f ca="1">IF(AC2376=0,0,IF(AC2376=12,0,OFFSET(effect!$N$1,MATCH(K2376,effect!M:M,0)-1,0)))</f>
        <v>kpsx_huangse</v>
      </c>
    </row>
    <row r="2377" spans="1:42">
      <c r="A2377" s="153">
        <f ca="1" t="shared" si="413"/>
        <v>3026021</v>
      </c>
      <c r="B2377" s="91" t="s">
        <v>478</v>
      </c>
      <c r="C2377" s="186">
        <v>3</v>
      </c>
      <c r="D2377" s="186">
        <v>2</v>
      </c>
      <c r="E2377" s="165" t="s">
        <v>1069</v>
      </c>
      <c r="F2377" s="165" t="str">
        <f>"每存在1个魂伤害增加"&amp;skill!$O$155/100&amp;"%"</f>
        <v>每存在1个魂伤害增加40%</v>
      </c>
      <c r="G2377" s="186">
        <f ca="1">OFFSET(卡牌辅助配置表!$C$1,MATCH(AC2377,卡牌辅助配置表!A:A,0)-1,0)</f>
        <v>3</v>
      </c>
      <c r="H2377" s="186">
        <f ca="1" t="shared" si="406"/>
        <v>0</v>
      </c>
      <c r="I2377" s="186"/>
      <c r="J2377" s="186">
        <f ca="1">OFFSET(card_type!$F$1,MATCH(Q2377,card_type!A:A,0)-1,0)</f>
        <v>3</v>
      </c>
      <c r="K2377" s="243">
        <f ca="1">OFFSET(card_type!$G$1,MATCH(Q2377,card_type!A:A,0)-1,0)</f>
        <v>4</v>
      </c>
      <c r="L2377" s="157">
        <v>3</v>
      </c>
      <c r="M2377" s="157">
        <v>3</v>
      </c>
      <c r="N2377" s="153">
        <f t="shared" si="408"/>
        <v>21</v>
      </c>
      <c r="O2377" s="157"/>
      <c r="P2377" s="157"/>
      <c r="Q2377" s="153">
        <f ca="1">OFFSET(card_type!$A$1,MATCH(card!B2377,card_type!B:B,0)-1,0)</f>
        <v>3026</v>
      </c>
      <c r="R2377" s="153">
        <v>1</v>
      </c>
      <c r="S2377" s="157">
        <f ca="1">ROUND(IF(R2377=0,0,IF(R2377=1,X2377*$S$1,IF(R2377=2,X2377*$S$1*buff的资质计算!$E$2,IF(R2377=3,X2377*$S$1*buff的资质计算!$E$3,0)))),0)*0</f>
        <v>0</v>
      </c>
      <c r="T2377" s="153">
        <v>2</v>
      </c>
      <c r="U2377" s="153">
        <f ca="1" t="shared" si="414"/>
        <v>34</v>
      </c>
      <c r="V2377" s="153">
        <f ca="1">ROUND((OFFSET(卡牌辅助配置表!$O$1,MATCH(U2377,卡牌辅助配置表!M:M,0)-1,0)+(N2377-1)*OFFSET(卡牌辅助配置表!$P$1,MATCH(U2377,卡牌辅助配置表!M:M,0)-1,0))*M2377,2)</f>
        <v>312.16</v>
      </c>
      <c r="W2377" s="157">
        <f ca="1">ROUND(IF(R2377=0,0,IF(R2377=1,X2377*$W$1,IF(R2377=2,X2377*$W$1*buff的资质计算!$E$2,IF(R2377=3,X2377*$W$1*buff的资质计算!$E$3,0)))),2)</f>
        <v>28.2</v>
      </c>
      <c r="X2377" s="157">
        <f ca="1" t="shared" si="409"/>
        <v>94</v>
      </c>
      <c r="Y2377" s="157">
        <f ca="1" t="shared" si="405"/>
        <v>94</v>
      </c>
      <c r="Z2377" s="304">
        <f ca="1" t="shared" si="410"/>
        <v>31.3333333333333</v>
      </c>
      <c r="AA2377" s="304">
        <f ca="1">OFFSET(卡牌辅助配置表!$AD$1,MATCH(AB2377,卡牌辅助配置表!AB:AB,0)-1,0)</f>
        <v>22410</v>
      </c>
      <c r="AB2377" s="304">
        <f ca="1" t="shared" si="415"/>
        <v>3421</v>
      </c>
      <c r="AC2377" s="153">
        <v>10</v>
      </c>
      <c r="AD2377" s="153">
        <v>3</v>
      </c>
      <c r="AE2377" s="153">
        <v>1</v>
      </c>
      <c r="AF2377" s="153" t="str">
        <f ca="1" t="shared" si="411"/>
        <v>30260011|</v>
      </c>
      <c r="AJ2377" s="205" t="str">
        <f ca="1" t="shared" si="416"/>
        <v>400023|23700|;</v>
      </c>
      <c r="AK2377" s="205">
        <f ca="1">OFFSET([1]item_type!$A$1,MATCH(Q2377,[1]item_type!$G:$G,0)-1,0)</f>
        <v>303026</v>
      </c>
      <c r="AL2377" s="205"/>
      <c r="AM2377" s="205">
        <f ca="1">IF(B2377=B2378,OFFSET(卡牌辅助配置表!$AE$1,MATCH(AB2377,卡牌辅助配置表!AB:AB,0),0),0)</f>
        <v>23700</v>
      </c>
      <c r="AN2377" s="153">
        <f ca="1" t="shared" si="412"/>
        <v>3026022</v>
      </c>
      <c r="AP2377" s="153" t="str">
        <f ca="1">IF(AC2377=0,0,IF(AC2377=12,0,OFFSET(effect!$N$1,MATCH(K2377,effect!M:M,0)-1,0)))</f>
        <v>kpsx_huangse</v>
      </c>
    </row>
    <row r="2378" spans="1:42">
      <c r="A2378" s="153">
        <f ca="1" t="shared" si="413"/>
        <v>3026022</v>
      </c>
      <c r="B2378" s="91" t="s">
        <v>478</v>
      </c>
      <c r="C2378" s="186">
        <v>3</v>
      </c>
      <c r="D2378" s="186">
        <v>2</v>
      </c>
      <c r="E2378" s="165" t="s">
        <v>1069</v>
      </c>
      <c r="F2378" s="165" t="str">
        <f>"每存在1个魂伤害增加"&amp;skill!$O$155/100&amp;"%"</f>
        <v>每存在1个魂伤害增加40%</v>
      </c>
      <c r="G2378" s="186">
        <f ca="1">OFFSET(卡牌辅助配置表!$C$1,MATCH(AC2378,卡牌辅助配置表!A:A,0)-1,0)</f>
        <v>3</v>
      </c>
      <c r="H2378" s="186">
        <f ca="1" t="shared" si="406"/>
        <v>0</v>
      </c>
      <c r="I2378" s="186"/>
      <c r="J2378" s="186">
        <f ca="1">OFFSET(card_type!$F$1,MATCH(Q2378,card_type!A:A,0)-1,0)</f>
        <v>3</v>
      </c>
      <c r="K2378" s="243">
        <f ca="1">OFFSET(card_type!$G$1,MATCH(Q2378,card_type!A:A,0)-1,0)</f>
        <v>4</v>
      </c>
      <c r="L2378" s="157">
        <v>3</v>
      </c>
      <c r="M2378" s="157">
        <v>3</v>
      </c>
      <c r="N2378" s="153">
        <f t="shared" si="408"/>
        <v>22</v>
      </c>
      <c r="O2378" s="157"/>
      <c r="P2378" s="157"/>
      <c r="Q2378" s="153">
        <f ca="1">OFFSET(card_type!$A$1,MATCH(card!B2378,card_type!B:B,0)-1,0)</f>
        <v>3026</v>
      </c>
      <c r="R2378" s="153">
        <v>1</v>
      </c>
      <c r="S2378" s="157">
        <f ca="1">ROUND(IF(R2378=0,0,IF(R2378=1,X2378*$S$1,IF(R2378=2,X2378*$S$1*buff的资质计算!$E$2,IF(R2378=3,X2378*$S$1*buff的资质计算!$E$3,0)))),0)*0</f>
        <v>0</v>
      </c>
      <c r="T2378" s="153">
        <v>2</v>
      </c>
      <c r="U2378" s="153">
        <f ca="1" t="shared" si="414"/>
        <v>34</v>
      </c>
      <c r="V2378" s="153">
        <f ca="1">ROUND((OFFSET(卡牌辅助配置表!$O$1,MATCH(U2378,卡牌辅助配置表!M:M,0)-1,0)+(N2378-1)*OFFSET(卡牌辅助配置表!$P$1,MATCH(U2378,卡牌辅助配置表!M:M,0)-1,0))*M2378,2)</f>
        <v>322.6</v>
      </c>
      <c r="W2378" s="157">
        <f ca="1">ROUND(IF(R2378=0,0,IF(R2378=1,X2378*$W$1,IF(R2378=2,X2378*$W$1*buff的资质计算!$E$2,IF(R2378=3,X2378*$W$1*buff的资质计算!$E$3,0)))),2)</f>
        <v>28.35</v>
      </c>
      <c r="X2378" s="157">
        <f ca="1" t="shared" si="409"/>
        <v>94.5</v>
      </c>
      <c r="Y2378" s="157">
        <f ca="1" t="shared" ref="Y2378:Y2441" si="417">X2378+H2378</f>
        <v>94.5</v>
      </c>
      <c r="Z2378" s="304">
        <f ca="1" t="shared" si="410"/>
        <v>31.5</v>
      </c>
      <c r="AA2378" s="304">
        <f ca="1">OFFSET(卡牌辅助配置表!$AD$1,MATCH(AB2378,卡牌辅助配置表!AB:AB,0)-1,0)</f>
        <v>24070</v>
      </c>
      <c r="AB2378" s="304">
        <f ca="1" t="shared" si="415"/>
        <v>3422</v>
      </c>
      <c r="AC2378" s="153">
        <v>10</v>
      </c>
      <c r="AD2378" s="153">
        <v>3</v>
      </c>
      <c r="AE2378" s="153">
        <v>1</v>
      </c>
      <c r="AF2378" s="153" t="str">
        <f ca="1" t="shared" si="411"/>
        <v>30260011|</v>
      </c>
      <c r="AJ2378" s="205" t="str">
        <f ca="1" t="shared" si="416"/>
        <v>400023|26100|;</v>
      </c>
      <c r="AK2378" s="205">
        <f ca="1">OFFSET([1]item_type!$A$1,MATCH(Q2378,[1]item_type!$G:$G,0)-1,0)</f>
        <v>303026</v>
      </c>
      <c r="AL2378" s="205"/>
      <c r="AM2378" s="205">
        <f ca="1">IF(B2378=B2379,OFFSET(卡牌辅助配置表!$AE$1,MATCH(AB2378,卡牌辅助配置表!AB:AB,0),0),0)</f>
        <v>26100</v>
      </c>
      <c r="AN2378" s="153">
        <f ca="1" t="shared" si="412"/>
        <v>3026023</v>
      </c>
      <c r="AP2378" s="153" t="str">
        <f ca="1">IF(AC2378=0,0,IF(AC2378=12,0,OFFSET(effect!$N$1,MATCH(K2378,effect!M:M,0)-1,0)))</f>
        <v>kpsx_huangse</v>
      </c>
    </row>
    <row r="2379" spans="1:42">
      <c r="A2379" s="153">
        <f ca="1" t="shared" si="413"/>
        <v>3026023</v>
      </c>
      <c r="B2379" s="91" t="s">
        <v>478</v>
      </c>
      <c r="C2379" s="186">
        <v>3</v>
      </c>
      <c r="D2379" s="186">
        <v>2</v>
      </c>
      <c r="E2379" s="165" t="s">
        <v>1069</v>
      </c>
      <c r="F2379" s="165" t="str">
        <f>"每存在1个魂伤害增加"&amp;skill!$O$155/100&amp;"%"</f>
        <v>每存在1个魂伤害增加40%</v>
      </c>
      <c r="G2379" s="186">
        <f ca="1">OFFSET(卡牌辅助配置表!$C$1,MATCH(AC2379,卡牌辅助配置表!A:A,0)-1,0)</f>
        <v>3</v>
      </c>
      <c r="H2379" s="186">
        <f ca="1" t="shared" si="406"/>
        <v>0</v>
      </c>
      <c r="I2379" s="186"/>
      <c r="J2379" s="186">
        <f ca="1">OFFSET(card_type!$F$1,MATCH(Q2379,card_type!A:A,0)-1,0)</f>
        <v>3</v>
      </c>
      <c r="K2379" s="243">
        <f ca="1">OFFSET(card_type!$G$1,MATCH(Q2379,card_type!A:A,0)-1,0)</f>
        <v>4</v>
      </c>
      <c r="L2379" s="157">
        <v>3</v>
      </c>
      <c r="M2379" s="157">
        <v>3</v>
      </c>
      <c r="N2379" s="153">
        <f t="shared" si="408"/>
        <v>23</v>
      </c>
      <c r="O2379" s="157"/>
      <c r="P2379" s="157"/>
      <c r="Q2379" s="153">
        <f ca="1">OFFSET(card_type!$A$1,MATCH(card!B2379,card_type!B:B,0)-1,0)</f>
        <v>3026</v>
      </c>
      <c r="R2379" s="153">
        <v>1</v>
      </c>
      <c r="S2379" s="157">
        <f ca="1">ROUND(IF(R2379=0,0,IF(R2379=1,X2379*$S$1,IF(R2379=2,X2379*$S$1*buff的资质计算!$E$2,IF(R2379=3,X2379*$S$1*buff的资质计算!$E$3,0)))),0)*0</f>
        <v>0</v>
      </c>
      <c r="T2379" s="153">
        <v>2</v>
      </c>
      <c r="U2379" s="153">
        <f ca="1" t="shared" si="414"/>
        <v>34</v>
      </c>
      <c r="V2379" s="153">
        <f ca="1">ROUND((OFFSET(卡牌辅助配置表!$O$1,MATCH(U2379,卡牌辅助配置表!M:M,0)-1,0)+(N2379-1)*OFFSET(卡牌辅助配置表!$P$1,MATCH(U2379,卡牌辅助配置表!M:M,0)-1,0))*M2379,2)</f>
        <v>333.04</v>
      </c>
      <c r="W2379" s="157">
        <f ca="1">ROUND(IF(R2379=0,0,IF(R2379=1,X2379*$W$1,IF(R2379=2,X2379*$W$1*buff的资质计算!$E$2,IF(R2379=3,X2379*$W$1*buff的资质计算!$E$3,0)))),2)</f>
        <v>28.5</v>
      </c>
      <c r="X2379" s="157">
        <f ca="1" t="shared" si="409"/>
        <v>95</v>
      </c>
      <c r="Y2379" s="157">
        <f ca="1" t="shared" si="417"/>
        <v>95</v>
      </c>
      <c r="Z2379" s="304">
        <f ca="1" t="shared" si="410"/>
        <v>31.6666666666667</v>
      </c>
      <c r="AA2379" s="304">
        <f ca="1">OFFSET(卡牌辅助配置表!$AD$1,MATCH(AB2379,卡牌辅助配置表!AB:AB,0)-1,0)</f>
        <v>25730</v>
      </c>
      <c r="AB2379" s="304">
        <f ca="1" t="shared" si="415"/>
        <v>3423</v>
      </c>
      <c r="AC2379" s="153">
        <v>10</v>
      </c>
      <c r="AD2379" s="153">
        <v>3</v>
      </c>
      <c r="AE2379" s="153">
        <v>1</v>
      </c>
      <c r="AF2379" s="153" t="str">
        <f ca="1" t="shared" si="411"/>
        <v>30260011|</v>
      </c>
      <c r="AJ2379" s="205" t="str">
        <f ca="1" t="shared" si="416"/>
        <v>400023|28500|;</v>
      </c>
      <c r="AK2379" s="205">
        <f ca="1">OFFSET([1]item_type!$A$1,MATCH(Q2379,[1]item_type!$G:$G,0)-1,0)</f>
        <v>303026</v>
      </c>
      <c r="AL2379" s="205"/>
      <c r="AM2379" s="205">
        <f ca="1">IF(B2379=B2380,OFFSET(卡牌辅助配置表!$AE$1,MATCH(AB2379,卡牌辅助配置表!AB:AB,0),0),0)</f>
        <v>28500</v>
      </c>
      <c r="AN2379" s="153">
        <f ca="1" t="shared" si="412"/>
        <v>3026024</v>
      </c>
      <c r="AP2379" s="153" t="str">
        <f ca="1">IF(AC2379=0,0,IF(AC2379=12,0,OFFSET(effect!$N$1,MATCH(K2379,effect!M:M,0)-1,0)))</f>
        <v>kpsx_huangse</v>
      </c>
    </row>
    <row r="2380" spans="1:42">
      <c r="A2380" s="153">
        <f ca="1" t="shared" si="413"/>
        <v>3026024</v>
      </c>
      <c r="B2380" s="91" t="s">
        <v>478</v>
      </c>
      <c r="C2380" s="186">
        <v>3</v>
      </c>
      <c r="D2380" s="186">
        <v>2</v>
      </c>
      <c r="E2380" s="165" t="s">
        <v>1069</v>
      </c>
      <c r="F2380" s="165" t="str">
        <f>"每存在1个魂伤害增加"&amp;skill!$O$155/100&amp;"%"</f>
        <v>每存在1个魂伤害增加40%</v>
      </c>
      <c r="G2380" s="186">
        <f ca="1">OFFSET(卡牌辅助配置表!$C$1,MATCH(AC2380,卡牌辅助配置表!A:A,0)-1,0)</f>
        <v>3</v>
      </c>
      <c r="H2380" s="186">
        <f ca="1" t="shared" si="406"/>
        <v>0</v>
      </c>
      <c r="I2380" s="186"/>
      <c r="J2380" s="186">
        <f ca="1">OFFSET(card_type!$F$1,MATCH(Q2380,card_type!A:A,0)-1,0)</f>
        <v>3</v>
      </c>
      <c r="K2380" s="243">
        <f ca="1">OFFSET(card_type!$G$1,MATCH(Q2380,card_type!A:A,0)-1,0)</f>
        <v>4</v>
      </c>
      <c r="L2380" s="157">
        <v>3</v>
      </c>
      <c r="M2380" s="157">
        <v>3</v>
      </c>
      <c r="N2380" s="153">
        <f t="shared" si="408"/>
        <v>24</v>
      </c>
      <c r="O2380" s="157"/>
      <c r="P2380" s="157"/>
      <c r="Q2380" s="153">
        <f ca="1">OFFSET(card_type!$A$1,MATCH(card!B2380,card_type!B:B,0)-1,0)</f>
        <v>3026</v>
      </c>
      <c r="R2380" s="153">
        <v>1</v>
      </c>
      <c r="S2380" s="157">
        <f ca="1">ROUND(IF(R2380=0,0,IF(R2380=1,X2380*$S$1,IF(R2380=2,X2380*$S$1*buff的资质计算!$E$2,IF(R2380=3,X2380*$S$1*buff的资质计算!$E$3,0)))),0)*0</f>
        <v>0</v>
      </c>
      <c r="T2380" s="153">
        <v>2</v>
      </c>
      <c r="U2380" s="153">
        <f ca="1" t="shared" si="414"/>
        <v>34</v>
      </c>
      <c r="V2380" s="153">
        <f ca="1">ROUND((OFFSET(卡牌辅助配置表!$O$1,MATCH(U2380,卡牌辅助配置表!M:M,0)-1,0)+(N2380-1)*OFFSET(卡牌辅助配置表!$P$1,MATCH(U2380,卡牌辅助配置表!M:M,0)-1,0))*M2380,2)</f>
        <v>343.48</v>
      </c>
      <c r="W2380" s="157">
        <f ca="1">ROUND(IF(R2380=0,0,IF(R2380=1,X2380*$W$1,IF(R2380=2,X2380*$W$1*buff的资质计算!$E$2,IF(R2380=3,X2380*$W$1*buff的资质计算!$E$3,0)))),2)</f>
        <v>28.65</v>
      </c>
      <c r="X2380" s="157">
        <f ca="1" t="shared" si="409"/>
        <v>95.5</v>
      </c>
      <c r="Y2380" s="157">
        <f ca="1" t="shared" si="417"/>
        <v>95.5</v>
      </c>
      <c r="Z2380" s="304">
        <f ca="1" t="shared" si="410"/>
        <v>31.8333333333333</v>
      </c>
      <c r="AA2380" s="304">
        <f ca="1">OFFSET(卡牌辅助配置表!$AD$1,MATCH(AB2380,卡牌辅助配置表!AB:AB,0)-1,0)</f>
        <v>27390</v>
      </c>
      <c r="AB2380" s="304">
        <f ca="1" t="shared" si="415"/>
        <v>3424</v>
      </c>
      <c r="AC2380" s="153">
        <v>10</v>
      </c>
      <c r="AD2380" s="153">
        <v>3</v>
      </c>
      <c r="AE2380" s="153">
        <v>1</v>
      </c>
      <c r="AF2380" s="153" t="str">
        <f ca="1" t="shared" si="411"/>
        <v>30260011|</v>
      </c>
      <c r="AJ2380" s="205" t="str">
        <f ca="1" t="shared" si="416"/>
        <v>400023|30900|;</v>
      </c>
      <c r="AK2380" s="205">
        <f ca="1">OFFSET([1]item_type!$A$1,MATCH(Q2380,[1]item_type!$G:$G,0)-1,0)</f>
        <v>303026</v>
      </c>
      <c r="AL2380" s="205"/>
      <c r="AM2380" s="205">
        <f ca="1">IF(B2380=B2381,OFFSET(卡牌辅助配置表!$AE$1,MATCH(AB2380,卡牌辅助配置表!AB:AB,0),0),0)</f>
        <v>30900</v>
      </c>
      <c r="AN2380" s="153">
        <f ca="1" t="shared" si="412"/>
        <v>3026025</v>
      </c>
      <c r="AP2380" s="153" t="str">
        <f ca="1">IF(AC2380=0,0,IF(AC2380=12,0,OFFSET(effect!$N$1,MATCH(K2380,effect!M:M,0)-1,0)))</f>
        <v>kpsx_huangse</v>
      </c>
    </row>
    <row r="2381" spans="1:42">
      <c r="A2381" s="153">
        <f ca="1" t="shared" si="413"/>
        <v>3026025</v>
      </c>
      <c r="B2381" s="91" t="s">
        <v>478</v>
      </c>
      <c r="C2381" s="186">
        <v>3</v>
      </c>
      <c r="D2381" s="186">
        <v>2</v>
      </c>
      <c r="E2381" s="165" t="s">
        <v>1069</v>
      </c>
      <c r="F2381" s="165" t="str">
        <f>"每存在1个魂伤害增加"&amp;skill!$O$155/100&amp;"%"</f>
        <v>每存在1个魂伤害增加40%</v>
      </c>
      <c r="G2381" s="186">
        <f ca="1">OFFSET(卡牌辅助配置表!$C$1,MATCH(AC2381,卡牌辅助配置表!A:A,0)-1,0)</f>
        <v>3</v>
      </c>
      <c r="H2381" s="186">
        <f ca="1" t="shared" si="406"/>
        <v>0</v>
      </c>
      <c r="I2381" s="186"/>
      <c r="J2381" s="186">
        <f ca="1">OFFSET(card_type!$F$1,MATCH(Q2381,card_type!A:A,0)-1,0)</f>
        <v>3</v>
      </c>
      <c r="K2381" s="243">
        <f ca="1">OFFSET(card_type!$G$1,MATCH(Q2381,card_type!A:A,0)-1,0)</f>
        <v>4</v>
      </c>
      <c r="L2381" s="157">
        <v>3</v>
      </c>
      <c r="M2381" s="157">
        <v>3</v>
      </c>
      <c r="N2381" s="153">
        <f t="shared" si="408"/>
        <v>25</v>
      </c>
      <c r="O2381" s="157"/>
      <c r="P2381" s="157"/>
      <c r="Q2381" s="153">
        <f ca="1">OFFSET(card_type!$A$1,MATCH(card!B2381,card_type!B:B,0)-1,0)</f>
        <v>3026</v>
      </c>
      <c r="R2381" s="153">
        <v>1</v>
      </c>
      <c r="S2381" s="157">
        <f ca="1">ROUND(IF(R2381=0,0,IF(R2381=1,X2381*$S$1,IF(R2381=2,X2381*$S$1*buff的资质计算!$E$2,IF(R2381=3,X2381*$S$1*buff的资质计算!$E$3,0)))),0)*0</f>
        <v>0</v>
      </c>
      <c r="T2381" s="153">
        <v>2</v>
      </c>
      <c r="U2381" s="153">
        <f ca="1" t="shared" si="414"/>
        <v>34</v>
      </c>
      <c r="V2381" s="153">
        <f ca="1">ROUND((OFFSET(卡牌辅助配置表!$O$1,MATCH(U2381,卡牌辅助配置表!M:M,0)-1,0)+(N2381-1)*OFFSET(卡牌辅助配置表!$P$1,MATCH(U2381,卡牌辅助配置表!M:M,0)-1,0))*M2381,2)</f>
        <v>353.92</v>
      </c>
      <c r="W2381" s="157">
        <f ca="1">ROUND(IF(R2381=0,0,IF(R2381=1,X2381*$W$1,IF(R2381=2,X2381*$W$1*buff的资质计算!$E$2,IF(R2381=3,X2381*$W$1*buff的资质计算!$E$3,0)))),2)</f>
        <v>28.8</v>
      </c>
      <c r="X2381" s="157">
        <f ca="1" t="shared" si="409"/>
        <v>96</v>
      </c>
      <c r="Y2381" s="157">
        <f ca="1" t="shared" si="417"/>
        <v>96</v>
      </c>
      <c r="Z2381" s="304">
        <f ca="1" t="shared" si="410"/>
        <v>32</v>
      </c>
      <c r="AA2381" s="304">
        <f ca="1">OFFSET(卡牌辅助配置表!$AD$1,MATCH(AB2381,卡牌辅助配置表!AB:AB,0)-1,0)</f>
        <v>29050</v>
      </c>
      <c r="AB2381" s="304">
        <f ca="1" t="shared" si="415"/>
        <v>3425</v>
      </c>
      <c r="AC2381" s="153">
        <v>10</v>
      </c>
      <c r="AD2381" s="153">
        <v>3</v>
      </c>
      <c r="AE2381" s="153">
        <v>1</v>
      </c>
      <c r="AF2381" s="153" t="str">
        <f ca="1" t="shared" si="411"/>
        <v>30260011|</v>
      </c>
      <c r="AJ2381" s="205" t="str">
        <f ca="1" t="shared" si="416"/>
        <v>400023|33300|;</v>
      </c>
      <c r="AK2381" s="205">
        <f ca="1">OFFSET([1]item_type!$A$1,MATCH(Q2381,[1]item_type!$G:$G,0)-1,0)</f>
        <v>303026</v>
      </c>
      <c r="AL2381" s="205"/>
      <c r="AM2381" s="205">
        <f ca="1">IF(B2381=B2382,OFFSET(卡牌辅助配置表!$AE$1,MATCH(AB2381,卡牌辅助配置表!AB:AB,0),0),0)</f>
        <v>33300</v>
      </c>
      <c r="AN2381" s="153">
        <f ca="1" t="shared" si="412"/>
        <v>3026026</v>
      </c>
      <c r="AP2381" s="153" t="str">
        <f ca="1">IF(AC2381=0,0,IF(AC2381=12,0,OFFSET(effect!$N$1,MATCH(K2381,effect!M:M,0)-1,0)))</f>
        <v>kpsx_huangse</v>
      </c>
    </row>
    <row r="2382" spans="1:42">
      <c r="A2382" s="153">
        <f ca="1" t="shared" si="413"/>
        <v>3026026</v>
      </c>
      <c r="B2382" s="91" t="s">
        <v>478</v>
      </c>
      <c r="C2382" s="186">
        <v>3</v>
      </c>
      <c r="D2382" s="186">
        <v>2</v>
      </c>
      <c r="E2382" s="165" t="s">
        <v>1069</v>
      </c>
      <c r="F2382" s="165" t="str">
        <f>"每存在1个魂伤害增加"&amp;skill!$O$155/100&amp;"%"</f>
        <v>每存在1个魂伤害增加40%</v>
      </c>
      <c r="G2382" s="186">
        <f ca="1">OFFSET(卡牌辅助配置表!$C$1,MATCH(AC2382,卡牌辅助配置表!A:A,0)-1,0)</f>
        <v>3</v>
      </c>
      <c r="H2382" s="186">
        <f ca="1" t="shared" si="406"/>
        <v>0</v>
      </c>
      <c r="I2382" s="186"/>
      <c r="J2382" s="186">
        <f ca="1">OFFSET(card_type!$F$1,MATCH(Q2382,card_type!A:A,0)-1,0)</f>
        <v>3</v>
      </c>
      <c r="K2382" s="243">
        <f ca="1">OFFSET(card_type!$G$1,MATCH(Q2382,card_type!A:A,0)-1,0)</f>
        <v>4</v>
      </c>
      <c r="L2382" s="157">
        <v>3</v>
      </c>
      <c r="M2382" s="157">
        <v>3</v>
      </c>
      <c r="N2382" s="153">
        <f t="shared" si="408"/>
        <v>26</v>
      </c>
      <c r="O2382" s="157"/>
      <c r="P2382" s="157"/>
      <c r="Q2382" s="153">
        <f ca="1">OFFSET(card_type!$A$1,MATCH(card!B2382,card_type!B:B,0)-1,0)</f>
        <v>3026</v>
      </c>
      <c r="R2382" s="153">
        <v>1</v>
      </c>
      <c r="S2382" s="157">
        <f ca="1">ROUND(IF(R2382=0,0,IF(R2382=1,X2382*$S$1,IF(R2382=2,X2382*$S$1*buff的资质计算!$E$2,IF(R2382=3,X2382*$S$1*buff的资质计算!$E$3,0)))),0)*0</f>
        <v>0</v>
      </c>
      <c r="T2382" s="153">
        <v>2</v>
      </c>
      <c r="U2382" s="153">
        <f ca="1" t="shared" si="414"/>
        <v>34</v>
      </c>
      <c r="V2382" s="153">
        <f ca="1">ROUND((OFFSET(卡牌辅助配置表!$O$1,MATCH(U2382,卡牌辅助配置表!M:M,0)-1,0)+(N2382-1)*OFFSET(卡牌辅助配置表!$P$1,MATCH(U2382,卡牌辅助配置表!M:M,0)-1,0))*M2382,2)</f>
        <v>364.36</v>
      </c>
      <c r="W2382" s="157">
        <f ca="1">ROUND(IF(R2382=0,0,IF(R2382=1,X2382*$W$1,IF(R2382=2,X2382*$W$1*buff的资质计算!$E$2,IF(R2382=3,X2382*$W$1*buff的资质计算!$E$3,0)))),2)</f>
        <v>28.95</v>
      </c>
      <c r="X2382" s="157">
        <f ca="1" t="shared" si="409"/>
        <v>96.5</v>
      </c>
      <c r="Y2382" s="157">
        <f ca="1" t="shared" si="417"/>
        <v>96.5</v>
      </c>
      <c r="Z2382" s="304">
        <f ca="1" t="shared" si="410"/>
        <v>32.1666666666667</v>
      </c>
      <c r="AA2382" s="304">
        <f ca="1">OFFSET(卡牌辅助配置表!$AD$1,MATCH(AB2382,卡牌辅助配置表!AB:AB,0)-1,0)</f>
        <v>30710</v>
      </c>
      <c r="AB2382" s="304">
        <f ca="1" t="shared" si="415"/>
        <v>3426</v>
      </c>
      <c r="AC2382" s="153">
        <v>10</v>
      </c>
      <c r="AD2382" s="153">
        <v>3</v>
      </c>
      <c r="AE2382" s="153">
        <v>1</v>
      </c>
      <c r="AF2382" s="153" t="str">
        <f ca="1" t="shared" si="411"/>
        <v>30260011|</v>
      </c>
      <c r="AJ2382" s="205" t="str">
        <f ca="1" t="shared" si="416"/>
        <v>400023|35700|;</v>
      </c>
      <c r="AK2382" s="205">
        <f ca="1">OFFSET([1]item_type!$A$1,MATCH(Q2382,[1]item_type!$G:$G,0)-1,0)</f>
        <v>303026</v>
      </c>
      <c r="AL2382" s="205"/>
      <c r="AM2382" s="205">
        <f ca="1">IF(B2382=B2383,OFFSET(卡牌辅助配置表!$AE$1,MATCH(AB2382,卡牌辅助配置表!AB:AB,0),0),0)</f>
        <v>35700</v>
      </c>
      <c r="AN2382" s="153">
        <f ca="1" t="shared" si="412"/>
        <v>3026027</v>
      </c>
      <c r="AP2382" s="153" t="str">
        <f ca="1">IF(AC2382=0,0,IF(AC2382=12,0,OFFSET(effect!$N$1,MATCH(K2382,effect!M:M,0)-1,0)))</f>
        <v>kpsx_huangse</v>
      </c>
    </row>
    <row r="2383" spans="1:42">
      <c r="A2383" s="153">
        <f ca="1" t="shared" si="413"/>
        <v>3026027</v>
      </c>
      <c r="B2383" s="91" t="s">
        <v>478</v>
      </c>
      <c r="C2383" s="186">
        <v>3</v>
      </c>
      <c r="D2383" s="186">
        <v>2</v>
      </c>
      <c r="E2383" s="165" t="s">
        <v>1069</v>
      </c>
      <c r="F2383" s="165" t="str">
        <f>"每存在1个魂伤害增加"&amp;skill!$O$155/100&amp;"%"</f>
        <v>每存在1个魂伤害增加40%</v>
      </c>
      <c r="G2383" s="186">
        <f ca="1">OFFSET(卡牌辅助配置表!$C$1,MATCH(AC2383,卡牌辅助配置表!A:A,0)-1,0)</f>
        <v>3</v>
      </c>
      <c r="H2383" s="186">
        <f ca="1" t="shared" si="406"/>
        <v>0</v>
      </c>
      <c r="I2383" s="186"/>
      <c r="J2383" s="186">
        <f ca="1">OFFSET(card_type!$F$1,MATCH(Q2383,card_type!A:A,0)-1,0)</f>
        <v>3</v>
      </c>
      <c r="K2383" s="243">
        <f ca="1">OFFSET(card_type!$G$1,MATCH(Q2383,card_type!A:A,0)-1,0)</f>
        <v>4</v>
      </c>
      <c r="L2383" s="157">
        <v>3</v>
      </c>
      <c r="M2383" s="157">
        <v>3</v>
      </c>
      <c r="N2383" s="153">
        <f t="shared" si="408"/>
        <v>27</v>
      </c>
      <c r="O2383" s="157"/>
      <c r="P2383" s="157"/>
      <c r="Q2383" s="153">
        <f ca="1">OFFSET(card_type!$A$1,MATCH(card!B2383,card_type!B:B,0)-1,0)</f>
        <v>3026</v>
      </c>
      <c r="R2383" s="153">
        <v>1</v>
      </c>
      <c r="S2383" s="157">
        <f ca="1">ROUND(IF(R2383=0,0,IF(R2383=1,X2383*$S$1,IF(R2383=2,X2383*$S$1*buff的资质计算!$E$2,IF(R2383=3,X2383*$S$1*buff的资质计算!$E$3,0)))),0)*0</f>
        <v>0</v>
      </c>
      <c r="T2383" s="153">
        <v>2</v>
      </c>
      <c r="U2383" s="153">
        <f ca="1" t="shared" si="414"/>
        <v>34</v>
      </c>
      <c r="V2383" s="153">
        <f ca="1">ROUND((OFFSET(卡牌辅助配置表!$O$1,MATCH(U2383,卡牌辅助配置表!M:M,0)-1,0)+(N2383-1)*OFFSET(卡牌辅助配置表!$P$1,MATCH(U2383,卡牌辅助配置表!M:M,0)-1,0))*M2383,2)</f>
        <v>374.8</v>
      </c>
      <c r="W2383" s="157">
        <f ca="1">ROUND(IF(R2383=0,0,IF(R2383=1,X2383*$W$1,IF(R2383=2,X2383*$W$1*buff的资质计算!$E$2,IF(R2383=3,X2383*$W$1*buff的资质计算!$E$3,0)))),2)</f>
        <v>29.1</v>
      </c>
      <c r="X2383" s="157">
        <f ca="1" t="shared" si="409"/>
        <v>97</v>
      </c>
      <c r="Y2383" s="157">
        <f ca="1" t="shared" si="417"/>
        <v>97</v>
      </c>
      <c r="Z2383" s="304">
        <f ca="1" t="shared" si="410"/>
        <v>32.3333333333333</v>
      </c>
      <c r="AA2383" s="304">
        <f ca="1">OFFSET(卡牌辅助配置表!$AD$1,MATCH(AB2383,卡牌辅助配置表!AB:AB,0)-1,0)</f>
        <v>32370</v>
      </c>
      <c r="AB2383" s="304">
        <f ca="1" t="shared" si="415"/>
        <v>3427</v>
      </c>
      <c r="AC2383" s="153">
        <v>10</v>
      </c>
      <c r="AD2383" s="153">
        <v>3</v>
      </c>
      <c r="AE2383" s="153">
        <v>1</v>
      </c>
      <c r="AF2383" s="153" t="str">
        <f ca="1" t="shared" si="411"/>
        <v>30260011|</v>
      </c>
      <c r="AJ2383" s="205" t="str">
        <f ca="1" t="shared" si="416"/>
        <v>400023|38100|;</v>
      </c>
      <c r="AK2383" s="205">
        <f ca="1">OFFSET([1]item_type!$A$1,MATCH(Q2383,[1]item_type!$G:$G,0)-1,0)</f>
        <v>303026</v>
      </c>
      <c r="AL2383" s="205"/>
      <c r="AM2383" s="205">
        <f ca="1">IF(B2383=B2384,OFFSET(卡牌辅助配置表!$AE$1,MATCH(AB2383,卡牌辅助配置表!AB:AB,0),0),0)</f>
        <v>38100</v>
      </c>
      <c r="AN2383" s="153">
        <f ca="1" t="shared" si="412"/>
        <v>3026028</v>
      </c>
      <c r="AP2383" s="153" t="str">
        <f ca="1">IF(AC2383=0,0,IF(AC2383=12,0,OFFSET(effect!$N$1,MATCH(K2383,effect!M:M,0)-1,0)))</f>
        <v>kpsx_huangse</v>
      </c>
    </row>
    <row r="2384" spans="1:42">
      <c r="A2384" s="153">
        <f ca="1" t="shared" si="413"/>
        <v>3026028</v>
      </c>
      <c r="B2384" s="91" t="s">
        <v>478</v>
      </c>
      <c r="C2384" s="186">
        <v>3</v>
      </c>
      <c r="D2384" s="186">
        <v>2</v>
      </c>
      <c r="E2384" s="165" t="s">
        <v>1069</v>
      </c>
      <c r="F2384" s="165" t="str">
        <f>"每存在1个魂伤害增加"&amp;skill!$O$155/100&amp;"%"</f>
        <v>每存在1个魂伤害增加40%</v>
      </c>
      <c r="G2384" s="186">
        <f ca="1">OFFSET(卡牌辅助配置表!$C$1,MATCH(AC2384,卡牌辅助配置表!A:A,0)-1,0)</f>
        <v>3</v>
      </c>
      <c r="H2384" s="186">
        <f ca="1" t="shared" si="406"/>
        <v>0</v>
      </c>
      <c r="I2384" s="186"/>
      <c r="J2384" s="186">
        <f ca="1">OFFSET(card_type!$F$1,MATCH(Q2384,card_type!A:A,0)-1,0)</f>
        <v>3</v>
      </c>
      <c r="K2384" s="243">
        <f ca="1">OFFSET(card_type!$G$1,MATCH(Q2384,card_type!A:A,0)-1,0)</f>
        <v>4</v>
      </c>
      <c r="L2384" s="157">
        <v>3</v>
      </c>
      <c r="M2384" s="157">
        <v>3</v>
      </c>
      <c r="N2384" s="153">
        <f t="shared" si="408"/>
        <v>28</v>
      </c>
      <c r="O2384" s="157"/>
      <c r="P2384" s="157"/>
      <c r="Q2384" s="153">
        <f ca="1">OFFSET(card_type!$A$1,MATCH(card!B2384,card_type!B:B,0)-1,0)</f>
        <v>3026</v>
      </c>
      <c r="R2384" s="153">
        <v>1</v>
      </c>
      <c r="S2384" s="157">
        <f ca="1">ROUND(IF(R2384=0,0,IF(R2384=1,X2384*$S$1,IF(R2384=2,X2384*$S$1*buff的资质计算!$E$2,IF(R2384=3,X2384*$S$1*buff的资质计算!$E$3,0)))),0)*0</f>
        <v>0</v>
      </c>
      <c r="T2384" s="153">
        <v>2</v>
      </c>
      <c r="U2384" s="153">
        <f ca="1" t="shared" si="414"/>
        <v>34</v>
      </c>
      <c r="V2384" s="153">
        <f ca="1">ROUND((OFFSET(卡牌辅助配置表!$O$1,MATCH(U2384,卡牌辅助配置表!M:M,0)-1,0)+(N2384-1)*OFFSET(卡牌辅助配置表!$P$1,MATCH(U2384,卡牌辅助配置表!M:M,0)-1,0))*M2384,2)</f>
        <v>385.24</v>
      </c>
      <c r="W2384" s="157">
        <f ca="1">ROUND(IF(R2384=0,0,IF(R2384=1,X2384*$W$1,IF(R2384=2,X2384*$W$1*buff的资质计算!$E$2,IF(R2384=3,X2384*$W$1*buff的资质计算!$E$3,0)))),2)</f>
        <v>29.25</v>
      </c>
      <c r="X2384" s="157">
        <f ca="1" t="shared" si="409"/>
        <v>97.5</v>
      </c>
      <c r="Y2384" s="157">
        <f ca="1" t="shared" si="417"/>
        <v>97.5</v>
      </c>
      <c r="Z2384" s="304">
        <f ca="1" t="shared" si="410"/>
        <v>32.5</v>
      </c>
      <c r="AA2384" s="304">
        <f ca="1">OFFSET(卡牌辅助配置表!$AD$1,MATCH(AB2384,卡牌辅助配置表!AB:AB,0)-1,0)</f>
        <v>34030</v>
      </c>
      <c r="AB2384" s="304">
        <f ca="1" t="shared" si="415"/>
        <v>3428</v>
      </c>
      <c r="AC2384" s="153">
        <v>10</v>
      </c>
      <c r="AD2384" s="153">
        <v>3</v>
      </c>
      <c r="AE2384" s="153">
        <v>1</v>
      </c>
      <c r="AF2384" s="153" t="str">
        <f ca="1" t="shared" si="411"/>
        <v>30260011|</v>
      </c>
      <c r="AJ2384" s="205" t="str">
        <f ca="1" t="shared" si="416"/>
        <v>400023|40500|;</v>
      </c>
      <c r="AK2384" s="205">
        <f ca="1">OFFSET([1]item_type!$A$1,MATCH(Q2384,[1]item_type!$G:$G,0)-1,0)</f>
        <v>303026</v>
      </c>
      <c r="AL2384" s="205"/>
      <c r="AM2384" s="205">
        <f ca="1">IF(B2384=B2385,OFFSET(卡牌辅助配置表!$AE$1,MATCH(AB2384,卡牌辅助配置表!AB:AB,0),0),0)</f>
        <v>40500</v>
      </c>
      <c r="AN2384" s="153">
        <f ca="1" t="shared" si="412"/>
        <v>3026029</v>
      </c>
      <c r="AP2384" s="153" t="str">
        <f ca="1">IF(AC2384=0,0,IF(AC2384=12,0,OFFSET(effect!$N$1,MATCH(K2384,effect!M:M,0)-1,0)))</f>
        <v>kpsx_huangse</v>
      </c>
    </row>
    <row r="2385" spans="1:42">
      <c r="A2385" s="153">
        <f ca="1" t="shared" si="413"/>
        <v>3026029</v>
      </c>
      <c r="B2385" s="91" t="s">
        <v>478</v>
      </c>
      <c r="C2385" s="186">
        <v>3</v>
      </c>
      <c r="D2385" s="186">
        <v>2</v>
      </c>
      <c r="E2385" s="165" t="s">
        <v>1069</v>
      </c>
      <c r="F2385" s="165" t="str">
        <f>"每存在1个魂伤害增加"&amp;skill!$O$155/100&amp;"%"</f>
        <v>每存在1个魂伤害增加40%</v>
      </c>
      <c r="G2385" s="186">
        <f ca="1">OFFSET(卡牌辅助配置表!$C$1,MATCH(AC2385,卡牌辅助配置表!A:A,0)-1,0)</f>
        <v>3</v>
      </c>
      <c r="H2385" s="186">
        <f ca="1" t="shared" si="406"/>
        <v>0</v>
      </c>
      <c r="I2385" s="186"/>
      <c r="J2385" s="186">
        <f ca="1">OFFSET(card_type!$F$1,MATCH(Q2385,card_type!A:A,0)-1,0)</f>
        <v>3</v>
      </c>
      <c r="K2385" s="243">
        <f ca="1">OFFSET(card_type!$G$1,MATCH(Q2385,card_type!A:A,0)-1,0)</f>
        <v>4</v>
      </c>
      <c r="L2385" s="157">
        <v>3</v>
      </c>
      <c r="M2385" s="157">
        <v>3</v>
      </c>
      <c r="N2385" s="153">
        <f t="shared" si="408"/>
        <v>29</v>
      </c>
      <c r="O2385" s="157"/>
      <c r="P2385" s="157"/>
      <c r="Q2385" s="153">
        <f ca="1">OFFSET(card_type!$A$1,MATCH(card!B2385,card_type!B:B,0)-1,0)</f>
        <v>3026</v>
      </c>
      <c r="R2385" s="153">
        <v>1</v>
      </c>
      <c r="S2385" s="157">
        <f ca="1">ROUND(IF(R2385=0,0,IF(R2385=1,X2385*$S$1,IF(R2385=2,X2385*$S$1*buff的资质计算!$E$2,IF(R2385=3,X2385*$S$1*buff的资质计算!$E$3,0)))),0)*0</f>
        <v>0</v>
      </c>
      <c r="T2385" s="153">
        <v>2</v>
      </c>
      <c r="U2385" s="153">
        <f ca="1" t="shared" si="414"/>
        <v>34</v>
      </c>
      <c r="V2385" s="153">
        <f ca="1">ROUND((OFFSET(卡牌辅助配置表!$O$1,MATCH(U2385,卡牌辅助配置表!M:M,0)-1,0)+(N2385-1)*OFFSET(卡牌辅助配置表!$P$1,MATCH(U2385,卡牌辅助配置表!M:M,0)-1,0))*M2385,2)</f>
        <v>395.68</v>
      </c>
      <c r="W2385" s="157">
        <f ca="1">ROUND(IF(R2385=0,0,IF(R2385=1,X2385*$W$1,IF(R2385=2,X2385*$W$1*buff的资质计算!$E$2,IF(R2385=3,X2385*$W$1*buff的资质计算!$E$3,0)))),2)</f>
        <v>29.4</v>
      </c>
      <c r="X2385" s="157">
        <f ca="1" t="shared" si="409"/>
        <v>98</v>
      </c>
      <c r="Y2385" s="157">
        <f ca="1" t="shared" si="417"/>
        <v>98</v>
      </c>
      <c r="Z2385" s="304">
        <f ca="1" t="shared" si="410"/>
        <v>32.6666666666667</v>
      </c>
      <c r="AA2385" s="304">
        <f ca="1">OFFSET(卡牌辅助配置表!$AD$1,MATCH(AB2385,卡牌辅助配置表!AB:AB,0)-1,0)</f>
        <v>35690</v>
      </c>
      <c r="AB2385" s="304">
        <f ca="1" t="shared" si="415"/>
        <v>3429</v>
      </c>
      <c r="AC2385" s="153">
        <v>10</v>
      </c>
      <c r="AD2385" s="153">
        <v>3</v>
      </c>
      <c r="AE2385" s="153">
        <v>1</v>
      </c>
      <c r="AF2385" s="153" t="str">
        <f ca="1" t="shared" si="411"/>
        <v>30260011|</v>
      </c>
      <c r="AJ2385" s="205" t="str">
        <f ca="1" t="shared" si="416"/>
        <v>303026|30|;400023|42900|;</v>
      </c>
      <c r="AK2385" s="205">
        <f ca="1">OFFSET([1]item_type!$A$1,MATCH(Q2385,[1]item_type!$G:$G,0)-1,0)</f>
        <v>303026</v>
      </c>
      <c r="AL2385" s="205">
        <v>30</v>
      </c>
      <c r="AM2385" s="205">
        <f ca="1">IF(B2385=B2386,OFFSET(卡牌辅助配置表!$AE$1,MATCH(AB2385,卡牌辅助配置表!AB:AB,0),0),0)</f>
        <v>42900</v>
      </c>
      <c r="AN2385" s="153">
        <f ca="1" t="shared" si="412"/>
        <v>3026030</v>
      </c>
      <c r="AP2385" s="153" t="str">
        <f ca="1">IF(AC2385=0,0,IF(AC2385=12,0,OFFSET(effect!$N$1,MATCH(K2385,effect!M:M,0)-1,0)))</f>
        <v>kpsx_huangse</v>
      </c>
    </row>
    <row r="2386" spans="1:42">
      <c r="A2386" s="153">
        <f ca="1" t="shared" si="413"/>
        <v>3026030</v>
      </c>
      <c r="B2386" s="91" t="s">
        <v>478</v>
      </c>
      <c r="C2386" s="186">
        <v>3</v>
      </c>
      <c r="D2386" s="186">
        <v>2</v>
      </c>
      <c r="E2386" s="165" t="s">
        <v>1069</v>
      </c>
      <c r="F2386" s="165" t="str">
        <f>"每存在1个魂伤害增加"&amp;skill!$O$155/100&amp;"%"</f>
        <v>每存在1个魂伤害增加40%</v>
      </c>
      <c r="G2386" s="186">
        <f ca="1">OFFSET(卡牌辅助配置表!$C$1,MATCH(AC2386,卡牌辅助配置表!A:A,0)-1,0)</f>
        <v>3</v>
      </c>
      <c r="H2386" s="186">
        <f ca="1" t="shared" si="406"/>
        <v>0</v>
      </c>
      <c r="I2386" s="186"/>
      <c r="J2386" s="186">
        <f ca="1">OFFSET(card_type!$F$1,MATCH(Q2386,card_type!A:A,0)-1,0)</f>
        <v>3</v>
      </c>
      <c r="K2386" s="243">
        <f ca="1">OFFSET(card_type!$G$1,MATCH(Q2386,card_type!A:A,0)-1,0)</f>
        <v>4</v>
      </c>
      <c r="L2386" s="157">
        <v>3</v>
      </c>
      <c r="M2386" s="157">
        <v>3</v>
      </c>
      <c r="N2386" s="153">
        <f t="shared" si="408"/>
        <v>30</v>
      </c>
      <c r="O2386" s="157"/>
      <c r="P2386" s="157"/>
      <c r="Q2386" s="153">
        <f ca="1">OFFSET(card_type!$A$1,MATCH(card!B2386,card_type!B:B,0)-1,0)</f>
        <v>3026</v>
      </c>
      <c r="R2386" s="153">
        <v>1</v>
      </c>
      <c r="S2386" s="157">
        <f ca="1">ROUND(IF(R2386=0,0,IF(R2386=1,X2386*$S$1,IF(R2386=2,X2386*$S$1*buff的资质计算!$E$2,IF(R2386=3,X2386*$S$1*buff的资质计算!$E$3,0)))),0)*0</f>
        <v>0</v>
      </c>
      <c r="T2386" s="153">
        <v>2</v>
      </c>
      <c r="U2386" s="153">
        <f ca="1" t="shared" si="414"/>
        <v>34</v>
      </c>
      <c r="V2386" s="153">
        <f ca="1">ROUND((OFFSET(卡牌辅助配置表!$O$1,MATCH(U2386,卡牌辅助配置表!M:M,0)-1,0)+(N2386-1)*OFFSET(卡牌辅助配置表!$P$1,MATCH(U2386,卡牌辅助配置表!M:M,0)-1,0))*M2386,2)</f>
        <v>406.12</v>
      </c>
      <c r="W2386" s="157">
        <f ca="1">ROUND(IF(R2386=0,0,IF(R2386=1,X2386*$W$1,IF(R2386=2,X2386*$W$1*buff的资质计算!$E$2,IF(R2386=3,X2386*$W$1*buff的资质计算!$E$3,0)))),2)</f>
        <v>29.55</v>
      </c>
      <c r="X2386" s="157">
        <f ca="1" t="shared" si="409"/>
        <v>98.5</v>
      </c>
      <c r="Y2386" s="157">
        <f ca="1" t="shared" si="417"/>
        <v>98.5</v>
      </c>
      <c r="Z2386" s="304">
        <f ca="1" t="shared" si="410"/>
        <v>32.8333333333333</v>
      </c>
      <c r="AA2386" s="304">
        <f ca="1">OFFSET(卡牌辅助配置表!$AD$1,MATCH(AB2386,卡牌辅助配置表!AB:AB,0)-1,0)</f>
        <v>37350</v>
      </c>
      <c r="AB2386" s="304">
        <f ca="1" t="shared" si="415"/>
        <v>3430</v>
      </c>
      <c r="AC2386" s="153">
        <v>10</v>
      </c>
      <c r="AD2386" s="153">
        <v>3</v>
      </c>
      <c r="AE2386" s="153">
        <v>1</v>
      </c>
      <c r="AF2386" s="153" t="str">
        <f ca="1" t="shared" si="411"/>
        <v>30260011|</v>
      </c>
      <c r="AJ2386" s="205">
        <f ca="1" t="shared" si="416"/>
        <v>0</v>
      </c>
      <c r="AK2386" s="205">
        <f ca="1">OFFSET([1]item_type!$A$1,MATCH(Q2386,[1]item_type!$G:$G,0)-1,0)</f>
        <v>303026</v>
      </c>
      <c r="AL2386" s="205"/>
      <c r="AM2386" s="205">
        <f ca="1">IF(B2386=B2387,OFFSET(卡牌辅助配置表!$AE$1,MATCH(AB2386,卡牌辅助配置表!AB:AB,0),0),0)</f>
        <v>0</v>
      </c>
      <c r="AN2386" s="153">
        <f ca="1">IF(B2386=B2417,A2386+1,0)</f>
        <v>0</v>
      </c>
      <c r="AP2386" s="153" t="str">
        <f ca="1">IF(AC2386=0,0,IF(AC2386=12,0,OFFSET(effect!$N$1,MATCH(K2386,effect!M:M,0)-1,0)))</f>
        <v>kpsx_huangse</v>
      </c>
    </row>
    <row r="2387" spans="1:42">
      <c r="A2387" s="153">
        <f ca="1" t="shared" si="413"/>
        <v>3404001</v>
      </c>
      <c r="B2387" s="152" t="s">
        <v>947</v>
      </c>
      <c r="C2387" s="186">
        <v>3</v>
      </c>
      <c r="D2387" s="186">
        <v>2</v>
      </c>
      <c r="E2387" s="165" t="s">
        <v>1069</v>
      </c>
      <c r="F2387" s="306" t="s">
        <v>1079</v>
      </c>
      <c r="G2387" s="186">
        <f ca="1">OFFSET(卡牌辅助配置表!$C$1,MATCH(AC2387,卡牌辅助配置表!A:A,0)-1,0)</f>
        <v>3</v>
      </c>
      <c r="H2387" s="186">
        <f ca="1">OFFSET(skill!$Q$1,MATCH(B2387,skill!B:B,0)-1,0)</f>
        <v>11.25</v>
      </c>
      <c r="I2387" s="186"/>
      <c r="J2387" s="186">
        <f ca="1">OFFSET(card_type!$F$1,MATCH(Q2387,card_type!A:A,0)-1,0)</f>
        <v>4</v>
      </c>
      <c r="K2387" s="243">
        <f ca="1">OFFSET(card_type!$G$1,MATCH(Q2387,card_type!A:A,0)-1,0)</f>
        <v>3</v>
      </c>
      <c r="L2387" s="157">
        <v>3</v>
      </c>
      <c r="M2387" s="157">
        <v>3</v>
      </c>
      <c r="N2387" s="153">
        <f t="shared" si="408"/>
        <v>1</v>
      </c>
      <c r="O2387" s="157"/>
      <c r="P2387" s="157"/>
      <c r="Q2387" s="153">
        <f ca="1">OFFSET(card_type!$A$1,MATCH(card!B2387,card_type!B:B,0)-1,0)</f>
        <v>3404</v>
      </c>
      <c r="R2387" s="153">
        <v>1</v>
      </c>
      <c r="S2387" s="157">
        <f ca="1">ROUND(IF(R2387=0,0,IF(R2387=1,X2387*$S$1,IF(R2387=2,X2387*$S$1*buff的资质计算!$E$2,IF(R2387=3,X2387*$S$1*buff的资质计算!$E$3,0)))),0)*0</f>
        <v>0</v>
      </c>
      <c r="T2387" s="153">
        <v>2</v>
      </c>
      <c r="U2387" s="153">
        <f ca="1" t="shared" si="414"/>
        <v>43</v>
      </c>
      <c r="V2387" s="153">
        <f ca="1">ROUND((OFFSET(卡牌辅助配置表!$O$1,MATCH(U2387,卡牌辅助配置表!M:M,0)-1,0)+(N2387-1)*OFFSET(卡牌辅助配置表!$P$1,MATCH(U2387,卡牌辅助配置表!M:M,0)-1,0))*M2387,2)</f>
        <v>106.2</v>
      </c>
      <c r="W2387" s="157">
        <f ca="1">ROUND(IF(R2387=0,0,IF(R2387=1,X2387*$W$1,IF(R2387=2,X2387*$W$1*buff的资质计算!$E$2,IF(R2387=3,X2387*$W$1*buff的资质计算!$E$3,0)))),2)</f>
        <v>26.1</v>
      </c>
      <c r="X2387" s="157">
        <f ca="1" t="shared" si="409"/>
        <v>87</v>
      </c>
      <c r="Y2387" s="157">
        <f ca="1" t="shared" si="417"/>
        <v>98.25</v>
      </c>
      <c r="Z2387" s="304">
        <f ca="1" t="shared" si="410"/>
        <v>32.75</v>
      </c>
      <c r="AA2387" s="304">
        <f ca="1">OFFSET(卡牌辅助配置表!$AD$1,MATCH(AB2387,卡牌辅助配置表!AB:AB,0)-1,0)</f>
        <v>1150</v>
      </c>
      <c r="AB2387" s="304">
        <f ca="1" t="shared" si="415"/>
        <v>4301</v>
      </c>
      <c r="AC2387" s="153">
        <v>10</v>
      </c>
      <c r="AD2387" s="153">
        <v>3</v>
      </c>
      <c r="AE2387" s="153">
        <v>3</v>
      </c>
      <c r="AF2387" s="153" t="str">
        <f ca="1" t="shared" ref="AF2387:AF2418" si="418">((Q2387*1000+1)*10+1)&amp;$AF$1&amp;((Q2387*1000+1)*10+2)&amp;$AF$1</f>
        <v>34040011|34040012|</v>
      </c>
      <c r="AJ2387" s="205">
        <f ca="1" t="shared" si="416"/>
        <v>0</v>
      </c>
      <c r="AK2387" s="205">
        <f ca="1">OFFSET([1]item_type!$A$1,MATCH(Q2387,[1]item_type!$G:$G,0)-1,0)</f>
        <v>303404</v>
      </c>
      <c r="AL2387" s="205"/>
      <c r="AM2387" s="205">
        <f ca="1">IF(B2387=B2388,OFFSET(卡牌辅助配置表!$AE$1,MATCH(AB2387,卡牌辅助配置表!AB:AB,0),0),0)</f>
        <v>1400</v>
      </c>
      <c r="AN2387" s="153">
        <f ca="1" t="shared" ref="AN2387:AN2416" si="419">IF(B2387=B2447,A2387+1,0)</f>
        <v>0</v>
      </c>
      <c r="AP2387" s="153" t="str">
        <f ca="1">IF(AC2387=0,0,IF(AC2387=12,0,OFFSET(effect!$N$1,MATCH(K2387,effect!M:M,0)-1,0)))</f>
        <v>kpsx_zise</v>
      </c>
    </row>
    <row r="2388" spans="1:42">
      <c r="A2388" s="153">
        <f ca="1" t="shared" si="413"/>
        <v>3404002</v>
      </c>
      <c r="B2388" s="91" t="s">
        <v>947</v>
      </c>
      <c r="C2388" s="186">
        <v>3</v>
      </c>
      <c r="D2388" s="186">
        <v>2</v>
      </c>
      <c r="E2388" s="165" t="s">
        <v>1069</v>
      </c>
      <c r="F2388" s="306" t="s">
        <v>1079</v>
      </c>
      <c r="G2388" s="186">
        <f ca="1">OFFSET(卡牌辅助配置表!$C$1,MATCH(AC2388,卡牌辅助配置表!A:A,0)-1,0)</f>
        <v>3</v>
      </c>
      <c r="H2388" s="186">
        <f ca="1">OFFSET(skill!$Q$1,MATCH(B2388,skill!B:B,0)-1,0)</f>
        <v>11.25</v>
      </c>
      <c r="I2388" s="186"/>
      <c r="J2388" s="186">
        <f ca="1">OFFSET(card_type!$F$1,MATCH(Q2388,card_type!A:A,0)-1,0)</f>
        <v>4</v>
      </c>
      <c r="K2388" s="243">
        <f ca="1">OFFSET(card_type!$G$1,MATCH(Q2388,card_type!A:A,0)-1,0)</f>
        <v>3</v>
      </c>
      <c r="L2388" s="157">
        <v>3</v>
      </c>
      <c r="M2388" s="157">
        <v>3</v>
      </c>
      <c r="N2388" s="153">
        <f t="shared" si="408"/>
        <v>2</v>
      </c>
      <c r="O2388" s="157"/>
      <c r="P2388" s="157"/>
      <c r="Q2388" s="153">
        <f ca="1">OFFSET(card_type!$A$1,MATCH(card!B2388,card_type!B:B,0)-1,0)</f>
        <v>3404</v>
      </c>
      <c r="R2388" s="153">
        <v>1</v>
      </c>
      <c r="S2388" s="157">
        <f ca="1">ROUND(IF(R2388=0,0,IF(R2388=1,X2388*$S$1,IF(R2388=2,X2388*$S$1*buff的资质计算!$E$2,IF(R2388=3,X2388*$S$1*buff的资质计算!$E$3,0)))),0)*0</f>
        <v>0</v>
      </c>
      <c r="T2388" s="153">
        <v>2</v>
      </c>
      <c r="U2388" s="153">
        <f ca="1" t="shared" si="414"/>
        <v>43</v>
      </c>
      <c r="V2388" s="153">
        <f ca="1">ROUND((OFFSET(卡牌辅助配置表!$O$1,MATCH(U2388,卡牌辅助配置表!M:M,0)-1,0)+(N2388-1)*OFFSET(卡牌辅助配置表!$P$1,MATCH(U2388,卡牌辅助配置表!M:M,0)-1,0))*M2388,2)</f>
        <v>120.36</v>
      </c>
      <c r="W2388" s="157">
        <f ca="1">ROUND(IF(R2388=0,0,IF(R2388=1,X2388*$W$1,IF(R2388=2,X2388*$W$1*buff的资质计算!$E$2,IF(R2388=3,X2388*$W$1*buff的资质计算!$E$3,0)))),2)</f>
        <v>26.25</v>
      </c>
      <c r="X2388" s="157">
        <f ca="1" t="shared" si="409"/>
        <v>87.5</v>
      </c>
      <c r="Y2388" s="157">
        <f ca="1" t="shared" si="417"/>
        <v>98.75</v>
      </c>
      <c r="Z2388" s="304">
        <f ca="1" t="shared" si="410"/>
        <v>32.9166666666667</v>
      </c>
      <c r="AA2388" s="304">
        <f ca="1">OFFSET(卡牌辅助配置表!$AD$1,MATCH(AB2388,卡牌辅助配置表!AB:AB,0)-1,0)</f>
        <v>2300</v>
      </c>
      <c r="AB2388" s="304">
        <f ca="1" t="shared" si="415"/>
        <v>4302</v>
      </c>
      <c r="AC2388" s="153">
        <v>10</v>
      </c>
      <c r="AD2388" s="153">
        <v>3</v>
      </c>
      <c r="AE2388" s="153">
        <v>3</v>
      </c>
      <c r="AF2388" s="153" t="str">
        <f ca="1" t="shared" si="418"/>
        <v>34040011|34040012|</v>
      </c>
      <c r="AJ2388" s="205">
        <f ca="1" t="shared" si="416"/>
        <v>0</v>
      </c>
      <c r="AK2388" s="205">
        <f ca="1">OFFSET([1]item_type!$A$1,MATCH(Q2388,[1]item_type!$G:$G,0)-1,0)</f>
        <v>303404</v>
      </c>
      <c r="AL2388" s="205"/>
      <c r="AM2388" s="205">
        <f ca="1">IF(B2388=B2389,OFFSET(卡牌辅助配置表!$AE$1,MATCH(AB2388,卡牌辅助配置表!AB:AB,0),0),0)</f>
        <v>1800</v>
      </c>
      <c r="AN2388" s="153">
        <f ca="1" t="shared" si="419"/>
        <v>0</v>
      </c>
      <c r="AP2388" s="153" t="str">
        <f ca="1">IF(AC2388=0,0,IF(AC2388=12,0,OFFSET(effect!$N$1,MATCH(K2388,effect!M:M,0)-1,0)))</f>
        <v>kpsx_zise</v>
      </c>
    </row>
    <row r="2389" spans="1:42">
      <c r="A2389" s="153">
        <f ca="1" t="shared" si="413"/>
        <v>3404003</v>
      </c>
      <c r="B2389" s="91" t="s">
        <v>947</v>
      </c>
      <c r="C2389" s="186">
        <v>3</v>
      </c>
      <c r="D2389" s="186">
        <v>2</v>
      </c>
      <c r="E2389" s="165" t="s">
        <v>1069</v>
      </c>
      <c r="F2389" s="306" t="s">
        <v>1079</v>
      </c>
      <c r="G2389" s="186">
        <f ca="1">OFFSET(卡牌辅助配置表!$C$1,MATCH(AC2389,卡牌辅助配置表!A:A,0)-1,0)</f>
        <v>3</v>
      </c>
      <c r="H2389" s="186">
        <f ca="1">OFFSET(skill!$Q$1,MATCH(B2389,skill!B:B,0)-1,0)</f>
        <v>11.25</v>
      </c>
      <c r="I2389" s="186"/>
      <c r="J2389" s="186">
        <f ca="1">OFFSET(card_type!$F$1,MATCH(Q2389,card_type!A:A,0)-1,0)</f>
        <v>4</v>
      </c>
      <c r="K2389" s="243">
        <f ca="1">OFFSET(card_type!$G$1,MATCH(Q2389,card_type!A:A,0)-1,0)</f>
        <v>3</v>
      </c>
      <c r="L2389" s="157">
        <v>3</v>
      </c>
      <c r="M2389" s="157">
        <v>3</v>
      </c>
      <c r="N2389" s="153">
        <f t="shared" si="408"/>
        <v>3</v>
      </c>
      <c r="O2389" s="157"/>
      <c r="P2389" s="157"/>
      <c r="Q2389" s="153">
        <f ca="1">OFFSET(card_type!$A$1,MATCH(card!B2389,card_type!B:B,0)-1,0)</f>
        <v>3404</v>
      </c>
      <c r="R2389" s="153">
        <v>1</v>
      </c>
      <c r="S2389" s="157">
        <f ca="1">ROUND(IF(R2389=0,0,IF(R2389=1,X2389*$S$1,IF(R2389=2,X2389*$S$1*buff的资质计算!$E$2,IF(R2389=3,X2389*$S$1*buff的资质计算!$E$3,0)))),0)*0</f>
        <v>0</v>
      </c>
      <c r="T2389" s="153">
        <v>2</v>
      </c>
      <c r="U2389" s="153">
        <f ca="1" t="shared" si="414"/>
        <v>43</v>
      </c>
      <c r="V2389" s="153">
        <f ca="1">ROUND((OFFSET(卡牌辅助配置表!$O$1,MATCH(U2389,卡牌辅助配置表!M:M,0)-1,0)+(N2389-1)*OFFSET(卡牌辅助配置表!$P$1,MATCH(U2389,卡牌辅助配置表!M:M,0)-1,0))*M2389,2)</f>
        <v>134.52</v>
      </c>
      <c r="W2389" s="157">
        <f ca="1">ROUND(IF(R2389=0,0,IF(R2389=1,X2389*$W$1,IF(R2389=2,X2389*$W$1*buff的资质计算!$E$2,IF(R2389=3,X2389*$W$1*buff的资质计算!$E$3,0)))),2)</f>
        <v>26.4</v>
      </c>
      <c r="X2389" s="157">
        <f ca="1" t="shared" si="409"/>
        <v>88</v>
      </c>
      <c r="Y2389" s="157">
        <f ca="1" t="shared" si="417"/>
        <v>99.25</v>
      </c>
      <c r="Z2389" s="304">
        <f ca="1" t="shared" si="410"/>
        <v>33.0833333333333</v>
      </c>
      <c r="AA2389" s="304">
        <f ca="1">OFFSET(卡牌辅助配置表!$AD$1,MATCH(AB2389,卡牌辅助配置表!AB:AB,0)-1,0)</f>
        <v>3450</v>
      </c>
      <c r="AB2389" s="304">
        <f ca="1" t="shared" si="415"/>
        <v>4303</v>
      </c>
      <c r="AC2389" s="153">
        <v>10</v>
      </c>
      <c r="AD2389" s="153">
        <v>3</v>
      </c>
      <c r="AE2389" s="153">
        <v>3</v>
      </c>
      <c r="AF2389" s="153" t="str">
        <f ca="1" t="shared" si="418"/>
        <v>34040011|34040012|</v>
      </c>
      <c r="AJ2389" s="205">
        <f ca="1" t="shared" si="416"/>
        <v>0</v>
      </c>
      <c r="AK2389" s="205">
        <f ca="1">OFFSET([1]item_type!$A$1,MATCH(Q2389,[1]item_type!$G:$G,0)-1,0)</f>
        <v>303404</v>
      </c>
      <c r="AL2389" s="205"/>
      <c r="AM2389" s="205">
        <f ca="1">IF(B2389=B2390,OFFSET(卡牌辅助配置表!$AE$1,MATCH(AB2389,卡牌辅助配置表!AB:AB,0),0),0)</f>
        <v>2200</v>
      </c>
      <c r="AN2389" s="153">
        <f ca="1" t="shared" si="419"/>
        <v>0</v>
      </c>
      <c r="AP2389" s="153" t="str">
        <f ca="1">IF(AC2389=0,0,IF(AC2389=12,0,OFFSET(effect!$N$1,MATCH(K2389,effect!M:M,0)-1,0)))</f>
        <v>kpsx_zise</v>
      </c>
    </row>
    <row r="2390" spans="1:42">
      <c r="A2390" s="153">
        <f ca="1" t="shared" si="413"/>
        <v>3404004</v>
      </c>
      <c r="B2390" s="91" t="s">
        <v>947</v>
      </c>
      <c r="C2390" s="186">
        <v>3</v>
      </c>
      <c r="D2390" s="186">
        <v>2</v>
      </c>
      <c r="E2390" s="165" t="s">
        <v>1069</v>
      </c>
      <c r="F2390" s="306" t="s">
        <v>1079</v>
      </c>
      <c r="G2390" s="186">
        <f ca="1">OFFSET(卡牌辅助配置表!$C$1,MATCH(AC2390,卡牌辅助配置表!A:A,0)-1,0)</f>
        <v>3</v>
      </c>
      <c r="H2390" s="186">
        <f ca="1">OFFSET(skill!$Q$1,MATCH(B2390,skill!B:B,0)-1,0)</f>
        <v>11.25</v>
      </c>
      <c r="I2390" s="186"/>
      <c r="J2390" s="186">
        <f ca="1">OFFSET(card_type!$F$1,MATCH(Q2390,card_type!A:A,0)-1,0)</f>
        <v>4</v>
      </c>
      <c r="K2390" s="243">
        <f ca="1">OFFSET(card_type!$G$1,MATCH(Q2390,card_type!A:A,0)-1,0)</f>
        <v>3</v>
      </c>
      <c r="L2390" s="157">
        <v>3</v>
      </c>
      <c r="M2390" s="157">
        <v>3</v>
      </c>
      <c r="N2390" s="153">
        <f t="shared" si="408"/>
        <v>4</v>
      </c>
      <c r="O2390" s="157"/>
      <c r="P2390" s="157"/>
      <c r="Q2390" s="153">
        <f ca="1">OFFSET(card_type!$A$1,MATCH(card!B2390,card_type!B:B,0)-1,0)</f>
        <v>3404</v>
      </c>
      <c r="R2390" s="153">
        <v>1</v>
      </c>
      <c r="S2390" s="157">
        <f ca="1">ROUND(IF(R2390=0,0,IF(R2390=1,X2390*$S$1,IF(R2390=2,X2390*$S$1*buff的资质计算!$E$2,IF(R2390=3,X2390*$S$1*buff的资质计算!$E$3,0)))),0)*0</f>
        <v>0</v>
      </c>
      <c r="T2390" s="153">
        <v>2</v>
      </c>
      <c r="U2390" s="153">
        <f ca="1" t="shared" si="414"/>
        <v>43</v>
      </c>
      <c r="V2390" s="153">
        <f ca="1">ROUND((OFFSET(卡牌辅助配置表!$O$1,MATCH(U2390,卡牌辅助配置表!M:M,0)-1,0)+(N2390-1)*OFFSET(卡牌辅助配置表!$P$1,MATCH(U2390,卡牌辅助配置表!M:M,0)-1,0))*M2390,2)</f>
        <v>148.68</v>
      </c>
      <c r="W2390" s="157">
        <f ca="1">ROUND(IF(R2390=0,0,IF(R2390=1,X2390*$W$1,IF(R2390=2,X2390*$W$1*buff的资质计算!$E$2,IF(R2390=3,X2390*$W$1*buff的资质计算!$E$3,0)))),2)</f>
        <v>26.55</v>
      </c>
      <c r="X2390" s="157">
        <f ca="1" t="shared" si="409"/>
        <v>88.5</v>
      </c>
      <c r="Y2390" s="157">
        <f ca="1" t="shared" si="417"/>
        <v>99.75</v>
      </c>
      <c r="Z2390" s="304">
        <f ca="1" t="shared" si="410"/>
        <v>33.25</v>
      </c>
      <c r="AA2390" s="304">
        <f ca="1">OFFSET(卡牌辅助配置表!$AD$1,MATCH(AB2390,卡牌辅助配置表!AB:AB,0)-1,0)</f>
        <v>4600</v>
      </c>
      <c r="AB2390" s="304">
        <f ca="1" t="shared" si="415"/>
        <v>4304</v>
      </c>
      <c r="AC2390" s="153">
        <v>10</v>
      </c>
      <c r="AD2390" s="153">
        <v>3</v>
      </c>
      <c r="AE2390" s="153">
        <v>3</v>
      </c>
      <c r="AF2390" s="153" t="str">
        <f ca="1" t="shared" si="418"/>
        <v>34040011|34040012|</v>
      </c>
      <c r="AJ2390" s="205">
        <f ca="1" t="shared" si="416"/>
        <v>0</v>
      </c>
      <c r="AK2390" s="205">
        <f ca="1">OFFSET([1]item_type!$A$1,MATCH(Q2390,[1]item_type!$G:$G,0)-1,0)</f>
        <v>303404</v>
      </c>
      <c r="AL2390" s="205"/>
      <c r="AM2390" s="205">
        <f ca="1">IF(B2390=B2391,OFFSET(卡牌辅助配置表!$AE$1,MATCH(AB2390,卡牌辅助配置表!AB:AB,0),0),0)</f>
        <v>2600</v>
      </c>
      <c r="AN2390" s="153">
        <f ca="1" t="shared" si="419"/>
        <v>0</v>
      </c>
      <c r="AP2390" s="153" t="str">
        <f ca="1">IF(AC2390=0,0,IF(AC2390=12,0,OFFSET(effect!$N$1,MATCH(K2390,effect!M:M,0)-1,0)))</f>
        <v>kpsx_zise</v>
      </c>
    </row>
    <row r="2391" spans="1:42">
      <c r="A2391" s="153">
        <f ca="1" t="shared" si="413"/>
        <v>3404005</v>
      </c>
      <c r="B2391" s="91" t="s">
        <v>947</v>
      </c>
      <c r="C2391" s="186">
        <v>3</v>
      </c>
      <c r="D2391" s="186">
        <v>2</v>
      </c>
      <c r="E2391" s="165" t="s">
        <v>1069</v>
      </c>
      <c r="F2391" s="306" t="s">
        <v>1079</v>
      </c>
      <c r="G2391" s="186">
        <f ca="1">OFFSET(卡牌辅助配置表!$C$1,MATCH(AC2391,卡牌辅助配置表!A:A,0)-1,0)</f>
        <v>3</v>
      </c>
      <c r="H2391" s="186">
        <f ca="1">OFFSET(skill!$Q$1,MATCH(B2391,skill!B:B,0)-1,0)</f>
        <v>11.25</v>
      </c>
      <c r="I2391" s="186"/>
      <c r="J2391" s="186">
        <f ca="1">OFFSET(card_type!$F$1,MATCH(Q2391,card_type!A:A,0)-1,0)</f>
        <v>4</v>
      </c>
      <c r="K2391" s="243">
        <f ca="1">OFFSET(card_type!$G$1,MATCH(Q2391,card_type!A:A,0)-1,0)</f>
        <v>3</v>
      </c>
      <c r="L2391" s="157">
        <v>3</v>
      </c>
      <c r="M2391" s="157">
        <v>3</v>
      </c>
      <c r="N2391" s="153">
        <f t="shared" si="408"/>
        <v>5</v>
      </c>
      <c r="O2391" s="157"/>
      <c r="P2391" s="157"/>
      <c r="Q2391" s="153">
        <f ca="1">OFFSET(card_type!$A$1,MATCH(card!B2391,card_type!B:B,0)-1,0)</f>
        <v>3404</v>
      </c>
      <c r="R2391" s="153">
        <v>1</v>
      </c>
      <c r="S2391" s="157">
        <f ca="1">ROUND(IF(R2391=0,0,IF(R2391=1,X2391*$S$1,IF(R2391=2,X2391*$S$1*buff的资质计算!$E$2,IF(R2391=3,X2391*$S$1*buff的资质计算!$E$3,0)))),0)*0</f>
        <v>0</v>
      </c>
      <c r="T2391" s="153">
        <v>2</v>
      </c>
      <c r="U2391" s="153">
        <f ca="1" t="shared" si="414"/>
        <v>43</v>
      </c>
      <c r="V2391" s="153">
        <f ca="1">ROUND((OFFSET(卡牌辅助配置表!$O$1,MATCH(U2391,卡牌辅助配置表!M:M,0)-1,0)+(N2391-1)*OFFSET(卡牌辅助配置表!$P$1,MATCH(U2391,卡牌辅助配置表!M:M,0)-1,0))*M2391,2)</f>
        <v>162.84</v>
      </c>
      <c r="W2391" s="157">
        <f ca="1">ROUND(IF(R2391=0,0,IF(R2391=1,X2391*$W$1,IF(R2391=2,X2391*$W$1*buff的资质计算!$E$2,IF(R2391=3,X2391*$W$1*buff的资质计算!$E$3,0)))),2)</f>
        <v>26.7</v>
      </c>
      <c r="X2391" s="157">
        <f ca="1" t="shared" si="409"/>
        <v>89</v>
      </c>
      <c r="Y2391" s="157">
        <f ca="1" t="shared" si="417"/>
        <v>100.25</v>
      </c>
      <c r="Z2391" s="304">
        <f ca="1" t="shared" si="410"/>
        <v>33.4166666666667</v>
      </c>
      <c r="AA2391" s="304">
        <f ca="1">OFFSET(卡牌辅助配置表!$AD$1,MATCH(AB2391,卡牌辅助配置表!AB:AB,0)-1,0)</f>
        <v>5750</v>
      </c>
      <c r="AB2391" s="304">
        <f ca="1" t="shared" si="415"/>
        <v>4305</v>
      </c>
      <c r="AC2391" s="153">
        <v>10</v>
      </c>
      <c r="AD2391" s="153">
        <v>3</v>
      </c>
      <c r="AE2391" s="153">
        <v>3</v>
      </c>
      <c r="AF2391" s="153" t="str">
        <f ca="1" t="shared" si="418"/>
        <v>34040011|34040012|</v>
      </c>
      <c r="AJ2391" s="205">
        <f ca="1" t="shared" si="416"/>
        <v>0</v>
      </c>
      <c r="AK2391" s="205">
        <f ca="1">OFFSET([1]item_type!$A$1,MATCH(Q2391,[1]item_type!$G:$G,0)-1,0)</f>
        <v>303404</v>
      </c>
      <c r="AL2391" s="205"/>
      <c r="AM2391" s="205">
        <f ca="1">IF(B2391=B2392,OFFSET(卡牌辅助配置表!$AE$1,MATCH(AB2391,卡牌辅助配置表!AB:AB,0),0),0)</f>
        <v>3000</v>
      </c>
      <c r="AN2391" s="153">
        <f ca="1" t="shared" si="419"/>
        <v>0</v>
      </c>
      <c r="AP2391" s="153" t="str">
        <f ca="1">IF(AC2391=0,0,IF(AC2391=12,0,OFFSET(effect!$N$1,MATCH(K2391,effect!M:M,0)-1,0)))</f>
        <v>kpsx_zise</v>
      </c>
    </row>
    <row r="2392" spans="1:42">
      <c r="A2392" s="153">
        <f ca="1" t="shared" si="413"/>
        <v>3404006</v>
      </c>
      <c r="B2392" s="91" t="s">
        <v>947</v>
      </c>
      <c r="C2392" s="186">
        <v>3</v>
      </c>
      <c r="D2392" s="186">
        <v>2</v>
      </c>
      <c r="E2392" s="165" t="s">
        <v>1069</v>
      </c>
      <c r="F2392" s="306" t="s">
        <v>1079</v>
      </c>
      <c r="G2392" s="186">
        <f ca="1">OFFSET(卡牌辅助配置表!$C$1,MATCH(AC2392,卡牌辅助配置表!A:A,0)-1,0)</f>
        <v>3</v>
      </c>
      <c r="H2392" s="186">
        <f ca="1">OFFSET(skill!$Q$1,MATCH(B2392,skill!B:B,0)-1,0)</f>
        <v>11.25</v>
      </c>
      <c r="I2392" s="186"/>
      <c r="J2392" s="186">
        <f ca="1">OFFSET(card_type!$F$1,MATCH(Q2392,card_type!A:A,0)-1,0)</f>
        <v>4</v>
      </c>
      <c r="K2392" s="243">
        <f ca="1">OFFSET(card_type!$G$1,MATCH(Q2392,card_type!A:A,0)-1,0)</f>
        <v>3</v>
      </c>
      <c r="L2392" s="157">
        <v>3</v>
      </c>
      <c r="M2392" s="157">
        <v>3</v>
      </c>
      <c r="N2392" s="153">
        <f t="shared" si="408"/>
        <v>6</v>
      </c>
      <c r="O2392" s="157"/>
      <c r="P2392" s="157"/>
      <c r="Q2392" s="153">
        <f ca="1">OFFSET(card_type!$A$1,MATCH(card!B2392,card_type!B:B,0)-1,0)</f>
        <v>3404</v>
      </c>
      <c r="R2392" s="153">
        <v>1</v>
      </c>
      <c r="S2392" s="157">
        <f ca="1">ROUND(IF(R2392=0,0,IF(R2392=1,X2392*$S$1,IF(R2392=2,X2392*$S$1*buff的资质计算!$E$2,IF(R2392=3,X2392*$S$1*buff的资质计算!$E$3,0)))),0)*0</f>
        <v>0</v>
      </c>
      <c r="T2392" s="153">
        <v>2</v>
      </c>
      <c r="U2392" s="153">
        <f ca="1" t="shared" si="414"/>
        <v>43</v>
      </c>
      <c r="V2392" s="153">
        <f ca="1">ROUND((OFFSET(卡牌辅助配置表!$O$1,MATCH(U2392,卡牌辅助配置表!M:M,0)-1,0)+(N2392-1)*OFFSET(卡牌辅助配置表!$P$1,MATCH(U2392,卡牌辅助配置表!M:M,0)-1,0))*M2392,2)</f>
        <v>177</v>
      </c>
      <c r="W2392" s="157">
        <f ca="1">ROUND(IF(R2392=0,0,IF(R2392=1,X2392*$W$1,IF(R2392=2,X2392*$W$1*buff的资质计算!$E$2,IF(R2392=3,X2392*$W$1*buff的资质计算!$E$3,0)))),2)</f>
        <v>26.85</v>
      </c>
      <c r="X2392" s="157">
        <f ca="1" t="shared" si="409"/>
        <v>89.5</v>
      </c>
      <c r="Y2392" s="157">
        <f ca="1" t="shared" si="417"/>
        <v>100.75</v>
      </c>
      <c r="Z2392" s="304">
        <f ca="1" t="shared" si="410"/>
        <v>33.5833333333333</v>
      </c>
      <c r="AA2392" s="304">
        <f ca="1">OFFSET(卡牌辅助配置表!$AD$1,MATCH(AB2392,卡牌辅助配置表!AB:AB,0)-1,0)</f>
        <v>6900</v>
      </c>
      <c r="AB2392" s="304">
        <f ca="1" t="shared" si="415"/>
        <v>4306</v>
      </c>
      <c r="AC2392" s="153">
        <v>10</v>
      </c>
      <c r="AD2392" s="153">
        <v>3</v>
      </c>
      <c r="AE2392" s="153">
        <v>3</v>
      </c>
      <c r="AF2392" s="153" t="str">
        <f ca="1" t="shared" si="418"/>
        <v>34040011|34040012|</v>
      </c>
      <c r="AJ2392" s="205">
        <f ca="1" t="shared" si="416"/>
        <v>0</v>
      </c>
      <c r="AK2392" s="205">
        <f ca="1">OFFSET([1]item_type!$A$1,MATCH(Q2392,[1]item_type!$G:$G,0)-1,0)</f>
        <v>303404</v>
      </c>
      <c r="AL2392" s="205"/>
      <c r="AM2392" s="205">
        <f ca="1">IF(B2392=B2393,OFFSET(卡牌辅助配置表!$AE$1,MATCH(AB2392,卡牌辅助配置表!AB:AB,0),0),0)</f>
        <v>3400</v>
      </c>
      <c r="AN2392" s="153">
        <f ca="1" t="shared" si="419"/>
        <v>0</v>
      </c>
      <c r="AP2392" s="153" t="str">
        <f ca="1">IF(AC2392=0,0,IF(AC2392=12,0,OFFSET(effect!$N$1,MATCH(K2392,effect!M:M,0)-1,0)))</f>
        <v>kpsx_zise</v>
      </c>
    </row>
    <row r="2393" spans="1:42">
      <c r="A2393" s="153">
        <f ca="1" t="shared" si="413"/>
        <v>3404007</v>
      </c>
      <c r="B2393" s="91" t="s">
        <v>947</v>
      </c>
      <c r="C2393" s="186">
        <v>3</v>
      </c>
      <c r="D2393" s="186">
        <v>2</v>
      </c>
      <c r="E2393" s="165" t="s">
        <v>1069</v>
      </c>
      <c r="F2393" s="306" t="s">
        <v>1079</v>
      </c>
      <c r="G2393" s="186">
        <f ca="1">OFFSET(卡牌辅助配置表!$C$1,MATCH(AC2393,卡牌辅助配置表!A:A,0)-1,0)</f>
        <v>3</v>
      </c>
      <c r="H2393" s="186">
        <f ca="1">OFFSET(skill!$Q$1,MATCH(B2393,skill!B:B,0)-1,0)</f>
        <v>11.25</v>
      </c>
      <c r="I2393" s="186"/>
      <c r="J2393" s="186">
        <f ca="1">OFFSET(card_type!$F$1,MATCH(Q2393,card_type!A:A,0)-1,0)</f>
        <v>4</v>
      </c>
      <c r="K2393" s="243">
        <f ca="1">OFFSET(card_type!$G$1,MATCH(Q2393,card_type!A:A,0)-1,0)</f>
        <v>3</v>
      </c>
      <c r="L2393" s="157">
        <v>3</v>
      </c>
      <c r="M2393" s="157">
        <v>3</v>
      </c>
      <c r="N2393" s="153">
        <f t="shared" si="408"/>
        <v>7</v>
      </c>
      <c r="O2393" s="157"/>
      <c r="P2393" s="157"/>
      <c r="Q2393" s="153">
        <f ca="1">OFFSET(card_type!$A$1,MATCH(card!B2393,card_type!B:B,0)-1,0)</f>
        <v>3404</v>
      </c>
      <c r="R2393" s="153">
        <v>1</v>
      </c>
      <c r="S2393" s="157">
        <f ca="1">ROUND(IF(R2393=0,0,IF(R2393=1,X2393*$S$1,IF(R2393=2,X2393*$S$1*buff的资质计算!$E$2,IF(R2393=3,X2393*$S$1*buff的资质计算!$E$3,0)))),0)*0</f>
        <v>0</v>
      </c>
      <c r="T2393" s="153">
        <v>2</v>
      </c>
      <c r="U2393" s="153">
        <f ca="1" t="shared" si="414"/>
        <v>43</v>
      </c>
      <c r="V2393" s="153">
        <f ca="1">ROUND((OFFSET(卡牌辅助配置表!$O$1,MATCH(U2393,卡牌辅助配置表!M:M,0)-1,0)+(N2393-1)*OFFSET(卡牌辅助配置表!$P$1,MATCH(U2393,卡牌辅助配置表!M:M,0)-1,0))*M2393,2)</f>
        <v>191.16</v>
      </c>
      <c r="W2393" s="157">
        <f ca="1">ROUND(IF(R2393=0,0,IF(R2393=1,X2393*$W$1,IF(R2393=2,X2393*$W$1*buff的资质计算!$E$2,IF(R2393=3,X2393*$W$1*buff的资质计算!$E$3,0)))),2)</f>
        <v>27</v>
      </c>
      <c r="X2393" s="157">
        <f ca="1" t="shared" si="409"/>
        <v>90</v>
      </c>
      <c r="Y2393" s="157">
        <f ca="1" t="shared" si="417"/>
        <v>101.25</v>
      </c>
      <c r="Z2393" s="304">
        <f ca="1" t="shared" si="410"/>
        <v>33.75</v>
      </c>
      <c r="AA2393" s="304">
        <f ca="1">OFFSET(卡牌辅助配置表!$AD$1,MATCH(AB2393,卡牌辅助配置表!AB:AB,0)-1,0)</f>
        <v>8050</v>
      </c>
      <c r="AB2393" s="304">
        <f ca="1" t="shared" si="415"/>
        <v>4307</v>
      </c>
      <c r="AC2393" s="153">
        <v>10</v>
      </c>
      <c r="AD2393" s="153">
        <v>3</v>
      </c>
      <c r="AE2393" s="153">
        <v>3</v>
      </c>
      <c r="AF2393" s="153" t="str">
        <f ca="1" t="shared" si="418"/>
        <v>34040011|34040012|</v>
      </c>
      <c r="AJ2393" s="205">
        <f ca="1" t="shared" si="416"/>
        <v>0</v>
      </c>
      <c r="AK2393" s="205">
        <f ca="1">OFFSET([1]item_type!$A$1,MATCH(Q2393,[1]item_type!$G:$G,0)-1,0)</f>
        <v>303404</v>
      </c>
      <c r="AL2393" s="205"/>
      <c r="AM2393" s="205">
        <f ca="1">IF(B2393=B2394,OFFSET(卡牌辅助配置表!$AE$1,MATCH(AB2393,卡牌辅助配置表!AB:AB,0),0),0)</f>
        <v>3800</v>
      </c>
      <c r="AN2393" s="153">
        <f ca="1" t="shared" si="419"/>
        <v>0</v>
      </c>
      <c r="AP2393" s="153" t="str">
        <f ca="1">IF(AC2393=0,0,IF(AC2393=12,0,OFFSET(effect!$N$1,MATCH(K2393,effect!M:M,0)-1,0)))</f>
        <v>kpsx_zise</v>
      </c>
    </row>
    <row r="2394" spans="1:42">
      <c r="A2394" s="153">
        <f ca="1" t="shared" si="413"/>
        <v>3404008</v>
      </c>
      <c r="B2394" s="91" t="s">
        <v>947</v>
      </c>
      <c r="C2394" s="186">
        <v>3</v>
      </c>
      <c r="D2394" s="186">
        <v>2</v>
      </c>
      <c r="E2394" s="165" t="s">
        <v>1069</v>
      </c>
      <c r="F2394" s="306" t="s">
        <v>1079</v>
      </c>
      <c r="G2394" s="186">
        <f ca="1">OFFSET(卡牌辅助配置表!$C$1,MATCH(AC2394,卡牌辅助配置表!A:A,0)-1,0)</f>
        <v>3</v>
      </c>
      <c r="H2394" s="186">
        <f ca="1">OFFSET(skill!$Q$1,MATCH(B2394,skill!B:B,0)-1,0)</f>
        <v>11.25</v>
      </c>
      <c r="I2394" s="186"/>
      <c r="J2394" s="186">
        <f ca="1">OFFSET(card_type!$F$1,MATCH(Q2394,card_type!A:A,0)-1,0)</f>
        <v>4</v>
      </c>
      <c r="K2394" s="243">
        <f ca="1">OFFSET(card_type!$G$1,MATCH(Q2394,card_type!A:A,0)-1,0)</f>
        <v>3</v>
      </c>
      <c r="L2394" s="157">
        <v>3</v>
      </c>
      <c r="M2394" s="157">
        <v>3</v>
      </c>
      <c r="N2394" s="153">
        <f t="shared" si="408"/>
        <v>8</v>
      </c>
      <c r="O2394" s="157"/>
      <c r="P2394" s="157"/>
      <c r="Q2394" s="153">
        <f ca="1">OFFSET(card_type!$A$1,MATCH(card!B2394,card_type!B:B,0)-1,0)</f>
        <v>3404</v>
      </c>
      <c r="R2394" s="153">
        <v>1</v>
      </c>
      <c r="S2394" s="157">
        <f ca="1">ROUND(IF(R2394=0,0,IF(R2394=1,X2394*$S$1,IF(R2394=2,X2394*$S$1*buff的资质计算!$E$2,IF(R2394=3,X2394*$S$1*buff的资质计算!$E$3,0)))),0)*0</f>
        <v>0</v>
      </c>
      <c r="T2394" s="153">
        <v>2</v>
      </c>
      <c r="U2394" s="153">
        <f ca="1" t="shared" si="414"/>
        <v>43</v>
      </c>
      <c r="V2394" s="153">
        <f ca="1">ROUND((OFFSET(卡牌辅助配置表!$O$1,MATCH(U2394,卡牌辅助配置表!M:M,0)-1,0)+(N2394-1)*OFFSET(卡牌辅助配置表!$P$1,MATCH(U2394,卡牌辅助配置表!M:M,0)-1,0))*M2394,2)</f>
        <v>205.32</v>
      </c>
      <c r="W2394" s="157">
        <f ca="1">ROUND(IF(R2394=0,0,IF(R2394=1,X2394*$W$1,IF(R2394=2,X2394*$W$1*buff的资质计算!$E$2,IF(R2394=3,X2394*$W$1*buff的资质计算!$E$3,0)))),2)</f>
        <v>27.15</v>
      </c>
      <c r="X2394" s="157">
        <f ca="1" t="shared" si="409"/>
        <v>90.5</v>
      </c>
      <c r="Y2394" s="157">
        <f ca="1" t="shared" si="417"/>
        <v>101.75</v>
      </c>
      <c r="Z2394" s="304">
        <f ca="1" t="shared" si="410"/>
        <v>33.9166666666667</v>
      </c>
      <c r="AA2394" s="304">
        <f ca="1">OFFSET(卡牌辅助配置表!$AD$1,MATCH(AB2394,卡牌辅助配置表!AB:AB,0)-1,0)</f>
        <v>9200</v>
      </c>
      <c r="AB2394" s="304">
        <f ca="1" t="shared" si="415"/>
        <v>4308</v>
      </c>
      <c r="AC2394" s="153">
        <v>10</v>
      </c>
      <c r="AD2394" s="153">
        <v>3</v>
      </c>
      <c r="AE2394" s="153">
        <v>3</v>
      </c>
      <c r="AF2394" s="153" t="str">
        <f ca="1" t="shared" si="418"/>
        <v>34040011|34040012|</v>
      </c>
      <c r="AJ2394" s="205">
        <f ca="1" t="shared" si="416"/>
        <v>0</v>
      </c>
      <c r="AK2394" s="205">
        <f ca="1">OFFSET([1]item_type!$A$1,MATCH(Q2394,[1]item_type!$G:$G,0)-1,0)</f>
        <v>303404</v>
      </c>
      <c r="AL2394" s="205"/>
      <c r="AM2394" s="205">
        <f ca="1">IF(B2394=B2395,OFFSET(卡牌辅助配置表!$AE$1,MATCH(AB2394,卡牌辅助配置表!AB:AB,0),0),0)</f>
        <v>4200</v>
      </c>
      <c r="AN2394" s="153">
        <f ca="1" t="shared" si="419"/>
        <v>0</v>
      </c>
      <c r="AP2394" s="153" t="str">
        <f ca="1">IF(AC2394=0,0,IF(AC2394=12,0,OFFSET(effect!$N$1,MATCH(K2394,effect!M:M,0)-1,0)))</f>
        <v>kpsx_zise</v>
      </c>
    </row>
    <row r="2395" spans="1:42">
      <c r="A2395" s="153">
        <f ca="1" t="shared" si="413"/>
        <v>3404009</v>
      </c>
      <c r="B2395" s="91" t="s">
        <v>947</v>
      </c>
      <c r="C2395" s="186">
        <v>3</v>
      </c>
      <c r="D2395" s="186">
        <v>2</v>
      </c>
      <c r="E2395" s="165" t="s">
        <v>1069</v>
      </c>
      <c r="F2395" s="306" t="s">
        <v>1079</v>
      </c>
      <c r="G2395" s="186">
        <f ca="1">OFFSET(卡牌辅助配置表!$C$1,MATCH(AC2395,卡牌辅助配置表!A:A,0)-1,0)</f>
        <v>3</v>
      </c>
      <c r="H2395" s="186">
        <f ca="1">OFFSET(skill!$Q$1,MATCH(B2395,skill!B:B,0)-1,0)</f>
        <v>11.25</v>
      </c>
      <c r="I2395" s="186"/>
      <c r="J2395" s="186">
        <f ca="1">OFFSET(card_type!$F$1,MATCH(Q2395,card_type!A:A,0)-1,0)</f>
        <v>4</v>
      </c>
      <c r="K2395" s="243">
        <f ca="1">OFFSET(card_type!$G$1,MATCH(Q2395,card_type!A:A,0)-1,0)</f>
        <v>3</v>
      </c>
      <c r="L2395" s="157">
        <v>3</v>
      </c>
      <c r="M2395" s="157">
        <v>3</v>
      </c>
      <c r="N2395" s="153">
        <f t="shared" si="408"/>
        <v>9</v>
      </c>
      <c r="O2395" s="157"/>
      <c r="P2395" s="157"/>
      <c r="Q2395" s="153">
        <f ca="1">OFFSET(card_type!$A$1,MATCH(card!B2395,card_type!B:B,0)-1,0)</f>
        <v>3404</v>
      </c>
      <c r="R2395" s="153">
        <v>1</v>
      </c>
      <c r="S2395" s="157">
        <f ca="1">ROUND(IF(R2395=0,0,IF(R2395=1,X2395*$S$1,IF(R2395=2,X2395*$S$1*buff的资质计算!$E$2,IF(R2395=3,X2395*$S$1*buff的资质计算!$E$3,0)))),0)*0</f>
        <v>0</v>
      </c>
      <c r="T2395" s="153">
        <v>2</v>
      </c>
      <c r="U2395" s="153">
        <f ca="1" t="shared" si="414"/>
        <v>43</v>
      </c>
      <c r="V2395" s="153">
        <f ca="1">ROUND((OFFSET(卡牌辅助配置表!$O$1,MATCH(U2395,卡牌辅助配置表!M:M,0)-1,0)+(N2395-1)*OFFSET(卡牌辅助配置表!$P$1,MATCH(U2395,卡牌辅助配置表!M:M,0)-1,0))*M2395,2)</f>
        <v>219.48</v>
      </c>
      <c r="W2395" s="157">
        <f ca="1">ROUND(IF(R2395=0,0,IF(R2395=1,X2395*$W$1,IF(R2395=2,X2395*$W$1*buff的资质计算!$E$2,IF(R2395=3,X2395*$W$1*buff的资质计算!$E$3,0)))),2)</f>
        <v>27.3</v>
      </c>
      <c r="X2395" s="157">
        <f ca="1" t="shared" si="409"/>
        <v>91</v>
      </c>
      <c r="Y2395" s="157">
        <f ca="1" t="shared" si="417"/>
        <v>102.25</v>
      </c>
      <c r="Z2395" s="304">
        <f ca="1" t="shared" si="410"/>
        <v>34.0833333333333</v>
      </c>
      <c r="AA2395" s="304">
        <f ca="1">OFFSET(卡牌辅助配置表!$AD$1,MATCH(AB2395,卡牌辅助配置表!AB:AB,0)-1,0)</f>
        <v>10350</v>
      </c>
      <c r="AB2395" s="304">
        <f ca="1" t="shared" si="415"/>
        <v>4309</v>
      </c>
      <c r="AC2395" s="153">
        <v>10</v>
      </c>
      <c r="AD2395" s="153">
        <v>3</v>
      </c>
      <c r="AE2395" s="153">
        <v>3</v>
      </c>
      <c r="AF2395" s="153" t="str">
        <f ca="1" t="shared" si="418"/>
        <v>34040011|34040012|</v>
      </c>
      <c r="AJ2395" s="205">
        <f ca="1" t="shared" si="416"/>
        <v>0</v>
      </c>
      <c r="AK2395" s="205">
        <f ca="1">OFFSET([1]item_type!$A$1,MATCH(Q2395,[1]item_type!$G:$G,0)-1,0)</f>
        <v>303404</v>
      </c>
      <c r="AL2395" s="205">
        <v>15</v>
      </c>
      <c r="AM2395" s="205">
        <f ca="1">IF(B2395=B2396,OFFSET(卡牌辅助配置表!$AE$1,MATCH(AB2395,卡牌辅助配置表!AB:AB,0),0),0)</f>
        <v>4600</v>
      </c>
      <c r="AN2395" s="153">
        <f ca="1" t="shared" si="419"/>
        <v>0</v>
      </c>
      <c r="AP2395" s="153" t="str">
        <f ca="1">IF(AC2395=0,0,IF(AC2395=12,0,OFFSET(effect!$N$1,MATCH(K2395,effect!M:M,0)-1,0)))</f>
        <v>kpsx_zise</v>
      </c>
    </row>
    <row r="2396" spans="1:42">
      <c r="A2396" s="153">
        <f ca="1" t="shared" si="413"/>
        <v>3404010</v>
      </c>
      <c r="B2396" s="91" t="s">
        <v>947</v>
      </c>
      <c r="C2396" s="186">
        <v>3</v>
      </c>
      <c r="D2396" s="186">
        <v>2</v>
      </c>
      <c r="E2396" s="165" t="s">
        <v>1069</v>
      </c>
      <c r="F2396" s="306" t="s">
        <v>1079</v>
      </c>
      <c r="G2396" s="186">
        <f ca="1">OFFSET(卡牌辅助配置表!$C$1,MATCH(AC2396,卡牌辅助配置表!A:A,0)-1,0)</f>
        <v>3</v>
      </c>
      <c r="H2396" s="186">
        <f ca="1">OFFSET(skill!$Q$1,MATCH(B2396,skill!B:B,0)-1,0)</f>
        <v>11.25</v>
      </c>
      <c r="I2396" s="186"/>
      <c r="J2396" s="186">
        <f ca="1">OFFSET(card_type!$F$1,MATCH(Q2396,card_type!A:A,0)-1,0)</f>
        <v>4</v>
      </c>
      <c r="K2396" s="243">
        <f ca="1">OFFSET(card_type!$G$1,MATCH(Q2396,card_type!A:A,0)-1,0)</f>
        <v>3</v>
      </c>
      <c r="L2396" s="157">
        <v>3</v>
      </c>
      <c r="M2396" s="157">
        <v>3</v>
      </c>
      <c r="N2396" s="153">
        <f t="shared" si="408"/>
        <v>10</v>
      </c>
      <c r="O2396" s="157"/>
      <c r="P2396" s="157"/>
      <c r="Q2396" s="153">
        <f ca="1">OFFSET(card_type!$A$1,MATCH(card!B2396,card_type!B:B,0)-1,0)</f>
        <v>3404</v>
      </c>
      <c r="R2396" s="153">
        <v>1</v>
      </c>
      <c r="S2396" s="157">
        <f ca="1">ROUND(IF(R2396=0,0,IF(R2396=1,X2396*$S$1,IF(R2396=2,X2396*$S$1*buff的资质计算!$E$2,IF(R2396=3,X2396*$S$1*buff的资质计算!$E$3,0)))),0)*0</f>
        <v>0</v>
      </c>
      <c r="T2396" s="153">
        <v>2</v>
      </c>
      <c r="U2396" s="153">
        <f ca="1" t="shared" si="414"/>
        <v>43</v>
      </c>
      <c r="V2396" s="153">
        <f ca="1">ROUND((OFFSET(卡牌辅助配置表!$O$1,MATCH(U2396,卡牌辅助配置表!M:M,0)-1,0)+(N2396-1)*OFFSET(卡牌辅助配置表!$P$1,MATCH(U2396,卡牌辅助配置表!M:M,0)-1,0))*M2396,2)</f>
        <v>233.64</v>
      </c>
      <c r="W2396" s="157">
        <f ca="1">ROUND(IF(R2396=0,0,IF(R2396=1,X2396*$W$1,IF(R2396=2,X2396*$W$1*buff的资质计算!$E$2,IF(R2396=3,X2396*$W$1*buff的资质计算!$E$3,0)))),2)</f>
        <v>27.45</v>
      </c>
      <c r="X2396" s="157">
        <f ca="1" t="shared" si="409"/>
        <v>91.5</v>
      </c>
      <c r="Y2396" s="157">
        <f ca="1" t="shared" si="417"/>
        <v>102.75</v>
      </c>
      <c r="Z2396" s="304">
        <f ca="1" t="shared" si="410"/>
        <v>34.25</v>
      </c>
      <c r="AA2396" s="304">
        <f ca="1">OFFSET(卡牌辅助配置表!$AD$1,MATCH(AB2396,卡牌辅助配置表!AB:AB,0)-1,0)</f>
        <v>11500</v>
      </c>
      <c r="AB2396" s="304">
        <f ca="1" t="shared" si="415"/>
        <v>4310</v>
      </c>
      <c r="AC2396" s="153">
        <v>10</v>
      </c>
      <c r="AD2396" s="153">
        <v>3</v>
      </c>
      <c r="AE2396" s="153">
        <v>3</v>
      </c>
      <c r="AF2396" s="153" t="str">
        <f ca="1" t="shared" si="418"/>
        <v>34040011|34040012|</v>
      </c>
      <c r="AJ2396" s="205">
        <f ca="1" t="shared" si="416"/>
        <v>0</v>
      </c>
      <c r="AK2396" s="205">
        <f ca="1">OFFSET([1]item_type!$A$1,MATCH(Q2396,[1]item_type!$G:$G,0)-1,0)</f>
        <v>303404</v>
      </c>
      <c r="AL2396" s="205"/>
      <c r="AM2396" s="205">
        <f ca="1">IF(B2396=B2397,OFFSET(卡牌辅助配置表!$AE$1,MATCH(AB2396,卡牌辅助配置表!AB:AB,0),0),0)</f>
        <v>5400</v>
      </c>
      <c r="AN2396" s="153">
        <f ca="1" t="shared" si="419"/>
        <v>0</v>
      </c>
      <c r="AP2396" s="153" t="str">
        <f ca="1">IF(AC2396=0,0,IF(AC2396=12,0,OFFSET(effect!$N$1,MATCH(K2396,effect!M:M,0)-1,0)))</f>
        <v>kpsx_zise</v>
      </c>
    </row>
    <row r="2397" spans="1:42">
      <c r="A2397" s="153">
        <f ca="1" t="shared" si="413"/>
        <v>3404011</v>
      </c>
      <c r="B2397" s="91" t="s">
        <v>947</v>
      </c>
      <c r="C2397" s="186">
        <v>3</v>
      </c>
      <c r="D2397" s="186">
        <v>2</v>
      </c>
      <c r="E2397" s="165" t="s">
        <v>1069</v>
      </c>
      <c r="F2397" s="306" t="s">
        <v>1079</v>
      </c>
      <c r="G2397" s="186">
        <f ca="1">OFFSET(卡牌辅助配置表!$C$1,MATCH(AC2397,卡牌辅助配置表!A:A,0)-1,0)</f>
        <v>3</v>
      </c>
      <c r="H2397" s="186">
        <f ca="1">OFFSET(skill!$Q$1,MATCH(B2397,skill!B:B,0)-1,0)</f>
        <v>11.25</v>
      </c>
      <c r="I2397" s="186"/>
      <c r="J2397" s="186">
        <f ca="1">OFFSET(card_type!$F$1,MATCH(Q2397,card_type!A:A,0)-1,0)</f>
        <v>4</v>
      </c>
      <c r="K2397" s="243">
        <f ca="1">OFFSET(card_type!$G$1,MATCH(Q2397,card_type!A:A,0)-1,0)</f>
        <v>3</v>
      </c>
      <c r="L2397" s="157">
        <v>3</v>
      </c>
      <c r="M2397" s="157">
        <v>3</v>
      </c>
      <c r="N2397" s="153">
        <f t="shared" si="408"/>
        <v>11</v>
      </c>
      <c r="O2397" s="157"/>
      <c r="P2397" s="157"/>
      <c r="Q2397" s="153">
        <f ca="1">OFFSET(card_type!$A$1,MATCH(card!B2397,card_type!B:B,0)-1,0)</f>
        <v>3404</v>
      </c>
      <c r="R2397" s="153">
        <v>1</v>
      </c>
      <c r="S2397" s="157">
        <f ca="1">ROUND(IF(R2397=0,0,IF(R2397=1,X2397*$S$1,IF(R2397=2,X2397*$S$1*buff的资质计算!$E$2,IF(R2397=3,X2397*$S$1*buff的资质计算!$E$3,0)))),0)*0</f>
        <v>0</v>
      </c>
      <c r="T2397" s="153">
        <v>2</v>
      </c>
      <c r="U2397" s="153">
        <f ca="1" t="shared" si="414"/>
        <v>43</v>
      </c>
      <c r="V2397" s="153">
        <f ca="1">ROUND((OFFSET(卡牌辅助配置表!$O$1,MATCH(U2397,卡牌辅助配置表!M:M,0)-1,0)+(N2397-1)*OFFSET(卡牌辅助配置表!$P$1,MATCH(U2397,卡牌辅助配置表!M:M,0)-1,0))*M2397,2)</f>
        <v>247.8</v>
      </c>
      <c r="W2397" s="157">
        <f ca="1">ROUND(IF(R2397=0,0,IF(R2397=1,X2397*$W$1,IF(R2397=2,X2397*$W$1*buff的资质计算!$E$2,IF(R2397=3,X2397*$W$1*buff的资质计算!$E$3,0)))),2)</f>
        <v>27.6</v>
      </c>
      <c r="X2397" s="157">
        <f ca="1" t="shared" si="409"/>
        <v>92</v>
      </c>
      <c r="Y2397" s="157">
        <f ca="1" t="shared" si="417"/>
        <v>103.25</v>
      </c>
      <c r="Z2397" s="304">
        <f ca="1" t="shared" si="410"/>
        <v>34.4166666666667</v>
      </c>
      <c r="AA2397" s="304">
        <f ca="1">OFFSET(卡牌辅助配置表!$AD$1,MATCH(AB2397,卡牌辅助配置表!AB:AB,0)-1,0)</f>
        <v>13225</v>
      </c>
      <c r="AB2397" s="304">
        <f ca="1" t="shared" si="415"/>
        <v>4311</v>
      </c>
      <c r="AC2397" s="153">
        <v>10</v>
      </c>
      <c r="AD2397" s="153">
        <v>3</v>
      </c>
      <c r="AE2397" s="153">
        <v>3</v>
      </c>
      <c r="AF2397" s="153" t="str">
        <f ca="1" t="shared" si="418"/>
        <v>34040011|34040012|</v>
      </c>
      <c r="AJ2397" s="205">
        <f ca="1" t="shared" si="416"/>
        <v>0</v>
      </c>
      <c r="AK2397" s="205">
        <f ca="1">OFFSET([1]item_type!$A$1,MATCH(Q2397,[1]item_type!$G:$G,0)-1,0)</f>
        <v>303404</v>
      </c>
      <c r="AL2397" s="205"/>
      <c r="AM2397" s="205">
        <f ca="1">IF(B2397=B2398,OFFSET(卡牌辅助配置表!$AE$1,MATCH(AB2397,卡牌辅助配置表!AB:AB,0),0),0)</f>
        <v>6200</v>
      </c>
      <c r="AN2397" s="153">
        <f ca="1" t="shared" si="419"/>
        <v>0</v>
      </c>
      <c r="AP2397" s="153" t="str">
        <f ca="1">IF(AC2397=0,0,IF(AC2397=12,0,OFFSET(effect!$N$1,MATCH(K2397,effect!M:M,0)-1,0)))</f>
        <v>kpsx_zise</v>
      </c>
    </row>
    <row r="2398" spans="1:42">
      <c r="A2398" s="153">
        <f ca="1" t="shared" si="413"/>
        <v>3404012</v>
      </c>
      <c r="B2398" s="91" t="s">
        <v>947</v>
      </c>
      <c r="C2398" s="186">
        <v>3</v>
      </c>
      <c r="D2398" s="186">
        <v>2</v>
      </c>
      <c r="E2398" s="165" t="s">
        <v>1069</v>
      </c>
      <c r="F2398" s="306" t="s">
        <v>1079</v>
      </c>
      <c r="G2398" s="186">
        <f ca="1">OFFSET(卡牌辅助配置表!$C$1,MATCH(AC2398,卡牌辅助配置表!A:A,0)-1,0)</f>
        <v>3</v>
      </c>
      <c r="H2398" s="186">
        <f ca="1">OFFSET(skill!$Q$1,MATCH(B2398,skill!B:B,0)-1,0)</f>
        <v>11.25</v>
      </c>
      <c r="I2398" s="186"/>
      <c r="J2398" s="186">
        <f ca="1">OFFSET(card_type!$F$1,MATCH(Q2398,card_type!A:A,0)-1,0)</f>
        <v>4</v>
      </c>
      <c r="K2398" s="243">
        <f ca="1">OFFSET(card_type!$G$1,MATCH(Q2398,card_type!A:A,0)-1,0)</f>
        <v>3</v>
      </c>
      <c r="L2398" s="157">
        <v>3</v>
      </c>
      <c r="M2398" s="157">
        <v>3</v>
      </c>
      <c r="N2398" s="153">
        <f t="shared" si="408"/>
        <v>12</v>
      </c>
      <c r="O2398" s="157"/>
      <c r="P2398" s="157"/>
      <c r="Q2398" s="153">
        <f ca="1">OFFSET(card_type!$A$1,MATCH(card!B2398,card_type!B:B,0)-1,0)</f>
        <v>3404</v>
      </c>
      <c r="R2398" s="153">
        <v>1</v>
      </c>
      <c r="S2398" s="157">
        <f ca="1">ROUND(IF(R2398=0,0,IF(R2398=1,X2398*$S$1,IF(R2398=2,X2398*$S$1*buff的资质计算!$E$2,IF(R2398=3,X2398*$S$1*buff的资质计算!$E$3,0)))),0)*0</f>
        <v>0</v>
      </c>
      <c r="T2398" s="153">
        <v>2</v>
      </c>
      <c r="U2398" s="153">
        <f ca="1" t="shared" si="414"/>
        <v>43</v>
      </c>
      <c r="V2398" s="153">
        <f ca="1">ROUND((OFFSET(卡牌辅助配置表!$O$1,MATCH(U2398,卡牌辅助配置表!M:M,0)-1,0)+(N2398-1)*OFFSET(卡牌辅助配置表!$P$1,MATCH(U2398,卡牌辅助配置表!M:M,0)-1,0))*M2398,2)</f>
        <v>261.96</v>
      </c>
      <c r="W2398" s="157">
        <f ca="1">ROUND(IF(R2398=0,0,IF(R2398=1,X2398*$W$1,IF(R2398=2,X2398*$W$1*buff的资质计算!$E$2,IF(R2398=3,X2398*$W$1*buff的资质计算!$E$3,0)))),2)</f>
        <v>27.75</v>
      </c>
      <c r="X2398" s="157">
        <f ca="1" t="shared" si="409"/>
        <v>92.5</v>
      </c>
      <c r="Y2398" s="157">
        <f ca="1" t="shared" si="417"/>
        <v>103.75</v>
      </c>
      <c r="Z2398" s="304">
        <f ca="1" t="shared" si="410"/>
        <v>34.5833333333333</v>
      </c>
      <c r="AA2398" s="304">
        <f ca="1">OFFSET(卡牌辅助配置表!$AD$1,MATCH(AB2398,卡牌辅助配置表!AB:AB,0)-1,0)</f>
        <v>14950</v>
      </c>
      <c r="AB2398" s="304">
        <f ca="1" t="shared" si="415"/>
        <v>4312</v>
      </c>
      <c r="AC2398" s="153">
        <v>10</v>
      </c>
      <c r="AD2398" s="153">
        <v>3</v>
      </c>
      <c r="AE2398" s="153">
        <v>3</v>
      </c>
      <c r="AF2398" s="153" t="str">
        <f ca="1" t="shared" si="418"/>
        <v>34040011|34040012|</v>
      </c>
      <c r="AJ2398" s="205">
        <f ca="1" t="shared" si="416"/>
        <v>0</v>
      </c>
      <c r="AK2398" s="205">
        <f ca="1">OFFSET([1]item_type!$A$1,MATCH(Q2398,[1]item_type!$G:$G,0)-1,0)</f>
        <v>303404</v>
      </c>
      <c r="AL2398" s="205"/>
      <c r="AM2398" s="205">
        <f ca="1">IF(B2398=B2399,OFFSET(卡牌辅助配置表!$AE$1,MATCH(AB2398,卡牌辅助配置表!AB:AB,0),0),0)</f>
        <v>7000</v>
      </c>
      <c r="AN2398" s="153">
        <f ca="1" t="shared" si="419"/>
        <v>0</v>
      </c>
      <c r="AP2398" s="153" t="str">
        <f ca="1">IF(AC2398=0,0,IF(AC2398=12,0,OFFSET(effect!$N$1,MATCH(K2398,effect!M:M,0)-1,0)))</f>
        <v>kpsx_zise</v>
      </c>
    </row>
    <row r="2399" spans="1:42">
      <c r="A2399" s="153">
        <f ca="1" t="shared" si="413"/>
        <v>3404013</v>
      </c>
      <c r="B2399" s="91" t="s">
        <v>947</v>
      </c>
      <c r="C2399" s="186">
        <v>3</v>
      </c>
      <c r="D2399" s="186">
        <v>2</v>
      </c>
      <c r="E2399" s="165" t="s">
        <v>1069</v>
      </c>
      <c r="F2399" s="306" t="s">
        <v>1079</v>
      </c>
      <c r="G2399" s="186">
        <f ca="1">OFFSET(卡牌辅助配置表!$C$1,MATCH(AC2399,卡牌辅助配置表!A:A,0)-1,0)</f>
        <v>3</v>
      </c>
      <c r="H2399" s="186">
        <f ca="1">OFFSET(skill!$Q$1,MATCH(B2399,skill!B:B,0)-1,0)</f>
        <v>11.25</v>
      </c>
      <c r="I2399" s="186"/>
      <c r="J2399" s="186">
        <f ca="1">OFFSET(card_type!$F$1,MATCH(Q2399,card_type!A:A,0)-1,0)</f>
        <v>4</v>
      </c>
      <c r="K2399" s="243">
        <f ca="1">OFFSET(card_type!$G$1,MATCH(Q2399,card_type!A:A,0)-1,0)</f>
        <v>3</v>
      </c>
      <c r="L2399" s="157">
        <v>3</v>
      </c>
      <c r="M2399" s="157">
        <v>3</v>
      </c>
      <c r="N2399" s="153">
        <f t="shared" si="408"/>
        <v>13</v>
      </c>
      <c r="O2399" s="157"/>
      <c r="P2399" s="157"/>
      <c r="Q2399" s="153">
        <f ca="1">OFFSET(card_type!$A$1,MATCH(card!B2399,card_type!B:B,0)-1,0)</f>
        <v>3404</v>
      </c>
      <c r="R2399" s="153">
        <v>1</v>
      </c>
      <c r="S2399" s="157">
        <f ca="1">ROUND(IF(R2399=0,0,IF(R2399=1,X2399*$S$1,IF(R2399=2,X2399*$S$1*buff的资质计算!$E$2,IF(R2399=3,X2399*$S$1*buff的资质计算!$E$3,0)))),0)*0</f>
        <v>0</v>
      </c>
      <c r="T2399" s="153">
        <v>2</v>
      </c>
      <c r="U2399" s="153">
        <f ca="1" t="shared" si="414"/>
        <v>43</v>
      </c>
      <c r="V2399" s="153">
        <f ca="1">ROUND((OFFSET(卡牌辅助配置表!$O$1,MATCH(U2399,卡牌辅助配置表!M:M,0)-1,0)+(N2399-1)*OFFSET(卡牌辅助配置表!$P$1,MATCH(U2399,卡牌辅助配置表!M:M,0)-1,0))*M2399,2)</f>
        <v>276.12</v>
      </c>
      <c r="W2399" s="157">
        <f ca="1">ROUND(IF(R2399=0,0,IF(R2399=1,X2399*$W$1,IF(R2399=2,X2399*$W$1*buff的资质计算!$E$2,IF(R2399=3,X2399*$W$1*buff的资质计算!$E$3,0)))),2)</f>
        <v>27.9</v>
      </c>
      <c r="X2399" s="157">
        <f ca="1" t="shared" si="409"/>
        <v>93</v>
      </c>
      <c r="Y2399" s="157">
        <f ca="1" t="shared" si="417"/>
        <v>104.25</v>
      </c>
      <c r="Z2399" s="304">
        <f ca="1" t="shared" si="410"/>
        <v>34.75</v>
      </c>
      <c r="AA2399" s="304">
        <f ca="1">OFFSET(卡牌辅助配置表!$AD$1,MATCH(AB2399,卡牌辅助配置表!AB:AB,0)-1,0)</f>
        <v>16675</v>
      </c>
      <c r="AB2399" s="304">
        <f ca="1" t="shared" si="415"/>
        <v>4313</v>
      </c>
      <c r="AC2399" s="153">
        <v>10</v>
      </c>
      <c r="AD2399" s="153">
        <v>3</v>
      </c>
      <c r="AE2399" s="153">
        <v>3</v>
      </c>
      <c r="AF2399" s="153" t="str">
        <f ca="1" t="shared" si="418"/>
        <v>34040011|34040012|</v>
      </c>
      <c r="AJ2399" s="205">
        <f ca="1" t="shared" si="416"/>
        <v>0</v>
      </c>
      <c r="AK2399" s="205">
        <f ca="1">OFFSET([1]item_type!$A$1,MATCH(Q2399,[1]item_type!$G:$G,0)-1,0)</f>
        <v>303404</v>
      </c>
      <c r="AL2399" s="205"/>
      <c r="AM2399" s="205">
        <f ca="1">IF(B2399=B2400,OFFSET(卡牌辅助配置表!$AE$1,MATCH(AB2399,卡牌辅助配置表!AB:AB,0),0),0)</f>
        <v>7800</v>
      </c>
      <c r="AN2399" s="153">
        <f ca="1" t="shared" si="419"/>
        <v>0</v>
      </c>
      <c r="AP2399" s="153" t="str">
        <f ca="1">IF(AC2399=0,0,IF(AC2399=12,0,OFFSET(effect!$N$1,MATCH(K2399,effect!M:M,0)-1,0)))</f>
        <v>kpsx_zise</v>
      </c>
    </row>
    <row r="2400" spans="1:42">
      <c r="A2400" s="153">
        <f ca="1" t="shared" si="413"/>
        <v>3404014</v>
      </c>
      <c r="B2400" s="91" t="s">
        <v>947</v>
      </c>
      <c r="C2400" s="186">
        <v>3</v>
      </c>
      <c r="D2400" s="186">
        <v>2</v>
      </c>
      <c r="E2400" s="165" t="s">
        <v>1069</v>
      </c>
      <c r="F2400" s="306" t="s">
        <v>1079</v>
      </c>
      <c r="G2400" s="186">
        <f ca="1">OFFSET(卡牌辅助配置表!$C$1,MATCH(AC2400,卡牌辅助配置表!A:A,0)-1,0)</f>
        <v>3</v>
      </c>
      <c r="H2400" s="186">
        <f ca="1">OFFSET(skill!$Q$1,MATCH(B2400,skill!B:B,0)-1,0)</f>
        <v>11.25</v>
      </c>
      <c r="I2400" s="186"/>
      <c r="J2400" s="186">
        <f ca="1">OFFSET(card_type!$F$1,MATCH(Q2400,card_type!A:A,0)-1,0)</f>
        <v>4</v>
      </c>
      <c r="K2400" s="243">
        <f ca="1">OFFSET(card_type!$G$1,MATCH(Q2400,card_type!A:A,0)-1,0)</f>
        <v>3</v>
      </c>
      <c r="L2400" s="157">
        <v>3</v>
      </c>
      <c r="M2400" s="157">
        <v>3</v>
      </c>
      <c r="N2400" s="153">
        <f t="shared" si="408"/>
        <v>14</v>
      </c>
      <c r="O2400" s="157"/>
      <c r="P2400" s="157"/>
      <c r="Q2400" s="153">
        <f ca="1">OFFSET(card_type!$A$1,MATCH(card!B2400,card_type!B:B,0)-1,0)</f>
        <v>3404</v>
      </c>
      <c r="R2400" s="153">
        <v>1</v>
      </c>
      <c r="S2400" s="157">
        <f ca="1">ROUND(IF(R2400=0,0,IF(R2400=1,X2400*$S$1,IF(R2400=2,X2400*$S$1*buff的资质计算!$E$2,IF(R2400=3,X2400*$S$1*buff的资质计算!$E$3,0)))),0)*0</f>
        <v>0</v>
      </c>
      <c r="T2400" s="153">
        <v>2</v>
      </c>
      <c r="U2400" s="153">
        <f ca="1" t="shared" si="414"/>
        <v>43</v>
      </c>
      <c r="V2400" s="153">
        <f ca="1">ROUND((OFFSET(卡牌辅助配置表!$O$1,MATCH(U2400,卡牌辅助配置表!M:M,0)-1,0)+(N2400-1)*OFFSET(卡牌辅助配置表!$P$1,MATCH(U2400,卡牌辅助配置表!M:M,0)-1,0))*M2400,2)</f>
        <v>290.28</v>
      </c>
      <c r="W2400" s="157">
        <f ca="1">ROUND(IF(R2400=0,0,IF(R2400=1,X2400*$W$1,IF(R2400=2,X2400*$W$1*buff的资质计算!$E$2,IF(R2400=3,X2400*$W$1*buff的资质计算!$E$3,0)))),2)</f>
        <v>28.05</v>
      </c>
      <c r="X2400" s="157">
        <f ca="1" t="shared" si="409"/>
        <v>93.5</v>
      </c>
      <c r="Y2400" s="157">
        <f ca="1" t="shared" si="417"/>
        <v>104.75</v>
      </c>
      <c r="Z2400" s="304">
        <f ca="1" t="shared" si="410"/>
        <v>34.9166666666667</v>
      </c>
      <c r="AA2400" s="304">
        <f ca="1">OFFSET(卡牌辅助配置表!$AD$1,MATCH(AB2400,卡牌辅助配置表!AB:AB,0)-1,0)</f>
        <v>18400</v>
      </c>
      <c r="AB2400" s="304">
        <f ca="1" t="shared" si="415"/>
        <v>4314</v>
      </c>
      <c r="AC2400" s="153">
        <v>10</v>
      </c>
      <c r="AD2400" s="153">
        <v>3</v>
      </c>
      <c r="AE2400" s="153">
        <v>3</v>
      </c>
      <c r="AF2400" s="153" t="str">
        <f ca="1" t="shared" si="418"/>
        <v>34040011|34040012|</v>
      </c>
      <c r="AJ2400" s="205">
        <f ca="1" t="shared" si="416"/>
        <v>0</v>
      </c>
      <c r="AK2400" s="205">
        <f ca="1">OFFSET([1]item_type!$A$1,MATCH(Q2400,[1]item_type!$G:$G,0)-1,0)</f>
        <v>303404</v>
      </c>
      <c r="AL2400" s="205"/>
      <c r="AM2400" s="205">
        <f ca="1">IF(B2400=B2401,OFFSET(卡牌辅助配置表!$AE$1,MATCH(AB2400,卡牌辅助配置表!AB:AB,0),0),0)</f>
        <v>8600</v>
      </c>
      <c r="AN2400" s="153">
        <f ca="1" t="shared" si="419"/>
        <v>0</v>
      </c>
      <c r="AP2400" s="153" t="str">
        <f ca="1">IF(AC2400=0,0,IF(AC2400=12,0,OFFSET(effect!$N$1,MATCH(K2400,effect!M:M,0)-1,0)))</f>
        <v>kpsx_zise</v>
      </c>
    </row>
    <row r="2401" spans="1:42">
      <c r="A2401" s="153">
        <f ca="1" t="shared" si="413"/>
        <v>3404015</v>
      </c>
      <c r="B2401" s="91" t="s">
        <v>947</v>
      </c>
      <c r="C2401" s="186">
        <v>3</v>
      </c>
      <c r="D2401" s="186">
        <v>2</v>
      </c>
      <c r="E2401" s="165" t="s">
        <v>1069</v>
      </c>
      <c r="F2401" s="306" t="s">
        <v>1079</v>
      </c>
      <c r="G2401" s="186">
        <f ca="1">OFFSET(卡牌辅助配置表!$C$1,MATCH(AC2401,卡牌辅助配置表!A:A,0)-1,0)</f>
        <v>3</v>
      </c>
      <c r="H2401" s="186">
        <f ca="1">OFFSET(skill!$Q$1,MATCH(B2401,skill!B:B,0)-1,0)</f>
        <v>11.25</v>
      </c>
      <c r="I2401" s="186"/>
      <c r="J2401" s="186">
        <f ca="1">OFFSET(card_type!$F$1,MATCH(Q2401,card_type!A:A,0)-1,0)</f>
        <v>4</v>
      </c>
      <c r="K2401" s="243">
        <f ca="1">OFFSET(card_type!$G$1,MATCH(Q2401,card_type!A:A,0)-1,0)</f>
        <v>3</v>
      </c>
      <c r="L2401" s="157">
        <v>3</v>
      </c>
      <c r="M2401" s="157">
        <v>3</v>
      </c>
      <c r="N2401" s="153">
        <f t="shared" si="408"/>
        <v>15</v>
      </c>
      <c r="O2401" s="157"/>
      <c r="P2401" s="157"/>
      <c r="Q2401" s="153">
        <f ca="1">OFFSET(card_type!$A$1,MATCH(card!B2401,card_type!B:B,0)-1,0)</f>
        <v>3404</v>
      </c>
      <c r="R2401" s="153">
        <v>1</v>
      </c>
      <c r="S2401" s="157">
        <f ca="1">ROUND(IF(R2401=0,0,IF(R2401=1,X2401*$S$1,IF(R2401=2,X2401*$S$1*buff的资质计算!$E$2,IF(R2401=3,X2401*$S$1*buff的资质计算!$E$3,0)))),0)*0</f>
        <v>0</v>
      </c>
      <c r="T2401" s="153">
        <v>2</v>
      </c>
      <c r="U2401" s="153">
        <f ca="1" t="shared" si="414"/>
        <v>43</v>
      </c>
      <c r="V2401" s="153">
        <f ca="1">ROUND((OFFSET(卡牌辅助配置表!$O$1,MATCH(U2401,卡牌辅助配置表!M:M,0)-1,0)+(N2401-1)*OFFSET(卡牌辅助配置表!$P$1,MATCH(U2401,卡牌辅助配置表!M:M,0)-1,0))*M2401,2)</f>
        <v>304.44</v>
      </c>
      <c r="W2401" s="157">
        <f ca="1">ROUND(IF(R2401=0,0,IF(R2401=1,X2401*$W$1,IF(R2401=2,X2401*$W$1*buff的资质计算!$E$2,IF(R2401=3,X2401*$W$1*buff的资质计算!$E$3,0)))),2)</f>
        <v>28.2</v>
      </c>
      <c r="X2401" s="157">
        <f ca="1" t="shared" si="409"/>
        <v>94</v>
      </c>
      <c r="Y2401" s="157">
        <f ca="1" t="shared" si="417"/>
        <v>105.25</v>
      </c>
      <c r="Z2401" s="304">
        <f ca="1" t="shared" si="410"/>
        <v>35.0833333333333</v>
      </c>
      <c r="AA2401" s="304">
        <f ca="1">OFFSET(卡牌辅助配置表!$AD$1,MATCH(AB2401,卡牌辅助配置表!AB:AB,0)-1,0)</f>
        <v>20125</v>
      </c>
      <c r="AB2401" s="304">
        <f ca="1" t="shared" si="415"/>
        <v>4315</v>
      </c>
      <c r="AC2401" s="153">
        <v>10</v>
      </c>
      <c r="AD2401" s="153">
        <v>3</v>
      </c>
      <c r="AE2401" s="153">
        <v>3</v>
      </c>
      <c r="AF2401" s="153" t="str">
        <f ca="1" t="shared" si="418"/>
        <v>34040011|34040012|</v>
      </c>
      <c r="AJ2401" s="205">
        <f ca="1" t="shared" si="416"/>
        <v>0</v>
      </c>
      <c r="AK2401" s="205">
        <f ca="1">OFFSET([1]item_type!$A$1,MATCH(Q2401,[1]item_type!$G:$G,0)-1,0)</f>
        <v>303404</v>
      </c>
      <c r="AL2401" s="205"/>
      <c r="AM2401" s="205">
        <f ca="1">IF(B2401=B2402,OFFSET(卡牌辅助配置表!$AE$1,MATCH(AB2401,卡牌辅助配置表!AB:AB,0),0),0)</f>
        <v>9400</v>
      </c>
      <c r="AN2401" s="153">
        <f ca="1" t="shared" si="419"/>
        <v>0</v>
      </c>
      <c r="AP2401" s="153" t="str">
        <f ca="1">IF(AC2401=0,0,IF(AC2401=12,0,OFFSET(effect!$N$1,MATCH(K2401,effect!M:M,0)-1,0)))</f>
        <v>kpsx_zise</v>
      </c>
    </row>
    <row r="2402" spans="1:42">
      <c r="A2402" s="153">
        <f ca="1" t="shared" si="413"/>
        <v>3404016</v>
      </c>
      <c r="B2402" s="91" t="s">
        <v>947</v>
      </c>
      <c r="C2402" s="186">
        <v>3</v>
      </c>
      <c r="D2402" s="186">
        <v>2</v>
      </c>
      <c r="E2402" s="165" t="s">
        <v>1069</v>
      </c>
      <c r="F2402" s="306" t="s">
        <v>1079</v>
      </c>
      <c r="G2402" s="186">
        <f ca="1">OFFSET(卡牌辅助配置表!$C$1,MATCH(AC2402,卡牌辅助配置表!A:A,0)-1,0)</f>
        <v>3</v>
      </c>
      <c r="H2402" s="186">
        <f ca="1">OFFSET(skill!$Q$1,MATCH(B2402,skill!B:B,0)-1,0)</f>
        <v>11.25</v>
      </c>
      <c r="I2402" s="186"/>
      <c r="J2402" s="186">
        <f ca="1">OFFSET(card_type!$F$1,MATCH(Q2402,card_type!A:A,0)-1,0)</f>
        <v>4</v>
      </c>
      <c r="K2402" s="243">
        <f ca="1">OFFSET(card_type!$G$1,MATCH(Q2402,card_type!A:A,0)-1,0)</f>
        <v>3</v>
      </c>
      <c r="L2402" s="157">
        <v>3</v>
      </c>
      <c r="M2402" s="157">
        <v>3</v>
      </c>
      <c r="N2402" s="153">
        <f t="shared" si="408"/>
        <v>16</v>
      </c>
      <c r="O2402" s="157"/>
      <c r="P2402" s="157"/>
      <c r="Q2402" s="153">
        <f ca="1">OFFSET(card_type!$A$1,MATCH(card!B2402,card_type!B:B,0)-1,0)</f>
        <v>3404</v>
      </c>
      <c r="R2402" s="153">
        <v>1</v>
      </c>
      <c r="S2402" s="157">
        <f ca="1">ROUND(IF(R2402=0,0,IF(R2402=1,X2402*$S$1,IF(R2402=2,X2402*$S$1*buff的资质计算!$E$2,IF(R2402=3,X2402*$S$1*buff的资质计算!$E$3,0)))),0)*0</f>
        <v>0</v>
      </c>
      <c r="T2402" s="153">
        <v>2</v>
      </c>
      <c r="U2402" s="153">
        <f ca="1" t="shared" si="414"/>
        <v>43</v>
      </c>
      <c r="V2402" s="153">
        <f ca="1">ROUND((OFFSET(卡牌辅助配置表!$O$1,MATCH(U2402,卡牌辅助配置表!M:M,0)-1,0)+(N2402-1)*OFFSET(卡牌辅助配置表!$P$1,MATCH(U2402,卡牌辅助配置表!M:M,0)-1,0))*M2402,2)</f>
        <v>318.6</v>
      </c>
      <c r="W2402" s="157">
        <f ca="1">ROUND(IF(R2402=0,0,IF(R2402=1,X2402*$W$1,IF(R2402=2,X2402*$W$1*buff的资质计算!$E$2,IF(R2402=3,X2402*$W$1*buff的资质计算!$E$3,0)))),2)</f>
        <v>28.35</v>
      </c>
      <c r="X2402" s="157">
        <f ca="1" t="shared" si="409"/>
        <v>94.5</v>
      </c>
      <c r="Y2402" s="157">
        <f ca="1" t="shared" si="417"/>
        <v>105.75</v>
      </c>
      <c r="Z2402" s="304">
        <f ca="1" t="shared" si="410"/>
        <v>35.25</v>
      </c>
      <c r="AA2402" s="304">
        <f ca="1">OFFSET(卡牌辅助配置表!$AD$1,MATCH(AB2402,卡牌辅助配置表!AB:AB,0)-1,0)</f>
        <v>21850</v>
      </c>
      <c r="AB2402" s="304">
        <f ca="1" t="shared" si="415"/>
        <v>4316</v>
      </c>
      <c r="AC2402" s="153">
        <v>10</v>
      </c>
      <c r="AD2402" s="153">
        <v>3</v>
      </c>
      <c r="AE2402" s="153">
        <v>3</v>
      </c>
      <c r="AF2402" s="153" t="str">
        <f ca="1" t="shared" si="418"/>
        <v>34040011|34040012|</v>
      </c>
      <c r="AJ2402" s="205">
        <f ca="1" t="shared" si="416"/>
        <v>0</v>
      </c>
      <c r="AK2402" s="205">
        <f ca="1">OFFSET([1]item_type!$A$1,MATCH(Q2402,[1]item_type!$G:$G,0)-1,0)</f>
        <v>303404</v>
      </c>
      <c r="AL2402" s="205"/>
      <c r="AM2402" s="205">
        <f ca="1">IF(B2402=B2403,OFFSET(卡牌辅助配置表!$AE$1,MATCH(AB2402,卡牌辅助配置表!AB:AB,0),0),0)</f>
        <v>10200</v>
      </c>
      <c r="AN2402" s="153">
        <f ca="1" t="shared" si="419"/>
        <v>0</v>
      </c>
      <c r="AP2402" s="153" t="str">
        <f ca="1">IF(AC2402=0,0,IF(AC2402=12,0,OFFSET(effect!$N$1,MATCH(K2402,effect!M:M,0)-1,0)))</f>
        <v>kpsx_zise</v>
      </c>
    </row>
    <row r="2403" spans="1:42">
      <c r="A2403" s="153">
        <f ca="1" t="shared" si="413"/>
        <v>3404017</v>
      </c>
      <c r="B2403" s="91" t="s">
        <v>947</v>
      </c>
      <c r="C2403" s="186">
        <v>3</v>
      </c>
      <c r="D2403" s="186">
        <v>2</v>
      </c>
      <c r="E2403" s="165" t="s">
        <v>1069</v>
      </c>
      <c r="F2403" s="306" t="s">
        <v>1079</v>
      </c>
      <c r="G2403" s="186">
        <f ca="1">OFFSET(卡牌辅助配置表!$C$1,MATCH(AC2403,卡牌辅助配置表!A:A,0)-1,0)</f>
        <v>3</v>
      </c>
      <c r="H2403" s="186">
        <f ca="1">OFFSET(skill!$Q$1,MATCH(B2403,skill!B:B,0)-1,0)</f>
        <v>11.25</v>
      </c>
      <c r="I2403" s="186"/>
      <c r="J2403" s="186">
        <f ca="1">OFFSET(card_type!$F$1,MATCH(Q2403,card_type!A:A,0)-1,0)</f>
        <v>4</v>
      </c>
      <c r="K2403" s="243">
        <f ca="1">OFFSET(card_type!$G$1,MATCH(Q2403,card_type!A:A,0)-1,0)</f>
        <v>3</v>
      </c>
      <c r="L2403" s="157">
        <v>3</v>
      </c>
      <c r="M2403" s="157">
        <v>3</v>
      </c>
      <c r="N2403" s="153">
        <f t="shared" si="408"/>
        <v>17</v>
      </c>
      <c r="O2403" s="157"/>
      <c r="P2403" s="157"/>
      <c r="Q2403" s="153">
        <f ca="1">OFFSET(card_type!$A$1,MATCH(card!B2403,card_type!B:B,0)-1,0)</f>
        <v>3404</v>
      </c>
      <c r="R2403" s="153">
        <v>1</v>
      </c>
      <c r="S2403" s="157">
        <f ca="1">ROUND(IF(R2403=0,0,IF(R2403=1,X2403*$S$1,IF(R2403=2,X2403*$S$1*buff的资质计算!$E$2,IF(R2403=3,X2403*$S$1*buff的资质计算!$E$3,0)))),0)*0</f>
        <v>0</v>
      </c>
      <c r="T2403" s="153">
        <v>2</v>
      </c>
      <c r="U2403" s="153">
        <f ca="1" t="shared" si="414"/>
        <v>43</v>
      </c>
      <c r="V2403" s="153">
        <f ca="1">ROUND((OFFSET(卡牌辅助配置表!$O$1,MATCH(U2403,卡牌辅助配置表!M:M,0)-1,0)+(N2403-1)*OFFSET(卡牌辅助配置表!$P$1,MATCH(U2403,卡牌辅助配置表!M:M,0)-1,0))*M2403,2)</f>
        <v>332.76</v>
      </c>
      <c r="W2403" s="157">
        <f ca="1">ROUND(IF(R2403=0,0,IF(R2403=1,X2403*$W$1,IF(R2403=2,X2403*$W$1*buff的资质计算!$E$2,IF(R2403=3,X2403*$W$1*buff的资质计算!$E$3,0)))),2)</f>
        <v>28.5</v>
      </c>
      <c r="X2403" s="157">
        <f ca="1" t="shared" si="409"/>
        <v>95</v>
      </c>
      <c r="Y2403" s="157">
        <f ca="1" t="shared" si="417"/>
        <v>106.25</v>
      </c>
      <c r="Z2403" s="304">
        <f ca="1" t="shared" si="410"/>
        <v>35.4166666666667</v>
      </c>
      <c r="AA2403" s="304">
        <f ca="1">OFFSET(卡牌辅助配置表!$AD$1,MATCH(AB2403,卡牌辅助配置表!AB:AB,0)-1,0)</f>
        <v>23575</v>
      </c>
      <c r="AB2403" s="304">
        <f ca="1" t="shared" si="415"/>
        <v>4317</v>
      </c>
      <c r="AC2403" s="153">
        <v>10</v>
      </c>
      <c r="AD2403" s="153">
        <v>3</v>
      </c>
      <c r="AE2403" s="153">
        <v>3</v>
      </c>
      <c r="AF2403" s="153" t="str">
        <f ca="1" t="shared" si="418"/>
        <v>34040011|34040012|</v>
      </c>
      <c r="AJ2403" s="205">
        <f ca="1" t="shared" si="416"/>
        <v>0</v>
      </c>
      <c r="AK2403" s="205">
        <f ca="1">OFFSET([1]item_type!$A$1,MATCH(Q2403,[1]item_type!$G:$G,0)-1,0)</f>
        <v>303404</v>
      </c>
      <c r="AL2403" s="205"/>
      <c r="AM2403" s="205">
        <f ca="1">IF(B2403=B2404,OFFSET(卡牌辅助配置表!$AE$1,MATCH(AB2403,卡牌辅助配置表!AB:AB,0),0),0)</f>
        <v>11000</v>
      </c>
      <c r="AN2403" s="153">
        <f ca="1" t="shared" si="419"/>
        <v>0</v>
      </c>
      <c r="AP2403" s="153" t="str">
        <f ca="1">IF(AC2403=0,0,IF(AC2403=12,0,OFFSET(effect!$N$1,MATCH(K2403,effect!M:M,0)-1,0)))</f>
        <v>kpsx_zise</v>
      </c>
    </row>
    <row r="2404" spans="1:42">
      <c r="A2404" s="153">
        <f ca="1" t="shared" si="413"/>
        <v>3404018</v>
      </c>
      <c r="B2404" s="91" t="s">
        <v>947</v>
      </c>
      <c r="C2404" s="186">
        <v>3</v>
      </c>
      <c r="D2404" s="186">
        <v>2</v>
      </c>
      <c r="E2404" s="165" t="s">
        <v>1069</v>
      </c>
      <c r="F2404" s="306" t="s">
        <v>1079</v>
      </c>
      <c r="G2404" s="186">
        <f ca="1">OFFSET(卡牌辅助配置表!$C$1,MATCH(AC2404,卡牌辅助配置表!A:A,0)-1,0)</f>
        <v>3</v>
      </c>
      <c r="H2404" s="186">
        <f ca="1">OFFSET(skill!$Q$1,MATCH(B2404,skill!B:B,0)-1,0)</f>
        <v>11.25</v>
      </c>
      <c r="I2404" s="186"/>
      <c r="J2404" s="186">
        <f ca="1">OFFSET(card_type!$F$1,MATCH(Q2404,card_type!A:A,0)-1,0)</f>
        <v>4</v>
      </c>
      <c r="K2404" s="243">
        <f ca="1">OFFSET(card_type!$G$1,MATCH(Q2404,card_type!A:A,0)-1,0)</f>
        <v>3</v>
      </c>
      <c r="L2404" s="157">
        <v>3</v>
      </c>
      <c r="M2404" s="157">
        <v>3</v>
      </c>
      <c r="N2404" s="153">
        <f t="shared" ref="N2404:N2446" si="420">IF(B2403=B2404,N2403+1,1)</f>
        <v>18</v>
      </c>
      <c r="O2404" s="157"/>
      <c r="P2404" s="157"/>
      <c r="Q2404" s="153">
        <f ca="1">OFFSET(card_type!$A$1,MATCH(card!B2404,card_type!B:B,0)-1,0)</f>
        <v>3404</v>
      </c>
      <c r="R2404" s="153">
        <v>1</v>
      </c>
      <c r="S2404" s="157">
        <f ca="1">ROUND(IF(R2404=0,0,IF(R2404=1,X2404*$S$1,IF(R2404=2,X2404*$S$1*buff的资质计算!$E$2,IF(R2404=3,X2404*$S$1*buff的资质计算!$E$3,0)))),0)*0</f>
        <v>0</v>
      </c>
      <c r="T2404" s="153">
        <v>2</v>
      </c>
      <c r="U2404" s="153">
        <f ca="1" t="shared" si="414"/>
        <v>43</v>
      </c>
      <c r="V2404" s="153">
        <f ca="1">ROUND((OFFSET(卡牌辅助配置表!$O$1,MATCH(U2404,卡牌辅助配置表!M:M,0)-1,0)+(N2404-1)*OFFSET(卡牌辅助配置表!$P$1,MATCH(U2404,卡牌辅助配置表!M:M,0)-1,0))*M2404,2)</f>
        <v>346.92</v>
      </c>
      <c r="W2404" s="157">
        <f ca="1">ROUND(IF(R2404=0,0,IF(R2404=1,X2404*$W$1,IF(R2404=2,X2404*$W$1*buff的资质计算!$E$2,IF(R2404=3,X2404*$W$1*buff的资质计算!$E$3,0)))),2)</f>
        <v>28.65</v>
      </c>
      <c r="X2404" s="157">
        <f ca="1" t="shared" si="409"/>
        <v>95.5</v>
      </c>
      <c r="Y2404" s="157">
        <f ca="1" t="shared" si="417"/>
        <v>106.75</v>
      </c>
      <c r="Z2404" s="304">
        <f ca="1" t="shared" si="410"/>
        <v>35.5833333333333</v>
      </c>
      <c r="AA2404" s="304">
        <f ca="1">OFFSET(卡牌辅助配置表!$AD$1,MATCH(AB2404,卡牌辅助配置表!AB:AB,0)-1,0)</f>
        <v>25300</v>
      </c>
      <c r="AB2404" s="304">
        <f ca="1" t="shared" si="415"/>
        <v>4318</v>
      </c>
      <c r="AC2404" s="153">
        <v>10</v>
      </c>
      <c r="AD2404" s="153">
        <v>3</v>
      </c>
      <c r="AE2404" s="153">
        <v>3</v>
      </c>
      <c r="AF2404" s="153" t="str">
        <f ca="1" t="shared" si="418"/>
        <v>34040011|34040012|</v>
      </c>
      <c r="AJ2404" s="205">
        <f ca="1" t="shared" si="416"/>
        <v>0</v>
      </c>
      <c r="AK2404" s="205">
        <f ca="1">OFFSET([1]item_type!$A$1,MATCH(Q2404,[1]item_type!$G:$G,0)-1,0)</f>
        <v>303404</v>
      </c>
      <c r="AL2404" s="205"/>
      <c r="AM2404" s="205">
        <f ca="1">IF(B2404=B2405,OFFSET(卡牌辅助配置表!$AE$1,MATCH(AB2404,卡牌辅助配置表!AB:AB,0),0),0)</f>
        <v>11800</v>
      </c>
      <c r="AN2404" s="153">
        <f ca="1" t="shared" si="419"/>
        <v>0</v>
      </c>
      <c r="AP2404" s="153" t="str">
        <f ca="1">IF(AC2404=0,0,IF(AC2404=12,0,OFFSET(effect!$N$1,MATCH(K2404,effect!M:M,0)-1,0)))</f>
        <v>kpsx_zise</v>
      </c>
    </row>
    <row r="2405" spans="1:42">
      <c r="A2405" s="153">
        <f ca="1" t="shared" si="413"/>
        <v>3404019</v>
      </c>
      <c r="B2405" s="91" t="s">
        <v>947</v>
      </c>
      <c r="C2405" s="186">
        <v>3</v>
      </c>
      <c r="D2405" s="186">
        <v>2</v>
      </c>
      <c r="E2405" s="165" t="s">
        <v>1069</v>
      </c>
      <c r="F2405" s="306" t="s">
        <v>1079</v>
      </c>
      <c r="G2405" s="186">
        <f ca="1">OFFSET(卡牌辅助配置表!$C$1,MATCH(AC2405,卡牌辅助配置表!A:A,0)-1,0)</f>
        <v>3</v>
      </c>
      <c r="H2405" s="186">
        <f ca="1">OFFSET(skill!$Q$1,MATCH(B2405,skill!B:B,0)-1,0)</f>
        <v>11.25</v>
      </c>
      <c r="I2405" s="186"/>
      <c r="J2405" s="186">
        <f ca="1">OFFSET(card_type!$F$1,MATCH(Q2405,card_type!A:A,0)-1,0)</f>
        <v>4</v>
      </c>
      <c r="K2405" s="243">
        <f ca="1">OFFSET(card_type!$G$1,MATCH(Q2405,card_type!A:A,0)-1,0)</f>
        <v>3</v>
      </c>
      <c r="L2405" s="157">
        <v>3</v>
      </c>
      <c r="M2405" s="157">
        <v>3</v>
      </c>
      <c r="N2405" s="153">
        <f t="shared" si="420"/>
        <v>19</v>
      </c>
      <c r="O2405" s="157"/>
      <c r="P2405" s="157"/>
      <c r="Q2405" s="153">
        <f ca="1">OFFSET(card_type!$A$1,MATCH(card!B2405,card_type!B:B,0)-1,0)</f>
        <v>3404</v>
      </c>
      <c r="R2405" s="153">
        <v>1</v>
      </c>
      <c r="S2405" s="157">
        <f ca="1">ROUND(IF(R2405=0,0,IF(R2405=1,X2405*$S$1,IF(R2405=2,X2405*$S$1*buff的资质计算!$E$2,IF(R2405=3,X2405*$S$1*buff的资质计算!$E$3,0)))),0)*0</f>
        <v>0</v>
      </c>
      <c r="T2405" s="153">
        <v>2</v>
      </c>
      <c r="U2405" s="153">
        <f ca="1" t="shared" si="414"/>
        <v>43</v>
      </c>
      <c r="V2405" s="153">
        <f ca="1">ROUND((OFFSET(卡牌辅助配置表!$O$1,MATCH(U2405,卡牌辅助配置表!M:M,0)-1,0)+(N2405-1)*OFFSET(卡牌辅助配置表!$P$1,MATCH(U2405,卡牌辅助配置表!M:M,0)-1,0))*M2405,2)</f>
        <v>361.08</v>
      </c>
      <c r="W2405" s="157">
        <f ca="1">ROUND(IF(R2405=0,0,IF(R2405=1,X2405*$W$1,IF(R2405=2,X2405*$W$1*buff的资质计算!$E$2,IF(R2405=3,X2405*$W$1*buff的资质计算!$E$3,0)))),2)</f>
        <v>28.8</v>
      </c>
      <c r="X2405" s="157">
        <f ca="1" t="shared" si="409"/>
        <v>96</v>
      </c>
      <c r="Y2405" s="157">
        <f ca="1" t="shared" si="417"/>
        <v>107.25</v>
      </c>
      <c r="Z2405" s="304">
        <f ca="1" t="shared" si="410"/>
        <v>35.75</v>
      </c>
      <c r="AA2405" s="304">
        <f ca="1">OFFSET(卡牌辅助配置表!$AD$1,MATCH(AB2405,卡牌辅助配置表!AB:AB,0)-1,0)</f>
        <v>27025</v>
      </c>
      <c r="AB2405" s="304">
        <f ca="1" t="shared" si="415"/>
        <v>4319</v>
      </c>
      <c r="AC2405" s="153">
        <v>10</v>
      </c>
      <c r="AD2405" s="153">
        <v>3</v>
      </c>
      <c r="AE2405" s="153">
        <v>3</v>
      </c>
      <c r="AF2405" s="153" t="str">
        <f ca="1" t="shared" si="418"/>
        <v>34040011|34040012|</v>
      </c>
      <c r="AJ2405" s="205">
        <f ca="1" t="shared" si="416"/>
        <v>0</v>
      </c>
      <c r="AK2405" s="205">
        <f ca="1">OFFSET([1]item_type!$A$1,MATCH(Q2405,[1]item_type!$G:$G,0)-1,0)</f>
        <v>303404</v>
      </c>
      <c r="AL2405" s="205">
        <v>20</v>
      </c>
      <c r="AM2405" s="205">
        <f ca="1">IF(B2405=B2406,OFFSET(卡牌辅助配置表!$AE$1,MATCH(AB2405,卡牌辅助配置表!AB:AB,0),0),0)</f>
        <v>12600</v>
      </c>
      <c r="AN2405" s="153">
        <f ca="1" t="shared" si="419"/>
        <v>0</v>
      </c>
      <c r="AP2405" s="153" t="str">
        <f ca="1">IF(AC2405=0,0,IF(AC2405=12,0,OFFSET(effect!$N$1,MATCH(K2405,effect!M:M,0)-1,0)))</f>
        <v>kpsx_zise</v>
      </c>
    </row>
    <row r="2406" spans="1:42">
      <c r="A2406" s="153">
        <f ca="1" t="shared" si="413"/>
        <v>3404020</v>
      </c>
      <c r="B2406" s="91" t="s">
        <v>947</v>
      </c>
      <c r="C2406" s="186">
        <v>3</v>
      </c>
      <c r="D2406" s="186">
        <v>2</v>
      </c>
      <c r="E2406" s="165" t="s">
        <v>1069</v>
      </c>
      <c r="F2406" s="306" t="s">
        <v>1079</v>
      </c>
      <c r="G2406" s="186">
        <f ca="1">OFFSET(卡牌辅助配置表!$C$1,MATCH(AC2406,卡牌辅助配置表!A:A,0)-1,0)</f>
        <v>3</v>
      </c>
      <c r="H2406" s="186">
        <f ca="1">OFFSET(skill!$Q$1,MATCH(B2406,skill!B:B,0)-1,0)</f>
        <v>11.25</v>
      </c>
      <c r="I2406" s="186"/>
      <c r="J2406" s="186">
        <f ca="1">OFFSET(card_type!$F$1,MATCH(Q2406,card_type!A:A,0)-1,0)</f>
        <v>4</v>
      </c>
      <c r="K2406" s="243">
        <f ca="1">OFFSET(card_type!$G$1,MATCH(Q2406,card_type!A:A,0)-1,0)</f>
        <v>3</v>
      </c>
      <c r="L2406" s="157">
        <v>3</v>
      </c>
      <c r="M2406" s="157">
        <v>3</v>
      </c>
      <c r="N2406" s="153">
        <f t="shared" si="420"/>
        <v>20</v>
      </c>
      <c r="O2406" s="157"/>
      <c r="P2406" s="157"/>
      <c r="Q2406" s="153">
        <f ca="1">OFFSET(card_type!$A$1,MATCH(card!B2406,card_type!B:B,0)-1,0)</f>
        <v>3404</v>
      </c>
      <c r="R2406" s="153">
        <v>1</v>
      </c>
      <c r="S2406" s="157">
        <f ca="1">ROUND(IF(R2406=0,0,IF(R2406=1,X2406*$S$1,IF(R2406=2,X2406*$S$1*buff的资质计算!$E$2,IF(R2406=3,X2406*$S$1*buff的资质计算!$E$3,0)))),0)*0</f>
        <v>0</v>
      </c>
      <c r="T2406" s="153">
        <v>2</v>
      </c>
      <c r="U2406" s="153">
        <f ca="1" t="shared" si="414"/>
        <v>43</v>
      </c>
      <c r="V2406" s="153">
        <f ca="1">ROUND((OFFSET(卡牌辅助配置表!$O$1,MATCH(U2406,卡牌辅助配置表!M:M,0)-1,0)+(N2406-1)*OFFSET(卡牌辅助配置表!$P$1,MATCH(U2406,卡牌辅助配置表!M:M,0)-1,0))*M2406,2)</f>
        <v>375.24</v>
      </c>
      <c r="W2406" s="157">
        <f ca="1">ROUND(IF(R2406=0,0,IF(R2406=1,X2406*$W$1,IF(R2406=2,X2406*$W$1*buff的资质计算!$E$2,IF(R2406=3,X2406*$W$1*buff的资质计算!$E$3,0)))),2)</f>
        <v>28.95</v>
      </c>
      <c r="X2406" s="157">
        <f ca="1" t="shared" si="409"/>
        <v>96.5</v>
      </c>
      <c r="Y2406" s="157">
        <f ca="1" t="shared" si="417"/>
        <v>107.75</v>
      </c>
      <c r="Z2406" s="304">
        <f ca="1" t="shared" si="410"/>
        <v>35.9166666666667</v>
      </c>
      <c r="AA2406" s="304">
        <f ca="1">OFFSET(卡牌辅助配置表!$AD$1,MATCH(AB2406,卡牌辅助配置表!AB:AB,0)-1,0)</f>
        <v>28750</v>
      </c>
      <c r="AB2406" s="304">
        <f ca="1" t="shared" si="415"/>
        <v>4320</v>
      </c>
      <c r="AC2406" s="153">
        <v>10</v>
      </c>
      <c r="AD2406" s="153">
        <v>3</v>
      </c>
      <c r="AE2406" s="153">
        <v>3</v>
      </c>
      <c r="AF2406" s="153" t="str">
        <f ca="1" t="shared" si="418"/>
        <v>34040011|34040012|</v>
      </c>
      <c r="AJ2406" s="205">
        <f ca="1" t="shared" si="416"/>
        <v>0</v>
      </c>
      <c r="AK2406" s="205">
        <f ca="1">OFFSET([1]item_type!$A$1,MATCH(Q2406,[1]item_type!$G:$G,0)-1,0)</f>
        <v>303404</v>
      </c>
      <c r="AL2406" s="205"/>
      <c r="AM2406" s="205">
        <f ca="1">IF(B2406=B2407,OFFSET(卡牌辅助配置表!$AE$1,MATCH(AB2406,卡牌辅助配置表!AB:AB,0),0),0)</f>
        <v>14200</v>
      </c>
      <c r="AN2406" s="153">
        <f ca="1" t="shared" si="419"/>
        <v>0</v>
      </c>
      <c r="AP2406" s="153" t="str">
        <f ca="1">IF(AC2406=0,0,IF(AC2406=12,0,OFFSET(effect!$N$1,MATCH(K2406,effect!M:M,0)-1,0)))</f>
        <v>kpsx_zise</v>
      </c>
    </row>
    <row r="2407" spans="1:42">
      <c r="A2407" s="153">
        <f ca="1" t="shared" si="413"/>
        <v>3404021</v>
      </c>
      <c r="B2407" s="91" t="s">
        <v>947</v>
      </c>
      <c r="C2407" s="186">
        <v>3</v>
      </c>
      <c r="D2407" s="186">
        <v>2</v>
      </c>
      <c r="E2407" s="165" t="s">
        <v>1069</v>
      </c>
      <c r="F2407" s="306" t="s">
        <v>1079</v>
      </c>
      <c r="G2407" s="186">
        <f ca="1">OFFSET(卡牌辅助配置表!$C$1,MATCH(AC2407,卡牌辅助配置表!A:A,0)-1,0)</f>
        <v>3</v>
      </c>
      <c r="H2407" s="186">
        <f ca="1">OFFSET(skill!$Q$1,MATCH(B2407,skill!B:B,0)-1,0)</f>
        <v>11.25</v>
      </c>
      <c r="I2407" s="186"/>
      <c r="J2407" s="186">
        <f ca="1">OFFSET(card_type!$F$1,MATCH(Q2407,card_type!A:A,0)-1,0)</f>
        <v>4</v>
      </c>
      <c r="K2407" s="243">
        <f ca="1">OFFSET(card_type!$G$1,MATCH(Q2407,card_type!A:A,0)-1,0)</f>
        <v>3</v>
      </c>
      <c r="L2407" s="157">
        <v>3</v>
      </c>
      <c r="M2407" s="157">
        <v>3</v>
      </c>
      <c r="N2407" s="153">
        <f t="shared" si="420"/>
        <v>21</v>
      </c>
      <c r="O2407" s="157"/>
      <c r="P2407" s="157"/>
      <c r="Q2407" s="153">
        <f ca="1">OFFSET(card_type!$A$1,MATCH(card!B2407,card_type!B:B,0)-1,0)</f>
        <v>3404</v>
      </c>
      <c r="R2407" s="153">
        <v>1</v>
      </c>
      <c r="S2407" s="157">
        <f ca="1">ROUND(IF(R2407=0,0,IF(R2407=1,X2407*$S$1,IF(R2407=2,X2407*$S$1*buff的资质计算!$E$2,IF(R2407=3,X2407*$S$1*buff的资质计算!$E$3,0)))),0)*0</f>
        <v>0</v>
      </c>
      <c r="T2407" s="153">
        <v>2</v>
      </c>
      <c r="U2407" s="153">
        <f ca="1" t="shared" si="414"/>
        <v>43</v>
      </c>
      <c r="V2407" s="153">
        <f ca="1">ROUND((OFFSET(卡牌辅助配置表!$O$1,MATCH(U2407,卡牌辅助配置表!M:M,0)-1,0)+(N2407-1)*OFFSET(卡牌辅助配置表!$P$1,MATCH(U2407,卡牌辅助配置表!M:M,0)-1,0))*M2407,2)</f>
        <v>389.4</v>
      </c>
      <c r="W2407" s="157">
        <f ca="1">ROUND(IF(R2407=0,0,IF(R2407=1,X2407*$W$1,IF(R2407=2,X2407*$W$1*buff的资质计算!$E$2,IF(R2407=3,X2407*$W$1*buff的资质计算!$E$3,0)))),2)</f>
        <v>29.1</v>
      </c>
      <c r="X2407" s="157">
        <f ca="1" t="shared" si="409"/>
        <v>97</v>
      </c>
      <c r="Y2407" s="157">
        <f ca="1" t="shared" si="417"/>
        <v>108.25</v>
      </c>
      <c r="Z2407" s="304">
        <f ca="1" t="shared" si="410"/>
        <v>36.0833333333333</v>
      </c>
      <c r="AA2407" s="304">
        <f ca="1">OFFSET(卡牌辅助配置表!$AD$1,MATCH(AB2407,卡牌辅助配置表!AB:AB,0)-1,0)</f>
        <v>31051</v>
      </c>
      <c r="AB2407" s="304">
        <f ca="1" t="shared" si="415"/>
        <v>4321</v>
      </c>
      <c r="AC2407" s="153">
        <v>10</v>
      </c>
      <c r="AD2407" s="153">
        <v>3</v>
      </c>
      <c r="AE2407" s="153">
        <v>3</v>
      </c>
      <c r="AF2407" s="153" t="str">
        <f ca="1" t="shared" si="418"/>
        <v>34040011|34040012|</v>
      </c>
      <c r="AJ2407" s="205">
        <f ca="1" t="shared" si="416"/>
        <v>0</v>
      </c>
      <c r="AK2407" s="205">
        <f ca="1">OFFSET([1]item_type!$A$1,MATCH(Q2407,[1]item_type!$G:$G,0)-1,0)</f>
        <v>303404</v>
      </c>
      <c r="AL2407" s="205"/>
      <c r="AM2407" s="205">
        <f ca="1">IF(B2407=B2408,OFFSET(卡牌辅助配置表!$AE$1,MATCH(AB2407,卡牌辅助配置表!AB:AB,0),0),0)</f>
        <v>15800</v>
      </c>
      <c r="AN2407" s="153">
        <f ca="1" t="shared" si="419"/>
        <v>0</v>
      </c>
      <c r="AP2407" s="153" t="str">
        <f ca="1">IF(AC2407=0,0,IF(AC2407=12,0,OFFSET(effect!$N$1,MATCH(K2407,effect!M:M,0)-1,0)))</f>
        <v>kpsx_zise</v>
      </c>
    </row>
    <row r="2408" spans="1:42">
      <c r="A2408" s="153">
        <f ca="1" t="shared" si="413"/>
        <v>3404022</v>
      </c>
      <c r="B2408" s="91" t="s">
        <v>947</v>
      </c>
      <c r="C2408" s="186">
        <v>3</v>
      </c>
      <c r="D2408" s="186">
        <v>2</v>
      </c>
      <c r="E2408" s="165" t="s">
        <v>1069</v>
      </c>
      <c r="F2408" s="306" t="s">
        <v>1079</v>
      </c>
      <c r="G2408" s="186">
        <f ca="1">OFFSET(卡牌辅助配置表!$C$1,MATCH(AC2408,卡牌辅助配置表!A:A,0)-1,0)</f>
        <v>3</v>
      </c>
      <c r="H2408" s="186">
        <f ca="1">OFFSET(skill!$Q$1,MATCH(B2408,skill!B:B,0)-1,0)</f>
        <v>11.25</v>
      </c>
      <c r="I2408" s="186"/>
      <c r="J2408" s="186">
        <f ca="1">OFFSET(card_type!$F$1,MATCH(Q2408,card_type!A:A,0)-1,0)</f>
        <v>4</v>
      </c>
      <c r="K2408" s="243">
        <f ca="1">OFFSET(card_type!$G$1,MATCH(Q2408,card_type!A:A,0)-1,0)</f>
        <v>3</v>
      </c>
      <c r="L2408" s="157">
        <v>3</v>
      </c>
      <c r="M2408" s="157">
        <v>3</v>
      </c>
      <c r="N2408" s="153">
        <f t="shared" si="420"/>
        <v>22</v>
      </c>
      <c r="O2408" s="157"/>
      <c r="P2408" s="157"/>
      <c r="Q2408" s="153">
        <f ca="1">OFFSET(card_type!$A$1,MATCH(card!B2408,card_type!B:B,0)-1,0)</f>
        <v>3404</v>
      </c>
      <c r="R2408" s="153">
        <v>1</v>
      </c>
      <c r="S2408" s="157">
        <f ca="1">ROUND(IF(R2408=0,0,IF(R2408=1,X2408*$S$1,IF(R2408=2,X2408*$S$1*buff的资质计算!$E$2,IF(R2408=3,X2408*$S$1*buff的资质计算!$E$3,0)))),0)*0</f>
        <v>0</v>
      </c>
      <c r="T2408" s="153">
        <v>2</v>
      </c>
      <c r="U2408" s="153">
        <f ca="1" t="shared" si="414"/>
        <v>43</v>
      </c>
      <c r="V2408" s="153">
        <f ca="1">ROUND((OFFSET(卡牌辅助配置表!$O$1,MATCH(U2408,卡牌辅助配置表!M:M,0)-1,0)+(N2408-1)*OFFSET(卡牌辅助配置表!$P$1,MATCH(U2408,卡牌辅助配置表!M:M,0)-1,0))*M2408,2)</f>
        <v>403.56</v>
      </c>
      <c r="W2408" s="157">
        <f ca="1">ROUND(IF(R2408=0,0,IF(R2408=1,X2408*$W$1,IF(R2408=2,X2408*$W$1*buff的资质计算!$E$2,IF(R2408=3,X2408*$W$1*buff的资质计算!$E$3,0)))),2)</f>
        <v>29.25</v>
      </c>
      <c r="X2408" s="157">
        <f ca="1" t="shared" si="409"/>
        <v>97.5</v>
      </c>
      <c r="Y2408" s="157">
        <f ca="1" t="shared" si="417"/>
        <v>108.75</v>
      </c>
      <c r="Z2408" s="304">
        <f ca="1" t="shared" si="410"/>
        <v>36.25</v>
      </c>
      <c r="AA2408" s="304">
        <f ca="1">OFFSET(卡牌辅助配置表!$AD$1,MATCH(AB2408,卡牌辅助配置表!AB:AB,0)-1,0)</f>
        <v>33352</v>
      </c>
      <c r="AB2408" s="304">
        <f ca="1" t="shared" si="415"/>
        <v>4322</v>
      </c>
      <c r="AC2408" s="153">
        <v>10</v>
      </c>
      <c r="AD2408" s="153">
        <v>3</v>
      </c>
      <c r="AE2408" s="153">
        <v>3</v>
      </c>
      <c r="AF2408" s="153" t="str">
        <f ca="1" t="shared" si="418"/>
        <v>34040011|34040012|</v>
      </c>
      <c r="AJ2408" s="205">
        <f ca="1" t="shared" si="416"/>
        <v>0</v>
      </c>
      <c r="AK2408" s="205">
        <f ca="1">OFFSET([1]item_type!$A$1,MATCH(Q2408,[1]item_type!$G:$G,0)-1,0)</f>
        <v>303404</v>
      </c>
      <c r="AL2408" s="205"/>
      <c r="AM2408" s="205">
        <f ca="1">IF(B2408=B2409,OFFSET(卡牌辅助配置表!$AE$1,MATCH(AB2408,卡牌辅助配置表!AB:AB,0),0),0)</f>
        <v>17400</v>
      </c>
      <c r="AN2408" s="153">
        <f ca="1" t="shared" si="419"/>
        <v>0</v>
      </c>
      <c r="AP2408" s="153" t="str">
        <f ca="1">IF(AC2408=0,0,IF(AC2408=12,0,OFFSET(effect!$N$1,MATCH(K2408,effect!M:M,0)-1,0)))</f>
        <v>kpsx_zise</v>
      </c>
    </row>
    <row r="2409" spans="1:42">
      <c r="A2409" s="153">
        <f ca="1" t="shared" si="413"/>
        <v>3404023</v>
      </c>
      <c r="B2409" s="91" t="s">
        <v>947</v>
      </c>
      <c r="C2409" s="186">
        <v>3</v>
      </c>
      <c r="D2409" s="186">
        <v>2</v>
      </c>
      <c r="E2409" s="165" t="s">
        <v>1069</v>
      </c>
      <c r="F2409" s="306" t="s">
        <v>1079</v>
      </c>
      <c r="G2409" s="186">
        <f ca="1">OFFSET(卡牌辅助配置表!$C$1,MATCH(AC2409,卡牌辅助配置表!A:A,0)-1,0)</f>
        <v>3</v>
      </c>
      <c r="H2409" s="186">
        <f ca="1">OFFSET(skill!$Q$1,MATCH(B2409,skill!B:B,0)-1,0)</f>
        <v>11.25</v>
      </c>
      <c r="I2409" s="186"/>
      <c r="J2409" s="186">
        <f ca="1">OFFSET(card_type!$F$1,MATCH(Q2409,card_type!A:A,0)-1,0)</f>
        <v>4</v>
      </c>
      <c r="K2409" s="243">
        <f ca="1">OFFSET(card_type!$G$1,MATCH(Q2409,card_type!A:A,0)-1,0)</f>
        <v>3</v>
      </c>
      <c r="L2409" s="157">
        <v>3</v>
      </c>
      <c r="M2409" s="157">
        <v>3</v>
      </c>
      <c r="N2409" s="153">
        <f t="shared" si="420"/>
        <v>23</v>
      </c>
      <c r="O2409" s="157"/>
      <c r="P2409" s="157"/>
      <c r="Q2409" s="153">
        <f ca="1">OFFSET(card_type!$A$1,MATCH(card!B2409,card_type!B:B,0)-1,0)</f>
        <v>3404</v>
      </c>
      <c r="R2409" s="153">
        <v>1</v>
      </c>
      <c r="S2409" s="157">
        <f ca="1">ROUND(IF(R2409=0,0,IF(R2409=1,X2409*$S$1,IF(R2409=2,X2409*$S$1*buff的资质计算!$E$2,IF(R2409=3,X2409*$S$1*buff的资质计算!$E$3,0)))),0)*0</f>
        <v>0</v>
      </c>
      <c r="T2409" s="153">
        <v>2</v>
      </c>
      <c r="U2409" s="153">
        <f ca="1" t="shared" si="414"/>
        <v>43</v>
      </c>
      <c r="V2409" s="153">
        <f ca="1">ROUND((OFFSET(卡牌辅助配置表!$O$1,MATCH(U2409,卡牌辅助配置表!M:M,0)-1,0)+(N2409-1)*OFFSET(卡牌辅助配置表!$P$1,MATCH(U2409,卡牌辅助配置表!M:M,0)-1,0))*M2409,2)</f>
        <v>417.72</v>
      </c>
      <c r="W2409" s="157">
        <f ca="1">ROUND(IF(R2409=0,0,IF(R2409=1,X2409*$W$1,IF(R2409=2,X2409*$W$1*buff的资质计算!$E$2,IF(R2409=3,X2409*$W$1*buff的资质计算!$E$3,0)))),2)</f>
        <v>29.4</v>
      </c>
      <c r="X2409" s="157">
        <f ca="1" t="shared" si="409"/>
        <v>98</v>
      </c>
      <c r="Y2409" s="157">
        <f ca="1" t="shared" si="417"/>
        <v>109.25</v>
      </c>
      <c r="Z2409" s="304">
        <f ca="1" t="shared" si="410"/>
        <v>36.4166666666667</v>
      </c>
      <c r="AA2409" s="304">
        <f ca="1">OFFSET(卡牌辅助配置表!$AD$1,MATCH(AB2409,卡牌辅助配置表!AB:AB,0)-1,0)</f>
        <v>35653</v>
      </c>
      <c r="AB2409" s="304">
        <f ca="1" t="shared" si="415"/>
        <v>4323</v>
      </c>
      <c r="AC2409" s="153">
        <v>10</v>
      </c>
      <c r="AD2409" s="153">
        <v>3</v>
      </c>
      <c r="AE2409" s="153">
        <v>3</v>
      </c>
      <c r="AF2409" s="153" t="str">
        <f ca="1" t="shared" si="418"/>
        <v>34040011|34040012|</v>
      </c>
      <c r="AJ2409" s="205">
        <f ca="1" t="shared" si="416"/>
        <v>0</v>
      </c>
      <c r="AK2409" s="205">
        <f ca="1">OFFSET([1]item_type!$A$1,MATCH(Q2409,[1]item_type!$G:$G,0)-1,0)</f>
        <v>303404</v>
      </c>
      <c r="AL2409" s="205"/>
      <c r="AM2409" s="205">
        <f ca="1">IF(B2409=B2410,OFFSET(卡牌辅助配置表!$AE$1,MATCH(AB2409,卡牌辅助配置表!AB:AB,0),0),0)</f>
        <v>19000</v>
      </c>
      <c r="AN2409" s="153">
        <f ca="1" t="shared" si="419"/>
        <v>0</v>
      </c>
      <c r="AP2409" s="153" t="str">
        <f ca="1">IF(AC2409=0,0,IF(AC2409=12,0,OFFSET(effect!$N$1,MATCH(K2409,effect!M:M,0)-1,0)))</f>
        <v>kpsx_zise</v>
      </c>
    </row>
    <row r="2410" spans="1:42">
      <c r="A2410" s="153">
        <f ca="1" t="shared" si="413"/>
        <v>3404024</v>
      </c>
      <c r="B2410" s="91" t="s">
        <v>947</v>
      </c>
      <c r="C2410" s="186">
        <v>3</v>
      </c>
      <c r="D2410" s="186">
        <v>2</v>
      </c>
      <c r="E2410" s="165" t="s">
        <v>1069</v>
      </c>
      <c r="F2410" s="306" t="s">
        <v>1079</v>
      </c>
      <c r="G2410" s="186">
        <f ca="1">OFFSET(卡牌辅助配置表!$C$1,MATCH(AC2410,卡牌辅助配置表!A:A,0)-1,0)</f>
        <v>3</v>
      </c>
      <c r="H2410" s="186">
        <f ca="1">OFFSET(skill!$Q$1,MATCH(B2410,skill!B:B,0)-1,0)</f>
        <v>11.25</v>
      </c>
      <c r="I2410" s="186"/>
      <c r="J2410" s="186">
        <f ca="1">OFFSET(card_type!$F$1,MATCH(Q2410,card_type!A:A,0)-1,0)</f>
        <v>4</v>
      </c>
      <c r="K2410" s="243">
        <f ca="1">OFFSET(card_type!$G$1,MATCH(Q2410,card_type!A:A,0)-1,0)</f>
        <v>3</v>
      </c>
      <c r="L2410" s="157">
        <v>3</v>
      </c>
      <c r="M2410" s="157">
        <v>3</v>
      </c>
      <c r="N2410" s="153">
        <f t="shared" si="420"/>
        <v>24</v>
      </c>
      <c r="O2410" s="157"/>
      <c r="P2410" s="157"/>
      <c r="Q2410" s="153">
        <f ca="1">OFFSET(card_type!$A$1,MATCH(card!B2410,card_type!B:B,0)-1,0)</f>
        <v>3404</v>
      </c>
      <c r="R2410" s="153">
        <v>1</v>
      </c>
      <c r="S2410" s="157">
        <f ca="1">ROUND(IF(R2410=0,0,IF(R2410=1,X2410*$S$1,IF(R2410=2,X2410*$S$1*buff的资质计算!$E$2,IF(R2410=3,X2410*$S$1*buff的资质计算!$E$3,0)))),0)*0</f>
        <v>0</v>
      </c>
      <c r="T2410" s="153">
        <v>2</v>
      </c>
      <c r="U2410" s="153">
        <f ca="1" t="shared" si="414"/>
        <v>43</v>
      </c>
      <c r="V2410" s="153">
        <f ca="1">ROUND((OFFSET(卡牌辅助配置表!$O$1,MATCH(U2410,卡牌辅助配置表!M:M,0)-1,0)+(N2410-1)*OFFSET(卡牌辅助配置表!$P$1,MATCH(U2410,卡牌辅助配置表!M:M,0)-1,0))*M2410,2)</f>
        <v>431.88</v>
      </c>
      <c r="W2410" s="157">
        <f ca="1">ROUND(IF(R2410=0,0,IF(R2410=1,X2410*$W$1,IF(R2410=2,X2410*$W$1*buff的资质计算!$E$2,IF(R2410=3,X2410*$W$1*buff的资质计算!$E$3,0)))),2)</f>
        <v>29.55</v>
      </c>
      <c r="X2410" s="157">
        <f ca="1" t="shared" si="409"/>
        <v>98.5</v>
      </c>
      <c r="Y2410" s="157">
        <f ca="1" t="shared" si="417"/>
        <v>109.75</v>
      </c>
      <c r="Z2410" s="304">
        <f ca="1" t="shared" si="410"/>
        <v>36.5833333333333</v>
      </c>
      <c r="AA2410" s="304">
        <f ca="1">OFFSET(卡牌辅助配置表!$AD$1,MATCH(AB2410,卡牌辅助配置表!AB:AB,0)-1,0)</f>
        <v>37954</v>
      </c>
      <c r="AB2410" s="304">
        <f ca="1" t="shared" si="415"/>
        <v>4324</v>
      </c>
      <c r="AC2410" s="153">
        <v>10</v>
      </c>
      <c r="AD2410" s="153">
        <v>3</v>
      </c>
      <c r="AE2410" s="153">
        <v>3</v>
      </c>
      <c r="AF2410" s="153" t="str">
        <f ca="1" t="shared" si="418"/>
        <v>34040011|34040012|</v>
      </c>
      <c r="AJ2410" s="205">
        <f ca="1" t="shared" si="416"/>
        <v>0</v>
      </c>
      <c r="AK2410" s="205">
        <f ca="1">OFFSET([1]item_type!$A$1,MATCH(Q2410,[1]item_type!$G:$G,0)-1,0)</f>
        <v>303404</v>
      </c>
      <c r="AL2410" s="205"/>
      <c r="AM2410" s="205">
        <f ca="1">IF(B2410=B2411,OFFSET(卡牌辅助配置表!$AE$1,MATCH(AB2410,卡牌辅助配置表!AB:AB,0),0),0)</f>
        <v>20600</v>
      </c>
      <c r="AN2410" s="153">
        <f ca="1" t="shared" si="419"/>
        <v>0</v>
      </c>
      <c r="AP2410" s="153" t="str">
        <f ca="1">IF(AC2410=0,0,IF(AC2410=12,0,OFFSET(effect!$N$1,MATCH(K2410,effect!M:M,0)-1,0)))</f>
        <v>kpsx_zise</v>
      </c>
    </row>
    <row r="2411" spans="1:42">
      <c r="A2411" s="153">
        <f ca="1" t="shared" si="413"/>
        <v>3404025</v>
      </c>
      <c r="B2411" s="91" t="s">
        <v>947</v>
      </c>
      <c r="C2411" s="186">
        <v>3</v>
      </c>
      <c r="D2411" s="186">
        <v>2</v>
      </c>
      <c r="E2411" s="165" t="s">
        <v>1069</v>
      </c>
      <c r="F2411" s="306" t="s">
        <v>1079</v>
      </c>
      <c r="G2411" s="186">
        <f ca="1">OFFSET(卡牌辅助配置表!$C$1,MATCH(AC2411,卡牌辅助配置表!A:A,0)-1,0)</f>
        <v>3</v>
      </c>
      <c r="H2411" s="186">
        <f ca="1">OFFSET(skill!$Q$1,MATCH(B2411,skill!B:B,0)-1,0)</f>
        <v>11.25</v>
      </c>
      <c r="I2411" s="186"/>
      <c r="J2411" s="186">
        <f ca="1">OFFSET(card_type!$F$1,MATCH(Q2411,card_type!A:A,0)-1,0)</f>
        <v>4</v>
      </c>
      <c r="K2411" s="243">
        <f ca="1">OFFSET(card_type!$G$1,MATCH(Q2411,card_type!A:A,0)-1,0)</f>
        <v>3</v>
      </c>
      <c r="L2411" s="157">
        <v>3</v>
      </c>
      <c r="M2411" s="157">
        <v>3</v>
      </c>
      <c r="N2411" s="153">
        <f t="shared" si="420"/>
        <v>25</v>
      </c>
      <c r="O2411" s="157"/>
      <c r="P2411" s="157"/>
      <c r="Q2411" s="153">
        <f ca="1">OFFSET(card_type!$A$1,MATCH(card!B2411,card_type!B:B,0)-1,0)</f>
        <v>3404</v>
      </c>
      <c r="R2411" s="153">
        <v>1</v>
      </c>
      <c r="S2411" s="157">
        <f ca="1">ROUND(IF(R2411=0,0,IF(R2411=1,X2411*$S$1,IF(R2411=2,X2411*$S$1*buff的资质计算!$E$2,IF(R2411=3,X2411*$S$1*buff的资质计算!$E$3,0)))),0)*0</f>
        <v>0</v>
      </c>
      <c r="T2411" s="153">
        <v>2</v>
      </c>
      <c r="U2411" s="153">
        <f ca="1" t="shared" si="414"/>
        <v>43</v>
      </c>
      <c r="V2411" s="153">
        <f ca="1">ROUND((OFFSET(卡牌辅助配置表!$O$1,MATCH(U2411,卡牌辅助配置表!M:M,0)-1,0)+(N2411-1)*OFFSET(卡牌辅助配置表!$P$1,MATCH(U2411,卡牌辅助配置表!M:M,0)-1,0))*M2411,2)</f>
        <v>446.04</v>
      </c>
      <c r="W2411" s="157">
        <f ca="1">ROUND(IF(R2411=0,0,IF(R2411=1,X2411*$W$1,IF(R2411=2,X2411*$W$1*buff的资质计算!$E$2,IF(R2411=3,X2411*$W$1*buff的资质计算!$E$3,0)))),2)</f>
        <v>29.7</v>
      </c>
      <c r="X2411" s="157">
        <f ca="1" t="shared" si="409"/>
        <v>99</v>
      </c>
      <c r="Y2411" s="157">
        <f ca="1" t="shared" si="417"/>
        <v>110.25</v>
      </c>
      <c r="Z2411" s="304">
        <f ca="1" t="shared" si="410"/>
        <v>36.75</v>
      </c>
      <c r="AA2411" s="304">
        <f ca="1">OFFSET(卡牌辅助配置表!$AD$1,MATCH(AB2411,卡牌辅助配置表!AB:AB,0)-1,0)</f>
        <v>40255</v>
      </c>
      <c r="AB2411" s="304">
        <f ca="1" t="shared" si="415"/>
        <v>4325</v>
      </c>
      <c r="AC2411" s="153">
        <v>10</v>
      </c>
      <c r="AD2411" s="153">
        <v>3</v>
      </c>
      <c r="AE2411" s="153">
        <v>3</v>
      </c>
      <c r="AF2411" s="153" t="str">
        <f ca="1" t="shared" si="418"/>
        <v>34040011|34040012|</v>
      </c>
      <c r="AJ2411" s="205">
        <f ca="1" t="shared" si="416"/>
        <v>0</v>
      </c>
      <c r="AK2411" s="205">
        <f ca="1">OFFSET([1]item_type!$A$1,MATCH(Q2411,[1]item_type!$G:$G,0)-1,0)</f>
        <v>303404</v>
      </c>
      <c r="AL2411" s="205"/>
      <c r="AM2411" s="205">
        <f ca="1">IF(B2411=B2412,OFFSET(卡牌辅助配置表!$AE$1,MATCH(AB2411,卡牌辅助配置表!AB:AB,0),0),0)</f>
        <v>22200</v>
      </c>
      <c r="AN2411" s="153">
        <f ca="1" t="shared" si="419"/>
        <v>0</v>
      </c>
      <c r="AP2411" s="153" t="str">
        <f ca="1">IF(AC2411=0,0,IF(AC2411=12,0,OFFSET(effect!$N$1,MATCH(K2411,effect!M:M,0)-1,0)))</f>
        <v>kpsx_zise</v>
      </c>
    </row>
    <row r="2412" spans="1:42">
      <c r="A2412" s="153">
        <f ca="1" t="shared" si="413"/>
        <v>3404026</v>
      </c>
      <c r="B2412" s="91" t="s">
        <v>947</v>
      </c>
      <c r="C2412" s="186">
        <v>3</v>
      </c>
      <c r="D2412" s="186">
        <v>2</v>
      </c>
      <c r="E2412" s="165" t="s">
        <v>1069</v>
      </c>
      <c r="F2412" s="306" t="s">
        <v>1079</v>
      </c>
      <c r="G2412" s="186">
        <f ca="1">OFFSET(卡牌辅助配置表!$C$1,MATCH(AC2412,卡牌辅助配置表!A:A,0)-1,0)</f>
        <v>3</v>
      </c>
      <c r="H2412" s="186">
        <f ca="1">OFFSET(skill!$Q$1,MATCH(B2412,skill!B:B,0)-1,0)</f>
        <v>11.25</v>
      </c>
      <c r="I2412" s="186"/>
      <c r="J2412" s="186">
        <f ca="1">OFFSET(card_type!$F$1,MATCH(Q2412,card_type!A:A,0)-1,0)</f>
        <v>4</v>
      </c>
      <c r="K2412" s="243">
        <f ca="1">OFFSET(card_type!$G$1,MATCH(Q2412,card_type!A:A,0)-1,0)</f>
        <v>3</v>
      </c>
      <c r="L2412" s="157">
        <v>3</v>
      </c>
      <c r="M2412" s="157">
        <v>3</v>
      </c>
      <c r="N2412" s="153">
        <f t="shared" si="420"/>
        <v>26</v>
      </c>
      <c r="O2412" s="157"/>
      <c r="P2412" s="157"/>
      <c r="Q2412" s="153">
        <f ca="1">OFFSET(card_type!$A$1,MATCH(card!B2412,card_type!B:B,0)-1,0)</f>
        <v>3404</v>
      </c>
      <c r="R2412" s="153">
        <v>1</v>
      </c>
      <c r="S2412" s="157">
        <f ca="1">ROUND(IF(R2412=0,0,IF(R2412=1,X2412*$S$1,IF(R2412=2,X2412*$S$1*buff的资质计算!$E$2,IF(R2412=3,X2412*$S$1*buff的资质计算!$E$3,0)))),0)*0</f>
        <v>0</v>
      </c>
      <c r="T2412" s="153">
        <v>2</v>
      </c>
      <c r="U2412" s="153">
        <f ca="1" t="shared" si="414"/>
        <v>43</v>
      </c>
      <c r="V2412" s="153">
        <f ca="1">ROUND((OFFSET(卡牌辅助配置表!$O$1,MATCH(U2412,卡牌辅助配置表!M:M,0)-1,0)+(N2412-1)*OFFSET(卡牌辅助配置表!$P$1,MATCH(U2412,卡牌辅助配置表!M:M,0)-1,0))*M2412,2)</f>
        <v>460.2</v>
      </c>
      <c r="W2412" s="157">
        <f ca="1">ROUND(IF(R2412=0,0,IF(R2412=1,X2412*$W$1,IF(R2412=2,X2412*$W$1*buff的资质计算!$E$2,IF(R2412=3,X2412*$W$1*buff的资质计算!$E$3,0)))),2)</f>
        <v>29.85</v>
      </c>
      <c r="X2412" s="157">
        <f ca="1" t="shared" si="409"/>
        <v>99.5</v>
      </c>
      <c r="Y2412" s="157">
        <f ca="1" t="shared" si="417"/>
        <v>110.75</v>
      </c>
      <c r="Z2412" s="304">
        <f ca="1" t="shared" si="410"/>
        <v>36.9166666666667</v>
      </c>
      <c r="AA2412" s="304">
        <f ca="1">OFFSET(卡牌辅助配置表!$AD$1,MATCH(AB2412,卡牌辅助配置表!AB:AB,0)-1,0)</f>
        <v>42556</v>
      </c>
      <c r="AB2412" s="304">
        <f ca="1" t="shared" si="415"/>
        <v>4326</v>
      </c>
      <c r="AC2412" s="153">
        <v>10</v>
      </c>
      <c r="AD2412" s="153">
        <v>3</v>
      </c>
      <c r="AE2412" s="153">
        <v>3</v>
      </c>
      <c r="AF2412" s="153" t="str">
        <f ca="1" t="shared" si="418"/>
        <v>34040011|34040012|</v>
      </c>
      <c r="AJ2412" s="205">
        <f ca="1" t="shared" si="416"/>
        <v>0</v>
      </c>
      <c r="AK2412" s="205">
        <f ca="1">OFFSET([1]item_type!$A$1,MATCH(Q2412,[1]item_type!$G:$G,0)-1,0)</f>
        <v>303404</v>
      </c>
      <c r="AL2412" s="205"/>
      <c r="AM2412" s="205">
        <f ca="1">IF(B2412=B2413,OFFSET(卡牌辅助配置表!$AE$1,MATCH(AB2412,卡牌辅助配置表!AB:AB,0),0),0)</f>
        <v>23800</v>
      </c>
      <c r="AN2412" s="153">
        <f ca="1" t="shared" si="419"/>
        <v>0</v>
      </c>
      <c r="AP2412" s="153" t="str">
        <f ca="1">IF(AC2412=0,0,IF(AC2412=12,0,OFFSET(effect!$N$1,MATCH(K2412,effect!M:M,0)-1,0)))</f>
        <v>kpsx_zise</v>
      </c>
    </row>
    <row r="2413" spans="1:42">
      <c r="A2413" s="153">
        <f ca="1" t="shared" si="413"/>
        <v>3404027</v>
      </c>
      <c r="B2413" s="91" t="s">
        <v>947</v>
      </c>
      <c r="C2413" s="186">
        <v>3</v>
      </c>
      <c r="D2413" s="186">
        <v>2</v>
      </c>
      <c r="E2413" s="165" t="s">
        <v>1069</v>
      </c>
      <c r="F2413" s="306" t="s">
        <v>1079</v>
      </c>
      <c r="G2413" s="186">
        <f ca="1">OFFSET(卡牌辅助配置表!$C$1,MATCH(AC2413,卡牌辅助配置表!A:A,0)-1,0)</f>
        <v>3</v>
      </c>
      <c r="H2413" s="186">
        <f ca="1">OFFSET(skill!$Q$1,MATCH(B2413,skill!B:B,0)-1,0)</f>
        <v>11.25</v>
      </c>
      <c r="I2413" s="186"/>
      <c r="J2413" s="186">
        <f ca="1">OFFSET(card_type!$F$1,MATCH(Q2413,card_type!A:A,0)-1,0)</f>
        <v>4</v>
      </c>
      <c r="K2413" s="243">
        <f ca="1">OFFSET(card_type!$G$1,MATCH(Q2413,card_type!A:A,0)-1,0)</f>
        <v>3</v>
      </c>
      <c r="L2413" s="157">
        <v>3</v>
      </c>
      <c r="M2413" s="157">
        <v>3</v>
      </c>
      <c r="N2413" s="153">
        <f t="shared" si="420"/>
        <v>27</v>
      </c>
      <c r="O2413" s="157"/>
      <c r="P2413" s="157"/>
      <c r="Q2413" s="153">
        <f ca="1">OFFSET(card_type!$A$1,MATCH(card!B2413,card_type!B:B,0)-1,0)</f>
        <v>3404</v>
      </c>
      <c r="R2413" s="153">
        <v>1</v>
      </c>
      <c r="S2413" s="157">
        <f ca="1">ROUND(IF(R2413=0,0,IF(R2413=1,X2413*$S$1,IF(R2413=2,X2413*$S$1*buff的资质计算!$E$2,IF(R2413=3,X2413*$S$1*buff的资质计算!$E$3,0)))),0)*0</f>
        <v>0</v>
      </c>
      <c r="T2413" s="153">
        <v>2</v>
      </c>
      <c r="U2413" s="153">
        <f ca="1" t="shared" si="414"/>
        <v>43</v>
      </c>
      <c r="V2413" s="153">
        <f ca="1">ROUND((OFFSET(卡牌辅助配置表!$O$1,MATCH(U2413,卡牌辅助配置表!M:M,0)-1,0)+(N2413-1)*OFFSET(卡牌辅助配置表!$P$1,MATCH(U2413,卡牌辅助配置表!M:M,0)-1,0))*M2413,2)</f>
        <v>474.36</v>
      </c>
      <c r="W2413" s="157">
        <f ca="1">ROUND(IF(R2413=0,0,IF(R2413=1,X2413*$W$1,IF(R2413=2,X2413*$W$1*buff的资质计算!$E$2,IF(R2413=3,X2413*$W$1*buff的资质计算!$E$3,0)))),2)</f>
        <v>30</v>
      </c>
      <c r="X2413" s="157">
        <f ca="1" t="shared" si="409"/>
        <v>100</v>
      </c>
      <c r="Y2413" s="157">
        <f ca="1" t="shared" si="417"/>
        <v>111.25</v>
      </c>
      <c r="Z2413" s="304">
        <f ca="1" t="shared" si="410"/>
        <v>37.0833333333333</v>
      </c>
      <c r="AA2413" s="304">
        <f ca="1">OFFSET(卡牌辅助配置表!$AD$1,MATCH(AB2413,卡牌辅助配置表!AB:AB,0)-1,0)</f>
        <v>44857</v>
      </c>
      <c r="AB2413" s="304">
        <f ca="1" t="shared" si="415"/>
        <v>4327</v>
      </c>
      <c r="AC2413" s="153">
        <v>10</v>
      </c>
      <c r="AD2413" s="153">
        <v>3</v>
      </c>
      <c r="AE2413" s="153">
        <v>3</v>
      </c>
      <c r="AF2413" s="153" t="str">
        <f ca="1" t="shared" si="418"/>
        <v>34040011|34040012|</v>
      </c>
      <c r="AJ2413" s="205">
        <f ca="1" t="shared" si="416"/>
        <v>0</v>
      </c>
      <c r="AK2413" s="205">
        <f ca="1">OFFSET([1]item_type!$A$1,MATCH(Q2413,[1]item_type!$G:$G,0)-1,0)</f>
        <v>303404</v>
      </c>
      <c r="AL2413" s="205"/>
      <c r="AM2413" s="205">
        <f ca="1">IF(B2413=B2414,OFFSET(卡牌辅助配置表!$AE$1,MATCH(AB2413,卡牌辅助配置表!AB:AB,0),0),0)</f>
        <v>25400</v>
      </c>
      <c r="AN2413" s="153">
        <f ca="1" t="shared" si="419"/>
        <v>0</v>
      </c>
      <c r="AP2413" s="153" t="str">
        <f ca="1">IF(AC2413=0,0,IF(AC2413=12,0,OFFSET(effect!$N$1,MATCH(K2413,effect!M:M,0)-1,0)))</f>
        <v>kpsx_zise</v>
      </c>
    </row>
    <row r="2414" spans="1:42">
      <c r="A2414" s="153">
        <f ca="1" t="shared" si="413"/>
        <v>3404028</v>
      </c>
      <c r="B2414" s="91" t="s">
        <v>947</v>
      </c>
      <c r="C2414" s="186">
        <v>3</v>
      </c>
      <c r="D2414" s="186">
        <v>2</v>
      </c>
      <c r="E2414" s="165" t="s">
        <v>1069</v>
      </c>
      <c r="F2414" s="306" t="s">
        <v>1079</v>
      </c>
      <c r="G2414" s="186">
        <f ca="1">OFFSET(卡牌辅助配置表!$C$1,MATCH(AC2414,卡牌辅助配置表!A:A,0)-1,0)</f>
        <v>3</v>
      </c>
      <c r="H2414" s="186">
        <f ca="1">OFFSET(skill!$Q$1,MATCH(B2414,skill!B:B,0)-1,0)</f>
        <v>11.25</v>
      </c>
      <c r="I2414" s="186"/>
      <c r="J2414" s="186">
        <f ca="1">OFFSET(card_type!$F$1,MATCH(Q2414,card_type!A:A,0)-1,0)</f>
        <v>4</v>
      </c>
      <c r="K2414" s="243">
        <f ca="1">OFFSET(card_type!$G$1,MATCH(Q2414,card_type!A:A,0)-1,0)</f>
        <v>3</v>
      </c>
      <c r="L2414" s="157">
        <v>3</v>
      </c>
      <c r="M2414" s="157">
        <v>3</v>
      </c>
      <c r="N2414" s="153">
        <f t="shared" si="420"/>
        <v>28</v>
      </c>
      <c r="O2414" s="157"/>
      <c r="P2414" s="157"/>
      <c r="Q2414" s="153">
        <f ca="1">OFFSET(card_type!$A$1,MATCH(card!B2414,card_type!B:B,0)-1,0)</f>
        <v>3404</v>
      </c>
      <c r="R2414" s="153">
        <v>1</v>
      </c>
      <c r="S2414" s="157">
        <f ca="1">ROUND(IF(R2414=0,0,IF(R2414=1,X2414*$S$1,IF(R2414=2,X2414*$S$1*buff的资质计算!$E$2,IF(R2414=3,X2414*$S$1*buff的资质计算!$E$3,0)))),0)*0</f>
        <v>0</v>
      </c>
      <c r="T2414" s="153">
        <v>2</v>
      </c>
      <c r="U2414" s="153">
        <f ca="1" t="shared" si="414"/>
        <v>43</v>
      </c>
      <c r="V2414" s="153">
        <f ca="1">ROUND((OFFSET(卡牌辅助配置表!$O$1,MATCH(U2414,卡牌辅助配置表!M:M,0)-1,0)+(N2414-1)*OFFSET(卡牌辅助配置表!$P$1,MATCH(U2414,卡牌辅助配置表!M:M,0)-1,0))*M2414,2)</f>
        <v>488.52</v>
      </c>
      <c r="W2414" s="157">
        <f ca="1">ROUND(IF(R2414=0,0,IF(R2414=1,X2414*$W$1,IF(R2414=2,X2414*$W$1*buff的资质计算!$E$2,IF(R2414=3,X2414*$W$1*buff的资质计算!$E$3,0)))),2)</f>
        <v>30.15</v>
      </c>
      <c r="X2414" s="157">
        <f ca="1" t="shared" si="409"/>
        <v>100.5</v>
      </c>
      <c r="Y2414" s="157">
        <f ca="1" t="shared" si="417"/>
        <v>111.75</v>
      </c>
      <c r="Z2414" s="304">
        <f ca="1" t="shared" si="410"/>
        <v>37.25</v>
      </c>
      <c r="AA2414" s="304">
        <f ca="1">OFFSET(卡牌辅助配置表!$AD$1,MATCH(AB2414,卡牌辅助配置表!AB:AB,0)-1,0)</f>
        <v>47158</v>
      </c>
      <c r="AB2414" s="304">
        <f ca="1" t="shared" si="415"/>
        <v>4328</v>
      </c>
      <c r="AC2414" s="153">
        <v>10</v>
      </c>
      <c r="AD2414" s="153">
        <v>3</v>
      </c>
      <c r="AE2414" s="153">
        <v>3</v>
      </c>
      <c r="AF2414" s="153" t="str">
        <f ca="1" t="shared" si="418"/>
        <v>34040011|34040012|</v>
      </c>
      <c r="AJ2414" s="205">
        <f ca="1" t="shared" si="416"/>
        <v>0</v>
      </c>
      <c r="AK2414" s="205">
        <f ca="1">OFFSET([1]item_type!$A$1,MATCH(Q2414,[1]item_type!$G:$G,0)-1,0)</f>
        <v>303404</v>
      </c>
      <c r="AL2414" s="205"/>
      <c r="AM2414" s="205">
        <f ca="1">IF(B2414=B2415,OFFSET(卡牌辅助配置表!$AE$1,MATCH(AB2414,卡牌辅助配置表!AB:AB,0),0),0)</f>
        <v>27000</v>
      </c>
      <c r="AN2414" s="153">
        <f ca="1" t="shared" si="419"/>
        <v>0</v>
      </c>
      <c r="AP2414" s="153" t="str">
        <f ca="1">IF(AC2414=0,0,IF(AC2414=12,0,OFFSET(effect!$N$1,MATCH(K2414,effect!M:M,0)-1,0)))</f>
        <v>kpsx_zise</v>
      </c>
    </row>
    <row r="2415" spans="1:42">
      <c r="A2415" s="153">
        <f ca="1" t="shared" si="413"/>
        <v>3404029</v>
      </c>
      <c r="B2415" s="91" t="s">
        <v>947</v>
      </c>
      <c r="C2415" s="186">
        <v>3</v>
      </c>
      <c r="D2415" s="186">
        <v>2</v>
      </c>
      <c r="E2415" s="165" t="s">
        <v>1069</v>
      </c>
      <c r="F2415" s="306" t="s">
        <v>1079</v>
      </c>
      <c r="G2415" s="186">
        <f ca="1">OFFSET(卡牌辅助配置表!$C$1,MATCH(AC2415,卡牌辅助配置表!A:A,0)-1,0)</f>
        <v>3</v>
      </c>
      <c r="H2415" s="186">
        <f ca="1">OFFSET(skill!$Q$1,MATCH(B2415,skill!B:B,0)-1,0)</f>
        <v>11.25</v>
      </c>
      <c r="I2415" s="186"/>
      <c r="J2415" s="186">
        <f ca="1">OFFSET(card_type!$F$1,MATCH(Q2415,card_type!A:A,0)-1,0)</f>
        <v>4</v>
      </c>
      <c r="K2415" s="243">
        <f ca="1">OFFSET(card_type!$G$1,MATCH(Q2415,card_type!A:A,0)-1,0)</f>
        <v>3</v>
      </c>
      <c r="L2415" s="157">
        <v>3</v>
      </c>
      <c r="M2415" s="157">
        <v>3</v>
      </c>
      <c r="N2415" s="153">
        <f t="shared" si="420"/>
        <v>29</v>
      </c>
      <c r="O2415" s="157"/>
      <c r="P2415" s="157"/>
      <c r="Q2415" s="153">
        <f ca="1">OFFSET(card_type!$A$1,MATCH(card!B2415,card_type!B:B,0)-1,0)</f>
        <v>3404</v>
      </c>
      <c r="R2415" s="153">
        <v>1</v>
      </c>
      <c r="S2415" s="157">
        <f ca="1">ROUND(IF(R2415=0,0,IF(R2415=1,X2415*$S$1,IF(R2415=2,X2415*$S$1*buff的资质计算!$E$2,IF(R2415=3,X2415*$S$1*buff的资质计算!$E$3,0)))),0)*0</f>
        <v>0</v>
      </c>
      <c r="T2415" s="153">
        <v>2</v>
      </c>
      <c r="U2415" s="153">
        <f ca="1" t="shared" si="414"/>
        <v>43</v>
      </c>
      <c r="V2415" s="153">
        <f ca="1">ROUND((OFFSET(卡牌辅助配置表!$O$1,MATCH(U2415,卡牌辅助配置表!M:M,0)-1,0)+(N2415-1)*OFFSET(卡牌辅助配置表!$P$1,MATCH(U2415,卡牌辅助配置表!M:M,0)-1,0))*M2415,2)</f>
        <v>502.68</v>
      </c>
      <c r="W2415" s="157">
        <f ca="1">ROUND(IF(R2415=0,0,IF(R2415=1,X2415*$W$1,IF(R2415=2,X2415*$W$1*buff的资质计算!$E$2,IF(R2415=3,X2415*$W$1*buff的资质计算!$E$3,0)))),2)</f>
        <v>30.3</v>
      </c>
      <c r="X2415" s="157">
        <f ca="1" t="shared" si="409"/>
        <v>101</v>
      </c>
      <c r="Y2415" s="157">
        <f ca="1" t="shared" si="417"/>
        <v>112.25</v>
      </c>
      <c r="Z2415" s="304">
        <f ca="1" t="shared" si="410"/>
        <v>37.4166666666667</v>
      </c>
      <c r="AA2415" s="304">
        <f ca="1">OFFSET(卡牌辅助配置表!$AD$1,MATCH(AB2415,卡牌辅助配置表!AB:AB,0)-1,0)</f>
        <v>49459</v>
      </c>
      <c r="AB2415" s="304">
        <f ca="1" t="shared" si="415"/>
        <v>4329</v>
      </c>
      <c r="AC2415" s="153">
        <v>10</v>
      </c>
      <c r="AD2415" s="153">
        <v>3</v>
      </c>
      <c r="AE2415" s="153">
        <v>3</v>
      </c>
      <c r="AF2415" s="153" t="str">
        <f ca="1" t="shared" si="418"/>
        <v>34040011|34040012|</v>
      </c>
      <c r="AJ2415" s="205">
        <f ca="1" t="shared" si="416"/>
        <v>0</v>
      </c>
      <c r="AK2415" s="205">
        <f ca="1">OFFSET([1]item_type!$A$1,MATCH(Q2415,[1]item_type!$G:$G,0)-1,0)</f>
        <v>303404</v>
      </c>
      <c r="AL2415" s="205">
        <v>30</v>
      </c>
      <c r="AM2415" s="205">
        <f ca="1">IF(B2415=B2416,OFFSET(卡牌辅助配置表!$AE$1,MATCH(AB2415,卡牌辅助配置表!AB:AB,0),0),0)</f>
        <v>28600</v>
      </c>
      <c r="AN2415" s="153">
        <f ca="1" t="shared" si="419"/>
        <v>0</v>
      </c>
      <c r="AP2415" s="153" t="str">
        <f ca="1">IF(AC2415=0,0,IF(AC2415=12,0,OFFSET(effect!$N$1,MATCH(K2415,effect!M:M,0)-1,0)))</f>
        <v>kpsx_zise</v>
      </c>
    </row>
    <row r="2416" spans="1:42">
      <c r="A2416" s="153">
        <f ca="1" t="shared" si="413"/>
        <v>3404030</v>
      </c>
      <c r="B2416" s="91" t="s">
        <v>947</v>
      </c>
      <c r="C2416" s="186">
        <v>3</v>
      </c>
      <c r="D2416" s="186">
        <v>2</v>
      </c>
      <c r="E2416" s="165" t="s">
        <v>1069</v>
      </c>
      <c r="F2416" s="306" t="s">
        <v>1079</v>
      </c>
      <c r="G2416" s="186">
        <f ca="1">OFFSET(卡牌辅助配置表!$C$1,MATCH(AC2416,卡牌辅助配置表!A:A,0)-1,0)</f>
        <v>3</v>
      </c>
      <c r="H2416" s="186">
        <f ca="1">OFFSET(skill!$Q$1,MATCH(B2416,skill!B:B,0)-1,0)</f>
        <v>11.25</v>
      </c>
      <c r="I2416" s="186"/>
      <c r="J2416" s="186">
        <f ca="1">OFFSET(card_type!$F$1,MATCH(Q2416,card_type!A:A,0)-1,0)</f>
        <v>4</v>
      </c>
      <c r="K2416" s="243">
        <f ca="1">OFFSET(card_type!$G$1,MATCH(Q2416,card_type!A:A,0)-1,0)</f>
        <v>3</v>
      </c>
      <c r="L2416" s="157">
        <v>3</v>
      </c>
      <c r="M2416" s="157">
        <v>3</v>
      </c>
      <c r="N2416" s="153">
        <f t="shared" si="420"/>
        <v>30</v>
      </c>
      <c r="O2416" s="157"/>
      <c r="P2416" s="157"/>
      <c r="Q2416" s="153">
        <f ca="1">OFFSET(card_type!$A$1,MATCH(card!B2416,card_type!B:B,0)-1,0)</f>
        <v>3404</v>
      </c>
      <c r="R2416" s="153">
        <v>1</v>
      </c>
      <c r="S2416" s="157">
        <f ca="1">ROUND(IF(R2416=0,0,IF(R2416=1,X2416*$S$1,IF(R2416=2,X2416*$S$1*buff的资质计算!$E$2,IF(R2416=3,X2416*$S$1*buff的资质计算!$E$3,0)))),0)*0</f>
        <v>0</v>
      </c>
      <c r="T2416" s="153">
        <v>2</v>
      </c>
      <c r="U2416" s="153">
        <f ca="1" t="shared" si="414"/>
        <v>43</v>
      </c>
      <c r="V2416" s="153">
        <f ca="1">ROUND((OFFSET(卡牌辅助配置表!$O$1,MATCH(U2416,卡牌辅助配置表!M:M,0)-1,0)+(N2416-1)*OFFSET(卡牌辅助配置表!$P$1,MATCH(U2416,卡牌辅助配置表!M:M,0)-1,0))*M2416,2)</f>
        <v>516.84</v>
      </c>
      <c r="W2416" s="157">
        <f ca="1">ROUND(IF(R2416=0,0,IF(R2416=1,X2416*$W$1,IF(R2416=2,X2416*$W$1*buff的资质计算!$E$2,IF(R2416=3,X2416*$W$1*buff的资质计算!$E$3,0)))),2)</f>
        <v>30.45</v>
      </c>
      <c r="X2416" s="157">
        <f ca="1" t="shared" si="409"/>
        <v>101.5</v>
      </c>
      <c r="Y2416" s="157">
        <f ca="1" t="shared" si="417"/>
        <v>112.75</v>
      </c>
      <c r="Z2416" s="304">
        <f ca="1" t="shared" si="410"/>
        <v>37.5833333333333</v>
      </c>
      <c r="AA2416" s="304">
        <f ca="1">OFFSET(卡牌辅助配置表!$AD$1,MATCH(AB2416,卡牌辅助配置表!AB:AB,0)-1,0)</f>
        <v>51760</v>
      </c>
      <c r="AB2416" s="304">
        <f ca="1" t="shared" si="415"/>
        <v>4330</v>
      </c>
      <c r="AC2416" s="153">
        <v>10</v>
      </c>
      <c r="AD2416" s="153">
        <v>3</v>
      </c>
      <c r="AE2416" s="153">
        <v>3</v>
      </c>
      <c r="AF2416" s="153" t="str">
        <f ca="1" t="shared" si="418"/>
        <v>34040011|34040012|</v>
      </c>
      <c r="AJ2416" s="205">
        <f ca="1" t="shared" si="416"/>
        <v>0</v>
      </c>
      <c r="AK2416" s="205">
        <f ca="1">OFFSET([1]item_type!$A$1,MATCH(Q2416,[1]item_type!$G:$G,0)-1,0)</f>
        <v>303404</v>
      </c>
      <c r="AL2416" s="205"/>
      <c r="AM2416" s="205">
        <f ca="1">IF(B2416=B2417,OFFSET(卡牌辅助配置表!$AE$1,MATCH(AB2416,卡牌辅助配置表!AB:AB,0),0),0)</f>
        <v>0</v>
      </c>
      <c r="AN2416" s="153">
        <f ca="1" t="shared" si="419"/>
        <v>0</v>
      </c>
      <c r="AP2416" s="153" t="str">
        <f ca="1">IF(AC2416=0,0,IF(AC2416=12,0,OFFSET(effect!$N$1,MATCH(K2416,effect!M:M,0)-1,0)))</f>
        <v>kpsx_zise</v>
      </c>
    </row>
    <row r="2417" spans="1:42">
      <c r="A2417" s="153">
        <f ca="1" t="shared" si="413"/>
        <v>3405001</v>
      </c>
      <c r="B2417" s="152" t="s">
        <v>484</v>
      </c>
      <c r="C2417" s="186">
        <v>3</v>
      </c>
      <c r="D2417" s="186">
        <v>2</v>
      </c>
      <c r="E2417" s="165" t="s">
        <v>1069</v>
      </c>
      <c r="F2417" s="165" t="str">
        <f>"消耗至多5个魂，每消耗1个魂造成伤害增加"&amp;skill!$O$157/100&amp;"%的真实伤害"</f>
        <v>消耗至多5个魂，每消耗1个魂造成伤害增加50%的真实伤害</v>
      </c>
      <c r="G2417" s="186">
        <f ca="1">OFFSET(卡牌辅助配置表!$C$1,MATCH(AC2417,卡牌辅助配置表!A:A,0)-1,0)</f>
        <v>3</v>
      </c>
      <c r="H2417" s="186">
        <f ca="1">OFFSET(skill!$Q$1,MATCH(B2417,skill!B:B,0)-1,0)</f>
        <v>18.75</v>
      </c>
      <c r="I2417" s="186"/>
      <c r="J2417" s="186">
        <f ca="1">OFFSET(card_type!$F$1,MATCH(Q2417,card_type!A:A,0)-1,0)</f>
        <v>4</v>
      </c>
      <c r="K2417" s="243">
        <f ca="1">OFFSET(card_type!$G$1,MATCH(Q2417,card_type!A:A,0)-1,0)</f>
        <v>4</v>
      </c>
      <c r="L2417" s="157">
        <v>3</v>
      </c>
      <c r="M2417" s="157">
        <v>3</v>
      </c>
      <c r="N2417" s="153">
        <f t="shared" si="420"/>
        <v>1</v>
      </c>
      <c r="O2417" s="157"/>
      <c r="P2417" s="157"/>
      <c r="Q2417" s="153">
        <f ca="1">OFFSET(card_type!$A$1,MATCH(card!B2417,card_type!B:B,0)-1,0)</f>
        <v>3405</v>
      </c>
      <c r="R2417" s="153">
        <v>1</v>
      </c>
      <c r="S2417" s="157">
        <f ca="1">ROUND(IF(R2417=0,0,IF(R2417=1,X2417*$S$1,IF(R2417=2,X2417*$S$1*buff的资质计算!$E$2,IF(R2417=3,X2417*$S$1*buff的资质计算!$E$3,0)))),0)*0</f>
        <v>0</v>
      </c>
      <c r="T2417" s="153">
        <v>2</v>
      </c>
      <c r="U2417" s="153">
        <f ca="1" t="shared" si="414"/>
        <v>44</v>
      </c>
      <c r="V2417" s="153">
        <f ca="1">ROUND((OFFSET(卡牌辅助配置表!$O$1,MATCH(U2417,卡牌辅助配置表!M:M,0)-1,0)+(N2417-1)*OFFSET(卡牌辅助配置表!$P$1,MATCH(U2417,卡牌辅助配置表!M:M,0)-1,0))*M2417,2)</f>
        <v>159.3</v>
      </c>
      <c r="W2417" s="157">
        <f ca="1">ROUND(IF(R2417=0,0,IF(R2417=1,X2417*$W$1,IF(R2417=2,X2417*$W$1*buff的资质计算!$E$2,IF(R2417=3,X2417*$W$1*buff的资质计算!$E$3,0)))),2)</f>
        <v>29.7</v>
      </c>
      <c r="X2417" s="157">
        <f ca="1" t="shared" si="409"/>
        <v>99</v>
      </c>
      <c r="Y2417" s="157">
        <f ca="1" t="shared" si="417"/>
        <v>117.75</v>
      </c>
      <c r="Z2417" s="304">
        <f ca="1" t="shared" si="410"/>
        <v>39.25</v>
      </c>
      <c r="AA2417" s="304">
        <f ca="1">OFFSET(卡牌辅助配置表!$AD$1,MATCH(AB2417,卡牌辅助配置表!AB:AB,0)-1,0)</f>
        <v>1917</v>
      </c>
      <c r="AB2417" s="304">
        <f ca="1" t="shared" si="415"/>
        <v>4401</v>
      </c>
      <c r="AC2417" s="153">
        <v>10</v>
      </c>
      <c r="AD2417" s="153">
        <v>3</v>
      </c>
      <c r="AE2417" s="153">
        <v>1</v>
      </c>
      <c r="AF2417" s="153" t="str">
        <f ca="1" t="shared" si="418"/>
        <v>34050011|34050012|</v>
      </c>
      <c r="AH2417" s="153">
        <v>1</v>
      </c>
      <c r="AJ2417" s="205">
        <f ca="1" t="shared" si="416"/>
        <v>0</v>
      </c>
      <c r="AK2417" s="205">
        <f ca="1">OFFSET([1]item_type!$A$1,MATCH(Q2417,[1]item_type!$G:$G,0)-1,0)</f>
        <v>303405</v>
      </c>
      <c r="AL2417" s="205"/>
      <c r="AM2417" s="205">
        <f ca="1">IF(B2417=B2418,OFFSET(卡牌辅助配置表!$AE$1,MATCH(AB2417,卡牌辅助配置表!AB:AB,0),0),0)</f>
        <v>2100</v>
      </c>
      <c r="AN2417" s="153">
        <f ca="1" t="shared" ref="AN2417:AN2446" si="421">IF(B2417=B2387,A2417+1,0)</f>
        <v>0</v>
      </c>
      <c r="AP2417" s="153" t="str">
        <f ca="1">IF(AC2417=0,0,IF(AC2417=12,0,OFFSET(effect!$N$1,MATCH(K2417,effect!M:M,0)-1,0)))</f>
        <v>kpsx_huangse</v>
      </c>
    </row>
    <row r="2418" spans="1:42">
      <c r="A2418" s="153">
        <f ca="1" t="shared" si="413"/>
        <v>3405002</v>
      </c>
      <c r="B2418" s="91" t="s">
        <v>484</v>
      </c>
      <c r="C2418" s="186">
        <v>3</v>
      </c>
      <c r="D2418" s="186">
        <v>2</v>
      </c>
      <c r="E2418" s="165" t="s">
        <v>1069</v>
      </c>
      <c r="F2418" s="165" t="str">
        <f>"消耗至多5个魂，每消耗1个魂造成伤害增加"&amp;skill!$O$157/100&amp;"%的真实伤害"</f>
        <v>消耗至多5个魂，每消耗1个魂造成伤害增加50%的真实伤害</v>
      </c>
      <c r="G2418" s="186">
        <f ca="1">OFFSET(卡牌辅助配置表!$C$1,MATCH(AC2418,卡牌辅助配置表!A:A,0)-1,0)</f>
        <v>3</v>
      </c>
      <c r="H2418" s="186">
        <f ca="1">OFFSET(skill!$Q$1,MATCH(B2418,skill!B:B,0)-1,0)</f>
        <v>18.75</v>
      </c>
      <c r="I2418" s="186"/>
      <c r="J2418" s="186">
        <f ca="1">OFFSET(card_type!$F$1,MATCH(Q2418,card_type!A:A,0)-1,0)</f>
        <v>4</v>
      </c>
      <c r="K2418" s="243">
        <f ca="1">OFFSET(card_type!$G$1,MATCH(Q2418,card_type!A:A,0)-1,0)</f>
        <v>4</v>
      </c>
      <c r="L2418" s="157">
        <v>3</v>
      </c>
      <c r="M2418" s="157">
        <v>3</v>
      </c>
      <c r="N2418" s="153">
        <f t="shared" si="420"/>
        <v>2</v>
      </c>
      <c r="O2418" s="157"/>
      <c r="P2418" s="157"/>
      <c r="Q2418" s="153">
        <f ca="1">OFFSET(card_type!$A$1,MATCH(card!B2418,card_type!B:B,0)-1,0)</f>
        <v>3405</v>
      </c>
      <c r="R2418" s="153">
        <v>1</v>
      </c>
      <c r="S2418" s="157">
        <f ca="1">ROUND(IF(R2418=0,0,IF(R2418=1,X2418*$S$1,IF(R2418=2,X2418*$S$1*buff的资质计算!$E$2,IF(R2418=3,X2418*$S$1*buff的资质计算!$E$3,0)))),0)*0</f>
        <v>0</v>
      </c>
      <c r="T2418" s="153">
        <v>2</v>
      </c>
      <c r="U2418" s="153">
        <f ca="1" t="shared" si="414"/>
        <v>44</v>
      </c>
      <c r="V2418" s="153">
        <f ca="1">ROUND((OFFSET(卡牌辅助配置表!$O$1,MATCH(U2418,卡牌辅助配置表!M:M,0)-1,0)+(N2418-1)*OFFSET(卡牌辅助配置表!$P$1,MATCH(U2418,卡牌辅助配置表!M:M,0)-1,0))*M2418,2)</f>
        <v>180.54</v>
      </c>
      <c r="W2418" s="157">
        <f ca="1">ROUND(IF(R2418=0,0,IF(R2418=1,X2418*$W$1,IF(R2418=2,X2418*$W$1*buff的资质计算!$E$2,IF(R2418=3,X2418*$W$1*buff的资质计算!$E$3,0)))),2)</f>
        <v>29.85</v>
      </c>
      <c r="X2418" s="157">
        <f ca="1" t="shared" si="409"/>
        <v>99.5</v>
      </c>
      <c r="Y2418" s="157">
        <f ca="1" t="shared" si="417"/>
        <v>118.25</v>
      </c>
      <c r="Z2418" s="304">
        <f ca="1" t="shared" si="410"/>
        <v>39.4166666666667</v>
      </c>
      <c r="AA2418" s="304">
        <f ca="1">OFFSET(卡牌辅助配置表!$AD$1,MATCH(AB2418,卡牌辅助配置表!AB:AB,0)-1,0)</f>
        <v>3834</v>
      </c>
      <c r="AB2418" s="304">
        <f ca="1" t="shared" si="415"/>
        <v>4402</v>
      </c>
      <c r="AC2418" s="153">
        <v>10</v>
      </c>
      <c r="AD2418" s="153">
        <v>3</v>
      </c>
      <c r="AE2418" s="153">
        <v>1</v>
      </c>
      <c r="AF2418" s="153" t="str">
        <f ca="1" t="shared" si="418"/>
        <v>34050011|34050012|</v>
      </c>
      <c r="AH2418" s="153">
        <v>1</v>
      </c>
      <c r="AJ2418" s="205">
        <f ca="1" t="shared" si="416"/>
        <v>0</v>
      </c>
      <c r="AK2418" s="205">
        <f ca="1">OFFSET([1]item_type!$A$1,MATCH(Q2418,[1]item_type!$G:$G,0)-1,0)</f>
        <v>303405</v>
      </c>
      <c r="AL2418" s="205"/>
      <c r="AM2418" s="205">
        <f ca="1">IF(B2418=B2419,OFFSET(卡牌辅助配置表!$AE$1,MATCH(AB2418,卡牌辅助配置表!AB:AB,0),0),0)</f>
        <v>2700</v>
      </c>
      <c r="AN2418" s="153">
        <f ca="1" t="shared" si="421"/>
        <v>0</v>
      </c>
      <c r="AP2418" s="153" t="str">
        <f ca="1">IF(AC2418=0,0,IF(AC2418=12,0,OFFSET(effect!$N$1,MATCH(K2418,effect!M:M,0)-1,0)))</f>
        <v>kpsx_huangse</v>
      </c>
    </row>
    <row r="2419" spans="1:42">
      <c r="A2419" s="153">
        <f ca="1" t="shared" si="413"/>
        <v>3405003</v>
      </c>
      <c r="B2419" s="91" t="s">
        <v>484</v>
      </c>
      <c r="C2419" s="186">
        <v>3</v>
      </c>
      <c r="D2419" s="186">
        <v>2</v>
      </c>
      <c r="E2419" s="165" t="s">
        <v>1069</v>
      </c>
      <c r="F2419" s="165" t="str">
        <f>"消耗至多5个魂，每消耗1个魂造成伤害增加"&amp;skill!$O$157/100&amp;"%的真实伤害"</f>
        <v>消耗至多5个魂，每消耗1个魂造成伤害增加50%的真实伤害</v>
      </c>
      <c r="G2419" s="186">
        <f ca="1">OFFSET(卡牌辅助配置表!$C$1,MATCH(AC2419,卡牌辅助配置表!A:A,0)-1,0)</f>
        <v>3</v>
      </c>
      <c r="H2419" s="186">
        <f ca="1">OFFSET(skill!$Q$1,MATCH(B2419,skill!B:B,0)-1,0)</f>
        <v>18.75</v>
      </c>
      <c r="I2419" s="186"/>
      <c r="J2419" s="186">
        <f ca="1">OFFSET(card_type!$F$1,MATCH(Q2419,card_type!A:A,0)-1,0)</f>
        <v>4</v>
      </c>
      <c r="K2419" s="243">
        <f ca="1">OFFSET(card_type!$G$1,MATCH(Q2419,card_type!A:A,0)-1,0)</f>
        <v>4</v>
      </c>
      <c r="L2419" s="157">
        <v>3</v>
      </c>
      <c r="M2419" s="157">
        <v>3</v>
      </c>
      <c r="N2419" s="153">
        <f t="shared" si="420"/>
        <v>3</v>
      </c>
      <c r="O2419" s="157"/>
      <c r="P2419" s="157"/>
      <c r="Q2419" s="153">
        <f ca="1">OFFSET(card_type!$A$1,MATCH(card!B2419,card_type!B:B,0)-1,0)</f>
        <v>3405</v>
      </c>
      <c r="R2419" s="153">
        <v>1</v>
      </c>
      <c r="S2419" s="157">
        <f ca="1">ROUND(IF(R2419=0,0,IF(R2419=1,X2419*$S$1,IF(R2419=2,X2419*$S$1*buff的资质计算!$E$2,IF(R2419=3,X2419*$S$1*buff的资质计算!$E$3,0)))),0)*0</f>
        <v>0</v>
      </c>
      <c r="T2419" s="153">
        <v>2</v>
      </c>
      <c r="U2419" s="153">
        <f ca="1" t="shared" si="414"/>
        <v>44</v>
      </c>
      <c r="V2419" s="153">
        <f ca="1">ROUND((OFFSET(卡牌辅助配置表!$O$1,MATCH(U2419,卡牌辅助配置表!M:M,0)-1,0)+(N2419-1)*OFFSET(卡牌辅助配置表!$P$1,MATCH(U2419,卡牌辅助配置表!M:M,0)-1,0))*M2419,2)</f>
        <v>201.78</v>
      </c>
      <c r="W2419" s="157">
        <f ca="1">ROUND(IF(R2419=0,0,IF(R2419=1,X2419*$W$1,IF(R2419=2,X2419*$W$1*buff的资质计算!$E$2,IF(R2419=3,X2419*$W$1*buff的资质计算!$E$3,0)))),2)</f>
        <v>30</v>
      </c>
      <c r="X2419" s="157">
        <f ca="1" t="shared" si="409"/>
        <v>100</v>
      </c>
      <c r="Y2419" s="157">
        <f ca="1" t="shared" si="417"/>
        <v>118.75</v>
      </c>
      <c r="Z2419" s="304">
        <f ca="1" t="shared" si="410"/>
        <v>39.5833333333333</v>
      </c>
      <c r="AA2419" s="304">
        <f ca="1">OFFSET(卡牌辅助配置表!$AD$1,MATCH(AB2419,卡牌辅助配置表!AB:AB,0)-1,0)</f>
        <v>5751</v>
      </c>
      <c r="AB2419" s="304">
        <f ca="1" t="shared" si="415"/>
        <v>4403</v>
      </c>
      <c r="AC2419" s="153">
        <v>10</v>
      </c>
      <c r="AD2419" s="153">
        <v>3</v>
      </c>
      <c r="AE2419" s="153">
        <v>1</v>
      </c>
      <c r="AF2419" s="153" t="str">
        <f ca="1" t="shared" ref="AF2419:AF2446" si="422">((Q2419*1000+1)*10+1)&amp;$AF$1&amp;((Q2419*1000+1)*10+2)&amp;$AF$1</f>
        <v>34050011|34050012|</v>
      </c>
      <c r="AH2419" s="153">
        <v>1</v>
      </c>
      <c r="AJ2419" s="205">
        <f ca="1" t="shared" si="416"/>
        <v>0</v>
      </c>
      <c r="AK2419" s="205">
        <f ca="1">OFFSET([1]item_type!$A$1,MATCH(Q2419,[1]item_type!$G:$G,0)-1,0)</f>
        <v>303405</v>
      </c>
      <c r="AL2419" s="205"/>
      <c r="AM2419" s="205">
        <f ca="1">IF(B2419=B2420,OFFSET(卡牌辅助配置表!$AE$1,MATCH(AB2419,卡牌辅助配置表!AB:AB,0),0),0)</f>
        <v>3300</v>
      </c>
      <c r="AN2419" s="153">
        <f ca="1" t="shared" si="421"/>
        <v>0</v>
      </c>
      <c r="AP2419" s="153" t="str">
        <f ca="1">IF(AC2419=0,0,IF(AC2419=12,0,OFFSET(effect!$N$1,MATCH(K2419,effect!M:M,0)-1,0)))</f>
        <v>kpsx_huangse</v>
      </c>
    </row>
    <row r="2420" spans="1:42">
      <c r="A2420" s="153">
        <f ca="1" t="shared" si="413"/>
        <v>3405004</v>
      </c>
      <c r="B2420" s="91" t="s">
        <v>484</v>
      </c>
      <c r="C2420" s="186">
        <v>3</v>
      </c>
      <c r="D2420" s="186">
        <v>2</v>
      </c>
      <c r="E2420" s="165" t="s">
        <v>1069</v>
      </c>
      <c r="F2420" s="165" t="str">
        <f>"消耗至多5个魂，每消耗1个魂造成伤害增加"&amp;skill!$O$157/100&amp;"%的真实伤害"</f>
        <v>消耗至多5个魂，每消耗1个魂造成伤害增加50%的真实伤害</v>
      </c>
      <c r="G2420" s="186">
        <f ca="1">OFFSET(卡牌辅助配置表!$C$1,MATCH(AC2420,卡牌辅助配置表!A:A,0)-1,0)</f>
        <v>3</v>
      </c>
      <c r="H2420" s="186">
        <f ca="1">OFFSET(skill!$Q$1,MATCH(B2420,skill!B:B,0)-1,0)</f>
        <v>18.75</v>
      </c>
      <c r="I2420" s="186"/>
      <c r="J2420" s="186">
        <f ca="1">OFFSET(card_type!$F$1,MATCH(Q2420,card_type!A:A,0)-1,0)</f>
        <v>4</v>
      </c>
      <c r="K2420" s="243">
        <f ca="1">OFFSET(card_type!$G$1,MATCH(Q2420,card_type!A:A,0)-1,0)</f>
        <v>4</v>
      </c>
      <c r="L2420" s="157">
        <v>3</v>
      </c>
      <c r="M2420" s="157">
        <v>3</v>
      </c>
      <c r="N2420" s="153">
        <f t="shared" si="420"/>
        <v>4</v>
      </c>
      <c r="O2420" s="157"/>
      <c r="P2420" s="157"/>
      <c r="Q2420" s="153">
        <f ca="1">OFFSET(card_type!$A$1,MATCH(card!B2420,card_type!B:B,0)-1,0)</f>
        <v>3405</v>
      </c>
      <c r="R2420" s="153">
        <v>1</v>
      </c>
      <c r="S2420" s="157">
        <f ca="1">ROUND(IF(R2420=0,0,IF(R2420=1,X2420*$S$1,IF(R2420=2,X2420*$S$1*buff的资质计算!$E$2,IF(R2420=3,X2420*$S$1*buff的资质计算!$E$3,0)))),0)*0</f>
        <v>0</v>
      </c>
      <c r="T2420" s="153">
        <v>2</v>
      </c>
      <c r="U2420" s="153">
        <f ca="1" t="shared" si="414"/>
        <v>44</v>
      </c>
      <c r="V2420" s="153">
        <f ca="1">ROUND((OFFSET(卡牌辅助配置表!$O$1,MATCH(U2420,卡牌辅助配置表!M:M,0)-1,0)+(N2420-1)*OFFSET(卡牌辅助配置表!$P$1,MATCH(U2420,卡牌辅助配置表!M:M,0)-1,0))*M2420,2)</f>
        <v>223.02</v>
      </c>
      <c r="W2420" s="157">
        <f ca="1">ROUND(IF(R2420=0,0,IF(R2420=1,X2420*$W$1,IF(R2420=2,X2420*$W$1*buff的资质计算!$E$2,IF(R2420=3,X2420*$W$1*buff的资质计算!$E$3,0)))),2)</f>
        <v>30.15</v>
      </c>
      <c r="X2420" s="157">
        <f ca="1" t="shared" ref="X2420:X2458" si="423">M2420*($M$1+(J2420-1)*$J$1+(K2420-1)*$K$1)+G2420+$J$1*(N2420-1)/$N$1</f>
        <v>100.5</v>
      </c>
      <c r="Y2420" s="157">
        <f ca="1" t="shared" si="417"/>
        <v>119.25</v>
      </c>
      <c r="Z2420" s="304">
        <f ca="1" t="shared" ref="Z2420:Z2458" si="424">Y2420/M2420</f>
        <v>39.75</v>
      </c>
      <c r="AA2420" s="304">
        <f ca="1">OFFSET(卡牌辅助配置表!$AD$1,MATCH(AB2420,卡牌辅助配置表!AB:AB,0)-1,0)</f>
        <v>7668</v>
      </c>
      <c r="AB2420" s="304">
        <f ca="1" t="shared" si="415"/>
        <v>4404</v>
      </c>
      <c r="AC2420" s="153">
        <v>10</v>
      </c>
      <c r="AD2420" s="153">
        <v>3</v>
      </c>
      <c r="AE2420" s="153">
        <v>1</v>
      </c>
      <c r="AF2420" s="153" t="str">
        <f ca="1" t="shared" si="422"/>
        <v>34050011|34050012|</v>
      </c>
      <c r="AH2420" s="153">
        <v>1</v>
      </c>
      <c r="AJ2420" s="205">
        <f ca="1" t="shared" si="416"/>
        <v>0</v>
      </c>
      <c r="AK2420" s="205">
        <f ca="1">OFFSET([1]item_type!$A$1,MATCH(Q2420,[1]item_type!$G:$G,0)-1,0)</f>
        <v>303405</v>
      </c>
      <c r="AL2420" s="205"/>
      <c r="AM2420" s="205">
        <f ca="1">IF(B2420=B2421,OFFSET(卡牌辅助配置表!$AE$1,MATCH(AB2420,卡牌辅助配置表!AB:AB,0),0),0)</f>
        <v>3900</v>
      </c>
      <c r="AN2420" s="153">
        <f ca="1" t="shared" si="421"/>
        <v>0</v>
      </c>
      <c r="AP2420" s="153" t="str">
        <f ca="1">IF(AC2420=0,0,IF(AC2420=12,0,OFFSET(effect!$N$1,MATCH(K2420,effect!M:M,0)-1,0)))</f>
        <v>kpsx_huangse</v>
      </c>
    </row>
    <row r="2421" spans="1:42">
      <c r="A2421" s="153">
        <f ca="1" t="shared" si="413"/>
        <v>3405005</v>
      </c>
      <c r="B2421" s="91" t="s">
        <v>484</v>
      </c>
      <c r="C2421" s="186">
        <v>3</v>
      </c>
      <c r="D2421" s="186">
        <v>2</v>
      </c>
      <c r="E2421" s="165" t="s">
        <v>1069</v>
      </c>
      <c r="F2421" s="165" t="str">
        <f>"消耗至多5个魂，每消耗1个魂造成伤害增加"&amp;skill!$O$157/100&amp;"%的真实伤害"</f>
        <v>消耗至多5个魂，每消耗1个魂造成伤害增加50%的真实伤害</v>
      </c>
      <c r="G2421" s="186">
        <f ca="1">OFFSET(卡牌辅助配置表!$C$1,MATCH(AC2421,卡牌辅助配置表!A:A,0)-1,0)</f>
        <v>3</v>
      </c>
      <c r="H2421" s="186">
        <f ca="1">OFFSET(skill!$Q$1,MATCH(B2421,skill!B:B,0)-1,0)</f>
        <v>18.75</v>
      </c>
      <c r="I2421" s="186"/>
      <c r="J2421" s="186">
        <f ca="1">OFFSET(card_type!$F$1,MATCH(Q2421,card_type!A:A,0)-1,0)</f>
        <v>4</v>
      </c>
      <c r="K2421" s="243">
        <f ca="1">OFFSET(card_type!$G$1,MATCH(Q2421,card_type!A:A,0)-1,0)</f>
        <v>4</v>
      </c>
      <c r="L2421" s="157">
        <v>3</v>
      </c>
      <c r="M2421" s="157">
        <v>3</v>
      </c>
      <c r="N2421" s="153">
        <f t="shared" si="420"/>
        <v>5</v>
      </c>
      <c r="O2421" s="157"/>
      <c r="P2421" s="157"/>
      <c r="Q2421" s="153">
        <f ca="1">OFFSET(card_type!$A$1,MATCH(card!B2421,card_type!B:B,0)-1,0)</f>
        <v>3405</v>
      </c>
      <c r="R2421" s="153">
        <v>1</v>
      </c>
      <c r="S2421" s="157">
        <f ca="1">ROUND(IF(R2421=0,0,IF(R2421=1,X2421*$S$1,IF(R2421=2,X2421*$S$1*buff的资质计算!$E$2,IF(R2421=3,X2421*$S$1*buff的资质计算!$E$3,0)))),0)*0</f>
        <v>0</v>
      </c>
      <c r="T2421" s="153">
        <v>2</v>
      </c>
      <c r="U2421" s="153">
        <f ca="1" t="shared" si="414"/>
        <v>44</v>
      </c>
      <c r="V2421" s="153">
        <f ca="1">ROUND((OFFSET(卡牌辅助配置表!$O$1,MATCH(U2421,卡牌辅助配置表!M:M,0)-1,0)+(N2421-1)*OFFSET(卡牌辅助配置表!$P$1,MATCH(U2421,卡牌辅助配置表!M:M,0)-1,0))*M2421,2)</f>
        <v>244.26</v>
      </c>
      <c r="W2421" s="157">
        <f ca="1">ROUND(IF(R2421=0,0,IF(R2421=1,X2421*$W$1,IF(R2421=2,X2421*$W$1*buff的资质计算!$E$2,IF(R2421=3,X2421*$W$1*buff的资质计算!$E$3,0)))),2)</f>
        <v>30.3</v>
      </c>
      <c r="X2421" s="157">
        <f ca="1" t="shared" si="423"/>
        <v>101</v>
      </c>
      <c r="Y2421" s="157">
        <f ca="1" t="shared" si="417"/>
        <v>119.75</v>
      </c>
      <c r="Z2421" s="304">
        <f ca="1" t="shared" si="424"/>
        <v>39.9166666666667</v>
      </c>
      <c r="AA2421" s="304">
        <f ca="1">OFFSET(卡牌辅助配置表!$AD$1,MATCH(AB2421,卡牌辅助配置表!AB:AB,0)-1,0)</f>
        <v>9585</v>
      </c>
      <c r="AB2421" s="304">
        <f ca="1" t="shared" si="415"/>
        <v>4405</v>
      </c>
      <c r="AC2421" s="153">
        <v>10</v>
      </c>
      <c r="AD2421" s="153">
        <v>3</v>
      </c>
      <c r="AE2421" s="153">
        <v>1</v>
      </c>
      <c r="AF2421" s="153" t="str">
        <f ca="1" t="shared" si="422"/>
        <v>34050011|34050012|</v>
      </c>
      <c r="AH2421" s="153">
        <v>1</v>
      </c>
      <c r="AJ2421" s="205">
        <f ca="1" t="shared" si="416"/>
        <v>0</v>
      </c>
      <c r="AK2421" s="205">
        <f ca="1">OFFSET([1]item_type!$A$1,MATCH(Q2421,[1]item_type!$G:$G,0)-1,0)</f>
        <v>303405</v>
      </c>
      <c r="AL2421" s="205"/>
      <c r="AM2421" s="205">
        <f ca="1">IF(B2421=B2422,OFFSET(卡牌辅助配置表!$AE$1,MATCH(AB2421,卡牌辅助配置表!AB:AB,0),0),0)</f>
        <v>4500</v>
      </c>
      <c r="AN2421" s="153">
        <f ca="1" t="shared" si="421"/>
        <v>0</v>
      </c>
      <c r="AP2421" s="153" t="str">
        <f ca="1">IF(AC2421=0,0,IF(AC2421=12,0,OFFSET(effect!$N$1,MATCH(K2421,effect!M:M,0)-1,0)))</f>
        <v>kpsx_huangse</v>
      </c>
    </row>
    <row r="2422" spans="1:42">
      <c r="A2422" s="153">
        <f ca="1" t="shared" si="413"/>
        <v>3405006</v>
      </c>
      <c r="B2422" s="91" t="s">
        <v>484</v>
      </c>
      <c r="C2422" s="186">
        <v>3</v>
      </c>
      <c r="D2422" s="186">
        <v>2</v>
      </c>
      <c r="E2422" s="165" t="s">
        <v>1069</v>
      </c>
      <c r="F2422" s="165" t="str">
        <f>"消耗至多5个魂，每消耗1个魂造成伤害增加"&amp;skill!$O$157/100&amp;"%的真实伤害"</f>
        <v>消耗至多5个魂，每消耗1个魂造成伤害增加50%的真实伤害</v>
      </c>
      <c r="G2422" s="186">
        <f ca="1">OFFSET(卡牌辅助配置表!$C$1,MATCH(AC2422,卡牌辅助配置表!A:A,0)-1,0)</f>
        <v>3</v>
      </c>
      <c r="H2422" s="186">
        <f ca="1">OFFSET(skill!$Q$1,MATCH(B2422,skill!B:B,0)-1,0)</f>
        <v>18.75</v>
      </c>
      <c r="I2422" s="186"/>
      <c r="J2422" s="186">
        <f ca="1">OFFSET(card_type!$F$1,MATCH(Q2422,card_type!A:A,0)-1,0)</f>
        <v>4</v>
      </c>
      <c r="K2422" s="243">
        <f ca="1">OFFSET(card_type!$G$1,MATCH(Q2422,card_type!A:A,0)-1,0)</f>
        <v>4</v>
      </c>
      <c r="L2422" s="157">
        <v>3</v>
      </c>
      <c r="M2422" s="157">
        <v>3</v>
      </c>
      <c r="N2422" s="153">
        <f t="shared" si="420"/>
        <v>6</v>
      </c>
      <c r="O2422" s="157"/>
      <c r="P2422" s="157"/>
      <c r="Q2422" s="153">
        <f ca="1">OFFSET(card_type!$A$1,MATCH(card!B2422,card_type!B:B,0)-1,0)</f>
        <v>3405</v>
      </c>
      <c r="R2422" s="153">
        <v>1</v>
      </c>
      <c r="S2422" s="157">
        <f ca="1">ROUND(IF(R2422=0,0,IF(R2422=1,X2422*$S$1,IF(R2422=2,X2422*$S$1*buff的资质计算!$E$2,IF(R2422=3,X2422*$S$1*buff的资质计算!$E$3,0)))),0)*0</f>
        <v>0</v>
      </c>
      <c r="T2422" s="153">
        <v>2</v>
      </c>
      <c r="U2422" s="153">
        <f ca="1" t="shared" si="414"/>
        <v>44</v>
      </c>
      <c r="V2422" s="153">
        <f ca="1">ROUND((OFFSET(卡牌辅助配置表!$O$1,MATCH(U2422,卡牌辅助配置表!M:M,0)-1,0)+(N2422-1)*OFFSET(卡牌辅助配置表!$P$1,MATCH(U2422,卡牌辅助配置表!M:M,0)-1,0))*M2422,2)</f>
        <v>265.5</v>
      </c>
      <c r="W2422" s="157">
        <f ca="1">ROUND(IF(R2422=0,0,IF(R2422=1,X2422*$W$1,IF(R2422=2,X2422*$W$1*buff的资质计算!$E$2,IF(R2422=3,X2422*$W$1*buff的资质计算!$E$3,0)))),2)</f>
        <v>30.45</v>
      </c>
      <c r="X2422" s="157">
        <f ca="1" t="shared" si="423"/>
        <v>101.5</v>
      </c>
      <c r="Y2422" s="157">
        <f ca="1" t="shared" si="417"/>
        <v>120.25</v>
      </c>
      <c r="Z2422" s="304">
        <f ca="1" t="shared" si="424"/>
        <v>40.0833333333333</v>
      </c>
      <c r="AA2422" s="304">
        <f ca="1">OFFSET(卡牌辅助配置表!$AD$1,MATCH(AB2422,卡牌辅助配置表!AB:AB,0)-1,0)</f>
        <v>11502</v>
      </c>
      <c r="AB2422" s="304">
        <f ca="1" t="shared" si="415"/>
        <v>4406</v>
      </c>
      <c r="AC2422" s="153">
        <v>10</v>
      </c>
      <c r="AD2422" s="153">
        <v>3</v>
      </c>
      <c r="AE2422" s="153">
        <v>1</v>
      </c>
      <c r="AF2422" s="153" t="str">
        <f ca="1" t="shared" si="422"/>
        <v>34050011|34050012|</v>
      </c>
      <c r="AH2422" s="153">
        <v>1</v>
      </c>
      <c r="AJ2422" s="205">
        <f ca="1" t="shared" si="416"/>
        <v>0</v>
      </c>
      <c r="AK2422" s="205">
        <f ca="1">OFFSET([1]item_type!$A$1,MATCH(Q2422,[1]item_type!$G:$G,0)-1,0)</f>
        <v>303405</v>
      </c>
      <c r="AL2422" s="205"/>
      <c r="AM2422" s="205">
        <f ca="1">IF(B2422=B2423,OFFSET(卡牌辅助配置表!$AE$1,MATCH(AB2422,卡牌辅助配置表!AB:AB,0),0),0)</f>
        <v>5100</v>
      </c>
      <c r="AN2422" s="153">
        <f ca="1" t="shared" si="421"/>
        <v>0</v>
      </c>
      <c r="AP2422" s="153" t="str">
        <f ca="1">IF(AC2422=0,0,IF(AC2422=12,0,OFFSET(effect!$N$1,MATCH(K2422,effect!M:M,0)-1,0)))</f>
        <v>kpsx_huangse</v>
      </c>
    </row>
    <row r="2423" spans="1:42">
      <c r="A2423" s="153">
        <f ca="1" t="shared" si="413"/>
        <v>3405007</v>
      </c>
      <c r="B2423" s="91" t="s">
        <v>484</v>
      </c>
      <c r="C2423" s="186">
        <v>3</v>
      </c>
      <c r="D2423" s="186">
        <v>2</v>
      </c>
      <c r="E2423" s="165" t="s">
        <v>1069</v>
      </c>
      <c r="F2423" s="165" t="str">
        <f>"消耗至多5个魂，每消耗1个魂造成伤害增加"&amp;skill!$O$157/100&amp;"%的真实伤害"</f>
        <v>消耗至多5个魂，每消耗1个魂造成伤害增加50%的真实伤害</v>
      </c>
      <c r="G2423" s="186">
        <f ca="1">OFFSET(卡牌辅助配置表!$C$1,MATCH(AC2423,卡牌辅助配置表!A:A,0)-1,0)</f>
        <v>3</v>
      </c>
      <c r="H2423" s="186">
        <f ca="1">OFFSET(skill!$Q$1,MATCH(B2423,skill!B:B,0)-1,0)</f>
        <v>18.75</v>
      </c>
      <c r="I2423" s="186"/>
      <c r="J2423" s="186">
        <f ca="1">OFFSET(card_type!$F$1,MATCH(Q2423,card_type!A:A,0)-1,0)</f>
        <v>4</v>
      </c>
      <c r="K2423" s="243">
        <f ca="1">OFFSET(card_type!$G$1,MATCH(Q2423,card_type!A:A,0)-1,0)</f>
        <v>4</v>
      </c>
      <c r="L2423" s="157">
        <v>3</v>
      </c>
      <c r="M2423" s="157">
        <v>3</v>
      </c>
      <c r="N2423" s="153">
        <f t="shared" si="420"/>
        <v>7</v>
      </c>
      <c r="O2423" s="157"/>
      <c r="P2423" s="157"/>
      <c r="Q2423" s="153">
        <f ca="1">OFFSET(card_type!$A$1,MATCH(card!B2423,card_type!B:B,0)-1,0)</f>
        <v>3405</v>
      </c>
      <c r="R2423" s="153">
        <v>1</v>
      </c>
      <c r="S2423" s="157">
        <f ca="1">ROUND(IF(R2423=0,0,IF(R2423=1,X2423*$S$1,IF(R2423=2,X2423*$S$1*buff的资质计算!$E$2,IF(R2423=3,X2423*$S$1*buff的资质计算!$E$3,0)))),0)*0</f>
        <v>0</v>
      </c>
      <c r="T2423" s="153">
        <v>2</v>
      </c>
      <c r="U2423" s="153">
        <f ca="1" t="shared" si="414"/>
        <v>44</v>
      </c>
      <c r="V2423" s="153">
        <f ca="1">ROUND((OFFSET(卡牌辅助配置表!$O$1,MATCH(U2423,卡牌辅助配置表!M:M,0)-1,0)+(N2423-1)*OFFSET(卡牌辅助配置表!$P$1,MATCH(U2423,卡牌辅助配置表!M:M,0)-1,0))*M2423,2)</f>
        <v>286.74</v>
      </c>
      <c r="W2423" s="157">
        <f ca="1">ROUND(IF(R2423=0,0,IF(R2423=1,X2423*$W$1,IF(R2423=2,X2423*$W$1*buff的资质计算!$E$2,IF(R2423=3,X2423*$W$1*buff的资质计算!$E$3,0)))),2)</f>
        <v>30.6</v>
      </c>
      <c r="X2423" s="157">
        <f ca="1" t="shared" si="423"/>
        <v>102</v>
      </c>
      <c r="Y2423" s="157">
        <f ca="1" t="shared" si="417"/>
        <v>120.75</v>
      </c>
      <c r="Z2423" s="304">
        <f ca="1" t="shared" si="424"/>
        <v>40.25</v>
      </c>
      <c r="AA2423" s="304">
        <f ca="1">OFFSET(卡牌辅助配置表!$AD$1,MATCH(AB2423,卡牌辅助配置表!AB:AB,0)-1,0)</f>
        <v>13419</v>
      </c>
      <c r="AB2423" s="304">
        <f ca="1" t="shared" si="415"/>
        <v>4407</v>
      </c>
      <c r="AC2423" s="153">
        <v>10</v>
      </c>
      <c r="AD2423" s="153">
        <v>3</v>
      </c>
      <c r="AE2423" s="153">
        <v>1</v>
      </c>
      <c r="AF2423" s="153" t="str">
        <f ca="1" t="shared" si="422"/>
        <v>34050011|34050012|</v>
      </c>
      <c r="AH2423" s="153">
        <v>1</v>
      </c>
      <c r="AJ2423" s="205">
        <f ca="1" t="shared" si="416"/>
        <v>0</v>
      </c>
      <c r="AK2423" s="205">
        <f ca="1">OFFSET([1]item_type!$A$1,MATCH(Q2423,[1]item_type!$G:$G,0)-1,0)</f>
        <v>303405</v>
      </c>
      <c r="AL2423" s="205"/>
      <c r="AM2423" s="205">
        <f ca="1">IF(B2423=B2424,OFFSET(卡牌辅助配置表!$AE$1,MATCH(AB2423,卡牌辅助配置表!AB:AB,0),0),0)</f>
        <v>5700</v>
      </c>
      <c r="AN2423" s="153">
        <f ca="1" t="shared" si="421"/>
        <v>0</v>
      </c>
      <c r="AP2423" s="153" t="str">
        <f ca="1">IF(AC2423=0,0,IF(AC2423=12,0,OFFSET(effect!$N$1,MATCH(K2423,effect!M:M,0)-1,0)))</f>
        <v>kpsx_huangse</v>
      </c>
    </row>
    <row r="2424" spans="1:42">
      <c r="A2424" s="153">
        <f ca="1" t="shared" si="413"/>
        <v>3405008</v>
      </c>
      <c r="B2424" s="91" t="s">
        <v>484</v>
      </c>
      <c r="C2424" s="186">
        <v>3</v>
      </c>
      <c r="D2424" s="186">
        <v>2</v>
      </c>
      <c r="E2424" s="165" t="s">
        <v>1069</v>
      </c>
      <c r="F2424" s="165" t="str">
        <f>"消耗至多5个魂，每消耗1个魂造成伤害增加"&amp;skill!$O$157/100&amp;"%的真实伤害"</f>
        <v>消耗至多5个魂，每消耗1个魂造成伤害增加50%的真实伤害</v>
      </c>
      <c r="G2424" s="186">
        <f ca="1">OFFSET(卡牌辅助配置表!$C$1,MATCH(AC2424,卡牌辅助配置表!A:A,0)-1,0)</f>
        <v>3</v>
      </c>
      <c r="H2424" s="186">
        <f ca="1">OFFSET(skill!$Q$1,MATCH(B2424,skill!B:B,0)-1,0)</f>
        <v>18.75</v>
      </c>
      <c r="I2424" s="186"/>
      <c r="J2424" s="186">
        <f ca="1">OFFSET(card_type!$F$1,MATCH(Q2424,card_type!A:A,0)-1,0)</f>
        <v>4</v>
      </c>
      <c r="K2424" s="243">
        <f ca="1">OFFSET(card_type!$G$1,MATCH(Q2424,card_type!A:A,0)-1,0)</f>
        <v>4</v>
      </c>
      <c r="L2424" s="157">
        <v>3</v>
      </c>
      <c r="M2424" s="157">
        <v>3</v>
      </c>
      <c r="N2424" s="153">
        <f t="shared" si="420"/>
        <v>8</v>
      </c>
      <c r="O2424" s="157"/>
      <c r="P2424" s="157"/>
      <c r="Q2424" s="153">
        <f ca="1">OFFSET(card_type!$A$1,MATCH(card!B2424,card_type!B:B,0)-1,0)</f>
        <v>3405</v>
      </c>
      <c r="R2424" s="153">
        <v>1</v>
      </c>
      <c r="S2424" s="157">
        <f ca="1">ROUND(IF(R2424=0,0,IF(R2424=1,X2424*$S$1,IF(R2424=2,X2424*$S$1*buff的资质计算!$E$2,IF(R2424=3,X2424*$S$1*buff的资质计算!$E$3,0)))),0)*0</f>
        <v>0</v>
      </c>
      <c r="T2424" s="153">
        <v>2</v>
      </c>
      <c r="U2424" s="153">
        <f ca="1" t="shared" si="414"/>
        <v>44</v>
      </c>
      <c r="V2424" s="153">
        <f ca="1">ROUND((OFFSET(卡牌辅助配置表!$O$1,MATCH(U2424,卡牌辅助配置表!M:M,0)-1,0)+(N2424-1)*OFFSET(卡牌辅助配置表!$P$1,MATCH(U2424,卡牌辅助配置表!M:M,0)-1,0))*M2424,2)</f>
        <v>307.98</v>
      </c>
      <c r="W2424" s="157">
        <f ca="1">ROUND(IF(R2424=0,0,IF(R2424=1,X2424*$W$1,IF(R2424=2,X2424*$W$1*buff的资质计算!$E$2,IF(R2424=3,X2424*$W$1*buff的资质计算!$E$3,0)))),2)</f>
        <v>30.75</v>
      </c>
      <c r="X2424" s="157">
        <f ca="1" t="shared" si="423"/>
        <v>102.5</v>
      </c>
      <c r="Y2424" s="157">
        <f ca="1" t="shared" si="417"/>
        <v>121.25</v>
      </c>
      <c r="Z2424" s="304">
        <f ca="1" t="shared" si="424"/>
        <v>40.4166666666667</v>
      </c>
      <c r="AA2424" s="304">
        <f ca="1">OFFSET(卡牌辅助配置表!$AD$1,MATCH(AB2424,卡牌辅助配置表!AB:AB,0)-1,0)</f>
        <v>15336</v>
      </c>
      <c r="AB2424" s="304">
        <f ca="1" t="shared" si="415"/>
        <v>4408</v>
      </c>
      <c r="AC2424" s="153">
        <v>10</v>
      </c>
      <c r="AD2424" s="153">
        <v>3</v>
      </c>
      <c r="AE2424" s="153">
        <v>1</v>
      </c>
      <c r="AF2424" s="153" t="str">
        <f ca="1" t="shared" si="422"/>
        <v>34050011|34050012|</v>
      </c>
      <c r="AH2424" s="153">
        <v>1</v>
      </c>
      <c r="AJ2424" s="205">
        <f ca="1" t="shared" si="416"/>
        <v>0</v>
      </c>
      <c r="AK2424" s="205">
        <f ca="1">OFFSET([1]item_type!$A$1,MATCH(Q2424,[1]item_type!$G:$G,0)-1,0)</f>
        <v>303405</v>
      </c>
      <c r="AL2424" s="205"/>
      <c r="AM2424" s="205">
        <f ca="1">IF(B2424=B2425,OFFSET(卡牌辅助配置表!$AE$1,MATCH(AB2424,卡牌辅助配置表!AB:AB,0),0),0)</f>
        <v>6300</v>
      </c>
      <c r="AN2424" s="153">
        <f ca="1" t="shared" si="421"/>
        <v>0</v>
      </c>
      <c r="AP2424" s="153" t="str">
        <f ca="1">IF(AC2424=0,0,IF(AC2424=12,0,OFFSET(effect!$N$1,MATCH(K2424,effect!M:M,0)-1,0)))</f>
        <v>kpsx_huangse</v>
      </c>
    </row>
    <row r="2425" spans="1:42">
      <c r="A2425" s="153">
        <f ca="1" t="shared" si="413"/>
        <v>3405009</v>
      </c>
      <c r="B2425" s="91" t="s">
        <v>484</v>
      </c>
      <c r="C2425" s="186">
        <v>3</v>
      </c>
      <c r="D2425" s="186">
        <v>2</v>
      </c>
      <c r="E2425" s="165" t="s">
        <v>1069</v>
      </c>
      <c r="F2425" s="165" t="str">
        <f>"消耗至多5个魂，每消耗1个魂造成伤害增加"&amp;skill!$O$157/100&amp;"%的真实伤害"</f>
        <v>消耗至多5个魂，每消耗1个魂造成伤害增加50%的真实伤害</v>
      </c>
      <c r="G2425" s="186">
        <f ca="1">OFFSET(卡牌辅助配置表!$C$1,MATCH(AC2425,卡牌辅助配置表!A:A,0)-1,0)</f>
        <v>3</v>
      </c>
      <c r="H2425" s="186">
        <f ca="1">OFFSET(skill!$Q$1,MATCH(B2425,skill!B:B,0)-1,0)</f>
        <v>18.75</v>
      </c>
      <c r="I2425" s="186"/>
      <c r="J2425" s="186">
        <f ca="1">OFFSET(card_type!$F$1,MATCH(Q2425,card_type!A:A,0)-1,0)</f>
        <v>4</v>
      </c>
      <c r="K2425" s="243">
        <f ca="1">OFFSET(card_type!$G$1,MATCH(Q2425,card_type!A:A,0)-1,0)</f>
        <v>4</v>
      </c>
      <c r="L2425" s="157">
        <v>3</v>
      </c>
      <c r="M2425" s="157">
        <v>3</v>
      </c>
      <c r="N2425" s="153">
        <f t="shared" si="420"/>
        <v>9</v>
      </c>
      <c r="O2425" s="157"/>
      <c r="P2425" s="157"/>
      <c r="Q2425" s="153">
        <f ca="1">OFFSET(card_type!$A$1,MATCH(card!B2425,card_type!B:B,0)-1,0)</f>
        <v>3405</v>
      </c>
      <c r="R2425" s="153">
        <v>1</v>
      </c>
      <c r="S2425" s="157">
        <f ca="1">ROUND(IF(R2425=0,0,IF(R2425=1,X2425*$S$1,IF(R2425=2,X2425*$S$1*buff的资质计算!$E$2,IF(R2425=3,X2425*$S$1*buff的资质计算!$E$3,0)))),0)*0</f>
        <v>0</v>
      </c>
      <c r="T2425" s="153">
        <v>2</v>
      </c>
      <c r="U2425" s="153">
        <f ca="1" t="shared" si="414"/>
        <v>44</v>
      </c>
      <c r="V2425" s="153">
        <f ca="1">ROUND((OFFSET(卡牌辅助配置表!$O$1,MATCH(U2425,卡牌辅助配置表!M:M,0)-1,0)+(N2425-1)*OFFSET(卡牌辅助配置表!$P$1,MATCH(U2425,卡牌辅助配置表!M:M,0)-1,0))*M2425,2)</f>
        <v>329.22</v>
      </c>
      <c r="W2425" s="157">
        <f ca="1">ROUND(IF(R2425=0,0,IF(R2425=1,X2425*$W$1,IF(R2425=2,X2425*$W$1*buff的资质计算!$E$2,IF(R2425=3,X2425*$W$1*buff的资质计算!$E$3,0)))),2)</f>
        <v>30.9</v>
      </c>
      <c r="X2425" s="157">
        <f ca="1" t="shared" si="423"/>
        <v>103</v>
      </c>
      <c r="Y2425" s="157">
        <f ca="1" t="shared" si="417"/>
        <v>121.75</v>
      </c>
      <c r="Z2425" s="304">
        <f ca="1" t="shared" si="424"/>
        <v>40.5833333333333</v>
      </c>
      <c r="AA2425" s="304">
        <f ca="1">OFFSET(卡牌辅助配置表!$AD$1,MATCH(AB2425,卡牌辅助配置表!AB:AB,0)-1,0)</f>
        <v>17253</v>
      </c>
      <c r="AB2425" s="304">
        <f ca="1" t="shared" si="415"/>
        <v>4409</v>
      </c>
      <c r="AC2425" s="153">
        <v>10</v>
      </c>
      <c r="AD2425" s="153">
        <v>3</v>
      </c>
      <c r="AE2425" s="153">
        <v>1</v>
      </c>
      <c r="AF2425" s="153" t="str">
        <f ca="1" t="shared" si="422"/>
        <v>34050011|34050012|</v>
      </c>
      <c r="AH2425" s="153">
        <v>1</v>
      </c>
      <c r="AJ2425" s="205">
        <f ca="1" t="shared" si="416"/>
        <v>0</v>
      </c>
      <c r="AK2425" s="205">
        <f ca="1">OFFSET([1]item_type!$A$1,MATCH(Q2425,[1]item_type!$G:$G,0)-1,0)</f>
        <v>303405</v>
      </c>
      <c r="AL2425" s="205">
        <v>15</v>
      </c>
      <c r="AM2425" s="205">
        <f ca="1">IF(B2425=B2426,OFFSET(卡牌辅助配置表!$AE$1,MATCH(AB2425,卡牌辅助配置表!AB:AB,0),0),0)</f>
        <v>6900</v>
      </c>
      <c r="AN2425" s="153">
        <f ca="1" t="shared" si="421"/>
        <v>0</v>
      </c>
      <c r="AP2425" s="153" t="str">
        <f ca="1">IF(AC2425=0,0,IF(AC2425=12,0,OFFSET(effect!$N$1,MATCH(K2425,effect!M:M,0)-1,0)))</f>
        <v>kpsx_huangse</v>
      </c>
    </row>
    <row r="2426" spans="1:42">
      <c r="A2426" s="153">
        <f ca="1" t="shared" si="413"/>
        <v>3405010</v>
      </c>
      <c r="B2426" s="91" t="s">
        <v>484</v>
      </c>
      <c r="C2426" s="186">
        <v>3</v>
      </c>
      <c r="D2426" s="186">
        <v>2</v>
      </c>
      <c r="E2426" s="165" t="s">
        <v>1069</v>
      </c>
      <c r="F2426" s="165" t="str">
        <f>"消耗至多5个魂，每消耗1个魂造成伤害增加"&amp;skill!$O$157/100&amp;"%的真实伤害"</f>
        <v>消耗至多5个魂，每消耗1个魂造成伤害增加50%的真实伤害</v>
      </c>
      <c r="G2426" s="186">
        <f ca="1">OFFSET(卡牌辅助配置表!$C$1,MATCH(AC2426,卡牌辅助配置表!A:A,0)-1,0)</f>
        <v>3</v>
      </c>
      <c r="H2426" s="186">
        <f ca="1">OFFSET(skill!$Q$1,MATCH(B2426,skill!B:B,0)-1,0)</f>
        <v>18.75</v>
      </c>
      <c r="I2426" s="186"/>
      <c r="J2426" s="186">
        <f ca="1">OFFSET(card_type!$F$1,MATCH(Q2426,card_type!A:A,0)-1,0)</f>
        <v>4</v>
      </c>
      <c r="K2426" s="243">
        <f ca="1">OFFSET(card_type!$G$1,MATCH(Q2426,card_type!A:A,0)-1,0)</f>
        <v>4</v>
      </c>
      <c r="L2426" s="157">
        <v>3</v>
      </c>
      <c r="M2426" s="157">
        <v>3</v>
      </c>
      <c r="N2426" s="153">
        <f t="shared" si="420"/>
        <v>10</v>
      </c>
      <c r="O2426" s="157"/>
      <c r="P2426" s="157"/>
      <c r="Q2426" s="153">
        <f ca="1">OFFSET(card_type!$A$1,MATCH(card!B2426,card_type!B:B,0)-1,0)</f>
        <v>3405</v>
      </c>
      <c r="R2426" s="153">
        <v>1</v>
      </c>
      <c r="S2426" s="157">
        <f ca="1">ROUND(IF(R2426=0,0,IF(R2426=1,X2426*$S$1,IF(R2426=2,X2426*$S$1*buff的资质计算!$E$2,IF(R2426=3,X2426*$S$1*buff的资质计算!$E$3,0)))),0)*0</f>
        <v>0</v>
      </c>
      <c r="T2426" s="153">
        <v>2</v>
      </c>
      <c r="U2426" s="153">
        <f ca="1" t="shared" si="414"/>
        <v>44</v>
      </c>
      <c r="V2426" s="153">
        <f ca="1">ROUND((OFFSET(卡牌辅助配置表!$O$1,MATCH(U2426,卡牌辅助配置表!M:M,0)-1,0)+(N2426-1)*OFFSET(卡牌辅助配置表!$P$1,MATCH(U2426,卡牌辅助配置表!M:M,0)-1,0))*M2426,2)</f>
        <v>350.46</v>
      </c>
      <c r="W2426" s="157">
        <f ca="1">ROUND(IF(R2426=0,0,IF(R2426=1,X2426*$W$1,IF(R2426=2,X2426*$W$1*buff的资质计算!$E$2,IF(R2426=3,X2426*$W$1*buff的资质计算!$E$3,0)))),2)</f>
        <v>31.05</v>
      </c>
      <c r="X2426" s="157">
        <f ca="1" t="shared" si="423"/>
        <v>103.5</v>
      </c>
      <c r="Y2426" s="157">
        <f ca="1" t="shared" si="417"/>
        <v>122.25</v>
      </c>
      <c r="Z2426" s="304">
        <f ca="1" t="shared" si="424"/>
        <v>40.75</v>
      </c>
      <c r="AA2426" s="304">
        <f ca="1">OFFSET(卡牌辅助配置表!$AD$1,MATCH(AB2426,卡牌辅助配置表!AB:AB,0)-1,0)</f>
        <v>19170</v>
      </c>
      <c r="AB2426" s="304">
        <f ca="1" t="shared" si="415"/>
        <v>4410</v>
      </c>
      <c r="AC2426" s="153">
        <v>10</v>
      </c>
      <c r="AD2426" s="153">
        <v>3</v>
      </c>
      <c r="AE2426" s="153">
        <v>1</v>
      </c>
      <c r="AF2426" s="153" t="str">
        <f ca="1" t="shared" si="422"/>
        <v>34050011|34050012|</v>
      </c>
      <c r="AH2426" s="153">
        <v>1</v>
      </c>
      <c r="AJ2426" s="205">
        <f ca="1" t="shared" si="416"/>
        <v>0</v>
      </c>
      <c r="AK2426" s="205">
        <f ca="1">OFFSET([1]item_type!$A$1,MATCH(Q2426,[1]item_type!$G:$G,0)-1,0)</f>
        <v>303405</v>
      </c>
      <c r="AL2426" s="205"/>
      <c r="AM2426" s="205">
        <f ca="1">IF(B2426=B2427,OFFSET(卡牌辅助配置表!$AE$1,MATCH(AB2426,卡牌辅助配置表!AB:AB,0),0),0)</f>
        <v>8100</v>
      </c>
      <c r="AN2426" s="153">
        <f ca="1" t="shared" si="421"/>
        <v>0</v>
      </c>
      <c r="AP2426" s="153" t="str">
        <f ca="1">IF(AC2426=0,0,IF(AC2426=12,0,OFFSET(effect!$N$1,MATCH(K2426,effect!M:M,0)-1,0)))</f>
        <v>kpsx_huangse</v>
      </c>
    </row>
    <row r="2427" spans="1:42">
      <c r="A2427" s="153">
        <f ca="1" t="shared" si="413"/>
        <v>3405011</v>
      </c>
      <c r="B2427" s="91" t="s">
        <v>484</v>
      </c>
      <c r="C2427" s="186">
        <v>3</v>
      </c>
      <c r="D2427" s="186">
        <v>2</v>
      </c>
      <c r="E2427" s="165" t="s">
        <v>1069</v>
      </c>
      <c r="F2427" s="165" t="str">
        <f>"消耗至多5个魂，每消耗1个魂造成伤害增加"&amp;skill!$O$157/100&amp;"%的真实伤害"</f>
        <v>消耗至多5个魂，每消耗1个魂造成伤害增加50%的真实伤害</v>
      </c>
      <c r="G2427" s="186">
        <f ca="1">OFFSET(卡牌辅助配置表!$C$1,MATCH(AC2427,卡牌辅助配置表!A:A,0)-1,0)</f>
        <v>3</v>
      </c>
      <c r="H2427" s="186">
        <f ca="1">OFFSET(skill!$Q$1,MATCH(B2427,skill!B:B,0)-1,0)</f>
        <v>18.75</v>
      </c>
      <c r="I2427" s="186"/>
      <c r="J2427" s="186">
        <f ca="1">OFFSET(card_type!$F$1,MATCH(Q2427,card_type!A:A,0)-1,0)</f>
        <v>4</v>
      </c>
      <c r="K2427" s="243">
        <f ca="1">OFFSET(card_type!$G$1,MATCH(Q2427,card_type!A:A,0)-1,0)</f>
        <v>4</v>
      </c>
      <c r="L2427" s="157">
        <v>3</v>
      </c>
      <c r="M2427" s="157">
        <v>3</v>
      </c>
      <c r="N2427" s="153">
        <f t="shared" si="420"/>
        <v>11</v>
      </c>
      <c r="O2427" s="157"/>
      <c r="P2427" s="157"/>
      <c r="Q2427" s="153">
        <f ca="1">OFFSET(card_type!$A$1,MATCH(card!B2427,card_type!B:B,0)-1,0)</f>
        <v>3405</v>
      </c>
      <c r="R2427" s="153">
        <v>1</v>
      </c>
      <c r="S2427" s="157">
        <f ca="1">ROUND(IF(R2427=0,0,IF(R2427=1,X2427*$S$1,IF(R2427=2,X2427*$S$1*buff的资质计算!$E$2,IF(R2427=3,X2427*$S$1*buff的资质计算!$E$3,0)))),0)*0</f>
        <v>0</v>
      </c>
      <c r="T2427" s="153">
        <v>2</v>
      </c>
      <c r="U2427" s="153">
        <f ca="1" t="shared" si="414"/>
        <v>44</v>
      </c>
      <c r="V2427" s="153">
        <f ca="1">ROUND((OFFSET(卡牌辅助配置表!$O$1,MATCH(U2427,卡牌辅助配置表!M:M,0)-1,0)+(N2427-1)*OFFSET(卡牌辅助配置表!$P$1,MATCH(U2427,卡牌辅助配置表!M:M,0)-1,0))*M2427,2)</f>
        <v>371.7</v>
      </c>
      <c r="W2427" s="157">
        <f ca="1">ROUND(IF(R2427=0,0,IF(R2427=1,X2427*$W$1,IF(R2427=2,X2427*$W$1*buff的资质计算!$E$2,IF(R2427=3,X2427*$W$1*buff的资质计算!$E$3,0)))),2)</f>
        <v>31.2</v>
      </c>
      <c r="X2427" s="157">
        <f ca="1" t="shared" si="423"/>
        <v>104</v>
      </c>
      <c r="Y2427" s="157">
        <f ca="1" t="shared" si="417"/>
        <v>122.75</v>
      </c>
      <c r="Z2427" s="304">
        <f ca="1" t="shared" si="424"/>
        <v>40.9166666666667</v>
      </c>
      <c r="AA2427" s="304">
        <f ca="1">OFFSET(卡牌辅助配置表!$AD$1,MATCH(AB2427,卡牌辅助配置表!AB:AB,0)-1,0)</f>
        <v>22046</v>
      </c>
      <c r="AB2427" s="304">
        <f ca="1" t="shared" si="415"/>
        <v>4411</v>
      </c>
      <c r="AC2427" s="153">
        <v>10</v>
      </c>
      <c r="AD2427" s="153">
        <v>3</v>
      </c>
      <c r="AE2427" s="153">
        <v>1</v>
      </c>
      <c r="AF2427" s="153" t="str">
        <f ca="1" t="shared" si="422"/>
        <v>34050011|34050012|</v>
      </c>
      <c r="AH2427" s="153">
        <v>1</v>
      </c>
      <c r="AJ2427" s="205">
        <f ca="1" t="shared" si="416"/>
        <v>0</v>
      </c>
      <c r="AK2427" s="205">
        <f ca="1">OFFSET([1]item_type!$A$1,MATCH(Q2427,[1]item_type!$G:$G,0)-1,0)</f>
        <v>303405</v>
      </c>
      <c r="AL2427" s="205"/>
      <c r="AM2427" s="205">
        <f ca="1">IF(B2427=B2428,OFFSET(卡牌辅助配置表!$AE$1,MATCH(AB2427,卡牌辅助配置表!AB:AB,0),0),0)</f>
        <v>9300</v>
      </c>
      <c r="AN2427" s="153">
        <f ca="1" t="shared" si="421"/>
        <v>0</v>
      </c>
      <c r="AP2427" s="153" t="str">
        <f ca="1">IF(AC2427=0,0,IF(AC2427=12,0,OFFSET(effect!$N$1,MATCH(K2427,effect!M:M,0)-1,0)))</f>
        <v>kpsx_huangse</v>
      </c>
    </row>
    <row r="2428" spans="1:42">
      <c r="A2428" s="153">
        <f ca="1" t="shared" si="413"/>
        <v>3405012</v>
      </c>
      <c r="B2428" s="91" t="s">
        <v>484</v>
      </c>
      <c r="C2428" s="186">
        <v>3</v>
      </c>
      <c r="D2428" s="186">
        <v>2</v>
      </c>
      <c r="E2428" s="165" t="s">
        <v>1069</v>
      </c>
      <c r="F2428" s="165" t="str">
        <f>"消耗至多5个魂，每消耗1个魂造成伤害增加"&amp;skill!$O$157/100&amp;"%的真实伤害"</f>
        <v>消耗至多5个魂，每消耗1个魂造成伤害增加50%的真实伤害</v>
      </c>
      <c r="G2428" s="186">
        <f ca="1">OFFSET(卡牌辅助配置表!$C$1,MATCH(AC2428,卡牌辅助配置表!A:A,0)-1,0)</f>
        <v>3</v>
      </c>
      <c r="H2428" s="186">
        <f ca="1">OFFSET(skill!$Q$1,MATCH(B2428,skill!B:B,0)-1,0)</f>
        <v>18.75</v>
      </c>
      <c r="I2428" s="186"/>
      <c r="J2428" s="186">
        <f ca="1">OFFSET(card_type!$F$1,MATCH(Q2428,card_type!A:A,0)-1,0)</f>
        <v>4</v>
      </c>
      <c r="K2428" s="243">
        <f ca="1">OFFSET(card_type!$G$1,MATCH(Q2428,card_type!A:A,0)-1,0)</f>
        <v>4</v>
      </c>
      <c r="L2428" s="157">
        <v>3</v>
      </c>
      <c r="M2428" s="157">
        <v>3</v>
      </c>
      <c r="N2428" s="153">
        <f t="shared" si="420"/>
        <v>12</v>
      </c>
      <c r="O2428" s="157"/>
      <c r="P2428" s="157"/>
      <c r="Q2428" s="153">
        <f ca="1">OFFSET(card_type!$A$1,MATCH(card!B2428,card_type!B:B,0)-1,0)</f>
        <v>3405</v>
      </c>
      <c r="R2428" s="153">
        <v>1</v>
      </c>
      <c r="S2428" s="157">
        <f ca="1">ROUND(IF(R2428=0,0,IF(R2428=1,X2428*$S$1,IF(R2428=2,X2428*$S$1*buff的资质计算!$E$2,IF(R2428=3,X2428*$S$1*buff的资质计算!$E$3,0)))),0)*0</f>
        <v>0</v>
      </c>
      <c r="T2428" s="153">
        <v>2</v>
      </c>
      <c r="U2428" s="153">
        <f ca="1" t="shared" si="414"/>
        <v>44</v>
      </c>
      <c r="V2428" s="153">
        <f ca="1">ROUND((OFFSET(卡牌辅助配置表!$O$1,MATCH(U2428,卡牌辅助配置表!M:M,0)-1,0)+(N2428-1)*OFFSET(卡牌辅助配置表!$P$1,MATCH(U2428,卡牌辅助配置表!M:M,0)-1,0))*M2428,2)</f>
        <v>392.94</v>
      </c>
      <c r="W2428" s="157">
        <f ca="1">ROUND(IF(R2428=0,0,IF(R2428=1,X2428*$W$1,IF(R2428=2,X2428*$W$1*buff的资质计算!$E$2,IF(R2428=3,X2428*$W$1*buff的资质计算!$E$3,0)))),2)</f>
        <v>31.35</v>
      </c>
      <c r="X2428" s="157">
        <f ca="1" t="shared" si="423"/>
        <v>104.5</v>
      </c>
      <c r="Y2428" s="157">
        <f ca="1" t="shared" si="417"/>
        <v>123.25</v>
      </c>
      <c r="Z2428" s="304">
        <f ca="1" t="shared" si="424"/>
        <v>41.0833333333333</v>
      </c>
      <c r="AA2428" s="304">
        <f ca="1">OFFSET(卡牌辅助配置表!$AD$1,MATCH(AB2428,卡牌辅助配置表!AB:AB,0)-1,0)</f>
        <v>24922</v>
      </c>
      <c r="AB2428" s="304">
        <f ca="1" t="shared" si="415"/>
        <v>4412</v>
      </c>
      <c r="AC2428" s="153">
        <v>10</v>
      </c>
      <c r="AD2428" s="153">
        <v>3</v>
      </c>
      <c r="AE2428" s="153">
        <v>1</v>
      </c>
      <c r="AF2428" s="153" t="str">
        <f ca="1" t="shared" si="422"/>
        <v>34050011|34050012|</v>
      </c>
      <c r="AH2428" s="153">
        <v>1</v>
      </c>
      <c r="AJ2428" s="205">
        <f ca="1" t="shared" si="416"/>
        <v>0</v>
      </c>
      <c r="AK2428" s="205">
        <f ca="1">OFFSET([1]item_type!$A$1,MATCH(Q2428,[1]item_type!$G:$G,0)-1,0)</f>
        <v>303405</v>
      </c>
      <c r="AL2428" s="205"/>
      <c r="AM2428" s="205">
        <f ca="1">IF(B2428=B2429,OFFSET(卡牌辅助配置表!$AE$1,MATCH(AB2428,卡牌辅助配置表!AB:AB,0),0),0)</f>
        <v>10500</v>
      </c>
      <c r="AN2428" s="153">
        <f ca="1" t="shared" si="421"/>
        <v>0</v>
      </c>
      <c r="AP2428" s="153" t="str">
        <f ca="1">IF(AC2428=0,0,IF(AC2428=12,0,OFFSET(effect!$N$1,MATCH(K2428,effect!M:M,0)-1,0)))</f>
        <v>kpsx_huangse</v>
      </c>
    </row>
    <row r="2429" spans="1:42">
      <c r="A2429" s="153">
        <f ca="1" t="shared" si="413"/>
        <v>3405013</v>
      </c>
      <c r="B2429" s="91" t="s">
        <v>484</v>
      </c>
      <c r="C2429" s="186">
        <v>3</v>
      </c>
      <c r="D2429" s="186">
        <v>2</v>
      </c>
      <c r="E2429" s="165" t="s">
        <v>1069</v>
      </c>
      <c r="F2429" s="165" t="str">
        <f>"消耗至多5个魂，每消耗1个魂造成伤害增加"&amp;skill!$O$157/100&amp;"%的真实伤害"</f>
        <v>消耗至多5个魂，每消耗1个魂造成伤害增加50%的真实伤害</v>
      </c>
      <c r="G2429" s="186">
        <f ca="1">OFFSET(卡牌辅助配置表!$C$1,MATCH(AC2429,卡牌辅助配置表!A:A,0)-1,0)</f>
        <v>3</v>
      </c>
      <c r="H2429" s="186">
        <f ca="1">OFFSET(skill!$Q$1,MATCH(B2429,skill!B:B,0)-1,0)</f>
        <v>18.75</v>
      </c>
      <c r="I2429" s="186"/>
      <c r="J2429" s="186">
        <f ca="1">OFFSET(card_type!$F$1,MATCH(Q2429,card_type!A:A,0)-1,0)</f>
        <v>4</v>
      </c>
      <c r="K2429" s="243">
        <f ca="1">OFFSET(card_type!$G$1,MATCH(Q2429,card_type!A:A,0)-1,0)</f>
        <v>4</v>
      </c>
      <c r="L2429" s="157">
        <v>3</v>
      </c>
      <c r="M2429" s="157">
        <v>3</v>
      </c>
      <c r="N2429" s="153">
        <f t="shared" si="420"/>
        <v>13</v>
      </c>
      <c r="O2429" s="157"/>
      <c r="P2429" s="157"/>
      <c r="Q2429" s="153">
        <f ca="1">OFFSET(card_type!$A$1,MATCH(card!B2429,card_type!B:B,0)-1,0)</f>
        <v>3405</v>
      </c>
      <c r="R2429" s="153">
        <v>1</v>
      </c>
      <c r="S2429" s="157">
        <f ca="1">ROUND(IF(R2429=0,0,IF(R2429=1,X2429*$S$1,IF(R2429=2,X2429*$S$1*buff的资质计算!$E$2,IF(R2429=3,X2429*$S$1*buff的资质计算!$E$3,0)))),0)*0</f>
        <v>0</v>
      </c>
      <c r="T2429" s="153">
        <v>2</v>
      </c>
      <c r="U2429" s="153">
        <f ca="1" t="shared" si="414"/>
        <v>44</v>
      </c>
      <c r="V2429" s="153">
        <f ca="1">ROUND((OFFSET(卡牌辅助配置表!$O$1,MATCH(U2429,卡牌辅助配置表!M:M,0)-1,0)+(N2429-1)*OFFSET(卡牌辅助配置表!$P$1,MATCH(U2429,卡牌辅助配置表!M:M,0)-1,0))*M2429,2)</f>
        <v>414.18</v>
      </c>
      <c r="W2429" s="157">
        <f ca="1">ROUND(IF(R2429=0,0,IF(R2429=1,X2429*$W$1,IF(R2429=2,X2429*$W$1*buff的资质计算!$E$2,IF(R2429=3,X2429*$W$1*buff的资质计算!$E$3,0)))),2)</f>
        <v>31.5</v>
      </c>
      <c r="X2429" s="157">
        <f ca="1" t="shared" si="423"/>
        <v>105</v>
      </c>
      <c r="Y2429" s="157">
        <f ca="1" t="shared" si="417"/>
        <v>123.75</v>
      </c>
      <c r="Z2429" s="304">
        <f ca="1" t="shared" si="424"/>
        <v>41.25</v>
      </c>
      <c r="AA2429" s="304">
        <f ca="1">OFFSET(卡牌辅助配置表!$AD$1,MATCH(AB2429,卡牌辅助配置表!AB:AB,0)-1,0)</f>
        <v>27798</v>
      </c>
      <c r="AB2429" s="304">
        <f ca="1" t="shared" si="415"/>
        <v>4413</v>
      </c>
      <c r="AC2429" s="153">
        <v>10</v>
      </c>
      <c r="AD2429" s="153">
        <v>3</v>
      </c>
      <c r="AE2429" s="153">
        <v>1</v>
      </c>
      <c r="AF2429" s="153" t="str">
        <f ca="1" t="shared" si="422"/>
        <v>34050011|34050012|</v>
      </c>
      <c r="AH2429" s="153">
        <v>1</v>
      </c>
      <c r="AJ2429" s="205">
        <f ca="1" t="shared" si="416"/>
        <v>0</v>
      </c>
      <c r="AK2429" s="205">
        <f ca="1">OFFSET([1]item_type!$A$1,MATCH(Q2429,[1]item_type!$G:$G,0)-1,0)</f>
        <v>303405</v>
      </c>
      <c r="AL2429" s="205"/>
      <c r="AM2429" s="205">
        <f ca="1">IF(B2429=B2430,OFFSET(卡牌辅助配置表!$AE$1,MATCH(AB2429,卡牌辅助配置表!AB:AB,0),0),0)</f>
        <v>11700</v>
      </c>
      <c r="AN2429" s="153">
        <f ca="1" t="shared" si="421"/>
        <v>0</v>
      </c>
      <c r="AP2429" s="153" t="str">
        <f ca="1">IF(AC2429=0,0,IF(AC2429=12,0,OFFSET(effect!$N$1,MATCH(K2429,effect!M:M,0)-1,0)))</f>
        <v>kpsx_huangse</v>
      </c>
    </row>
    <row r="2430" spans="1:42">
      <c r="A2430" s="153">
        <f ca="1" t="shared" si="413"/>
        <v>3405014</v>
      </c>
      <c r="B2430" s="91" t="s">
        <v>484</v>
      </c>
      <c r="C2430" s="186">
        <v>3</v>
      </c>
      <c r="D2430" s="186">
        <v>2</v>
      </c>
      <c r="E2430" s="165" t="s">
        <v>1069</v>
      </c>
      <c r="F2430" s="165" t="str">
        <f>"消耗至多5个魂，每消耗1个魂造成伤害增加"&amp;skill!$O$157/100&amp;"%的真实伤害"</f>
        <v>消耗至多5个魂，每消耗1个魂造成伤害增加50%的真实伤害</v>
      </c>
      <c r="G2430" s="186">
        <f ca="1">OFFSET(卡牌辅助配置表!$C$1,MATCH(AC2430,卡牌辅助配置表!A:A,0)-1,0)</f>
        <v>3</v>
      </c>
      <c r="H2430" s="186">
        <f ca="1">OFFSET(skill!$Q$1,MATCH(B2430,skill!B:B,0)-1,0)</f>
        <v>18.75</v>
      </c>
      <c r="I2430" s="186"/>
      <c r="J2430" s="186">
        <f ca="1">OFFSET(card_type!$F$1,MATCH(Q2430,card_type!A:A,0)-1,0)</f>
        <v>4</v>
      </c>
      <c r="K2430" s="243">
        <f ca="1">OFFSET(card_type!$G$1,MATCH(Q2430,card_type!A:A,0)-1,0)</f>
        <v>4</v>
      </c>
      <c r="L2430" s="157">
        <v>3</v>
      </c>
      <c r="M2430" s="157">
        <v>3</v>
      </c>
      <c r="N2430" s="153">
        <f t="shared" si="420"/>
        <v>14</v>
      </c>
      <c r="O2430" s="157"/>
      <c r="P2430" s="157"/>
      <c r="Q2430" s="153">
        <f ca="1">OFFSET(card_type!$A$1,MATCH(card!B2430,card_type!B:B,0)-1,0)</f>
        <v>3405</v>
      </c>
      <c r="R2430" s="153">
        <v>1</v>
      </c>
      <c r="S2430" s="157">
        <f ca="1">ROUND(IF(R2430=0,0,IF(R2430=1,X2430*$S$1,IF(R2430=2,X2430*$S$1*buff的资质计算!$E$2,IF(R2430=3,X2430*$S$1*buff的资质计算!$E$3,0)))),0)*0</f>
        <v>0</v>
      </c>
      <c r="T2430" s="153">
        <v>2</v>
      </c>
      <c r="U2430" s="153">
        <f ca="1" t="shared" si="414"/>
        <v>44</v>
      </c>
      <c r="V2430" s="153">
        <f ca="1">ROUND((OFFSET(卡牌辅助配置表!$O$1,MATCH(U2430,卡牌辅助配置表!M:M,0)-1,0)+(N2430-1)*OFFSET(卡牌辅助配置表!$P$1,MATCH(U2430,卡牌辅助配置表!M:M,0)-1,0))*M2430,2)</f>
        <v>435.42</v>
      </c>
      <c r="W2430" s="157">
        <f ca="1">ROUND(IF(R2430=0,0,IF(R2430=1,X2430*$W$1,IF(R2430=2,X2430*$W$1*buff的资质计算!$E$2,IF(R2430=3,X2430*$W$1*buff的资质计算!$E$3,0)))),2)</f>
        <v>31.65</v>
      </c>
      <c r="X2430" s="157">
        <f ca="1" t="shared" si="423"/>
        <v>105.5</v>
      </c>
      <c r="Y2430" s="157">
        <f ca="1" t="shared" si="417"/>
        <v>124.25</v>
      </c>
      <c r="Z2430" s="304">
        <f ca="1" t="shared" si="424"/>
        <v>41.4166666666667</v>
      </c>
      <c r="AA2430" s="304">
        <f ca="1">OFFSET(卡牌辅助配置表!$AD$1,MATCH(AB2430,卡牌辅助配置表!AB:AB,0)-1,0)</f>
        <v>30674</v>
      </c>
      <c r="AB2430" s="304">
        <f ca="1" t="shared" si="415"/>
        <v>4414</v>
      </c>
      <c r="AC2430" s="153">
        <v>10</v>
      </c>
      <c r="AD2430" s="153">
        <v>3</v>
      </c>
      <c r="AE2430" s="153">
        <v>1</v>
      </c>
      <c r="AF2430" s="153" t="str">
        <f ca="1" t="shared" si="422"/>
        <v>34050011|34050012|</v>
      </c>
      <c r="AH2430" s="153">
        <v>1</v>
      </c>
      <c r="AJ2430" s="205">
        <f ca="1" t="shared" si="416"/>
        <v>0</v>
      </c>
      <c r="AK2430" s="205">
        <f ca="1">OFFSET([1]item_type!$A$1,MATCH(Q2430,[1]item_type!$G:$G,0)-1,0)</f>
        <v>303405</v>
      </c>
      <c r="AL2430" s="205"/>
      <c r="AM2430" s="205">
        <f ca="1">IF(B2430=B2431,OFFSET(卡牌辅助配置表!$AE$1,MATCH(AB2430,卡牌辅助配置表!AB:AB,0),0),0)</f>
        <v>12900</v>
      </c>
      <c r="AN2430" s="153">
        <f ca="1" t="shared" si="421"/>
        <v>0</v>
      </c>
      <c r="AP2430" s="153" t="str">
        <f ca="1">IF(AC2430=0,0,IF(AC2430=12,0,OFFSET(effect!$N$1,MATCH(K2430,effect!M:M,0)-1,0)))</f>
        <v>kpsx_huangse</v>
      </c>
    </row>
    <row r="2431" spans="1:42">
      <c r="A2431" s="153">
        <f ca="1" t="shared" si="413"/>
        <v>3405015</v>
      </c>
      <c r="B2431" s="91" t="s">
        <v>484</v>
      </c>
      <c r="C2431" s="186">
        <v>3</v>
      </c>
      <c r="D2431" s="186">
        <v>2</v>
      </c>
      <c r="E2431" s="165" t="s">
        <v>1069</v>
      </c>
      <c r="F2431" s="165" t="str">
        <f>"消耗至多5个魂，每消耗1个魂造成伤害增加"&amp;skill!$O$157/100&amp;"%的真实伤害"</f>
        <v>消耗至多5个魂，每消耗1个魂造成伤害增加50%的真实伤害</v>
      </c>
      <c r="G2431" s="186">
        <f ca="1">OFFSET(卡牌辅助配置表!$C$1,MATCH(AC2431,卡牌辅助配置表!A:A,0)-1,0)</f>
        <v>3</v>
      </c>
      <c r="H2431" s="186">
        <f ca="1">OFFSET(skill!$Q$1,MATCH(B2431,skill!B:B,0)-1,0)</f>
        <v>18.75</v>
      </c>
      <c r="I2431" s="186"/>
      <c r="J2431" s="186">
        <f ca="1">OFFSET(card_type!$F$1,MATCH(Q2431,card_type!A:A,0)-1,0)</f>
        <v>4</v>
      </c>
      <c r="K2431" s="243">
        <f ca="1">OFFSET(card_type!$G$1,MATCH(Q2431,card_type!A:A,0)-1,0)</f>
        <v>4</v>
      </c>
      <c r="L2431" s="157">
        <v>3</v>
      </c>
      <c r="M2431" s="157">
        <v>3</v>
      </c>
      <c r="N2431" s="153">
        <f t="shared" si="420"/>
        <v>15</v>
      </c>
      <c r="O2431" s="157"/>
      <c r="P2431" s="157"/>
      <c r="Q2431" s="153">
        <f ca="1">OFFSET(card_type!$A$1,MATCH(card!B2431,card_type!B:B,0)-1,0)</f>
        <v>3405</v>
      </c>
      <c r="R2431" s="153">
        <v>1</v>
      </c>
      <c r="S2431" s="157">
        <f ca="1">ROUND(IF(R2431=0,0,IF(R2431=1,X2431*$S$1,IF(R2431=2,X2431*$S$1*buff的资质计算!$E$2,IF(R2431=3,X2431*$S$1*buff的资质计算!$E$3,0)))),0)*0</f>
        <v>0</v>
      </c>
      <c r="T2431" s="153">
        <v>2</v>
      </c>
      <c r="U2431" s="153">
        <f ca="1" t="shared" si="414"/>
        <v>44</v>
      </c>
      <c r="V2431" s="153">
        <f ca="1">ROUND((OFFSET(卡牌辅助配置表!$O$1,MATCH(U2431,卡牌辅助配置表!M:M,0)-1,0)+(N2431-1)*OFFSET(卡牌辅助配置表!$P$1,MATCH(U2431,卡牌辅助配置表!M:M,0)-1,0))*M2431,2)</f>
        <v>456.66</v>
      </c>
      <c r="W2431" s="157">
        <f ca="1">ROUND(IF(R2431=0,0,IF(R2431=1,X2431*$W$1,IF(R2431=2,X2431*$W$1*buff的资质计算!$E$2,IF(R2431=3,X2431*$W$1*buff的资质计算!$E$3,0)))),2)</f>
        <v>31.8</v>
      </c>
      <c r="X2431" s="157">
        <f ca="1" t="shared" si="423"/>
        <v>106</v>
      </c>
      <c r="Y2431" s="157">
        <f ca="1" t="shared" si="417"/>
        <v>124.75</v>
      </c>
      <c r="Z2431" s="304">
        <f ca="1" t="shared" si="424"/>
        <v>41.5833333333333</v>
      </c>
      <c r="AA2431" s="304">
        <f ca="1">OFFSET(卡牌辅助配置表!$AD$1,MATCH(AB2431,卡牌辅助配置表!AB:AB,0)-1,0)</f>
        <v>33550</v>
      </c>
      <c r="AB2431" s="304">
        <f ca="1" t="shared" si="415"/>
        <v>4415</v>
      </c>
      <c r="AC2431" s="153">
        <v>10</v>
      </c>
      <c r="AD2431" s="153">
        <v>3</v>
      </c>
      <c r="AE2431" s="153">
        <v>1</v>
      </c>
      <c r="AF2431" s="153" t="str">
        <f ca="1" t="shared" si="422"/>
        <v>34050011|34050012|</v>
      </c>
      <c r="AH2431" s="153">
        <v>1</v>
      </c>
      <c r="AJ2431" s="205">
        <f ca="1" t="shared" si="416"/>
        <v>0</v>
      </c>
      <c r="AK2431" s="205">
        <f ca="1">OFFSET([1]item_type!$A$1,MATCH(Q2431,[1]item_type!$G:$G,0)-1,0)</f>
        <v>303405</v>
      </c>
      <c r="AL2431" s="205"/>
      <c r="AM2431" s="205">
        <f ca="1">IF(B2431=B2432,OFFSET(卡牌辅助配置表!$AE$1,MATCH(AB2431,卡牌辅助配置表!AB:AB,0),0),0)</f>
        <v>14100</v>
      </c>
      <c r="AN2431" s="153">
        <f ca="1" t="shared" si="421"/>
        <v>0</v>
      </c>
      <c r="AP2431" s="153" t="str">
        <f ca="1">IF(AC2431=0,0,IF(AC2431=12,0,OFFSET(effect!$N$1,MATCH(K2431,effect!M:M,0)-1,0)))</f>
        <v>kpsx_huangse</v>
      </c>
    </row>
    <row r="2432" spans="1:42">
      <c r="A2432" s="153">
        <f ca="1" t="shared" si="413"/>
        <v>3405016</v>
      </c>
      <c r="B2432" s="91" t="s">
        <v>484</v>
      </c>
      <c r="C2432" s="186">
        <v>3</v>
      </c>
      <c r="D2432" s="186">
        <v>2</v>
      </c>
      <c r="E2432" s="165" t="s">
        <v>1069</v>
      </c>
      <c r="F2432" s="165" t="str">
        <f>"消耗至多5个魂，每消耗1个魂造成伤害增加"&amp;skill!$O$157/100&amp;"%的真实伤害"</f>
        <v>消耗至多5个魂，每消耗1个魂造成伤害增加50%的真实伤害</v>
      </c>
      <c r="G2432" s="186">
        <f ca="1">OFFSET(卡牌辅助配置表!$C$1,MATCH(AC2432,卡牌辅助配置表!A:A,0)-1,0)</f>
        <v>3</v>
      </c>
      <c r="H2432" s="186">
        <f ca="1">OFFSET(skill!$Q$1,MATCH(B2432,skill!B:B,0)-1,0)</f>
        <v>18.75</v>
      </c>
      <c r="I2432" s="186"/>
      <c r="J2432" s="186">
        <f ca="1">OFFSET(card_type!$F$1,MATCH(Q2432,card_type!A:A,0)-1,0)</f>
        <v>4</v>
      </c>
      <c r="K2432" s="243">
        <f ca="1">OFFSET(card_type!$G$1,MATCH(Q2432,card_type!A:A,0)-1,0)</f>
        <v>4</v>
      </c>
      <c r="L2432" s="157">
        <v>3</v>
      </c>
      <c r="M2432" s="157">
        <v>3</v>
      </c>
      <c r="N2432" s="153">
        <f t="shared" si="420"/>
        <v>16</v>
      </c>
      <c r="O2432" s="157"/>
      <c r="P2432" s="157"/>
      <c r="Q2432" s="153">
        <f ca="1">OFFSET(card_type!$A$1,MATCH(card!B2432,card_type!B:B,0)-1,0)</f>
        <v>3405</v>
      </c>
      <c r="R2432" s="153">
        <v>1</v>
      </c>
      <c r="S2432" s="157">
        <f ca="1">ROUND(IF(R2432=0,0,IF(R2432=1,X2432*$S$1,IF(R2432=2,X2432*$S$1*buff的资质计算!$E$2,IF(R2432=3,X2432*$S$1*buff的资质计算!$E$3,0)))),0)*0</f>
        <v>0</v>
      </c>
      <c r="T2432" s="153">
        <v>2</v>
      </c>
      <c r="U2432" s="153">
        <f ca="1" t="shared" si="414"/>
        <v>44</v>
      </c>
      <c r="V2432" s="153">
        <f ca="1">ROUND((OFFSET(卡牌辅助配置表!$O$1,MATCH(U2432,卡牌辅助配置表!M:M,0)-1,0)+(N2432-1)*OFFSET(卡牌辅助配置表!$P$1,MATCH(U2432,卡牌辅助配置表!M:M,0)-1,0))*M2432,2)</f>
        <v>477.9</v>
      </c>
      <c r="W2432" s="157">
        <f ca="1">ROUND(IF(R2432=0,0,IF(R2432=1,X2432*$W$1,IF(R2432=2,X2432*$W$1*buff的资质计算!$E$2,IF(R2432=3,X2432*$W$1*buff的资质计算!$E$3,0)))),2)</f>
        <v>31.95</v>
      </c>
      <c r="X2432" s="157">
        <f ca="1" t="shared" si="423"/>
        <v>106.5</v>
      </c>
      <c r="Y2432" s="157">
        <f ca="1" t="shared" si="417"/>
        <v>125.25</v>
      </c>
      <c r="Z2432" s="304">
        <f ca="1" t="shared" si="424"/>
        <v>41.75</v>
      </c>
      <c r="AA2432" s="304">
        <f ca="1">OFFSET(卡牌辅助配置表!$AD$1,MATCH(AB2432,卡牌辅助配置表!AB:AB,0)-1,0)</f>
        <v>36426</v>
      </c>
      <c r="AB2432" s="304">
        <f ca="1" t="shared" si="415"/>
        <v>4416</v>
      </c>
      <c r="AC2432" s="153">
        <v>10</v>
      </c>
      <c r="AD2432" s="153">
        <v>3</v>
      </c>
      <c r="AE2432" s="153">
        <v>1</v>
      </c>
      <c r="AF2432" s="153" t="str">
        <f ca="1" t="shared" si="422"/>
        <v>34050011|34050012|</v>
      </c>
      <c r="AH2432" s="153">
        <v>1</v>
      </c>
      <c r="AJ2432" s="205">
        <f ca="1" t="shared" si="416"/>
        <v>0</v>
      </c>
      <c r="AK2432" s="205">
        <f ca="1">OFFSET([1]item_type!$A$1,MATCH(Q2432,[1]item_type!$G:$G,0)-1,0)</f>
        <v>303405</v>
      </c>
      <c r="AL2432" s="205"/>
      <c r="AM2432" s="205">
        <f ca="1">IF(B2432=B2433,OFFSET(卡牌辅助配置表!$AE$1,MATCH(AB2432,卡牌辅助配置表!AB:AB,0),0),0)</f>
        <v>15300</v>
      </c>
      <c r="AN2432" s="153">
        <f ca="1" t="shared" si="421"/>
        <v>0</v>
      </c>
      <c r="AP2432" s="153" t="str">
        <f ca="1">IF(AC2432=0,0,IF(AC2432=12,0,OFFSET(effect!$N$1,MATCH(K2432,effect!M:M,0)-1,0)))</f>
        <v>kpsx_huangse</v>
      </c>
    </row>
    <row r="2433" spans="1:42">
      <c r="A2433" s="153">
        <f ca="1" t="shared" si="413"/>
        <v>3405017</v>
      </c>
      <c r="B2433" s="91" t="s">
        <v>484</v>
      </c>
      <c r="C2433" s="186">
        <v>3</v>
      </c>
      <c r="D2433" s="186">
        <v>2</v>
      </c>
      <c r="E2433" s="165" t="s">
        <v>1069</v>
      </c>
      <c r="F2433" s="165" t="str">
        <f>"消耗至多5个魂，每消耗1个魂造成伤害增加"&amp;skill!$O$157/100&amp;"%的真实伤害"</f>
        <v>消耗至多5个魂，每消耗1个魂造成伤害增加50%的真实伤害</v>
      </c>
      <c r="G2433" s="186">
        <f ca="1">OFFSET(卡牌辅助配置表!$C$1,MATCH(AC2433,卡牌辅助配置表!A:A,0)-1,0)</f>
        <v>3</v>
      </c>
      <c r="H2433" s="186">
        <f ca="1">OFFSET(skill!$Q$1,MATCH(B2433,skill!B:B,0)-1,0)</f>
        <v>18.75</v>
      </c>
      <c r="I2433" s="186"/>
      <c r="J2433" s="186">
        <f ca="1">OFFSET(card_type!$F$1,MATCH(Q2433,card_type!A:A,0)-1,0)</f>
        <v>4</v>
      </c>
      <c r="K2433" s="243">
        <f ca="1">OFFSET(card_type!$G$1,MATCH(Q2433,card_type!A:A,0)-1,0)</f>
        <v>4</v>
      </c>
      <c r="L2433" s="157">
        <v>3</v>
      </c>
      <c r="M2433" s="157">
        <v>3</v>
      </c>
      <c r="N2433" s="153">
        <f t="shared" si="420"/>
        <v>17</v>
      </c>
      <c r="O2433" s="157"/>
      <c r="P2433" s="157"/>
      <c r="Q2433" s="153">
        <f ca="1">OFFSET(card_type!$A$1,MATCH(card!B2433,card_type!B:B,0)-1,0)</f>
        <v>3405</v>
      </c>
      <c r="R2433" s="153">
        <v>1</v>
      </c>
      <c r="S2433" s="157">
        <f ca="1">ROUND(IF(R2433=0,0,IF(R2433=1,X2433*$S$1,IF(R2433=2,X2433*$S$1*buff的资质计算!$E$2,IF(R2433=3,X2433*$S$1*buff的资质计算!$E$3,0)))),0)*0</f>
        <v>0</v>
      </c>
      <c r="T2433" s="153">
        <v>2</v>
      </c>
      <c r="U2433" s="153">
        <f ca="1" t="shared" si="414"/>
        <v>44</v>
      </c>
      <c r="V2433" s="153">
        <f ca="1">ROUND((OFFSET(卡牌辅助配置表!$O$1,MATCH(U2433,卡牌辅助配置表!M:M,0)-1,0)+(N2433-1)*OFFSET(卡牌辅助配置表!$P$1,MATCH(U2433,卡牌辅助配置表!M:M,0)-1,0))*M2433,2)</f>
        <v>499.14</v>
      </c>
      <c r="W2433" s="157">
        <f ca="1">ROUND(IF(R2433=0,0,IF(R2433=1,X2433*$W$1,IF(R2433=2,X2433*$W$1*buff的资质计算!$E$2,IF(R2433=3,X2433*$W$1*buff的资质计算!$E$3,0)))),2)</f>
        <v>32.1</v>
      </c>
      <c r="X2433" s="157">
        <f ca="1" t="shared" si="423"/>
        <v>107</v>
      </c>
      <c r="Y2433" s="157">
        <f ca="1" t="shared" si="417"/>
        <v>125.75</v>
      </c>
      <c r="Z2433" s="304">
        <f ca="1" t="shared" si="424"/>
        <v>41.9166666666667</v>
      </c>
      <c r="AA2433" s="304">
        <f ca="1">OFFSET(卡牌辅助配置表!$AD$1,MATCH(AB2433,卡牌辅助配置表!AB:AB,0)-1,0)</f>
        <v>39302</v>
      </c>
      <c r="AB2433" s="304">
        <f ca="1" t="shared" si="415"/>
        <v>4417</v>
      </c>
      <c r="AC2433" s="153">
        <v>10</v>
      </c>
      <c r="AD2433" s="153">
        <v>3</v>
      </c>
      <c r="AE2433" s="153">
        <v>1</v>
      </c>
      <c r="AF2433" s="153" t="str">
        <f ca="1" t="shared" si="422"/>
        <v>34050011|34050012|</v>
      </c>
      <c r="AH2433" s="153">
        <v>1</v>
      </c>
      <c r="AJ2433" s="205">
        <f ca="1" t="shared" si="416"/>
        <v>0</v>
      </c>
      <c r="AK2433" s="205">
        <f ca="1">OFFSET([1]item_type!$A$1,MATCH(Q2433,[1]item_type!$G:$G,0)-1,0)</f>
        <v>303405</v>
      </c>
      <c r="AL2433" s="205"/>
      <c r="AM2433" s="205">
        <f ca="1">IF(B2433=B2434,OFFSET(卡牌辅助配置表!$AE$1,MATCH(AB2433,卡牌辅助配置表!AB:AB,0),0),0)</f>
        <v>16500</v>
      </c>
      <c r="AN2433" s="153">
        <f ca="1" t="shared" si="421"/>
        <v>0</v>
      </c>
      <c r="AP2433" s="153" t="str">
        <f ca="1">IF(AC2433=0,0,IF(AC2433=12,0,OFFSET(effect!$N$1,MATCH(K2433,effect!M:M,0)-1,0)))</f>
        <v>kpsx_huangse</v>
      </c>
    </row>
    <row r="2434" spans="1:42">
      <c r="A2434" s="153">
        <f ca="1" t="shared" si="413"/>
        <v>3405018</v>
      </c>
      <c r="B2434" s="91" t="s">
        <v>484</v>
      </c>
      <c r="C2434" s="186">
        <v>3</v>
      </c>
      <c r="D2434" s="186">
        <v>2</v>
      </c>
      <c r="E2434" s="165" t="s">
        <v>1069</v>
      </c>
      <c r="F2434" s="165" t="str">
        <f>"消耗至多5个魂，每消耗1个魂造成伤害增加"&amp;skill!$O$157/100&amp;"%的真实伤害"</f>
        <v>消耗至多5个魂，每消耗1个魂造成伤害增加50%的真实伤害</v>
      </c>
      <c r="G2434" s="186">
        <f ca="1">OFFSET(卡牌辅助配置表!$C$1,MATCH(AC2434,卡牌辅助配置表!A:A,0)-1,0)</f>
        <v>3</v>
      </c>
      <c r="H2434" s="186">
        <f ca="1">OFFSET(skill!$Q$1,MATCH(B2434,skill!B:B,0)-1,0)</f>
        <v>18.75</v>
      </c>
      <c r="I2434" s="186"/>
      <c r="J2434" s="186">
        <f ca="1">OFFSET(card_type!$F$1,MATCH(Q2434,card_type!A:A,0)-1,0)</f>
        <v>4</v>
      </c>
      <c r="K2434" s="243">
        <f ca="1">OFFSET(card_type!$G$1,MATCH(Q2434,card_type!A:A,0)-1,0)</f>
        <v>4</v>
      </c>
      <c r="L2434" s="157">
        <v>3</v>
      </c>
      <c r="M2434" s="157">
        <v>3</v>
      </c>
      <c r="N2434" s="153">
        <f t="shared" si="420"/>
        <v>18</v>
      </c>
      <c r="O2434" s="157"/>
      <c r="P2434" s="157"/>
      <c r="Q2434" s="153">
        <f ca="1">OFFSET(card_type!$A$1,MATCH(card!B2434,card_type!B:B,0)-1,0)</f>
        <v>3405</v>
      </c>
      <c r="R2434" s="153">
        <v>1</v>
      </c>
      <c r="S2434" s="157">
        <f ca="1">ROUND(IF(R2434=0,0,IF(R2434=1,X2434*$S$1,IF(R2434=2,X2434*$S$1*buff的资质计算!$E$2,IF(R2434=3,X2434*$S$1*buff的资质计算!$E$3,0)))),0)*0</f>
        <v>0</v>
      </c>
      <c r="T2434" s="153">
        <v>2</v>
      </c>
      <c r="U2434" s="153">
        <f ca="1" t="shared" si="414"/>
        <v>44</v>
      </c>
      <c r="V2434" s="153">
        <f ca="1">ROUND((OFFSET(卡牌辅助配置表!$O$1,MATCH(U2434,卡牌辅助配置表!M:M,0)-1,0)+(N2434-1)*OFFSET(卡牌辅助配置表!$P$1,MATCH(U2434,卡牌辅助配置表!M:M,0)-1,0))*M2434,2)</f>
        <v>520.38</v>
      </c>
      <c r="W2434" s="157">
        <f ca="1">ROUND(IF(R2434=0,0,IF(R2434=1,X2434*$W$1,IF(R2434=2,X2434*$W$1*buff的资质计算!$E$2,IF(R2434=3,X2434*$W$1*buff的资质计算!$E$3,0)))),2)</f>
        <v>32.25</v>
      </c>
      <c r="X2434" s="157">
        <f ca="1" t="shared" si="423"/>
        <v>107.5</v>
      </c>
      <c r="Y2434" s="157">
        <f ca="1" t="shared" si="417"/>
        <v>126.25</v>
      </c>
      <c r="Z2434" s="304">
        <f ca="1" t="shared" si="424"/>
        <v>42.0833333333333</v>
      </c>
      <c r="AA2434" s="304">
        <f ca="1">OFFSET(卡牌辅助配置表!$AD$1,MATCH(AB2434,卡牌辅助配置表!AB:AB,0)-1,0)</f>
        <v>42178</v>
      </c>
      <c r="AB2434" s="304">
        <f ca="1" t="shared" si="415"/>
        <v>4418</v>
      </c>
      <c r="AC2434" s="153">
        <v>10</v>
      </c>
      <c r="AD2434" s="153">
        <v>3</v>
      </c>
      <c r="AE2434" s="153">
        <v>1</v>
      </c>
      <c r="AF2434" s="153" t="str">
        <f ca="1" t="shared" si="422"/>
        <v>34050011|34050012|</v>
      </c>
      <c r="AH2434" s="153">
        <v>1</v>
      </c>
      <c r="AJ2434" s="205">
        <f ca="1" t="shared" si="416"/>
        <v>0</v>
      </c>
      <c r="AK2434" s="205">
        <f ca="1">OFFSET([1]item_type!$A$1,MATCH(Q2434,[1]item_type!$G:$G,0)-1,0)</f>
        <v>303405</v>
      </c>
      <c r="AL2434" s="205"/>
      <c r="AM2434" s="205">
        <f ca="1">IF(B2434=B2435,OFFSET(卡牌辅助配置表!$AE$1,MATCH(AB2434,卡牌辅助配置表!AB:AB,0),0),0)</f>
        <v>17700</v>
      </c>
      <c r="AN2434" s="153">
        <f ca="1" t="shared" si="421"/>
        <v>0</v>
      </c>
      <c r="AP2434" s="153" t="str">
        <f ca="1">IF(AC2434=0,0,IF(AC2434=12,0,OFFSET(effect!$N$1,MATCH(K2434,effect!M:M,0)-1,0)))</f>
        <v>kpsx_huangse</v>
      </c>
    </row>
    <row r="2435" spans="1:42">
      <c r="A2435" s="153">
        <f ca="1" t="shared" si="413"/>
        <v>3405019</v>
      </c>
      <c r="B2435" s="91" t="s">
        <v>484</v>
      </c>
      <c r="C2435" s="186">
        <v>3</v>
      </c>
      <c r="D2435" s="186">
        <v>2</v>
      </c>
      <c r="E2435" s="165" t="s">
        <v>1069</v>
      </c>
      <c r="F2435" s="165" t="str">
        <f>"消耗至多5个魂，每消耗1个魂造成伤害增加"&amp;skill!$O$157/100&amp;"%的真实伤害"</f>
        <v>消耗至多5个魂，每消耗1个魂造成伤害增加50%的真实伤害</v>
      </c>
      <c r="G2435" s="186">
        <f ca="1">OFFSET(卡牌辅助配置表!$C$1,MATCH(AC2435,卡牌辅助配置表!A:A,0)-1,0)</f>
        <v>3</v>
      </c>
      <c r="H2435" s="186">
        <f ca="1">OFFSET(skill!$Q$1,MATCH(B2435,skill!B:B,0)-1,0)</f>
        <v>18.75</v>
      </c>
      <c r="I2435" s="186"/>
      <c r="J2435" s="186">
        <f ca="1">OFFSET(card_type!$F$1,MATCH(Q2435,card_type!A:A,0)-1,0)</f>
        <v>4</v>
      </c>
      <c r="K2435" s="243">
        <f ca="1">OFFSET(card_type!$G$1,MATCH(Q2435,card_type!A:A,0)-1,0)</f>
        <v>4</v>
      </c>
      <c r="L2435" s="157">
        <v>3</v>
      </c>
      <c r="M2435" s="157">
        <v>3</v>
      </c>
      <c r="N2435" s="153">
        <f t="shared" si="420"/>
        <v>19</v>
      </c>
      <c r="O2435" s="157"/>
      <c r="P2435" s="157"/>
      <c r="Q2435" s="153">
        <f ca="1">OFFSET(card_type!$A$1,MATCH(card!B2435,card_type!B:B,0)-1,0)</f>
        <v>3405</v>
      </c>
      <c r="R2435" s="153">
        <v>1</v>
      </c>
      <c r="S2435" s="157">
        <f ca="1">ROUND(IF(R2435=0,0,IF(R2435=1,X2435*$S$1,IF(R2435=2,X2435*$S$1*buff的资质计算!$E$2,IF(R2435=3,X2435*$S$1*buff的资质计算!$E$3,0)))),0)*0</f>
        <v>0</v>
      </c>
      <c r="T2435" s="153">
        <v>2</v>
      </c>
      <c r="U2435" s="153">
        <f ca="1" t="shared" si="414"/>
        <v>44</v>
      </c>
      <c r="V2435" s="153">
        <f ca="1">ROUND((OFFSET(卡牌辅助配置表!$O$1,MATCH(U2435,卡牌辅助配置表!M:M,0)-1,0)+(N2435-1)*OFFSET(卡牌辅助配置表!$P$1,MATCH(U2435,卡牌辅助配置表!M:M,0)-1,0))*M2435,2)</f>
        <v>541.62</v>
      </c>
      <c r="W2435" s="157">
        <f ca="1">ROUND(IF(R2435=0,0,IF(R2435=1,X2435*$W$1,IF(R2435=2,X2435*$W$1*buff的资质计算!$E$2,IF(R2435=3,X2435*$W$1*buff的资质计算!$E$3,0)))),2)</f>
        <v>32.4</v>
      </c>
      <c r="X2435" s="157">
        <f ca="1" t="shared" si="423"/>
        <v>108</v>
      </c>
      <c r="Y2435" s="157">
        <f ca="1" t="shared" si="417"/>
        <v>126.75</v>
      </c>
      <c r="Z2435" s="304">
        <f ca="1" t="shared" si="424"/>
        <v>42.25</v>
      </c>
      <c r="AA2435" s="304">
        <f ca="1">OFFSET(卡牌辅助配置表!$AD$1,MATCH(AB2435,卡牌辅助配置表!AB:AB,0)-1,0)</f>
        <v>45054</v>
      </c>
      <c r="AB2435" s="304">
        <f ca="1" t="shared" si="415"/>
        <v>4419</v>
      </c>
      <c r="AC2435" s="153">
        <v>10</v>
      </c>
      <c r="AD2435" s="153">
        <v>3</v>
      </c>
      <c r="AE2435" s="153">
        <v>1</v>
      </c>
      <c r="AF2435" s="153" t="str">
        <f ca="1" t="shared" si="422"/>
        <v>34050011|34050012|</v>
      </c>
      <c r="AH2435" s="153">
        <v>1</v>
      </c>
      <c r="AJ2435" s="205">
        <f ca="1" t="shared" si="416"/>
        <v>0</v>
      </c>
      <c r="AK2435" s="205">
        <f ca="1">OFFSET([1]item_type!$A$1,MATCH(Q2435,[1]item_type!$G:$G,0)-1,0)</f>
        <v>303405</v>
      </c>
      <c r="AL2435" s="205">
        <v>20</v>
      </c>
      <c r="AM2435" s="205">
        <f ca="1">IF(B2435=B2436,OFFSET(卡牌辅助配置表!$AE$1,MATCH(AB2435,卡牌辅助配置表!AB:AB,0),0),0)</f>
        <v>18900</v>
      </c>
      <c r="AN2435" s="153">
        <f ca="1" t="shared" si="421"/>
        <v>0</v>
      </c>
      <c r="AP2435" s="153" t="str">
        <f ca="1">IF(AC2435=0,0,IF(AC2435=12,0,OFFSET(effect!$N$1,MATCH(K2435,effect!M:M,0)-1,0)))</f>
        <v>kpsx_huangse</v>
      </c>
    </row>
    <row r="2436" spans="1:42">
      <c r="A2436" s="153">
        <f ca="1" t="shared" si="413"/>
        <v>3405020</v>
      </c>
      <c r="B2436" s="91" t="s">
        <v>484</v>
      </c>
      <c r="C2436" s="186">
        <v>3</v>
      </c>
      <c r="D2436" s="186">
        <v>2</v>
      </c>
      <c r="E2436" s="165" t="s">
        <v>1069</v>
      </c>
      <c r="F2436" s="165" t="str">
        <f>"消耗至多5个魂，每消耗1个魂造成伤害增加"&amp;skill!$O$157/100&amp;"%的真实伤害"</f>
        <v>消耗至多5个魂，每消耗1个魂造成伤害增加50%的真实伤害</v>
      </c>
      <c r="G2436" s="186">
        <f ca="1">OFFSET(卡牌辅助配置表!$C$1,MATCH(AC2436,卡牌辅助配置表!A:A,0)-1,0)</f>
        <v>3</v>
      </c>
      <c r="H2436" s="186">
        <f ca="1">OFFSET(skill!$Q$1,MATCH(B2436,skill!B:B,0)-1,0)</f>
        <v>18.75</v>
      </c>
      <c r="I2436" s="186"/>
      <c r="J2436" s="186">
        <f ca="1">OFFSET(card_type!$F$1,MATCH(Q2436,card_type!A:A,0)-1,0)</f>
        <v>4</v>
      </c>
      <c r="K2436" s="243">
        <f ca="1">OFFSET(card_type!$G$1,MATCH(Q2436,card_type!A:A,0)-1,0)</f>
        <v>4</v>
      </c>
      <c r="L2436" s="157">
        <v>3</v>
      </c>
      <c r="M2436" s="157">
        <v>3</v>
      </c>
      <c r="N2436" s="153">
        <f t="shared" si="420"/>
        <v>20</v>
      </c>
      <c r="O2436" s="157"/>
      <c r="P2436" s="157"/>
      <c r="Q2436" s="153">
        <f ca="1">OFFSET(card_type!$A$1,MATCH(card!B2436,card_type!B:B,0)-1,0)</f>
        <v>3405</v>
      </c>
      <c r="R2436" s="153">
        <v>1</v>
      </c>
      <c r="S2436" s="157">
        <f ca="1">ROUND(IF(R2436=0,0,IF(R2436=1,X2436*$S$1,IF(R2436=2,X2436*$S$1*buff的资质计算!$E$2,IF(R2436=3,X2436*$S$1*buff的资质计算!$E$3,0)))),0)*0</f>
        <v>0</v>
      </c>
      <c r="T2436" s="153">
        <v>2</v>
      </c>
      <c r="U2436" s="153">
        <f ca="1" t="shared" si="414"/>
        <v>44</v>
      </c>
      <c r="V2436" s="153">
        <f ca="1">ROUND((OFFSET(卡牌辅助配置表!$O$1,MATCH(U2436,卡牌辅助配置表!M:M,0)-1,0)+(N2436-1)*OFFSET(卡牌辅助配置表!$P$1,MATCH(U2436,卡牌辅助配置表!M:M,0)-1,0))*M2436,2)</f>
        <v>562.86</v>
      </c>
      <c r="W2436" s="157">
        <f ca="1">ROUND(IF(R2436=0,0,IF(R2436=1,X2436*$W$1,IF(R2436=2,X2436*$W$1*buff的资质计算!$E$2,IF(R2436=3,X2436*$W$1*buff的资质计算!$E$3,0)))),2)</f>
        <v>32.55</v>
      </c>
      <c r="X2436" s="157">
        <f ca="1" t="shared" si="423"/>
        <v>108.5</v>
      </c>
      <c r="Y2436" s="157">
        <f ca="1" t="shared" si="417"/>
        <v>127.25</v>
      </c>
      <c r="Z2436" s="304">
        <f ca="1" t="shared" si="424"/>
        <v>42.4166666666667</v>
      </c>
      <c r="AA2436" s="304">
        <f ca="1">OFFSET(卡牌辅助配置表!$AD$1,MATCH(AB2436,卡牌辅助配置表!AB:AB,0)-1,0)</f>
        <v>47930</v>
      </c>
      <c r="AB2436" s="304">
        <f ca="1" t="shared" si="415"/>
        <v>4420</v>
      </c>
      <c r="AC2436" s="153">
        <v>10</v>
      </c>
      <c r="AD2436" s="153">
        <v>3</v>
      </c>
      <c r="AE2436" s="153">
        <v>1</v>
      </c>
      <c r="AF2436" s="153" t="str">
        <f ca="1" t="shared" si="422"/>
        <v>34050011|34050012|</v>
      </c>
      <c r="AH2436" s="153">
        <v>1</v>
      </c>
      <c r="AJ2436" s="205">
        <f ca="1" t="shared" si="416"/>
        <v>0</v>
      </c>
      <c r="AK2436" s="205">
        <f ca="1">OFFSET([1]item_type!$A$1,MATCH(Q2436,[1]item_type!$G:$G,0)-1,0)</f>
        <v>303405</v>
      </c>
      <c r="AL2436" s="205"/>
      <c r="AM2436" s="205">
        <f ca="1">IF(B2436=B2437,OFFSET(卡牌辅助配置表!$AE$1,MATCH(AB2436,卡牌辅助配置表!AB:AB,0),0),0)</f>
        <v>21300</v>
      </c>
      <c r="AN2436" s="153">
        <f ca="1" t="shared" si="421"/>
        <v>0</v>
      </c>
      <c r="AP2436" s="153" t="str">
        <f ca="1">IF(AC2436=0,0,IF(AC2436=12,0,OFFSET(effect!$N$1,MATCH(K2436,effect!M:M,0)-1,0)))</f>
        <v>kpsx_huangse</v>
      </c>
    </row>
    <row r="2437" spans="1:42">
      <c r="A2437" s="153">
        <f ca="1" t="shared" si="413"/>
        <v>3405021</v>
      </c>
      <c r="B2437" s="91" t="s">
        <v>484</v>
      </c>
      <c r="C2437" s="186">
        <v>3</v>
      </c>
      <c r="D2437" s="186">
        <v>2</v>
      </c>
      <c r="E2437" s="165" t="s">
        <v>1069</v>
      </c>
      <c r="F2437" s="165" t="str">
        <f>"消耗至多5个魂，每消耗1个魂造成伤害增加"&amp;skill!$O$157/100&amp;"%的真实伤害"</f>
        <v>消耗至多5个魂，每消耗1个魂造成伤害增加50%的真实伤害</v>
      </c>
      <c r="G2437" s="186">
        <f ca="1">OFFSET(卡牌辅助配置表!$C$1,MATCH(AC2437,卡牌辅助配置表!A:A,0)-1,0)</f>
        <v>3</v>
      </c>
      <c r="H2437" s="186">
        <f ca="1">OFFSET(skill!$Q$1,MATCH(B2437,skill!B:B,0)-1,0)</f>
        <v>18.75</v>
      </c>
      <c r="I2437" s="186"/>
      <c r="J2437" s="186">
        <f ca="1">OFFSET(card_type!$F$1,MATCH(Q2437,card_type!A:A,0)-1,0)</f>
        <v>4</v>
      </c>
      <c r="K2437" s="243">
        <f ca="1">OFFSET(card_type!$G$1,MATCH(Q2437,card_type!A:A,0)-1,0)</f>
        <v>4</v>
      </c>
      <c r="L2437" s="157">
        <v>3</v>
      </c>
      <c r="M2437" s="157">
        <v>3</v>
      </c>
      <c r="N2437" s="153">
        <f t="shared" si="420"/>
        <v>21</v>
      </c>
      <c r="O2437" s="157"/>
      <c r="P2437" s="157"/>
      <c r="Q2437" s="153">
        <f ca="1">OFFSET(card_type!$A$1,MATCH(card!B2437,card_type!B:B,0)-1,0)</f>
        <v>3405</v>
      </c>
      <c r="R2437" s="153">
        <v>1</v>
      </c>
      <c r="S2437" s="157">
        <f ca="1">ROUND(IF(R2437=0,0,IF(R2437=1,X2437*$S$1,IF(R2437=2,X2437*$S$1*buff的资质计算!$E$2,IF(R2437=3,X2437*$S$1*buff的资质计算!$E$3,0)))),0)*0</f>
        <v>0</v>
      </c>
      <c r="T2437" s="153">
        <v>2</v>
      </c>
      <c r="U2437" s="153">
        <f ca="1" t="shared" si="414"/>
        <v>44</v>
      </c>
      <c r="V2437" s="153">
        <f ca="1">ROUND((OFFSET(卡牌辅助配置表!$O$1,MATCH(U2437,卡牌辅助配置表!M:M,0)-1,0)+(N2437-1)*OFFSET(卡牌辅助配置表!$P$1,MATCH(U2437,卡牌辅助配置表!M:M,0)-1,0))*M2437,2)</f>
        <v>584.1</v>
      </c>
      <c r="W2437" s="157">
        <f ca="1">ROUND(IF(R2437=0,0,IF(R2437=1,X2437*$W$1,IF(R2437=2,X2437*$W$1*buff的资质计算!$E$2,IF(R2437=3,X2437*$W$1*buff的资质计算!$E$3,0)))),2)</f>
        <v>32.7</v>
      </c>
      <c r="X2437" s="157">
        <f ca="1" t="shared" si="423"/>
        <v>109</v>
      </c>
      <c r="Y2437" s="157">
        <f ca="1" t="shared" si="417"/>
        <v>127.75</v>
      </c>
      <c r="Z2437" s="304">
        <f ca="1" t="shared" si="424"/>
        <v>42.5833333333333</v>
      </c>
      <c r="AA2437" s="304">
        <f ca="1">OFFSET(卡牌辅助配置表!$AD$1,MATCH(AB2437,卡牌辅助配置表!AB:AB,0)-1,0)</f>
        <v>51764</v>
      </c>
      <c r="AB2437" s="304">
        <f ca="1" t="shared" si="415"/>
        <v>4421</v>
      </c>
      <c r="AC2437" s="153">
        <v>10</v>
      </c>
      <c r="AD2437" s="153">
        <v>3</v>
      </c>
      <c r="AE2437" s="153">
        <v>1</v>
      </c>
      <c r="AF2437" s="153" t="str">
        <f ca="1" t="shared" si="422"/>
        <v>34050011|34050012|</v>
      </c>
      <c r="AH2437" s="153">
        <v>1</v>
      </c>
      <c r="AJ2437" s="205">
        <f ca="1" t="shared" si="416"/>
        <v>0</v>
      </c>
      <c r="AK2437" s="205">
        <f ca="1">OFFSET([1]item_type!$A$1,MATCH(Q2437,[1]item_type!$G:$G,0)-1,0)</f>
        <v>303405</v>
      </c>
      <c r="AL2437" s="205"/>
      <c r="AM2437" s="205">
        <f ca="1">IF(B2437=B2438,OFFSET(卡牌辅助配置表!$AE$1,MATCH(AB2437,卡牌辅助配置表!AB:AB,0),0),0)</f>
        <v>23700</v>
      </c>
      <c r="AN2437" s="153">
        <f ca="1" t="shared" si="421"/>
        <v>0</v>
      </c>
      <c r="AP2437" s="153" t="str">
        <f ca="1">IF(AC2437=0,0,IF(AC2437=12,0,OFFSET(effect!$N$1,MATCH(K2437,effect!M:M,0)-1,0)))</f>
        <v>kpsx_huangse</v>
      </c>
    </row>
    <row r="2438" spans="1:42">
      <c r="A2438" s="153">
        <f ca="1" t="shared" ref="A2438:A2458" si="425">Q2438*1000+N2438</f>
        <v>3405022</v>
      </c>
      <c r="B2438" s="91" t="s">
        <v>484</v>
      </c>
      <c r="C2438" s="186">
        <v>3</v>
      </c>
      <c r="D2438" s="186">
        <v>2</v>
      </c>
      <c r="E2438" s="165" t="s">
        <v>1069</v>
      </c>
      <c r="F2438" s="165" t="str">
        <f>"消耗至多5个魂，每消耗1个魂造成伤害增加"&amp;skill!$O$157/100&amp;"%的真实伤害"</f>
        <v>消耗至多5个魂，每消耗1个魂造成伤害增加50%的真实伤害</v>
      </c>
      <c r="G2438" s="186">
        <f ca="1">OFFSET(卡牌辅助配置表!$C$1,MATCH(AC2438,卡牌辅助配置表!A:A,0)-1,0)</f>
        <v>3</v>
      </c>
      <c r="H2438" s="186">
        <f ca="1">OFFSET(skill!$Q$1,MATCH(B2438,skill!B:B,0)-1,0)</f>
        <v>18.75</v>
      </c>
      <c r="I2438" s="186"/>
      <c r="J2438" s="186">
        <f ca="1">OFFSET(card_type!$F$1,MATCH(Q2438,card_type!A:A,0)-1,0)</f>
        <v>4</v>
      </c>
      <c r="K2438" s="243">
        <f ca="1">OFFSET(card_type!$G$1,MATCH(Q2438,card_type!A:A,0)-1,0)</f>
        <v>4</v>
      </c>
      <c r="L2438" s="157">
        <v>3</v>
      </c>
      <c r="M2438" s="157">
        <v>3</v>
      </c>
      <c r="N2438" s="153">
        <f t="shared" si="420"/>
        <v>22</v>
      </c>
      <c r="O2438" s="157"/>
      <c r="P2438" s="157"/>
      <c r="Q2438" s="153">
        <f ca="1">OFFSET(card_type!$A$1,MATCH(card!B2438,card_type!B:B,0)-1,0)</f>
        <v>3405</v>
      </c>
      <c r="R2438" s="153">
        <v>1</v>
      </c>
      <c r="S2438" s="157">
        <f ca="1">ROUND(IF(R2438=0,0,IF(R2438=1,X2438*$S$1,IF(R2438=2,X2438*$S$1*buff的资质计算!$E$2,IF(R2438=3,X2438*$S$1*buff的资质计算!$E$3,0)))),0)*0</f>
        <v>0</v>
      </c>
      <c r="T2438" s="153">
        <v>2</v>
      </c>
      <c r="U2438" s="153">
        <f ca="1" t="shared" ref="U2438:U2458" si="426">J2438*10+K2438</f>
        <v>44</v>
      </c>
      <c r="V2438" s="153">
        <f ca="1">ROUND((OFFSET(卡牌辅助配置表!$O$1,MATCH(U2438,卡牌辅助配置表!M:M,0)-1,0)+(N2438-1)*OFFSET(卡牌辅助配置表!$P$1,MATCH(U2438,卡牌辅助配置表!M:M,0)-1,0))*M2438,2)</f>
        <v>605.34</v>
      </c>
      <c r="W2438" s="157">
        <f ca="1">ROUND(IF(R2438=0,0,IF(R2438=1,X2438*$W$1,IF(R2438=2,X2438*$W$1*buff的资质计算!$E$2,IF(R2438=3,X2438*$W$1*buff的资质计算!$E$3,0)))),2)</f>
        <v>32.85</v>
      </c>
      <c r="X2438" s="157">
        <f ca="1" t="shared" si="423"/>
        <v>109.5</v>
      </c>
      <c r="Y2438" s="157">
        <f ca="1" t="shared" si="417"/>
        <v>128.25</v>
      </c>
      <c r="Z2438" s="304">
        <f ca="1" t="shared" si="424"/>
        <v>42.75</v>
      </c>
      <c r="AA2438" s="304">
        <f ca="1">OFFSET(卡牌辅助配置表!$AD$1,MATCH(AB2438,卡牌辅助配置表!AB:AB,0)-1,0)</f>
        <v>55598</v>
      </c>
      <c r="AB2438" s="304">
        <f ca="1" t="shared" ref="AB2438:AB2458" si="427">J2438*1000+K2438*100+N2438</f>
        <v>4422</v>
      </c>
      <c r="AC2438" s="153">
        <v>10</v>
      </c>
      <c r="AD2438" s="153">
        <v>3</v>
      </c>
      <c r="AE2438" s="153">
        <v>1</v>
      </c>
      <c r="AF2438" s="153" t="str">
        <f ca="1" t="shared" si="422"/>
        <v>34050011|34050012|</v>
      </c>
      <c r="AH2438" s="153">
        <v>1</v>
      </c>
      <c r="AJ2438" s="205">
        <f ca="1" t="shared" ref="AJ2438:AJ2458" si="428">IF(AN2438=0,0,IF(AL2438=0,$AM$1&amp;$AF$1&amp;AM2438&amp;$AF$1&amp;$AJ$1,AK2438&amp;$AF$1&amp;AL2438&amp;$AF$1&amp;$AJ$1&amp;$AM$1&amp;$AF$1&amp;AM2438&amp;$AF$1&amp;$AJ$1))</f>
        <v>0</v>
      </c>
      <c r="AK2438" s="205">
        <f ca="1">OFFSET([1]item_type!$A$1,MATCH(Q2438,[1]item_type!$G:$G,0)-1,0)</f>
        <v>303405</v>
      </c>
      <c r="AL2438" s="205"/>
      <c r="AM2438" s="205">
        <f ca="1">IF(B2438=B2439,OFFSET(卡牌辅助配置表!$AE$1,MATCH(AB2438,卡牌辅助配置表!AB:AB,0),0),0)</f>
        <v>26100</v>
      </c>
      <c r="AN2438" s="153">
        <f ca="1" t="shared" si="421"/>
        <v>0</v>
      </c>
      <c r="AP2438" s="153" t="str">
        <f ca="1">IF(AC2438=0,0,IF(AC2438=12,0,OFFSET(effect!$N$1,MATCH(K2438,effect!M:M,0)-1,0)))</f>
        <v>kpsx_huangse</v>
      </c>
    </row>
    <row r="2439" spans="1:42">
      <c r="A2439" s="153">
        <f ca="1" t="shared" si="425"/>
        <v>3405023</v>
      </c>
      <c r="B2439" s="91" t="s">
        <v>484</v>
      </c>
      <c r="C2439" s="186">
        <v>3</v>
      </c>
      <c r="D2439" s="186">
        <v>2</v>
      </c>
      <c r="E2439" s="165" t="s">
        <v>1069</v>
      </c>
      <c r="F2439" s="165" t="str">
        <f>"消耗至多5个魂，每消耗1个魂造成伤害增加"&amp;skill!$O$157/100&amp;"%的真实伤害"</f>
        <v>消耗至多5个魂，每消耗1个魂造成伤害增加50%的真实伤害</v>
      </c>
      <c r="G2439" s="186">
        <f ca="1">OFFSET(卡牌辅助配置表!$C$1,MATCH(AC2439,卡牌辅助配置表!A:A,0)-1,0)</f>
        <v>3</v>
      </c>
      <c r="H2439" s="186">
        <f ca="1">OFFSET(skill!$Q$1,MATCH(B2439,skill!B:B,0)-1,0)</f>
        <v>18.75</v>
      </c>
      <c r="I2439" s="186"/>
      <c r="J2439" s="186">
        <f ca="1">OFFSET(card_type!$F$1,MATCH(Q2439,card_type!A:A,0)-1,0)</f>
        <v>4</v>
      </c>
      <c r="K2439" s="243">
        <f ca="1">OFFSET(card_type!$G$1,MATCH(Q2439,card_type!A:A,0)-1,0)</f>
        <v>4</v>
      </c>
      <c r="L2439" s="157">
        <v>3</v>
      </c>
      <c r="M2439" s="157">
        <v>3</v>
      </c>
      <c r="N2439" s="153">
        <f t="shared" si="420"/>
        <v>23</v>
      </c>
      <c r="O2439" s="157"/>
      <c r="P2439" s="157"/>
      <c r="Q2439" s="153">
        <f ca="1">OFFSET(card_type!$A$1,MATCH(card!B2439,card_type!B:B,0)-1,0)</f>
        <v>3405</v>
      </c>
      <c r="R2439" s="153">
        <v>1</v>
      </c>
      <c r="S2439" s="157">
        <f ca="1">ROUND(IF(R2439=0,0,IF(R2439=1,X2439*$S$1,IF(R2439=2,X2439*$S$1*buff的资质计算!$E$2,IF(R2439=3,X2439*$S$1*buff的资质计算!$E$3,0)))),0)*0</f>
        <v>0</v>
      </c>
      <c r="T2439" s="153">
        <v>2</v>
      </c>
      <c r="U2439" s="153">
        <f ca="1" t="shared" si="426"/>
        <v>44</v>
      </c>
      <c r="V2439" s="153">
        <f ca="1">ROUND((OFFSET(卡牌辅助配置表!$O$1,MATCH(U2439,卡牌辅助配置表!M:M,0)-1,0)+(N2439-1)*OFFSET(卡牌辅助配置表!$P$1,MATCH(U2439,卡牌辅助配置表!M:M,0)-1,0))*M2439,2)</f>
        <v>626.58</v>
      </c>
      <c r="W2439" s="157">
        <f ca="1">ROUND(IF(R2439=0,0,IF(R2439=1,X2439*$W$1,IF(R2439=2,X2439*$W$1*buff的资质计算!$E$2,IF(R2439=3,X2439*$W$1*buff的资质计算!$E$3,0)))),2)</f>
        <v>33</v>
      </c>
      <c r="X2439" s="157">
        <f ca="1" t="shared" si="423"/>
        <v>110</v>
      </c>
      <c r="Y2439" s="157">
        <f ca="1" t="shared" si="417"/>
        <v>128.75</v>
      </c>
      <c r="Z2439" s="304">
        <f ca="1" t="shared" si="424"/>
        <v>42.9166666666667</v>
      </c>
      <c r="AA2439" s="304">
        <f ca="1">OFFSET(卡牌辅助配置表!$AD$1,MATCH(AB2439,卡牌辅助配置表!AB:AB,0)-1,0)</f>
        <v>59432</v>
      </c>
      <c r="AB2439" s="304">
        <f ca="1" t="shared" si="427"/>
        <v>4423</v>
      </c>
      <c r="AC2439" s="153">
        <v>10</v>
      </c>
      <c r="AD2439" s="153">
        <v>3</v>
      </c>
      <c r="AE2439" s="153">
        <v>1</v>
      </c>
      <c r="AF2439" s="153" t="str">
        <f ca="1" t="shared" si="422"/>
        <v>34050011|34050012|</v>
      </c>
      <c r="AH2439" s="153">
        <v>1</v>
      </c>
      <c r="AJ2439" s="205">
        <f ca="1" t="shared" si="428"/>
        <v>0</v>
      </c>
      <c r="AK2439" s="205">
        <f ca="1">OFFSET([1]item_type!$A$1,MATCH(Q2439,[1]item_type!$G:$G,0)-1,0)</f>
        <v>303405</v>
      </c>
      <c r="AL2439" s="205"/>
      <c r="AM2439" s="205">
        <f ca="1">IF(B2439=B2440,OFFSET(卡牌辅助配置表!$AE$1,MATCH(AB2439,卡牌辅助配置表!AB:AB,0),0),0)</f>
        <v>28500</v>
      </c>
      <c r="AN2439" s="153">
        <f ca="1" t="shared" si="421"/>
        <v>0</v>
      </c>
      <c r="AP2439" s="153" t="str">
        <f ca="1">IF(AC2439=0,0,IF(AC2439=12,0,OFFSET(effect!$N$1,MATCH(K2439,effect!M:M,0)-1,0)))</f>
        <v>kpsx_huangse</v>
      </c>
    </row>
    <row r="2440" spans="1:42">
      <c r="A2440" s="153">
        <f ca="1" t="shared" si="425"/>
        <v>3405024</v>
      </c>
      <c r="B2440" s="91" t="s">
        <v>484</v>
      </c>
      <c r="C2440" s="186">
        <v>3</v>
      </c>
      <c r="D2440" s="186">
        <v>2</v>
      </c>
      <c r="E2440" s="165" t="s">
        <v>1069</v>
      </c>
      <c r="F2440" s="165" t="str">
        <f>"消耗至多5个魂，每消耗1个魂造成伤害增加"&amp;skill!$O$157/100&amp;"%的真实伤害"</f>
        <v>消耗至多5个魂，每消耗1个魂造成伤害增加50%的真实伤害</v>
      </c>
      <c r="G2440" s="186">
        <f ca="1">OFFSET(卡牌辅助配置表!$C$1,MATCH(AC2440,卡牌辅助配置表!A:A,0)-1,0)</f>
        <v>3</v>
      </c>
      <c r="H2440" s="186">
        <f ca="1">OFFSET(skill!$Q$1,MATCH(B2440,skill!B:B,0)-1,0)</f>
        <v>18.75</v>
      </c>
      <c r="I2440" s="186"/>
      <c r="J2440" s="186">
        <f ca="1">OFFSET(card_type!$F$1,MATCH(Q2440,card_type!A:A,0)-1,0)</f>
        <v>4</v>
      </c>
      <c r="K2440" s="243">
        <f ca="1">OFFSET(card_type!$G$1,MATCH(Q2440,card_type!A:A,0)-1,0)</f>
        <v>4</v>
      </c>
      <c r="L2440" s="157">
        <v>3</v>
      </c>
      <c r="M2440" s="157">
        <v>3</v>
      </c>
      <c r="N2440" s="153">
        <f t="shared" si="420"/>
        <v>24</v>
      </c>
      <c r="O2440" s="157"/>
      <c r="P2440" s="157"/>
      <c r="Q2440" s="153">
        <f ca="1">OFFSET(card_type!$A$1,MATCH(card!B2440,card_type!B:B,0)-1,0)</f>
        <v>3405</v>
      </c>
      <c r="R2440" s="153">
        <v>1</v>
      </c>
      <c r="S2440" s="157">
        <f ca="1">ROUND(IF(R2440=0,0,IF(R2440=1,X2440*$S$1,IF(R2440=2,X2440*$S$1*buff的资质计算!$E$2,IF(R2440=3,X2440*$S$1*buff的资质计算!$E$3,0)))),0)*0</f>
        <v>0</v>
      </c>
      <c r="T2440" s="153">
        <v>2</v>
      </c>
      <c r="U2440" s="153">
        <f ca="1" t="shared" si="426"/>
        <v>44</v>
      </c>
      <c r="V2440" s="153">
        <f ca="1">ROUND((OFFSET(卡牌辅助配置表!$O$1,MATCH(U2440,卡牌辅助配置表!M:M,0)-1,0)+(N2440-1)*OFFSET(卡牌辅助配置表!$P$1,MATCH(U2440,卡牌辅助配置表!M:M,0)-1,0))*M2440,2)</f>
        <v>647.82</v>
      </c>
      <c r="W2440" s="157">
        <f ca="1">ROUND(IF(R2440=0,0,IF(R2440=1,X2440*$W$1,IF(R2440=2,X2440*$W$1*buff的资质计算!$E$2,IF(R2440=3,X2440*$W$1*buff的资质计算!$E$3,0)))),2)</f>
        <v>33.15</v>
      </c>
      <c r="X2440" s="157">
        <f ca="1" t="shared" si="423"/>
        <v>110.5</v>
      </c>
      <c r="Y2440" s="157">
        <f ca="1" t="shared" si="417"/>
        <v>129.25</v>
      </c>
      <c r="Z2440" s="304">
        <f ca="1" t="shared" si="424"/>
        <v>43.0833333333333</v>
      </c>
      <c r="AA2440" s="304">
        <f ca="1">OFFSET(卡牌辅助配置表!$AD$1,MATCH(AB2440,卡牌辅助配置表!AB:AB,0)-1,0)</f>
        <v>63266</v>
      </c>
      <c r="AB2440" s="304">
        <f ca="1" t="shared" si="427"/>
        <v>4424</v>
      </c>
      <c r="AC2440" s="153">
        <v>10</v>
      </c>
      <c r="AD2440" s="153">
        <v>3</v>
      </c>
      <c r="AE2440" s="153">
        <v>1</v>
      </c>
      <c r="AF2440" s="153" t="str">
        <f ca="1" t="shared" si="422"/>
        <v>34050011|34050012|</v>
      </c>
      <c r="AH2440" s="153">
        <v>1</v>
      </c>
      <c r="AJ2440" s="205">
        <f ca="1" t="shared" si="428"/>
        <v>0</v>
      </c>
      <c r="AK2440" s="205">
        <f ca="1">OFFSET([1]item_type!$A$1,MATCH(Q2440,[1]item_type!$G:$G,0)-1,0)</f>
        <v>303405</v>
      </c>
      <c r="AL2440" s="205"/>
      <c r="AM2440" s="205">
        <f ca="1">IF(B2440=B2441,OFFSET(卡牌辅助配置表!$AE$1,MATCH(AB2440,卡牌辅助配置表!AB:AB,0),0),0)</f>
        <v>30900</v>
      </c>
      <c r="AN2440" s="153">
        <f ca="1" t="shared" si="421"/>
        <v>0</v>
      </c>
      <c r="AP2440" s="153" t="str">
        <f ca="1">IF(AC2440=0,0,IF(AC2440=12,0,OFFSET(effect!$N$1,MATCH(K2440,effect!M:M,0)-1,0)))</f>
        <v>kpsx_huangse</v>
      </c>
    </row>
    <row r="2441" spans="1:42">
      <c r="A2441" s="153">
        <f ca="1" t="shared" si="425"/>
        <v>3405025</v>
      </c>
      <c r="B2441" s="91" t="s">
        <v>484</v>
      </c>
      <c r="C2441" s="186">
        <v>3</v>
      </c>
      <c r="D2441" s="186">
        <v>2</v>
      </c>
      <c r="E2441" s="165" t="s">
        <v>1069</v>
      </c>
      <c r="F2441" s="165" t="str">
        <f>"消耗至多5个魂，每消耗1个魂造成伤害增加"&amp;skill!$O$157/100&amp;"%的真实伤害"</f>
        <v>消耗至多5个魂，每消耗1个魂造成伤害增加50%的真实伤害</v>
      </c>
      <c r="G2441" s="186">
        <f ca="1">OFFSET(卡牌辅助配置表!$C$1,MATCH(AC2441,卡牌辅助配置表!A:A,0)-1,0)</f>
        <v>3</v>
      </c>
      <c r="H2441" s="186">
        <f ca="1">OFFSET(skill!$Q$1,MATCH(B2441,skill!B:B,0)-1,0)</f>
        <v>18.75</v>
      </c>
      <c r="I2441" s="186"/>
      <c r="J2441" s="186">
        <f ca="1">OFFSET(card_type!$F$1,MATCH(Q2441,card_type!A:A,0)-1,0)</f>
        <v>4</v>
      </c>
      <c r="K2441" s="243">
        <f ca="1">OFFSET(card_type!$G$1,MATCH(Q2441,card_type!A:A,0)-1,0)</f>
        <v>4</v>
      </c>
      <c r="L2441" s="157">
        <v>3</v>
      </c>
      <c r="M2441" s="157">
        <v>3</v>
      </c>
      <c r="N2441" s="153">
        <f t="shared" si="420"/>
        <v>25</v>
      </c>
      <c r="O2441" s="157"/>
      <c r="P2441" s="157"/>
      <c r="Q2441" s="153">
        <f ca="1">OFFSET(card_type!$A$1,MATCH(card!B2441,card_type!B:B,0)-1,0)</f>
        <v>3405</v>
      </c>
      <c r="R2441" s="153">
        <v>1</v>
      </c>
      <c r="S2441" s="157">
        <f ca="1">ROUND(IF(R2441=0,0,IF(R2441=1,X2441*$S$1,IF(R2441=2,X2441*$S$1*buff的资质计算!$E$2,IF(R2441=3,X2441*$S$1*buff的资质计算!$E$3,0)))),0)*0</f>
        <v>0</v>
      </c>
      <c r="T2441" s="153">
        <v>2</v>
      </c>
      <c r="U2441" s="153">
        <f ca="1" t="shared" si="426"/>
        <v>44</v>
      </c>
      <c r="V2441" s="153">
        <f ca="1">ROUND((OFFSET(卡牌辅助配置表!$O$1,MATCH(U2441,卡牌辅助配置表!M:M,0)-1,0)+(N2441-1)*OFFSET(卡牌辅助配置表!$P$1,MATCH(U2441,卡牌辅助配置表!M:M,0)-1,0))*M2441,2)</f>
        <v>669.06</v>
      </c>
      <c r="W2441" s="157">
        <f ca="1">ROUND(IF(R2441=0,0,IF(R2441=1,X2441*$W$1,IF(R2441=2,X2441*$W$1*buff的资质计算!$E$2,IF(R2441=3,X2441*$W$1*buff的资质计算!$E$3,0)))),2)</f>
        <v>33.3</v>
      </c>
      <c r="X2441" s="157">
        <f ca="1" t="shared" si="423"/>
        <v>111</v>
      </c>
      <c r="Y2441" s="157">
        <f ca="1" t="shared" si="417"/>
        <v>129.75</v>
      </c>
      <c r="Z2441" s="304">
        <f ca="1" t="shared" si="424"/>
        <v>43.25</v>
      </c>
      <c r="AA2441" s="304">
        <f ca="1">OFFSET(卡牌辅助配置表!$AD$1,MATCH(AB2441,卡牌辅助配置表!AB:AB,0)-1,0)</f>
        <v>67100</v>
      </c>
      <c r="AB2441" s="304">
        <f ca="1" t="shared" si="427"/>
        <v>4425</v>
      </c>
      <c r="AC2441" s="153">
        <v>10</v>
      </c>
      <c r="AD2441" s="153">
        <v>3</v>
      </c>
      <c r="AE2441" s="153">
        <v>1</v>
      </c>
      <c r="AF2441" s="153" t="str">
        <f ca="1" t="shared" si="422"/>
        <v>34050011|34050012|</v>
      </c>
      <c r="AH2441" s="153">
        <v>1</v>
      </c>
      <c r="AJ2441" s="205">
        <f ca="1" t="shared" si="428"/>
        <v>0</v>
      </c>
      <c r="AK2441" s="205">
        <f ca="1">OFFSET([1]item_type!$A$1,MATCH(Q2441,[1]item_type!$G:$G,0)-1,0)</f>
        <v>303405</v>
      </c>
      <c r="AL2441" s="205"/>
      <c r="AM2441" s="205">
        <f ca="1">IF(B2441=B2442,OFFSET(卡牌辅助配置表!$AE$1,MATCH(AB2441,卡牌辅助配置表!AB:AB,0),0),0)</f>
        <v>33300</v>
      </c>
      <c r="AN2441" s="153">
        <f ca="1" t="shared" si="421"/>
        <v>0</v>
      </c>
      <c r="AP2441" s="153" t="str">
        <f ca="1">IF(AC2441=0,0,IF(AC2441=12,0,OFFSET(effect!$N$1,MATCH(K2441,effect!M:M,0)-1,0)))</f>
        <v>kpsx_huangse</v>
      </c>
    </row>
    <row r="2442" spans="1:42">
      <c r="A2442" s="153">
        <f ca="1" t="shared" si="425"/>
        <v>3405026</v>
      </c>
      <c r="B2442" s="91" t="s">
        <v>484</v>
      </c>
      <c r="C2442" s="186">
        <v>3</v>
      </c>
      <c r="D2442" s="186">
        <v>2</v>
      </c>
      <c r="E2442" s="165" t="s">
        <v>1069</v>
      </c>
      <c r="F2442" s="165" t="str">
        <f>"消耗至多5个魂，每消耗1个魂造成伤害增加"&amp;skill!$O$157/100&amp;"%的真实伤害"</f>
        <v>消耗至多5个魂，每消耗1个魂造成伤害增加50%的真实伤害</v>
      </c>
      <c r="G2442" s="186">
        <f ca="1">OFFSET(卡牌辅助配置表!$C$1,MATCH(AC2442,卡牌辅助配置表!A:A,0)-1,0)</f>
        <v>3</v>
      </c>
      <c r="H2442" s="186">
        <f ca="1">OFFSET(skill!$Q$1,MATCH(B2442,skill!B:B,0)-1,0)</f>
        <v>18.75</v>
      </c>
      <c r="I2442" s="186"/>
      <c r="J2442" s="186">
        <f ca="1">OFFSET(card_type!$F$1,MATCH(Q2442,card_type!A:A,0)-1,0)</f>
        <v>4</v>
      </c>
      <c r="K2442" s="243">
        <f ca="1">OFFSET(card_type!$G$1,MATCH(Q2442,card_type!A:A,0)-1,0)</f>
        <v>4</v>
      </c>
      <c r="L2442" s="157">
        <v>3</v>
      </c>
      <c r="M2442" s="157">
        <v>3</v>
      </c>
      <c r="N2442" s="153">
        <f t="shared" si="420"/>
        <v>26</v>
      </c>
      <c r="O2442" s="157"/>
      <c r="P2442" s="157"/>
      <c r="Q2442" s="153">
        <f ca="1">OFFSET(card_type!$A$1,MATCH(card!B2442,card_type!B:B,0)-1,0)</f>
        <v>3405</v>
      </c>
      <c r="R2442" s="153">
        <v>1</v>
      </c>
      <c r="S2442" s="157">
        <f ca="1">ROUND(IF(R2442=0,0,IF(R2442=1,X2442*$S$1,IF(R2442=2,X2442*$S$1*buff的资质计算!$E$2,IF(R2442=3,X2442*$S$1*buff的资质计算!$E$3,0)))),0)*0</f>
        <v>0</v>
      </c>
      <c r="T2442" s="153">
        <v>2</v>
      </c>
      <c r="U2442" s="153">
        <f ca="1" t="shared" si="426"/>
        <v>44</v>
      </c>
      <c r="V2442" s="153">
        <f ca="1">ROUND((OFFSET(卡牌辅助配置表!$O$1,MATCH(U2442,卡牌辅助配置表!M:M,0)-1,0)+(N2442-1)*OFFSET(卡牌辅助配置表!$P$1,MATCH(U2442,卡牌辅助配置表!M:M,0)-1,0))*M2442,2)</f>
        <v>690.3</v>
      </c>
      <c r="W2442" s="157">
        <f ca="1">ROUND(IF(R2442=0,0,IF(R2442=1,X2442*$W$1,IF(R2442=2,X2442*$W$1*buff的资质计算!$E$2,IF(R2442=3,X2442*$W$1*buff的资质计算!$E$3,0)))),2)</f>
        <v>33.45</v>
      </c>
      <c r="X2442" s="157">
        <f ca="1" t="shared" si="423"/>
        <v>111.5</v>
      </c>
      <c r="Y2442" s="157">
        <f ca="1" t="shared" ref="Y2442:Y2458" si="429">X2442+H2442</f>
        <v>130.25</v>
      </c>
      <c r="Z2442" s="304">
        <f ca="1" t="shared" si="424"/>
        <v>43.4166666666667</v>
      </c>
      <c r="AA2442" s="304">
        <f ca="1">OFFSET(卡牌辅助配置表!$AD$1,MATCH(AB2442,卡牌辅助配置表!AB:AB,0)-1,0)</f>
        <v>70934</v>
      </c>
      <c r="AB2442" s="304">
        <f ca="1" t="shared" si="427"/>
        <v>4426</v>
      </c>
      <c r="AC2442" s="153">
        <v>10</v>
      </c>
      <c r="AD2442" s="153">
        <v>3</v>
      </c>
      <c r="AE2442" s="153">
        <v>1</v>
      </c>
      <c r="AF2442" s="153" t="str">
        <f ca="1" t="shared" si="422"/>
        <v>34050011|34050012|</v>
      </c>
      <c r="AH2442" s="153">
        <v>1</v>
      </c>
      <c r="AJ2442" s="205">
        <f ca="1" t="shared" si="428"/>
        <v>0</v>
      </c>
      <c r="AK2442" s="205">
        <f ca="1">OFFSET([1]item_type!$A$1,MATCH(Q2442,[1]item_type!$G:$G,0)-1,0)</f>
        <v>303405</v>
      </c>
      <c r="AL2442" s="205"/>
      <c r="AM2442" s="205">
        <f ca="1">IF(B2442=B2443,OFFSET(卡牌辅助配置表!$AE$1,MATCH(AB2442,卡牌辅助配置表!AB:AB,0),0),0)</f>
        <v>35700</v>
      </c>
      <c r="AN2442" s="153">
        <f ca="1" t="shared" si="421"/>
        <v>0</v>
      </c>
      <c r="AP2442" s="153" t="str">
        <f ca="1">IF(AC2442=0,0,IF(AC2442=12,0,OFFSET(effect!$N$1,MATCH(K2442,effect!M:M,0)-1,0)))</f>
        <v>kpsx_huangse</v>
      </c>
    </row>
    <row r="2443" spans="1:42">
      <c r="A2443" s="153">
        <f ca="1" t="shared" si="425"/>
        <v>3405027</v>
      </c>
      <c r="B2443" s="91" t="s">
        <v>484</v>
      </c>
      <c r="C2443" s="186">
        <v>3</v>
      </c>
      <c r="D2443" s="186">
        <v>2</v>
      </c>
      <c r="E2443" s="165" t="s">
        <v>1069</v>
      </c>
      <c r="F2443" s="165" t="str">
        <f>"消耗至多5个魂，每消耗1个魂造成伤害增加"&amp;skill!$O$157/100&amp;"%的真实伤害"</f>
        <v>消耗至多5个魂，每消耗1个魂造成伤害增加50%的真实伤害</v>
      </c>
      <c r="G2443" s="186">
        <f ca="1">OFFSET(卡牌辅助配置表!$C$1,MATCH(AC2443,卡牌辅助配置表!A:A,0)-1,0)</f>
        <v>3</v>
      </c>
      <c r="H2443" s="186">
        <f ca="1">OFFSET(skill!$Q$1,MATCH(B2443,skill!B:B,0)-1,0)</f>
        <v>18.75</v>
      </c>
      <c r="I2443" s="186"/>
      <c r="J2443" s="186">
        <f ca="1">OFFSET(card_type!$F$1,MATCH(Q2443,card_type!A:A,0)-1,0)</f>
        <v>4</v>
      </c>
      <c r="K2443" s="243">
        <f ca="1">OFFSET(card_type!$G$1,MATCH(Q2443,card_type!A:A,0)-1,0)</f>
        <v>4</v>
      </c>
      <c r="L2443" s="157">
        <v>3</v>
      </c>
      <c r="M2443" s="157">
        <v>3</v>
      </c>
      <c r="N2443" s="153">
        <f t="shared" si="420"/>
        <v>27</v>
      </c>
      <c r="O2443" s="157"/>
      <c r="P2443" s="157"/>
      <c r="Q2443" s="153">
        <f ca="1">OFFSET(card_type!$A$1,MATCH(card!B2443,card_type!B:B,0)-1,0)</f>
        <v>3405</v>
      </c>
      <c r="R2443" s="153">
        <v>1</v>
      </c>
      <c r="S2443" s="157">
        <f ca="1">ROUND(IF(R2443=0,0,IF(R2443=1,X2443*$S$1,IF(R2443=2,X2443*$S$1*buff的资质计算!$E$2,IF(R2443=3,X2443*$S$1*buff的资质计算!$E$3,0)))),0)*0</f>
        <v>0</v>
      </c>
      <c r="T2443" s="153">
        <v>2</v>
      </c>
      <c r="U2443" s="153">
        <f ca="1" t="shared" si="426"/>
        <v>44</v>
      </c>
      <c r="V2443" s="153">
        <f ca="1">ROUND((OFFSET(卡牌辅助配置表!$O$1,MATCH(U2443,卡牌辅助配置表!M:M,0)-1,0)+(N2443-1)*OFFSET(卡牌辅助配置表!$P$1,MATCH(U2443,卡牌辅助配置表!M:M,0)-1,0))*M2443,2)</f>
        <v>711.54</v>
      </c>
      <c r="W2443" s="157">
        <f ca="1">ROUND(IF(R2443=0,0,IF(R2443=1,X2443*$W$1,IF(R2443=2,X2443*$W$1*buff的资质计算!$E$2,IF(R2443=3,X2443*$W$1*buff的资质计算!$E$3,0)))),2)</f>
        <v>33.6</v>
      </c>
      <c r="X2443" s="157">
        <f ca="1" t="shared" si="423"/>
        <v>112</v>
      </c>
      <c r="Y2443" s="157">
        <f ca="1" t="shared" si="429"/>
        <v>130.75</v>
      </c>
      <c r="Z2443" s="304">
        <f ca="1" t="shared" si="424"/>
        <v>43.5833333333333</v>
      </c>
      <c r="AA2443" s="304">
        <f ca="1">OFFSET(卡牌辅助配置表!$AD$1,MATCH(AB2443,卡牌辅助配置表!AB:AB,0)-1,0)</f>
        <v>74768</v>
      </c>
      <c r="AB2443" s="304">
        <f ca="1" t="shared" si="427"/>
        <v>4427</v>
      </c>
      <c r="AC2443" s="153">
        <v>10</v>
      </c>
      <c r="AD2443" s="153">
        <v>3</v>
      </c>
      <c r="AE2443" s="153">
        <v>1</v>
      </c>
      <c r="AF2443" s="153" t="str">
        <f ca="1" t="shared" si="422"/>
        <v>34050011|34050012|</v>
      </c>
      <c r="AH2443" s="153">
        <v>1</v>
      </c>
      <c r="AJ2443" s="205">
        <f ca="1" t="shared" si="428"/>
        <v>0</v>
      </c>
      <c r="AK2443" s="205">
        <f ca="1">OFFSET([1]item_type!$A$1,MATCH(Q2443,[1]item_type!$G:$G,0)-1,0)</f>
        <v>303405</v>
      </c>
      <c r="AL2443" s="205"/>
      <c r="AM2443" s="205">
        <f ca="1">IF(B2443=B2444,OFFSET(卡牌辅助配置表!$AE$1,MATCH(AB2443,卡牌辅助配置表!AB:AB,0),0),0)</f>
        <v>38100</v>
      </c>
      <c r="AN2443" s="153">
        <f ca="1" t="shared" si="421"/>
        <v>0</v>
      </c>
      <c r="AP2443" s="153" t="str">
        <f ca="1">IF(AC2443=0,0,IF(AC2443=12,0,OFFSET(effect!$N$1,MATCH(K2443,effect!M:M,0)-1,0)))</f>
        <v>kpsx_huangse</v>
      </c>
    </row>
    <row r="2444" spans="1:42">
      <c r="A2444" s="153">
        <f ca="1" t="shared" si="425"/>
        <v>3405028</v>
      </c>
      <c r="B2444" s="91" t="s">
        <v>484</v>
      </c>
      <c r="C2444" s="186">
        <v>3</v>
      </c>
      <c r="D2444" s="186">
        <v>2</v>
      </c>
      <c r="E2444" s="165" t="s">
        <v>1069</v>
      </c>
      <c r="F2444" s="165" t="str">
        <f>"消耗至多5个魂，每消耗1个魂造成伤害增加"&amp;skill!$O$157/100&amp;"%的真实伤害"</f>
        <v>消耗至多5个魂，每消耗1个魂造成伤害增加50%的真实伤害</v>
      </c>
      <c r="G2444" s="186">
        <f ca="1">OFFSET(卡牌辅助配置表!$C$1,MATCH(AC2444,卡牌辅助配置表!A:A,0)-1,0)</f>
        <v>3</v>
      </c>
      <c r="H2444" s="186">
        <f ca="1">OFFSET(skill!$Q$1,MATCH(B2444,skill!B:B,0)-1,0)</f>
        <v>18.75</v>
      </c>
      <c r="I2444" s="186"/>
      <c r="J2444" s="186">
        <f ca="1">OFFSET(card_type!$F$1,MATCH(Q2444,card_type!A:A,0)-1,0)</f>
        <v>4</v>
      </c>
      <c r="K2444" s="243">
        <f ca="1">OFFSET(card_type!$G$1,MATCH(Q2444,card_type!A:A,0)-1,0)</f>
        <v>4</v>
      </c>
      <c r="L2444" s="157">
        <v>3</v>
      </c>
      <c r="M2444" s="157">
        <v>3</v>
      </c>
      <c r="N2444" s="153">
        <f t="shared" si="420"/>
        <v>28</v>
      </c>
      <c r="O2444" s="157"/>
      <c r="P2444" s="157"/>
      <c r="Q2444" s="153">
        <f ca="1">OFFSET(card_type!$A$1,MATCH(card!B2444,card_type!B:B,0)-1,0)</f>
        <v>3405</v>
      </c>
      <c r="R2444" s="153">
        <v>1</v>
      </c>
      <c r="S2444" s="157">
        <f ca="1">ROUND(IF(R2444=0,0,IF(R2444=1,X2444*$S$1,IF(R2444=2,X2444*$S$1*buff的资质计算!$E$2,IF(R2444=3,X2444*$S$1*buff的资质计算!$E$3,0)))),0)*0</f>
        <v>0</v>
      </c>
      <c r="T2444" s="153">
        <v>2</v>
      </c>
      <c r="U2444" s="153">
        <f ca="1" t="shared" si="426"/>
        <v>44</v>
      </c>
      <c r="V2444" s="153">
        <f ca="1">ROUND((OFFSET(卡牌辅助配置表!$O$1,MATCH(U2444,卡牌辅助配置表!M:M,0)-1,0)+(N2444-1)*OFFSET(卡牌辅助配置表!$P$1,MATCH(U2444,卡牌辅助配置表!M:M,0)-1,0))*M2444,2)</f>
        <v>732.78</v>
      </c>
      <c r="W2444" s="157">
        <f ca="1">ROUND(IF(R2444=0,0,IF(R2444=1,X2444*$W$1,IF(R2444=2,X2444*$W$1*buff的资质计算!$E$2,IF(R2444=3,X2444*$W$1*buff的资质计算!$E$3,0)))),2)</f>
        <v>33.75</v>
      </c>
      <c r="X2444" s="157">
        <f ca="1" t="shared" si="423"/>
        <v>112.5</v>
      </c>
      <c r="Y2444" s="157">
        <f ca="1" t="shared" si="429"/>
        <v>131.25</v>
      </c>
      <c r="Z2444" s="304">
        <f ca="1" t="shared" si="424"/>
        <v>43.75</v>
      </c>
      <c r="AA2444" s="304">
        <f ca="1">OFFSET(卡牌辅助配置表!$AD$1,MATCH(AB2444,卡牌辅助配置表!AB:AB,0)-1,0)</f>
        <v>78602</v>
      </c>
      <c r="AB2444" s="304">
        <f ca="1" t="shared" si="427"/>
        <v>4428</v>
      </c>
      <c r="AC2444" s="153">
        <v>10</v>
      </c>
      <c r="AD2444" s="153">
        <v>3</v>
      </c>
      <c r="AE2444" s="153">
        <v>1</v>
      </c>
      <c r="AF2444" s="153" t="str">
        <f ca="1" t="shared" si="422"/>
        <v>34050011|34050012|</v>
      </c>
      <c r="AH2444" s="153">
        <v>1</v>
      </c>
      <c r="AJ2444" s="205">
        <f ca="1" t="shared" si="428"/>
        <v>0</v>
      </c>
      <c r="AK2444" s="205">
        <f ca="1">OFFSET([1]item_type!$A$1,MATCH(Q2444,[1]item_type!$G:$G,0)-1,0)</f>
        <v>303405</v>
      </c>
      <c r="AL2444" s="205"/>
      <c r="AM2444" s="205">
        <f ca="1">IF(B2444=B2445,OFFSET(卡牌辅助配置表!$AE$1,MATCH(AB2444,卡牌辅助配置表!AB:AB,0),0),0)</f>
        <v>40500</v>
      </c>
      <c r="AN2444" s="153">
        <f ca="1" t="shared" si="421"/>
        <v>0</v>
      </c>
      <c r="AP2444" s="153" t="str">
        <f ca="1">IF(AC2444=0,0,IF(AC2444=12,0,OFFSET(effect!$N$1,MATCH(K2444,effect!M:M,0)-1,0)))</f>
        <v>kpsx_huangse</v>
      </c>
    </row>
    <row r="2445" spans="1:42">
      <c r="A2445" s="153">
        <f ca="1" t="shared" si="425"/>
        <v>3405029</v>
      </c>
      <c r="B2445" s="91" t="s">
        <v>484</v>
      </c>
      <c r="C2445" s="186">
        <v>3</v>
      </c>
      <c r="D2445" s="186">
        <v>2</v>
      </c>
      <c r="E2445" s="165" t="s">
        <v>1069</v>
      </c>
      <c r="F2445" s="165" t="str">
        <f>"消耗至多5个魂，每消耗1个魂造成伤害增加"&amp;skill!$O$157/100&amp;"%的真实伤害"</f>
        <v>消耗至多5个魂，每消耗1个魂造成伤害增加50%的真实伤害</v>
      </c>
      <c r="G2445" s="186">
        <f ca="1">OFFSET(卡牌辅助配置表!$C$1,MATCH(AC2445,卡牌辅助配置表!A:A,0)-1,0)</f>
        <v>3</v>
      </c>
      <c r="H2445" s="186">
        <f ca="1">OFFSET(skill!$Q$1,MATCH(B2445,skill!B:B,0)-1,0)</f>
        <v>18.75</v>
      </c>
      <c r="I2445" s="186"/>
      <c r="J2445" s="186">
        <f ca="1">OFFSET(card_type!$F$1,MATCH(Q2445,card_type!A:A,0)-1,0)</f>
        <v>4</v>
      </c>
      <c r="K2445" s="243">
        <f ca="1">OFFSET(card_type!$G$1,MATCH(Q2445,card_type!A:A,0)-1,0)</f>
        <v>4</v>
      </c>
      <c r="L2445" s="157">
        <v>3</v>
      </c>
      <c r="M2445" s="157">
        <v>3</v>
      </c>
      <c r="N2445" s="153">
        <f t="shared" si="420"/>
        <v>29</v>
      </c>
      <c r="O2445" s="157"/>
      <c r="P2445" s="157"/>
      <c r="Q2445" s="153">
        <f ca="1">OFFSET(card_type!$A$1,MATCH(card!B2445,card_type!B:B,0)-1,0)</f>
        <v>3405</v>
      </c>
      <c r="R2445" s="153">
        <v>1</v>
      </c>
      <c r="S2445" s="157">
        <f ca="1">ROUND(IF(R2445=0,0,IF(R2445=1,X2445*$S$1,IF(R2445=2,X2445*$S$1*buff的资质计算!$E$2,IF(R2445=3,X2445*$S$1*buff的资质计算!$E$3,0)))),0)*0</f>
        <v>0</v>
      </c>
      <c r="T2445" s="153">
        <v>2</v>
      </c>
      <c r="U2445" s="153">
        <f ca="1" t="shared" si="426"/>
        <v>44</v>
      </c>
      <c r="V2445" s="153">
        <f ca="1">ROUND((OFFSET(卡牌辅助配置表!$O$1,MATCH(U2445,卡牌辅助配置表!M:M,0)-1,0)+(N2445-1)*OFFSET(卡牌辅助配置表!$P$1,MATCH(U2445,卡牌辅助配置表!M:M,0)-1,0))*M2445,2)</f>
        <v>754.02</v>
      </c>
      <c r="W2445" s="157">
        <f ca="1">ROUND(IF(R2445=0,0,IF(R2445=1,X2445*$W$1,IF(R2445=2,X2445*$W$1*buff的资质计算!$E$2,IF(R2445=3,X2445*$W$1*buff的资质计算!$E$3,0)))),2)</f>
        <v>33.9</v>
      </c>
      <c r="X2445" s="157">
        <f ca="1" t="shared" si="423"/>
        <v>113</v>
      </c>
      <c r="Y2445" s="157">
        <f ca="1" t="shared" si="429"/>
        <v>131.75</v>
      </c>
      <c r="Z2445" s="304">
        <f ca="1" t="shared" si="424"/>
        <v>43.9166666666667</v>
      </c>
      <c r="AA2445" s="304">
        <f ca="1">OFFSET(卡牌辅助配置表!$AD$1,MATCH(AB2445,卡牌辅助配置表!AB:AB,0)-1,0)</f>
        <v>82436</v>
      </c>
      <c r="AB2445" s="304">
        <f ca="1" t="shared" si="427"/>
        <v>4429</v>
      </c>
      <c r="AC2445" s="153">
        <v>10</v>
      </c>
      <c r="AD2445" s="153">
        <v>3</v>
      </c>
      <c r="AE2445" s="153">
        <v>1</v>
      </c>
      <c r="AF2445" s="153" t="str">
        <f ca="1" t="shared" si="422"/>
        <v>34050011|34050012|</v>
      </c>
      <c r="AH2445" s="153">
        <v>1</v>
      </c>
      <c r="AJ2445" s="205">
        <f ca="1" t="shared" si="428"/>
        <v>0</v>
      </c>
      <c r="AK2445" s="205">
        <f ca="1">OFFSET([1]item_type!$A$1,MATCH(Q2445,[1]item_type!$G:$G,0)-1,0)</f>
        <v>303405</v>
      </c>
      <c r="AL2445" s="205">
        <v>30</v>
      </c>
      <c r="AM2445" s="205">
        <f ca="1">IF(B2445=B2446,OFFSET(卡牌辅助配置表!$AE$1,MATCH(AB2445,卡牌辅助配置表!AB:AB,0),0),0)</f>
        <v>42900</v>
      </c>
      <c r="AN2445" s="153">
        <f ca="1" t="shared" si="421"/>
        <v>0</v>
      </c>
      <c r="AP2445" s="153" t="str">
        <f ca="1">IF(AC2445=0,0,IF(AC2445=12,0,OFFSET(effect!$N$1,MATCH(K2445,effect!M:M,0)-1,0)))</f>
        <v>kpsx_huangse</v>
      </c>
    </row>
    <row r="2446" spans="1:42">
      <c r="A2446" s="153">
        <f ca="1" t="shared" si="425"/>
        <v>3405030</v>
      </c>
      <c r="B2446" s="91" t="s">
        <v>484</v>
      </c>
      <c r="C2446" s="186">
        <v>3</v>
      </c>
      <c r="D2446" s="186">
        <v>2</v>
      </c>
      <c r="E2446" s="165" t="s">
        <v>1069</v>
      </c>
      <c r="F2446" s="165" t="str">
        <f>"消耗至多5个魂，每消耗1个魂造成伤害增加"&amp;skill!$O$157/100&amp;"%的真实伤害"</f>
        <v>消耗至多5个魂，每消耗1个魂造成伤害增加50%的真实伤害</v>
      </c>
      <c r="G2446" s="186">
        <f ca="1">OFFSET(卡牌辅助配置表!$C$1,MATCH(AC2446,卡牌辅助配置表!A:A,0)-1,0)</f>
        <v>3</v>
      </c>
      <c r="H2446" s="186">
        <f ca="1">OFFSET(skill!$Q$1,MATCH(B2446,skill!B:B,0)-1,0)</f>
        <v>18.75</v>
      </c>
      <c r="I2446" s="186"/>
      <c r="J2446" s="186">
        <f ca="1">OFFSET(card_type!$F$1,MATCH(Q2446,card_type!A:A,0)-1,0)</f>
        <v>4</v>
      </c>
      <c r="K2446" s="243">
        <f ca="1">OFFSET(card_type!$G$1,MATCH(Q2446,card_type!A:A,0)-1,0)</f>
        <v>4</v>
      </c>
      <c r="L2446" s="157">
        <v>3</v>
      </c>
      <c r="M2446" s="157">
        <v>3</v>
      </c>
      <c r="N2446" s="153">
        <f t="shared" si="420"/>
        <v>30</v>
      </c>
      <c r="O2446" s="157"/>
      <c r="P2446" s="157"/>
      <c r="Q2446" s="153">
        <f ca="1">OFFSET(card_type!$A$1,MATCH(card!B2446,card_type!B:B,0)-1,0)</f>
        <v>3405</v>
      </c>
      <c r="R2446" s="153">
        <v>1</v>
      </c>
      <c r="S2446" s="157">
        <f ca="1">ROUND(IF(R2446=0,0,IF(R2446=1,X2446*$S$1,IF(R2446=2,X2446*$S$1*buff的资质计算!$E$2,IF(R2446=3,X2446*$S$1*buff的资质计算!$E$3,0)))),0)*0</f>
        <v>0</v>
      </c>
      <c r="T2446" s="153">
        <v>2</v>
      </c>
      <c r="U2446" s="153">
        <f ca="1" t="shared" si="426"/>
        <v>44</v>
      </c>
      <c r="V2446" s="153">
        <f ca="1">ROUND((OFFSET(卡牌辅助配置表!$O$1,MATCH(U2446,卡牌辅助配置表!M:M,0)-1,0)+(N2446-1)*OFFSET(卡牌辅助配置表!$P$1,MATCH(U2446,卡牌辅助配置表!M:M,0)-1,0))*M2446,2)</f>
        <v>775.26</v>
      </c>
      <c r="W2446" s="157">
        <f ca="1">ROUND(IF(R2446=0,0,IF(R2446=1,X2446*$W$1,IF(R2446=2,X2446*$W$1*buff的资质计算!$E$2,IF(R2446=3,X2446*$W$1*buff的资质计算!$E$3,0)))),2)</f>
        <v>34.05</v>
      </c>
      <c r="X2446" s="157">
        <f ca="1" t="shared" si="423"/>
        <v>113.5</v>
      </c>
      <c r="Y2446" s="157">
        <f ca="1" t="shared" si="429"/>
        <v>132.25</v>
      </c>
      <c r="Z2446" s="304">
        <f ca="1" t="shared" si="424"/>
        <v>44.0833333333333</v>
      </c>
      <c r="AA2446" s="304">
        <f ca="1">OFFSET(卡牌辅助配置表!$AD$1,MATCH(AB2446,卡牌辅助配置表!AB:AB,0)-1,0)</f>
        <v>86270</v>
      </c>
      <c r="AB2446" s="304">
        <f ca="1" t="shared" si="427"/>
        <v>4430</v>
      </c>
      <c r="AC2446" s="153">
        <v>10</v>
      </c>
      <c r="AD2446" s="153">
        <v>3</v>
      </c>
      <c r="AE2446" s="153">
        <v>1</v>
      </c>
      <c r="AF2446" s="153" t="str">
        <f ca="1" t="shared" si="422"/>
        <v>34050011|34050012|</v>
      </c>
      <c r="AH2446" s="153">
        <v>1</v>
      </c>
      <c r="AJ2446" s="205">
        <f ca="1" t="shared" si="428"/>
        <v>0</v>
      </c>
      <c r="AK2446" s="205">
        <f ca="1">OFFSET([1]item_type!$A$1,MATCH(Q2446,[1]item_type!$G:$G,0)-1,0)</f>
        <v>303405</v>
      </c>
      <c r="AL2446" s="205"/>
      <c r="AM2446" s="205">
        <f ca="1">IF(B2446=B2447,OFFSET(卡牌辅助配置表!$AE$1,MATCH(AB2446,卡牌辅助配置表!AB:AB,0),0),0)</f>
        <v>0</v>
      </c>
      <c r="AN2446" s="153">
        <f ca="1" t="shared" si="421"/>
        <v>0</v>
      </c>
      <c r="AP2446" s="153" t="str">
        <f ca="1">IF(AC2446=0,0,IF(AC2446=12,0,OFFSET(effect!$N$1,MATCH(K2446,effect!M:M,0)-1,0)))</f>
        <v>kpsx_huangse</v>
      </c>
    </row>
    <row r="2447" spans="1:42">
      <c r="A2447" s="153">
        <f ca="1" t="shared" si="425"/>
        <v>3029001</v>
      </c>
      <c r="B2447" s="91" t="s">
        <v>954</v>
      </c>
      <c r="C2447" s="186">
        <v>3</v>
      </c>
      <c r="D2447" s="186">
        <v>2</v>
      </c>
      <c r="E2447" s="165" t="s">
        <v>1069</v>
      </c>
      <c r="F2447" s="306" t="s">
        <v>1080</v>
      </c>
      <c r="G2447" s="186">
        <f ca="1">OFFSET(卡牌辅助配置表!$C$1,MATCH(AC2447,卡牌辅助配置表!A:A,0)-1,0)</f>
        <v>0</v>
      </c>
      <c r="H2447" s="186">
        <f ca="1">OFFSET(skill!$Q$1,MATCH(B2447,skill!B:B,0)-1,0)</f>
        <v>0</v>
      </c>
      <c r="I2447" s="186"/>
      <c r="J2447" s="186">
        <f ca="1">OFFSET(card_type!$F$1,MATCH(Q2447,card_type!A:A,0)-1,0)</f>
        <v>5</v>
      </c>
      <c r="K2447" s="243">
        <f ca="1">OFFSET(card_type!$G$1,MATCH(Q2447,card_type!A:A,0)-1,0)</f>
        <v>3</v>
      </c>
      <c r="L2447" s="157">
        <v>4</v>
      </c>
      <c r="M2447" s="157">
        <v>4</v>
      </c>
      <c r="N2447" s="153">
        <f>IF(B2387=B2447,N2387+1,1)</f>
        <v>1</v>
      </c>
      <c r="O2447" s="157"/>
      <c r="P2447" s="157"/>
      <c r="Q2447" s="153">
        <f ca="1">OFFSET(card_type!$A$1,MATCH(card!B2447,card_type!B:B,0)-1,0)</f>
        <v>3029</v>
      </c>
      <c r="R2447" s="153">
        <v>1</v>
      </c>
      <c r="S2447" s="157">
        <f ca="1">ROUND(IF(R2447=0,0,IF(R2447=1,X2447*$S$1,IF(R2447=2,X2447*$S$1*buff的资质计算!$E$2,IF(R2447=3,X2447*$S$1*buff的资质计算!$E$3,0)))),0)*0</f>
        <v>0</v>
      </c>
      <c r="T2447" s="153">
        <v>2</v>
      </c>
      <c r="U2447" s="153">
        <f ca="1" t="shared" si="426"/>
        <v>53</v>
      </c>
      <c r="V2447" s="153">
        <f ca="1">ROUND((OFFSET(卡牌辅助配置表!$O$1,MATCH(U2447,卡牌辅助配置表!M:M,0)-1,0)+(N2447-1)*OFFSET(卡牌辅助配置表!$P$1,MATCH(U2447,卡牌辅助配置表!M:M,0)-1,0))*M2447,2)</f>
        <v>251.33</v>
      </c>
      <c r="W2447" s="157">
        <f ca="1">ROUND(IF(R2447=0,0,IF(R2447=1,X2447*$W$1,IF(R2447=2,X2447*$W$1*buff的资质计算!$E$2,IF(R2447=3,X2447*$W$1*buff的资质计算!$E$3,0)))),2)</f>
        <v>39.6</v>
      </c>
      <c r="X2447" s="157">
        <f ca="1" t="shared" si="423"/>
        <v>132</v>
      </c>
      <c r="Y2447" s="157">
        <f ca="1" t="shared" si="429"/>
        <v>132</v>
      </c>
      <c r="Z2447" s="304">
        <f ca="1" t="shared" si="424"/>
        <v>33</v>
      </c>
      <c r="AA2447" s="304">
        <f ca="1">OFFSET(卡牌辅助配置表!$AD$1,MATCH(AB2447,卡牌辅助配置表!AB:AB,0)-1,0)</f>
        <v>3834</v>
      </c>
      <c r="AB2447" s="304">
        <f ca="1" t="shared" si="427"/>
        <v>5301</v>
      </c>
      <c r="AC2447" s="153">
        <v>12</v>
      </c>
      <c r="AF2447" s="153" t="str">
        <f ca="1">(A2447*10+1)&amp;$AF$1&amp;(A2447*10+2)&amp;$AF$1</f>
        <v>30290011|30290012|</v>
      </c>
      <c r="AJ2447" s="205">
        <f ca="1" t="shared" si="428"/>
        <v>0</v>
      </c>
      <c r="AK2447" s="205">
        <f ca="1">OFFSET([1]item_type!$A$1,MATCH(Q2447,[1]item_type!$G:$G,0)-1,0)</f>
        <v>303029</v>
      </c>
      <c r="AM2447" s="205">
        <f ca="1">IF(B2447=B2448,OFFSET(卡牌辅助配置表!$AE$1,MATCH(AB2447,卡牌辅助配置表!AB:AB,0),0),0)</f>
        <v>0</v>
      </c>
      <c r="AN2447" s="153">
        <f ca="1" t="shared" ref="AN2447:AN2458" si="430">IF(B2447=B2448,A2447+1,0)</f>
        <v>0</v>
      </c>
      <c r="AP2447" s="153">
        <f ca="1">IF(AC2447=0,0,IF(AC2447=12,0,OFFSET(effect!$N$1,MATCH(K2447,effect!M:M,0)-1,0)))</f>
        <v>0</v>
      </c>
    </row>
    <row r="2448" spans="1:42">
      <c r="A2448" s="153">
        <f ca="1" t="shared" si="425"/>
        <v>3030001</v>
      </c>
      <c r="B2448" s="91" t="s">
        <v>958</v>
      </c>
      <c r="C2448" s="186">
        <v>3</v>
      </c>
      <c r="D2448" s="186">
        <v>2</v>
      </c>
      <c r="E2448" s="165" t="s">
        <v>1069</v>
      </c>
      <c r="F2448" s="306" t="s">
        <v>959</v>
      </c>
      <c r="G2448" s="186">
        <f ca="1">OFFSET(卡牌辅助配置表!$C$1,MATCH(AC2448,卡牌辅助配置表!A:A,0)-1,0)</f>
        <v>3</v>
      </c>
      <c r="H2448" s="186">
        <f ca="1">OFFSET(skill!$Q$1,MATCH(B2448,skill!B:B,0)-1,0)</f>
        <v>0</v>
      </c>
      <c r="I2448" s="186"/>
      <c r="J2448" s="186">
        <f ca="1">OFFSET(card_type!$F$1,MATCH(Q2448,card_type!A:A,0)-1,0)</f>
        <v>6</v>
      </c>
      <c r="K2448" s="243">
        <f ca="1">OFFSET(card_type!$G$1,MATCH(Q2448,card_type!A:A,0)-1,0)</f>
        <v>3</v>
      </c>
      <c r="L2448" s="157">
        <v>3</v>
      </c>
      <c r="M2448" s="157">
        <v>3</v>
      </c>
      <c r="N2448" s="153">
        <f t="shared" ref="N2448:N2458" si="431">IF(B2447=B2448,N2447+1,1)</f>
        <v>1</v>
      </c>
      <c r="O2448" s="157"/>
      <c r="P2448" s="157"/>
      <c r="Q2448" s="153">
        <f ca="1">OFFSET(card_type!$A$1,MATCH(card!B2448,card_type!B:B,0)-1,0)</f>
        <v>3030</v>
      </c>
      <c r="R2448" s="153">
        <v>1</v>
      </c>
      <c r="S2448" s="157">
        <f ca="1">ROUND(IF(R2448=0,0,IF(R2448=1,X2448*$S$1,IF(R2448=2,X2448*$S$1*buff的资质计算!$E$2,IF(R2448=3,X2448*$S$1*buff的资质计算!$E$3,0)))),0)*0</f>
        <v>0</v>
      </c>
      <c r="T2448" s="153">
        <v>2</v>
      </c>
      <c r="U2448" s="153">
        <f ca="1" t="shared" si="426"/>
        <v>63</v>
      </c>
      <c r="V2448" s="153">
        <f ca="1">ROUND((OFFSET(卡牌辅助配置表!$O$1,MATCH(U2448,卡牌辅助配置表!M:M,0)-1,0)+(N2448-1)*OFFSET(卡牌辅助配置表!$P$1,MATCH(U2448,卡牌辅助配置表!M:M,0)-1,0))*M2448,2)</f>
        <v>344.16</v>
      </c>
      <c r="W2448" s="157">
        <f ca="1">ROUND(IF(R2448=0,0,IF(R2448=1,X2448*$W$1,IF(R2448=2,X2448*$W$1*buff的资质计算!$E$2,IF(R2448=3,X2448*$W$1*buff的资质计算!$E$3,0)))),2)</f>
        <v>35.1</v>
      </c>
      <c r="X2448" s="157">
        <f ca="1" t="shared" si="423"/>
        <v>117</v>
      </c>
      <c r="Y2448" s="157">
        <f ca="1" t="shared" si="429"/>
        <v>117</v>
      </c>
      <c r="Z2448" s="304">
        <f ca="1" t="shared" si="424"/>
        <v>39</v>
      </c>
      <c r="AA2448" s="304">
        <f ca="1">OFFSET(卡牌辅助配置表!$AD$1,MATCH(AB2448,卡牌辅助配置表!AB:AB,0)-1,0)</f>
        <v>3834</v>
      </c>
      <c r="AB2448" s="304">
        <f ca="1" t="shared" si="427"/>
        <v>6301</v>
      </c>
      <c r="AC2448" s="153">
        <v>10</v>
      </c>
      <c r="AD2448" s="153">
        <v>3</v>
      </c>
      <c r="AE2448" s="153">
        <v>1</v>
      </c>
      <c r="AF2448" s="153" t="str">
        <f ca="1">(A2448*10+1)&amp;$AF$1&amp;(A2448*10+2)&amp;$AF$1</f>
        <v>30300011|30300012|</v>
      </c>
      <c r="AJ2448" s="205">
        <f ca="1" t="shared" si="428"/>
        <v>0</v>
      </c>
      <c r="AK2448" s="205">
        <f ca="1">OFFSET([1]item_type!$A$1,MATCH(Q2448,[1]item_type!$G:$G,0)-1,0)</f>
        <v>303030</v>
      </c>
      <c r="AM2448" s="205">
        <f ca="1">IF(B2448=B2449,OFFSET(卡牌辅助配置表!$AE$1,MATCH(AB2448,卡牌辅助配置表!AB:AB,0),0),0)</f>
        <v>0</v>
      </c>
      <c r="AN2448" s="153">
        <f ca="1" t="shared" si="430"/>
        <v>0</v>
      </c>
      <c r="AP2448" s="153" t="str">
        <f ca="1">IF(AC2448=0,0,IF(AC2448=12,0,OFFSET(effect!$N$1,MATCH(K2448,effect!M:M,0)-1,0)))</f>
        <v>kpsx_zise</v>
      </c>
    </row>
    <row r="2449" spans="1:42">
      <c r="A2449" s="153">
        <f ca="1" t="shared" si="425"/>
        <v>10001001</v>
      </c>
      <c r="B2449" s="153" t="s">
        <v>962</v>
      </c>
      <c r="C2449" s="186">
        <v>1</v>
      </c>
      <c r="D2449" s="153">
        <v>6</v>
      </c>
      <c r="E2449" s="186" t="s">
        <v>577</v>
      </c>
      <c r="F2449" s="186"/>
      <c r="G2449" s="186">
        <f ca="1">OFFSET(卡牌辅助配置表!$C$1,MATCH(AC2449,卡牌辅助配置表!A:A,0)-1,0)</f>
        <v>0</v>
      </c>
      <c r="H2449" s="186">
        <f ca="1" t="shared" ref="H2449:H2452" si="432">IF(R2449=0,Y2449,0)</f>
        <v>0</v>
      </c>
      <c r="I2449" s="186"/>
      <c r="J2449" s="186">
        <f ca="1">OFFSET(card_type!$F$1,MATCH(Q2449,card_type!A:A,0)-1,0)</f>
        <v>1</v>
      </c>
      <c r="K2449" s="243">
        <f ca="1">OFFSET(card_type!$G$1,MATCH(Q2449,card_type!A:A,0)-1,0)</f>
        <v>1</v>
      </c>
      <c r="L2449" s="157">
        <v>3</v>
      </c>
      <c r="M2449" s="157">
        <v>3</v>
      </c>
      <c r="N2449" s="153">
        <f t="shared" si="431"/>
        <v>1</v>
      </c>
      <c r="O2449" s="157"/>
      <c r="P2449" s="157"/>
      <c r="Q2449" s="153">
        <f ca="1">OFFSET(card_type!$A$1,MATCH(card!B2449,card_type!B:B,0)-1,0)</f>
        <v>10001</v>
      </c>
      <c r="R2449" s="153">
        <v>1</v>
      </c>
      <c r="S2449" s="157">
        <f ca="1">ROUND(IF(R2449=0,0,IF(R2449=1,X2449*$S$1,IF(R2449=2,X2449*$S$1*buff的资质计算!$E$2,IF(R2449=3,X2449*$S$1*buff的资质计算!$E$3,0)))),0)*0</f>
        <v>0</v>
      </c>
      <c r="U2449" s="153">
        <f ca="1" t="shared" si="426"/>
        <v>11</v>
      </c>
      <c r="V2449" s="153">
        <f ca="1">ROUND((OFFSET(卡牌辅助配置表!$O$1,MATCH(U2449,卡牌辅助配置表!M:M,0)-1,0)+(N2449-1)*OFFSET(卡牌辅助配置表!$P$1,MATCH(U2449,卡牌辅助配置表!M:M,0)-1,0))*M2449,2)</f>
        <v>18.81</v>
      </c>
      <c r="W2449" s="157">
        <f ca="1">ROUND(IF(R2449=0,0,IF(R2449=1,X2449*$W$1,IF(R2449=2,X2449*$W$1*buff的资质计算!$E$2,IF(R2449=3,X2449*$W$1*buff的资质计算!$E$3,0)))),2)</f>
        <v>4.5</v>
      </c>
      <c r="X2449" s="157">
        <f ca="1" t="shared" si="423"/>
        <v>15</v>
      </c>
      <c r="Y2449" s="157">
        <f ca="1" t="shared" si="429"/>
        <v>15</v>
      </c>
      <c r="Z2449" s="304">
        <f ca="1" t="shared" si="424"/>
        <v>5</v>
      </c>
      <c r="AA2449" s="304"/>
      <c r="AB2449" s="304">
        <f ca="1" t="shared" si="427"/>
        <v>1101</v>
      </c>
      <c r="AF2449" s="153" t="str">
        <f ca="1" t="shared" ref="AF2449:AF2458" si="433">((Q2449*1000+1)*10+1)&amp;$AF$1</f>
        <v>100010011|</v>
      </c>
      <c r="AJ2449" s="205">
        <f ca="1" t="shared" si="428"/>
        <v>0</v>
      </c>
      <c r="AK2449" s="205"/>
      <c r="AM2449" s="205">
        <f>100*N2449</f>
        <v>100</v>
      </c>
      <c r="AN2449" s="153">
        <f ca="1" t="shared" si="430"/>
        <v>0</v>
      </c>
      <c r="AP2449" s="153">
        <f ca="1">IF(AC2449=0,0,IF(AC2449=12,0,OFFSET(effect!$N$1,MATCH(K2449,effect!M:M,0)-1,0)))</f>
        <v>0</v>
      </c>
    </row>
    <row r="2450" spans="1:42">
      <c r="A2450" s="153">
        <f ca="1" t="shared" si="425"/>
        <v>10002001</v>
      </c>
      <c r="B2450" s="153" t="s">
        <v>439</v>
      </c>
      <c r="C2450" s="186">
        <v>1</v>
      </c>
      <c r="D2450" s="153">
        <v>6</v>
      </c>
      <c r="E2450" s="186"/>
      <c r="F2450" s="179" t="s">
        <v>686</v>
      </c>
      <c r="G2450" s="186">
        <f ca="1">OFFSET(卡牌辅助配置表!$C$1,MATCH(AC2450,卡牌辅助配置表!A:A,0)-1,0)</f>
        <v>0</v>
      </c>
      <c r="H2450" s="186">
        <f ca="1">OFFSET(skill!$Q$1,MATCH(B2450,skill!B:B,0)-1,0)</f>
        <v>2.14285714285714</v>
      </c>
      <c r="I2450" s="186"/>
      <c r="J2450" s="186">
        <f ca="1">OFFSET(card_type!$F$1,MATCH(Q2450,card_type!A:A,0)-1,0)</f>
        <v>1</v>
      </c>
      <c r="K2450" s="243">
        <f ca="1">OFFSET(card_type!$G$1,MATCH(Q2450,card_type!A:A,0)-1,0)</f>
        <v>1</v>
      </c>
      <c r="L2450" s="157">
        <v>3</v>
      </c>
      <c r="M2450" s="157">
        <v>3</v>
      </c>
      <c r="N2450" s="153">
        <f t="shared" si="431"/>
        <v>1</v>
      </c>
      <c r="O2450" s="157"/>
      <c r="P2450" s="157"/>
      <c r="Q2450" s="153">
        <f ca="1">OFFSET(card_type!$A$1,MATCH(card!B2450,card_type!B:B,0)-1,0)</f>
        <v>10002</v>
      </c>
      <c r="R2450" s="153">
        <v>1</v>
      </c>
      <c r="S2450" s="157">
        <f ca="1">ROUND(IF(R2450=0,0,IF(R2450=1,X2450*$S$1,IF(R2450=2,X2450*$S$1*buff的资质计算!$E$2,IF(R2450=3,X2450*$S$1*buff的资质计算!$E$3,0)))),0)*0</f>
        <v>0</v>
      </c>
      <c r="T2450" s="153">
        <v>4</v>
      </c>
      <c r="U2450" s="153">
        <f ca="1" t="shared" si="426"/>
        <v>11</v>
      </c>
      <c r="V2450" s="153">
        <f ca="1">ROUND((OFFSET(卡牌辅助配置表!$O$1,MATCH(U2450,卡牌辅助配置表!M:M,0)-1,0)+(N2450-1)*OFFSET(卡牌辅助配置表!$P$1,MATCH(U2450,卡牌辅助配置表!M:M,0)-1,0))*M2450,2)</f>
        <v>18.81</v>
      </c>
      <c r="W2450" s="157">
        <f ca="1">ROUND(IF(R2450=0,0,IF(R2450=1,X2450*$W$1,IF(R2450=2,X2450*$W$1*buff的资质计算!$E$2,IF(R2450=3,X2450*$W$1*buff的资质计算!$E$3,0)))),2)</f>
        <v>4.5</v>
      </c>
      <c r="X2450" s="157">
        <f ca="1" t="shared" si="423"/>
        <v>15</v>
      </c>
      <c r="Y2450" s="157">
        <f ca="1" t="shared" si="429"/>
        <v>17.1428571428571</v>
      </c>
      <c r="Z2450" s="304">
        <f ca="1" t="shared" si="424"/>
        <v>5.71428571428571</v>
      </c>
      <c r="AA2450" s="304"/>
      <c r="AB2450" s="304">
        <f ca="1" t="shared" si="427"/>
        <v>1101</v>
      </c>
      <c r="AF2450" s="153" t="str">
        <f ca="1" t="shared" si="433"/>
        <v>100020011|</v>
      </c>
      <c r="AJ2450" s="205">
        <f ca="1" t="shared" si="428"/>
        <v>0</v>
      </c>
      <c r="AK2450" s="205"/>
      <c r="AM2450" s="205">
        <f>100*N2450</f>
        <v>100</v>
      </c>
      <c r="AN2450" s="153">
        <f ca="1" t="shared" si="430"/>
        <v>0</v>
      </c>
      <c r="AP2450" s="153">
        <f ca="1">IF(AC2450=0,0,IF(AC2450=12,0,OFFSET(effect!$N$1,MATCH(K2450,effect!M:M,0)-1,0)))</f>
        <v>0</v>
      </c>
    </row>
    <row r="2451" spans="1:42">
      <c r="A2451" s="153">
        <f ca="1" t="shared" si="425"/>
        <v>10003001</v>
      </c>
      <c r="B2451" s="153" t="s">
        <v>455</v>
      </c>
      <c r="C2451" s="186">
        <v>1</v>
      </c>
      <c r="D2451" s="153">
        <v>6</v>
      </c>
      <c r="E2451" s="165" t="s">
        <v>840</v>
      </c>
      <c r="F2451" s="186" t="s">
        <v>1081</v>
      </c>
      <c r="G2451" s="186">
        <f ca="1">OFFSET(卡牌辅助配置表!$C$1,MATCH(AC2451,卡牌辅助配置表!A:A,0)-1,0)</f>
        <v>0</v>
      </c>
      <c r="H2451" s="186">
        <f ca="1" t="shared" si="432"/>
        <v>0</v>
      </c>
      <c r="I2451" s="186"/>
      <c r="J2451" s="186">
        <f ca="1">OFFSET(card_type!$F$1,MATCH(Q2451,card_type!A:A,0)-1,0)</f>
        <v>1</v>
      </c>
      <c r="K2451" s="243">
        <f ca="1">OFFSET(card_type!$G$1,MATCH(Q2451,card_type!A:A,0)-1,0)</f>
        <v>1</v>
      </c>
      <c r="L2451" s="157">
        <v>1</v>
      </c>
      <c r="M2451" s="157">
        <v>1</v>
      </c>
      <c r="N2451" s="153">
        <f t="shared" si="431"/>
        <v>1</v>
      </c>
      <c r="O2451" s="157"/>
      <c r="P2451" s="157"/>
      <c r="Q2451" s="153">
        <f ca="1">OFFSET(card_type!$A$1,MATCH(card!B2451,card_type!B:B,0)-1,0)</f>
        <v>10003</v>
      </c>
      <c r="R2451" s="153">
        <v>1</v>
      </c>
      <c r="S2451" s="157">
        <f ca="1">ROUND(IF(R2451=0,0,IF(R2451=1,X2451*$S$1,IF(R2451=2,X2451*$S$1*buff的资质计算!$E$2,IF(R2451=3,X2451*$S$1*buff的资质计算!$E$3,0)))),0)*0</f>
        <v>0</v>
      </c>
      <c r="T2451" s="153">
        <v>5</v>
      </c>
      <c r="U2451" s="153">
        <f ca="1" t="shared" si="426"/>
        <v>11</v>
      </c>
      <c r="V2451" s="153">
        <f ca="1">ROUND((OFFSET(卡牌辅助配置表!$O$1,MATCH(U2451,卡牌辅助配置表!M:M,0)-1,0)+(N2451-1)*OFFSET(卡牌辅助配置表!$P$1,MATCH(U2451,卡牌辅助配置表!M:M,0)-1,0))*M2451,2)</f>
        <v>6.27</v>
      </c>
      <c r="W2451" s="157">
        <f ca="1">ROUND(IF(R2451=0,0,IF(R2451=1,X2451*$W$1,IF(R2451=2,X2451*$W$1*buff的资质计算!$E$2,IF(R2451=3,X2451*$W$1*buff的资质计算!$E$3,0)))),2)</f>
        <v>1.5</v>
      </c>
      <c r="X2451" s="157">
        <f ca="1" t="shared" si="423"/>
        <v>5</v>
      </c>
      <c r="Y2451" s="157">
        <f ca="1" t="shared" si="429"/>
        <v>5</v>
      </c>
      <c r="Z2451" s="304">
        <f ca="1" t="shared" si="424"/>
        <v>5</v>
      </c>
      <c r="AA2451" s="304"/>
      <c r="AB2451" s="304">
        <f ca="1" t="shared" si="427"/>
        <v>1101</v>
      </c>
      <c r="AF2451" s="153" t="str">
        <f ca="1" t="shared" si="433"/>
        <v>100030011|</v>
      </c>
      <c r="AH2451" s="153">
        <v>2</v>
      </c>
      <c r="AJ2451" s="205">
        <f ca="1" t="shared" si="428"/>
        <v>0</v>
      </c>
      <c r="AK2451" s="205"/>
      <c r="AM2451" s="205">
        <f t="shared" ref="AM2451:AM2458" si="434">100*N2451</f>
        <v>100</v>
      </c>
      <c r="AN2451" s="153">
        <f ca="1" t="shared" si="430"/>
        <v>0</v>
      </c>
      <c r="AP2451" s="153">
        <f ca="1">IF(AC2451=0,0,IF(AC2451=12,0,OFFSET(effect!$N$1,MATCH(K2451,effect!M:M,0)-1,0)))</f>
        <v>0</v>
      </c>
    </row>
    <row r="2452" spans="1:42">
      <c r="A2452" s="153">
        <f ca="1" t="shared" si="425"/>
        <v>30004001</v>
      </c>
      <c r="B2452" s="153" t="s">
        <v>970</v>
      </c>
      <c r="C2452" s="186">
        <v>3</v>
      </c>
      <c r="D2452" s="153">
        <v>3</v>
      </c>
      <c r="E2452" s="165" t="s">
        <v>840</v>
      </c>
      <c r="F2452" s="186"/>
      <c r="G2452" s="186">
        <f ca="1">OFFSET(卡牌辅助配置表!$C$1,MATCH(AC2452,卡牌辅助配置表!A:A,0)-1,0)</f>
        <v>0</v>
      </c>
      <c r="H2452" s="186">
        <f ca="1" t="shared" si="432"/>
        <v>0</v>
      </c>
      <c r="I2452" s="186"/>
      <c r="J2452" s="186">
        <f ca="1">OFFSET(card_type!$F$1,MATCH(Q2452,card_type!A:A,0)-1,0)</f>
        <v>1</v>
      </c>
      <c r="K2452" s="243">
        <f ca="1">OFFSET(card_type!$G$1,MATCH(Q2452,card_type!A:A,0)-1,0)</f>
        <v>1</v>
      </c>
      <c r="L2452" s="157">
        <v>2</v>
      </c>
      <c r="M2452" s="157">
        <v>2</v>
      </c>
      <c r="N2452" s="153">
        <f t="shared" si="431"/>
        <v>1</v>
      </c>
      <c r="O2452" s="157"/>
      <c r="P2452" s="157">
        <v>0</v>
      </c>
      <c r="Q2452" s="153">
        <f ca="1">OFFSET(card_type!$A$1,MATCH(card!B2452,card_type!B:B,0)-1,0)</f>
        <v>30004</v>
      </c>
      <c r="R2452" s="153">
        <v>1</v>
      </c>
      <c r="S2452" s="157">
        <f ca="1">ROUND(IF(R2452=0,0,IF(R2452=1,X2452*$S$1,IF(R2452=2,X2452*$S$1*buff的资质计算!$E$2,IF(R2452=3,X2452*$S$1*buff的资质计算!$E$3,0)))),0)*0</f>
        <v>0</v>
      </c>
      <c r="T2452" s="153">
        <v>5</v>
      </c>
      <c r="U2452" s="153">
        <f ca="1" t="shared" si="426"/>
        <v>11</v>
      </c>
      <c r="V2452" s="153">
        <f ca="1">ROUND((OFFSET(卡牌辅助配置表!$O$1,MATCH(U2452,卡牌辅助配置表!M:M,0)-1,0)+(N2452-1)*OFFSET(卡牌辅助配置表!$P$1,MATCH(U2452,卡牌辅助配置表!M:M,0)-1,0))*M2452,2)</f>
        <v>12.54</v>
      </c>
      <c r="W2452" s="157">
        <f ca="1">ROUND(IF(R2452=0,0,IF(R2452=1,X2452*$W$1,IF(R2452=2,X2452*$W$1*buff的资质计算!$E$2,IF(R2452=3,X2452*$W$1*buff的资质计算!$E$3,0)))),2)</f>
        <v>3</v>
      </c>
      <c r="X2452" s="157">
        <f ca="1" t="shared" si="423"/>
        <v>10</v>
      </c>
      <c r="Y2452" s="157">
        <f ca="1" t="shared" si="429"/>
        <v>10</v>
      </c>
      <c r="Z2452" s="304">
        <f ca="1" t="shared" si="424"/>
        <v>5</v>
      </c>
      <c r="AA2452" s="304"/>
      <c r="AB2452" s="304">
        <f ca="1" t="shared" si="427"/>
        <v>1101</v>
      </c>
      <c r="AF2452" s="153" t="str">
        <f ca="1" t="shared" si="433"/>
        <v>300040011|</v>
      </c>
      <c r="AJ2452" s="205">
        <f ca="1" t="shared" si="428"/>
        <v>0</v>
      </c>
      <c r="AK2452" s="205"/>
      <c r="AM2452" s="205">
        <f t="shared" si="434"/>
        <v>100</v>
      </c>
      <c r="AN2452" s="153">
        <f ca="1" t="shared" si="430"/>
        <v>0</v>
      </c>
      <c r="AP2452" s="153">
        <f ca="1">IF(AC2452=0,0,IF(AC2452=12,0,OFFSET(effect!$N$1,MATCH(K2452,effect!M:M,0)-1,0)))</f>
        <v>0</v>
      </c>
    </row>
    <row r="2453" spans="1:42">
      <c r="A2453" s="153">
        <f ca="1" t="shared" si="425"/>
        <v>30005001</v>
      </c>
      <c r="B2453" s="153" t="s">
        <v>974</v>
      </c>
      <c r="C2453" s="186">
        <v>3</v>
      </c>
      <c r="D2453" s="153">
        <v>3</v>
      </c>
      <c r="E2453" s="165" t="s">
        <v>840</v>
      </c>
      <c r="F2453" s="186" t="s">
        <v>975</v>
      </c>
      <c r="G2453" s="186">
        <v>3</v>
      </c>
      <c r="H2453" s="186">
        <f ca="1">OFFSET(skill!$Q$1,MATCH(B2453,skill!B:B,0)-1,0)</f>
        <v>0</v>
      </c>
      <c r="I2453" s="186"/>
      <c r="J2453" s="186">
        <f ca="1">OFFSET(card_type!$F$1,MATCH(Q2453,card_type!A:A,0)-1,0)</f>
        <v>1</v>
      </c>
      <c r="K2453" s="243">
        <f ca="1">OFFSET(card_type!$G$1,MATCH(Q2453,card_type!A:A,0)-1,0)</f>
        <v>1</v>
      </c>
      <c r="L2453" s="157">
        <v>3</v>
      </c>
      <c r="M2453" s="157">
        <v>3</v>
      </c>
      <c r="N2453" s="153">
        <f t="shared" si="431"/>
        <v>1</v>
      </c>
      <c r="O2453" s="157"/>
      <c r="P2453" s="157"/>
      <c r="Q2453" s="153">
        <f ca="1">OFFSET(card_type!$A$1,MATCH(card!B2453,card_type!B:B,0)-1,0)</f>
        <v>30005</v>
      </c>
      <c r="R2453" s="153">
        <v>1</v>
      </c>
      <c r="S2453" s="157">
        <f ca="1">ROUND(IF(R2453=0,0,IF(R2453=1,X2453*$S$1,IF(R2453=2,X2453*$S$1*buff的资质计算!$E$2,IF(R2453=3,X2453*$S$1*buff的资质计算!$E$3,0)))),0)*0</f>
        <v>0</v>
      </c>
      <c r="T2453" s="153">
        <v>5</v>
      </c>
      <c r="U2453" s="153">
        <f ca="1" t="shared" si="426"/>
        <v>11</v>
      </c>
      <c r="V2453" s="153">
        <f ca="1">ROUND((OFFSET(卡牌辅助配置表!$O$1,MATCH(U2453,卡牌辅助配置表!M:M,0)-1,0)+(N2453-1)*OFFSET(卡牌辅助配置表!$P$1,MATCH(U2453,卡牌辅助配置表!M:M,0)-1,0))*M2453,2)</f>
        <v>18.81</v>
      </c>
      <c r="W2453" s="157">
        <f ca="1">ROUND(IF(R2453=0,0,IF(R2453=1,X2453*$W$1,IF(R2453=2,X2453*$W$1*buff的资质计算!$E$2,IF(R2453=3,X2453*$W$1*buff的资质计算!$E$3,0)))),2)</f>
        <v>5.4</v>
      </c>
      <c r="X2453" s="157">
        <f ca="1" t="shared" si="423"/>
        <v>18</v>
      </c>
      <c r="Y2453" s="157">
        <f ca="1" t="shared" si="429"/>
        <v>18</v>
      </c>
      <c r="Z2453" s="304">
        <f ca="1" t="shared" si="424"/>
        <v>6</v>
      </c>
      <c r="AA2453" s="304"/>
      <c r="AB2453" s="304">
        <f ca="1" t="shared" si="427"/>
        <v>1101</v>
      </c>
      <c r="AF2453" s="153" t="str">
        <f ca="1" t="shared" si="433"/>
        <v>300050011|</v>
      </c>
      <c r="AJ2453" s="205">
        <f ca="1" t="shared" si="428"/>
        <v>0</v>
      </c>
      <c r="AK2453" s="205"/>
      <c r="AM2453" s="205">
        <f t="shared" si="434"/>
        <v>100</v>
      </c>
      <c r="AN2453" s="153">
        <f ca="1" t="shared" si="430"/>
        <v>0</v>
      </c>
      <c r="AP2453" s="153">
        <f ca="1">IF(AC2453=0,0,IF(AC2453=12,0,OFFSET(effect!$N$1,MATCH(K2453,effect!M:M,0)-1,0)))</f>
        <v>0</v>
      </c>
    </row>
    <row r="2454" spans="1:42">
      <c r="A2454" s="153">
        <f ca="1" t="shared" si="425"/>
        <v>30006001</v>
      </c>
      <c r="B2454" s="153" t="s">
        <v>978</v>
      </c>
      <c r="C2454" s="186">
        <v>3</v>
      </c>
      <c r="D2454" s="153">
        <v>6</v>
      </c>
      <c r="E2454" s="165"/>
      <c r="F2454" s="186" t="s">
        <v>979</v>
      </c>
      <c r="G2454" s="186">
        <v>0</v>
      </c>
      <c r="H2454" s="186">
        <f ca="1" t="shared" ref="H2454:H2457" si="435">IF(R2454=0,Y2454,0)</f>
        <v>0</v>
      </c>
      <c r="I2454" s="186"/>
      <c r="J2454" s="186">
        <f ca="1">OFFSET(card_type!$F$1,MATCH(Q2454,card_type!A:A,0)-1,0)</f>
        <v>1</v>
      </c>
      <c r="K2454" s="243">
        <f ca="1">OFFSET(card_type!$G$1,MATCH(Q2454,card_type!A:A,0)-1,0)</f>
        <v>1</v>
      </c>
      <c r="L2454" s="157">
        <v>1</v>
      </c>
      <c r="M2454" s="157">
        <v>1</v>
      </c>
      <c r="N2454" s="153">
        <f t="shared" si="431"/>
        <v>1</v>
      </c>
      <c r="O2454" s="157"/>
      <c r="P2454" s="157">
        <v>0</v>
      </c>
      <c r="Q2454" s="153">
        <f ca="1">OFFSET(card_type!$A$1,MATCH(card!B2454,card_type!B:B,0)-1,0)</f>
        <v>30006</v>
      </c>
      <c r="R2454" s="153">
        <v>3</v>
      </c>
      <c r="S2454" s="157">
        <f ca="1">ROUND(IF(R2454=0,0,IF(R2454=1,X2454*$S$1,IF(R2454=2,X2454*$S$1*buff的资质计算!$E$2,IF(R2454=3,X2454*$S$1*buff的资质计算!$E$3,0)))),0)*0</f>
        <v>0</v>
      </c>
      <c r="T2454" s="153">
        <v>5</v>
      </c>
      <c r="U2454" s="153">
        <f ca="1" t="shared" si="426"/>
        <v>11</v>
      </c>
      <c r="V2454" s="153">
        <f ca="1">ROUND((OFFSET(卡牌辅助配置表!$O$1,MATCH(U2454,卡牌辅助配置表!M:M,0)-1,0)+(N2454-1)*OFFSET(卡牌辅助配置表!$P$1,MATCH(U2454,卡牌辅助配置表!M:M,0)-1,0))*M2454,2)</f>
        <v>6.27</v>
      </c>
      <c r="W2454" s="157">
        <f ca="1">ROUND(IF(R2454=0,0,IF(R2454=1,X2454*$W$1,IF(R2454=2,X2454*$W$1*buff的资质计算!$E$2,IF(R2454=3,X2454*$W$1*buff的资质计算!$E$3,0)))),2)</f>
        <v>1.95</v>
      </c>
      <c r="X2454" s="157">
        <f ca="1" t="shared" si="423"/>
        <v>5</v>
      </c>
      <c r="Y2454" s="157">
        <f ca="1" t="shared" si="429"/>
        <v>5</v>
      </c>
      <c r="Z2454" s="304">
        <f ca="1" t="shared" si="424"/>
        <v>5</v>
      </c>
      <c r="AA2454" s="304"/>
      <c r="AB2454" s="304">
        <f ca="1" t="shared" si="427"/>
        <v>1101</v>
      </c>
      <c r="AF2454" s="153" t="str">
        <f ca="1" t="shared" si="433"/>
        <v>300060011|</v>
      </c>
      <c r="AJ2454" s="205">
        <f ca="1" t="shared" si="428"/>
        <v>0</v>
      </c>
      <c r="AK2454" s="205"/>
      <c r="AM2454" s="205">
        <f t="shared" si="434"/>
        <v>100</v>
      </c>
      <c r="AN2454" s="153">
        <f ca="1" t="shared" si="430"/>
        <v>0</v>
      </c>
      <c r="AP2454" s="153">
        <f ca="1">IF(AC2454=0,0,IF(AC2454=12,0,OFFSET(effect!$N$1,MATCH(K2454,effect!M:M,0)-1,0)))</f>
        <v>0</v>
      </c>
    </row>
    <row r="2455" spans="1:42">
      <c r="A2455" s="153">
        <f ca="1" t="shared" si="425"/>
        <v>30007001</v>
      </c>
      <c r="B2455" s="153" t="s">
        <v>982</v>
      </c>
      <c r="C2455" s="186">
        <v>3</v>
      </c>
      <c r="D2455" s="153">
        <v>2</v>
      </c>
      <c r="E2455" s="165"/>
      <c r="F2455" s="186" t="s">
        <v>983</v>
      </c>
      <c r="G2455" s="186">
        <v>3</v>
      </c>
      <c r="H2455" s="186">
        <f ca="1" t="shared" si="435"/>
        <v>0</v>
      </c>
      <c r="I2455" s="186"/>
      <c r="J2455" s="186">
        <f ca="1">OFFSET(card_type!$F$1,MATCH(Q2455,card_type!A:A,0)-1,0)</f>
        <v>1</v>
      </c>
      <c r="K2455" s="243">
        <f ca="1">OFFSET(card_type!$G$1,MATCH(Q2455,card_type!A:A,0)-1,0)</f>
        <v>1</v>
      </c>
      <c r="L2455" s="157">
        <v>1</v>
      </c>
      <c r="M2455" s="157">
        <v>1</v>
      </c>
      <c r="N2455" s="153">
        <f t="shared" si="431"/>
        <v>1</v>
      </c>
      <c r="O2455" s="157"/>
      <c r="P2455" s="157">
        <v>0</v>
      </c>
      <c r="Q2455" s="153">
        <f ca="1">OFFSET(card_type!$A$1,MATCH(card!B2455,card_type!B:B,0)-1,0)</f>
        <v>30007</v>
      </c>
      <c r="R2455" s="153">
        <v>2</v>
      </c>
      <c r="S2455" s="157">
        <f ca="1">ROUND(IF(R2455=0,0,IF(R2455=1,X2455*$S$1,IF(R2455=2,X2455*$S$1*buff的资质计算!$E$2,IF(R2455=3,X2455*$S$1*buff的资质计算!$E$3,0)))),0)*0</f>
        <v>0</v>
      </c>
      <c r="T2455" s="153">
        <v>5</v>
      </c>
      <c r="U2455" s="153">
        <f ca="1" t="shared" si="426"/>
        <v>11</v>
      </c>
      <c r="V2455" s="153">
        <f ca="1">ROUND((OFFSET(卡牌辅助配置表!$O$1,MATCH(U2455,卡牌辅助配置表!M:M,0)-1,0)+(N2455-1)*OFFSET(卡牌辅助配置表!$P$1,MATCH(U2455,卡牌辅助配置表!M:M,0)-1,0))*M2455,2)</f>
        <v>6.27</v>
      </c>
      <c r="W2455" s="157">
        <f ca="1">ROUND(IF(R2455=0,0,IF(R2455=1,X2455*$W$1,IF(R2455=2,X2455*$W$1*buff的资质计算!$E$2,IF(R2455=3,X2455*$W$1*buff的资质计算!$E$3,0)))),2)</f>
        <v>2.88</v>
      </c>
      <c r="X2455" s="157">
        <f ca="1" t="shared" si="423"/>
        <v>8</v>
      </c>
      <c r="Y2455" s="157">
        <f ca="1" t="shared" si="429"/>
        <v>8</v>
      </c>
      <c r="Z2455" s="304">
        <f ca="1" t="shared" si="424"/>
        <v>8</v>
      </c>
      <c r="AA2455" s="304"/>
      <c r="AB2455" s="304">
        <f ca="1" t="shared" si="427"/>
        <v>1101</v>
      </c>
      <c r="AF2455" s="153" t="str">
        <f ca="1" t="shared" si="433"/>
        <v>300070011|</v>
      </c>
      <c r="AJ2455" s="205">
        <f ca="1" t="shared" si="428"/>
        <v>0</v>
      </c>
      <c r="AK2455" s="205"/>
      <c r="AM2455" s="205">
        <f t="shared" si="434"/>
        <v>100</v>
      </c>
      <c r="AN2455" s="153">
        <f ca="1" t="shared" si="430"/>
        <v>0</v>
      </c>
      <c r="AP2455" s="153">
        <f ca="1">IF(AC2455=0,0,IF(AC2455=12,0,OFFSET(effect!$N$1,MATCH(K2455,effect!M:M,0)-1,0)))</f>
        <v>0</v>
      </c>
    </row>
    <row r="2456" spans="1:42">
      <c r="A2456" s="153">
        <f ca="1" t="shared" si="425"/>
        <v>10008001</v>
      </c>
      <c r="B2456" s="153" t="s">
        <v>459</v>
      </c>
      <c r="C2456" s="186">
        <v>1</v>
      </c>
      <c r="D2456" s="153">
        <v>6</v>
      </c>
      <c r="E2456" s="165" t="s">
        <v>840</v>
      </c>
      <c r="F2456" s="186"/>
      <c r="G2456" s="186">
        <f ca="1">OFFSET(卡牌辅助配置表!$C$1,MATCH(AC2456,卡牌辅助配置表!A:A,0)-1,0)</f>
        <v>0</v>
      </c>
      <c r="H2456" s="186">
        <f ca="1">OFFSET(skill!$Q$1,MATCH(B2456,skill!B:B,0)-1,0)</f>
        <v>0</v>
      </c>
      <c r="I2456" s="186"/>
      <c r="J2456" s="186">
        <f ca="1">OFFSET(card_type!$F$1,MATCH(Q2456,card_type!A:A,0)-1,0)</f>
        <v>1</v>
      </c>
      <c r="K2456" s="243">
        <f ca="1">OFFSET(card_type!$G$1,MATCH(Q2456,card_type!A:A,0)-1,0)</f>
        <v>2</v>
      </c>
      <c r="L2456" s="157">
        <v>2</v>
      </c>
      <c r="M2456" s="157">
        <v>2</v>
      </c>
      <c r="N2456" s="153">
        <f t="shared" si="431"/>
        <v>1</v>
      </c>
      <c r="O2456" s="157"/>
      <c r="P2456" s="157"/>
      <c r="Q2456" s="153">
        <f ca="1">OFFSET(card_type!$A$1,MATCH(card!B2456,card_type!B:B,0)-1,0)</f>
        <v>10008</v>
      </c>
      <c r="R2456" s="153">
        <v>1</v>
      </c>
      <c r="S2456" s="157">
        <f ca="1">ROUND(IF(R2456=0,0,IF(R2456=1,X2456*$S$1,IF(R2456=2,X2456*$S$1*buff的资质计算!$E$2,IF(R2456=3,X2456*$S$1*buff的资质计算!$E$3,0)))),0)*0</f>
        <v>0</v>
      </c>
      <c r="T2456" s="153">
        <v>5</v>
      </c>
      <c r="U2456" s="153">
        <f ca="1" t="shared" si="426"/>
        <v>12</v>
      </c>
      <c r="V2456" s="153">
        <f ca="1">ROUND((OFFSET(卡牌辅助配置表!$O$1,MATCH(U2456,卡牌辅助配置表!M:M,0)-1,0)+(N2456-1)*OFFSET(卡牌辅助配置表!$P$1,MATCH(U2456,卡牌辅助配置表!M:M,0)-1,0))*M2456,2)</f>
        <v>19</v>
      </c>
      <c r="W2456" s="157">
        <f ca="1">ROUND(IF(R2456=0,0,IF(R2456=1,X2456*$W$1,IF(R2456=2,X2456*$W$1*buff的资质计算!$E$2,IF(R2456=3,X2456*$W$1*buff的资质计算!$E$3,0)))),2)</f>
        <v>5.4</v>
      </c>
      <c r="X2456" s="157">
        <f ca="1" t="shared" si="423"/>
        <v>18</v>
      </c>
      <c r="Y2456" s="157">
        <f ca="1" t="shared" si="429"/>
        <v>18</v>
      </c>
      <c r="Z2456" s="304">
        <f ca="1" t="shared" si="424"/>
        <v>9</v>
      </c>
      <c r="AA2456" s="304"/>
      <c r="AB2456" s="304">
        <f ca="1" t="shared" si="427"/>
        <v>1201</v>
      </c>
      <c r="AF2456" s="153" t="str">
        <f ca="1" t="shared" si="433"/>
        <v>100080011|</v>
      </c>
      <c r="AJ2456" s="205">
        <f ca="1" t="shared" si="428"/>
        <v>0</v>
      </c>
      <c r="AK2456" s="205"/>
      <c r="AM2456" s="205">
        <f t="shared" si="434"/>
        <v>100</v>
      </c>
      <c r="AN2456" s="153">
        <f ca="1" t="shared" si="430"/>
        <v>0</v>
      </c>
      <c r="AP2456" s="153">
        <f ca="1">IF(AC2456=0,0,IF(AC2456=12,0,OFFSET(effect!$N$1,MATCH(K2456,effect!M:M,0)-1,0)))</f>
        <v>0</v>
      </c>
    </row>
    <row r="2457" spans="1:42">
      <c r="A2457" s="153">
        <f ca="1" t="shared" si="425"/>
        <v>30009001</v>
      </c>
      <c r="B2457" s="79" t="s">
        <v>467</v>
      </c>
      <c r="C2457" s="186">
        <v>3</v>
      </c>
      <c r="D2457" s="153">
        <v>1</v>
      </c>
      <c r="E2457" s="165" t="s">
        <v>840</v>
      </c>
      <c r="F2457" s="186"/>
      <c r="G2457" s="186">
        <f ca="1">OFFSET(卡牌辅助配置表!$C$1,MATCH(AC2457,卡牌辅助配置表!A:A,0)-1,0)</f>
        <v>0</v>
      </c>
      <c r="H2457" s="186">
        <f ca="1" t="shared" si="435"/>
        <v>0</v>
      </c>
      <c r="I2457" s="186"/>
      <c r="J2457" s="186">
        <f ca="1">OFFSET(card_type!$F$1,MATCH(Q2457,card_type!A:A,0)-1,0)</f>
        <v>1</v>
      </c>
      <c r="K2457" s="243">
        <f ca="1">OFFSET(card_type!$G$1,MATCH(Q2457,card_type!A:A,0)-1,0)</f>
        <v>2</v>
      </c>
      <c r="L2457" s="157">
        <v>2</v>
      </c>
      <c r="M2457" s="157">
        <v>2</v>
      </c>
      <c r="N2457" s="153">
        <f t="shared" si="431"/>
        <v>1</v>
      </c>
      <c r="O2457" s="157"/>
      <c r="P2457" s="157"/>
      <c r="Q2457" s="153">
        <f ca="1">OFFSET(card_type!$A$1,MATCH(card!B2457,card_type!B:B,0)-1,0)</f>
        <v>30009</v>
      </c>
      <c r="R2457" s="153">
        <v>1</v>
      </c>
      <c r="S2457" s="157">
        <f ca="1">ROUND(IF(R2457=0,0,IF(R2457=1,X2457*$S$1,IF(R2457=2,X2457*$S$1*buff的资质计算!$E$2,IF(R2457=3,X2457*$S$1*buff的资质计算!$E$3,0)))),0)*0</f>
        <v>0</v>
      </c>
      <c r="T2457" s="153">
        <v>5</v>
      </c>
      <c r="U2457" s="153">
        <f ca="1" t="shared" si="426"/>
        <v>12</v>
      </c>
      <c r="V2457" s="153">
        <f ca="1">ROUND((OFFSET(卡牌辅助配置表!$O$1,MATCH(U2457,卡牌辅助配置表!M:M,0)-1,0)+(N2457-1)*OFFSET(卡牌辅助配置表!$P$1,MATCH(U2457,卡牌辅助配置表!M:M,0)-1,0))*M2457,2)</f>
        <v>19</v>
      </c>
      <c r="W2457" s="157">
        <f ca="1">ROUND(IF(R2457=0,0,IF(R2457=1,X2457*$W$1,IF(R2457=2,X2457*$W$1*buff的资质计算!$E$2,IF(R2457=3,X2457*$W$1*buff的资质计算!$E$3,0)))),2)</f>
        <v>5.4</v>
      </c>
      <c r="X2457" s="157">
        <f ca="1" t="shared" si="423"/>
        <v>18</v>
      </c>
      <c r="Y2457" s="157">
        <f ca="1" t="shared" si="429"/>
        <v>18</v>
      </c>
      <c r="Z2457" s="304">
        <f ca="1" t="shared" si="424"/>
        <v>9</v>
      </c>
      <c r="AA2457" s="304"/>
      <c r="AB2457" s="304">
        <f ca="1" t="shared" si="427"/>
        <v>1201</v>
      </c>
      <c r="AF2457" s="153" t="str">
        <f ca="1" t="shared" si="433"/>
        <v>300090011|</v>
      </c>
      <c r="AJ2457" s="205">
        <f ca="1" t="shared" si="428"/>
        <v>0</v>
      </c>
      <c r="AK2457" s="205"/>
      <c r="AM2457" s="205">
        <f t="shared" si="434"/>
        <v>100</v>
      </c>
      <c r="AN2457" s="153">
        <f ca="1" t="shared" si="430"/>
        <v>0</v>
      </c>
      <c r="AP2457" s="153">
        <f ca="1">IF(AC2457=0,0,IF(AC2457=12,0,OFFSET(effect!$N$1,MATCH(K2457,effect!M:M,0)-1,0)))</f>
        <v>0</v>
      </c>
    </row>
    <row r="2458" spans="1:42">
      <c r="A2458" s="153">
        <f ca="1" t="shared" si="425"/>
        <v>30010001</v>
      </c>
      <c r="B2458" s="79" t="s">
        <v>469</v>
      </c>
      <c r="C2458" s="186">
        <v>3</v>
      </c>
      <c r="D2458" s="153">
        <v>1</v>
      </c>
      <c r="E2458" s="165" t="s">
        <v>840</v>
      </c>
      <c r="F2458" s="186"/>
      <c r="G2458" s="186">
        <f ca="1">OFFSET(卡牌辅助配置表!$C$1,MATCH(AC2458,卡牌辅助配置表!A:A,0)-1,0)</f>
        <v>0</v>
      </c>
      <c r="H2458" s="186">
        <f ca="1">OFFSET(skill!$Q$1,MATCH(B2458,skill!B:B,0)-1,0)</f>
        <v>0</v>
      </c>
      <c r="I2458" s="186"/>
      <c r="J2458" s="186">
        <f ca="1">OFFSET(card_type!$F$1,MATCH(Q2458,card_type!A:A,0)-1,0)</f>
        <v>1</v>
      </c>
      <c r="K2458" s="243">
        <f ca="1">OFFSET(card_type!$G$1,MATCH(Q2458,card_type!A:A,0)-1,0)</f>
        <v>2</v>
      </c>
      <c r="L2458" s="157">
        <v>2</v>
      </c>
      <c r="M2458" s="157">
        <v>2</v>
      </c>
      <c r="N2458" s="153">
        <f t="shared" si="431"/>
        <v>1</v>
      </c>
      <c r="O2458" s="157"/>
      <c r="P2458" s="157"/>
      <c r="Q2458" s="153">
        <f ca="1">OFFSET(card_type!$A$1,MATCH(card!B2458,card_type!B:B,0)-1,0)</f>
        <v>30010</v>
      </c>
      <c r="R2458" s="153">
        <v>1</v>
      </c>
      <c r="S2458" s="157">
        <f ca="1">ROUND(IF(R2458=0,0,IF(R2458=1,X2458*$S$1,IF(R2458=2,X2458*$S$1*buff的资质计算!$E$2,IF(R2458=3,X2458*$S$1*buff的资质计算!$E$3,0)))),0)*0</f>
        <v>0</v>
      </c>
      <c r="T2458" s="153">
        <v>5</v>
      </c>
      <c r="U2458" s="153">
        <f ca="1" t="shared" si="426"/>
        <v>12</v>
      </c>
      <c r="V2458" s="153">
        <f ca="1">ROUND((OFFSET(卡牌辅助配置表!$O$1,MATCH(U2458,卡牌辅助配置表!M:M,0)-1,0)+(N2458-1)*OFFSET(卡牌辅助配置表!$P$1,MATCH(U2458,卡牌辅助配置表!M:M,0)-1,0))*M2458,2)</f>
        <v>19</v>
      </c>
      <c r="W2458" s="157">
        <f ca="1">ROUND(IF(R2458=0,0,IF(R2458=1,X2458*$W$1,IF(R2458=2,X2458*$W$1*buff的资质计算!$E$2,IF(R2458=3,X2458*$W$1*buff的资质计算!$E$3,0)))),2)</f>
        <v>5.4</v>
      </c>
      <c r="X2458" s="157">
        <f ca="1" t="shared" si="423"/>
        <v>18</v>
      </c>
      <c r="Y2458" s="157">
        <f ca="1" t="shared" si="429"/>
        <v>18</v>
      </c>
      <c r="Z2458" s="304">
        <f ca="1" t="shared" si="424"/>
        <v>9</v>
      </c>
      <c r="AA2458" s="304"/>
      <c r="AB2458" s="304">
        <f ca="1" t="shared" si="427"/>
        <v>1201</v>
      </c>
      <c r="AF2458" s="153" t="str">
        <f ca="1" t="shared" si="433"/>
        <v>300100011|</v>
      </c>
      <c r="AJ2458" s="205">
        <f ca="1" t="shared" si="428"/>
        <v>0</v>
      </c>
      <c r="AK2458" s="205"/>
      <c r="AM2458" s="205">
        <f t="shared" si="434"/>
        <v>100</v>
      </c>
      <c r="AN2458" s="153">
        <f ca="1" t="shared" si="430"/>
        <v>0</v>
      </c>
      <c r="AP2458" s="153">
        <f ca="1">IF(AC2458=0,0,IF(AC2458=12,0,OFFSET(effect!$N$1,MATCH(K2458,effect!M:M,0)-1,0)))</f>
        <v>0</v>
      </c>
    </row>
  </sheetData>
  <autoFilter xmlns:etc="http://www.wps.cn/officeDocument/2017/etCustomData" ref="A5:AL2458" etc:filterBottomFollowUsedRange="0">
    <extLst/>
  </autoFilter>
  <conditionalFormatting sqref="A7">
    <cfRule type="duplicateValues" dxfId="9" priority="2409"/>
  </conditionalFormatting>
  <conditionalFormatting sqref="A8">
    <cfRule type="duplicateValues" dxfId="9" priority="2408"/>
  </conditionalFormatting>
  <conditionalFormatting sqref="A9">
    <cfRule type="duplicateValues" dxfId="9" priority="2407"/>
  </conditionalFormatting>
  <conditionalFormatting sqref="A10">
    <cfRule type="duplicateValues" dxfId="9" priority="2406"/>
  </conditionalFormatting>
  <conditionalFormatting sqref="A26">
    <cfRule type="duplicateValues" dxfId="9" priority="463"/>
  </conditionalFormatting>
  <conditionalFormatting sqref="A27">
    <cfRule type="duplicateValues" dxfId="9" priority="462"/>
  </conditionalFormatting>
  <conditionalFormatting sqref="A28">
    <cfRule type="duplicateValues" dxfId="9" priority="461"/>
  </conditionalFormatting>
  <conditionalFormatting sqref="A29">
    <cfRule type="duplicateValues" dxfId="9" priority="460"/>
  </conditionalFormatting>
  <conditionalFormatting sqref="A30">
    <cfRule type="duplicateValues" dxfId="9" priority="459"/>
  </conditionalFormatting>
  <conditionalFormatting sqref="A31">
    <cfRule type="duplicateValues" dxfId="9" priority="458"/>
  </conditionalFormatting>
  <conditionalFormatting sqref="A32">
    <cfRule type="duplicateValues" dxfId="9" priority="457"/>
  </conditionalFormatting>
  <conditionalFormatting sqref="A33">
    <cfRule type="duplicateValues" dxfId="9" priority="456"/>
  </conditionalFormatting>
  <conditionalFormatting sqref="A34">
    <cfRule type="duplicateValues" dxfId="9" priority="455"/>
  </conditionalFormatting>
  <conditionalFormatting sqref="A35">
    <cfRule type="duplicateValues" dxfId="9" priority="454"/>
  </conditionalFormatting>
  <conditionalFormatting sqref="A37">
    <cfRule type="duplicateValues" dxfId="9" priority="2403"/>
  </conditionalFormatting>
  <conditionalFormatting sqref="A38">
    <cfRule type="duplicateValues" dxfId="9" priority="2402"/>
  </conditionalFormatting>
  <conditionalFormatting sqref="A39">
    <cfRule type="duplicateValues" dxfId="9" priority="2401"/>
  </conditionalFormatting>
  <conditionalFormatting sqref="A40">
    <cfRule type="duplicateValues" dxfId="9" priority="2400"/>
  </conditionalFormatting>
  <conditionalFormatting sqref="A41">
    <cfRule type="duplicateValues" dxfId="9" priority="2399"/>
  </conditionalFormatting>
  <conditionalFormatting sqref="A42">
    <cfRule type="duplicateValues" dxfId="9" priority="2398"/>
  </conditionalFormatting>
  <conditionalFormatting sqref="A43">
    <cfRule type="duplicateValues" dxfId="9" priority="2397"/>
  </conditionalFormatting>
  <conditionalFormatting sqref="A44">
    <cfRule type="duplicateValues" dxfId="9" priority="2396"/>
  </conditionalFormatting>
  <conditionalFormatting sqref="A45">
    <cfRule type="duplicateValues" dxfId="9" priority="2395"/>
  </conditionalFormatting>
  <conditionalFormatting sqref="A46">
    <cfRule type="duplicateValues" dxfId="9" priority="2394"/>
  </conditionalFormatting>
  <conditionalFormatting sqref="A47">
    <cfRule type="duplicateValues" dxfId="9" priority="2393"/>
  </conditionalFormatting>
  <conditionalFormatting sqref="A48">
    <cfRule type="duplicateValues" dxfId="9" priority="2392"/>
  </conditionalFormatting>
  <conditionalFormatting sqref="A49">
    <cfRule type="duplicateValues" dxfId="9" priority="2391"/>
  </conditionalFormatting>
  <conditionalFormatting sqref="A50">
    <cfRule type="duplicateValues" dxfId="9" priority="2390"/>
  </conditionalFormatting>
  <conditionalFormatting sqref="A51">
    <cfRule type="duplicateValues" dxfId="9" priority="2389"/>
  </conditionalFormatting>
  <conditionalFormatting sqref="A52">
    <cfRule type="duplicateValues" dxfId="9" priority="2388"/>
  </conditionalFormatting>
  <conditionalFormatting sqref="A53">
    <cfRule type="duplicateValues" dxfId="9" priority="2387"/>
  </conditionalFormatting>
  <conditionalFormatting sqref="A54">
    <cfRule type="duplicateValues" dxfId="9" priority="2386"/>
  </conditionalFormatting>
  <conditionalFormatting sqref="A55">
    <cfRule type="duplicateValues" dxfId="9" priority="2385"/>
  </conditionalFormatting>
  <conditionalFormatting sqref="A56">
    <cfRule type="duplicateValues" dxfId="9" priority="453"/>
  </conditionalFormatting>
  <conditionalFormatting sqref="A57">
    <cfRule type="duplicateValues" dxfId="9" priority="452"/>
  </conditionalFormatting>
  <conditionalFormatting sqref="A58">
    <cfRule type="duplicateValues" dxfId="9" priority="451"/>
  </conditionalFormatting>
  <conditionalFormatting sqref="A59">
    <cfRule type="duplicateValues" dxfId="9" priority="450"/>
  </conditionalFormatting>
  <conditionalFormatting sqref="A60">
    <cfRule type="duplicateValues" dxfId="9" priority="449"/>
  </conditionalFormatting>
  <conditionalFormatting sqref="A61">
    <cfRule type="duplicateValues" dxfId="9" priority="448"/>
  </conditionalFormatting>
  <conditionalFormatting sqref="A62">
    <cfRule type="duplicateValues" dxfId="9" priority="447"/>
  </conditionalFormatting>
  <conditionalFormatting sqref="A63">
    <cfRule type="duplicateValues" dxfId="9" priority="446"/>
  </conditionalFormatting>
  <conditionalFormatting sqref="A64">
    <cfRule type="duplicateValues" dxfId="9" priority="445"/>
  </conditionalFormatting>
  <conditionalFormatting sqref="A65">
    <cfRule type="duplicateValues" dxfId="9" priority="444"/>
  </conditionalFormatting>
  <conditionalFormatting sqref="A67">
    <cfRule type="duplicateValues" dxfId="9" priority="2384"/>
  </conditionalFormatting>
  <conditionalFormatting sqref="A68">
    <cfRule type="duplicateValues" dxfId="9" priority="2383"/>
  </conditionalFormatting>
  <conditionalFormatting sqref="A69">
    <cfRule type="duplicateValues" dxfId="9" priority="2382"/>
  </conditionalFormatting>
  <conditionalFormatting sqref="A70">
    <cfRule type="duplicateValues" dxfId="9" priority="2381"/>
  </conditionalFormatting>
  <conditionalFormatting sqref="A71">
    <cfRule type="duplicateValues" dxfId="9" priority="2380"/>
  </conditionalFormatting>
  <conditionalFormatting sqref="A72">
    <cfRule type="duplicateValues" dxfId="9" priority="2379"/>
  </conditionalFormatting>
  <conditionalFormatting sqref="A73">
    <cfRule type="duplicateValues" dxfId="9" priority="2378"/>
  </conditionalFormatting>
  <conditionalFormatting sqref="A74">
    <cfRule type="duplicateValues" dxfId="9" priority="2377"/>
  </conditionalFormatting>
  <conditionalFormatting sqref="A75">
    <cfRule type="duplicateValues" dxfId="9" priority="2376"/>
  </conditionalFormatting>
  <conditionalFormatting sqref="A76">
    <cfRule type="duplicateValues" dxfId="9" priority="2375"/>
  </conditionalFormatting>
  <conditionalFormatting sqref="A77">
    <cfRule type="duplicateValues" dxfId="9" priority="2374"/>
  </conditionalFormatting>
  <conditionalFormatting sqref="A78">
    <cfRule type="duplicateValues" dxfId="9" priority="2373"/>
  </conditionalFormatting>
  <conditionalFormatting sqref="A79">
    <cfRule type="duplicateValues" dxfId="9" priority="2372"/>
  </conditionalFormatting>
  <conditionalFormatting sqref="A80">
    <cfRule type="duplicateValues" dxfId="9" priority="2371"/>
  </conditionalFormatting>
  <conditionalFormatting sqref="A81">
    <cfRule type="duplicateValues" dxfId="9" priority="2370"/>
  </conditionalFormatting>
  <conditionalFormatting sqref="A82">
    <cfRule type="duplicateValues" dxfId="9" priority="2369"/>
  </conditionalFormatting>
  <conditionalFormatting sqref="A83">
    <cfRule type="duplicateValues" dxfId="9" priority="2368"/>
  </conditionalFormatting>
  <conditionalFormatting sqref="A84">
    <cfRule type="duplicateValues" dxfId="9" priority="2367"/>
  </conditionalFormatting>
  <conditionalFormatting sqref="A85">
    <cfRule type="duplicateValues" dxfId="9" priority="2366"/>
  </conditionalFormatting>
  <conditionalFormatting sqref="A86">
    <cfRule type="duplicateValues" dxfId="9" priority="443"/>
  </conditionalFormatting>
  <conditionalFormatting sqref="A87">
    <cfRule type="duplicateValues" dxfId="9" priority="442"/>
  </conditionalFormatting>
  <conditionalFormatting sqref="A88">
    <cfRule type="duplicateValues" dxfId="9" priority="441"/>
  </conditionalFormatting>
  <conditionalFormatting sqref="A89">
    <cfRule type="duplicateValues" dxfId="9" priority="440"/>
  </conditionalFormatting>
  <conditionalFormatting sqref="A90">
    <cfRule type="duplicateValues" dxfId="9" priority="439"/>
  </conditionalFormatting>
  <conditionalFormatting sqref="A91">
    <cfRule type="duplicateValues" dxfId="9" priority="438"/>
  </conditionalFormatting>
  <conditionalFormatting sqref="A92">
    <cfRule type="duplicateValues" dxfId="9" priority="437"/>
  </conditionalFormatting>
  <conditionalFormatting sqref="A93">
    <cfRule type="duplicateValues" dxfId="9" priority="436"/>
  </conditionalFormatting>
  <conditionalFormatting sqref="A94">
    <cfRule type="duplicateValues" dxfId="9" priority="435"/>
  </conditionalFormatting>
  <conditionalFormatting sqref="A95">
    <cfRule type="duplicateValues" dxfId="9" priority="434"/>
  </conditionalFormatting>
  <conditionalFormatting sqref="A97">
    <cfRule type="duplicateValues" dxfId="9" priority="2365"/>
  </conditionalFormatting>
  <conditionalFormatting sqref="A98">
    <cfRule type="duplicateValues" dxfId="9" priority="2364"/>
  </conditionalFormatting>
  <conditionalFormatting sqref="A99">
    <cfRule type="duplicateValues" dxfId="9" priority="2363"/>
  </conditionalFormatting>
  <conditionalFormatting sqref="A100">
    <cfRule type="duplicateValues" dxfId="9" priority="2362"/>
  </conditionalFormatting>
  <conditionalFormatting sqref="A101">
    <cfRule type="duplicateValues" dxfId="9" priority="2361"/>
  </conditionalFormatting>
  <conditionalFormatting sqref="A102">
    <cfRule type="duplicateValues" dxfId="9" priority="2360"/>
  </conditionalFormatting>
  <conditionalFormatting sqref="A103">
    <cfRule type="duplicateValues" dxfId="9" priority="2359"/>
  </conditionalFormatting>
  <conditionalFormatting sqref="A104">
    <cfRule type="duplicateValues" dxfId="9" priority="2358"/>
  </conditionalFormatting>
  <conditionalFormatting sqref="A105">
    <cfRule type="duplicateValues" dxfId="9" priority="2357"/>
  </conditionalFormatting>
  <conditionalFormatting sqref="A106">
    <cfRule type="duplicateValues" dxfId="9" priority="2356"/>
  </conditionalFormatting>
  <conditionalFormatting sqref="A107">
    <cfRule type="duplicateValues" dxfId="9" priority="2355"/>
  </conditionalFormatting>
  <conditionalFormatting sqref="A108">
    <cfRule type="duplicateValues" dxfId="9" priority="2354"/>
  </conditionalFormatting>
  <conditionalFormatting sqref="A109">
    <cfRule type="duplicateValues" dxfId="9" priority="2353"/>
  </conditionalFormatting>
  <conditionalFormatting sqref="A110">
    <cfRule type="duplicateValues" dxfId="9" priority="2352"/>
  </conditionalFormatting>
  <conditionalFormatting sqref="A111">
    <cfRule type="duplicateValues" dxfId="9" priority="2351"/>
  </conditionalFormatting>
  <conditionalFormatting sqref="A112">
    <cfRule type="duplicateValues" dxfId="9" priority="2350"/>
  </conditionalFormatting>
  <conditionalFormatting sqref="A113">
    <cfRule type="duplicateValues" dxfId="9" priority="2349"/>
  </conditionalFormatting>
  <conditionalFormatting sqref="A114">
    <cfRule type="duplicateValues" dxfId="9" priority="2348"/>
  </conditionalFormatting>
  <conditionalFormatting sqref="A115">
    <cfRule type="duplicateValues" dxfId="9" priority="2347"/>
  </conditionalFormatting>
  <conditionalFormatting sqref="A116">
    <cfRule type="duplicateValues" dxfId="9" priority="2346"/>
  </conditionalFormatting>
  <conditionalFormatting sqref="A117">
    <cfRule type="duplicateValues" dxfId="9" priority="2345"/>
  </conditionalFormatting>
  <conditionalFormatting sqref="A118">
    <cfRule type="duplicateValues" dxfId="9" priority="2344"/>
  </conditionalFormatting>
  <conditionalFormatting sqref="A119">
    <cfRule type="duplicateValues" dxfId="9" priority="2343"/>
  </conditionalFormatting>
  <conditionalFormatting sqref="A120">
    <cfRule type="duplicateValues" dxfId="9" priority="2342"/>
  </conditionalFormatting>
  <conditionalFormatting sqref="A121">
    <cfRule type="duplicateValues" dxfId="9" priority="2341"/>
  </conditionalFormatting>
  <conditionalFormatting sqref="A122">
    <cfRule type="duplicateValues" dxfId="9" priority="2340"/>
  </conditionalFormatting>
  <conditionalFormatting sqref="A123">
    <cfRule type="duplicateValues" dxfId="9" priority="2339"/>
  </conditionalFormatting>
  <conditionalFormatting sqref="A124">
    <cfRule type="duplicateValues" dxfId="9" priority="2338"/>
  </conditionalFormatting>
  <conditionalFormatting sqref="A125">
    <cfRule type="duplicateValues" dxfId="9" priority="2337"/>
  </conditionalFormatting>
  <conditionalFormatting sqref="A126">
    <cfRule type="duplicateValues" dxfId="9" priority="2336"/>
  </conditionalFormatting>
  <conditionalFormatting sqref="A127">
    <cfRule type="duplicateValues" dxfId="9" priority="2335"/>
  </conditionalFormatting>
  <conditionalFormatting sqref="A128">
    <cfRule type="duplicateValues" dxfId="9" priority="2334"/>
  </conditionalFormatting>
  <conditionalFormatting sqref="A129">
    <cfRule type="duplicateValues" dxfId="9" priority="2333"/>
  </conditionalFormatting>
  <conditionalFormatting sqref="A130">
    <cfRule type="duplicateValues" dxfId="9" priority="2332"/>
  </conditionalFormatting>
  <conditionalFormatting sqref="A131">
    <cfRule type="duplicateValues" dxfId="9" priority="2331"/>
  </conditionalFormatting>
  <conditionalFormatting sqref="A132">
    <cfRule type="duplicateValues" dxfId="9" priority="2330"/>
  </conditionalFormatting>
  <conditionalFormatting sqref="A133">
    <cfRule type="duplicateValues" dxfId="9" priority="2329"/>
  </conditionalFormatting>
  <conditionalFormatting sqref="A134">
    <cfRule type="duplicateValues" dxfId="9" priority="2328"/>
  </conditionalFormatting>
  <conditionalFormatting sqref="A135">
    <cfRule type="duplicateValues" dxfId="9" priority="2327"/>
  </conditionalFormatting>
  <conditionalFormatting sqref="A136">
    <cfRule type="duplicateValues" dxfId="9" priority="2326"/>
  </conditionalFormatting>
  <conditionalFormatting sqref="A137">
    <cfRule type="duplicateValues" dxfId="9" priority="2325"/>
  </conditionalFormatting>
  <conditionalFormatting sqref="A138">
    <cfRule type="duplicateValues" dxfId="9" priority="2324"/>
  </conditionalFormatting>
  <conditionalFormatting sqref="A139">
    <cfRule type="duplicateValues" dxfId="9" priority="2323"/>
  </conditionalFormatting>
  <conditionalFormatting sqref="A140">
    <cfRule type="duplicateValues" dxfId="9" priority="2322"/>
  </conditionalFormatting>
  <conditionalFormatting sqref="A141">
    <cfRule type="duplicateValues" dxfId="9" priority="2321"/>
  </conditionalFormatting>
  <conditionalFormatting sqref="A142">
    <cfRule type="duplicateValues" dxfId="9" priority="2320"/>
  </conditionalFormatting>
  <conditionalFormatting sqref="A157">
    <cfRule type="duplicateValues" dxfId="9" priority="2316"/>
  </conditionalFormatting>
  <conditionalFormatting sqref="A158">
    <cfRule type="duplicateValues" dxfId="9" priority="2315"/>
  </conditionalFormatting>
  <conditionalFormatting sqref="A159">
    <cfRule type="duplicateValues" dxfId="9" priority="2314"/>
  </conditionalFormatting>
  <conditionalFormatting sqref="A160">
    <cfRule type="duplicateValues" dxfId="9" priority="2313"/>
  </conditionalFormatting>
  <conditionalFormatting sqref="A161">
    <cfRule type="duplicateValues" dxfId="9" priority="2312"/>
  </conditionalFormatting>
  <conditionalFormatting sqref="A162">
    <cfRule type="duplicateValues" dxfId="9" priority="2311"/>
  </conditionalFormatting>
  <conditionalFormatting sqref="A163">
    <cfRule type="duplicateValues" dxfId="9" priority="2310"/>
  </conditionalFormatting>
  <conditionalFormatting sqref="A164">
    <cfRule type="duplicateValues" dxfId="9" priority="2309"/>
  </conditionalFormatting>
  <conditionalFormatting sqref="A165">
    <cfRule type="duplicateValues" dxfId="9" priority="2308"/>
  </conditionalFormatting>
  <conditionalFormatting sqref="A166">
    <cfRule type="duplicateValues" dxfId="9" priority="2307"/>
  </conditionalFormatting>
  <conditionalFormatting sqref="A167">
    <cfRule type="duplicateValues" dxfId="9" priority="2306"/>
  </conditionalFormatting>
  <conditionalFormatting sqref="A168">
    <cfRule type="duplicateValues" dxfId="9" priority="2305"/>
  </conditionalFormatting>
  <conditionalFormatting sqref="A169">
    <cfRule type="duplicateValues" dxfId="9" priority="2304"/>
  </conditionalFormatting>
  <conditionalFormatting sqref="A170">
    <cfRule type="duplicateValues" dxfId="9" priority="2303"/>
  </conditionalFormatting>
  <conditionalFormatting sqref="A171">
    <cfRule type="duplicateValues" dxfId="9" priority="2302"/>
  </conditionalFormatting>
  <conditionalFormatting sqref="A172">
    <cfRule type="duplicateValues" dxfId="9" priority="2301"/>
  </conditionalFormatting>
  <conditionalFormatting sqref="A173">
    <cfRule type="duplicateValues" dxfId="9" priority="2300"/>
  </conditionalFormatting>
  <conditionalFormatting sqref="A174">
    <cfRule type="duplicateValues" dxfId="9" priority="2299"/>
  </conditionalFormatting>
  <conditionalFormatting sqref="A175">
    <cfRule type="duplicateValues" dxfId="9" priority="2298"/>
  </conditionalFormatting>
  <conditionalFormatting sqref="A176">
    <cfRule type="duplicateValues" dxfId="9" priority="2297"/>
  </conditionalFormatting>
  <conditionalFormatting sqref="A177">
    <cfRule type="duplicateValues" dxfId="9" priority="2296"/>
  </conditionalFormatting>
  <conditionalFormatting sqref="A178">
    <cfRule type="duplicateValues" dxfId="9" priority="2295"/>
  </conditionalFormatting>
  <conditionalFormatting sqref="A179">
    <cfRule type="duplicateValues" dxfId="9" priority="2294"/>
  </conditionalFormatting>
  <conditionalFormatting sqref="A180">
    <cfRule type="duplicateValues" dxfId="9" priority="2293"/>
  </conditionalFormatting>
  <conditionalFormatting sqref="A181">
    <cfRule type="duplicateValues" dxfId="9" priority="2292"/>
  </conditionalFormatting>
  <conditionalFormatting sqref="A182">
    <cfRule type="duplicateValues" dxfId="9" priority="2291"/>
  </conditionalFormatting>
  <conditionalFormatting sqref="A183">
    <cfRule type="duplicateValues" dxfId="9" priority="2290"/>
  </conditionalFormatting>
  <conditionalFormatting sqref="A184">
    <cfRule type="duplicateValues" dxfId="9" priority="2289"/>
  </conditionalFormatting>
  <conditionalFormatting sqref="A185">
    <cfRule type="duplicateValues" dxfId="9" priority="2288"/>
  </conditionalFormatting>
  <conditionalFormatting sqref="A187">
    <cfRule type="duplicateValues" dxfId="9" priority="2287"/>
  </conditionalFormatting>
  <conditionalFormatting sqref="A188">
    <cfRule type="duplicateValues" dxfId="9" priority="2286"/>
  </conditionalFormatting>
  <conditionalFormatting sqref="A189">
    <cfRule type="duplicateValues" dxfId="9" priority="2285"/>
  </conditionalFormatting>
  <conditionalFormatting sqref="A190">
    <cfRule type="duplicateValues" dxfId="9" priority="2284"/>
  </conditionalFormatting>
  <conditionalFormatting sqref="A191">
    <cfRule type="duplicateValues" dxfId="9" priority="2283"/>
  </conditionalFormatting>
  <conditionalFormatting sqref="A192">
    <cfRule type="duplicateValues" dxfId="9" priority="2282"/>
  </conditionalFormatting>
  <conditionalFormatting sqref="A193">
    <cfRule type="duplicateValues" dxfId="9" priority="2281"/>
  </conditionalFormatting>
  <conditionalFormatting sqref="A194">
    <cfRule type="duplicateValues" dxfId="9" priority="2280"/>
  </conditionalFormatting>
  <conditionalFormatting sqref="A195">
    <cfRule type="duplicateValues" dxfId="9" priority="2279"/>
  </conditionalFormatting>
  <conditionalFormatting sqref="A196">
    <cfRule type="duplicateValues" dxfId="9" priority="2278"/>
  </conditionalFormatting>
  <conditionalFormatting sqref="A197">
    <cfRule type="duplicateValues" dxfId="9" priority="2277"/>
  </conditionalFormatting>
  <conditionalFormatting sqref="A198">
    <cfRule type="duplicateValues" dxfId="9" priority="2276"/>
  </conditionalFormatting>
  <conditionalFormatting sqref="A199">
    <cfRule type="duplicateValues" dxfId="9" priority="2275"/>
  </conditionalFormatting>
  <conditionalFormatting sqref="A200">
    <cfRule type="duplicateValues" dxfId="9" priority="2274"/>
  </conditionalFormatting>
  <conditionalFormatting sqref="A201">
    <cfRule type="duplicateValues" dxfId="9" priority="2273"/>
  </conditionalFormatting>
  <conditionalFormatting sqref="A202">
    <cfRule type="duplicateValues" dxfId="9" priority="2272"/>
  </conditionalFormatting>
  <conditionalFormatting sqref="A203">
    <cfRule type="duplicateValues" dxfId="9" priority="2271"/>
  </conditionalFormatting>
  <conditionalFormatting sqref="A204">
    <cfRule type="duplicateValues" dxfId="9" priority="2270"/>
  </conditionalFormatting>
  <conditionalFormatting sqref="A205">
    <cfRule type="duplicateValues" dxfId="9" priority="2269"/>
  </conditionalFormatting>
  <conditionalFormatting sqref="A206">
    <cfRule type="duplicateValues" dxfId="9" priority="2268"/>
  </conditionalFormatting>
  <conditionalFormatting sqref="A207">
    <cfRule type="duplicateValues" dxfId="9" priority="2267"/>
  </conditionalFormatting>
  <conditionalFormatting sqref="A208">
    <cfRule type="duplicateValues" dxfId="9" priority="2266"/>
  </conditionalFormatting>
  <conditionalFormatting sqref="A209">
    <cfRule type="duplicateValues" dxfId="9" priority="2265"/>
  </conditionalFormatting>
  <conditionalFormatting sqref="A210">
    <cfRule type="duplicateValues" dxfId="9" priority="2264"/>
  </conditionalFormatting>
  <conditionalFormatting sqref="A211">
    <cfRule type="duplicateValues" dxfId="9" priority="2263"/>
  </conditionalFormatting>
  <conditionalFormatting sqref="A212">
    <cfRule type="duplicateValues" dxfId="9" priority="2262"/>
  </conditionalFormatting>
  <conditionalFormatting sqref="A213">
    <cfRule type="duplicateValues" dxfId="9" priority="2261"/>
  </conditionalFormatting>
  <conditionalFormatting sqref="A214">
    <cfRule type="duplicateValues" dxfId="9" priority="2260"/>
  </conditionalFormatting>
  <conditionalFormatting sqref="A215">
    <cfRule type="duplicateValues" dxfId="9" priority="2259"/>
  </conditionalFormatting>
  <conditionalFormatting sqref="A216">
    <cfRule type="duplicateValues" dxfId="9" priority="2258"/>
  </conditionalFormatting>
  <conditionalFormatting sqref="A217">
    <cfRule type="duplicateValues" dxfId="9" priority="2257"/>
  </conditionalFormatting>
  <conditionalFormatting sqref="A218">
    <cfRule type="duplicateValues" dxfId="9" priority="2256"/>
  </conditionalFormatting>
  <conditionalFormatting sqref="A219">
    <cfRule type="duplicateValues" dxfId="9" priority="2255"/>
  </conditionalFormatting>
  <conditionalFormatting sqref="A220">
    <cfRule type="duplicateValues" dxfId="9" priority="2254"/>
  </conditionalFormatting>
  <conditionalFormatting sqref="A221">
    <cfRule type="duplicateValues" dxfId="9" priority="2253"/>
  </conditionalFormatting>
  <conditionalFormatting sqref="A222">
    <cfRule type="duplicateValues" dxfId="9" priority="2252"/>
  </conditionalFormatting>
  <conditionalFormatting sqref="A223">
    <cfRule type="duplicateValues" dxfId="9" priority="2251"/>
  </conditionalFormatting>
  <conditionalFormatting sqref="A224">
    <cfRule type="duplicateValues" dxfId="9" priority="2250"/>
  </conditionalFormatting>
  <conditionalFormatting sqref="A225">
    <cfRule type="duplicateValues" dxfId="9" priority="2249"/>
  </conditionalFormatting>
  <conditionalFormatting sqref="A226">
    <cfRule type="duplicateValues" dxfId="9" priority="2248"/>
  </conditionalFormatting>
  <conditionalFormatting sqref="A227">
    <cfRule type="duplicateValues" dxfId="9" priority="2247"/>
  </conditionalFormatting>
  <conditionalFormatting sqref="A228">
    <cfRule type="duplicateValues" dxfId="9" priority="2246"/>
  </conditionalFormatting>
  <conditionalFormatting sqref="A229">
    <cfRule type="duplicateValues" dxfId="9" priority="2245"/>
  </conditionalFormatting>
  <conditionalFormatting sqref="A230">
    <cfRule type="duplicateValues" dxfId="9" priority="2244"/>
  </conditionalFormatting>
  <conditionalFormatting sqref="A231">
    <cfRule type="duplicateValues" dxfId="9" priority="2243"/>
  </conditionalFormatting>
  <conditionalFormatting sqref="A232">
    <cfRule type="duplicateValues" dxfId="9" priority="2242"/>
  </conditionalFormatting>
  <conditionalFormatting sqref="A233">
    <cfRule type="duplicateValues" dxfId="9" priority="2241"/>
  </conditionalFormatting>
  <conditionalFormatting sqref="A234">
    <cfRule type="duplicateValues" dxfId="9" priority="2240"/>
  </conditionalFormatting>
  <conditionalFormatting sqref="A235">
    <cfRule type="duplicateValues" dxfId="9" priority="2239"/>
  </conditionalFormatting>
  <conditionalFormatting sqref="A236">
    <cfRule type="duplicateValues" dxfId="9" priority="2238"/>
  </conditionalFormatting>
  <conditionalFormatting sqref="A237">
    <cfRule type="duplicateValues" dxfId="9" priority="2237"/>
  </conditionalFormatting>
  <conditionalFormatting sqref="A238">
    <cfRule type="duplicateValues" dxfId="9" priority="2236"/>
  </conditionalFormatting>
  <conditionalFormatting sqref="A239">
    <cfRule type="duplicateValues" dxfId="9" priority="2235"/>
  </conditionalFormatting>
  <conditionalFormatting sqref="A240">
    <cfRule type="duplicateValues" dxfId="9" priority="2234"/>
  </conditionalFormatting>
  <conditionalFormatting sqref="A241">
    <cfRule type="duplicateValues" dxfId="9" priority="2233"/>
  </conditionalFormatting>
  <conditionalFormatting sqref="A242">
    <cfRule type="duplicateValues" dxfId="9" priority="2232"/>
  </conditionalFormatting>
  <conditionalFormatting sqref="A243">
    <cfRule type="duplicateValues" dxfId="9" priority="2231"/>
  </conditionalFormatting>
  <conditionalFormatting sqref="A244">
    <cfRule type="duplicateValues" dxfId="9" priority="2230"/>
  </conditionalFormatting>
  <conditionalFormatting sqref="A245">
    <cfRule type="duplicateValues" dxfId="9" priority="2229"/>
  </conditionalFormatting>
  <conditionalFormatting sqref="A246">
    <cfRule type="duplicateValues" dxfId="9" priority="2228"/>
  </conditionalFormatting>
  <conditionalFormatting sqref="A247">
    <cfRule type="duplicateValues" dxfId="9" priority="2227"/>
  </conditionalFormatting>
  <conditionalFormatting sqref="A248">
    <cfRule type="duplicateValues" dxfId="9" priority="2226"/>
  </conditionalFormatting>
  <conditionalFormatting sqref="A249">
    <cfRule type="duplicateValues" dxfId="9" priority="2225"/>
  </conditionalFormatting>
  <conditionalFormatting sqref="A250">
    <cfRule type="duplicateValues" dxfId="9" priority="2224"/>
  </conditionalFormatting>
  <conditionalFormatting sqref="A251">
    <cfRule type="duplicateValues" dxfId="9" priority="2223"/>
  </conditionalFormatting>
  <conditionalFormatting sqref="A252">
    <cfRule type="duplicateValues" dxfId="9" priority="2222"/>
  </conditionalFormatting>
  <conditionalFormatting sqref="A253">
    <cfRule type="duplicateValues" dxfId="9" priority="2221"/>
  </conditionalFormatting>
  <conditionalFormatting sqref="A254">
    <cfRule type="duplicateValues" dxfId="9" priority="2220"/>
  </conditionalFormatting>
  <conditionalFormatting sqref="A255">
    <cfRule type="duplicateValues" dxfId="9" priority="2219"/>
  </conditionalFormatting>
  <conditionalFormatting sqref="A256">
    <cfRule type="duplicateValues" dxfId="9" priority="2218"/>
  </conditionalFormatting>
  <conditionalFormatting sqref="A257">
    <cfRule type="duplicateValues" dxfId="9" priority="2217"/>
  </conditionalFormatting>
  <conditionalFormatting sqref="A258">
    <cfRule type="duplicateValues" dxfId="9" priority="2216"/>
  </conditionalFormatting>
  <conditionalFormatting sqref="A259">
    <cfRule type="duplicateValues" dxfId="9" priority="2215"/>
  </conditionalFormatting>
  <conditionalFormatting sqref="A260">
    <cfRule type="duplicateValues" dxfId="9" priority="2214"/>
  </conditionalFormatting>
  <conditionalFormatting sqref="A261">
    <cfRule type="duplicateValues" dxfId="9" priority="2213"/>
  </conditionalFormatting>
  <conditionalFormatting sqref="A262">
    <cfRule type="duplicateValues" dxfId="9" priority="2212"/>
  </conditionalFormatting>
  <conditionalFormatting sqref="A263">
    <cfRule type="duplicateValues" dxfId="9" priority="2211"/>
  </conditionalFormatting>
  <conditionalFormatting sqref="A264">
    <cfRule type="duplicateValues" dxfId="9" priority="2210"/>
  </conditionalFormatting>
  <conditionalFormatting sqref="A265">
    <cfRule type="duplicateValues" dxfId="9" priority="2209"/>
  </conditionalFormatting>
  <conditionalFormatting sqref="A266">
    <cfRule type="duplicateValues" dxfId="9" priority="433"/>
  </conditionalFormatting>
  <conditionalFormatting sqref="A267">
    <cfRule type="duplicateValues" dxfId="9" priority="432"/>
  </conditionalFormatting>
  <conditionalFormatting sqref="A268">
    <cfRule type="duplicateValues" dxfId="9" priority="431"/>
  </conditionalFormatting>
  <conditionalFormatting sqref="A269">
    <cfRule type="duplicateValues" dxfId="9" priority="430"/>
  </conditionalFormatting>
  <conditionalFormatting sqref="A270">
    <cfRule type="duplicateValues" dxfId="9" priority="429"/>
  </conditionalFormatting>
  <conditionalFormatting sqref="A271">
    <cfRule type="duplicateValues" dxfId="9" priority="428"/>
  </conditionalFormatting>
  <conditionalFormatting sqref="A272">
    <cfRule type="duplicateValues" dxfId="9" priority="427"/>
  </conditionalFormatting>
  <conditionalFormatting sqref="A273">
    <cfRule type="duplicateValues" dxfId="9" priority="426"/>
  </conditionalFormatting>
  <conditionalFormatting sqref="A274">
    <cfRule type="duplicateValues" dxfId="9" priority="425"/>
  </conditionalFormatting>
  <conditionalFormatting sqref="A275">
    <cfRule type="duplicateValues" dxfId="9" priority="424"/>
  </conditionalFormatting>
  <conditionalFormatting sqref="A276">
    <cfRule type="duplicateValues" dxfId="9" priority="2208"/>
  </conditionalFormatting>
  <conditionalFormatting sqref="A277">
    <cfRule type="duplicateValues" dxfId="9" priority="2207"/>
  </conditionalFormatting>
  <conditionalFormatting sqref="A278">
    <cfRule type="duplicateValues" dxfId="9" priority="2206"/>
  </conditionalFormatting>
  <conditionalFormatting sqref="A279">
    <cfRule type="duplicateValues" dxfId="9" priority="2205"/>
  </conditionalFormatting>
  <conditionalFormatting sqref="A280">
    <cfRule type="duplicateValues" dxfId="9" priority="2204"/>
  </conditionalFormatting>
  <conditionalFormatting sqref="A281">
    <cfRule type="duplicateValues" dxfId="9" priority="2203"/>
  </conditionalFormatting>
  <conditionalFormatting sqref="A282">
    <cfRule type="duplicateValues" dxfId="9" priority="2202"/>
  </conditionalFormatting>
  <conditionalFormatting sqref="A283">
    <cfRule type="duplicateValues" dxfId="9" priority="2201"/>
  </conditionalFormatting>
  <conditionalFormatting sqref="A284">
    <cfRule type="duplicateValues" dxfId="9" priority="2200"/>
  </conditionalFormatting>
  <conditionalFormatting sqref="A285">
    <cfRule type="duplicateValues" dxfId="9" priority="2199"/>
  </conditionalFormatting>
  <conditionalFormatting sqref="A286">
    <cfRule type="duplicateValues" dxfId="9" priority="2198"/>
  </conditionalFormatting>
  <conditionalFormatting sqref="A287">
    <cfRule type="duplicateValues" dxfId="9" priority="2197"/>
  </conditionalFormatting>
  <conditionalFormatting sqref="A288">
    <cfRule type="duplicateValues" dxfId="9" priority="2196"/>
  </conditionalFormatting>
  <conditionalFormatting sqref="A289">
    <cfRule type="duplicateValues" dxfId="9" priority="2195"/>
  </conditionalFormatting>
  <conditionalFormatting sqref="A290">
    <cfRule type="duplicateValues" dxfId="9" priority="2194"/>
  </conditionalFormatting>
  <conditionalFormatting sqref="A291">
    <cfRule type="duplicateValues" dxfId="9" priority="2193"/>
  </conditionalFormatting>
  <conditionalFormatting sqref="A292">
    <cfRule type="duplicateValues" dxfId="9" priority="2192"/>
  </conditionalFormatting>
  <conditionalFormatting sqref="A293">
    <cfRule type="duplicateValues" dxfId="9" priority="2191"/>
  </conditionalFormatting>
  <conditionalFormatting sqref="A294">
    <cfRule type="duplicateValues" dxfId="9" priority="2190"/>
  </conditionalFormatting>
  <conditionalFormatting sqref="A295">
    <cfRule type="duplicateValues" dxfId="9" priority="2189"/>
  </conditionalFormatting>
  <conditionalFormatting sqref="A296">
    <cfRule type="duplicateValues" dxfId="9" priority="2188"/>
  </conditionalFormatting>
  <conditionalFormatting sqref="A297">
    <cfRule type="duplicateValues" dxfId="9" priority="2187"/>
  </conditionalFormatting>
  <conditionalFormatting sqref="A298">
    <cfRule type="duplicateValues" dxfId="9" priority="2186"/>
  </conditionalFormatting>
  <conditionalFormatting sqref="A299">
    <cfRule type="duplicateValues" dxfId="9" priority="2185"/>
  </conditionalFormatting>
  <conditionalFormatting sqref="A300">
    <cfRule type="duplicateValues" dxfId="9" priority="2184"/>
  </conditionalFormatting>
  <conditionalFormatting sqref="A301">
    <cfRule type="duplicateValues" dxfId="9" priority="2183"/>
  </conditionalFormatting>
  <conditionalFormatting sqref="A302">
    <cfRule type="duplicateValues" dxfId="9" priority="2182"/>
  </conditionalFormatting>
  <conditionalFormatting sqref="A303">
    <cfRule type="duplicateValues" dxfId="9" priority="2181"/>
  </conditionalFormatting>
  <conditionalFormatting sqref="A304">
    <cfRule type="duplicateValues" dxfId="9" priority="2180"/>
  </conditionalFormatting>
  <conditionalFormatting sqref="A305">
    <cfRule type="duplicateValues" dxfId="9" priority="2179"/>
  </conditionalFormatting>
  <conditionalFormatting sqref="A306">
    <cfRule type="duplicateValues" dxfId="9" priority="2178"/>
  </conditionalFormatting>
  <conditionalFormatting sqref="A307">
    <cfRule type="duplicateValues" dxfId="9" priority="2177"/>
  </conditionalFormatting>
  <conditionalFormatting sqref="A308">
    <cfRule type="duplicateValues" dxfId="9" priority="2176"/>
  </conditionalFormatting>
  <conditionalFormatting sqref="A309">
    <cfRule type="duplicateValues" dxfId="9" priority="2175"/>
  </conditionalFormatting>
  <conditionalFormatting sqref="A310">
    <cfRule type="duplicateValues" dxfId="9" priority="2174"/>
  </conditionalFormatting>
  <conditionalFormatting sqref="A311">
    <cfRule type="duplicateValues" dxfId="9" priority="2173"/>
  </conditionalFormatting>
  <conditionalFormatting sqref="A312">
    <cfRule type="duplicateValues" dxfId="9" priority="2172"/>
  </conditionalFormatting>
  <conditionalFormatting sqref="A313">
    <cfRule type="duplicateValues" dxfId="9" priority="2171"/>
  </conditionalFormatting>
  <conditionalFormatting sqref="A314">
    <cfRule type="duplicateValues" dxfId="9" priority="2170"/>
  </conditionalFormatting>
  <conditionalFormatting sqref="A315">
    <cfRule type="duplicateValues" dxfId="9" priority="2169"/>
  </conditionalFormatting>
  <conditionalFormatting sqref="A316">
    <cfRule type="duplicateValues" dxfId="9" priority="2168"/>
  </conditionalFormatting>
  <conditionalFormatting sqref="A317">
    <cfRule type="duplicateValues" dxfId="9" priority="2167"/>
  </conditionalFormatting>
  <conditionalFormatting sqref="A318">
    <cfRule type="duplicateValues" dxfId="9" priority="2166"/>
  </conditionalFormatting>
  <conditionalFormatting sqref="A319">
    <cfRule type="duplicateValues" dxfId="9" priority="2165"/>
  </conditionalFormatting>
  <conditionalFormatting sqref="A320">
    <cfRule type="duplicateValues" dxfId="9" priority="2164"/>
  </conditionalFormatting>
  <conditionalFormatting sqref="A321">
    <cfRule type="duplicateValues" dxfId="9" priority="2163"/>
  </conditionalFormatting>
  <conditionalFormatting sqref="A322">
    <cfRule type="duplicateValues" dxfId="9" priority="2162"/>
  </conditionalFormatting>
  <conditionalFormatting sqref="A323">
    <cfRule type="duplicateValues" dxfId="9" priority="2161"/>
  </conditionalFormatting>
  <conditionalFormatting sqref="A324">
    <cfRule type="duplicateValues" dxfId="9" priority="2160"/>
  </conditionalFormatting>
  <conditionalFormatting sqref="A325">
    <cfRule type="duplicateValues" dxfId="9" priority="2159"/>
  </conditionalFormatting>
  <conditionalFormatting sqref="A326">
    <cfRule type="duplicateValues" dxfId="9" priority="423"/>
  </conditionalFormatting>
  <conditionalFormatting sqref="A327">
    <cfRule type="duplicateValues" dxfId="9" priority="422"/>
  </conditionalFormatting>
  <conditionalFormatting sqref="A328">
    <cfRule type="duplicateValues" dxfId="9" priority="421"/>
  </conditionalFormatting>
  <conditionalFormatting sqref="A329">
    <cfRule type="duplicateValues" dxfId="9" priority="420"/>
  </conditionalFormatting>
  <conditionalFormatting sqref="A330">
    <cfRule type="duplicateValues" dxfId="9" priority="419"/>
  </conditionalFormatting>
  <conditionalFormatting sqref="A331">
    <cfRule type="duplicateValues" dxfId="9" priority="418"/>
  </conditionalFormatting>
  <conditionalFormatting sqref="A332">
    <cfRule type="duplicateValues" dxfId="9" priority="417"/>
  </conditionalFormatting>
  <conditionalFormatting sqref="A333">
    <cfRule type="duplicateValues" dxfId="9" priority="416"/>
  </conditionalFormatting>
  <conditionalFormatting sqref="A334">
    <cfRule type="duplicateValues" dxfId="9" priority="415"/>
  </conditionalFormatting>
  <conditionalFormatting sqref="A335">
    <cfRule type="duplicateValues" dxfId="9" priority="414"/>
  </conditionalFormatting>
  <conditionalFormatting sqref="A336">
    <cfRule type="duplicateValues" dxfId="9" priority="2158"/>
  </conditionalFormatting>
  <conditionalFormatting sqref="A337">
    <cfRule type="duplicateValues" dxfId="9" priority="2157"/>
  </conditionalFormatting>
  <conditionalFormatting sqref="A338">
    <cfRule type="duplicateValues" dxfId="9" priority="2156"/>
  </conditionalFormatting>
  <conditionalFormatting sqref="A339">
    <cfRule type="duplicateValues" dxfId="9" priority="2155"/>
  </conditionalFormatting>
  <conditionalFormatting sqref="A340">
    <cfRule type="duplicateValues" dxfId="9" priority="2154"/>
  </conditionalFormatting>
  <conditionalFormatting sqref="A341">
    <cfRule type="duplicateValues" dxfId="9" priority="2153"/>
  </conditionalFormatting>
  <conditionalFormatting sqref="A342">
    <cfRule type="duplicateValues" dxfId="9" priority="2152"/>
  </conditionalFormatting>
  <conditionalFormatting sqref="A343">
    <cfRule type="duplicateValues" dxfId="9" priority="2151"/>
  </conditionalFormatting>
  <conditionalFormatting sqref="A344">
    <cfRule type="duplicateValues" dxfId="9" priority="2150"/>
  </conditionalFormatting>
  <conditionalFormatting sqref="A345">
    <cfRule type="duplicateValues" dxfId="9" priority="2149"/>
  </conditionalFormatting>
  <conditionalFormatting sqref="A346">
    <cfRule type="duplicateValues" dxfId="9" priority="2148"/>
  </conditionalFormatting>
  <conditionalFormatting sqref="A347">
    <cfRule type="duplicateValues" dxfId="9" priority="2147"/>
  </conditionalFormatting>
  <conditionalFormatting sqref="A348">
    <cfRule type="duplicateValues" dxfId="9" priority="2146"/>
  </conditionalFormatting>
  <conditionalFormatting sqref="A349">
    <cfRule type="duplicateValues" dxfId="9" priority="2145"/>
  </conditionalFormatting>
  <conditionalFormatting sqref="A350">
    <cfRule type="duplicateValues" dxfId="9" priority="2144"/>
  </conditionalFormatting>
  <conditionalFormatting sqref="A351">
    <cfRule type="duplicateValues" dxfId="9" priority="2143"/>
  </conditionalFormatting>
  <conditionalFormatting sqref="A352">
    <cfRule type="duplicateValues" dxfId="9" priority="2142"/>
  </conditionalFormatting>
  <conditionalFormatting sqref="A353">
    <cfRule type="duplicateValues" dxfId="9" priority="2141"/>
  </conditionalFormatting>
  <conditionalFormatting sqref="A354">
    <cfRule type="duplicateValues" dxfId="9" priority="2140"/>
  </conditionalFormatting>
  <conditionalFormatting sqref="A355">
    <cfRule type="duplicateValues" dxfId="9" priority="2139"/>
  </conditionalFormatting>
  <conditionalFormatting sqref="A356">
    <cfRule type="duplicateValues" dxfId="9" priority="2138"/>
  </conditionalFormatting>
  <conditionalFormatting sqref="A357">
    <cfRule type="duplicateValues" dxfId="9" priority="2137"/>
  </conditionalFormatting>
  <conditionalFormatting sqref="A358">
    <cfRule type="duplicateValues" dxfId="9" priority="2136"/>
  </conditionalFormatting>
  <conditionalFormatting sqref="A359">
    <cfRule type="duplicateValues" dxfId="9" priority="2135"/>
  </conditionalFormatting>
  <conditionalFormatting sqref="A360">
    <cfRule type="duplicateValues" dxfId="9" priority="2134"/>
  </conditionalFormatting>
  <conditionalFormatting sqref="A361">
    <cfRule type="duplicateValues" dxfId="9" priority="2133"/>
  </conditionalFormatting>
  <conditionalFormatting sqref="A362">
    <cfRule type="duplicateValues" dxfId="9" priority="2132"/>
  </conditionalFormatting>
  <conditionalFormatting sqref="A363">
    <cfRule type="duplicateValues" dxfId="9" priority="2131"/>
  </conditionalFormatting>
  <conditionalFormatting sqref="A364">
    <cfRule type="duplicateValues" dxfId="9" priority="2130"/>
  </conditionalFormatting>
  <conditionalFormatting sqref="A365">
    <cfRule type="duplicateValues" dxfId="9" priority="2129"/>
  </conditionalFormatting>
  <conditionalFormatting sqref="A366">
    <cfRule type="duplicateValues" dxfId="9" priority="2128"/>
  </conditionalFormatting>
  <conditionalFormatting sqref="A367">
    <cfRule type="duplicateValues" dxfId="9" priority="2127"/>
  </conditionalFormatting>
  <conditionalFormatting sqref="A368">
    <cfRule type="duplicateValues" dxfId="9" priority="2126"/>
  </conditionalFormatting>
  <conditionalFormatting sqref="A369">
    <cfRule type="duplicateValues" dxfId="9" priority="2125"/>
  </conditionalFormatting>
  <conditionalFormatting sqref="A370">
    <cfRule type="duplicateValues" dxfId="9" priority="2124"/>
  </conditionalFormatting>
  <conditionalFormatting sqref="A371">
    <cfRule type="duplicateValues" dxfId="9" priority="2123"/>
  </conditionalFormatting>
  <conditionalFormatting sqref="A372">
    <cfRule type="duplicateValues" dxfId="9" priority="2122"/>
  </conditionalFormatting>
  <conditionalFormatting sqref="A373">
    <cfRule type="duplicateValues" dxfId="9" priority="2121"/>
  </conditionalFormatting>
  <conditionalFormatting sqref="A374">
    <cfRule type="duplicateValues" dxfId="9" priority="2120"/>
  </conditionalFormatting>
  <conditionalFormatting sqref="A375">
    <cfRule type="duplicateValues" dxfId="9" priority="2119"/>
  </conditionalFormatting>
  <conditionalFormatting sqref="A376">
    <cfRule type="duplicateValues" dxfId="9" priority="2118"/>
  </conditionalFormatting>
  <conditionalFormatting sqref="A377">
    <cfRule type="duplicateValues" dxfId="9" priority="2117"/>
  </conditionalFormatting>
  <conditionalFormatting sqref="A378">
    <cfRule type="duplicateValues" dxfId="9" priority="2116"/>
  </conditionalFormatting>
  <conditionalFormatting sqref="A379">
    <cfRule type="duplicateValues" dxfId="9" priority="2115"/>
  </conditionalFormatting>
  <conditionalFormatting sqref="A380">
    <cfRule type="duplicateValues" dxfId="9" priority="2114"/>
  </conditionalFormatting>
  <conditionalFormatting sqref="A381">
    <cfRule type="duplicateValues" dxfId="9" priority="2113"/>
  </conditionalFormatting>
  <conditionalFormatting sqref="A382">
    <cfRule type="duplicateValues" dxfId="9" priority="2112"/>
  </conditionalFormatting>
  <conditionalFormatting sqref="A383">
    <cfRule type="duplicateValues" dxfId="9" priority="2111"/>
  </conditionalFormatting>
  <conditionalFormatting sqref="A384">
    <cfRule type="duplicateValues" dxfId="9" priority="2110"/>
  </conditionalFormatting>
  <conditionalFormatting sqref="A385">
    <cfRule type="duplicateValues" dxfId="9" priority="2109"/>
  </conditionalFormatting>
  <conditionalFormatting sqref="A386">
    <cfRule type="duplicateValues" dxfId="9" priority="2108"/>
  </conditionalFormatting>
  <conditionalFormatting sqref="A387">
    <cfRule type="duplicateValues" dxfId="9" priority="2107"/>
  </conditionalFormatting>
  <conditionalFormatting sqref="A388">
    <cfRule type="duplicateValues" dxfId="9" priority="2106"/>
  </conditionalFormatting>
  <conditionalFormatting sqref="A389">
    <cfRule type="duplicateValues" dxfId="9" priority="2105"/>
  </conditionalFormatting>
  <conditionalFormatting sqref="A390">
    <cfRule type="duplicateValues" dxfId="9" priority="2104"/>
  </conditionalFormatting>
  <conditionalFormatting sqref="A391">
    <cfRule type="duplicateValues" dxfId="9" priority="2103"/>
  </conditionalFormatting>
  <conditionalFormatting sqref="A392">
    <cfRule type="duplicateValues" dxfId="9" priority="2102"/>
  </conditionalFormatting>
  <conditionalFormatting sqref="A393">
    <cfRule type="duplicateValues" dxfId="9" priority="2101"/>
  </conditionalFormatting>
  <conditionalFormatting sqref="A394">
    <cfRule type="duplicateValues" dxfId="9" priority="2100"/>
  </conditionalFormatting>
  <conditionalFormatting sqref="A395">
    <cfRule type="duplicateValues" dxfId="9" priority="2099"/>
  </conditionalFormatting>
  <conditionalFormatting sqref="A396">
    <cfRule type="duplicateValues" dxfId="9" priority="2098"/>
  </conditionalFormatting>
  <conditionalFormatting sqref="A397">
    <cfRule type="duplicateValues" dxfId="9" priority="2097"/>
  </conditionalFormatting>
  <conditionalFormatting sqref="A398">
    <cfRule type="duplicateValues" dxfId="9" priority="2096"/>
  </conditionalFormatting>
  <conditionalFormatting sqref="A399">
    <cfRule type="duplicateValues" dxfId="9" priority="2095"/>
  </conditionalFormatting>
  <conditionalFormatting sqref="A400">
    <cfRule type="duplicateValues" dxfId="9" priority="2094"/>
  </conditionalFormatting>
  <conditionalFormatting sqref="A401">
    <cfRule type="duplicateValues" dxfId="9" priority="2093"/>
  </conditionalFormatting>
  <conditionalFormatting sqref="A402">
    <cfRule type="duplicateValues" dxfId="9" priority="2092"/>
  </conditionalFormatting>
  <conditionalFormatting sqref="A403">
    <cfRule type="duplicateValues" dxfId="9" priority="2091"/>
  </conditionalFormatting>
  <conditionalFormatting sqref="A404">
    <cfRule type="duplicateValues" dxfId="9" priority="2090"/>
  </conditionalFormatting>
  <conditionalFormatting sqref="A405">
    <cfRule type="duplicateValues" dxfId="9" priority="2089"/>
  </conditionalFormatting>
  <conditionalFormatting sqref="A406">
    <cfRule type="duplicateValues" dxfId="9" priority="2088"/>
  </conditionalFormatting>
  <conditionalFormatting sqref="A407">
    <cfRule type="duplicateValues" dxfId="9" priority="2087"/>
  </conditionalFormatting>
  <conditionalFormatting sqref="A408">
    <cfRule type="duplicateValues" dxfId="9" priority="2086"/>
  </conditionalFormatting>
  <conditionalFormatting sqref="A409">
    <cfRule type="duplicateValues" dxfId="9" priority="2085"/>
  </conditionalFormatting>
  <conditionalFormatting sqref="A410">
    <cfRule type="duplicateValues" dxfId="9" priority="2084"/>
  </conditionalFormatting>
  <conditionalFormatting sqref="A411">
    <cfRule type="duplicateValues" dxfId="9" priority="2083"/>
  </conditionalFormatting>
  <conditionalFormatting sqref="A412">
    <cfRule type="duplicateValues" dxfId="9" priority="2082"/>
  </conditionalFormatting>
  <conditionalFormatting sqref="A413">
    <cfRule type="duplicateValues" dxfId="9" priority="2081"/>
  </conditionalFormatting>
  <conditionalFormatting sqref="A414">
    <cfRule type="duplicateValues" dxfId="9" priority="2080"/>
  </conditionalFormatting>
  <conditionalFormatting sqref="A415">
    <cfRule type="duplicateValues" dxfId="9" priority="2079"/>
  </conditionalFormatting>
  <conditionalFormatting sqref="A416">
    <cfRule type="duplicateValues" dxfId="9" priority="243"/>
  </conditionalFormatting>
  <conditionalFormatting sqref="A417">
    <cfRule type="duplicateValues" dxfId="9" priority="242"/>
  </conditionalFormatting>
  <conditionalFormatting sqref="A418">
    <cfRule type="duplicateValues" dxfId="9" priority="241"/>
  </conditionalFormatting>
  <conditionalFormatting sqref="A419">
    <cfRule type="duplicateValues" dxfId="9" priority="240"/>
  </conditionalFormatting>
  <conditionalFormatting sqref="A420">
    <cfRule type="duplicateValues" dxfId="9" priority="239"/>
  </conditionalFormatting>
  <conditionalFormatting sqref="A421">
    <cfRule type="duplicateValues" dxfId="9" priority="238"/>
  </conditionalFormatting>
  <conditionalFormatting sqref="A422">
    <cfRule type="duplicateValues" dxfId="9" priority="237"/>
  </conditionalFormatting>
  <conditionalFormatting sqref="A423">
    <cfRule type="duplicateValues" dxfId="9" priority="236"/>
  </conditionalFormatting>
  <conditionalFormatting sqref="A424">
    <cfRule type="duplicateValues" dxfId="9" priority="235"/>
  </conditionalFormatting>
  <conditionalFormatting sqref="A425">
    <cfRule type="duplicateValues" dxfId="9" priority="234"/>
  </conditionalFormatting>
  <conditionalFormatting sqref="A426">
    <cfRule type="duplicateValues" dxfId="9" priority="2078"/>
  </conditionalFormatting>
  <conditionalFormatting sqref="A427">
    <cfRule type="duplicateValues" dxfId="9" priority="2077"/>
  </conditionalFormatting>
  <conditionalFormatting sqref="A428">
    <cfRule type="duplicateValues" dxfId="9" priority="2076"/>
  </conditionalFormatting>
  <conditionalFormatting sqref="A429">
    <cfRule type="duplicateValues" dxfId="9" priority="2075"/>
  </conditionalFormatting>
  <conditionalFormatting sqref="A430">
    <cfRule type="duplicateValues" dxfId="9" priority="2074"/>
  </conditionalFormatting>
  <conditionalFormatting sqref="A431">
    <cfRule type="duplicateValues" dxfId="9" priority="2073"/>
  </conditionalFormatting>
  <conditionalFormatting sqref="A432">
    <cfRule type="duplicateValues" dxfId="9" priority="2072"/>
  </conditionalFormatting>
  <conditionalFormatting sqref="A433">
    <cfRule type="duplicateValues" dxfId="9" priority="2071"/>
  </conditionalFormatting>
  <conditionalFormatting sqref="A434">
    <cfRule type="duplicateValues" dxfId="9" priority="2070"/>
  </conditionalFormatting>
  <conditionalFormatting sqref="A435">
    <cfRule type="duplicateValues" dxfId="9" priority="2069"/>
  </conditionalFormatting>
  <conditionalFormatting sqref="A436">
    <cfRule type="duplicateValues" dxfId="9" priority="2068"/>
  </conditionalFormatting>
  <conditionalFormatting sqref="A437">
    <cfRule type="duplicateValues" dxfId="9" priority="2067"/>
  </conditionalFormatting>
  <conditionalFormatting sqref="A438">
    <cfRule type="duplicateValues" dxfId="9" priority="2066"/>
  </conditionalFormatting>
  <conditionalFormatting sqref="A439">
    <cfRule type="duplicateValues" dxfId="9" priority="2065"/>
  </conditionalFormatting>
  <conditionalFormatting sqref="A440">
    <cfRule type="duplicateValues" dxfId="9" priority="2064"/>
  </conditionalFormatting>
  <conditionalFormatting sqref="A441">
    <cfRule type="duplicateValues" dxfId="9" priority="2063"/>
  </conditionalFormatting>
  <conditionalFormatting sqref="A442">
    <cfRule type="duplicateValues" dxfId="9" priority="2062"/>
  </conditionalFormatting>
  <conditionalFormatting sqref="A443">
    <cfRule type="duplicateValues" dxfId="9" priority="2061"/>
  </conditionalFormatting>
  <conditionalFormatting sqref="A444">
    <cfRule type="duplicateValues" dxfId="9" priority="2060"/>
  </conditionalFormatting>
  <conditionalFormatting sqref="A445">
    <cfRule type="duplicateValues" dxfId="9" priority="2059"/>
  </conditionalFormatting>
  <conditionalFormatting sqref="A446">
    <cfRule type="duplicateValues" dxfId="9" priority="2058"/>
  </conditionalFormatting>
  <conditionalFormatting sqref="A447">
    <cfRule type="duplicateValues" dxfId="9" priority="2057"/>
  </conditionalFormatting>
  <conditionalFormatting sqref="A448">
    <cfRule type="duplicateValues" dxfId="9" priority="2056"/>
  </conditionalFormatting>
  <conditionalFormatting sqref="A449">
    <cfRule type="duplicateValues" dxfId="9" priority="2055"/>
  </conditionalFormatting>
  <conditionalFormatting sqref="A450">
    <cfRule type="duplicateValues" dxfId="9" priority="2054"/>
  </conditionalFormatting>
  <conditionalFormatting sqref="A451">
    <cfRule type="duplicateValues" dxfId="9" priority="2053"/>
  </conditionalFormatting>
  <conditionalFormatting sqref="A452">
    <cfRule type="duplicateValues" dxfId="9" priority="2052"/>
  </conditionalFormatting>
  <conditionalFormatting sqref="A453">
    <cfRule type="duplicateValues" dxfId="9" priority="2051"/>
  </conditionalFormatting>
  <conditionalFormatting sqref="A454">
    <cfRule type="duplicateValues" dxfId="9" priority="2050"/>
  </conditionalFormatting>
  <conditionalFormatting sqref="A455">
    <cfRule type="duplicateValues" dxfId="9" priority="2049"/>
  </conditionalFormatting>
  <conditionalFormatting sqref="A456">
    <cfRule type="duplicateValues" dxfId="9" priority="2048"/>
  </conditionalFormatting>
  <conditionalFormatting sqref="A457">
    <cfRule type="duplicateValues" dxfId="9" priority="2047"/>
  </conditionalFormatting>
  <conditionalFormatting sqref="A458">
    <cfRule type="duplicateValues" dxfId="9" priority="2046"/>
  </conditionalFormatting>
  <conditionalFormatting sqref="A459">
    <cfRule type="duplicateValues" dxfId="9" priority="2045"/>
  </conditionalFormatting>
  <conditionalFormatting sqref="A460">
    <cfRule type="duplicateValues" dxfId="9" priority="2044"/>
  </conditionalFormatting>
  <conditionalFormatting sqref="A461">
    <cfRule type="duplicateValues" dxfId="9" priority="2043"/>
  </conditionalFormatting>
  <conditionalFormatting sqref="A462">
    <cfRule type="duplicateValues" dxfId="9" priority="2042"/>
  </conditionalFormatting>
  <conditionalFormatting sqref="A463">
    <cfRule type="duplicateValues" dxfId="9" priority="2041"/>
  </conditionalFormatting>
  <conditionalFormatting sqref="A464">
    <cfRule type="duplicateValues" dxfId="9" priority="2040"/>
  </conditionalFormatting>
  <conditionalFormatting sqref="A465">
    <cfRule type="duplicateValues" dxfId="9" priority="2039"/>
  </conditionalFormatting>
  <conditionalFormatting sqref="A466">
    <cfRule type="duplicateValues" dxfId="9" priority="2038"/>
  </conditionalFormatting>
  <conditionalFormatting sqref="A467">
    <cfRule type="duplicateValues" dxfId="9" priority="2037"/>
  </conditionalFormatting>
  <conditionalFormatting sqref="A468">
    <cfRule type="duplicateValues" dxfId="9" priority="2036"/>
  </conditionalFormatting>
  <conditionalFormatting sqref="A469">
    <cfRule type="duplicateValues" dxfId="9" priority="2035"/>
  </conditionalFormatting>
  <conditionalFormatting sqref="A470">
    <cfRule type="duplicateValues" dxfId="9" priority="2034"/>
  </conditionalFormatting>
  <conditionalFormatting sqref="A471">
    <cfRule type="duplicateValues" dxfId="9" priority="2033"/>
  </conditionalFormatting>
  <conditionalFormatting sqref="A472">
    <cfRule type="duplicateValues" dxfId="9" priority="2032"/>
  </conditionalFormatting>
  <conditionalFormatting sqref="A473">
    <cfRule type="duplicateValues" dxfId="9" priority="2031"/>
  </conditionalFormatting>
  <conditionalFormatting sqref="A474">
    <cfRule type="duplicateValues" dxfId="9" priority="2030"/>
  </conditionalFormatting>
  <conditionalFormatting sqref="A475">
    <cfRule type="duplicateValues" dxfId="9" priority="2029"/>
  </conditionalFormatting>
  <conditionalFormatting sqref="A476">
    <cfRule type="duplicateValues" dxfId="9" priority="2028"/>
  </conditionalFormatting>
  <conditionalFormatting sqref="A477">
    <cfRule type="duplicateValues" dxfId="9" priority="2027"/>
  </conditionalFormatting>
  <conditionalFormatting sqref="A478">
    <cfRule type="duplicateValues" dxfId="9" priority="2026"/>
  </conditionalFormatting>
  <conditionalFormatting sqref="A479">
    <cfRule type="duplicateValues" dxfId="9" priority="2025"/>
  </conditionalFormatting>
  <conditionalFormatting sqref="A480">
    <cfRule type="duplicateValues" dxfId="9" priority="2024"/>
  </conditionalFormatting>
  <conditionalFormatting sqref="A481">
    <cfRule type="duplicateValues" dxfId="9" priority="2023"/>
  </conditionalFormatting>
  <conditionalFormatting sqref="A482">
    <cfRule type="duplicateValues" dxfId="9" priority="2022"/>
  </conditionalFormatting>
  <conditionalFormatting sqref="A483">
    <cfRule type="duplicateValues" dxfId="9" priority="2021"/>
  </conditionalFormatting>
  <conditionalFormatting sqref="A484">
    <cfRule type="duplicateValues" dxfId="9" priority="2020"/>
  </conditionalFormatting>
  <conditionalFormatting sqref="A485">
    <cfRule type="duplicateValues" dxfId="9" priority="2019"/>
  </conditionalFormatting>
  <conditionalFormatting sqref="A487">
    <cfRule type="duplicateValues" dxfId="9" priority="2018"/>
  </conditionalFormatting>
  <conditionalFormatting sqref="A488">
    <cfRule type="duplicateValues" dxfId="9" priority="2017"/>
  </conditionalFormatting>
  <conditionalFormatting sqref="A489">
    <cfRule type="duplicateValues" dxfId="9" priority="2016"/>
  </conditionalFormatting>
  <conditionalFormatting sqref="A490">
    <cfRule type="duplicateValues" dxfId="9" priority="2015"/>
  </conditionalFormatting>
  <conditionalFormatting sqref="A491">
    <cfRule type="duplicateValues" dxfId="9" priority="2014"/>
  </conditionalFormatting>
  <conditionalFormatting sqref="A492">
    <cfRule type="duplicateValues" dxfId="9" priority="2013"/>
  </conditionalFormatting>
  <conditionalFormatting sqref="A493">
    <cfRule type="duplicateValues" dxfId="9" priority="2012"/>
  </conditionalFormatting>
  <conditionalFormatting sqref="A494">
    <cfRule type="duplicateValues" dxfId="9" priority="2011"/>
  </conditionalFormatting>
  <conditionalFormatting sqref="A495">
    <cfRule type="duplicateValues" dxfId="9" priority="2010"/>
  </conditionalFormatting>
  <conditionalFormatting sqref="A496">
    <cfRule type="duplicateValues" dxfId="9" priority="2009"/>
  </conditionalFormatting>
  <conditionalFormatting sqref="A497">
    <cfRule type="duplicateValues" dxfId="9" priority="2008"/>
  </conditionalFormatting>
  <conditionalFormatting sqref="A498">
    <cfRule type="duplicateValues" dxfId="9" priority="2007"/>
  </conditionalFormatting>
  <conditionalFormatting sqref="A499">
    <cfRule type="duplicateValues" dxfId="9" priority="2006"/>
  </conditionalFormatting>
  <conditionalFormatting sqref="A500">
    <cfRule type="duplicateValues" dxfId="9" priority="2005"/>
  </conditionalFormatting>
  <conditionalFormatting sqref="A501">
    <cfRule type="duplicateValues" dxfId="9" priority="2004"/>
  </conditionalFormatting>
  <conditionalFormatting sqref="A502">
    <cfRule type="duplicateValues" dxfId="9" priority="2003"/>
  </conditionalFormatting>
  <conditionalFormatting sqref="A503">
    <cfRule type="duplicateValues" dxfId="9" priority="2002"/>
  </conditionalFormatting>
  <conditionalFormatting sqref="A504">
    <cfRule type="duplicateValues" dxfId="9" priority="2001"/>
  </conditionalFormatting>
  <conditionalFormatting sqref="A505">
    <cfRule type="duplicateValues" dxfId="9" priority="2000"/>
  </conditionalFormatting>
  <conditionalFormatting sqref="A506">
    <cfRule type="duplicateValues" dxfId="9" priority="1999"/>
  </conditionalFormatting>
  <conditionalFormatting sqref="A507">
    <cfRule type="duplicateValues" dxfId="9" priority="1998"/>
  </conditionalFormatting>
  <conditionalFormatting sqref="A508">
    <cfRule type="duplicateValues" dxfId="9" priority="1997"/>
  </conditionalFormatting>
  <conditionalFormatting sqref="A509">
    <cfRule type="duplicateValues" dxfId="9" priority="1996"/>
  </conditionalFormatting>
  <conditionalFormatting sqref="A510">
    <cfRule type="duplicateValues" dxfId="9" priority="1995"/>
  </conditionalFormatting>
  <conditionalFormatting sqref="A511">
    <cfRule type="duplicateValues" dxfId="9" priority="1994"/>
  </conditionalFormatting>
  <conditionalFormatting sqref="A512">
    <cfRule type="duplicateValues" dxfId="9" priority="1993"/>
  </conditionalFormatting>
  <conditionalFormatting sqref="A513">
    <cfRule type="duplicateValues" dxfId="9" priority="1992"/>
  </conditionalFormatting>
  <conditionalFormatting sqref="A514">
    <cfRule type="duplicateValues" dxfId="9" priority="1991"/>
  </conditionalFormatting>
  <conditionalFormatting sqref="A515">
    <cfRule type="duplicateValues" dxfId="9" priority="1990"/>
  </conditionalFormatting>
  <conditionalFormatting sqref="A516">
    <cfRule type="duplicateValues" dxfId="9" priority="1989"/>
  </conditionalFormatting>
  <conditionalFormatting sqref="A517">
    <cfRule type="duplicateValues" dxfId="9" priority="1988"/>
  </conditionalFormatting>
  <conditionalFormatting sqref="A518">
    <cfRule type="duplicateValues" dxfId="9" priority="1987"/>
  </conditionalFormatting>
  <conditionalFormatting sqref="A519">
    <cfRule type="duplicateValues" dxfId="9" priority="1986"/>
  </conditionalFormatting>
  <conditionalFormatting sqref="A520">
    <cfRule type="duplicateValues" dxfId="9" priority="1985"/>
  </conditionalFormatting>
  <conditionalFormatting sqref="A521">
    <cfRule type="duplicateValues" dxfId="9" priority="1984"/>
  </conditionalFormatting>
  <conditionalFormatting sqref="A522">
    <cfRule type="duplicateValues" dxfId="9" priority="1983"/>
  </conditionalFormatting>
  <conditionalFormatting sqref="A523">
    <cfRule type="duplicateValues" dxfId="9" priority="1982"/>
  </conditionalFormatting>
  <conditionalFormatting sqref="A524">
    <cfRule type="duplicateValues" dxfId="9" priority="1981"/>
  </conditionalFormatting>
  <conditionalFormatting sqref="A525">
    <cfRule type="duplicateValues" dxfId="9" priority="1980"/>
  </conditionalFormatting>
  <conditionalFormatting sqref="A526">
    <cfRule type="duplicateValues" dxfId="9" priority="1979"/>
  </conditionalFormatting>
  <conditionalFormatting sqref="A527">
    <cfRule type="duplicateValues" dxfId="9" priority="1978"/>
  </conditionalFormatting>
  <conditionalFormatting sqref="A528">
    <cfRule type="duplicateValues" dxfId="9" priority="1977"/>
  </conditionalFormatting>
  <conditionalFormatting sqref="A529">
    <cfRule type="duplicateValues" dxfId="9" priority="1976"/>
  </conditionalFormatting>
  <conditionalFormatting sqref="A530">
    <cfRule type="duplicateValues" dxfId="9" priority="1975"/>
  </conditionalFormatting>
  <conditionalFormatting sqref="A531">
    <cfRule type="duplicateValues" dxfId="9" priority="1974"/>
  </conditionalFormatting>
  <conditionalFormatting sqref="A532">
    <cfRule type="duplicateValues" dxfId="9" priority="1973"/>
  </conditionalFormatting>
  <conditionalFormatting sqref="A533">
    <cfRule type="duplicateValues" dxfId="9" priority="1972"/>
  </conditionalFormatting>
  <conditionalFormatting sqref="A534">
    <cfRule type="duplicateValues" dxfId="9" priority="1971"/>
  </conditionalFormatting>
  <conditionalFormatting sqref="A535">
    <cfRule type="duplicateValues" dxfId="9" priority="1970"/>
  </conditionalFormatting>
  <conditionalFormatting sqref="A536">
    <cfRule type="duplicateValues" dxfId="9" priority="1969"/>
  </conditionalFormatting>
  <conditionalFormatting sqref="A537">
    <cfRule type="duplicateValues" dxfId="9" priority="1968"/>
  </conditionalFormatting>
  <conditionalFormatting sqref="A538">
    <cfRule type="duplicateValues" dxfId="9" priority="1967"/>
  </conditionalFormatting>
  <conditionalFormatting sqref="A539">
    <cfRule type="duplicateValues" dxfId="9" priority="1966"/>
  </conditionalFormatting>
  <conditionalFormatting sqref="A540">
    <cfRule type="duplicateValues" dxfId="9" priority="1965"/>
  </conditionalFormatting>
  <conditionalFormatting sqref="A541">
    <cfRule type="duplicateValues" dxfId="9" priority="1964"/>
  </conditionalFormatting>
  <conditionalFormatting sqref="A542">
    <cfRule type="duplicateValues" dxfId="9" priority="1963"/>
  </conditionalFormatting>
  <conditionalFormatting sqref="A543">
    <cfRule type="duplicateValues" dxfId="9" priority="1962"/>
  </conditionalFormatting>
  <conditionalFormatting sqref="A544">
    <cfRule type="duplicateValues" dxfId="9" priority="1961"/>
  </conditionalFormatting>
  <conditionalFormatting sqref="A545">
    <cfRule type="duplicateValues" dxfId="9" priority="1960"/>
  </conditionalFormatting>
  <conditionalFormatting sqref="A546">
    <cfRule type="duplicateValues" dxfId="9" priority="1959"/>
  </conditionalFormatting>
  <conditionalFormatting sqref="A547">
    <cfRule type="duplicateValues" dxfId="9" priority="1958"/>
  </conditionalFormatting>
  <conditionalFormatting sqref="A548">
    <cfRule type="duplicateValues" dxfId="9" priority="1957"/>
  </conditionalFormatting>
  <conditionalFormatting sqref="A549">
    <cfRule type="duplicateValues" dxfId="9" priority="1956"/>
  </conditionalFormatting>
  <conditionalFormatting sqref="A550">
    <cfRule type="duplicateValues" dxfId="9" priority="1955"/>
  </conditionalFormatting>
  <conditionalFormatting sqref="A551">
    <cfRule type="duplicateValues" dxfId="9" priority="1954"/>
  </conditionalFormatting>
  <conditionalFormatting sqref="A552">
    <cfRule type="duplicateValues" dxfId="9" priority="1953"/>
  </conditionalFormatting>
  <conditionalFormatting sqref="A553">
    <cfRule type="duplicateValues" dxfId="9" priority="1952"/>
  </conditionalFormatting>
  <conditionalFormatting sqref="A554">
    <cfRule type="duplicateValues" dxfId="9" priority="1951"/>
  </conditionalFormatting>
  <conditionalFormatting sqref="A555">
    <cfRule type="duplicateValues" dxfId="9" priority="1950"/>
  </conditionalFormatting>
  <conditionalFormatting sqref="A556">
    <cfRule type="duplicateValues" dxfId="9" priority="1949"/>
  </conditionalFormatting>
  <conditionalFormatting sqref="A557">
    <cfRule type="duplicateValues" dxfId="9" priority="1948"/>
  </conditionalFormatting>
  <conditionalFormatting sqref="A558">
    <cfRule type="duplicateValues" dxfId="9" priority="1947"/>
  </conditionalFormatting>
  <conditionalFormatting sqref="A559">
    <cfRule type="duplicateValues" dxfId="9" priority="1946"/>
  </conditionalFormatting>
  <conditionalFormatting sqref="A560">
    <cfRule type="duplicateValues" dxfId="9" priority="1945"/>
  </conditionalFormatting>
  <conditionalFormatting sqref="A561">
    <cfRule type="duplicateValues" dxfId="9" priority="1944"/>
  </conditionalFormatting>
  <conditionalFormatting sqref="A562">
    <cfRule type="duplicateValues" dxfId="9" priority="1943"/>
  </conditionalFormatting>
  <conditionalFormatting sqref="A563">
    <cfRule type="duplicateValues" dxfId="9" priority="1942"/>
  </conditionalFormatting>
  <conditionalFormatting sqref="A564">
    <cfRule type="duplicateValues" dxfId="9" priority="1941"/>
  </conditionalFormatting>
  <conditionalFormatting sqref="A565">
    <cfRule type="duplicateValues" dxfId="9" priority="1940"/>
  </conditionalFormatting>
  <conditionalFormatting sqref="A566">
    <cfRule type="duplicateValues" dxfId="9" priority="1939"/>
  </conditionalFormatting>
  <conditionalFormatting sqref="A567">
    <cfRule type="duplicateValues" dxfId="9" priority="1938"/>
  </conditionalFormatting>
  <conditionalFormatting sqref="A568">
    <cfRule type="duplicateValues" dxfId="9" priority="1937"/>
  </conditionalFormatting>
  <conditionalFormatting sqref="A569">
    <cfRule type="duplicateValues" dxfId="9" priority="1936"/>
  </conditionalFormatting>
  <conditionalFormatting sqref="A570">
    <cfRule type="duplicateValues" dxfId="9" priority="1935"/>
  </conditionalFormatting>
  <conditionalFormatting sqref="A571">
    <cfRule type="duplicateValues" dxfId="9" priority="1934"/>
  </conditionalFormatting>
  <conditionalFormatting sqref="A572">
    <cfRule type="duplicateValues" dxfId="9" priority="1933"/>
  </conditionalFormatting>
  <conditionalFormatting sqref="A573">
    <cfRule type="duplicateValues" dxfId="9" priority="1932"/>
  </conditionalFormatting>
  <conditionalFormatting sqref="A574">
    <cfRule type="duplicateValues" dxfId="9" priority="1931"/>
  </conditionalFormatting>
  <conditionalFormatting sqref="A575">
    <cfRule type="duplicateValues" dxfId="9" priority="1930"/>
  </conditionalFormatting>
  <conditionalFormatting sqref="A576">
    <cfRule type="duplicateValues" dxfId="9" priority="1929"/>
  </conditionalFormatting>
  <conditionalFormatting sqref="A577">
    <cfRule type="duplicateValues" dxfId="9" priority="1928"/>
  </conditionalFormatting>
  <conditionalFormatting sqref="A578">
    <cfRule type="duplicateValues" dxfId="9" priority="1927"/>
  </conditionalFormatting>
  <conditionalFormatting sqref="A579">
    <cfRule type="duplicateValues" dxfId="9" priority="1926"/>
  </conditionalFormatting>
  <conditionalFormatting sqref="A580">
    <cfRule type="duplicateValues" dxfId="9" priority="1925"/>
  </conditionalFormatting>
  <conditionalFormatting sqref="A581">
    <cfRule type="duplicateValues" dxfId="9" priority="1924"/>
  </conditionalFormatting>
  <conditionalFormatting sqref="A582">
    <cfRule type="duplicateValues" dxfId="9" priority="1923"/>
  </conditionalFormatting>
  <conditionalFormatting sqref="A583">
    <cfRule type="duplicateValues" dxfId="9" priority="1922"/>
  </conditionalFormatting>
  <conditionalFormatting sqref="A584">
    <cfRule type="duplicateValues" dxfId="9" priority="1921"/>
  </conditionalFormatting>
  <conditionalFormatting sqref="A585">
    <cfRule type="duplicateValues" dxfId="9" priority="1920"/>
  </conditionalFormatting>
  <conditionalFormatting sqref="A586">
    <cfRule type="duplicateValues" dxfId="9" priority="1919"/>
  </conditionalFormatting>
  <conditionalFormatting sqref="A587">
    <cfRule type="duplicateValues" dxfId="9" priority="1918"/>
  </conditionalFormatting>
  <conditionalFormatting sqref="A588">
    <cfRule type="duplicateValues" dxfId="9" priority="1917"/>
  </conditionalFormatting>
  <conditionalFormatting sqref="A589">
    <cfRule type="duplicateValues" dxfId="9" priority="1916"/>
  </conditionalFormatting>
  <conditionalFormatting sqref="A590">
    <cfRule type="duplicateValues" dxfId="9" priority="1915"/>
  </conditionalFormatting>
  <conditionalFormatting sqref="A591">
    <cfRule type="duplicateValues" dxfId="9" priority="1914"/>
  </conditionalFormatting>
  <conditionalFormatting sqref="A592">
    <cfRule type="duplicateValues" dxfId="9" priority="1913"/>
  </conditionalFormatting>
  <conditionalFormatting sqref="A593">
    <cfRule type="duplicateValues" dxfId="9" priority="1912"/>
  </conditionalFormatting>
  <conditionalFormatting sqref="A594">
    <cfRule type="duplicateValues" dxfId="9" priority="1911"/>
  </conditionalFormatting>
  <conditionalFormatting sqref="A595">
    <cfRule type="duplicateValues" dxfId="9" priority="1910"/>
  </conditionalFormatting>
  <conditionalFormatting sqref="A596">
    <cfRule type="duplicateValues" dxfId="9" priority="1909"/>
  </conditionalFormatting>
  <conditionalFormatting sqref="A597">
    <cfRule type="duplicateValues" dxfId="9" priority="1908"/>
  </conditionalFormatting>
  <conditionalFormatting sqref="A598">
    <cfRule type="duplicateValues" dxfId="9" priority="1907"/>
  </conditionalFormatting>
  <conditionalFormatting sqref="A599">
    <cfRule type="duplicateValues" dxfId="9" priority="1906"/>
  </conditionalFormatting>
  <conditionalFormatting sqref="A600">
    <cfRule type="duplicateValues" dxfId="9" priority="1905"/>
  </conditionalFormatting>
  <conditionalFormatting sqref="A601">
    <cfRule type="duplicateValues" dxfId="9" priority="1904"/>
  </conditionalFormatting>
  <conditionalFormatting sqref="A602">
    <cfRule type="duplicateValues" dxfId="9" priority="1903"/>
  </conditionalFormatting>
  <conditionalFormatting sqref="A603">
    <cfRule type="duplicateValues" dxfId="9" priority="1902"/>
  </conditionalFormatting>
  <conditionalFormatting sqref="A604">
    <cfRule type="duplicateValues" dxfId="9" priority="1901"/>
  </conditionalFormatting>
  <conditionalFormatting sqref="A605">
    <cfRule type="duplicateValues" dxfId="9" priority="1900"/>
  </conditionalFormatting>
  <conditionalFormatting sqref="A607">
    <cfRule type="duplicateValues" dxfId="9" priority="1899"/>
  </conditionalFormatting>
  <conditionalFormatting sqref="A608">
    <cfRule type="duplicateValues" dxfId="9" priority="1898"/>
  </conditionalFormatting>
  <conditionalFormatting sqref="A609">
    <cfRule type="duplicateValues" dxfId="9" priority="1897"/>
  </conditionalFormatting>
  <conditionalFormatting sqref="A610">
    <cfRule type="duplicateValues" dxfId="9" priority="1896"/>
  </conditionalFormatting>
  <conditionalFormatting sqref="A611">
    <cfRule type="duplicateValues" dxfId="9" priority="1895"/>
  </conditionalFormatting>
  <conditionalFormatting sqref="A612">
    <cfRule type="duplicateValues" dxfId="9" priority="1894"/>
  </conditionalFormatting>
  <conditionalFormatting sqref="A613">
    <cfRule type="duplicateValues" dxfId="9" priority="1893"/>
  </conditionalFormatting>
  <conditionalFormatting sqref="A614">
    <cfRule type="duplicateValues" dxfId="9" priority="1892"/>
  </conditionalFormatting>
  <conditionalFormatting sqref="A615">
    <cfRule type="duplicateValues" dxfId="9" priority="1891"/>
  </conditionalFormatting>
  <conditionalFormatting sqref="A616">
    <cfRule type="duplicateValues" dxfId="9" priority="1890"/>
  </conditionalFormatting>
  <conditionalFormatting sqref="A617">
    <cfRule type="duplicateValues" dxfId="9" priority="1889"/>
  </conditionalFormatting>
  <conditionalFormatting sqref="A618">
    <cfRule type="duplicateValues" dxfId="9" priority="1888"/>
  </conditionalFormatting>
  <conditionalFormatting sqref="A619">
    <cfRule type="duplicateValues" dxfId="9" priority="1887"/>
  </conditionalFormatting>
  <conditionalFormatting sqref="A620">
    <cfRule type="duplicateValues" dxfId="9" priority="1886"/>
  </conditionalFormatting>
  <conditionalFormatting sqref="A621">
    <cfRule type="duplicateValues" dxfId="9" priority="1885"/>
  </conditionalFormatting>
  <conditionalFormatting sqref="A622">
    <cfRule type="duplicateValues" dxfId="9" priority="1884"/>
  </conditionalFormatting>
  <conditionalFormatting sqref="A623">
    <cfRule type="duplicateValues" dxfId="9" priority="1883"/>
  </conditionalFormatting>
  <conditionalFormatting sqref="A624">
    <cfRule type="duplicateValues" dxfId="9" priority="1882"/>
  </conditionalFormatting>
  <conditionalFormatting sqref="A625">
    <cfRule type="duplicateValues" dxfId="9" priority="1881"/>
  </conditionalFormatting>
  <conditionalFormatting sqref="A626">
    <cfRule type="duplicateValues" dxfId="9" priority="1880"/>
  </conditionalFormatting>
  <conditionalFormatting sqref="A627">
    <cfRule type="duplicateValues" dxfId="9" priority="1879"/>
  </conditionalFormatting>
  <conditionalFormatting sqref="A628">
    <cfRule type="duplicateValues" dxfId="9" priority="1878"/>
  </conditionalFormatting>
  <conditionalFormatting sqref="A629">
    <cfRule type="duplicateValues" dxfId="9" priority="1877"/>
  </conditionalFormatting>
  <conditionalFormatting sqref="A630">
    <cfRule type="duplicateValues" dxfId="9" priority="1876"/>
  </conditionalFormatting>
  <conditionalFormatting sqref="A631">
    <cfRule type="duplicateValues" dxfId="9" priority="1875"/>
  </conditionalFormatting>
  <conditionalFormatting sqref="A632">
    <cfRule type="duplicateValues" dxfId="9" priority="1874"/>
  </conditionalFormatting>
  <conditionalFormatting sqref="A633">
    <cfRule type="duplicateValues" dxfId="9" priority="1873"/>
  </conditionalFormatting>
  <conditionalFormatting sqref="A634">
    <cfRule type="duplicateValues" dxfId="9" priority="1872"/>
  </conditionalFormatting>
  <conditionalFormatting sqref="A635">
    <cfRule type="duplicateValues" dxfId="9" priority="1871"/>
  </conditionalFormatting>
  <conditionalFormatting sqref="A636">
    <cfRule type="duplicateValues" dxfId="9" priority="1870"/>
  </conditionalFormatting>
  <conditionalFormatting sqref="A637">
    <cfRule type="duplicateValues" dxfId="9" priority="1869"/>
  </conditionalFormatting>
  <conditionalFormatting sqref="A638">
    <cfRule type="duplicateValues" dxfId="9" priority="1868"/>
  </conditionalFormatting>
  <conditionalFormatting sqref="A639">
    <cfRule type="duplicateValues" dxfId="9" priority="1867"/>
  </conditionalFormatting>
  <conditionalFormatting sqref="A640">
    <cfRule type="duplicateValues" dxfId="9" priority="1866"/>
  </conditionalFormatting>
  <conditionalFormatting sqref="A641">
    <cfRule type="duplicateValues" dxfId="9" priority="1865"/>
  </conditionalFormatting>
  <conditionalFormatting sqref="A642">
    <cfRule type="duplicateValues" dxfId="9" priority="1864"/>
  </conditionalFormatting>
  <conditionalFormatting sqref="A643">
    <cfRule type="duplicateValues" dxfId="9" priority="1863"/>
  </conditionalFormatting>
  <conditionalFormatting sqref="A644">
    <cfRule type="duplicateValues" dxfId="9" priority="1862"/>
  </conditionalFormatting>
  <conditionalFormatting sqref="A645">
    <cfRule type="duplicateValues" dxfId="9" priority="1861"/>
  </conditionalFormatting>
  <conditionalFormatting sqref="A646">
    <cfRule type="duplicateValues" dxfId="9" priority="1860"/>
  </conditionalFormatting>
  <conditionalFormatting sqref="A647">
    <cfRule type="duplicateValues" dxfId="9" priority="1859"/>
  </conditionalFormatting>
  <conditionalFormatting sqref="A648">
    <cfRule type="duplicateValues" dxfId="9" priority="1858"/>
  </conditionalFormatting>
  <conditionalFormatting sqref="A649">
    <cfRule type="duplicateValues" dxfId="9" priority="1857"/>
  </conditionalFormatting>
  <conditionalFormatting sqref="A650">
    <cfRule type="duplicateValues" dxfId="9" priority="1856"/>
  </conditionalFormatting>
  <conditionalFormatting sqref="A651">
    <cfRule type="duplicateValues" dxfId="9" priority="1855"/>
  </conditionalFormatting>
  <conditionalFormatting sqref="A652">
    <cfRule type="duplicateValues" dxfId="9" priority="1854"/>
  </conditionalFormatting>
  <conditionalFormatting sqref="A653">
    <cfRule type="duplicateValues" dxfId="9" priority="1853"/>
  </conditionalFormatting>
  <conditionalFormatting sqref="A654">
    <cfRule type="duplicateValues" dxfId="9" priority="1852"/>
  </conditionalFormatting>
  <conditionalFormatting sqref="A655">
    <cfRule type="duplicateValues" dxfId="9" priority="1851"/>
  </conditionalFormatting>
  <conditionalFormatting sqref="A656">
    <cfRule type="duplicateValues" dxfId="9" priority="1850"/>
  </conditionalFormatting>
  <conditionalFormatting sqref="A657">
    <cfRule type="duplicateValues" dxfId="9" priority="1849"/>
  </conditionalFormatting>
  <conditionalFormatting sqref="A658">
    <cfRule type="duplicateValues" dxfId="9" priority="1848"/>
  </conditionalFormatting>
  <conditionalFormatting sqref="A659">
    <cfRule type="duplicateValues" dxfId="9" priority="1847"/>
  </conditionalFormatting>
  <conditionalFormatting sqref="A660">
    <cfRule type="duplicateValues" dxfId="9" priority="1846"/>
  </conditionalFormatting>
  <conditionalFormatting sqref="A661">
    <cfRule type="duplicateValues" dxfId="9" priority="1845"/>
  </conditionalFormatting>
  <conditionalFormatting sqref="A662">
    <cfRule type="duplicateValues" dxfId="9" priority="1844"/>
  </conditionalFormatting>
  <conditionalFormatting sqref="A663">
    <cfRule type="duplicateValues" dxfId="9" priority="1843"/>
  </conditionalFormatting>
  <conditionalFormatting sqref="A664">
    <cfRule type="duplicateValues" dxfId="9" priority="1842"/>
  </conditionalFormatting>
  <conditionalFormatting sqref="A665">
    <cfRule type="duplicateValues" dxfId="9" priority="1841"/>
  </conditionalFormatting>
  <conditionalFormatting sqref="A666">
    <cfRule type="duplicateValues" dxfId="9" priority="1840"/>
  </conditionalFormatting>
  <conditionalFormatting sqref="A667">
    <cfRule type="duplicateValues" dxfId="9" priority="1839"/>
  </conditionalFormatting>
  <conditionalFormatting sqref="A668">
    <cfRule type="duplicateValues" dxfId="9" priority="1838"/>
  </conditionalFormatting>
  <conditionalFormatting sqref="A669">
    <cfRule type="duplicateValues" dxfId="9" priority="1837"/>
  </conditionalFormatting>
  <conditionalFormatting sqref="A670">
    <cfRule type="duplicateValues" dxfId="9" priority="1836"/>
  </conditionalFormatting>
  <conditionalFormatting sqref="A671">
    <cfRule type="duplicateValues" dxfId="9" priority="1835"/>
  </conditionalFormatting>
  <conditionalFormatting sqref="A672">
    <cfRule type="duplicateValues" dxfId="9" priority="1834"/>
  </conditionalFormatting>
  <conditionalFormatting sqref="A673">
    <cfRule type="duplicateValues" dxfId="9" priority="1833"/>
  </conditionalFormatting>
  <conditionalFormatting sqref="A674">
    <cfRule type="duplicateValues" dxfId="9" priority="1832"/>
  </conditionalFormatting>
  <conditionalFormatting sqref="A675">
    <cfRule type="duplicateValues" dxfId="9" priority="1831"/>
  </conditionalFormatting>
  <conditionalFormatting sqref="A676">
    <cfRule type="duplicateValues" dxfId="9" priority="1830"/>
  </conditionalFormatting>
  <conditionalFormatting sqref="A677">
    <cfRule type="duplicateValues" dxfId="9" priority="1829"/>
  </conditionalFormatting>
  <conditionalFormatting sqref="A678">
    <cfRule type="duplicateValues" dxfId="9" priority="1828"/>
  </conditionalFormatting>
  <conditionalFormatting sqref="A679">
    <cfRule type="duplicateValues" dxfId="9" priority="1827"/>
  </conditionalFormatting>
  <conditionalFormatting sqref="A680">
    <cfRule type="duplicateValues" dxfId="9" priority="1826"/>
  </conditionalFormatting>
  <conditionalFormatting sqref="A681">
    <cfRule type="duplicateValues" dxfId="9" priority="1825"/>
  </conditionalFormatting>
  <conditionalFormatting sqref="A682">
    <cfRule type="duplicateValues" dxfId="9" priority="1824"/>
  </conditionalFormatting>
  <conditionalFormatting sqref="A683">
    <cfRule type="duplicateValues" dxfId="9" priority="1823"/>
  </conditionalFormatting>
  <conditionalFormatting sqref="A684">
    <cfRule type="duplicateValues" dxfId="9" priority="1822"/>
  </conditionalFormatting>
  <conditionalFormatting sqref="A685">
    <cfRule type="duplicateValues" dxfId="9" priority="1821"/>
  </conditionalFormatting>
  <conditionalFormatting sqref="A686">
    <cfRule type="duplicateValues" dxfId="9" priority="1820"/>
  </conditionalFormatting>
  <conditionalFormatting sqref="A687">
    <cfRule type="duplicateValues" dxfId="9" priority="1819"/>
  </conditionalFormatting>
  <conditionalFormatting sqref="A688">
    <cfRule type="duplicateValues" dxfId="9" priority="1818"/>
  </conditionalFormatting>
  <conditionalFormatting sqref="A689">
    <cfRule type="duplicateValues" dxfId="9" priority="1817"/>
  </conditionalFormatting>
  <conditionalFormatting sqref="A690">
    <cfRule type="duplicateValues" dxfId="9" priority="1816"/>
  </conditionalFormatting>
  <conditionalFormatting sqref="A691">
    <cfRule type="duplicateValues" dxfId="9" priority="1815"/>
  </conditionalFormatting>
  <conditionalFormatting sqref="A692">
    <cfRule type="duplicateValues" dxfId="9" priority="1814"/>
  </conditionalFormatting>
  <conditionalFormatting sqref="A693">
    <cfRule type="duplicateValues" dxfId="9" priority="1813"/>
  </conditionalFormatting>
  <conditionalFormatting sqref="A694">
    <cfRule type="duplicateValues" dxfId="9" priority="1812"/>
  </conditionalFormatting>
  <conditionalFormatting sqref="A695">
    <cfRule type="duplicateValues" dxfId="9" priority="1811"/>
  </conditionalFormatting>
  <conditionalFormatting sqref="A696">
    <cfRule type="duplicateValues" dxfId="9" priority="553"/>
  </conditionalFormatting>
  <conditionalFormatting sqref="A697">
    <cfRule type="duplicateValues" dxfId="9" priority="552"/>
  </conditionalFormatting>
  <conditionalFormatting sqref="A698">
    <cfRule type="duplicateValues" dxfId="9" priority="551"/>
  </conditionalFormatting>
  <conditionalFormatting sqref="A699">
    <cfRule type="duplicateValues" dxfId="9" priority="550"/>
  </conditionalFormatting>
  <conditionalFormatting sqref="A700">
    <cfRule type="duplicateValues" dxfId="9" priority="549"/>
  </conditionalFormatting>
  <conditionalFormatting sqref="A701">
    <cfRule type="duplicateValues" dxfId="9" priority="548"/>
  </conditionalFormatting>
  <conditionalFormatting sqref="A702">
    <cfRule type="duplicateValues" dxfId="9" priority="547"/>
  </conditionalFormatting>
  <conditionalFormatting sqref="A703">
    <cfRule type="duplicateValues" dxfId="9" priority="546"/>
  </conditionalFormatting>
  <conditionalFormatting sqref="A704">
    <cfRule type="duplicateValues" dxfId="9" priority="545"/>
  </conditionalFormatting>
  <conditionalFormatting sqref="A705">
    <cfRule type="duplicateValues" dxfId="9" priority="544"/>
  </conditionalFormatting>
  <conditionalFormatting sqref="A706">
    <cfRule type="duplicateValues" dxfId="9" priority="543"/>
  </conditionalFormatting>
  <conditionalFormatting sqref="A707">
    <cfRule type="duplicateValues" dxfId="9" priority="542"/>
  </conditionalFormatting>
  <conditionalFormatting sqref="A708">
    <cfRule type="duplicateValues" dxfId="9" priority="541"/>
  </conditionalFormatting>
  <conditionalFormatting sqref="A709">
    <cfRule type="duplicateValues" dxfId="9" priority="540"/>
  </conditionalFormatting>
  <conditionalFormatting sqref="A710">
    <cfRule type="duplicateValues" dxfId="9" priority="539"/>
  </conditionalFormatting>
  <conditionalFormatting sqref="A711">
    <cfRule type="duplicateValues" dxfId="9" priority="538"/>
  </conditionalFormatting>
  <conditionalFormatting sqref="A712">
    <cfRule type="duplicateValues" dxfId="9" priority="537"/>
  </conditionalFormatting>
  <conditionalFormatting sqref="A713">
    <cfRule type="duplicateValues" dxfId="9" priority="536"/>
  </conditionalFormatting>
  <conditionalFormatting sqref="A714">
    <cfRule type="duplicateValues" dxfId="9" priority="535"/>
  </conditionalFormatting>
  <conditionalFormatting sqref="A715">
    <cfRule type="duplicateValues" dxfId="9" priority="534"/>
  </conditionalFormatting>
  <conditionalFormatting sqref="A716">
    <cfRule type="duplicateValues" dxfId="9" priority="533"/>
  </conditionalFormatting>
  <conditionalFormatting sqref="A717">
    <cfRule type="duplicateValues" dxfId="9" priority="532"/>
  </conditionalFormatting>
  <conditionalFormatting sqref="A718">
    <cfRule type="duplicateValues" dxfId="9" priority="531"/>
  </conditionalFormatting>
  <conditionalFormatting sqref="A719">
    <cfRule type="duplicateValues" dxfId="9" priority="530"/>
  </conditionalFormatting>
  <conditionalFormatting sqref="A720">
    <cfRule type="duplicateValues" dxfId="9" priority="529"/>
  </conditionalFormatting>
  <conditionalFormatting sqref="A721">
    <cfRule type="duplicateValues" dxfId="9" priority="528"/>
  </conditionalFormatting>
  <conditionalFormatting sqref="A722">
    <cfRule type="duplicateValues" dxfId="9" priority="527"/>
  </conditionalFormatting>
  <conditionalFormatting sqref="A723">
    <cfRule type="duplicateValues" dxfId="9" priority="526"/>
  </conditionalFormatting>
  <conditionalFormatting sqref="A724">
    <cfRule type="duplicateValues" dxfId="9" priority="525"/>
  </conditionalFormatting>
  <conditionalFormatting sqref="A756">
    <cfRule type="duplicateValues" dxfId="9" priority="493"/>
  </conditionalFormatting>
  <conditionalFormatting sqref="B756">
    <cfRule type="duplicateValues" dxfId="9" priority="523"/>
  </conditionalFormatting>
  <conditionalFormatting sqref="A757">
    <cfRule type="duplicateValues" dxfId="9" priority="492"/>
  </conditionalFormatting>
  <conditionalFormatting sqref="B757">
    <cfRule type="duplicateValues" dxfId="9" priority="522"/>
  </conditionalFormatting>
  <conditionalFormatting sqref="A758">
    <cfRule type="duplicateValues" dxfId="9" priority="491"/>
  </conditionalFormatting>
  <conditionalFormatting sqref="B758">
    <cfRule type="duplicateValues" dxfId="9" priority="521"/>
  </conditionalFormatting>
  <conditionalFormatting sqref="A759">
    <cfRule type="duplicateValues" dxfId="9" priority="490"/>
  </conditionalFormatting>
  <conditionalFormatting sqref="B759">
    <cfRule type="duplicateValues" dxfId="9" priority="520"/>
  </conditionalFormatting>
  <conditionalFormatting sqref="A760">
    <cfRule type="duplicateValues" dxfId="9" priority="489"/>
  </conditionalFormatting>
  <conditionalFormatting sqref="B760">
    <cfRule type="duplicateValues" dxfId="9" priority="519"/>
  </conditionalFormatting>
  <conditionalFormatting sqref="A761">
    <cfRule type="duplicateValues" dxfId="9" priority="488"/>
  </conditionalFormatting>
  <conditionalFormatting sqref="B761">
    <cfRule type="duplicateValues" dxfId="9" priority="518"/>
  </conditionalFormatting>
  <conditionalFormatting sqref="A762">
    <cfRule type="duplicateValues" dxfId="9" priority="487"/>
  </conditionalFormatting>
  <conditionalFormatting sqref="B762">
    <cfRule type="duplicateValues" dxfId="9" priority="517"/>
  </conditionalFormatting>
  <conditionalFormatting sqref="A763">
    <cfRule type="duplicateValues" dxfId="9" priority="486"/>
  </conditionalFormatting>
  <conditionalFormatting sqref="B763">
    <cfRule type="duplicateValues" dxfId="9" priority="516"/>
  </conditionalFormatting>
  <conditionalFormatting sqref="A764">
    <cfRule type="duplicateValues" dxfId="9" priority="485"/>
  </conditionalFormatting>
  <conditionalFormatting sqref="B764">
    <cfRule type="duplicateValues" dxfId="9" priority="515"/>
  </conditionalFormatting>
  <conditionalFormatting sqref="A765">
    <cfRule type="duplicateValues" dxfId="9" priority="484"/>
  </conditionalFormatting>
  <conditionalFormatting sqref="B765">
    <cfRule type="duplicateValues" dxfId="9" priority="514"/>
  </conditionalFormatting>
  <conditionalFormatting sqref="A766">
    <cfRule type="duplicateValues" dxfId="9" priority="483"/>
  </conditionalFormatting>
  <conditionalFormatting sqref="B766">
    <cfRule type="duplicateValues" dxfId="9" priority="513"/>
  </conditionalFormatting>
  <conditionalFormatting sqref="A767">
    <cfRule type="duplicateValues" dxfId="9" priority="482"/>
  </conditionalFormatting>
  <conditionalFormatting sqref="B767">
    <cfRule type="duplicateValues" dxfId="9" priority="512"/>
  </conditionalFormatting>
  <conditionalFormatting sqref="A768">
    <cfRule type="duplicateValues" dxfId="9" priority="481"/>
  </conditionalFormatting>
  <conditionalFormatting sqref="B768">
    <cfRule type="duplicateValues" dxfId="9" priority="511"/>
  </conditionalFormatting>
  <conditionalFormatting sqref="A769">
    <cfRule type="duplicateValues" dxfId="9" priority="480"/>
  </conditionalFormatting>
  <conditionalFormatting sqref="B769">
    <cfRule type="duplicateValues" dxfId="9" priority="510"/>
  </conditionalFormatting>
  <conditionalFormatting sqref="A770">
    <cfRule type="duplicateValues" dxfId="9" priority="479"/>
  </conditionalFormatting>
  <conditionalFormatting sqref="B770">
    <cfRule type="duplicateValues" dxfId="9" priority="509"/>
  </conditionalFormatting>
  <conditionalFormatting sqref="A771">
    <cfRule type="duplicateValues" dxfId="9" priority="478"/>
  </conditionalFormatting>
  <conditionalFormatting sqref="B771">
    <cfRule type="duplicateValues" dxfId="9" priority="508"/>
  </conditionalFormatting>
  <conditionalFormatting sqref="A772">
    <cfRule type="duplicateValues" dxfId="9" priority="477"/>
  </conditionalFormatting>
  <conditionalFormatting sqref="B772">
    <cfRule type="duplicateValues" dxfId="9" priority="507"/>
  </conditionalFormatting>
  <conditionalFormatting sqref="A773">
    <cfRule type="duplicateValues" dxfId="9" priority="476"/>
  </conditionalFormatting>
  <conditionalFormatting sqref="B773">
    <cfRule type="duplicateValues" dxfId="9" priority="506"/>
  </conditionalFormatting>
  <conditionalFormatting sqref="A774">
    <cfRule type="duplicateValues" dxfId="9" priority="475"/>
  </conditionalFormatting>
  <conditionalFormatting sqref="B774">
    <cfRule type="duplicateValues" dxfId="9" priority="505"/>
  </conditionalFormatting>
  <conditionalFormatting sqref="A775">
    <cfRule type="duplicateValues" dxfId="9" priority="474"/>
  </conditionalFormatting>
  <conditionalFormatting sqref="B775">
    <cfRule type="duplicateValues" dxfId="9" priority="504"/>
  </conditionalFormatting>
  <conditionalFormatting sqref="A776">
    <cfRule type="duplicateValues" dxfId="9" priority="473"/>
  </conditionalFormatting>
  <conditionalFormatting sqref="B776">
    <cfRule type="duplicateValues" dxfId="9" priority="503"/>
  </conditionalFormatting>
  <conditionalFormatting sqref="A777">
    <cfRule type="duplicateValues" dxfId="9" priority="472"/>
  </conditionalFormatting>
  <conditionalFormatting sqref="B777">
    <cfRule type="duplicateValues" dxfId="9" priority="502"/>
  </conditionalFormatting>
  <conditionalFormatting sqref="A778">
    <cfRule type="duplicateValues" dxfId="9" priority="471"/>
  </conditionalFormatting>
  <conditionalFormatting sqref="B778">
    <cfRule type="duplicateValues" dxfId="9" priority="501"/>
  </conditionalFormatting>
  <conditionalFormatting sqref="A779">
    <cfRule type="duplicateValues" dxfId="9" priority="470"/>
  </conditionalFormatting>
  <conditionalFormatting sqref="B779">
    <cfRule type="duplicateValues" dxfId="9" priority="500"/>
  </conditionalFormatting>
  <conditionalFormatting sqref="A780">
    <cfRule type="duplicateValues" dxfId="9" priority="469"/>
  </conditionalFormatting>
  <conditionalFormatting sqref="B780">
    <cfRule type="duplicateValues" dxfId="9" priority="499"/>
  </conditionalFormatting>
  <conditionalFormatting sqref="A781">
    <cfRule type="duplicateValues" dxfId="9" priority="468"/>
  </conditionalFormatting>
  <conditionalFormatting sqref="B781">
    <cfRule type="duplicateValues" dxfId="9" priority="498"/>
  </conditionalFormatting>
  <conditionalFormatting sqref="A782">
    <cfRule type="duplicateValues" dxfId="9" priority="467"/>
  </conditionalFormatting>
  <conditionalFormatting sqref="B782">
    <cfRule type="duplicateValues" dxfId="9" priority="497"/>
  </conditionalFormatting>
  <conditionalFormatting sqref="A783">
    <cfRule type="duplicateValues" dxfId="9" priority="466"/>
  </conditionalFormatting>
  <conditionalFormatting sqref="B783">
    <cfRule type="duplicateValues" dxfId="9" priority="496"/>
  </conditionalFormatting>
  <conditionalFormatting sqref="A784">
    <cfRule type="duplicateValues" dxfId="9" priority="465"/>
  </conditionalFormatting>
  <conditionalFormatting sqref="B784">
    <cfRule type="duplicateValues" dxfId="9" priority="495"/>
  </conditionalFormatting>
  <conditionalFormatting sqref="A785">
    <cfRule type="duplicateValues" dxfId="9" priority="464"/>
  </conditionalFormatting>
  <conditionalFormatting sqref="B785">
    <cfRule type="duplicateValues" dxfId="9" priority="494"/>
  </conditionalFormatting>
  <conditionalFormatting sqref="B786">
    <cfRule type="duplicateValues" dxfId="9" priority="1"/>
  </conditionalFormatting>
  <conditionalFormatting sqref="B789">
    <cfRule type="duplicateValues" dxfId="9" priority="2410"/>
  </conditionalFormatting>
  <conditionalFormatting sqref="A791">
    <cfRule type="duplicateValues" dxfId="9" priority="1810"/>
  </conditionalFormatting>
  <conditionalFormatting sqref="A792">
    <cfRule type="duplicateValues" dxfId="9" priority="1809"/>
  </conditionalFormatting>
  <conditionalFormatting sqref="A793">
    <cfRule type="duplicateValues" dxfId="9" priority="1808"/>
  </conditionalFormatting>
  <conditionalFormatting sqref="A794">
    <cfRule type="duplicateValues" dxfId="9" priority="1807"/>
  </conditionalFormatting>
  <conditionalFormatting sqref="A795">
    <cfRule type="duplicateValues" dxfId="9" priority="1806"/>
  </conditionalFormatting>
  <conditionalFormatting sqref="A796">
    <cfRule type="duplicateValues" dxfId="9" priority="1805"/>
  </conditionalFormatting>
  <conditionalFormatting sqref="A797">
    <cfRule type="duplicateValues" dxfId="9" priority="1804"/>
  </conditionalFormatting>
  <conditionalFormatting sqref="A798">
    <cfRule type="duplicateValues" dxfId="9" priority="1803"/>
  </conditionalFormatting>
  <conditionalFormatting sqref="A799">
    <cfRule type="duplicateValues" dxfId="9" priority="1802"/>
  </conditionalFormatting>
  <conditionalFormatting sqref="A800">
    <cfRule type="duplicateValues" dxfId="9" priority="1801"/>
  </conditionalFormatting>
  <conditionalFormatting sqref="A801">
    <cfRule type="duplicateValues" dxfId="9" priority="1800"/>
  </conditionalFormatting>
  <conditionalFormatting sqref="A802">
    <cfRule type="duplicateValues" dxfId="9" priority="1799"/>
  </conditionalFormatting>
  <conditionalFormatting sqref="A803">
    <cfRule type="duplicateValues" dxfId="9" priority="1798"/>
  </conditionalFormatting>
  <conditionalFormatting sqref="A804">
    <cfRule type="duplicateValues" dxfId="9" priority="1797"/>
  </conditionalFormatting>
  <conditionalFormatting sqref="A805">
    <cfRule type="duplicateValues" dxfId="9" priority="1796"/>
  </conditionalFormatting>
  <conditionalFormatting sqref="A806">
    <cfRule type="duplicateValues" dxfId="9" priority="1795"/>
  </conditionalFormatting>
  <conditionalFormatting sqref="A807">
    <cfRule type="duplicateValues" dxfId="9" priority="1794"/>
  </conditionalFormatting>
  <conditionalFormatting sqref="A808">
    <cfRule type="duplicateValues" dxfId="9" priority="1793"/>
  </conditionalFormatting>
  <conditionalFormatting sqref="A809">
    <cfRule type="duplicateValues" dxfId="9" priority="1792"/>
  </conditionalFormatting>
  <conditionalFormatting sqref="A810">
    <cfRule type="duplicateValues" dxfId="9" priority="1791"/>
  </conditionalFormatting>
  <conditionalFormatting sqref="A811">
    <cfRule type="duplicateValues" dxfId="9" priority="253"/>
  </conditionalFormatting>
  <conditionalFormatting sqref="A812">
    <cfRule type="duplicateValues" dxfId="9" priority="252"/>
  </conditionalFormatting>
  <conditionalFormatting sqref="A813">
    <cfRule type="duplicateValues" dxfId="9" priority="251"/>
  </conditionalFormatting>
  <conditionalFormatting sqref="A814">
    <cfRule type="duplicateValues" dxfId="9" priority="250"/>
  </conditionalFormatting>
  <conditionalFormatting sqref="A815">
    <cfRule type="duplicateValues" dxfId="9" priority="249"/>
  </conditionalFormatting>
  <conditionalFormatting sqref="A816">
    <cfRule type="duplicateValues" dxfId="9" priority="248"/>
  </conditionalFormatting>
  <conditionalFormatting sqref="A817">
    <cfRule type="duplicateValues" dxfId="9" priority="247"/>
  </conditionalFormatting>
  <conditionalFormatting sqref="A818">
    <cfRule type="duplicateValues" dxfId="9" priority="246"/>
  </conditionalFormatting>
  <conditionalFormatting sqref="A819">
    <cfRule type="duplicateValues" dxfId="9" priority="245"/>
  </conditionalFormatting>
  <conditionalFormatting sqref="A820">
    <cfRule type="duplicateValues" dxfId="9" priority="244"/>
  </conditionalFormatting>
  <conditionalFormatting sqref="A822">
    <cfRule type="duplicateValues" dxfId="9" priority="1790"/>
  </conditionalFormatting>
  <conditionalFormatting sqref="A823">
    <cfRule type="duplicateValues" dxfId="9" priority="1789"/>
  </conditionalFormatting>
  <conditionalFormatting sqref="A824">
    <cfRule type="duplicateValues" dxfId="9" priority="1788"/>
  </conditionalFormatting>
  <conditionalFormatting sqref="A825">
    <cfRule type="duplicateValues" dxfId="9" priority="1787"/>
  </conditionalFormatting>
  <conditionalFormatting sqref="A826">
    <cfRule type="duplicateValues" dxfId="9" priority="1786"/>
  </conditionalFormatting>
  <conditionalFormatting sqref="A827">
    <cfRule type="duplicateValues" dxfId="9" priority="1785"/>
  </conditionalFormatting>
  <conditionalFormatting sqref="A828">
    <cfRule type="duplicateValues" dxfId="9" priority="1784"/>
  </conditionalFormatting>
  <conditionalFormatting sqref="A829">
    <cfRule type="duplicateValues" dxfId="9" priority="1783"/>
  </conditionalFormatting>
  <conditionalFormatting sqref="A830">
    <cfRule type="duplicateValues" dxfId="9" priority="1782"/>
  </conditionalFormatting>
  <conditionalFormatting sqref="A831">
    <cfRule type="duplicateValues" dxfId="9" priority="1781"/>
  </conditionalFormatting>
  <conditionalFormatting sqref="A832">
    <cfRule type="duplicateValues" dxfId="9" priority="1780"/>
  </conditionalFormatting>
  <conditionalFormatting sqref="A833">
    <cfRule type="duplicateValues" dxfId="9" priority="1779"/>
  </conditionalFormatting>
  <conditionalFormatting sqref="A834">
    <cfRule type="duplicateValues" dxfId="9" priority="1778"/>
  </conditionalFormatting>
  <conditionalFormatting sqref="A835">
    <cfRule type="duplicateValues" dxfId="9" priority="1777"/>
  </conditionalFormatting>
  <conditionalFormatting sqref="A836">
    <cfRule type="duplicateValues" dxfId="9" priority="1776"/>
  </conditionalFormatting>
  <conditionalFormatting sqref="A837">
    <cfRule type="duplicateValues" dxfId="9" priority="1775"/>
  </conditionalFormatting>
  <conditionalFormatting sqref="A838">
    <cfRule type="duplicateValues" dxfId="9" priority="1774"/>
  </conditionalFormatting>
  <conditionalFormatting sqref="A839">
    <cfRule type="duplicateValues" dxfId="9" priority="1773"/>
  </conditionalFormatting>
  <conditionalFormatting sqref="A840">
    <cfRule type="duplicateValues" dxfId="9" priority="1772"/>
  </conditionalFormatting>
  <conditionalFormatting sqref="A841">
    <cfRule type="duplicateValues" dxfId="9" priority="263"/>
  </conditionalFormatting>
  <conditionalFormatting sqref="A842">
    <cfRule type="duplicateValues" dxfId="9" priority="262"/>
  </conditionalFormatting>
  <conditionalFormatting sqref="A843">
    <cfRule type="duplicateValues" dxfId="9" priority="261"/>
  </conditionalFormatting>
  <conditionalFormatting sqref="A844">
    <cfRule type="duplicateValues" dxfId="9" priority="260"/>
  </conditionalFormatting>
  <conditionalFormatting sqref="A845">
    <cfRule type="duplicateValues" dxfId="9" priority="259"/>
  </conditionalFormatting>
  <conditionalFormatting sqref="A846">
    <cfRule type="duplicateValues" dxfId="9" priority="258"/>
  </conditionalFormatting>
  <conditionalFormatting sqref="A847">
    <cfRule type="duplicateValues" dxfId="9" priority="257"/>
  </conditionalFormatting>
  <conditionalFormatting sqref="A848">
    <cfRule type="duplicateValues" dxfId="9" priority="256"/>
  </conditionalFormatting>
  <conditionalFormatting sqref="A849">
    <cfRule type="duplicateValues" dxfId="9" priority="255"/>
  </conditionalFormatting>
  <conditionalFormatting sqref="A850">
    <cfRule type="duplicateValues" dxfId="9" priority="254"/>
  </conditionalFormatting>
  <conditionalFormatting sqref="A851">
    <cfRule type="duplicateValues" dxfId="9" priority="1771"/>
  </conditionalFormatting>
  <conditionalFormatting sqref="A852">
    <cfRule type="duplicateValues" dxfId="9" priority="1770"/>
  </conditionalFormatting>
  <conditionalFormatting sqref="A853">
    <cfRule type="duplicateValues" dxfId="9" priority="1769"/>
  </conditionalFormatting>
  <conditionalFormatting sqref="A854">
    <cfRule type="duplicateValues" dxfId="9" priority="1768"/>
  </conditionalFormatting>
  <conditionalFormatting sqref="A855">
    <cfRule type="duplicateValues" dxfId="9" priority="1767"/>
  </conditionalFormatting>
  <conditionalFormatting sqref="A856">
    <cfRule type="duplicateValues" dxfId="9" priority="1766"/>
  </conditionalFormatting>
  <conditionalFormatting sqref="A857">
    <cfRule type="duplicateValues" dxfId="9" priority="1765"/>
  </conditionalFormatting>
  <conditionalFormatting sqref="A858">
    <cfRule type="duplicateValues" dxfId="9" priority="1764"/>
  </conditionalFormatting>
  <conditionalFormatting sqref="A859">
    <cfRule type="duplicateValues" dxfId="9" priority="1763"/>
  </conditionalFormatting>
  <conditionalFormatting sqref="A860">
    <cfRule type="duplicateValues" dxfId="9" priority="1762"/>
  </conditionalFormatting>
  <conditionalFormatting sqref="A861">
    <cfRule type="duplicateValues" dxfId="9" priority="1761"/>
  </conditionalFormatting>
  <conditionalFormatting sqref="A862">
    <cfRule type="duplicateValues" dxfId="9" priority="1760"/>
  </conditionalFormatting>
  <conditionalFormatting sqref="A863">
    <cfRule type="duplicateValues" dxfId="9" priority="1759"/>
  </conditionalFormatting>
  <conditionalFormatting sqref="A864">
    <cfRule type="duplicateValues" dxfId="9" priority="1758"/>
  </conditionalFormatting>
  <conditionalFormatting sqref="A865">
    <cfRule type="duplicateValues" dxfId="9" priority="1757"/>
  </conditionalFormatting>
  <conditionalFormatting sqref="A866">
    <cfRule type="duplicateValues" dxfId="9" priority="1756"/>
  </conditionalFormatting>
  <conditionalFormatting sqref="A867">
    <cfRule type="duplicateValues" dxfId="9" priority="1755"/>
  </conditionalFormatting>
  <conditionalFormatting sqref="A868">
    <cfRule type="duplicateValues" dxfId="9" priority="1754"/>
  </conditionalFormatting>
  <conditionalFormatting sqref="A869">
    <cfRule type="duplicateValues" dxfId="9" priority="1753"/>
  </conditionalFormatting>
  <conditionalFormatting sqref="A870">
    <cfRule type="duplicateValues" dxfId="9" priority="1752"/>
  </conditionalFormatting>
  <conditionalFormatting sqref="A871">
    <cfRule type="duplicateValues" dxfId="9" priority="273"/>
  </conditionalFormatting>
  <conditionalFormatting sqref="A872">
    <cfRule type="duplicateValues" dxfId="9" priority="272"/>
  </conditionalFormatting>
  <conditionalFormatting sqref="A873">
    <cfRule type="duplicateValues" dxfId="9" priority="271"/>
  </conditionalFormatting>
  <conditionalFormatting sqref="A874">
    <cfRule type="duplicateValues" dxfId="9" priority="270"/>
  </conditionalFormatting>
  <conditionalFormatting sqref="A875">
    <cfRule type="duplicateValues" dxfId="9" priority="269"/>
  </conditionalFormatting>
  <conditionalFormatting sqref="A876">
    <cfRule type="duplicateValues" dxfId="9" priority="268"/>
  </conditionalFormatting>
  <conditionalFormatting sqref="A877">
    <cfRule type="duplicateValues" dxfId="9" priority="267"/>
  </conditionalFormatting>
  <conditionalFormatting sqref="A878">
    <cfRule type="duplicateValues" dxfId="9" priority="266"/>
  </conditionalFormatting>
  <conditionalFormatting sqref="A879">
    <cfRule type="duplicateValues" dxfId="9" priority="265"/>
  </conditionalFormatting>
  <conditionalFormatting sqref="A880">
    <cfRule type="duplicateValues" dxfId="9" priority="264"/>
  </conditionalFormatting>
  <conditionalFormatting sqref="A882">
    <cfRule type="duplicateValues" dxfId="9" priority="1751"/>
  </conditionalFormatting>
  <conditionalFormatting sqref="A883">
    <cfRule type="duplicateValues" dxfId="9" priority="1750"/>
  </conditionalFormatting>
  <conditionalFormatting sqref="A884">
    <cfRule type="duplicateValues" dxfId="9" priority="1749"/>
  </conditionalFormatting>
  <conditionalFormatting sqref="A885">
    <cfRule type="duplicateValues" dxfId="9" priority="1748"/>
  </conditionalFormatting>
  <conditionalFormatting sqref="A886">
    <cfRule type="duplicateValues" dxfId="9" priority="1747"/>
  </conditionalFormatting>
  <conditionalFormatting sqref="A887">
    <cfRule type="duplicateValues" dxfId="9" priority="1746"/>
  </conditionalFormatting>
  <conditionalFormatting sqref="A888">
    <cfRule type="duplicateValues" dxfId="9" priority="1745"/>
  </conditionalFormatting>
  <conditionalFormatting sqref="A889">
    <cfRule type="duplicateValues" dxfId="9" priority="1744"/>
  </conditionalFormatting>
  <conditionalFormatting sqref="A890">
    <cfRule type="duplicateValues" dxfId="9" priority="1743"/>
  </conditionalFormatting>
  <conditionalFormatting sqref="A891">
    <cfRule type="duplicateValues" dxfId="9" priority="1742"/>
  </conditionalFormatting>
  <conditionalFormatting sqref="A892">
    <cfRule type="duplicateValues" dxfId="9" priority="1741"/>
  </conditionalFormatting>
  <conditionalFormatting sqref="A893">
    <cfRule type="duplicateValues" dxfId="9" priority="1740"/>
  </conditionalFormatting>
  <conditionalFormatting sqref="A894">
    <cfRule type="duplicateValues" dxfId="9" priority="1739"/>
  </conditionalFormatting>
  <conditionalFormatting sqref="A895">
    <cfRule type="duplicateValues" dxfId="9" priority="1738"/>
  </conditionalFormatting>
  <conditionalFormatting sqref="A896">
    <cfRule type="duplicateValues" dxfId="9" priority="1737"/>
  </conditionalFormatting>
  <conditionalFormatting sqref="A897">
    <cfRule type="duplicateValues" dxfId="9" priority="1736"/>
  </conditionalFormatting>
  <conditionalFormatting sqref="A898">
    <cfRule type="duplicateValues" dxfId="9" priority="1735"/>
  </conditionalFormatting>
  <conditionalFormatting sqref="A899">
    <cfRule type="duplicateValues" dxfId="9" priority="1734"/>
  </conditionalFormatting>
  <conditionalFormatting sqref="A900">
    <cfRule type="duplicateValues" dxfId="9" priority="1733"/>
  </conditionalFormatting>
  <conditionalFormatting sqref="A901">
    <cfRule type="duplicateValues" dxfId="9" priority="283"/>
  </conditionalFormatting>
  <conditionalFormatting sqref="A902">
    <cfRule type="duplicateValues" dxfId="9" priority="282"/>
  </conditionalFormatting>
  <conditionalFormatting sqref="A903">
    <cfRule type="duplicateValues" dxfId="9" priority="281"/>
  </conditionalFormatting>
  <conditionalFormatting sqref="A904">
    <cfRule type="duplicateValues" dxfId="9" priority="280"/>
  </conditionalFormatting>
  <conditionalFormatting sqref="A905">
    <cfRule type="duplicateValues" dxfId="9" priority="279"/>
  </conditionalFormatting>
  <conditionalFormatting sqref="A906">
    <cfRule type="duplicateValues" dxfId="9" priority="278"/>
  </conditionalFormatting>
  <conditionalFormatting sqref="A907">
    <cfRule type="duplicateValues" dxfId="9" priority="277"/>
  </conditionalFormatting>
  <conditionalFormatting sqref="A908">
    <cfRule type="duplicateValues" dxfId="9" priority="276"/>
  </conditionalFormatting>
  <conditionalFormatting sqref="A909">
    <cfRule type="duplicateValues" dxfId="9" priority="275"/>
  </conditionalFormatting>
  <conditionalFormatting sqref="A910">
    <cfRule type="duplicateValues" dxfId="9" priority="274"/>
  </conditionalFormatting>
  <conditionalFormatting sqref="A911">
    <cfRule type="duplicateValues" dxfId="9" priority="1732"/>
  </conditionalFormatting>
  <conditionalFormatting sqref="A912">
    <cfRule type="duplicateValues" dxfId="9" priority="1731"/>
  </conditionalFormatting>
  <conditionalFormatting sqref="A913">
    <cfRule type="duplicateValues" dxfId="9" priority="1730"/>
  </conditionalFormatting>
  <conditionalFormatting sqref="A914">
    <cfRule type="duplicateValues" dxfId="9" priority="1729"/>
  </conditionalFormatting>
  <conditionalFormatting sqref="A915">
    <cfRule type="duplicateValues" dxfId="9" priority="1728"/>
  </conditionalFormatting>
  <conditionalFormatting sqref="A916">
    <cfRule type="duplicateValues" dxfId="9" priority="1727"/>
  </conditionalFormatting>
  <conditionalFormatting sqref="A917">
    <cfRule type="duplicateValues" dxfId="9" priority="1726"/>
  </conditionalFormatting>
  <conditionalFormatting sqref="A918">
    <cfRule type="duplicateValues" dxfId="9" priority="1725"/>
  </conditionalFormatting>
  <conditionalFormatting sqref="A919">
    <cfRule type="duplicateValues" dxfId="9" priority="1724"/>
  </conditionalFormatting>
  <conditionalFormatting sqref="A920">
    <cfRule type="duplicateValues" dxfId="9" priority="1723"/>
  </conditionalFormatting>
  <conditionalFormatting sqref="A921">
    <cfRule type="duplicateValues" dxfId="9" priority="1722"/>
  </conditionalFormatting>
  <conditionalFormatting sqref="A922">
    <cfRule type="duplicateValues" dxfId="9" priority="1721"/>
  </conditionalFormatting>
  <conditionalFormatting sqref="A923">
    <cfRule type="duplicateValues" dxfId="9" priority="1720"/>
  </conditionalFormatting>
  <conditionalFormatting sqref="A924">
    <cfRule type="duplicateValues" dxfId="9" priority="1719"/>
  </conditionalFormatting>
  <conditionalFormatting sqref="A925">
    <cfRule type="duplicateValues" dxfId="9" priority="1718"/>
  </conditionalFormatting>
  <conditionalFormatting sqref="A926">
    <cfRule type="duplicateValues" dxfId="9" priority="1717"/>
  </conditionalFormatting>
  <conditionalFormatting sqref="A927">
    <cfRule type="duplicateValues" dxfId="9" priority="1716"/>
  </conditionalFormatting>
  <conditionalFormatting sqref="A928">
    <cfRule type="duplicateValues" dxfId="9" priority="1715"/>
  </conditionalFormatting>
  <conditionalFormatting sqref="A929">
    <cfRule type="duplicateValues" dxfId="9" priority="1714"/>
  </conditionalFormatting>
  <conditionalFormatting sqref="A930">
    <cfRule type="duplicateValues" dxfId="9" priority="1713"/>
  </conditionalFormatting>
  <conditionalFormatting sqref="A931">
    <cfRule type="duplicateValues" dxfId="9" priority="1712"/>
  </conditionalFormatting>
  <conditionalFormatting sqref="A932">
    <cfRule type="duplicateValues" dxfId="9" priority="1711"/>
  </conditionalFormatting>
  <conditionalFormatting sqref="A933">
    <cfRule type="duplicateValues" dxfId="9" priority="1710"/>
  </conditionalFormatting>
  <conditionalFormatting sqref="A934">
    <cfRule type="duplicateValues" dxfId="9" priority="1709"/>
  </conditionalFormatting>
  <conditionalFormatting sqref="A935">
    <cfRule type="duplicateValues" dxfId="9" priority="1708"/>
  </conditionalFormatting>
  <conditionalFormatting sqref="A936">
    <cfRule type="duplicateValues" dxfId="9" priority="1707"/>
  </conditionalFormatting>
  <conditionalFormatting sqref="A937">
    <cfRule type="duplicateValues" dxfId="9" priority="1706"/>
  </conditionalFormatting>
  <conditionalFormatting sqref="A938">
    <cfRule type="duplicateValues" dxfId="9" priority="1705"/>
  </conditionalFormatting>
  <conditionalFormatting sqref="A939">
    <cfRule type="duplicateValues" dxfId="9" priority="1704"/>
  </conditionalFormatting>
  <conditionalFormatting sqref="A940">
    <cfRule type="duplicateValues" dxfId="9" priority="1703"/>
  </conditionalFormatting>
  <conditionalFormatting sqref="A941">
    <cfRule type="duplicateValues" dxfId="9" priority="1702"/>
  </conditionalFormatting>
  <conditionalFormatting sqref="A942">
    <cfRule type="duplicateValues" dxfId="9" priority="1701"/>
  </conditionalFormatting>
  <conditionalFormatting sqref="A943">
    <cfRule type="duplicateValues" dxfId="9" priority="1700"/>
  </conditionalFormatting>
  <conditionalFormatting sqref="A944">
    <cfRule type="duplicateValues" dxfId="9" priority="1699"/>
  </conditionalFormatting>
  <conditionalFormatting sqref="A945">
    <cfRule type="duplicateValues" dxfId="9" priority="1698"/>
  </conditionalFormatting>
  <conditionalFormatting sqref="A946">
    <cfRule type="duplicateValues" dxfId="9" priority="1697"/>
  </conditionalFormatting>
  <conditionalFormatting sqref="A947">
    <cfRule type="duplicateValues" dxfId="9" priority="1696"/>
  </conditionalFormatting>
  <conditionalFormatting sqref="A948">
    <cfRule type="duplicateValues" dxfId="9" priority="1695"/>
  </conditionalFormatting>
  <conditionalFormatting sqref="A949">
    <cfRule type="duplicateValues" dxfId="9" priority="1694"/>
  </conditionalFormatting>
  <conditionalFormatting sqref="A950">
    <cfRule type="duplicateValues" dxfId="9" priority="1693"/>
  </conditionalFormatting>
  <conditionalFormatting sqref="A951">
    <cfRule type="duplicateValues" dxfId="9" priority="1692"/>
  </conditionalFormatting>
  <conditionalFormatting sqref="A952">
    <cfRule type="duplicateValues" dxfId="9" priority="1691"/>
  </conditionalFormatting>
  <conditionalFormatting sqref="A953">
    <cfRule type="duplicateValues" dxfId="9" priority="1690"/>
  </conditionalFormatting>
  <conditionalFormatting sqref="A954">
    <cfRule type="duplicateValues" dxfId="9" priority="1689"/>
  </conditionalFormatting>
  <conditionalFormatting sqref="A955">
    <cfRule type="duplicateValues" dxfId="9" priority="1688"/>
  </conditionalFormatting>
  <conditionalFormatting sqref="A956">
    <cfRule type="duplicateValues" dxfId="9" priority="1687"/>
  </conditionalFormatting>
  <conditionalFormatting sqref="A957">
    <cfRule type="duplicateValues" dxfId="9" priority="1686"/>
  </conditionalFormatting>
  <conditionalFormatting sqref="A958">
    <cfRule type="duplicateValues" dxfId="9" priority="1685"/>
  </conditionalFormatting>
  <conditionalFormatting sqref="A959">
    <cfRule type="duplicateValues" dxfId="9" priority="1684"/>
  </conditionalFormatting>
  <conditionalFormatting sqref="A960">
    <cfRule type="duplicateValues" dxfId="9" priority="1683"/>
  </conditionalFormatting>
  <conditionalFormatting sqref="A961">
    <cfRule type="duplicateValues" dxfId="9" priority="293"/>
  </conditionalFormatting>
  <conditionalFormatting sqref="A962">
    <cfRule type="duplicateValues" dxfId="9" priority="292"/>
  </conditionalFormatting>
  <conditionalFormatting sqref="A963">
    <cfRule type="duplicateValues" dxfId="9" priority="291"/>
  </conditionalFormatting>
  <conditionalFormatting sqref="A964">
    <cfRule type="duplicateValues" dxfId="9" priority="290"/>
  </conditionalFormatting>
  <conditionalFormatting sqref="A965">
    <cfRule type="duplicateValues" dxfId="9" priority="289"/>
  </conditionalFormatting>
  <conditionalFormatting sqref="A966">
    <cfRule type="duplicateValues" dxfId="9" priority="288"/>
  </conditionalFormatting>
  <conditionalFormatting sqref="A967">
    <cfRule type="duplicateValues" dxfId="9" priority="287"/>
  </conditionalFormatting>
  <conditionalFormatting sqref="A968">
    <cfRule type="duplicateValues" dxfId="9" priority="286"/>
  </conditionalFormatting>
  <conditionalFormatting sqref="A969">
    <cfRule type="duplicateValues" dxfId="9" priority="285"/>
  </conditionalFormatting>
  <conditionalFormatting sqref="A970">
    <cfRule type="duplicateValues" dxfId="9" priority="284"/>
  </conditionalFormatting>
  <conditionalFormatting sqref="A971">
    <cfRule type="duplicateValues" dxfId="9" priority="1682"/>
  </conditionalFormatting>
  <conditionalFormatting sqref="A972">
    <cfRule type="duplicateValues" dxfId="9" priority="1681"/>
  </conditionalFormatting>
  <conditionalFormatting sqref="A973">
    <cfRule type="duplicateValues" dxfId="9" priority="1680"/>
  </conditionalFormatting>
  <conditionalFormatting sqref="A974">
    <cfRule type="duplicateValues" dxfId="9" priority="1679"/>
  </conditionalFormatting>
  <conditionalFormatting sqref="A975">
    <cfRule type="duplicateValues" dxfId="9" priority="1678"/>
  </conditionalFormatting>
  <conditionalFormatting sqref="A976">
    <cfRule type="duplicateValues" dxfId="9" priority="1677"/>
  </conditionalFormatting>
  <conditionalFormatting sqref="A977">
    <cfRule type="duplicateValues" dxfId="9" priority="1676"/>
  </conditionalFormatting>
  <conditionalFormatting sqref="A978">
    <cfRule type="duplicateValues" dxfId="9" priority="1675"/>
  </conditionalFormatting>
  <conditionalFormatting sqref="A979">
    <cfRule type="duplicateValues" dxfId="9" priority="1674"/>
  </conditionalFormatting>
  <conditionalFormatting sqref="A980">
    <cfRule type="duplicateValues" dxfId="9" priority="1673"/>
  </conditionalFormatting>
  <conditionalFormatting sqref="A981">
    <cfRule type="duplicateValues" dxfId="9" priority="1672"/>
  </conditionalFormatting>
  <conditionalFormatting sqref="A982">
    <cfRule type="duplicateValues" dxfId="9" priority="1671"/>
  </conditionalFormatting>
  <conditionalFormatting sqref="A983">
    <cfRule type="duplicateValues" dxfId="9" priority="1670"/>
  </conditionalFormatting>
  <conditionalFormatting sqref="A984">
    <cfRule type="duplicateValues" dxfId="9" priority="1669"/>
  </conditionalFormatting>
  <conditionalFormatting sqref="A985">
    <cfRule type="duplicateValues" dxfId="9" priority="1668"/>
  </conditionalFormatting>
  <conditionalFormatting sqref="A986">
    <cfRule type="duplicateValues" dxfId="9" priority="1667"/>
  </conditionalFormatting>
  <conditionalFormatting sqref="A987">
    <cfRule type="duplicateValues" dxfId="9" priority="1666"/>
  </conditionalFormatting>
  <conditionalFormatting sqref="A988">
    <cfRule type="duplicateValues" dxfId="9" priority="1665"/>
  </conditionalFormatting>
  <conditionalFormatting sqref="A989">
    <cfRule type="duplicateValues" dxfId="9" priority="1664"/>
  </conditionalFormatting>
  <conditionalFormatting sqref="A990">
    <cfRule type="duplicateValues" dxfId="9" priority="1663"/>
  </conditionalFormatting>
  <conditionalFormatting sqref="A991">
    <cfRule type="duplicateValues" dxfId="9" priority="303"/>
  </conditionalFormatting>
  <conditionalFormatting sqref="A992">
    <cfRule type="duplicateValues" dxfId="9" priority="302"/>
  </conditionalFormatting>
  <conditionalFormatting sqref="A993">
    <cfRule type="duplicateValues" dxfId="9" priority="301"/>
  </conditionalFormatting>
  <conditionalFormatting sqref="A994">
    <cfRule type="duplicateValues" dxfId="9" priority="300"/>
  </conditionalFormatting>
  <conditionalFormatting sqref="A995">
    <cfRule type="duplicateValues" dxfId="9" priority="299"/>
  </conditionalFormatting>
  <conditionalFormatting sqref="A996">
    <cfRule type="duplicateValues" dxfId="9" priority="298"/>
  </conditionalFormatting>
  <conditionalFormatting sqref="A997">
    <cfRule type="duplicateValues" dxfId="9" priority="297"/>
  </conditionalFormatting>
  <conditionalFormatting sqref="A998">
    <cfRule type="duplicateValues" dxfId="9" priority="296"/>
  </conditionalFormatting>
  <conditionalFormatting sqref="A999">
    <cfRule type="duplicateValues" dxfId="9" priority="295"/>
  </conditionalFormatting>
  <conditionalFormatting sqref="A1000">
    <cfRule type="duplicateValues" dxfId="9" priority="294"/>
  </conditionalFormatting>
  <conditionalFormatting sqref="A1002">
    <cfRule type="duplicateValues" dxfId="9" priority="1662"/>
  </conditionalFormatting>
  <conditionalFormatting sqref="A1003">
    <cfRule type="duplicateValues" dxfId="9" priority="1661"/>
  </conditionalFormatting>
  <conditionalFormatting sqref="A1004">
    <cfRule type="duplicateValues" dxfId="9" priority="1660"/>
  </conditionalFormatting>
  <conditionalFormatting sqref="A1005">
    <cfRule type="duplicateValues" dxfId="9" priority="1659"/>
  </conditionalFormatting>
  <conditionalFormatting sqref="A1006">
    <cfRule type="duplicateValues" dxfId="9" priority="1658"/>
  </conditionalFormatting>
  <conditionalFormatting sqref="A1007">
    <cfRule type="duplicateValues" dxfId="9" priority="1657"/>
  </conditionalFormatting>
  <conditionalFormatting sqref="A1008">
    <cfRule type="duplicateValues" dxfId="9" priority="1656"/>
  </conditionalFormatting>
  <conditionalFormatting sqref="A1009">
    <cfRule type="duplicateValues" dxfId="9" priority="1655"/>
  </conditionalFormatting>
  <conditionalFormatting sqref="A1010">
    <cfRule type="duplicateValues" dxfId="9" priority="1654"/>
  </conditionalFormatting>
  <conditionalFormatting sqref="A1011">
    <cfRule type="duplicateValues" dxfId="9" priority="1653"/>
  </conditionalFormatting>
  <conditionalFormatting sqref="A1012">
    <cfRule type="duplicateValues" dxfId="9" priority="1652"/>
  </conditionalFormatting>
  <conditionalFormatting sqref="A1013">
    <cfRule type="duplicateValues" dxfId="9" priority="1651"/>
  </conditionalFormatting>
  <conditionalFormatting sqref="A1014">
    <cfRule type="duplicateValues" dxfId="9" priority="1650"/>
  </conditionalFormatting>
  <conditionalFormatting sqref="A1015">
    <cfRule type="duplicateValues" dxfId="9" priority="1649"/>
  </conditionalFormatting>
  <conditionalFormatting sqref="A1016">
    <cfRule type="duplicateValues" dxfId="9" priority="1648"/>
  </conditionalFormatting>
  <conditionalFormatting sqref="A1017">
    <cfRule type="duplicateValues" dxfId="9" priority="1647"/>
  </conditionalFormatting>
  <conditionalFormatting sqref="A1018">
    <cfRule type="duplicateValues" dxfId="9" priority="1646"/>
  </conditionalFormatting>
  <conditionalFormatting sqref="A1019">
    <cfRule type="duplicateValues" dxfId="9" priority="1645"/>
  </conditionalFormatting>
  <conditionalFormatting sqref="A1020">
    <cfRule type="duplicateValues" dxfId="9" priority="1644"/>
  </conditionalFormatting>
  <conditionalFormatting sqref="A1021">
    <cfRule type="duplicateValues" dxfId="9" priority="1643"/>
  </conditionalFormatting>
  <conditionalFormatting sqref="A1022">
    <cfRule type="duplicateValues" dxfId="9" priority="1642"/>
  </conditionalFormatting>
  <conditionalFormatting sqref="A1023">
    <cfRule type="duplicateValues" dxfId="9" priority="1641"/>
  </conditionalFormatting>
  <conditionalFormatting sqref="A1024">
    <cfRule type="duplicateValues" dxfId="9" priority="1640"/>
  </conditionalFormatting>
  <conditionalFormatting sqref="A1025">
    <cfRule type="duplicateValues" dxfId="9" priority="1639"/>
  </conditionalFormatting>
  <conditionalFormatting sqref="A1026">
    <cfRule type="duplicateValues" dxfId="9" priority="1638"/>
  </conditionalFormatting>
  <conditionalFormatting sqref="A1027">
    <cfRule type="duplicateValues" dxfId="9" priority="1637"/>
  </conditionalFormatting>
  <conditionalFormatting sqref="A1028">
    <cfRule type="duplicateValues" dxfId="9" priority="1636"/>
  </conditionalFormatting>
  <conditionalFormatting sqref="A1029">
    <cfRule type="duplicateValues" dxfId="9" priority="1635"/>
  </conditionalFormatting>
  <conditionalFormatting sqref="A1030">
    <cfRule type="duplicateValues" dxfId="9" priority="1634"/>
  </conditionalFormatting>
  <conditionalFormatting sqref="A1032">
    <cfRule type="duplicateValues" dxfId="9" priority="1633"/>
  </conditionalFormatting>
  <conditionalFormatting sqref="A1033">
    <cfRule type="duplicateValues" dxfId="9" priority="1632"/>
  </conditionalFormatting>
  <conditionalFormatting sqref="A1034">
    <cfRule type="duplicateValues" dxfId="9" priority="1631"/>
  </conditionalFormatting>
  <conditionalFormatting sqref="A1035">
    <cfRule type="duplicateValues" dxfId="9" priority="1630"/>
  </conditionalFormatting>
  <conditionalFormatting sqref="A1036">
    <cfRule type="duplicateValues" dxfId="9" priority="1629"/>
  </conditionalFormatting>
  <conditionalFormatting sqref="A1037">
    <cfRule type="duplicateValues" dxfId="9" priority="1628"/>
  </conditionalFormatting>
  <conditionalFormatting sqref="A1038">
    <cfRule type="duplicateValues" dxfId="9" priority="1627"/>
  </conditionalFormatting>
  <conditionalFormatting sqref="A1039">
    <cfRule type="duplicateValues" dxfId="9" priority="1626"/>
  </conditionalFormatting>
  <conditionalFormatting sqref="A1040">
    <cfRule type="duplicateValues" dxfId="9" priority="1625"/>
  </conditionalFormatting>
  <conditionalFormatting sqref="A1041">
    <cfRule type="duplicateValues" dxfId="9" priority="1624"/>
  </conditionalFormatting>
  <conditionalFormatting sqref="A1042">
    <cfRule type="duplicateValues" dxfId="9" priority="1623"/>
  </conditionalFormatting>
  <conditionalFormatting sqref="A1043">
    <cfRule type="duplicateValues" dxfId="9" priority="1622"/>
  </conditionalFormatting>
  <conditionalFormatting sqref="A1044">
    <cfRule type="duplicateValues" dxfId="9" priority="1621"/>
  </conditionalFormatting>
  <conditionalFormatting sqref="A1045">
    <cfRule type="duplicateValues" dxfId="9" priority="1620"/>
  </conditionalFormatting>
  <conditionalFormatting sqref="A1046">
    <cfRule type="duplicateValues" dxfId="9" priority="1619"/>
  </conditionalFormatting>
  <conditionalFormatting sqref="A1047">
    <cfRule type="duplicateValues" dxfId="9" priority="1618"/>
  </conditionalFormatting>
  <conditionalFormatting sqref="A1048">
    <cfRule type="duplicateValues" dxfId="9" priority="1617"/>
  </conditionalFormatting>
  <conditionalFormatting sqref="A1049">
    <cfRule type="duplicateValues" dxfId="9" priority="1616"/>
  </conditionalFormatting>
  <conditionalFormatting sqref="A1050">
    <cfRule type="duplicateValues" dxfId="9" priority="1615"/>
  </conditionalFormatting>
  <conditionalFormatting sqref="A1051">
    <cfRule type="duplicateValues" dxfId="9" priority="1614"/>
  </conditionalFormatting>
  <conditionalFormatting sqref="A1052">
    <cfRule type="duplicateValues" dxfId="9" priority="1613"/>
  </conditionalFormatting>
  <conditionalFormatting sqref="A1053">
    <cfRule type="duplicateValues" dxfId="9" priority="1612"/>
  </conditionalFormatting>
  <conditionalFormatting sqref="A1054">
    <cfRule type="duplicateValues" dxfId="9" priority="1611"/>
  </conditionalFormatting>
  <conditionalFormatting sqref="A1055">
    <cfRule type="duplicateValues" dxfId="9" priority="1610"/>
  </conditionalFormatting>
  <conditionalFormatting sqref="A1056">
    <cfRule type="duplicateValues" dxfId="9" priority="1609"/>
  </conditionalFormatting>
  <conditionalFormatting sqref="A1057">
    <cfRule type="duplicateValues" dxfId="9" priority="1608"/>
  </conditionalFormatting>
  <conditionalFormatting sqref="A1058">
    <cfRule type="duplicateValues" dxfId="9" priority="1607"/>
  </conditionalFormatting>
  <conditionalFormatting sqref="A1059">
    <cfRule type="duplicateValues" dxfId="9" priority="1606"/>
  </conditionalFormatting>
  <conditionalFormatting sqref="A1060">
    <cfRule type="duplicateValues" dxfId="9" priority="1605"/>
  </conditionalFormatting>
  <conditionalFormatting sqref="A1062">
    <cfRule type="duplicateValues" dxfId="9" priority="1604"/>
  </conditionalFormatting>
  <conditionalFormatting sqref="A1063">
    <cfRule type="duplicateValues" dxfId="9" priority="1603"/>
  </conditionalFormatting>
  <conditionalFormatting sqref="A1064">
    <cfRule type="duplicateValues" dxfId="9" priority="1602"/>
  </conditionalFormatting>
  <conditionalFormatting sqref="A1065">
    <cfRule type="duplicateValues" dxfId="9" priority="1601"/>
  </conditionalFormatting>
  <conditionalFormatting sqref="A1066">
    <cfRule type="duplicateValues" dxfId="9" priority="1600"/>
  </conditionalFormatting>
  <conditionalFormatting sqref="A1067">
    <cfRule type="duplicateValues" dxfId="9" priority="1599"/>
  </conditionalFormatting>
  <conditionalFormatting sqref="A1068">
    <cfRule type="duplicateValues" dxfId="9" priority="1598"/>
  </conditionalFormatting>
  <conditionalFormatting sqref="A1069">
    <cfRule type="duplicateValues" dxfId="9" priority="1597"/>
  </conditionalFormatting>
  <conditionalFormatting sqref="A1070">
    <cfRule type="duplicateValues" dxfId="9" priority="1596"/>
  </conditionalFormatting>
  <conditionalFormatting sqref="A1071">
    <cfRule type="duplicateValues" dxfId="9" priority="1595"/>
  </conditionalFormatting>
  <conditionalFormatting sqref="A1072">
    <cfRule type="duplicateValues" dxfId="9" priority="1594"/>
  </conditionalFormatting>
  <conditionalFormatting sqref="A1073">
    <cfRule type="duplicateValues" dxfId="9" priority="1593"/>
  </conditionalFormatting>
  <conditionalFormatting sqref="A1074">
    <cfRule type="duplicateValues" dxfId="9" priority="1592"/>
  </conditionalFormatting>
  <conditionalFormatting sqref="A1075">
    <cfRule type="duplicateValues" dxfId="9" priority="1591"/>
  </conditionalFormatting>
  <conditionalFormatting sqref="A1076">
    <cfRule type="duplicateValues" dxfId="9" priority="1590"/>
  </conditionalFormatting>
  <conditionalFormatting sqref="A1077">
    <cfRule type="duplicateValues" dxfId="9" priority="1589"/>
  </conditionalFormatting>
  <conditionalFormatting sqref="A1078">
    <cfRule type="duplicateValues" dxfId="9" priority="1588"/>
  </conditionalFormatting>
  <conditionalFormatting sqref="A1079">
    <cfRule type="duplicateValues" dxfId="9" priority="1587"/>
  </conditionalFormatting>
  <conditionalFormatting sqref="A1080">
    <cfRule type="duplicateValues" dxfId="9" priority="1586"/>
  </conditionalFormatting>
  <conditionalFormatting sqref="A1081">
    <cfRule type="duplicateValues" dxfId="9" priority="1585"/>
  </conditionalFormatting>
  <conditionalFormatting sqref="A1082">
    <cfRule type="duplicateValues" dxfId="9" priority="1584"/>
  </conditionalFormatting>
  <conditionalFormatting sqref="A1083">
    <cfRule type="duplicateValues" dxfId="9" priority="1583"/>
  </conditionalFormatting>
  <conditionalFormatting sqref="A1084">
    <cfRule type="duplicateValues" dxfId="9" priority="1582"/>
  </conditionalFormatting>
  <conditionalFormatting sqref="A1085">
    <cfRule type="duplicateValues" dxfId="9" priority="1581"/>
  </conditionalFormatting>
  <conditionalFormatting sqref="A1086">
    <cfRule type="duplicateValues" dxfId="9" priority="1580"/>
  </conditionalFormatting>
  <conditionalFormatting sqref="A1087">
    <cfRule type="duplicateValues" dxfId="9" priority="1579"/>
  </conditionalFormatting>
  <conditionalFormatting sqref="A1088">
    <cfRule type="duplicateValues" dxfId="9" priority="1578"/>
  </conditionalFormatting>
  <conditionalFormatting sqref="A1089">
    <cfRule type="duplicateValues" dxfId="9" priority="1577"/>
  </conditionalFormatting>
  <conditionalFormatting sqref="A1090">
    <cfRule type="duplicateValues" dxfId="9" priority="1576"/>
  </conditionalFormatting>
  <conditionalFormatting sqref="A1091">
    <cfRule type="duplicateValues" dxfId="9" priority="1575"/>
  </conditionalFormatting>
  <conditionalFormatting sqref="A1092">
    <cfRule type="duplicateValues" dxfId="9" priority="1574"/>
  </conditionalFormatting>
  <conditionalFormatting sqref="A1093">
    <cfRule type="duplicateValues" dxfId="9" priority="1573"/>
  </conditionalFormatting>
  <conditionalFormatting sqref="A1094">
    <cfRule type="duplicateValues" dxfId="9" priority="1572"/>
  </conditionalFormatting>
  <conditionalFormatting sqref="A1095">
    <cfRule type="duplicateValues" dxfId="9" priority="1571"/>
  </conditionalFormatting>
  <conditionalFormatting sqref="A1096">
    <cfRule type="duplicateValues" dxfId="9" priority="1570"/>
  </conditionalFormatting>
  <conditionalFormatting sqref="A1097">
    <cfRule type="duplicateValues" dxfId="9" priority="1569"/>
  </conditionalFormatting>
  <conditionalFormatting sqref="A1098">
    <cfRule type="duplicateValues" dxfId="9" priority="1568"/>
  </conditionalFormatting>
  <conditionalFormatting sqref="A1099">
    <cfRule type="duplicateValues" dxfId="9" priority="1567"/>
  </conditionalFormatting>
  <conditionalFormatting sqref="A1100">
    <cfRule type="duplicateValues" dxfId="9" priority="1566"/>
  </conditionalFormatting>
  <conditionalFormatting sqref="A1101">
    <cfRule type="duplicateValues" dxfId="9" priority="1565"/>
  </conditionalFormatting>
  <conditionalFormatting sqref="A1102">
    <cfRule type="duplicateValues" dxfId="9" priority="1564"/>
  </conditionalFormatting>
  <conditionalFormatting sqref="A1103">
    <cfRule type="duplicateValues" dxfId="9" priority="1563"/>
  </conditionalFormatting>
  <conditionalFormatting sqref="A1104">
    <cfRule type="duplicateValues" dxfId="9" priority="1562"/>
  </conditionalFormatting>
  <conditionalFormatting sqref="A1105">
    <cfRule type="duplicateValues" dxfId="9" priority="1561"/>
  </conditionalFormatting>
  <conditionalFormatting sqref="A1106">
    <cfRule type="duplicateValues" dxfId="9" priority="1560"/>
  </conditionalFormatting>
  <conditionalFormatting sqref="A1107">
    <cfRule type="duplicateValues" dxfId="9" priority="1559"/>
  </conditionalFormatting>
  <conditionalFormatting sqref="A1108">
    <cfRule type="duplicateValues" dxfId="9" priority="1558"/>
  </conditionalFormatting>
  <conditionalFormatting sqref="A1109">
    <cfRule type="duplicateValues" dxfId="9" priority="1557"/>
  </conditionalFormatting>
  <conditionalFormatting sqref="A1110">
    <cfRule type="duplicateValues" dxfId="9" priority="1556"/>
  </conditionalFormatting>
  <conditionalFormatting sqref="A1111">
    <cfRule type="duplicateValues" dxfId="9" priority="313"/>
  </conditionalFormatting>
  <conditionalFormatting sqref="A1112">
    <cfRule type="duplicateValues" dxfId="9" priority="312"/>
  </conditionalFormatting>
  <conditionalFormatting sqref="A1113">
    <cfRule type="duplicateValues" dxfId="9" priority="311"/>
  </conditionalFormatting>
  <conditionalFormatting sqref="A1114">
    <cfRule type="duplicateValues" dxfId="9" priority="310"/>
  </conditionalFormatting>
  <conditionalFormatting sqref="A1115">
    <cfRule type="duplicateValues" dxfId="9" priority="309"/>
  </conditionalFormatting>
  <conditionalFormatting sqref="A1116">
    <cfRule type="duplicateValues" dxfId="9" priority="308"/>
  </conditionalFormatting>
  <conditionalFormatting sqref="A1117">
    <cfRule type="duplicateValues" dxfId="9" priority="307"/>
  </conditionalFormatting>
  <conditionalFormatting sqref="A1118">
    <cfRule type="duplicateValues" dxfId="9" priority="306"/>
  </conditionalFormatting>
  <conditionalFormatting sqref="A1119">
    <cfRule type="duplicateValues" dxfId="9" priority="305"/>
  </conditionalFormatting>
  <conditionalFormatting sqref="A1120">
    <cfRule type="duplicateValues" dxfId="9" priority="304"/>
  </conditionalFormatting>
  <conditionalFormatting sqref="A1122">
    <cfRule type="duplicateValues" dxfId="9" priority="1555"/>
  </conditionalFormatting>
  <conditionalFormatting sqref="A1123">
    <cfRule type="duplicateValues" dxfId="9" priority="1554"/>
  </conditionalFormatting>
  <conditionalFormatting sqref="A1124">
    <cfRule type="duplicateValues" dxfId="9" priority="1553"/>
  </conditionalFormatting>
  <conditionalFormatting sqref="A1125">
    <cfRule type="duplicateValues" dxfId="9" priority="1552"/>
  </conditionalFormatting>
  <conditionalFormatting sqref="A1126">
    <cfRule type="duplicateValues" dxfId="9" priority="1551"/>
  </conditionalFormatting>
  <conditionalFormatting sqref="A1127">
    <cfRule type="duplicateValues" dxfId="9" priority="1550"/>
  </conditionalFormatting>
  <conditionalFormatting sqref="A1128">
    <cfRule type="duplicateValues" dxfId="9" priority="1549"/>
  </conditionalFormatting>
  <conditionalFormatting sqref="A1129">
    <cfRule type="duplicateValues" dxfId="9" priority="1548"/>
  </conditionalFormatting>
  <conditionalFormatting sqref="A1130">
    <cfRule type="duplicateValues" dxfId="9" priority="1547"/>
  </conditionalFormatting>
  <conditionalFormatting sqref="A1131">
    <cfRule type="duplicateValues" dxfId="9" priority="1546"/>
  </conditionalFormatting>
  <conditionalFormatting sqref="A1132">
    <cfRule type="duplicateValues" dxfId="9" priority="1545"/>
  </conditionalFormatting>
  <conditionalFormatting sqref="A1133">
    <cfRule type="duplicateValues" dxfId="9" priority="1544"/>
  </conditionalFormatting>
  <conditionalFormatting sqref="A1134">
    <cfRule type="duplicateValues" dxfId="9" priority="1543"/>
  </conditionalFormatting>
  <conditionalFormatting sqref="A1135">
    <cfRule type="duplicateValues" dxfId="9" priority="1542"/>
  </conditionalFormatting>
  <conditionalFormatting sqref="A1136">
    <cfRule type="duplicateValues" dxfId="9" priority="1541"/>
  </conditionalFormatting>
  <conditionalFormatting sqref="A1137">
    <cfRule type="duplicateValues" dxfId="9" priority="1540"/>
  </conditionalFormatting>
  <conditionalFormatting sqref="A1138">
    <cfRule type="duplicateValues" dxfId="9" priority="1539"/>
  </conditionalFormatting>
  <conditionalFormatting sqref="A1139">
    <cfRule type="duplicateValues" dxfId="9" priority="1538"/>
  </conditionalFormatting>
  <conditionalFormatting sqref="A1140">
    <cfRule type="duplicateValues" dxfId="9" priority="1537"/>
  </conditionalFormatting>
  <conditionalFormatting sqref="A1141">
    <cfRule type="duplicateValues" dxfId="9" priority="1536"/>
  </conditionalFormatting>
  <conditionalFormatting sqref="A1142">
    <cfRule type="duplicateValues" dxfId="9" priority="1535"/>
  </conditionalFormatting>
  <conditionalFormatting sqref="A1143">
    <cfRule type="duplicateValues" dxfId="9" priority="1534"/>
  </conditionalFormatting>
  <conditionalFormatting sqref="A1144">
    <cfRule type="duplicateValues" dxfId="9" priority="1533"/>
  </conditionalFormatting>
  <conditionalFormatting sqref="A1145">
    <cfRule type="duplicateValues" dxfId="9" priority="1532"/>
  </conditionalFormatting>
  <conditionalFormatting sqref="A1146">
    <cfRule type="duplicateValues" dxfId="9" priority="1531"/>
  </conditionalFormatting>
  <conditionalFormatting sqref="A1147">
    <cfRule type="duplicateValues" dxfId="9" priority="1530"/>
  </conditionalFormatting>
  <conditionalFormatting sqref="A1148">
    <cfRule type="duplicateValues" dxfId="9" priority="1529"/>
  </conditionalFormatting>
  <conditionalFormatting sqref="A1149">
    <cfRule type="duplicateValues" dxfId="9" priority="1528"/>
  </conditionalFormatting>
  <conditionalFormatting sqref="A1150">
    <cfRule type="duplicateValues" dxfId="9" priority="1527"/>
  </conditionalFormatting>
  <conditionalFormatting sqref="A1151">
    <cfRule type="duplicateValues" dxfId="9" priority="1526"/>
  </conditionalFormatting>
  <conditionalFormatting sqref="A1152">
    <cfRule type="duplicateValues" dxfId="9" priority="1525"/>
  </conditionalFormatting>
  <conditionalFormatting sqref="A1153">
    <cfRule type="duplicateValues" dxfId="9" priority="1524"/>
  </conditionalFormatting>
  <conditionalFormatting sqref="A1154">
    <cfRule type="duplicateValues" dxfId="9" priority="1523"/>
  </conditionalFormatting>
  <conditionalFormatting sqref="A1155">
    <cfRule type="duplicateValues" dxfId="9" priority="1522"/>
  </conditionalFormatting>
  <conditionalFormatting sqref="A1156">
    <cfRule type="duplicateValues" dxfId="9" priority="1521"/>
  </conditionalFormatting>
  <conditionalFormatting sqref="A1157">
    <cfRule type="duplicateValues" dxfId="9" priority="1520"/>
  </conditionalFormatting>
  <conditionalFormatting sqref="A1158">
    <cfRule type="duplicateValues" dxfId="9" priority="1519"/>
  </conditionalFormatting>
  <conditionalFormatting sqref="A1159">
    <cfRule type="duplicateValues" dxfId="9" priority="1518"/>
  </conditionalFormatting>
  <conditionalFormatting sqref="A1160">
    <cfRule type="duplicateValues" dxfId="9" priority="1517"/>
  </conditionalFormatting>
  <conditionalFormatting sqref="A1161">
    <cfRule type="duplicateValues" dxfId="9" priority="1516"/>
  </conditionalFormatting>
  <conditionalFormatting sqref="A1162">
    <cfRule type="duplicateValues" dxfId="9" priority="1515"/>
  </conditionalFormatting>
  <conditionalFormatting sqref="A1163">
    <cfRule type="duplicateValues" dxfId="9" priority="1514"/>
  </conditionalFormatting>
  <conditionalFormatting sqref="A1164">
    <cfRule type="duplicateValues" dxfId="9" priority="1513"/>
  </conditionalFormatting>
  <conditionalFormatting sqref="A1165">
    <cfRule type="duplicateValues" dxfId="9" priority="1512"/>
  </conditionalFormatting>
  <conditionalFormatting sqref="A1166">
    <cfRule type="duplicateValues" dxfId="9" priority="1511"/>
  </conditionalFormatting>
  <conditionalFormatting sqref="A1167">
    <cfRule type="duplicateValues" dxfId="9" priority="1510"/>
  </conditionalFormatting>
  <conditionalFormatting sqref="A1168">
    <cfRule type="duplicateValues" dxfId="9" priority="1509"/>
  </conditionalFormatting>
  <conditionalFormatting sqref="A1169">
    <cfRule type="duplicateValues" dxfId="9" priority="1508"/>
  </conditionalFormatting>
  <conditionalFormatting sqref="A1170">
    <cfRule type="duplicateValues" dxfId="9" priority="1507"/>
  </conditionalFormatting>
  <conditionalFormatting sqref="A1171">
    <cfRule type="duplicateValues" dxfId="9" priority="1506"/>
  </conditionalFormatting>
  <conditionalFormatting sqref="A1172">
    <cfRule type="duplicateValues" dxfId="9" priority="1505"/>
  </conditionalFormatting>
  <conditionalFormatting sqref="A1173">
    <cfRule type="duplicateValues" dxfId="9" priority="1504"/>
  </conditionalFormatting>
  <conditionalFormatting sqref="A1174">
    <cfRule type="duplicateValues" dxfId="9" priority="1503"/>
  </conditionalFormatting>
  <conditionalFormatting sqref="A1175">
    <cfRule type="duplicateValues" dxfId="9" priority="1502"/>
  </conditionalFormatting>
  <conditionalFormatting sqref="A1176">
    <cfRule type="duplicateValues" dxfId="9" priority="1501"/>
  </conditionalFormatting>
  <conditionalFormatting sqref="A1177">
    <cfRule type="duplicateValues" dxfId="9" priority="1500"/>
  </conditionalFormatting>
  <conditionalFormatting sqref="A1178">
    <cfRule type="duplicateValues" dxfId="9" priority="1499"/>
  </conditionalFormatting>
  <conditionalFormatting sqref="A1179">
    <cfRule type="duplicateValues" dxfId="9" priority="1498"/>
  </conditionalFormatting>
  <conditionalFormatting sqref="A1180">
    <cfRule type="duplicateValues" dxfId="9" priority="1497"/>
  </conditionalFormatting>
  <conditionalFormatting sqref="A1182">
    <cfRule type="duplicateValues" dxfId="9" priority="1496"/>
  </conditionalFormatting>
  <conditionalFormatting sqref="A1183">
    <cfRule type="duplicateValues" dxfId="9" priority="1495"/>
  </conditionalFormatting>
  <conditionalFormatting sqref="A1184">
    <cfRule type="duplicateValues" dxfId="9" priority="1494"/>
  </conditionalFormatting>
  <conditionalFormatting sqref="A1185">
    <cfRule type="duplicateValues" dxfId="9" priority="1493"/>
  </conditionalFormatting>
  <conditionalFormatting sqref="A1186">
    <cfRule type="duplicateValues" dxfId="9" priority="1492"/>
  </conditionalFormatting>
  <conditionalFormatting sqref="A1187">
    <cfRule type="duplicateValues" dxfId="9" priority="1491"/>
  </conditionalFormatting>
  <conditionalFormatting sqref="A1188">
    <cfRule type="duplicateValues" dxfId="9" priority="1490"/>
  </conditionalFormatting>
  <conditionalFormatting sqref="A1189">
    <cfRule type="duplicateValues" dxfId="9" priority="1489"/>
  </conditionalFormatting>
  <conditionalFormatting sqref="A1190">
    <cfRule type="duplicateValues" dxfId="9" priority="1488"/>
  </conditionalFormatting>
  <conditionalFormatting sqref="A1191">
    <cfRule type="duplicateValues" dxfId="9" priority="1487"/>
  </conditionalFormatting>
  <conditionalFormatting sqref="A1192">
    <cfRule type="duplicateValues" dxfId="9" priority="1486"/>
  </conditionalFormatting>
  <conditionalFormatting sqref="A1193">
    <cfRule type="duplicateValues" dxfId="9" priority="1485"/>
  </conditionalFormatting>
  <conditionalFormatting sqref="A1194">
    <cfRule type="duplicateValues" dxfId="9" priority="1484"/>
  </conditionalFormatting>
  <conditionalFormatting sqref="A1195">
    <cfRule type="duplicateValues" dxfId="9" priority="1483"/>
  </conditionalFormatting>
  <conditionalFormatting sqref="A1196">
    <cfRule type="duplicateValues" dxfId="9" priority="1482"/>
  </conditionalFormatting>
  <conditionalFormatting sqref="A1197">
    <cfRule type="duplicateValues" dxfId="9" priority="1481"/>
  </conditionalFormatting>
  <conditionalFormatting sqref="A1198">
    <cfRule type="duplicateValues" dxfId="9" priority="1480"/>
  </conditionalFormatting>
  <conditionalFormatting sqref="A1199">
    <cfRule type="duplicateValues" dxfId="9" priority="1479"/>
  </conditionalFormatting>
  <conditionalFormatting sqref="A1200">
    <cfRule type="duplicateValues" dxfId="9" priority="1478"/>
  </conditionalFormatting>
  <conditionalFormatting sqref="A1201">
    <cfRule type="duplicateValues" dxfId="9" priority="1477"/>
  </conditionalFormatting>
  <conditionalFormatting sqref="A1202">
    <cfRule type="duplicateValues" dxfId="9" priority="1476"/>
  </conditionalFormatting>
  <conditionalFormatting sqref="A1203">
    <cfRule type="duplicateValues" dxfId="9" priority="1475"/>
  </conditionalFormatting>
  <conditionalFormatting sqref="A1204">
    <cfRule type="duplicateValues" dxfId="9" priority="1474"/>
  </conditionalFormatting>
  <conditionalFormatting sqref="A1205">
    <cfRule type="duplicateValues" dxfId="9" priority="1473"/>
  </conditionalFormatting>
  <conditionalFormatting sqref="A1206">
    <cfRule type="duplicateValues" dxfId="9" priority="1472"/>
  </conditionalFormatting>
  <conditionalFormatting sqref="A1207">
    <cfRule type="duplicateValues" dxfId="9" priority="1471"/>
  </conditionalFormatting>
  <conditionalFormatting sqref="A1208">
    <cfRule type="duplicateValues" dxfId="9" priority="1470"/>
  </conditionalFormatting>
  <conditionalFormatting sqref="A1209">
    <cfRule type="duplicateValues" dxfId="9" priority="1469"/>
  </conditionalFormatting>
  <conditionalFormatting sqref="A1210">
    <cfRule type="duplicateValues" dxfId="9" priority="1468"/>
  </conditionalFormatting>
  <conditionalFormatting sqref="A1211">
    <cfRule type="duplicateValues" dxfId="9" priority="1467"/>
  </conditionalFormatting>
  <conditionalFormatting sqref="A1212">
    <cfRule type="duplicateValues" dxfId="9" priority="1466"/>
  </conditionalFormatting>
  <conditionalFormatting sqref="A1213">
    <cfRule type="duplicateValues" dxfId="9" priority="1465"/>
  </conditionalFormatting>
  <conditionalFormatting sqref="A1214">
    <cfRule type="duplicateValues" dxfId="9" priority="1464"/>
  </conditionalFormatting>
  <conditionalFormatting sqref="A1215">
    <cfRule type="duplicateValues" dxfId="9" priority="1463"/>
  </conditionalFormatting>
  <conditionalFormatting sqref="A1216">
    <cfRule type="duplicateValues" dxfId="9" priority="1462"/>
  </conditionalFormatting>
  <conditionalFormatting sqref="A1217">
    <cfRule type="duplicateValues" dxfId="9" priority="1461"/>
  </conditionalFormatting>
  <conditionalFormatting sqref="A1218">
    <cfRule type="duplicateValues" dxfId="9" priority="1460"/>
  </conditionalFormatting>
  <conditionalFormatting sqref="A1219">
    <cfRule type="duplicateValues" dxfId="9" priority="1459"/>
  </conditionalFormatting>
  <conditionalFormatting sqref="A1220">
    <cfRule type="duplicateValues" dxfId="9" priority="1458"/>
  </conditionalFormatting>
  <conditionalFormatting sqref="A1221">
    <cfRule type="duplicateValues" dxfId="9" priority="1457"/>
  </conditionalFormatting>
  <conditionalFormatting sqref="A1222">
    <cfRule type="duplicateValues" dxfId="9" priority="1456"/>
  </conditionalFormatting>
  <conditionalFormatting sqref="A1223">
    <cfRule type="duplicateValues" dxfId="9" priority="1455"/>
  </conditionalFormatting>
  <conditionalFormatting sqref="A1224">
    <cfRule type="duplicateValues" dxfId="9" priority="1454"/>
  </conditionalFormatting>
  <conditionalFormatting sqref="A1225">
    <cfRule type="duplicateValues" dxfId="9" priority="1453"/>
  </conditionalFormatting>
  <conditionalFormatting sqref="A1226">
    <cfRule type="duplicateValues" dxfId="9" priority="1452"/>
  </conditionalFormatting>
  <conditionalFormatting sqref="A1227">
    <cfRule type="duplicateValues" dxfId="9" priority="1451"/>
  </conditionalFormatting>
  <conditionalFormatting sqref="A1228">
    <cfRule type="duplicateValues" dxfId="9" priority="1450"/>
  </conditionalFormatting>
  <conditionalFormatting sqref="A1229">
    <cfRule type="duplicateValues" dxfId="9" priority="1449"/>
  </conditionalFormatting>
  <conditionalFormatting sqref="A1230">
    <cfRule type="duplicateValues" dxfId="9" priority="1448"/>
  </conditionalFormatting>
  <conditionalFormatting sqref="A1231">
    <cfRule type="duplicateValues" dxfId="9" priority="1447"/>
  </conditionalFormatting>
  <conditionalFormatting sqref="A1232">
    <cfRule type="duplicateValues" dxfId="9" priority="1446"/>
  </conditionalFormatting>
  <conditionalFormatting sqref="A1233">
    <cfRule type="duplicateValues" dxfId="9" priority="1445"/>
  </conditionalFormatting>
  <conditionalFormatting sqref="A1234">
    <cfRule type="duplicateValues" dxfId="9" priority="1444"/>
  </conditionalFormatting>
  <conditionalFormatting sqref="A1235">
    <cfRule type="duplicateValues" dxfId="9" priority="1443"/>
  </conditionalFormatting>
  <conditionalFormatting sqref="A1236">
    <cfRule type="duplicateValues" dxfId="9" priority="1442"/>
  </conditionalFormatting>
  <conditionalFormatting sqref="A1237">
    <cfRule type="duplicateValues" dxfId="9" priority="1441"/>
  </conditionalFormatting>
  <conditionalFormatting sqref="A1238">
    <cfRule type="duplicateValues" dxfId="9" priority="1440"/>
  </conditionalFormatting>
  <conditionalFormatting sqref="A1239">
    <cfRule type="duplicateValues" dxfId="9" priority="1439"/>
  </conditionalFormatting>
  <conditionalFormatting sqref="A1240">
    <cfRule type="duplicateValues" dxfId="9" priority="1438"/>
  </conditionalFormatting>
  <conditionalFormatting sqref="A1241">
    <cfRule type="duplicateValues" dxfId="9" priority="1437"/>
  </conditionalFormatting>
  <conditionalFormatting sqref="A1242">
    <cfRule type="duplicateValues" dxfId="9" priority="1436"/>
  </conditionalFormatting>
  <conditionalFormatting sqref="A1243">
    <cfRule type="duplicateValues" dxfId="9" priority="1435"/>
  </conditionalFormatting>
  <conditionalFormatting sqref="A1244">
    <cfRule type="duplicateValues" dxfId="9" priority="1434"/>
  </conditionalFormatting>
  <conditionalFormatting sqref="A1245">
    <cfRule type="duplicateValues" dxfId="9" priority="1433"/>
  </conditionalFormatting>
  <conditionalFormatting sqref="A1246">
    <cfRule type="duplicateValues" dxfId="9" priority="1432"/>
  </conditionalFormatting>
  <conditionalFormatting sqref="A1247">
    <cfRule type="duplicateValues" dxfId="9" priority="1431"/>
  </conditionalFormatting>
  <conditionalFormatting sqref="A1248">
    <cfRule type="duplicateValues" dxfId="9" priority="1430"/>
  </conditionalFormatting>
  <conditionalFormatting sqref="A1249">
    <cfRule type="duplicateValues" dxfId="9" priority="1429"/>
  </conditionalFormatting>
  <conditionalFormatting sqref="A1250">
    <cfRule type="duplicateValues" dxfId="9" priority="1428"/>
  </conditionalFormatting>
  <conditionalFormatting sqref="A1251">
    <cfRule type="duplicateValues" dxfId="9" priority="1427"/>
  </conditionalFormatting>
  <conditionalFormatting sqref="A1252">
    <cfRule type="duplicateValues" dxfId="9" priority="1426"/>
  </conditionalFormatting>
  <conditionalFormatting sqref="A1253">
    <cfRule type="duplicateValues" dxfId="9" priority="1425"/>
  </conditionalFormatting>
  <conditionalFormatting sqref="A1254">
    <cfRule type="duplicateValues" dxfId="9" priority="1424"/>
  </conditionalFormatting>
  <conditionalFormatting sqref="A1255">
    <cfRule type="duplicateValues" dxfId="9" priority="1423"/>
  </conditionalFormatting>
  <conditionalFormatting sqref="A1256">
    <cfRule type="duplicateValues" dxfId="9" priority="1422"/>
  </conditionalFormatting>
  <conditionalFormatting sqref="A1257">
    <cfRule type="duplicateValues" dxfId="9" priority="1421"/>
  </conditionalFormatting>
  <conditionalFormatting sqref="A1258">
    <cfRule type="duplicateValues" dxfId="9" priority="1420"/>
  </conditionalFormatting>
  <conditionalFormatting sqref="A1259">
    <cfRule type="duplicateValues" dxfId="9" priority="1419"/>
  </conditionalFormatting>
  <conditionalFormatting sqref="A1260">
    <cfRule type="duplicateValues" dxfId="9" priority="1418"/>
  </conditionalFormatting>
  <conditionalFormatting sqref="A1261">
    <cfRule type="duplicateValues" dxfId="9" priority="1417"/>
  </conditionalFormatting>
  <conditionalFormatting sqref="A1262">
    <cfRule type="duplicateValues" dxfId="9" priority="1416"/>
  </conditionalFormatting>
  <conditionalFormatting sqref="A1263">
    <cfRule type="duplicateValues" dxfId="9" priority="1415"/>
  </conditionalFormatting>
  <conditionalFormatting sqref="A1264">
    <cfRule type="duplicateValues" dxfId="9" priority="1414"/>
  </conditionalFormatting>
  <conditionalFormatting sqref="A1265">
    <cfRule type="duplicateValues" dxfId="9" priority="1413"/>
  </conditionalFormatting>
  <conditionalFormatting sqref="A1266">
    <cfRule type="duplicateValues" dxfId="9" priority="1412"/>
  </conditionalFormatting>
  <conditionalFormatting sqref="A1267">
    <cfRule type="duplicateValues" dxfId="9" priority="1411"/>
  </conditionalFormatting>
  <conditionalFormatting sqref="A1268">
    <cfRule type="duplicateValues" dxfId="9" priority="1410"/>
  </conditionalFormatting>
  <conditionalFormatting sqref="A1269">
    <cfRule type="duplicateValues" dxfId="9" priority="1409"/>
  </conditionalFormatting>
  <conditionalFormatting sqref="A1270">
    <cfRule type="duplicateValues" dxfId="9" priority="1408"/>
  </conditionalFormatting>
  <conditionalFormatting sqref="A1272">
    <cfRule type="duplicateValues" dxfId="9" priority="1407"/>
  </conditionalFormatting>
  <conditionalFormatting sqref="A1273">
    <cfRule type="duplicateValues" dxfId="9" priority="1406"/>
  </conditionalFormatting>
  <conditionalFormatting sqref="A1274">
    <cfRule type="duplicateValues" dxfId="9" priority="1405"/>
  </conditionalFormatting>
  <conditionalFormatting sqref="A1275">
    <cfRule type="duplicateValues" dxfId="9" priority="1404"/>
  </conditionalFormatting>
  <conditionalFormatting sqref="A1276">
    <cfRule type="duplicateValues" dxfId="9" priority="1403"/>
  </conditionalFormatting>
  <conditionalFormatting sqref="A1277">
    <cfRule type="duplicateValues" dxfId="9" priority="1402"/>
  </conditionalFormatting>
  <conditionalFormatting sqref="A1278">
    <cfRule type="duplicateValues" dxfId="9" priority="1401"/>
  </conditionalFormatting>
  <conditionalFormatting sqref="A1279">
    <cfRule type="duplicateValues" dxfId="9" priority="1400"/>
  </conditionalFormatting>
  <conditionalFormatting sqref="A1280">
    <cfRule type="duplicateValues" dxfId="9" priority="1399"/>
  </conditionalFormatting>
  <conditionalFormatting sqref="A1281">
    <cfRule type="duplicateValues" dxfId="9" priority="1398"/>
  </conditionalFormatting>
  <conditionalFormatting sqref="A1282">
    <cfRule type="duplicateValues" dxfId="9" priority="1397"/>
  </conditionalFormatting>
  <conditionalFormatting sqref="A1283">
    <cfRule type="duplicateValues" dxfId="9" priority="1396"/>
  </conditionalFormatting>
  <conditionalFormatting sqref="A1284">
    <cfRule type="duplicateValues" dxfId="9" priority="1395"/>
  </conditionalFormatting>
  <conditionalFormatting sqref="A1285">
    <cfRule type="duplicateValues" dxfId="9" priority="1394"/>
  </conditionalFormatting>
  <conditionalFormatting sqref="A1286">
    <cfRule type="duplicateValues" dxfId="9" priority="1393"/>
  </conditionalFormatting>
  <conditionalFormatting sqref="A1287">
    <cfRule type="duplicateValues" dxfId="9" priority="1392"/>
  </conditionalFormatting>
  <conditionalFormatting sqref="A1288">
    <cfRule type="duplicateValues" dxfId="9" priority="1391"/>
  </conditionalFormatting>
  <conditionalFormatting sqref="A1289">
    <cfRule type="duplicateValues" dxfId="9" priority="1390"/>
  </conditionalFormatting>
  <conditionalFormatting sqref="A1290">
    <cfRule type="duplicateValues" dxfId="9" priority="1389"/>
  </conditionalFormatting>
  <conditionalFormatting sqref="A1291">
    <cfRule type="duplicateValues" dxfId="9" priority="1388"/>
  </conditionalFormatting>
  <conditionalFormatting sqref="A1292">
    <cfRule type="duplicateValues" dxfId="9" priority="1387"/>
  </conditionalFormatting>
  <conditionalFormatting sqref="A1293">
    <cfRule type="duplicateValues" dxfId="9" priority="1386"/>
  </conditionalFormatting>
  <conditionalFormatting sqref="A1294">
    <cfRule type="duplicateValues" dxfId="9" priority="1385"/>
  </conditionalFormatting>
  <conditionalFormatting sqref="A1295">
    <cfRule type="duplicateValues" dxfId="9" priority="1384"/>
  </conditionalFormatting>
  <conditionalFormatting sqref="A1296">
    <cfRule type="duplicateValues" dxfId="9" priority="1383"/>
  </conditionalFormatting>
  <conditionalFormatting sqref="A1297">
    <cfRule type="duplicateValues" dxfId="9" priority="1382"/>
  </conditionalFormatting>
  <conditionalFormatting sqref="A1298">
    <cfRule type="duplicateValues" dxfId="9" priority="1381"/>
  </conditionalFormatting>
  <conditionalFormatting sqref="A1299">
    <cfRule type="duplicateValues" dxfId="9" priority="1380"/>
  </conditionalFormatting>
  <conditionalFormatting sqref="A1300">
    <cfRule type="duplicateValues" dxfId="9" priority="1379"/>
  </conditionalFormatting>
  <conditionalFormatting sqref="A1301">
    <cfRule type="duplicateValues" dxfId="9" priority="1378"/>
  </conditionalFormatting>
  <conditionalFormatting sqref="A1302">
    <cfRule type="duplicateValues" dxfId="9" priority="1377"/>
  </conditionalFormatting>
  <conditionalFormatting sqref="A1303">
    <cfRule type="duplicateValues" dxfId="9" priority="1376"/>
  </conditionalFormatting>
  <conditionalFormatting sqref="A1304">
    <cfRule type="duplicateValues" dxfId="9" priority="1375"/>
  </conditionalFormatting>
  <conditionalFormatting sqref="A1305">
    <cfRule type="duplicateValues" dxfId="9" priority="1374"/>
  </conditionalFormatting>
  <conditionalFormatting sqref="A1306">
    <cfRule type="duplicateValues" dxfId="9" priority="1373"/>
  </conditionalFormatting>
  <conditionalFormatting sqref="A1307">
    <cfRule type="duplicateValues" dxfId="9" priority="1372"/>
  </conditionalFormatting>
  <conditionalFormatting sqref="A1308">
    <cfRule type="duplicateValues" dxfId="9" priority="1371"/>
  </conditionalFormatting>
  <conditionalFormatting sqref="A1309">
    <cfRule type="duplicateValues" dxfId="9" priority="1370"/>
  </conditionalFormatting>
  <conditionalFormatting sqref="A1310">
    <cfRule type="duplicateValues" dxfId="9" priority="1369"/>
  </conditionalFormatting>
  <conditionalFormatting sqref="A1311">
    <cfRule type="duplicateValues" dxfId="9" priority="1368"/>
  </conditionalFormatting>
  <conditionalFormatting sqref="A1312">
    <cfRule type="duplicateValues" dxfId="9" priority="1367"/>
  </conditionalFormatting>
  <conditionalFormatting sqref="A1313">
    <cfRule type="duplicateValues" dxfId="9" priority="1366"/>
  </conditionalFormatting>
  <conditionalFormatting sqref="A1314">
    <cfRule type="duplicateValues" dxfId="9" priority="1365"/>
  </conditionalFormatting>
  <conditionalFormatting sqref="A1315">
    <cfRule type="duplicateValues" dxfId="9" priority="1364"/>
  </conditionalFormatting>
  <conditionalFormatting sqref="A1316">
    <cfRule type="duplicateValues" dxfId="9" priority="1363"/>
  </conditionalFormatting>
  <conditionalFormatting sqref="A1317">
    <cfRule type="duplicateValues" dxfId="9" priority="1362"/>
  </conditionalFormatting>
  <conditionalFormatting sqref="A1318">
    <cfRule type="duplicateValues" dxfId="9" priority="1361"/>
  </conditionalFormatting>
  <conditionalFormatting sqref="A1319">
    <cfRule type="duplicateValues" dxfId="9" priority="1360"/>
  </conditionalFormatting>
  <conditionalFormatting sqref="A1320">
    <cfRule type="duplicateValues" dxfId="9" priority="1359"/>
  </conditionalFormatting>
  <conditionalFormatting sqref="A1321">
    <cfRule type="duplicateValues" dxfId="9" priority="1358"/>
  </conditionalFormatting>
  <conditionalFormatting sqref="A1322">
    <cfRule type="duplicateValues" dxfId="9" priority="1357"/>
  </conditionalFormatting>
  <conditionalFormatting sqref="A1323">
    <cfRule type="duplicateValues" dxfId="9" priority="1356"/>
  </conditionalFormatting>
  <conditionalFormatting sqref="A1324">
    <cfRule type="duplicateValues" dxfId="9" priority="1355"/>
  </conditionalFormatting>
  <conditionalFormatting sqref="A1325">
    <cfRule type="duplicateValues" dxfId="9" priority="1354"/>
  </conditionalFormatting>
  <conditionalFormatting sqref="A1326">
    <cfRule type="duplicateValues" dxfId="9" priority="1353"/>
  </conditionalFormatting>
  <conditionalFormatting sqref="A1327">
    <cfRule type="duplicateValues" dxfId="9" priority="1352"/>
  </conditionalFormatting>
  <conditionalFormatting sqref="A1328">
    <cfRule type="duplicateValues" dxfId="9" priority="1351"/>
  </conditionalFormatting>
  <conditionalFormatting sqref="A1329">
    <cfRule type="duplicateValues" dxfId="9" priority="1350"/>
  </conditionalFormatting>
  <conditionalFormatting sqref="A1330">
    <cfRule type="duplicateValues" dxfId="9" priority="1349"/>
  </conditionalFormatting>
  <conditionalFormatting sqref="A1331">
    <cfRule type="duplicateValues" dxfId="9" priority="1348"/>
  </conditionalFormatting>
  <conditionalFormatting sqref="A1332">
    <cfRule type="duplicateValues" dxfId="9" priority="1347"/>
  </conditionalFormatting>
  <conditionalFormatting sqref="A1333">
    <cfRule type="duplicateValues" dxfId="9" priority="1346"/>
  </conditionalFormatting>
  <conditionalFormatting sqref="A1334">
    <cfRule type="duplicateValues" dxfId="9" priority="1345"/>
  </conditionalFormatting>
  <conditionalFormatting sqref="A1335">
    <cfRule type="duplicateValues" dxfId="9" priority="1344"/>
  </conditionalFormatting>
  <conditionalFormatting sqref="A1336">
    <cfRule type="duplicateValues" dxfId="9" priority="1343"/>
  </conditionalFormatting>
  <conditionalFormatting sqref="A1337">
    <cfRule type="duplicateValues" dxfId="9" priority="1342"/>
  </conditionalFormatting>
  <conditionalFormatting sqref="A1338">
    <cfRule type="duplicateValues" dxfId="9" priority="1341"/>
  </conditionalFormatting>
  <conditionalFormatting sqref="A1339">
    <cfRule type="duplicateValues" dxfId="9" priority="1340"/>
  </conditionalFormatting>
  <conditionalFormatting sqref="A1340">
    <cfRule type="duplicateValues" dxfId="9" priority="1339"/>
  </conditionalFormatting>
  <conditionalFormatting sqref="A1341">
    <cfRule type="duplicateValues" dxfId="9" priority="1338"/>
  </conditionalFormatting>
  <conditionalFormatting sqref="A1342">
    <cfRule type="duplicateValues" dxfId="9" priority="1337"/>
  </conditionalFormatting>
  <conditionalFormatting sqref="A1343">
    <cfRule type="duplicateValues" dxfId="9" priority="1336"/>
  </conditionalFormatting>
  <conditionalFormatting sqref="A1344">
    <cfRule type="duplicateValues" dxfId="9" priority="1335"/>
  </conditionalFormatting>
  <conditionalFormatting sqref="A1345">
    <cfRule type="duplicateValues" dxfId="9" priority="1334"/>
  </conditionalFormatting>
  <conditionalFormatting sqref="A1346">
    <cfRule type="duplicateValues" dxfId="9" priority="1333"/>
  </conditionalFormatting>
  <conditionalFormatting sqref="A1347">
    <cfRule type="duplicateValues" dxfId="9" priority="1332"/>
  </conditionalFormatting>
  <conditionalFormatting sqref="A1348">
    <cfRule type="duplicateValues" dxfId="9" priority="1331"/>
  </conditionalFormatting>
  <conditionalFormatting sqref="A1349">
    <cfRule type="duplicateValues" dxfId="9" priority="1330"/>
  </conditionalFormatting>
  <conditionalFormatting sqref="A1350">
    <cfRule type="duplicateValues" dxfId="9" priority="1329"/>
  </conditionalFormatting>
  <conditionalFormatting sqref="A1351">
    <cfRule type="duplicateValues" dxfId="9" priority="1328"/>
  </conditionalFormatting>
  <conditionalFormatting sqref="A1352">
    <cfRule type="duplicateValues" dxfId="9" priority="1327"/>
  </conditionalFormatting>
  <conditionalFormatting sqref="A1353">
    <cfRule type="duplicateValues" dxfId="9" priority="1326"/>
  </conditionalFormatting>
  <conditionalFormatting sqref="A1354">
    <cfRule type="duplicateValues" dxfId="9" priority="1325"/>
  </conditionalFormatting>
  <conditionalFormatting sqref="A1355">
    <cfRule type="duplicateValues" dxfId="9" priority="1324"/>
  </conditionalFormatting>
  <conditionalFormatting sqref="A1356">
    <cfRule type="duplicateValues" dxfId="9" priority="1323"/>
  </conditionalFormatting>
  <conditionalFormatting sqref="A1357">
    <cfRule type="duplicateValues" dxfId="9" priority="1322"/>
  </conditionalFormatting>
  <conditionalFormatting sqref="A1358">
    <cfRule type="duplicateValues" dxfId="9" priority="1321"/>
  </conditionalFormatting>
  <conditionalFormatting sqref="A1359">
    <cfRule type="duplicateValues" dxfId="9" priority="1320"/>
  </conditionalFormatting>
  <conditionalFormatting sqref="A1360">
    <cfRule type="duplicateValues" dxfId="9" priority="1319"/>
  </conditionalFormatting>
  <conditionalFormatting sqref="A1361">
    <cfRule type="duplicateValues" dxfId="9" priority="1318"/>
  </conditionalFormatting>
  <conditionalFormatting sqref="A1362">
    <cfRule type="duplicateValues" dxfId="9" priority="1317"/>
  </conditionalFormatting>
  <conditionalFormatting sqref="A1363">
    <cfRule type="duplicateValues" dxfId="9" priority="1316"/>
  </conditionalFormatting>
  <conditionalFormatting sqref="A1364">
    <cfRule type="duplicateValues" dxfId="9" priority="1315"/>
  </conditionalFormatting>
  <conditionalFormatting sqref="A1365">
    <cfRule type="duplicateValues" dxfId="9" priority="1314"/>
  </conditionalFormatting>
  <conditionalFormatting sqref="A1366">
    <cfRule type="duplicateValues" dxfId="9" priority="1313"/>
  </conditionalFormatting>
  <conditionalFormatting sqref="A1367">
    <cfRule type="duplicateValues" dxfId="9" priority="1312"/>
  </conditionalFormatting>
  <conditionalFormatting sqref="A1368">
    <cfRule type="duplicateValues" dxfId="9" priority="1311"/>
  </conditionalFormatting>
  <conditionalFormatting sqref="A1369">
    <cfRule type="duplicateValues" dxfId="9" priority="1310"/>
  </conditionalFormatting>
  <conditionalFormatting sqref="A1370">
    <cfRule type="duplicateValues" dxfId="9" priority="1309"/>
  </conditionalFormatting>
  <conditionalFormatting sqref="A1371">
    <cfRule type="duplicateValues" dxfId="9" priority="1308"/>
  </conditionalFormatting>
  <conditionalFormatting sqref="A1372">
    <cfRule type="duplicateValues" dxfId="9" priority="1307"/>
  </conditionalFormatting>
  <conditionalFormatting sqref="A1373">
    <cfRule type="duplicateValues" dxfId="9" priority="1306"/>
  </conditionalFormatting>
  <conditionalFormatting sqref="A1374">
    <cfRule type="duplicateValues" dxfId="9" priority="1305"/>
  </conditionalFormatting>
  <conditionalFormatting sqref="A1375">
    <cfRule type="duplicateValues" dxfId="9" priority="1304"/>
  </conditionalFormatting>
  <conditionalFormatting sqref="A1376">
    <cfRule type="duplicateValues" dxfId="9" priority="1303"/>
  </conditionalFormatting>
  <conditionalFormatting sqref="A1377">
    <cfRule type="duplicateValues" dxfId="9" priority="1302"/>
  </conditionalFormatting>
  <conditionalFormatting sqref="A1378">
    <cfRule type="duplicateValues" dxfId="9" priority="1301"/>
  </conditionalFormatting>
  <conditionalFormatting sqref="A1379">
    <cfRule type="duplicateValues" dxfId="9" priority="1300"/>
  </conditionalFormatting>
  <conditionalFormatting sqref="A1380">
    <cfRule type="duplicateValues" dxfId="9" priority="1299"/>
  </conditionalFormatting>
  <conditionalFormatting sqref="A1381">
    <cfRule type="duplicateValues" dxfId="9" priority="1298"/>
  </conditionalFormatting>
  <conditionalFormatting sqref="A1382">
    <cfRule type="duplicateValues" dxfId="9" priority="1297"/>
  </conditionalFormatting>
  <conditionalFormatting sqref="A1383">
    <cfRule type="duplicateValues" dxfId="9" priority="1296"/>
  </conditionalFormatting>
  <conditionalFormatting sqref="A1384">
    <cfRule type="duplicateValues" dxfId="9" priority="1295"/>
  </conditionalFormatting>
  <conditionalFormatting sqref="A1385">
    <cfRule type="duplicateValues" dxfId="9" priority="1294"/>
  </conditionalFormatting>
  <conditionalFormatting sqref="A1386">
    <cfRule type="duplicateValues" dxfId="9" priority="1293"/>
  </conditionalFormatting>
  <conditionalFormatting sqref="A1387">
    <cfRule type="duplicateValues" dxfId="9" priority="1292"/>
  </conditionalFormatting>
  <conditionalFormatting sqref="A1388">
    <cfRule type="duplicateValues" dxfId="9" priority="1291"/>
  </conditionalFormatting>
  <conditionalFormatting sqref="A1389">
    <cfRule type="duplicateValues" dxfId="9" priority="1290"/>
  </conditionalFormatting>
  <conditionalFormatting sqref="A1390">
    <cfRule type="duplicateValues" dxfId="9" priority="1289"/>
  </conditionalFormatting>
  <conditionalFormatting sqref="A1392">
    <cfRule type="duplicateValues" dxfId="9" priority="233"/>
  </conditionalFormatting>
  <conditionalFormatting sqref="A1393">
    <cfRule type="duplicateValues" dxfId="9" priority="232"/>
  </conditionalFormatting>
  <conditionalFormatting sqref="A1394">
    <cfRule type="duplicateValues" dxfId="9" priority="231"/>
  </conditionalFormatting>
  <conditionalFormatting sqref="A1395">
    <cfRule type="duplicateValues" dxfId="9" priority="230"/>
  </conditionalFormatting>
  <conditionalFormatting sqref="A1396">
    <cfRule type="duplicateValues" dxfId="9" priority="229"/>
  </conditionalFormatting>
  <conditionalFormatting sqref="A1397">
    <cfRule type="duplicateValues" dxfId="9" priority="228"/>
  </conditionalFormatting>
  <conditionalFormatting sqref="A1398">
    <cfRule type="duplicateValues" dxfId="9" priority="227"/>
  </conditionalFormatting>
  <conditionalFormatting sqref="A1399">
    <cfRule type="duplicateValues" dxfId="9" priority="226"/>
  </conditionalFormatting>
  <conditionalFormatting sqref="A1400">
    <cfRule type="duplicateValues" dxfId="9" priority="225"/>
  </conditionalFormatting>
  <conditionalFormatting sqref="A1401">
    <cfRule type="duplicateValues" dxfId="9" priority="224"/>
  </conditionalFormatting>
  <conditionalFormatting sqref="A1402">
    <cfRule type="duplicateValues" dxfId="9" priority="223"/>
  </conditionalFormatting>
  <conditionalFormatting sqref="A1403">
    <cfRule type="duplicateValues" dxfId="9" priority="222"/>
  </conditionalFormatting>
  <conditionalFormatting sqref="A1404">
    <cfRule type="duplicateValues" dxfId="9" priority="221"/>
  </conditionalFormatting>
  <conditionalFormatting sqref="A1405">
    <cfRule type="duplicateValues" dxfId="9" priority="220"/>
  </conditionalFormatting>
  <conditionalFormatting sqref="A1406">
    <cfRule type="duplicateValues" dxfId="9" priority="219"/>
  </conditionalFormatting>
  <conditionalFormatting sqref="A1407">
    <cfRule type="duplicateValues" dxfId="9" priority="218"/>
  </conditionalFormatting>
  <conditionalFormatting sqref="A1408">
    <cfRule type="duplicateValues" dxfId="9" priority="217"/>
  </conditionalFormatting>
  <conditionalFormatting sqref="A1409">
    <cfRule type="duplicateValues" dxfId="9" priority="216"/>
  </conditionalFormatting>
  <conditionalFormatting sqref="A1410">
    <cfRule type="duplicateValues" dxfId="9" priority="215"/>
  </conditionalFormatting>
  <conditionalFormatting sqref="A1411">
    <cfRule type="duplicateValues" dxfId="9" priority="214"/>
  </conditionalFormatting>
  <conditionalFormatting sqref="A1412">
    <cfRule type="duplicateValues" dxfId="9" priority="213"/>
  </conditionalFormatting>
  <conditionalFormatting sqref="A1413">
    <cfRule type="duplicateValues" dxfId="9" priority="212"/>
  </conditionalFormatting>
  <conditionalFormatting sqref="A1414">
    <cfRule type="duplicateValues" dxfId="9" priority="211"/>
  </conditionalFormatting>
  <conditionalFormatting sqref="A1415">
    <cfRule type="duplicateValues" dxfId="9" priority="210"/>
  </conditionalFormatting>
  <conditionalFormatting sqref="A1416">
    <cfRule type="duplicateValues" dxfId="9" priority="209"/>
  </conditionalFormatting>
  <conditionalFormatting sqref="A1417">
    <cfRule type="duplicateValues" dxfId="9" priority="208"/>
  </conditionalFormatting>
  <conditionalFormatting sqref="A1418">
    <cfRule type="duplicateValues" dxfId="9" priority="207"/>
  </conditionalFormatting>
  <conditionalFormatting sqref="A1419">
    <cfRule type="duplicateValues" dxfId="9" priority="206"/>
  </conditionalFormatting>
  <conditionalFormatting sqref="A1420">
    <cfRule type="duplicateValues" dxfId="9" priority="205"/>
  </conditionalFormatting>
  <conditionalFormatting sqref="A1422">
    <cfRule type="duplicateValues" dxfId="9" priority="204"/>
  </conditionalFormatting>
  <conditionalFormatting sqref="A1423">
    <cfRule type="duplicateValues" dxfId="9" priority="203"/>
  </conditionalFormatting>
  <conditionalFormatting sqref="A1424">
    <cfRule type="duplicateValues" dxfId="9" priority="202"/>
  </conditionalFormatting>
  <conditionalFormatting sqref="A1425">
    <cfRule type="duplicateValues" dxfId="9" priority="201"/>
  </conditionalFormatting>
  <conditionalFormatting sqref="A1426">
    <cfRule type="duplicateValues" dxfId="9" priority="200"/>
  </conditionalFormatting>
  <conditionalFormatting sqref="A1427">
    <cfRule type="duplicateValues" dxfId="9" priority="199"/>
  </conditionalFormatting>
  <conditionalFormatting sqref="A1428">
    <cfRule type="duplicateValues" dxfId="9" priority="198"/>
  </conditionalFormatting>
  <conditionalFormatting sqref="A1429">
    <cfRule type="duplicateValues" dxfId="9" priority="197"/>
  </conditionalFormatting>
  <conditionalFormatting sqref="A1430">
    <cfRule type="duplicateValues" dxfId="9" priority="196"/>
  </conditionalFormatting>
  <conditionalFormatting sqref="A1431">
    <cfRule type="duplicateValues" dxfId="9" priority="195"/>
  </conditionalFormatting>
  <conditionalFormatting sqref="A1432">
    <cfRule type="duplicateValues" dxfId="9" priority="194"/>
  </conditionalFormatting>
  <conditionalFormatting sqref="A1433">
    <cfRule type="duplicateValues" dxfId="9" priority="193"/>
  </conditionalFormatting>
  <conditionalFormatting sqref="A1434">
    <cfRule type="duplicateValues" dxfId="9" priority="192"/>
  </conditionalFormatting>
  <conditionalFormatting sqref="A1435">
    <cfRule type="duplicateValues" dxfId="9" priority="191"/>
  </conditionalFormatting>
  <conditionalFormatting sqref="A1436">
    <cfRule type="duplicateValues" dxfId="9" priority="190"/>
  </conditionalFormatting>
  <conditionalFormatting sqref="A1437">
    <cfRule type="duplicateValues" dxfId="9" priority="189"/>
  </conditionalFormatting>
  <conditionalFormatting sqref="A1438">
    <cfRule type="duplicateValues" dxfId="9" priority="188"/>
  </conditionalFormatting>
  <conditionalFormatting sqref="A1439">
    <cfRule type="duplicateValues" dxfId="9" priority="187"/>
  </conditionalFormatting>
  <conditionalFormatting sqref="A1440">
    <cfRule type="duplicateValues" dxfId="9" priority="186"/>
  </conditionalFormatting>
  <conditionalFormatting sqref="A1441">
    <cfRule type="duplicateValues" dxfId="9" priority="185"/>
  </conditionalFormatting>
  <conditionalFormatting sqref="A1442">
    <cfRule type="duplicateValues" dxfId="9" priority="184"/>
  </conditionalFormatting>
  <conditionalFormatting sqref="A1443">
    <cfRule type="duplicateValues" dxfId="9" priority="183"/>
  </conditionalFormatting>
  <conditionalFormatting sqref="A1444">
    <cfRule type="duplicateValues" dxfId="9" priority="182"/>
  </conditionalFormatting>
  <conditionalFormatting sqref="A1445">
    <cfRule type="duplicateValues" dxfId="9" priority="181"/>
  </conditionalFormatting>
  <conditionalFormatting sqref="A1446">
    <cfRule type="duplicateValues" dxfId="9" priority="180"/>
  </conditionalFormatting>
  <conditionalFormatting sqref="A1447">
    <cfRule type="duplicateValues" dxfId="9" priority="179"/>
  </conditionalFormatting>
  <conditionalFormatting sqref="A1448">
    <cfRule type="duplicateValues" dxfId="9" priority="178"/>
  </conditionalFormatting>
  <conditionalFormatting sqref="A1449">
    <cfRule type="duplicateValues" dxfId="9" priority="177"/>
  </conditionalFormatting>
  <conditionalFormatting sqref="A1452">
    <cfRule type="duplicateValues" dxfId="9" priority="175"/>
  </conditionalFormatting>
  <conditionalFormatting sqref="A1453">
    <cfRule type="duplicateValues" dxfId="9" priority="174"/>
  </conditionalFormatting>
  <conditionalFormatting sqref="A1454">
    <cfRule type="duplicateValues" dxfId="9" priority="173"/>
  </conditionalFormatting>
  <conditionalFormatting sqref="A1455">
    <cfRule type="duplicateValues" dxfId="9" priority="172"/>
  </conditionalFormatting>
  <conditionalFormatting sqref="A1456">
    <cfRule type="duplicateValues" dxfId="9" priority="171"/>
  </conditionalFormatting>
  <conditionalFormatting sqref="A1457">
    <cfRule type="duplicateValues" dxfId="9" priority="170"/>
  </conditionalFormatting>
  <conditionalFormatting sqref="A1458">
    <cfRule type="duplicateValues" dxfId="9" priority="169"/>
  </conditionalFormatting>
  <conditionalFormatting sqref="A1459">
    <cfRule type="duplicateValues" dxfId="9" priority="168"/>
  </conditionalFormatting>
  <conditionalFormatting sqref="A1460">
    <cfRule type="duplicateValues" dxfId="9" priority="167"/>
  </conditionalFormatting>
  <conditionalFormatting sqref="A1461">
    <cfRule type="duplicateValues" dxfId="9" priority="166"/>
  </conditionalFormatting>
  <conditionalFormatting sqref="A1462">
    <cfRule type="duplicateValues" dxfId="9" priority="165"/>
  </conditionalFormatting>
  <conditionalFormatting sqref="A1463">
    <cfRule type="duplicateValues" dxfId="9" priority="164"/>
  </conditionalFormatting>
  <conditionalFormatting sqref="A1464">
    <cfRule type="duplicateValues" dxfId="9" priority="163"/>
  </conditionalFormatting>
  <conditionalFormatting sqref="A1465">
    <cfRule type="duplicateValues" dxfId="9" priority="162"/>
  </conditionalFormatting>
  <conditionalFormatting sqref="A1466">
    <cfRule type="duplicateValues" dxfId="9" priority="161"/>
  </conditionalFormatting>
  <conditionalFormatting sqref="A1467">
    <cfRule type="duplicateValues" dxfId="9" priority="160"/>
  </conditionalFormatting>
  <conditionalFormatting sqref="A1468">
    <cfRule type="duplicateValues" dxfId="9" priority="159"/>
  </conditionalFormatting>
  <conditionalFormatting sqref="A1469">
    <cfRule type="duplicateValues" dxfId="9" priority="158"/>
  </conditionalFormatting>
  <conditionalFormatting sqref="A1470">
    <cfRule type="duplicateValues" dxfId="9" priority="157"/>
  </conditionalFormatting>
  <conditionalFormatting sqref="A1471">
    <cfRule type="duplicateValues" dxfId="9" priority="156"/>
  </conditionalFormatting>
  <conditionalFormatting sqref="A1472">
    <cfRule type="duplicateValues" dxfId="9" priority="155"/>
  </conditionalFormatting>
  <conditionalFormatting sqref="A1473">
    <cfRule type="duplicateValues" dxfId="9" priority="154"/>
  </conditionalFormatting>
  <conditionalFormatting sqref="A1474">
    <cfRule type="duplicateValues" dxfId="9" priority="153"/>
  </conditionalFormatting>
  <conditionalFormatting sqref="A1475">
    <cfRule type="duplicateValues" dxfId="9" priority="152"/>
  </conditionalFormatting>
  <conditionalFormatting sqref="A1476">
    <cfRule type="duplicateValues" dxfId="9" priority="151"/>
  </conditionalFormatting>
  <conditionalFormatting sqref="A1477">
    <cfRule type="duplicateValues" dxfId="9" priority="150"/>
  </conditionalFormatting>
  <conditionalFormatting sqref="A1478">
    <cfRule type="duplicateValues" dxfId="9" priority="149"/>
  </conditionalFormatting>
  <conditionalFormatting sqref="A1479">
    <cfRule type="duplicateValues" dxfId="9" priority="148"/>
  </conditionalFormatting>
  <conditionalFormatting sqref="A1480">
    <cfRule type="duplicateValues" dxfId="9" priority="147"/>
  </conditionalFormatting>
  <conditionalFormatting sqref="A1482">
    <cfRule type="duplicateValues" dxfId="9" priority="146"/>
  </conditionalFormatting>
  <conditionalFormatting sqref="A1483">
    <cfRule type="duplicateValues" dxfId="9" priority="145"/>
  </conditionalFormatting>
  <conditionalFormatting sqref="A1484">
    <cfRule type="duplicateValues" dxfId="9" priority="144"/>
  </conditionalFormatting>
  <conditionalFormatting sqref="A1485">
    <cfRule type="duplicateValues" dxfId="9" priority="143"/>
  </conditionalFormatting>
  <conditionalFormatting sqref="A1486">
    <cfRule type="duplicateValues" dxfId="9" priority="142"/>
  </conditionalFormatting>
  <conditionalFormatting sqref="A1487">
    <cfRule type="duplicateValues" dxfId="9" priority="141"/>
  </conditionalFormatting>
  <conditionalFormatting sqref="A1488">
    <cfRule type="duplicateValues" dxfId="9" priority="140"/>
  </conditionalFormatting>
  <conditionalFormatting sqref="A1489">
    <cfRule type="duplicateValues" dxfId="9" priority="139"/>
  </conditionalFormatting>
  <conditionalFormatting sqref="A1490">
    <cfRule type="duplicateValues" dxfId="9" priority="138"/>
  </conditionalFormatting>
  <conditionalFormatting sqref="A1491">
    <cfRule type="duplicateValues" dxfId="9" priority="137"/>
  </conditionalFormatting>
  <conditionalFormatting sqref="A1492">
    <cfRule type="duplicateValues" dxfId="9" priority="136"/>
  </conditionalFormatting>
  <conditionalFormatting sqref="A1493">
    <cfRule type="duplicateValues" dxfId="9" priority="135"/>
  </conditionalFormatting>
  <conditionalFormatting sqref="A1494">
    <cfRule type="duplicateValues" dxfId="9" priority="134"/>
  </conditionalFormatting>
  <conditionalFormatting sqref="A1495">
    <cfRule type="duplicateValues" dxfId="9" priority="133"/>
  </conditionalFormatting>
  <conditionalFormatting sqref="A1496">
    <cfRule type="duplicateValues" dxfId="9" priority="132"/>
  </conditionalFormatting>
  <conditionalFormatting sqref="A1497">
    <cfRule type="duplicateValues" dxfId="9" priority="131"/>
  </conditionalFormatting>
  <conditionalFormatting sqref="A1498">
    <cfRule type="duplicateValues" dxfId="9" priority="130"/>
  </conditionalFormatting>
  <conditionalFormatting sqref="A1499">
    <cfRule type="duplicateValues" dxfId="9" priority="129"/>
  </conditionalFormatting>
  <conditionalFormatting sqref="A1500">
    <cfRule type="duplicateValues" dxfId="9" priority="128"/>
  </conditionalFormatting>
  <conditionalFormatting sqref="A1501">
    <cfRule type="duplicateValues" dxfId="9" priority="127"/>
  </conditionalFormatting>
  <conditionalFormatting sqref="A1502">
    <cfRule type="duplicateValues" dxfId="9" priority="126"/>
  </conditionalFormatting>
  <conditionalFormatting sqref="A1503">
    <cfRule type="duplicateValues" dxfId="9" priority="125"/>
  </conditionalFormatting>
  <conditionalFormatting sqref="A1504">
    <cfRule type="duplicateValues" dxfId="9" priority="124"/>
  </conditionalFormatting>
  <conditionalFormatting sqref="A1505">
    <cfRule type="duplicateValues" dxfId="9" priority="123"/>
  </conditionalFormatting>
  <conditionalFormatting sqref="A1506">
    <cfRule type="duplicateValues" dxfId="9" priority="122"/>
  </conditionalFormatting>
  <conditionalFormatting sqref="A1507">
    <cfRule type="duplicateValues" dxfId="9" priority="121"/>
  </conditionalFormatting>
  <conditionalFormatting sqref="A1508">
    <cfRule type="duplicateValues" dxfId="9" priority="120"/>
  </conditionalFormatting>
  <conditionalFormatting sqref="A1509">
    <cfRule type="duplicateValues" dxfId="9" priority="119"/>
  </conditionalFormatting>
  <conditionalFormatting sqref="A1510">
    <cfRule type="duplicateValues" dxfId="9" priority="118"/>
  </conditionalFormatting>
  <conditionalFormatting sqref="A1512">
    <cfRule type="duplicateValues" dxfId="9" priority="117"/>
  </conditionalFormatting>
  <conditionalFormatting sqref="A1513">
    <cfRule type="duplicateValues" dxfId="9" priority="116"/>
  </conditionalFormatting>
  <conditionalFormatting sqref="A1514">
    <cfRule type="duplicateValues" dxfId="9" priority="115"/>
  </conditionalFormatting>
  <conditionalFormatting sqref="A1515">
    <cfRule type="duplicateValues" dxfId="9" priority="114"/>
  </conditionalFormatting>
  <conditionalFormatting sqref="A1516">
    <cfRule type="duplicateValues" dxfId="9" priority="113"/>
  </conditionalFormatting>
  <conditionalFormatting sqref="A1517">
    <cfRule type="duplicateValues" dxfId="9" priority="112"/>
  </conditionalFormatting>
  <conditionalFormatting sqref="A1518">
    <cfRule type="duplicateValues" dxfId="9" priority="111"/>
  </conditionalFormatting>
  <conditionalFormatting sqref="A1519">
    <cfRule type="duplicateValues" dxfId="9" priority="110"/>
  </conditionalFormatting>
  <conditionalFormatting sqref="A1520">
    <cfRule type="duplicateValues" dxfId="9" priority="109"/>
  </conditionalFormatting>
  <conditionalFormatting sqref="A1521">
    <cfRule type="duplicateValues" dxfId="9" priority="108"/>
  </conditionalFormatting>
  <conditionalFormatting sqref="A1522">
    <cfRule type="duplicateValues" dxfId="9" priority="107"/>
  </conditionalFormatting>
  <conditionalFormatting sqref="A1523">
    <cfRule type="duplicateValues" dxfId="9" priority="106"/>
  </conditionalFormatting>
  <conditionalFormatting sqref="A1524">
    <cfRule type="duplicateValues" dxfId="9" priority="105"/>
  </conditionalFormatting>
  <conditionalFormatting sqref="A1525">
    <cfRule type="duplicateValues" dxfId="9" priority="104"/>
  </conditionalFormatting>
  <conditionalFormatting sqref="A1526">
    <cfRule type="duplicateValues" dxfId="9" priority="103"/>
  </conditionalFormatting>
  <conditionalFormatting sqref="A1527">
    <cfRule type="duplicateValues" dxfId="9" priority="102"/>
  </conditionalFormatting>
  <conditionalFormatting sqref="A1528">
    <cfRule type="duplicateValues" dxfId="9" priority="101"/>
  </conditionalFormatting>
  <conditionalFormatting sqref="A1529">
    <cfRule type="duplicateValues" dxfId="9" priority="100"/>
  </conditionalFormatting>
  <conditionalFormatting sqref="A1530">
    <cfRule type="duplicateValues" dxfId="9" priority="99"/>
  </conditionalFormatting>
  <conditionalFormatting sqref="A1531">
    <cfRule type="duplicateValues" dxfId="9" priority="98"/>
  </conditionalFormatting>
  <conditionalFormatting sqref="A1532">
    <cfRule type="duplicateValues" dxfId="9" priority="97"/>
  </conditionalFormatting>
  <conditionalFormatting sqref="A1533">
    <cfRule type="duplicateValues" dxfId="9" priority="96"/>
  </conditionalFormatting>
  <conditionalFormatting sqref="A1534">
    <cfRule type="duplicateValues" dxfId="9" priority="95"/>
  </conditionalFormatting>
  <conditionalFormatting sqref="A1535">
    <cfRule type="duplicateValues" dxfId="9" priority="94"/>
  </conditionalFormatting>
  <conditionalFormatting sqref="A1536">
    <cfRule type="duplicateValues" dxfId="9" priority="93"/>
  </conditionalFormatting>
  <conditionalFormatting sqref="A1537">
    <cfRule type="duplicateValues" dxfId="9" priority="92"/>
  </conditionalFormatting>
  <conditionalFormatting sqref="A1538">
    <cfRule type="duplicateValues" dxfId="9" priority="91"/>
  </conditionalFormatting>
  <conditionalFormatting sqref="A1539">
    <cfRule type="duplicateValues" dxfId="9" priority="90"/>
  </conditionalFormatting>
  <conditionalFormatting sqref="A1540">
    <cfRule type="duplicateValues" dxfId="9" priority="89"/>
  </conditionalFormatting>
  <conditionalFormatting sqref="A1547">
    <cfRule type="duplicateValues" dxfId="9" priority="1268"/>
  </conditionalFormatting>
  <conditionalFormatting sqref="B1547">
    <cfRule type="duplicateValues" dxfId="9" priority="1288"/>
  </conditionalFormatting>
  <conditionalFormatting sqref="A1548">
    <cfRule type="duplicateValues" dxfId="9" priority="1267"/>
  </conditionalFormatting>
  <conditionalFormatting sqref="B1548">
    <cfRule type="duplicateValues" dxfId="9" priority="1287"/>
  </conditionalFormatting>
  <conditionalFormatting sqref="A1549">
    <cfRule type="duplicateValues" dxfId="9" priority="1266"/>
  </conditionalFormatting>
  <conditionalFormatting sqref="B1549">
    <cfRule type="duplicateValues" dxfId="9" priority="1286"/>
  </conditionalFormatting>
  <conditionalFormatting sqref="A1550">
    <cfRule type="duplicateValues" dxfId="9" priority="1265"/>
  </conditionalFormatting>
  <conditionalFormatting sqref="B1550">
    <cfRule type="duplicateValues" dxfId="9" priority="1285"/>
  </conditionalFormatting>
  <conditionalFormatting sqref="A1551">
    <cfRule type="duplicateValues" dxfId="9" priority="1264"/>
  </conditionalFormatting>
  <conditionalFormatting sqref="B1551">
    <cfRule type="duplicateValues" dxfId="9" priority="1284"/>
  </conditionalFormatting>
  <conditionalFormatting sqref="A1552">
    <cfRule type="duplicateValues" dxfId="9" priority="1263"/>
  </conditionalFormatting>
  <conditionalFormatting sqref="B1552">
    <cfRule type="duplicateValues" dxfId="9" priority="1283"/>
  </conditionalFormatting>
  <conditionalFormatting sqref="A1553">
    <cfRule type="duplicateValues" dxfId="9" priority="1262"/>
  </conditionalFormatting>
  <conditionalFormatting sqref="B1553">
    <cfRule type="duplicateValues" dxfId="9" priority="1282"/>
  </conditionalFormatting>
  <conditionalFormatting sqref="A1554">
    <cfRule type="duplicateValues" dxfId="9" priority="1261"/>
  </conditionalFormatting>
  <conditionalFormatting sqref="B1554">
    <cfRule type="duplicateValues" dxfId="9" priority="1281"/>
  </conditionalFormatting>
  <conditionalFormatting sqref="A1555">
    <cfRule type="duplicateValues" dxfId="9" priority="1260"/>
  </conditionalFormatting>
  <conditionalFormatting sqref="B1555">
    <cfRule type="duplicateValues" dxfId="9" priority="1280"/>
  </conditionalFormatting>
  <conditionalFormatting sqref="A1556">
    <cfRule type="duplicateValues" dxfId="9" priority="1259"/>
  </conditionalFormatting>
  <conditionalFormatting sqref="B1556">
    <cfRule type="duplicateValues" dxfId="9" priority="1279"/>
  </conditionalFormatting>
  <conditionalFormatting sqref="A1557">
    <cfRule type="duplicateValues" dxfId="9" priority="1258"/>
  </conditionalFormatting>
  <conditionalFormatting sqref="B1557">
    <cfRule type="duplicateValues" dxfId="9" priority="1278"/>
  </conditionalFormatting>
  <conditionalFormatting sqref="A1558">
    <cfRule type="duplicateValues" dxfId="9" priority="1257"/>
  </conditionalFormatting>
  <conditionalFormatting sqref="B1558">
    <cfRule type="duplicateValues" dxfId="9" priority="1277"/>
  </conditionalFormatting>
  <conditionalFormatting sqref="A1559">
    <cfRule type="duplicateValues" dxfId="9" priority="1256"/>
  </conditionalFormatting>
  <conditionalFormatting sqref="B1559">
    <cfRule type="duplicateValues" dxfId="9" priority="1276"/>
  </conditionalFormatting>
  <conditionalFormatting sqref="A1560">
    <cfRule type="duplicateValues" dxfId="9" priority="1255"/>
  </conditionalFormatting>
  <conditionalFormatting sqref="B1560">
    <cfRule type="duplicateValues" dxfId="9" priority="1275"/>
  </conditionalFormatting>
  <conditionalFormatting sqref="A1561">
    <cfRule type="duplicateValues" dxfId="9" priority="1254"/>
  </conditionalFormatting>
  <conditionalFormatting sqref="B1561">
    <cfRule type="duplicateValues" dxfId="9" priority="1274"/>
  </conditionalFormatting>
  <conditionalFormatting sqref="A1562">
    <cfRule type="duplicateValues" dxfId="9" priority="1253"/>
  </conditionalFormatting>
  <conditionalFormatting sqref="B1562">
    <cfRule type="duplicateValues" dxfId="9" priority="1273"/>
  </conditionalFormatting>
  <conditionalFormatting sqref="A1563">
    <cfRule type="duplicateValues" dxfId="9" priority="1252"/>
  </conditionalFormatting>
  <conditionalFormatting sqref="B1563">
    <cfRule type="duplicateValues" dxfId="9" priority="1272"/>
  </conditionalFormatting>
  <conditionalFormatting sqref="A1564">
    <cfRule type="duplicateValues" dxfId="9" priority="1251"/>
  </conditionalFormatting>
  <conditionalFormatting sqref="B1564">
    <cfRule type="duplicateValues" dxfId="9" priority="1271"/>
  </conditionalFormatting>
  <conditionalFormatting sqref="A1565">
    <cfRule type="duplicateValues" dxfId="9" priority="1250"/>
  </conditionalFormatting>
  <conditionalFormatting sqref="B1565">
    <cfRule type="duplicateValues" dxfId="9" priority="1270"/>
  </conditionalFormatting>
  <conditionalFormatting sqref="A1566">
    <cfRule type="duplicateValues" dxfId="9" priority="1249"/>
  </conditionalFormatting>
  <conditionalFormatting sqref="B1566">
    <cfRule type="duplicateValues" dxfId="9" priority="1269"/>
  </conditionalFormatting>
  <conditionalFormatting sqref="A1567">
    <cfRule type="duplicateValues" dxfId="9" priority="323"/>
  </conditionalFormatting>
  <conditionalFormatting sqref="B1567">
    <cfRule type="duplicateValues" dxfId="9" priority="333"/>
  </conditionalFormatting>
  <conditionalFormatting sqref="A1568">
    <cfRule type="duplicateValues" dxfId="9" priority="322"/>
  </conditionalFormatting>
  <conditionalFormatting sqref="B1568">
    <cfRule type="duplicateValues" dxfId="9" priority="332"/>
  </conditionalFormatting>
  <conditionalFormatting sqref="A1569">
    <cfRule type="duplicateValues" dxfId="9" priority="321"/>
  </conditionalFormatting>
  <conditionalFormatting sqref="B1569">
    <cfRule type="duplicateValues" dxfId="9" priority="331"/>
  </conditionalFormatting>
  <conditionalFormatting sqref="A1570">
    <cfRule type="duplicateValues" dxfId="9" priority="320"/>
  </conditionalFormatting>
  <conditionalFormatting sqref="B1570">
    <cfRule type="duplicateValues" dxfId="9" priority="330"/>
  </conditionalFormatting>
  <conditionalFormatting sqref="A1571">
    <cfRule type="duplicateValues" dxfId="9" priority="319"/>
  </conditionalFormatting>
  <conditionalFormatting sqref="B1571">
    <cfRule type="duplicateValues" dxfId="9" priority="329"/>
  </conditionalFormatting>
  <conditionalFormatting sqref="A1572">
    <cfRule type="duplicateValues" dxfId="9" priority="318"/>
  </conditionalFormatting>
  <conditionalFormatting sqref="B1572">
    <cfRule type="duplicateValues" dxfId="9" priority="328"/>
  </conditionalFormatting>
  <conditionalFormatting sqref="A1573">
    <cfRule type="duplicateValues" dxfId="9" priority="317"/>
  </conditionalFormatting>
  <conditionalFormatting sqref="B1573">
    <cfRule type="duplicateValues" dxfId="9" priority="327"/>
  </conditionalFormatting>
  <conditionalFormatting sqref="A1574">
    <cfRule type="duplicateValues" dxfId="9" priority="316"/>
  </conditionalFormatting>
  <conditionalFormatting sqref="B1574">
    <cfRule type="duplicateValues" dxfId="9" priority="326"/>
  </conditionalFormatting>
  <conditionalFormatting sqref="A1575">
    <cfRule type="duplicateValues" dxfId="9" priority="315"/>
  </conditionalFormatting>
  <conditionalFormatting sqref="B1575">
    <cfRule type="duplicateValues" dxfId="9" priority="325"/>
  </conditionalFormatting>
  <conditionalFormatting sqref="A1576">
    <cfRule type="duplicateValues" dxfId="9" priority="314"/>
  </conditionalFormatting>
  <conditionalFormatting sqref="B1576">
    <cfRule type="duplicateValues" dxfId="9" priority="324"/>
  </conditionalFormatting>
  <conditionalFormatting sqref="A1577">
    <cfRule type="duplicateValues" dxfId="9" priority="1248"/>
  </conditionalFormatting>
  <conditionalFormatting sqref="A1578">
    <cfRule type="duplicateValues" dxfId="9" priority="1247"/>
  </conditionalFormatting>
  <conditionalFormatting sqref="A1579">
    <cfRule type="duplicateValues" dxfId="9" priority="1246"/>
  </conditionalFormatting>
  <conditionalFormatting sqref="A1580">
    <cfRule type="duplicateValues" dxfId="9" priority="1245"/>
  </conditionalFormatting>
  <conditionalFormatting sqref="A1581">
    <cfRule type="duplicateValues" dxfId="9" priority="1244"/>
  </conditionalFormatting>
  <conditionalFormatting sqref="A1582">
    <cfRule type="duplicateValues" dxfId="9" priority="1243"/>
  </conditionalFormatting>
  <conditionalFormatting sqref="A1583">
    <cfRule type="duplicateValues" dxfId="9" priority="1242"/>
  </conditionalFormatting>
  <conditionalFormatting sqref="A1584">
    <cfRule type="duplicateValues" dxfId="9" priority="1241"/>
  </conditionalFormatting>
  <conditionalFormatting sqref="A1585">
    <cfRule type="duplicateValues" dxfId="9" priority="1240"/>
  </conditionalFormatting>
  <conditionalFormatting sqref="A1586">
    <cfRule type="duplicateValues" dxfId="9" priority="1239"/>
  </conditionalFormatting>
  <conditionalFormatting sqref="A1587">
    <cfRule type="duplicateValues" dxfId="9" priority="1238"/>
  </conditionalFormatting>
  <conditionalFormatting sqref="A1588">
    <cfRule type="duplicateValues" dxfId="9" priority="1237"/>
  </conditionalFormatting>
  <conditionalFormatting sqref="A1589">
    <cfRule type="duplicateValues" dxfId="9" priority="1236"/>
  </conditionalFormatting>
  <conditionalFormatting sqref="A1590">
    <cfRule type="duplicateValues" dxfId="9" priority="1235"/>
  </conditionalFormatting>
  <conditionalFormatting sqref="A1591">
    <cfRule type="duplicateValues" dxfId="9" priority="1234"/>
  </conditionalFormatting>
  <conditionalFormatting sqref="A1592">
    <cfRule type="duplicateValues" dxfId="9" priority="1233"/>
  </conditionalFormatting>
  <conditionalFormatting sqref="A1593">
    <cfRule type="duplicateValues" dxfId="9" priority="1232"/>
  </conditionalFormatting>
  <conditionalFormatting sqref="A1594">
    <cfRule type="duplicateValues" dxfId="9" priority="1231"/>
  </conditionalFormatting>
  <conditionalFormatting sqref="A1595">
    <cfRule type="duplicateValues" dxfId="9" priority="1230"/>
  </conditionalFormatting>
  <conditionalFormatting sqref="A1596">
    <cfRule type="duplicateValues" dxfId="9" priority="1229"/>
  </conditionalFormatting>
  <conditionalFormatting sqref="A1597">
    <cfRule type="duplicateValues" dxfId="9" priority="343"/>
  </conditionalFormatting>
  <conditionalFormatting sqref="A1598">
    <cfRule type="duplicateValues" dxfId="9" priority="342"/>
  </conditionalFormatting>
  <conditionalFormatting sqref="A1599">
    <cfRule type="duplicateValues" dxfId="9" priority="341"/>
  </conditionalFormatting>
  <conditionalFormatting sqref="A1600">
    <cfRule type="duplicateValues" dxfId="9" priority="340"/>
  </conditionalFormatting>
  <conditionalFormatting sqref="A1601">
    <cfRule type="duplicateValues" dxfId="9" priority="339"/>
  </conditionalFormatting>
  <conditionalFormatting sqref="A1602">
    <cfRule type="duplicateValues" dxfId="9" priority="338"/>
  </conditionalFormatting>
  <conditionalFormatting sqref="A1603">
    <cfRule type="duplicateValues" dxfId="9" priority="337"/>
  </conditionalFormatting>
  <conditionalFormatting sqref="A1604">
    <cfRule type="duplicateValues" dxfId="9" priority="336"/>
  </conditionalFormatting>
  <conditionalFormatting sqref="A1605">
    <cfRule type="duplicateValues" dxfId="9" priority="335"/>
  </conditionalFormatting>
  <conditionalFormatting sqref="A1606">
    <cfRule type="duplicateValues" dxfId="9" priority="334"/>
  </conditionalFormatting>
  <conditionalFormatting sqref="A1608">
    <cfRule type="duplicateValues" dxfId="9" priority="1228"/>
  </conditionalFormatting>
  <conditionalFormatting sqref="A1609">
    <cfRule type="duplicateValues" dxfId="9" priority="1227"/>
  </conditionalFormatting>
  <conditionalFormatting sqref="A1610">
    <cfRule type="duplicateValues" dxfId="9" priority="1226"/>
  </conditionalFormatting>
  <conditionalFormatting sqref="A1611">
    <cfRule type="duplicateValues" dxfId="9" priority="1225"/>
  </conditionalFormatting>
  <conditionalFormatting sqref="A1612">
    <cfRule type="duplicateValues" dxfId="9" priority="1224"/>
  </conditionalFormatting>
  <conditionalFormatting sqref="A1613">
    <cfRule type="duplicateValues" dxfId="9" priority="1223"/>
  </conditionalFormatting>
  <conditionalFormatting sqref="A1614">
    <cfRule type="duplicateValues" dxfId="9" priority="1222"/>
  </conditionalFormatting>
  <conditionalFormatting sqref="A1615">
    <cfRule type="duplicateValues" dxfId="9" priority="1221"/>
  </conditionalFormatting>
  <conditionalFormatting sqref="A1616">
    <cfRule type="duplicateValues" dxfId="9" priority="1220"/>
  </conditionalFormatting>
  <conditionalFormatting sqref="A1617">
    <cfRule type="duplicateValues" dxfId="9" priority="1219"/>
  </conditionalFormatting>
  <conditionalFormatting sqref="A1618">
    <cfRule type="duplicateValues" dxfId="9" priority="1218"/>
  </conditionalFormatting>
  <conditionalFormatting sqref="A1619">
    <cfRule type="duplicateValues" dxfId="9" priority="1217"/>
  </conditionalFormatting>
  <conditionalFormatting sqref="A1620">
    <cfRule type="duplicateValues" dxfId="9" priority="1216"/>
  </conditionalFormatting>
  <conditionalFormatting sqref="A1621">
    <cfRule type="duplicateValues" dxfId="9" priority="1215"/>
  </conditionalFormatting>
  <conditionalFormatting sqref="A1622">
    <cfRule type="duplicateValues" dxfId="9" priority="1214"/>
  </conditionalFormatting>
  <conditionalFormatting sqref="A1623">
    <cfRule type="duplicateValues" dxfId="9" priority="1213"/>
  </conditionalFormatting>
  <conditionalFormatting sqref="A1624">
    <cfRule type="duplicateValues" dxfId="9" priority="1212"/>
  </conditionalFormatting>
  <conditionalFormatting sqref="A1625">
    <cfRule type="duplicateValues" dxfId="9" priority="1211"/>
  </conditionalFormatting>
  <conditionalFormatting sqref="A1626">
    <cfRule type="duplicateValues" dxfId="9" priority="1210"/>
  </conditionalFormatting>
  <conditionalFormatting sqref="A1627">
    <cfRule type="duplicateValues" dxfId="9" priority="1209"/>
  </conditionalFormatting>
  <conditionalFormatting sqref="A1628">
    <cfRule type="duplicateValues" dxfId="9" priority="1208"/>
  </conditionalFormatting>
  <conditionalFormatting sqref="A1629">
    <cfRule type="duplicateValues" dxfId="9" priority="1207"/>
  </conditionalFormatting>
  <conditionalFormatting sqref="A1630">
    <cfRule type="duplicateValues" dxfId="9" priority="1206"/>
  </conditionalFormatting>
  <conditionalFormatting sqref="A1631">
    <cfRule type="duplicateValues" dxfId="9" priority="1205"/>
  </conditionalFormatting>
  <conditionalFormatting sqref="A1632">
    <cfRule type="duplicateValues" dxfId="9" priority="1204"/>
  </conditionalFormatting>
  <conditionalFormatting sqref="A1633">
    <cfRule type="duplicateValues" dxfId="9" priority="1203"/>
  </conditionalFormatting>
  <conditionalFormatting sqref="A1634">
    <cfRule type="duplicateValues" dxfId="9" priority="1202"/>
  </conditionalFormatting>
  <conditionalFormatting sqref="A1635">
    <cfRule type="duplicateValues" dxfId="9" priority="1201"/>
  </conditionalFormatting>
  <conditionalFormatting sqref="A1636">
    <cfRule type="duplicateValues" dxfId="9" priority="1200"/>
  </conditionalFormatting>
  <conditionalFormatting sqref="A1637">
    <cfRule type="duplicateValues" dxfId="9" priority="1199"/>
  </conditionalFormatting>
  <conditionalFormatting sqref="A1638">
    <cfRule type="duplicateValues" dxfId="9" priority="1198"/>
  </conditionalFormatting>
  <conditionalFormatting sqref="A1639">
    <cfRule type="duplicateValues" dxfId="9" priority="1197"/>
  </conditionalFormatting>
  <conditionalFormatting sqref="A1640">
    <cfRule type="duplicateValues" dxfId="9" priority="1196"/>
  </conditionalFormatting>
  <conditionalFormatting sqref="A1641">
    <cfRule type="duplicateValues" dxfId="9" priority="1195"/>
  </conditionalFormatting>
  <conditionalFormatting sqref="A1642">
    <cfRule type="duplicateValues" dxfId="9" priority="1194"/>
  </conditionalFormatting>
  <conditionalFormatting sqref="A1643">
    <cfRule type="duplicateValues" dxfId="9" priority="1193"/>
  </conditionalFormatting>
  <conditionalFormatting sqref="A1644">
    <cfRule type="duplicateValues" dxfId="9" priority="1192"/>
  </conditionalFormatting>
  <conditionalFormatting sqref="A1645">
    <cfRule type="duplicateValues" dxfId="9" priority="1191"/>
  </conditionalFormatting>
  <conditionalFormatting sqref="A1646">
    <cfRule type="duplicateValues" dxfId="9" priority="1190"/>
  </conditionalFormatting>
  <conditionalFormatting sqref="A1647">
    <cfRule type="duplicateValues" dxfId="9" priority="1189"/>
  </conditionalFormatting>
  <conditionalFormatting sqref="A1648">
    <cfRule type="duplicateValues" dxfId="9" priority="1188"/>
  </conditionalFormatting>
  <conditionalFormatting sqref="A1649">
    <cfRule type="duplicateValues" dxfId="9" priority="1187"/>
  </conditionalFormatting>
  <conditionalFormatting sqref="A1650">
    <cfRule type="duplicateValues" dxfId="9" priority="1186"/>
  </conditionalFormatting>
  <conditionalFormatting sqref="A1651">
    <cfRule type="duplicateValues" dxfId="9" priority="1185"/>
  </conditionalFormatting>
  <conditionalFormatting sqref="A1652">
    <cfRule type="duplicateValues" dxfId="9" priority="1184"/>
  </conditionalFormatting>
  <conditionalFormatting sqref="A1653">
    <cfRule type="duplicateValues" dxfId="9" priority="1183"/>
  </conditionalFormatting>
  <conditionalFormatting sqref="A1654">
    <cfRule type="duplicateValues" dxfId="9" priority="1182"/>
  </conditionalFormatting>
  <conditionalFormatting sqref="A1655">
    <cfRule type="duplicateValues" dxfId="9" priority="1181"/>
  </conditionalFormatting>
  <conditionalFormatting sqref="A1656">
    <cfRule type="duplicateValues" dxfId="9" priority="1180"/>
  </conditionalFormatting>
  <conditionalFormatting sqref="A1657">
    <cfRule type="duplicateValues" dxfId="9" priority="353"/>
  </conditionalFormatting>
  <conditionalFormatting sqref="A1658">
    <cfRule type="duplicateValues" dxfId="9" priority="352"/>
  </conditionalFormatting>
  <conditionalFormatting sqref="A1659">
    <cfRule type="duplicateValues" dxfId="9" priority="351"/>
  </conditionalFormatting>
  <conditionalFormatting sqref="A1660">
    <cfRule type="duplicateValues" dxfId="9" priority="350"/>
  </conditionalFormatting>
  <conditionalFormatting sqref="A1661">
    <cfRule type="duplicateValues" dxfId="9" priority="349"/>
  </conditionalFormatting>
  <conditionalFormatting sqref="A1662">
    <cfRule type="duplicateValues" dxfId="9" priority="348"/>
  </conditionalFormatting>
  <conditionalFormatting sqref="A1663">
    <cfRule type="duplicateValues" dxfId="9" priority="347"/>
  </conditionalFormatting>
  <conditionalFormatting sqref="A1664">
    <cfRule type="duplicateValues" dxfId="9" priority="346"/>
  </conditionalFormatting>
  <conditionalFormatting sqref="A1665">
    <cfRule type="duplicateValues" dxfId="9" priority="345"/>
  </conditionalFormatting>
  <conditionalFormatting sqref="A1666">
    <cfRule type="duplicateValues" dxfId="9" priority="344"/>
  </conditionalFormatting>
  <conditionalFormatting sqref="A1667">
    <cfRule type="duplicateValues" dxfId="9" priority="1179"/>
  </conditionalFormatting>
  <conditionalFormatting sqref="A1668">
    <cfRule type="duplicateValues" dxfId="9" priority="1178"/>
  </conditionalFormatting>
  <conditionalFormatting sqref="A1669">
    <cfRule type="duplicateValues" dxfId="9" priority="1177"/>
  </conditionalFormatting>
  <conditionalFormatting sqref="A1670">
    <cfRule type="duplicateValues" dxfId="9" priority="1176"/>
  </conditionalFormatting>
  <conditionalFormatting sqref="A1671">
    <cfRule type="duplicateValues" dxfId="9" priority="1175"/>
  </conditionalFormatting>
  <conditionalFormatting sqref="A1672">
    <cfRule type="duplicateValues" dxfId="9" priority="1174"/>
  </conditionalFormatting>
  <conditionalFormatting sqref="A1673">
    <cfRule type="duplicateValues" dxfId="9" priority="1173"/>
  </conditionalFormatting>
  <conditionalFormatting sqref="A1674">
    <cfRule type="duplicateValues" dxfId="9" priority="1172"/>
  </conditionalFormatting>
  <conditionalFormatting sqref="A1675">
    <cfRule type="duplicateValues" dxfId="9" priority="1171"/>
  </conditionalFormatting>
  <conditionalFormatting sqref="A1676">
    <cfRule type="duplicateValues" dxfId="9" priority="1170"/>
  </conditionalFormatting>
  <conditionalFormatting sqref="A1677">
    <cfRule type="duplicateValues" dxfId="9" priority="1169"/>
  </conditionalFormatting>
  <conditionalFormatting sqref="A1678">
    <cfRule type="duplicateValues" dxfId="9" priority="1168"/>
  </conditionalFormatting>
  <conditionalFormatting sqref="A1679">
    <cfRule type="duplicateValues" dxfId="9" priority="1167"/>
  </conditionalFormatting>
  <conditionalFormatting sqref="A1680">
    <cfRule type="duplicateValues" dxfId="9" priority="1166"/>
  </conditionalFormatting>
  <conditionalFormatting sqref="A1681">
    <cfRule type="duplicateValues" dxfId="9" priority="1165"/>
  </conditionalFormatting>
  <conditionalFormatting sqref="A1682">
    <cfRule type="duplicateValues" dxfId="9" priority="1164"/>
  </conditionalFormatting>
  <conditionalFormatting sqref="A1683">
    <cfRule type="duplicateValues" dxfId="9" priority="1163"/>
  </conditionalFormatting>
  <conditionalFormatting sqref="A1684">
    <cfRule type="duplicateValues" dxfId="9" priority="1162"/>
  </conditionalFormatting>
  <conditionalFormatting sqref="A1685">
    <cfRule type="duplicateValues" dxfId="9" priority="1161"/>
  </conditionalFormatting>
  <conditionalFormatting sqref="A1686">
    <cfRule type="duplicateValues" dxfId="9" priority="1160"/>
  </conditionalFormatting>
  <conditionalFormatting sqref="A1687">
    <cfRule type="duplicateValues" dxfId="9" priority="1159"/>
  </conditionalFormatting>
  <conditionalFormatting sqref="A1688">
    <cfRule type="duplicateValues" dxfId="9" priority="1158"/>
  </conditionalFormatting>
  <conditionalFormatting sqref="A1689">
    <cfRule type="duplicateValues" dxfId="9" priority="1157"/>
  </conditionalFormatting>
  <conditionalFormatting sqref="A1690">
    <cfRule type="duplicateValues" dxfId="9" priority="1156"/>
  </conditionalFormatting>
  <conditionalFormatting sqref="A1691">
    <cfRule type="duplicateValues" dxfId="9" priority="1155"/>
  </conditionalFormatting>
  <conditionalFormatting sqref="A1692">
    <cfRule type="duplicateValues" dxfId="9" priority="1154"/>
  </conditionalFormatting>
  <conditionalFormatting sqref="A1693">
    <cfRule type="duplicateValues" dxfId="9" priority="1153"/>
  </conditionalFormatting>
  <conditionalFormatting sqref="A1694">
    <cfRule type="duplicateValues" dxfId="9" priority="1152"/>
  </conditionalFormatting>
  <conditionalFormatting sqref="A1695">
    <cfRule type="duplicateValues" dxfId="9" priority="1151"/>
  </conditionalFormatting>
  <conditionalFormatting sqref="A1696">
    <cfRule type="duplicateValues" dxfId="9" priority="1150"/>
  </conditionalFormatting>
  <conditionalFormatting sqref="A1697">
    <cfRule type="duplicateValues" dxfId="9" priority="1149"/>
  </conditionalFormatting>
  <conditionalFormatting sqref="A1698">
    <cfRule type="duplicateValues" dxfId="9" priority="1148"/>
  </conditionalFormatting>
  <conditionalFormatting sqref="A1699">
    <cfRule type="duplicateValues" dxfId="9" priority="1147"/>
  </conditionalFormatting>
  <conditionalFormatting sqref="A1700">
    <cfRule type="duplicateValues" dxfId="9" priority="1146"/>
  </conditionalFormatting>
  <conditionalFormatting sqref="A1701">
    <cfRule type="duplicateValues" dxfId="9" priority="1145"/>
  </conditionalFormatting>
  <conditionalFormatting sqref="A1702">
    <cfRule type="duplicateValues" dxfId="9" priority="1144"/>
  </conditionalFormatting>
  <conditionalFormatting sqref="A1703">
    <cfRule type="duplicateValues" dxfId="9" priority="1143"/>
  </conditionalFormatting>
  <conditionalFormatting sqref="A1704">
    <cfRule type="duplicateValues" dxfId="9" priority="1142"/>
  </conditionalFormatting>
  <conditionalFormatting sqref="A1705">
    <cfRule type="duplicateValues" dxfId="9" priority="1141"/>
  </conditionalFormatting>
  <conditionalFormatting sqref="A1706">
    <cfRule type="duplicateValues" dxfId="9" priority="1140"/>
  </conditionalFormatting>
  <conditionalFormatting sqref="A1707">
    <cfRule type="duplicateValues" dxfId="9" priority="1139"/>
  </conditionalFormatting>
  <conditionalFormatting sqref="A1708">
    <cfRule type="duplicateValues" dxfId="9" priority="1138"/>
  </conditionalFormatting>
  <conditionalFormatting sqref="A1709">
    <cfRule type="duplicateValues" dxfId="9" priority="1137"/>
  </conditionalFormatting>
  <conditionalFormatting sqref="A1710">
    <cfRule type="duplicateValues" dxfId="9" priority="1136"/>
  </conditionalFormatting>
  <conditionalFormatting sqref="A1711">
    <cfRule type="duplicateValues" dxfId="9" priority="1135"/>
  </conditionalFormatting>
  <conditionalFormatting sqref="A1712">
    <cfRule type="duplicateValues" dxfId="9" priority="1134"/>
  </conditionalFormatting>
  <conditionalFormatting sqref="A1713">
    <cfRule type="duplicateValues" dxfId="9" priority="1133"/>
  </conditionalFormatting>
  <conditionalFormatting sqref="A1714">
    <cfRule type="duplicateValues" dxfId="9" priority="1132"/>
  </conditionalFormatting>
  <conditionalFormatting sqref="A1715">
    <cfRule type="duplicateValues" dxfId="9" priority="1131"/>
  </conditionalFormatting>
  <conditionalFormatting sqref="A1716">
    <cfRule type="duplicateValues" dxfId="9" priority="1130"/>
  </conditionalFormatting>
  <conditionalFormatting sqref="A1717">
    <cfRule type="duplicateValues" dxfId="9" priority="1129"/>
  </conditionalFormatting>
  <conditionalFormatting sqref="A1718">
    <cfRule type="duplicateValues" dxfId="9" priority="1128"/>
  </conditionalFormatting>
  <conditionalFormatting sqref="A1719">
    <cfRule type="duplicateValues" dxfId="9" priority="1127"/>
  </conditionalFormatting>
  <conditionalFormatting sqref="A1720">
    <cfRule type="duplicateValues" dxfId="9" priority="1126"/>
  </conditionalFormatting>
  <conditionalFormatting sqref="A1721">
    <cfRule type="duplicateValues" dxfId="9" priority="1125"/>
  </conditionalFormatting>
  <conditionalFormatting sqref="A1722">
    <cfRule type="duplicateValues" dxfId="9" priority="1124"/>
  </conditionalFormatting>
  <conditionalFormatting sqref="A1723">
    <cfRule type="duplicateValues" dxfId="9" priority="1123"/>
  </conditionalFormatting>
  <conditionalFormatting sqref="A1724">
    <cfRule type="duplicateValues" dxfId="9" priority="1122"/>
  </conditionalFormatting>
  <conditionalFormatting sqref="A1725">
    <cfRule type="duplicateValues" dxfId="9" priority="1121"/>
  </conditionalFormatting>
  <conditionalFormatting sqref="A1726">
    <cfRule type="duplicateValues" dxfId="9" priority="1120"/>
  </conditionalFormatting>
  <conditionalFormatting sqref="A1728">
    <cfRule type="duplicateValues" dxfId="9" priority="1119"/>
  </conditionalFormatting>
  <conditionalFormatting sqref="A1729">
    <cfRule type="duplicateValues" dxfId="9" priority="1118"/>
  </conditionalFormatting>
  <conditionalFormatting sqref="A1730">
    <cfRule type="duplicateValues" dxfId="9" priority="1117"/>
  </conditionalFormatting>
  <conditionalFormatting sqref="A1731">
    <cfRule type="duplicateValues" dxfId="9" priority="1116"/>
  </conditionalFormatting>
  <conditionalFormatting sqref="A1732">
    <cfRule type="duplicateValues" dxfId="9" priority="1115"/>
  </conditionalFormatting>
  <conditionalFormatting sqref="A1733">
    <cfRule type="duplicateValues" dxfId="9" priority="1114"/>
  </conditionalFormatting>
  <conditionalFormatting sqref="A1734">
    <cfRule type="duplicateValues" dxfId="9" priority="1113"/>
  </conditionalFormatting>
  <conditionalFormatting sqref="A1735">
    <cfRule type="duplicateValues" dxfId="9" priority="1112"/>
  </conditionalFormatting>
  <conditionalFormatting sqref="A1736">
    <cfRule type="duplicateValues" dxfId="9" priority="1111"/>
  </conditionalFormatting>
  <conditionalFormatting sqref="A1737">
    <cfRule type="duplicateValues" dxfId="9" priority="1110"/>
  </conditionalFormatting>
  <conditionalFormatting sqref="A1738">
    <cfRule type="duplicateValues" dxfId="9" priority="1109"/>
  </conditionalFormatting>
  <conditionalFormatting sqref="A1739">
    <cfRule type="duplicateValues" dxfId="9" priority="1108"/>
  </conditionalFormatting>
  <conditionalFormatting sqref="A1740">
    <cfRule type="duplicateValues" dxfId="9" priority="1107"/>
  </conditionalFormatting>
  <conditionalFormatting sqref="A1741">
    <cfRule type="duplicateValues" dxfId="9" priority="1106"/>
  </conditionalFormatting>
  <conditionalFormatting sqref="A1742">
    <cfRule type="duplicateValues" dxfId="9" priority="1105"/>
  </conditionalFormatting>
  <conditionalFormatting sqref="A1743">
    <cfRule type="duplicateValues" dxfId="9" priority="1104"/>
  </conditionalFormatting>
  <conditionalFormatting sqref="A1744">
    <cfRule type="duplicateValues" dxfId="9" priority="1103"/>
  </conditionalFormatting>
  <conditionalFormatting sqref="A1745">
    <cfRule type="duplicateValues" dxfId="9" priority="1102"/>
  </conditionalFormatting>
  <conditionalFormatting sqref="A1746">
    <cfRule type="duplicateValues" dxfId="9" priority="1101"/>
  </conditionalFormatting>
  <conditionalFormatting sqref="A1747">
    <cfRule type="duplicateValues" dxfId="9" priority="1100"/>
  </conditionalFormatting>
  <conditionalFormatting sqref="A1748">
    <cfRule type="duplicateValues" dxfId="9" priority="1099"/>
  </conditionalFormatting>
  <conditionalFormatting sqref="A1749">
    <cfRule type="duplicateValues" dxfId="9" priority="1098"/>
  </conditionalFormatting>
  <conditionalFormatting sqref="A1750">
    <cfRule type="duplicateValues" dxfId="9" priority="1097"/>
  </conditionalFormatting>
  <conditionalFormatting sqref="A1751">
    <cfRule type="duplicateValues" dxfId="9" priority="1096"/>
  </conditionalFormatting>
  <conditionalFormatting sqref="A1752">
    <cfRule type="duplicateValues" dxfId="9" priority="1095"/>
  </conditionalFormatting>
  <conditionalFormatting sqref="A1753">
    <cfRule type="duplicateValues" dxfId="9" priority="1094"/>
  </conditionalFormatting>
  <conditionalFormatting sqref="A1754">
    <cfRule type="duplicateValues" dxfId="9" priority="1093"/>
  </conditionalFormatting>
  <conditionalFormatting sqref="A1755">
    <cfRule type="duplicateValues" dxfId="9" priority="1092"/>
  </conditionalFormatting>
  <conditionalFormatting sqref="A1756">
    <cfRule type="duplicateValues" dxfId="9" priority="1091"/>
  </conditionalFormatting>
  <conditionalFormatting sqref="A1758">
    <cfRule type="duplicateValues" dxfId="9" priority="1090"/>
  </conditionalFormatting>
  <conditionalFormatting sqref="A1759">
    <cfRule type="duplicateValues" dxfId="9" priority="1089"/>
  </conditionalFormatting>
  <conditionalFormatting sqref="A1760">
    <cfRule type="duplicateValues" dxfId="9" priority="1088"/>
  </conditionalFormatting>
  <conditionalFormatting sqref="A1761">
    <cfRule type="duplicateValues" dxfId="9" priority="1087"/>
  </conditionalFormatting>
  <conditionalFormatting sqref="A1762">
    <cfRule type="duplicateValues" dxfId="9" priority="1086"/>
  </conditionalFormatting>
  <conditionalFormatting sqref="A1763">
    <cfRule type="duplicateValues" dxfId="9" priority="1085"/>
  </conditionalFormatting>
  <conditionalFormatting sqref="A1764">
    <cfRule type="duplicateValues" dxfId="9" priority="1084"/>
  </conditionalFormatting>
  <conditionalFormatting sqref="A1765">
    <cfRule type="duplicateValues" dxfId="9" priority="1083"/>
  </conditionalFormatting>
  <conditionalFormatting sqref="A1766">
    <cfRule type="duplicateValues" dxfId="9" priority="1082"/>
  </conditionalFormatting>
  <conditionalFormatting sqref="A1767">
    <cfRule type="duplicateValues" dxfId="9" priority="1081"/>
  </conditionalFormatting>
  <conditionalFormatting sqref="A1768">
    <cfRule type="duplicateValues" dxfId="9" priority="1080"/>
  </conditionalFormatting>
  <conditionalFormatting sqref="A1769">
    <cfRule type="duplicateValues" dxfId="9" priority="1079"/>
  </conditionalFormatting>
  <conditionalFormatting sqref="A1770">
    <cfRule type="duplicateValues" dxfId="9" priority="1078"/>
  </conditionalFormatting>
  <conditionalFormatting sqref="A1771">
    <cfRule type="duplicateValues" dxfId="9" priority="1077"/>
  </conditionalFormatting>
  <conditionalFormatting sqref="A1772">
    <cfRule type="duplicateValues" dxfId="9" priority="1076"/>
  </conditionalFormatting>
  <conditionalFormatting sqref="A1773">
    <cfRule type="duplicateValues" dxfId="9" priority="1075"/>
  </conditionalFormatting>
  <conditionalFormatting sqref="A1774">
    <cfRule type="duplicateValues" dxfId="9" priority="1074"/>
  </conditionalFormatting>
  <conditionalFormatting sqref="A1775">
    <cfRule type="duplicateValues" dxfId="9" priority="1073"/>
  </conditionalFormatting>
  <conditionalFormatting sqref="A1776">
    <cfRule type="duplicateValues" dxfId="9" priority="1072"/>
  </conditionalFormatting>
  <conditionalFormatting sqref="A1777">
    <cfRule type="duplicateValues" dxfId="9" priority="363"/>
  </conditionalFormatting>
  <conditionalFormatting sqref="A1778">
    <cfRule type="duplicateValues" dxfId="9" priority="362"/>
  </conditionalFormatting>
  <conditionalFormatting sqref="A1779">
    <cfRule type="duplicateValues" dxfId="9" priority="361"/>
  </conditionalFormatting>
  <conditionalFormatting sqref="A1780">
    <cfRule type="duplicateValues" dxfId="9" priority="360"/>
  </conditionalFormatting>
  <conditionalFormatting sqref="A1781">
    <cfRule type="duplicateValues" dxfId="9" priority="359"/>
  </conditionalFormatting>
  <conditionalFormatting sqref="A1782">
    <cfRule type="duplicateValues" dxfId="9" priority="358"/>
  </conditionalFormatting>
  <conditionalFormatting sqref="A1783">
    <cfRule type="duplicateValues" dxfId="9" priority="357"/>
  </conditionalFormatting>
  <conditionalFormatting sqref="A1784">
    <cfRule type="duplicateValues" dxfId="9" priority="356"/>
  </conditionalFormatting>
  <conditionalFormatting sqref="A1785">
    <cfRule type="duplicateValues" dxfId="9" priority="355"/>
  </conditionalFormatting>
  <conditionalFormatting sqref="A1786">
    <cfRule type="duplicateValues" dxfId="9" priority="354"/>
  </conditionalFormatting>
  <conditionalFormatting sqref="A1787">
    <cfRule type="duplicateValues" dxfId="9" priority="1071"/>
  </conditionalFormatting>
  <conditionalFormatting sqref="A1788">
    <cfRule type="duplicateValues" dxfId="9" priority="1070"/>
  </conditionalFormatting>
  <conditionalFormatting sqref="A1789">
    <cfRule type="duplicateValues" dxfId="9" priority="1069"/>
  </conditionalFormatting>
  <conditionalFormatting sqref="A1790">
    <cfRule type="duplicateValues" dxfId="9" priority="1068"/>
  </conditionalFormatting>
  <conditionalFormatting sqref="A1791">
    <cfRule type="duplicateValues" dxfId="9" priority="1067"/>
  </conditionalFormatting>
  <conditionalFormatting sqref="A1792">
    <cfRule type="duplicateValues" dxfId="9" priority="1066"/>
  </conditionalFormatting>
  <conditionalFormatting sqref="A1793">
    <cfRule type="duplicateValues" dxfId="9" priority="1065"/>
  </conditionalFormatting>
  <conditionalFormatting sqref="A1794">
    <cfRule type="duplicateValues" dxfId="9" priority="1064"/>
  </conditionalFormatting>
  <conditionalFormatting sqref="A1795">
    <cfRule type="duplicateValues" dxfId="9" priority="1063"/>
  </conditionalFormatting>
  <conditionalFormatting sqref="A1796">
    <cfRule type="duplicateValues" dxfId="9" priority="1062"/>
  </conditionalFormatting>
  <conditionalFormatting sqref="A1797">
    <cfRule type="duplicateValues" dxfId="9" priority="1061"/>
  </conditionalFormatting>
  <conditionalFormatting sqref="A1798">
    <cfRule type="duplicateValues" dxfId="9" priority="1060"/>
  </conditionalFormatting>
  <conditionalFormatting sqref="A1799">
    <cfRule type="duplicateValues" dxfId="9" priority="1059"/>
  </conditionalFormatting>
  <conditionalFormatting sqref="A1800">
    <cfRule type="duplicateValues" dxfId="9" priority="1058"/>
  </conditionalFormatting>
  <conditionalFormatting sqref="A1801">
    <cfRule type="duplicateValues" dxfId="9" priority="1057"/>
  </conditionalFormatting>
  <conditionalFormatting sqref="A1802">
    <cfRule type="duplicateValues" dxfId="9" priority="1056"/>
  </conditionalFormatting>
  <conditionalFormatting sqref="A1803">
    <cfRule type="duplicateValues" dxfId="9" priority="1055"/>
  </conditionalFormatting>
  <conditionalFormatting sqref="A1804">
    <cfRule type="duplicateValues" dxfId="9" priority="1054"/>
  </conditionalFormatting>
  <conditionalFormatting sqref="A1805">
    <cfRule type="duplicateValues" dxfId="9" priority="1053"/>
  </conditionalFormatting>
  <conditionalFormatting sqref="A1806">
    <cfRule type="duplicateValues" dxfId="9" priority="1052"/>
  </conditionalFormatting>
  <conditionalFormatting sqref="A1807">
    <cfRule type="duplicateValues" dxfId="9" priority="1051"/>
  </conditionalFormatting>
  <conditionalFormatting sqref="A1808">
    <cfRule type="duplicateValues" dxfId="9" priority="1050"/>
  </conditionalFormatting>
  <conditionalFormatting sqref="A1809">
    <cfRule type="duplicateValues" dxfId="9" priority="1049"/>
  </conditionalFormatting>
  <conditionalFormatting sqref="A1810">
    <cfRule type="duplicateValues" dxfId="9" priority="1048"/>
  </conditionalFormatting>
  <conditionalFormatting sqref="A1811">
    <cfRule type="duplicateValues" dxfId="9" priority="1047"/>
  </conditionalFormatting>
  <conditionalFormatting sqref="A1812">
    <cfRule type="duplicateValues" dxfId="9" priority="1046"/>
  </conditionalFormatting>
  <conditionalFormatting sqref="A1813">
    <cfRule type="duplicateValues" dxfId="9" priority="1045"/>
  </conditionalFormatting>
  <conditionalFormatting sqref="A1814">
    <cfRule type="duplicateValues" dxfId="9" priority="1044"/>
  </conditionalFormatting>
  <conditionalFormatting sqref="A1815">
    <cfRule type="duplicateValues" dxfId="9" priority="1043"/>
  </conditionalFormatting>
  <conditionalFormatting sqref="A1816">
    <cfRule type="duplicateValues" dxfId="9" priority="1042"/>
  </conditionalFormatting>
  <conditionalFormatting sqref="A1817">
    <cfRule type="duplicateValues" dxfId="9" priority="1011"/>
  </conditionalFormatting>
  <conditionalFormatting sqref="B1817">
    <cfRule type="duplicateValues" dxfId="9" priority="1041"/>
  </conditionalFormatting>
  <conditionalFormatting sqref="A1818">
    <cfRule type="duplicateValues" dxfId="9" priority="1010"/>
  </conditionalFormatting>
  <conditionalFormatting sqref="B1818">
    <cfRule type="duplicateValues" dxfId="9" priority="1040"/>
  </conditionalFormatting>
  <conditionalFormatting sqref="A1819">
    <cfRule type="duplicateValues" dxfId="9" priority="1009"/>
  </conditionalFormatting>
  <conditionalFormatting sqref="B1819">
    <cfRule type="duplicateValues" dxfId="9" priority="1039"/>
  </conditionalFormatting>
  <conditionalFormatting sqref="A1820">
    <cfRule type="duplicateValues" dxfId="9" priority="1008"/>
  </conditionalFormatting>
  <conditionalFormatting sqref="B1820">
    <cfRule type="duplicateValues" dxfId="9" priority="1038"/>
  </conditionalFormatting>
  <conditionalFormatting sqref="A1821">
    <cfRule type="duplicateValues" dxfId="9" priority="1007"/>
  </conditionalFormatting>
  <conditionalFormatting sqref="B1821">
    <cfRule type="duplicateValues" dxfId="9" priority="1037"/>
  </conditionalFormatting>
  <conditionalFormatting sqref="A1822">
    <cfRule type="duplicateValues" dxfId="9" priority="1006"/>
  </conditionalFormatting>
  <conditionalFormatting sqref="B1822">
    <cfRule type="duplicateValues" dxfId="9" priority="1036"/>
  </conditionalFormatting>
  <conditionalFormatting sqref="A1823">
    <cfRule type="duplicateValues" dxfId="9" priority="1005"/>
  </conditionalFormatting>
  <conditionalFormatting sqref="B1823">
    <cfRule type="duplicateValues" dxfId="9" priority="1035"/>
  </conditionalFormatting>
  <conditionalFormatting sqref="A1824">
    <cfRule type="duplicateValues" dxfId="9" priority="1004"/>
  </conditionalFormatting>
  <conditionalFormatting sqref="B1824">
    <cfRule type="duplicateValues" dxfId="9" priority="1034"/>
  </conditionalFormatting>
  <conditionalFormatting sqref="A1825">
    <cfRule type="duplicateValues" dxfId="9" priority="1003"/>
  </conditionalFormatting>
  <conditionalFormatting sqref="B1825">
    <cfRule type="duplicateValues" dxfId="9" priority="1033"/>
  </conditionalFormatting>
  <conditionalFormatting sqref="A1826">
    <cfRule type="duplicateValues" dxfId="9" priority="1002"/>
  </conditionalFormatting>
  <conditionalFormatting sqref="B1826">
    <cfRule type="duplicateValues" dxfId="9" priority="1032"/>
  </conditionalFormatting>
  <conditionalFormatting sqref="A1827">
    <cfRule type="duplicateValues" dxfId="9" priority="1001"/>
  </conditionalFormatting>
  <conditionalFormatting sqref="B1827">
    <cfRule type="duplicateValues" dxfId="9" priority="1031"/>
  </conditionalFormatting>
  <conditionalFormatting sqref="A1828">
    <cfRule type="duplicateValues" dxfId="9" priority="1000"/>
  </conditionalFormatting>
  <conditionalFormatting sqref="B1828">
    <cfRule type="duplicateValues" dxfId="9" priority="1030"/>
  </conditionalFormatting>
  <conditionalFormatting sqref="A1829">
    <cfRule type="duplicateValues" dxfId="9" priority="999"/>
  </conditionalFormatting>
  <conditionalFormatting sqref="B1829">
    <cfRule type="duplicateValues" dxfId="9" priority="1029"/>
  </conditionalFormatting>
  <conditionalFormatting sqref="A1830">
    <cfRule type="duplicateValues" dxfId="9" priority="998"/>
  </conditionalFormatting>
  <conditionalFormatting sqref="B1830">
    <cfRule type="duplicateValues" dxfId="9" priority="1028"/>
  </conditionalFormatting>
  <conditionalFormatting sqref="A1831">
    <cfRule type="duplicateValues" dxfId="9" priority="997"/>
  </conditionalFormatting>
  <conditionalFormatting sqref="B1831">
    <cfRule type="duplicateValues" dxfId="9" priority="1027"/>
  </conditionalFormatting>
  <conditionalFormatting sqref="A1832">
    <cfRule type="duplicateValues" dxfId="9" priority="996"/>
  </conditionalFormatting>
  <conditionalFormatting sqref="B1832">
    <cfRule type="duplicateValues" dxfId="9" priority="1026"/>
  </conditionalFormatting>
  <conditionalFormatting sqref="A1833">
    <cfRule type="duplicateValues" dxfId="9" priority="995"/>
  </conditionalFormatting>
  <conditionalFormatting sqref="B1833">
    <cfRule type="duplicateValues" dxfId="9" priority="1025"/>
  </conditionalFormatting>
  <conditionalFormatting sqref="A1834">
    <cfRule type="duplicateValues" dxfId="9" priority="994"/>
  </conditionalFormatting>
  <conditionalFormatting sqref="B1834">
    <cfRule type="duplicateValues" dxfId="9" priority="1024"/>
  </conditionalFormatting>
  <conditionalFormatting sqref="A1835">
    <cfRule type="duplicateValues" dxfId="9" priority="993"/>
  </conditionalFormatting>
  <conditionalFormatting sqref="B1835">
    <cfRule type="duplicateValues" dxfId="9" priority="1023"/>
  </conditionalFormatting>
  <conditionalFormatting sqref="A1836">
    <cfRule type="duplicateValues" dxfId="9" priority="992"/>
  </conditionalFormatting>
  <conditionalFormatting sqref="B1836">
    <cfRule type="duplicateValues" dxfId="9" priority="1022"/>
  </conditionalFormatting>
  <conditionalFormatting sqref="A1837">
    <cfRule type="duplicateValues" dxfId="9" priority="991"/>
  </conditionalFormatting>
  <conditionalFormatting sqref="B1837">
    <cfRule type="duplicateValues" dxfId="9" priority="1021"/>
  </conditionalFormatting>
  <conditionalFormatting sqref="A1838">
    <cfRule type="duplicateValues" dxfId="9" priority="990"/>
  </conditionalFormatting>
  <conditionalFormatting sqref="B1838">
    <cfRule type="duplicateValues" dxfId="9" priority="1020"/>
  </conditionalFormatting>
  <conditionalFormatting sqref="A1839">
    <cfRule type="duplicateValues" dxfId="9" priority="989"/>
  </conditionalFormatting>
  <conditionalFormatting sqref="B1839">
    <cfRule type="duplicateValues" dxfId="9" priority="1019"/>
  </conditionalFormatting>
  <conditionalFormatting sqref="A1840">
    <cfRule type="duplicateValues" dxfId="9" priority="988"/>
  </conditionalFormatting>
  <conditionalFormatting sqref="B1840">
    <cfRule type="duplicateValues" dxfId="9" priority="1018"/>
  </conditionalFormatting>
  <conditionalFormatting sqref="A1841">
    <cfRule type="duplicateValues" dxfId="9" priority="987"/>
  </conditionalFormatting>
  <conditionalFormatting sqref="B1841">
    <cfRule type="duplicateValues" dxfId="9" priority="1017"/>
  </conditionalFormatting>
  <conditionalFormatting sqref="A1842">
    <cfRule type="duplicateValues" dxfId="9" priority="986"/>
  </conditionalFormatting>
  <conditionalFormatting sqref="B1842">
    <cfRule type="duplicateValues" dxfId="9" priority="1016"/>
  </conditionalFormatting>
  <conditionalFormatting sqref="A1843">
    <cfRule type="duplicateValues" dxfId="9" priority="985"/>
  </conditionalFormatting>
  <conditionalFormatting sqref="B1843">
    <cfRule type="duplicateValues" dxfId="9" priority="1015"/>
  </conditionalFormatting>
  <conditionalFormatting sqref="A1844">
    <cfRule type="duplicateValues" dxfId="9" priority="984"/>
  </conditionalFormatting>
  <conditionalFormatting sqref="B1844">
    <cfRule type="duplicateValues" dxfId="9" priority="1014"/>
  </conditionalFormatting>
  <conditionalFormatting sqref="A1845">
    <cfRule type="duplicateValues" dxfId="9" priority="983"/>
  </conditionalFormatting>
  <conditionalFormatting sqref="B1845">
    <cfRule type="duplicateValues" dxfId="9" priority="1013"/>
  </conditionalFormatting>
  <conditionalFormatting sqref="A1846">
    <cfRule type="duplicateValues" dxfId="9" priority="982"/>
  </conditionalFormatting>
  <conditionalFormatting sqref="B1846">
    <cfRule type="duplicateValues" dxfId="9" priority="1012"/>
  </conditionalFormatting>
  <conditionalFormatting sqref="A1847">
    <cfRule type="duplicateValues" dxfId="9" priority="981"/>
  </conditionalFormatting>
  <conditionalFormatting sqref="A1848">
    <cfRule type="duplicateValues" dxfId="9" priority="980"/>
  </conditionalFormatting>
  <conditionalFormatting sqref="A1849">
    <cfRule type="duplicateValues" dxfId="9" priority="979"/>
  </conditionalFormatting>
  <conditionalFormatting sqref="A1850">
    <cfRule type="duplicateValues" dxfId="9" priority="978"/>
  </conditionalFormatting>
  <conditionalFormatting sqref="A1851">
    <cfRule type="duplicateValues" dxfId="9" priority="977"/>
  </conditionalFormatting>
  <conditionalFormatting sqref="A1852">
    <cfRule type="duplicateValues" dxfId="9" priority="976"/>
  </conditionalFormatting>
  <conditionalFormatting sqref="A1853">
    <cfRule type="duplicateValues" dxfId="9" priority="975"/>
  </conditionalFormatting>
  <conditionalFormatting sqref="A1854">
    <cfRule type="duplicateValues" dxfId="9" priority="974"/>
  </conditionalFormatting>
  <conditionalFormatting sqref="A1855">
    <cfRule type="duplicateValues" dxfId="9" priority="973"/>
  </conditionalFormatting>
  <conditionalFormatting sqref="A1856">
    <cfRule type="duplicateValues" dxfId="9" priority="972"/>
  </conditionalFormatting>
  <conditionalFormatting sqref="A1857">
    <cfRule type="duplicateValues" dxfId="9" priority="971"/>
  </conditionalFormatting>
  <conditionalFormatting sqref="A1858">
    <cfRule type="duplicateValues" dxfId="9" priority="970"/>
  </conditionalFormatting>
  <conditionalFormatting sqref="A1859">
    <cfRule type="duplicateValues" dxfId="9" priority="969"/>
  </conditionalFormatting>
  <conditionalFormatting sqref="A1860">
    <cfRule type="duplicateValues" dxfId="9" priority="968"/>
  </conditionalFormatting>
  <conditionalFormatting sqref="A1861">
    <cfRule type="duplicateValues" dxfId="9" priority="967"/>
  </conditionalFormatting>
  <conditionalFormatting sqref="A1862">
    <cfRule type="duplicateValues" dxfId="9" priority="966"/>
  </conditionalFormatting>
  <conditionalFormatting sqref="A1863">
    <cfRule type="duplicateValues" dxfId="9" priority="965"/>
  </conditionalFormatting>
  <conditionalFormatting sqref="A1864">
    <cfRule type="duplicateValues" dxfId="9" priority="964"/>
  </conditionalFormatting>
  <conditionalFormatting sqref="A1865">
    <cfRule type="duplicateValues" dxfId="9" priority="963"/>
  </conditionalFormatting>
  <conditionalFormatting sqref="A1866">
    <cfRule type="duplicateValues" dxfId="9" priority="962"/>
  </conditionalFormatting>
  <conditionalFormatting sqref="A1867">
    <cfRule type="duplicateValues" dxfId="9" priority="373"/>
  </conditionalFormatting>
  <conditionalFormatting sqref="A1868">
    <cfRule type="duplicateValues" dxfId="9" priority="372"/>
  </conditionalFormatting>
  <conditionalFormatting sqref="A1869">
    <cfRule type="duplicateValues" dxfId="9" priority="371"/>
  </conditionalFormatting>
  <conditionalFormatting sqref="A1870">
    <cfRule type="duplicateValues" dxfId="9" priority="370"/>
  </conditionalFormatting>
  <conditionalFormatting sqref="A1871">
    <cfRule type="duplicateValues" dxfId="9" priority="369"/>
  </conditionalFormatting>
  <conditionalFormatting sqref="A1872">
    <cfRule type="duplicateValues" dxfId="9" priority="368"/>
  </conditionalFormatting>
  <conditionalFormatting sqref="A1873">
    <cfRule type="duplicateValues" dxfId="9" priority="367"/>
  </conditionalFormatting>
  <conditionalFormatting sqref="A1874">
    <cfRule type="duplicateValues" dxfId="9" priority="366"/>
  </conditionalFormatting>
  <conditionalFormatting sqref="A1875">
    <cfRule type="duplicateValues" dxfId="9" priority="365"/>
  </conditionalFormatting>
  <conditionalFormatting sqref="A1876">
    <cfRule type="duplicateValues" dxfId="9" priority="364"/>
  </conditionalFormatting>
  <conditionalFormatting sqref="A1877">
    <cfRule type="duplicateValues" dxfId="9" priority="961"/>
  </conditionalFormatting>
  <conditionalFormatting sqref="A1878">
    <cfRule type="duplicateValues" dxfId="9" priority="960"/>
  </conditionalFormatting>
  <conditionalFormatting sqref="A1879">
    <cfRule type="duplicateValues" dxfId="9" priority="959"/>
  </conditionalFormatting>
  <conditionalFormatting sqref="A1880">
    <cfRule type="duplicateValues" dxfId="9" priority="958"/>
  </conditionalFormatting>
  <conditionalFormatting sqref="A1881">
    <cfRule type="duplicateValues" dxfId="9" priority="957"/>
  </conditionalFormatting>
  <conditionalFormatting sqref="A1882">
    <cfRule type="duplicateValues" dxfId="9" priority="956"/>
  </conditionalFormatting>
  <conditionalFormatting sqref="A1883">
    <cfRule type="duplicateValues" dxfId="9" priority="955"/>
  </conditionalFormatting>
  <conditionalFormatting sqref="A1884">
    <cfRule type="duplicateValues" dxfId="9" priority="954"/>
  </conditionalFormatting>
  <conditionalFormatting sqref="A1885">
    <cfRule type="duplicateValues" dxfId="9" priority="953"/>
  </conditionalFormatting>
  <conditionalFormatting sqref="A1886">
    <cfRule type="duplicateValues" dxfId="9" priority="952"/>
  </conditionalFormatting>
  <conditionalFormatting sqref="A1887">
    <cfRule type="duplicateValues" dxfId="9" priority="951"/>
  </conditionalFormatting>
  <conditionalFormatting sqref="A1888">
    <cfRule type="duplicateValues" dxfId="9" priority="950"/>
  </conditionalFormatting>
  <conditionalFormatting sqref="A1889">
    <cfRule type="duplicateValues" dxfId="9" priority="949"/>
  </conditionalFormatting>
  <conditionalFormatting sqref="A1890">
    <cfRule type="duplicateValues" dxfId="9" priority="948"/>
  </conditionalFormatting>
  <conditionalFormatting sqref="A1891">
    <cfRule type="duplicateValues" dxfId="9" priority="947"/>
  </conditionalFormatting>
  <conditionalFormatting sqref="A1892">
    <cfRule type="duplicateValues" dxfId="9" priority="946"/>
  </conditionalFormatting>
  <conditionalFormatting sqref="A1893">
    <cfRule type="duplicateValues" dxfId="9" priority="945"/>
  </conditionalFormatting>
  <conditionalFormatting sqref="A1894">
    <cfRule type="duplicateValues" dxfId="9" priority="944"/>
  </conditionalFormatting>
  <conditionalFormatting sqref="A1895">
    <cfRule type="duplicateValues" dxfId="9" priority="943"/>
  </conditionalFormatting>
  <conditionalFormatting sqref="A1896">
    <cfRule type="duplicateValues" dxfId="9" priority="942"/>
  </conditionalFormatting>
  <conditionalFormatting sqref="A1897">
    <cfRule type="duplicateValues" dxfId="9" priority="941"/>
  </conditionalFormatting>
  <conditionalFormatting sqref="A1898">
    <cfRule type="duplicateValues" dxfId="9" priority="940"/>
  </conditionalFormatting>
  <conditionalFormatting sqref="A1899">
    <cfRule type="duplicateValues" dxfId="9" priority="939"/>
  </conditionalFormatting>
  <conditionalFormatting sqref="A1900">
    <cfRule type="duplicateValues" dxfId="9" priority="938"/>
  </conditionalFormatting>
  <conditionalFormatting sqref="A1901">
    <cfRule type="duplicateValues" dxfId="9" priority="937"/>
  </conditionalFormatting>
  <conditionalFormatting sqref="A1902">
    <cfRule type="duplicateValues" dxfId="9" priority="936"/>
  </conditionalFormatting>
  <conditionalFormatting sqref="A1903">
    <cfRule type="duplicateValues" dxfId="9" priority="935"/>
  </conditionalFormatting>
  <conditionalFormatting sqref="A1904">
    <cfRule type="duplicateValues" dxfId="9" priority="934"/>
  </conditionalFormatting>
  <conditionalFormatting sqref="A1905">
    <cfRule type="duplicateValues" dxfId="9" priority="933"/>
  </conditionalFormatting>
  <conditionalFormatting sqref="A1906">
    <cfRule type="duplicateValues" dxfId="9" priority="932"/>
  </conditionalFormatting>
  <conditionalFormatting sqref="A1908">
    <cfRule type="duplicateValues" dxfId="9" priority="931"/>
  </conditionalFormatting>
  <conditionalFormatting sqref="A1909">
    <cfRule type="duplicateValues" dxfId="9" priority="930"/>
  </conditionalFormatting>
  <conditionalFormatting sqref="A1910">
    <cfRule type="duplicateValues" dxfId="9" priority="929"/>
  </conditionalFormatting>
  <conditionalFormatting sqref="A1911">
    <cfRule type="duplicateValues" dxfId="9" priority="928"/>
  </conditionalFormatting>
  <conditionalFormatting sqref="A1912">
    <cfRule type="duplicateValues" dxfId="9" priority="927"/>
  </conditionalFormatting>
  <conditionalFormatting sqref="A1913">
    <cfRule type="duplicateValues" dxfId="9" priority="926"/>
  </conditionalFormatting>
  <conditionalFormatting sqref="A1914">
    <cfRule type="duplicateValues" dxfId="9" priority="925"/>
  </conditionalFormatting>
  <conditionalFormatting sqref="A1915">
    <cfRule type="duplicateValues" dxfId="9" priority="924"/>
  </conditionalFormatting>
  <conditionalFormatting sqref="A1916">
    <cfRule type="duplicateValues" dxfId="9" priority="923"/>
  </conditionalFormatting>
  <conditionalFormatting sqref="A1917">
    <cfRule type="duplicateValues" dxfId="9" priority="922"/>
  </conditionalFormatting>
  <conditionalFormatting sqref="A1918">
    <cfRule type="duplicateValues" dxfId="9" priority="921"/>
  </conditionalFormatting>
  <conditionalFormatting sqref="A1919">
    <cfRule type="duplicateValues" dxfId="9" priority="920"/>
  </conditionalFormatting>
  <conditionalFormatting sqref="A1920">
    <cfRule type="duplicateValues" dxfId="9" priority="919"/>
  </conditionalFormatting>
  <conditionalFormatting sqref="A1921">
    <cfRule type="duplicateValues" dxfId="9" priority="918"/>
  </conditionalFormatting>
  <conditionalFormatting sqref="A1922">
    <cfRule type="duplicateValues" dxfId="9" priority="917"/>
  </conditionalFormatting>
  <conditionalFormatting sqref="A1923">
    <cfRule type="duplicateValues" dxfId="9" priority="916"/>
  </conditionalFormatting>
  <conditionalFormatting sqref="A1924">
    <cfRule type="duplicateValues" dxfId="9" priority="915"/>
  </conditionalFormatting>
  <conditionalFormatting sqref="A1925">
    <cfRule type="duplicateValues" dxfId="9" priority="914"/>
  </conditionalFormatting>
  <conditionalFormatting sqref="A1926">
    <cfRule type="duplicateValues" dxfId="9" priority="913"/>
  </conditionalFormatting>
  <conditionalFormatting sqref="A1927">
    <cfRule type="duplicateValues" dxfId="9" priority="383"/>
  </conditionalFormatting>
  <conditionalFormatting sqref="A1928">
    <cfRule type="duplicateValues" dxfId="9" priority="382"/>
  </conditionalFormatting>
  <conditionalFormatting sqref="A1929">
    <cfRule type="duplicateValues" dxfId="9" priority="381"/>
  </conditionalFormatting>
  <conditionalFormatting sqref="A1930">
    <cfRule type="duplicateValues" dxfId="9" priority="380"/>
  </conditionalFormatting>
  <conditionalFormatting sqref="A1931">
    <cfRule type="duplicateValues" dxfId="9" priority="379"/>
  </conditionalFormatting>
  <conditionalFormatting sqref="A1932">
    <cfRule type="duplicateValues" dxfId="9" priority="378"/>
  </conditionalFormatting>
  <conditionalFormatting sqref="A1933">
    <cfRule type="duplicateValues" dxfId="9" priority="377"/>
  </conditionalFormatting>
  <conditionalFormatting sqref="A1934">
    <cfRule type="duplicateValues" dxfId="9" priority="376"/>
  </conditionalFormatting>
  <conditionalFormatting sqref="A1935">
    <cfRule type="duplicateValues" dxfId="9" priority="375"/>
  </conditionalFormatting>
  <conditionalFormatting sqref="A1936">
    <cfRule type="duplicateValues" dxfId="9" priority="374"/>
  </conditionalFormatting>
  <conditionalFormatting sqref="A1937">
    <cfRule type="duplicateValues" dxfId="9" priority="912"/>
  </conditionalFormatting>
  <conditionalFormatting sqref="A1938">
    <cfRule type="duplicateValues" dxfId="9" priority="911"/>
  </conditionalFormatting>
  <conditionalFormatting sqref="A1939">
    <cfRule type="duplicateValues" dxfId="9" priority="910"/>
  </conditionalFormatting>
  <conditionalFormatting sqref="A1940">
    <cfRule type="duplicateValues" dxfId="9" priority="909"/>
  </conditionalFormatting>
  <conditionalFormatting sqref="A1941">
    <cfRule type="duplicateValues" dxfId="9" priority="908"/>
  </conditionalFormatting>
  <conditionalFormatting sqref="A1942">
    <cfRule type="duplicateValues" dxfId="9" priority="907"/>
  </conditionalFormatting>
  <conditionalFormatting sqref="A1943">
    <cfRule type="duplicateValues" dxfId="9" priority="906"/>
  </conditionalFormatting>
  <conditionalFormatting sqref="A1944">
    <cfRule type="duplicateValues" dxfId="9" priority="905"/>
  </conditionalFormatting>
  <conditionalFormatting sqref="A1945">
    <cfRule type="duplicateValues" dxfId="9" priority="904"/>
  </conditionalFormatting>
  <conditionalFormatting sqref="A1946">
    <cfRule type="duplicateValues" dxfId="9" priority="903"/>
  </conditionalFormatting>
  <conditionalFormatting sqref="A1947">
    <cfRule type="duplicateValues" dxfId="9" priority="902"/>
  </conditionalFormatting>
  <conditionalFormatting sqref="A1948">
    <cfRule type="duplicateValues" dxfId="9" priority="901"/>
  </conditionalFormatting>
  <conditionalFormatting sqref="A1949">
    <cfRule type="duplicateValues" dxfId="9" priority="900"/>
  </conditionalFormatting>
  <conditionalFormatting sqref="A1950">
    <cfRule type="duplicateValues" dxfId="9" priority="899"/>
  </conditionalFormatting>
  <conditionalFormatting sqref="A1951">
    <cfRule type="duplicateValues" dxfId="9" priority="898"/>
  </conditionalFormatting>
  <conditionalFormatting sqref="A1952">
    <cfRule type="duplicateValues" dxfId="9" priority="897"/>
  </conditionalFormatting>
  <conditionalFormatting sqref="A1953">
    <cfRule type="duplicateValues" dxfId="9" priority="896"/>
  </conditionalFormatting>
  <conditionalFormatting sqref="A1954">
    <cfRule type="duplicateValues" dxfId="9" priority="895"/>
  </conditionalFormatting>
  <conditionalFormatting sqref="A1955">
    <cfRule type="duplicateValues" dxfId="9" priority="894"/>
  </conditionalFormatting>
  <conditionalFormatting sqref="A1956">
    <cfRule type="duplicateValues" dxfId="9" priority="893"/>
  </conditionalFormatting>
  <conditionalFormatting sqref="A1957">
    <cfRule type="duplicateValues" dxfId="9" priority="892"/>
  </conditionalFormatting>
  <conditionalFormatting sqref="A1958">
    <cfRule type="duplicateValues" dxfId="9" priority="891"/>
  </conditionalFormatting>
  <conditionalFormatting sqref="A1959">
    <cfRule type="duplicateValues" dxfId="9" priority="890"/>
  </conditionalFormatting>
  <conditionalFormatting sqref="A1960">
    <cfRule type="duplicateValues" dxfId="9" priority="889"/>
  </conditionalFormatting>
  <conditionalFormatting sqref="A1961">
    <cfRule type="duplicateValues" dxfId="9" priority="888"/>
  </conditionalFormatting>
  <conditionalFormatting sqref="A1962">
    <cfRule type="duplicateValues" dxfId="9" priority="887"/>
  </conditionalFormatting>
  <conditionalFormatting sqref="A1963">
    <cfRule type="duplicateValues" dxfId="9" priority="886"/>
  </conditionalFormatting>
  <conditionalFormatting sqref="A1964">
    <cfRule type="duplicateValues" dxfId="9" priority="885"/>
  </conditionalFormatting>
  <conditionalFormatting sqref="A1965">
    <cfRule type="duplicateValues" dxfId="9" priority="884"/>
  </conditionalFormatting>
  <conditionalFormatting sqref="A1966">
    <cfRule type="duplicateValues" dxfId="9" priority="883"/>
  </conditionalFormatting>
  <conditionalFormatting sqref="A1967">
    <cfRule type="duplicateValues" dxfId="9" priority="882"/>
  </conditionalFormatting>
  <conditionalFormatting sqref="A1968">
    <cfRule type="duplicateValues" dxfId="9" priority="881"/>
  </conditionalFormatting>
  <conditionalFormatting sqref="A1969">
    <cfRule type="duplicateValues" dxfId="9" priority="880"/>
  </conditionalFormatting>
  <conditionalFormatting sqref="A1970">
    <cfRule type="duplicateValues" dxfId="9" priority="879"/>
  </conditionalFormatting>
  <conditionalFormatting sqref="A1971">
    <cfRule type="duplicateValues" dxfId="9" priority="878"/>
  </conditionalFormatting>
  <conditionalFormatting sqref="A1972">
    <cfRule type="duplicateValues" dxfId="9" priority="877"/>
  </conditionalFormatting>
  <conditionalFormatting sqref="A1973">
    <cfRule type="duplicateValues" dxfId="9" priority="876"/>
  </conditionalFormatting>
  <conditionalFormatting sqref="A1974">
    <cfRule type="duplicateValues" dxfId="9" priority="875"/>
  </conditionalFormatting>
  <conditionalFormatting sqref="A1975">
    <cfRule type="duplicateValues" dxfId="9" priority="874"/>
  </conditionalFormatting>
  <conditionalFormatting sqref="A1976">
    <cfRule type="duplicateValues" dxfId="9" priority="873"/>
  </conditionalFormatting>
  <conditionalFormatting sqref="A1977">
    <cfRule type="duplicateValues" dxfId="9" priority="872"/>
  </conditionalFormatting>
  <conditionalFormatting sqref="A1978">
    <cfRule type="duplicateValues" dxfId="9" priority="871"/>
  </conditionalFormatting>
  <conditionalFormatting sqref="A1979">
    <cfRule type="duplicateValues" dxfId="9" priority="870"/>
  </conditionalFormatting>
  <conditionalFormatting sqref="A1980">
    <cfRule type="duplicateValues" dxfId="9" priority="869"/>
  </conditionalFormatting>
  <conditionalFormatting sqref="A1981">
    <cfRule type="duplicateValues" dxfId="9" priority="868"/>
  </conditionalFormatting>
  <conditionalFormatting sqref="A1982">
    <cfRule type="duplicateValues" dxfId="9" priority="867"/>
  </conditionalFormatting>
  <conditionalFormatting sqref="A1983">
    <cfRule type="duplicateValues" dxfId="9" priority="866"/>
  </conditionalFormatting>
  <conditionalFormatting sqref="A1984">
    <cfRule type="duplicateValues" dxfId="9" priority="865"/>
  </conditionalFormatting>
  <conditionalFormatting sqref="A1985">
    <cfRule type="duplicateValues" dxfId="9" priority="864"/>
  </conditionalFormatting>
  <conditionalFormatting sqref="A1986">
    <cfRule type="duplicateValues" dxfId="9" priority="863"/>
  </conditionalFormatting>
  <conditionalFormatting sqref="A1987">
    <cfRule type="duplicateValues" dxfId="9" priority="393"/>
  </conditionalFormatting>
  <conditionalFormatting sqref="A1988">
    <cfRule type="duplicateValues" dxfId="9" priority="392"/>
  </conditionalFormatting>
  <conditionalFormatting sqref="A1989">
    <cfRule type="duplicateValues" dxfId="9" priority="391"/>
  </conditionalFormatting>
  <conditionalFormatting sqref="A1990">
    <cfRule type="duplicateValues" dxfId="9" priority="390"/>
  </conditionalFormatting>
  <conditionalFormatting sqref="A1991">
    <cfRule type="duplicateValues" dxfId="9" priority="389"/>
  </conditionalFormatting>
  <conditionalFormatting sqref="A1992">
    <cfRule type="duplicateValues" dxfId="9" priority="388"/>
  </conditionalFormatting>
  <conditionalFormatting sqref="A1993">
    <cfRule type="duplicateValues" dxfId="9" priority="387"/>
  </conditionalFormatting>
  <conditionalFormatting sqref="A1994">
    <cfRule type="duplicateValues" dxfId="9" priority="386"/>
  </conditionalFormatting>
  <conditionalFormatting sqref="A1995">
    <cfRule type="duplicateValues" dxfId="9" priority="385"/>
  </conditionalFormatting>
  <conditionalFormatting sqref="A1996">
    <cfRule type="duplicateValues" dxfId="9" priority="384"/>
  </conditionalFormatting>
  <conditionalFormatting sqref="A1997">
    <cfRule type="duplicateValues" dxfId="9" priority="862"/>
  </conditionalFormatting>
  <conditionalFormatting sqref="A1998">
    <cfRule type="duplicateValues" dxfId="9" priority="861"/>
  </conditionalFormatting>
  <conditionalFormatting sqref="A1999">
    <cfRule type="duplicateValues" dxfId="9" priority="860"/>
  </conditionalFormatting>
  <conditionalFormatting sqref="A2000">
    <cfRule type="duplicateValues" dxfId="9" priority="859"/>
  </conditionalFormatting>
  <conditionalFormatting sqref="A2001">
    <cfRule type="duplicateValues" dxfId="9" priority="858"/>
  </conditionalFormatting>
  <conditionalFormatting sqref="A2002">
    <cfRule type="duplicateValues" dxfId="9" priority="857"/>
  </conditionalFormatting>
  <conditionalFormatting sqref="A2003">
    <cfRule type="duplicateValues" dxfId="9" priority="856"/>
  </conditionalFormatting>
  <conditionalFormatting sqref="A2004">
    <cfRule type="duplicateValues" dxfId="9" priority="855"/>
  </conditionalFormatting>
  <conditionalFormatting sqref="A2005">
    <cfRule type="duplicateValues" dxfId="9" priority="854"/>
  </conditionalFormatting>
  <conditionalFormatting sqref="A2006">
    <cfRule type="duplicateValues" dxfId="9" priority="853"/>
  </conditionalFormatting>
  <conditionalFormatting sqref="A2007">
    <cfRule type="duplicateValues" dxfId="9" priority="852"/>
  </conditionalFormatting>
  <conditionalFormatting sqref="A2008">
    <cfRule type="duplicateValues" dxfId="9" priority="851"/>
  </conditionalFormatting>
  <conditionalFormatting sqref="A2009">
    <cfRule type="duplicateValues" dxfId="9" priority="850"/>
  </conditionalFormatting>
  <conditionalFormatting sqref="A2010">
    <cfRule type="duplicateValues" dxfId="9" priority="849"/>
  </conditionalFormatting>
  <conditionalFormatting sqref="A2011">
    <cfRule type="duplicateValues" dxfId="9" priority="848"/>
  </conditionalFormatting>
  <conditionalFormatting sqref="A2012">
    <cfRule type="duplicateValues" dxfId="9" priority="847"/>
  </conditionalFormatting>
  <conditionalFormatting sqref="A2013">
    <cfRule type="duplicateValues" dxfId="9" priority="846"/>
  </conditionalFormatting>
  <conditionalFormatting sqref="A2014">
    <cfRule type="duplicateValues" dxfId="9" priority="845"/>
  </conditionalFormatting>
  <conditionalFormatting sqref="A2015">
    <cfRule type="duplicateValues" dxfId="9" priority="844"/>
  </conditionalFormatting>
  <conditionalFormatting sqref="A2016">
    <cfRule type="duplicateValues" dxfId="9" priority="843"/>
  </conditionalFormatting>
  <conditionalFormatting sqref="A2017">
    <cfRule type="duplicateValues" dxfId="9" priority="842"/>
  </conditionalFormatting>
  <conditionalFormatting sqref="A2018">
    <cfRule type="duplicateValues" dxfId="9" priority="841"/>
  </conditionalFormatting>
  <conditionalFormatting sqref="A2019">
    <cfRule type="duplicateValues" dxfId="9" priority="840"/>
  </conditionalFormatting>
  <conditionalFormatting sqref="A2020">
    <cfRule type="duplicateValues" dxfId="9" priority="839"/>
  </conditionalFormatting>
  <conditionalFormatting sqref="A2021">
    <cfRule type="duplicateValues" dxfId="9" priority="838"/>
  </conditionalFormatting>
  <conditionalFormatting sqref="A2022">
    <cfRule type="duplicateValues" dxfId="9" priority="837"/>
  </conditionalFormatting>
  <conditionalFormatting sqref="A2023">
    <cfRule type="duplicateValues" dxfId="9" priority="836"/>
  </conditionalFormatting>
  <conditionalFormatting sqref="A2024">
    <cfRule type="duplicateValues" dxfId="9" priority="835"/>
  </conditionalFormatting>
  <conditionalFormatting sqref="A2025">
    <cfRule type="duplicateValues" dxfId="9" priority="834"/>
  </conditionalFormatting>
  <conditionalFormatting sqref="A2026">
    <cfRule type="duplicateValues" dxfId="9" priority="833"/>
  </conditionalFormatting>
  <conditionalFormatting sqref="A2027">
    <cfRule type="duplicateValues" dxfId="9" priority="832"/>
  </conditionalFormatting>
  <conditionalFormatting sqref="A2028">
    <cfRule type="duplicateValues" dxfId="9" priority="831"/>
  </conditionalFormatting>
  <conditionalFormatting sqref="A2029">
    <cfRule type="duplicateValues" dxfId="9" priority="830"/>
  </conditionalFormatting>
  <conditionalFormatting sqref="A2030">
    <cfRule type="duplicateValues" dxfId="9" priority="829"/>
  </conditionalFormatting>
  <conditionalFormatting sqref="A2031">
    <cfRule type="duplicateValues" dxfId="9" priority="828"/>
  </conditionalFormatting>
  <conditionalFormatting sqref="A2032">
    <cfRule type="duplicateValues" dxfId="9" priority="827"/>
  </conditionalFormatting>
  <conditionalFormatting sqref="A2033">
    <cfRule type="duplicateValues" dxfId="9" priority="826"/>
  </conditionalFormatting>
  <conditionalFormatting sqref="A2034">
    <cfRule type="duplicateValues" dxfId="9" priority="825"/>
  </conditionalFormatting>
  <conditionalFormatting sqref="A2035">
    <cfRule type="duplicateValues" dxfId="9" priority="824"/>
  </conditionalFormatting>
  <conditionalFormatting sqref="A2036">
    <cfRule type="duplicateValues" dxfId="9" priority="823"/>
  </conditionalFormatting>
  <conditionalFormatting sqref="A2037">
    <cfRule type="duplicateValues" dxfId="9" priority="822"/>
  </conditionalFormatting>
  <conditionalFormatting sqref="A2038">
    <cfRule type="duplicateValues" dxfId="9" priority="821"/>
  </conditionalFormatting>
  <conditionalFormatting sqref="A2039">
    <cfRule type="duplicateValues" dxfId="9" priority="820"/>
  </conditionalFormatting>
  <conditionalFormatting sqref="A2040">
    <cfRule type="duplicateValues" dxfId="9" priority="819"/>
  </conditionalFormatting>
  <conditionalFormatting sqref="A2041">
    <cfRule type="duplicateValues" dxfId="9" priority="818"/>
  </conditionalFormatting>
  <conditionalFormatting sqref="A2042">
    <cfRule type="duplicateValues" dxfId="9" priority="817"/>
  </conditionalFormatting>
  <conditionalFormatting sqref="A2043">
    <cfRule type="duplicateValues" dxfId="9" priority="816"/>
  </conditionalFormatting>
  <conditionalFormatting sqref="A2044">
    <cfRule type="duplicateValues" dxfId="9" priority="815"/>
  </conditionalFormatting>
  <conditionalFormatting sqref="A2045">
    <cfRule type="duplicateValues" dxfId="9" priority="814"/>
  </conditionalFormatting>
  <conditionalFormatting sqref="A2046">
    <cfRule type="duplicateValues" dxfId="9" priority="813"/>
  </conditionalFormatting>
  <conditionalFormatting sqref="A2047">
    <cfRule type="duplicateValues" dxfId="9" priority="812"/>
  </conditionalFormatting>
  <conditionalFormatting sqref="A2048">
    <cfRule type="duplicateValues" dxfId="9" priority="811"/>
  </conditionalFormatting>
  <conditionalFormatting sqref="A2049">
    <cfRule type="duplicateValues" dxfId="9" priority="810"/>
  </conditionalFormatting>
  <conditionalFormatting sqref="A2050">
    <cfRule type="duplicateValues" dxfId="9" priority="809"/>
  </conditionalFormatting>
  <conditionalFormatting sqref="A2051">
    <cfRule type="duplicateValues" dxfId="9" priority="808"/>
  </conditionalFormatting>
  <conditionalFormatting sqref="A2052">
    <cfRule type="duplicateValues" dxfId="9" priority="807"/>
  </conditionalFormatting>
  <conditionalFormatting sqref="A2053">
    <cfRule type="duplicateValues" dxfId="9" priority="806"/>
  </conditionalFormatting>
  <conditionalFormatting sqref="A2054">
    <cfRule type="duplicateValues" dxfId="9" priority="805"/>
  </conditionalFormatting>
  <conditionalFormatting sqref="A2055">
    <cfRule type="duplicateValues" dxfId="9" priority="804"/>
  </conditionalFormatting>
  <conditionalFormatting sqref="A2056">
    <cfRule type="duplicateValues" dxfId="9" priority="803"/>
  </conditionalFormatting>
  <conditionalFormatting sqref="A2057">
    <cfRule type="duplicateValues" dxfId="9" priority="802"/>
  </conditionalFormatting>
  <conditionalFormatting sqref="A2058">
    <cfRule type="duplicateValues" dxfId="9" priority="801"/>
  </conditionalFormatting>
  <conditionalFormatting sqref="A2059">
    <cfRule type="duplicateValues" dxfId="9" priority="800"/>
  </conditionalFormatting>
  <conditionalFormatting sqref="A2060">
    <cfRule type="duplicateValues" dxfId="9" priority="799"/>
  </conditionalFormatting>
  <conditionalFormatting sqref="A2061">
    <cfRule type="duplicateValues" dxfId="9" priority="798"/>
  </conditionalFormatting>
  <conditionalFormatting sqref="A2062">
    <cfRule type="duplicateValues" dxfId="9" priority="797"/>
  </conditionalFormatting>
  <conditionalFormatting sqref="A2063">
    <cfRule type="duplicateValues" dxfId="9" priority="796"/>
  </conditionalFormatting>
  <conditionalFormatting sqref="A2064">
    <cfRule type="duplicateValues" dxfId="9" priority="795"/>
  </conditionalFormatting>
  <conditionalFormatting sqref="A2065">
    <cfRule type="duplicateValues" dxfId="9" priority="794"/>
  </conditionalFormatting>
  <conditionalFormatting sqref="A2066">
    <cfRule type="duplicateValues" dxfId="9" priority="793"/>
  </conditionalFormatting>
  <conditionalFormatting sqref="A2067">
    <cfRule type="duplicateValues" dxfId="9" priority="792"/>
  </conditionalFormatting>
  <conditionalFormatting sqref="A2068">
    <cfRule type="duplicateValues" dxfId="9" priority="791"/>
  </conditionalFormatting>
  <conditionalFormatting sqref="A2069">
    <cfRule type="duplicateValues" dxfId="9" priority="790"/>
  </conditionalFormatting>
  <conditionalFormatting sqref="A2070">
    <cfRule type="duplicateValues" dxfId="9" priority="789"/>
  </conditionalFormatting>
  <conditionalFormatting sqref="A2071">
    <cfRule type="duplicateValues" dxfId="9" priority="788"/>
  </conditionalFormatting>
  <conditionalFormatting sqref="A2072">
    <cfRule type="duplicateValues" dxfId="9" priority="787"/>
  </conditionalFormatting>
  <conditionalFormatting sqref="A2073">
    <cfRule type="duplicateValues" dxfId="9" priority="786"/>
  </conditionalFormatting>
  <conditionalFormatting sqref="A2074">
    <cfRule type="duplicateValues" dxfId="9" priority="785"/>
  </conditionalFormatting>
  <conditionalFormatting sqref="A2075">
    <cfRule type="duplicateValues" dxfId="9" priority="784"/>
  </conditionalFormatting>
  <conditionalFormatting sqref="A2076">
    <cfRule type="duplicateValues" dxfId="9" priority="783"/>
  </conditionalFormatting>
  <conditionalFormatting sqref="A2077">
    <cfRule type="duplicateValues" dxfId="9" priority="403"/>
  </conditionalFormatting>
  <conditionalFormatting sqref="A2078">
    <cfRule type="duplicateValues" dxfId="9" priority="402"/>
  </conditionalFormatting>
  <conditionalFormatting sqref="A2079">
    <cfRule type="duplicateValues" dxfId="9" priority="401"/>
  </conditionalFormatting>
  <conditionalFormatting sqref="A2080">
    <cfRule type="duplicateValues" dxfId="9" priority="400"/>
  </conditionalFormatting>
  <conditionalFormatting sqref="A2081">
    <cfRule type="duplicateValues" dxfId="9" priority="399"/>
  </conditionalFormatting>
  <conditionalFormatting sqref="A2082">
    <cfRule type="duplicateValues" dxfId="9" priority="398"/>
  </conditionalFormatting>
  <conditionalFormatting sqref="A2083">
    <cfRule type="duplicateValues" dxfId="9" priority="397"/>
  </conditionalFormatting>
  <conditionalFormatting sqref="A2084">
    <cfRule type="duplicateValues" dxfId="9" priority="396"/>
  </conditionalFormatting>
  <conditionalFormatting sqref="A2085">
    <cfRule type="duplicateValues" dxfId="9" priority="395"/>
  </conditionalFormatting>
  <conditionalFormatting sqref="A2118">
    <cfRule type="duplicateValues" dxfId="9" priority="88"/>
  </conditionalFormatting>
  <conditionalFormatting sqref="A2119">
    <cfRule type="duplicateValues" dxfId="9" priority="87"/>
  </conditionalFormatting>
  <conditionalFormatting sqref="A2120">
    <cfRule type="duplicateValues" dxfId="9" priority="86"/>
  </conditionalFormatting>
  <conditionalFormatting sqref="A2121">
    <cfRule type="duplicateValues" dxfId="9" priority="85"/>
  </conditionalFormatting>
  <conditionalFormatting sqref="A2122">
    <cfRule type="duplicateValues" dxfId="9" priority="84"/>
  </conditionalFormatting>
  <conditionalFormatting sqref="A2123">
    <cfRule type="duplicateValues" dxfId="9" priority="83"/>
  </conditionalFormatting>
  <conditionalFormatting sqref="A2124">
    <cfRule type="duplicateValues" dxfId="9" priority="82"/>
  </conditionalFormatting>
  <conditionalFormatting sqref="A2125">
    <cfRule type="duplicateValues" dxfId="9" priority="81"/>
  </conditionalFormatting>
  <conditionalFormatting sqref="A2126">
    <cfRule type="duplicateValues" dxfId="9" priority="80"/>
  </conditionalFormatting>
  <conditionalFormatting sqref="A2127">
    <cfRule type="duplicateValues" dxfId="9" priority="79"/>
  </conditionalFormatting>
  <conditionalFormatting sqref="A2128">
    <cfRule type="duplicateValues" dxfId="9" priority="78"/>
  </conditionalFormatting>
  <conditionalFormatting sqref="A2129">
    <cfRule type="duplicateValues" dxfId="9" priority="77"/>
  </conditionalFormatting>
  <conditionalFormatting sqref="A2130">
    <cfRule type="duplicateValues" dxfId="9" priority="76"/>
  </conditionalFormatting>
  <conditionalFormatting sqref="A2131">
    <cfRule type="duplicateValues" dxfId="9" priority="75"/>
  </conditionalFormatting>
  <conditionalFormatting sqref="A2132">
    <cfRule type="duplicateValues" dxfId="9" priority="74"/>
  </conditionalFormatting>
  <conditionalFormatting sqref="A2133">
    <cfRule type="duplicateValues" dxfId="9" priority="73"/>
  </conditionalFormatting>
  <conditionalFormatting sqref="A2134">
    <cfRule type="duplicateValues" dxfId="9" priority="72"/>
  </conditionalFormatting>
  <conditionalFormatting sqref="A2135">
    <cfRule type="duplicateValues" dxfId="9" priority="71"/>
  </conditionalFormatting>
  <conditionalFormatting sqref="A2136">
    <cfRule type="duplicateValues" dxfId="9" priority="70"/>
  </conditionalFormatting>
  <conditionalFormatting sqref="A2137">
    <cfRule type="duplicateValues" dxfId="9" priority="69"/>
  </conditionalFormatting>
  <conditionalFormatting sqref="A2138">
    <cfRule type="duplicateValues" dxfId="9" priority="68"/>
  </conditionalFormatting>
  <conditionalFormatting sqref="A2139">
    <cfRule type="duplicateValues" dxfId="9" priority="67"/>
  </conditionalFormatting>
  <conditionalFormatting sqref="A2140">
    <cfRule type="duplicateValues" dxfId="9" priority="66"/>
  </conditionalFormatting>
  <conditionalFormatting sqref="A2141">
    <cfRule type="duplicateValues" dxfId="9" priority="65"/>
  </conditionalFormatting>
  <conditionalFormatting sqref="A2142">
    <cfRule type="duplicateValues" dxfId="9" priority="64"/>
  </conditionalFormatting>
  <conditionalFormatting sqref="A2143">
    <cfRule type="duplicateValues" dxfId="9" priority="63"/>
  </conditionalFormatting>
  <conditionalFormatting sqref="A2144">
    <cfRule type="duplicateValues" dxfId="9" priority="62"/>
  </conditionalFormatting>
  <conditionalFormatting sqref="A2145">
    <cfRule type="duplicateValues" dxfId="9" priority="61"/>
  </conditionalFormatting>
  <conditionalFormatting sqref="A2146">
    <cfRule type="duplicateValues" dxfId="9" priority="60"/>
  </conditionalFormatting>
  <conditionalFormatting sqref="A2147">
    <cfRule type="duplicateValues" dxfId="9" priority="782"/>
  </conditionalFormatting>
  <conditionalFormatting sqref="A2148">
    <cfRule type="duplicateValues" dxfId="9" priority="781"/>
  </conditionalFormatting>
  <conditionalFormatting sqref="A2149">
    <cfRule type="duplicateValues" dxfId="9" priority="780"/>
  </conditionalFormatting>
  <conditionalFormatting sqref="A2150">
    <cfRule type="duplicateValues" dxfId="9" priority="779"/>
  </conditionalFormatting>
  <conditionalFormatting sqref="A2151">
    <cfRule type="duplicateValues" dxfId="9" priority="778"/>
  </conditionalFormatting>
  <conditionalFormatting sqref="A2152">
    <cfRule type="duplicateValues" dxfId="9" priority="777"/>
  </conditionalFormatting>
  <conditionalFormatting sqref="A2153">
    <cfRule type="duplicateValues" dxfId="9" priority="776"/>
  </conditionalFormatting>
  <conditionalFormatting sqref="A2154">
    <cfRule type="duplicateValues" dxfId="9" priority="775"/>
  </conditionalFormatting>
  <conditionalFormatting sqref="A2155">
    <cfRule type="duplicateValues" dxfId="9" priority="774"/>
  </conditionalFormatting>
  <conditionalFormatting sqref="A2156">
    <cfRule type="duplicateValues" dxfId="9" priority="773"/>
  </conditionalFormatting>
  <conditionalFormatting sqref="A2157">
    <cfRule type="duplicateValues" dxfId="9" priority="772"/>
  </conditionalFormatting>
  <conditionalFormatting sqref="A2158">
    <cfRule type="duplicateValues" dxfId="9" priority="771"/>
  </conditionalFormatting>
  <conditionalFormatting sqref="A2159">
    <cfRule type="duplicateValues" dxfId="9" priority="770"/>
  </conditionalFormatting>
  <conditionalFormatting sqref="A2160">
    <cfRule type="duplicateValues" dxfId="9" priority="769"/>
  </conditionalFormatting>
  <conditionalFormatting sqref="A2161">
    <cfRule type="duplicateValues" dxfId="9" priority="768"/>
  </conditionalFormatting>
  <conditionalFormatting sqref="A2162">
    <cfRule type="duplicateValues" dxfId="9" priority="767"/>
  </conditionalFormatting>
  <conditionalFormatting sqref="A2163">
    <cfRule type="duplicateValues" dxfId="9" priority="766"/>
  </conditionalFormatting>
  <conditionalFormatting sqref="A2164">
    <cfRule type="duplicateValues" dxfId="9" priority="765"/>
  </conditionalFormatting>
  <conditionalFormatting sqref="A2165">
    <cfRule type="duplicateValues" dxfId="9" priority="764"/>
  </conditionalFormatting>
  <conditionalFormatting sqref="A2166">
    <cfRule type="duplicateValues" dxfId="9" priority="763"/>
  </conditionalFormatting>
  <conditionalFormatting sqref="A2167">
    <cfRule type="duplicateValues" dxfId="9" priority="762"/>
  </conditionalFormatting>
  <conditionalFormatting sqref="A2168">
    <cfRule type="duplicateValues" dxfId="9" priority="761"/>
  </conditionalFormatting>
  <conditionalFormatting sqref="A2169">
    <cfRule type="duplicateValues" dxfId="9" priority="760"/>
  </conditionalFormatting>
  <conditionalFormatting sqref="A2170">
    <cfRule type="duplicateValues" dxfId="9" priority="759"/>
  </conditionalFormatting>
  <conditionalFormatting sqref="A2171">
    <cfRule type="duplicateValues" dxfId="9" priority="758"/>
  </conditionalFormatting>
  <conditionalFormatting sqref="A2172">
    <cfRule type="duplicateValues" dxfId="9" priority="757"/>
  </conditionalFormatting>
  <conditionalFormatting sqref="A2173">
    <cfRule type="duplicateValues" dxfId="9" priority="756"/>
  </conditionalFormatting>
  <conditionalFormatting sqref="A2174">
    <cfRule type="duplicateValues" dxfId="9" priority="755"/>
  </conditionalFormatting>
  <conditionalFormatting sqref="A2175">
    <cfRule type="duplicateValues" dxfId="9" priority="754"/>
  </conditionalFormatting>
  <conditionalFormatting sqref="A2176">
    <cfRule type="duplicateValues" dxfId="9" priority="753"/>
  </conditionalFormatting>
  <conditionalFormatting sqref="A2177">
    <cfRule type="duplicateValues" dxfId="9" priority="752"/>
  </conditionalFormatting>
  <conditionalFormatting sqref="A2178">
    <cfRule type="duplicateValues" dxfId="9" priority="751"/>
  </conditionalFormatting>
  <conditionalFormatting sqref="A2179">
    <cfRule type="duplicateValues" dxfId="9" priority="750"/>
  </conditionalFormatting>
  <conditionalFormatting sqref="A2180">
    <cfRule type="duplicateValues" dxfId="9" priority="749"/>
  </conditionalFormatting>
  <conditionalFormatting sqref="A2181">
    <cfRule type="duplicateValues" dxfId="9" priority="748"/>
  </conditionalFormatting>
  <conditionalFormatting sqref="A2182">
    <cfRule type="duplicateValues" dxfId="9" priority="747"/>
  </conditionalFormatting>
  <conditionalFormatting sqref="A2183">
    <cfRule type="duplicateValues" dxfId="9" priority="746"/>
  </conditionalFormatting>
  <conditionalFormatting sqref="A2184">
    <cfRule type="duplicateValues" dxfId="9" priority="745"/>
  </conditionalFormatting>
  <conditionalFormatting sqref="A2185">
    <cfRule type="duplicateValues" dxfId="9" priority="744"/>
  </conditionalFormatting>
  <conditionalFormatting sqref="A2186">
    <cfRule type="duplicateValues" dxfId="9" priority="743"/>
  </conditionalFormatting>
  <conditionalFormatting sqref="A2187">
    <cfRule type="duplicateValues" dxfId="9" priority="742"/>
  </conditionalFormatting>
  <conditionalFormatting sqref="A2188">
    <cfRule type="duplicateValues" dxfId="9" priority="741"/>
  </conditionalFormatting>
  <conditionalFormatting sqref="A2189">
    <cfRule type="duplicateValues" dxfId="9" priority="740"/>
  </conditionalFormatting>
  <conditionalFormatting sqref="A2190">
    <cfRule type="duplicateValues" dxfId="9" priority="739"/>
  </conditionalFormatting>
  <conditionalFormatting sqref="A2191">
    <cfRule type="duplicateValues" dxfId="9" priority="738"/>
  </conditionalFormatting>
  <conditionalFormatting sqref="A2192">
    <cfRule type="duplicateValues" dxfId="9" priority="737"/>
  </conditionalFormatting>
  <conditionalFormatting sqref="A2193">
    <cfRule type="duplicateValues" dxfId="9" priority="736"/>
  </conditionalFormatting>
  <conditionalFormatting sqref="A2194">
    <cfRule type="duplicateValues" dxfId="9" priority="735"/>
  </conditionalFormatting>
  <conditionalFormatting sqref="A2195">
    <cfRule type="duplicateValues" dxfId="9" priority="734"/>
  </conditionalFormatting>
  <conditionalFormatting sqref="A2196">
    <cfRule type="duplicateValues" dxfId="9" priority="733"/>
  </conditionalFormatting>
  <conditionalFormatting sqref="A2197">
    <cfRule type="duplicateValues" dxfId="9" priority="732"/>
  </conditionalFormatting>
  <conditionalFormatting sqref="A2198">
    <cfRule type="duplicateValues" dxfId="9" priority="731"/>
  </conditionalFormatting>
  <conditionalFormatting sqref="A2199">
    <cfRule type="duplicateValues" dxfId="9" priority="730"/>
  </conditionalFormatting>
  <conditionalFormatting sqref="A2200">
    <cfRule type="duplicateValues" dxfId="9" priority="729"/>
  </conditionalFormatting>
  <conditionalFormatting sqref="A2201">
    <cfRule type="duplicateValues" dxfId="9" priority="728"/>
  </conditionalFormatting>
  <conditionalFormatting sqref="A2202">
    <cfRule type="duplicateValues" dxfId="9" priority="727"/>
  </conditionalFormatting>
  <conditionalFormatting sqref="A2203">
    <cfRule type="duplicateValues" dxfId="9" priority="726"/>
  </conditionalFormatting>
  <conditionalFormatting sqref="A2204">
    <cfRule type="duplicateValues" dxfId="9" priority="725"/>
  </conditionalFormatting>
  <conditionalFormatting sqref="A2205">
    <cfRule type="duplicateValues" dxfId="9" priority="724"/>
  </conditionalFormatting>
  <conditionalFormatting sqref="A2206">
    <cfRule type="duplicateValues" dxfId="9" priority="723"/>
  </conditionalFormatting>
  <conditionalFormatting sqref="A2207">
    <cfRule type="duplicateValues" dxfId="9" priority="722"/>
  </conditionalFormatting>
  <conditionalFormatting sqref="A2208">
    <cfRule type="duplicateValues" dxfId="9" priority="721"/>
  </conditionalFormatting>
  <conditionalFormatting sqref="A2209">
    <cfRule type="duplicateValues" dxfId="9" priority="720"/>
  </conditionalFormatting>
  <conditionalFormatting sqref="A2210">
    <cfRule type="duplicateValues" dxfId="9" priority="719"/>
  </conditionalFormatting>
  <conditionalFormatting sqref="A2211">
    <cfRule type="duplicateValues" dxfId="9" priority="718"/>
  </conditionalFormatting>
  <conditionalFormatting sqref="A2212">
    <cfRule type="duplicateValues" dxfId="9" priority="717"/>
  </conditionalFormatting>
  <conditionalFormatting sqref="A2213">
    <cfRule type="duplicateValues" dxfId="9" priority="716"/>
  </conditionalFormatting>
  <conditionalFormatting sqref="A2214">
    <cfRule type="duplicateValues" dxfId="9" priority="715"/>
  </conditionalFormatting>
  <conditionalFormatting sqref="A2215">
    <cfRule type="duplicateValues" dxfId="9" priority="714"/>
  </conditionalFormatting>
  <conditionalFormatting sqref="A2216">
    <cfRule type="duplicateValues" dxfId="9" priority="713"/>
  </conditionalFormatting>
  <conditionalFormatting sqref="A2217">
    <cfRule type="duplicateValues" dxfId="9" priority="712"/>
  </conditionalFormatting>
  <conditionalFormatting sqref="A2218">
    <cfRule type="duplicateValues" dxfId="9" priority="711"/>
  </conditionalFormatting>
  <conditionalFormatting sqref="A2219">
    <cfRule type="duplicateValues" dxfId="9" priority="710"/>
  </conditionalFormatting>
  <conditionalFormatting sqref="A2220">
    <cfRule type="duplicateValues" dxfId="9" priority="709"/>
  </conditionalFormatting>
  <conditionalFormatting sqref="A2221">
    <cfRule type="duplicateValues" dxfId="9" priority="708"/>
  </conditionalFormatting>
  <conditionalFormatting sqref="A2222">
    <cfRule type="duplicateValues" dxfId="9" priority="707"/>
  </conditionalFormatting>
  <conditionalFormatting sqref="A2223">
    <cfRule type="duplicateValues" dxfId="9" priority="706"/>
  </conditionalFormatting>
  <conditionalFormatting sqref="A2224">
    <cfRule type="duplicateValues" dxfId="9" priority="705"/>
  </conditionalFormatting>
  <conditionalFormatting sqref="A2225">
    <cfRule type="duplicateValues" dxfId="9" priority="704"/>
  </conditionalFormatting>
  <conditionalFormatting sqref="A2226">
    <cfRule type="duplicateValues" dxfId="9" priority="703"/>
  </conditionalFormatting>
  <conditionalFormatting sqref="A2227">
    <cfRule type="duplicateValues" dxfId="9" priority="702"/>
  </conditionalFormatting>
  <conditionalFormatting sqref="A2228">
    <cfRule type="duplicateValues" dxfId="9" priority="701"/>
  </conditionalFormatting>
  <conditionalFormatting sqref="A2229">
    <cfRule type="duplicateValues" dxfId="9" priority="700"/>
  </conditionalFormatting>
  <conditionalFormatting sqref="A2230">
    <cfRule type="duplicateValues" dxfId="9" priority="699"/>
  </conditionalFormatting>
  <conditionalFormatting sqref="A2231">
    <cfRule type="duplicateValues" dxfId="9" priority="698"/>
  </conditionalFormatting>
  <conditionalFormatting sqref="A2232">
    <cfRule type="duplicateValues" dxfId="9" priority="697"/>
  </conditionalFormatting>
  <conditionalFormatting sqref="A2233">
    <cfRule type="duplicateValues" dxfId="9" priority="696"/>
  </conditionalFormatting>
  <conditionalFormatting sqref="A2234">
    <cfRule type="duplicateValues" dxfId="9" priority="695"/>
  </conditionalFormatting>
  <conditionalFormatting sqref="A2235">
    <cfRule type="duplicateValues" dxfId="9" priority="694"/>
  </conditionalFormatting>
  <conditionalFormatting sqref="A2236">
    <cfRule type="duplicateValues" dxfId="9" priority="693"/>
  </conditionalFormatting>
  <conditionalFormatting sqref="A2238">
    <cfRule type="duplicateValues" dxfId="9" priority="692"/>
  </conditionalFormatting>
  <conditionalFormatting sqref="A2239">
    <cfRule type="duplicateValues" dxfId="9" priority="691"/>
  </conditionalFormatting>
  <conditionalFormatting sqref="A2240">
    <cfRule type="duplicateValues" dxfId="9" priority="690"/>
  </conditionalFormatting>
  <conditionalFormatting sqref="A2241">
    <cfRule type="duplicateValues" dxfId="9" priority="689"/>
  </conditionalFormatting>
  <conditionalFormatting sqref="A2242">
    <cfRule type="duplicateValues" dxfId="9" priority="688"/>
  </conditionalFormatting>
  <conditionalFormatting sqref="A2243">
    <cfRule type="duplicateValues" dxfId="9" priority="687"/>
  </conditionalFormatting>
  <conditionalFormatting sqref="A2244">
    <cfRule type="duplicateValues" dxfId="9" priority="686"/>
  </conditionalFormatting>
  <conditionalFormatting sqref="A2245">
    <cfRule type="duplicateValues" dxfId="9" priority="685"/>
  </conditionalFormatting>
  <conditionalFormatting sqref="A2246">
    <cfRule type="duplicateValues" dxfId="9" priority="684"/>
  </conditionalFormatting>
  <conditionalFormatting sqref="A2247">
    <cfRule type="duplicateValues" dxfId="9" priority="683"/>
  </conditionalFormatting>
  <conditionalFormatting sqref="A2248">
    <cfRule type="duplicateValues" dxfId="9" priority="682"/>
  </conditionalFormatting>
  <conditionalFormatting sqref="A2249">
    <cfRule type="duplicateValues" dxfId="9" priority="681"/>
  </conditionalFormatting>
  <conditionalFormatting sqref="A2250">
    <cfRule type="duplicateValues" dxfId="9" priority="680"/>
  </conditionalFormatting>
  <conditionalFormatting sqref="A2251">
    <cfRule type="duplicateValues" dxfId="9" priority="679"/>
  </conditionalFormatting>
  <conditionalFormatting sqref="A2252">
    <cfRule type="duplicateValues" dxfId="9" priority="678"/>
  </conditionalFormatting>
  <conditionalFormatting sqref="A2253">
    <cfRule type="duplicateValues" dxfId="9" priority="677"/>
  </conditionalFormatting>
  <conditionalFormatting sqref="A2254">
    <cfRule type="duplicateValues" dxfId="9" priority="676"/>
  </conditionalFormatting>
  <conditionalFormatting sqref="A2255">
    <cfRule type="duplicateValues" dxfId="9" priority="675"/>
  </conditionalFormatting>
  <conditionalFormatting sqref="A2256">
    <cfRule type="duplicateValues" dxfId="9" priority="674"/>
  </conditionalFormatting>
  <conditionalFormatting sqref="A2257">
    <cfRule type="duplicateValues" dxfId="9" priority="413"/>
  </conditionalFormatting>
  <conditionalFormatting sqref="A2258">
    <cfRule type="duplicateValues" dxfId="9" priority="412"/>
  </conditionalFormatting>
  <conditionalFormatting sqref="A2259">
    <cfRule type="duplicateValues" dxfId="9" priority="411"/>
  </conditionalFormatting>
  <conditionalFormatting sqref="A2260">
    <cfRule type="duplicateValues" dxfId="9" priority="410"/>
  </conditionalFormatting>
  <conditionalFormatting sqref="A2261">
    <cfRule type="duplicateValues" dxfId="9" priority="409"/>
  </conditionalFormatting>
  <conditionalFormatting sqref="A2262">
    <cfRule type="duplicateValues" dxfId="9" priority="408"/>
  </conditionalFormatting>
  <conditionalFormatting sqref="A2263">
    <cfRule type="duplicateValues" dxfId="9" priority="407"/>
  </conditionalFormatting>
  <conditionalFormatting sqref="A2264">
    <cfRule type="duplicateValues" dxfId="9" priority="406"/>
  </conditionalFormatting>
  <conditionalFormatting sqref="A2265">
    <cfRule type="duplicateValues" dxfId="9" priority="405"/>
  </conditionalFormatting>
  <conditionalFormatting sqref="A2266">
    <cfRule type="duplicateValues" dxfId="9" priority="404"/>
  </conditionalFormatting>
  <conditionalFormatting sqref="A2267">
    <cfRule type="duplicateValues" dxfId="9" priority="673"/>
  </conditionalFormatting>
  <conditionalFormatting sqref="A2268">
    <cfRule type="duplicateValues" dxfId="9" priority="672"/>
  </conditionalFormatting>
  <conditionalFormatting sqref="A2269">
    <cfRule type="duplicateValues" dxfId="9" priority="671"/>
  </conditionalFormatting>
  <conditionalFormatting sqref="A2270">
    <cfRule type="duplicateValues" dxfId="9" priority="670"/>
  </conditionalFormatting>
  <conditionalFormatting sqref="A2271">
    <cfRule type="duplicateValues" dxfId="9" priority="669"/>
  </conditionalFormatting>
  <conditionalFormatting sqref="A2272">
    <cfRule type="duplicateValues" dxfId="9" priority="668"/>
  </conditionalFormatting>
  <conditionalFormatting sqref="A2273">
    <cfRule type="duplicateValues" dxfId="9" priority="667"/>
  </conditionalFormatting>
  <conditionalFormatting sqref="A2274">
    <cfRule type="duplicateValues" dxfId="9" priority="666"/>
  </conditionalFormatting>
  <conditionalFormatting sqref="A2275">
    <cfRule type="duplicateValues" dxfId="9" priority="665"/>
  </conditionalFormatting>
  <conditionalFormatting sqref="A2276">
    <cfRule type="duplicateValues" dxfId="9" priority="664"/>
  </conditionalFormatting>
  <conditionalFormatting sqref="A2277">
    <cfRule type="duplicateValues" dxfId="9" priority="663"/>
  </conditionalFormatting>
  <conditionalFormatting sqref="A2278">
    <cfRule type="duplicateValues" dxfId="9" priority="662"/>
  </conditionalFormatting>
  <conditionalFormatting sqref="A2279">
    <cfRule type="duplicateValues" dxfId="9" priority="661"/>
  </conditionalFormatting>
  <conditionalFormatting sqref="A2280">
    <cfRule type="duplicateValues" dxfId="9" priority="660"/>
  </conditionalFormatting>
  <conditionalFormatting sqref="A2281">
    <cfRule type="duplicateValues" dxfId="9" priority="659"/>
  </conditionalFormatting>
  <conditionalFormatting sqref="A2282">
    <cfRule type="duplicateValues" dxfId="9" priority="658"/>
  </conditionalFormatting>
  <conditionalFormatting sqref="A2283">
    <cfRule type="duplicateValues" dxfId="9" priority="657"/>
  </conditionalFormatting>
  <conditionalFormatting sqref="A2284">
    <cfRule type="duplicateValues" dxfId="9" priority="656"/>
  </conditionalFormatting>
  <conditionalFormatting sqref="A2285">
    <cfRule type="duplicateValues" dxfId="9" priority="655"/>
  </conditionalFormatting>
  <conditionalFormatting sqref="A2286">
    <cfRule type="duplicateValues" dxfId="9" priority="654"/>
  </conditionalFormatting>
  <conditionalFormatting sqref="A2287">
    <cfRule type="duplicateValues" dxfId="9" priority="653"/>
  </conditionalFormatting>
  <conditionalFormatting sqref="A2288">
    <cfRule type="duplicateValues" dxfId="9" priority="652"/>
  </conditionalFormatting>
  <conditionalFormatting sqref="A2289">
    <cfRule type="duplicateValues" dxfId="9" priority="651"/>
  </conditionalFormatting>
  <conditionalFormatting sqref="A2290">
    <cfRule type="duplicateValues" dxfId="9" priority="650"/>
  </conditionalFormatting>
  <conditionalFormatting sqref="A2291">
    <cfRule type="duplicateValues" dxfId="9" priority="649"/>
  </conditionalFormatting>
  <conditionalFormatting sqref="A2292">
    <cfRule type="duplicateValues" dxfId="9" priority="648"/>
  </conditionalFormatting>
  <conditionalFormatting sqref="A2293">
    <cfRule type="duplicateValues" dxfId="9" priority="647"/>
  </conditionalFormatting>
  <conditionalFormatting sqref="A2294">
    <cfRule type="duplicateValues" dxfId="9" priority="646"/>
  </conditionalFormatting>
  <conditionalFormatting sqref="A2295">
    <cfRule type="duplicateValues" dxfId="9" priority="645"/>
  </conditionalFormatting>
  <conditionalFormatting sqref="A2296">
    <cfRule type="duplicateValues" dxfId="9" priority="644"/>
  </conditionalFormatting>
  <conditionalFormatting sqref="A2297">
    <cfRule type="duplicateValues" dxfId="9" priority="643"/>
  </conditionalFormatting>
  <conditionalFormatting sqref="A2298">
    <cfRule type="duplicateValues" dxfId="9" priority="642"/>
  </conditionalFormatting>
  <conditionalFormatting sqref="A2299">
    <cfRule type="duplicateValues" dxfId="9" priority="641"/>
  </conditionalFormatting>
  <conditionalFormatting sqref="A2300">
    <cfRule type="duplicateValues" dxfId="9" priority="640"/>
  </conditionalFormatting>
  <conditionalFormatting sqref="A2301">
    <cfRule type="duplicateValues" dxfId="9" priority="639"/>
  </conditionalFormatting>
  <conditionalFormatting sqref="A2302">
    <cfRule type="duplicateValues" dxfId="9" priority="638"/>
  </conditionalFormatting>
  <conditionalFormatting sqref="A2303">
    <cfRule type="duplicateValues" dxfId="9" priority="637"/>
  </conditionalFormatting>
  <conditionalFormatting sqref="A2304">
    <cfRule type="duplicateValues" dxfId="9" priority="636"/>
  </conditionalFormatting>
  <conditionalFormatting sqref="A2305">
    <cfRule type="duplicateValues" dxfId="9" priority="635"/>
  </conditionalFormatting>
  <conditionalFormatting sqref="A2306">
    <cfRule type="duplicateValues" dxfId="9" priority="634"/>
  </conditionalFormatting>
  <conditionalFormatting sqref="A2307">
    <cfRule type="duplicateValues" dxfId="9" priority="633"/>
  </conditionalFormatting>
  <conditionalFormatting sqref="A2308">
    <cfRule type="duplicateValues" dxfId="9" priority="632"/>
  </conditionalFormatting>
  <conditionalFormatting sqref="A2309">
    <cfRule type="duplicateValues" dxfId="9" priority="631"/>
  </conditionalFormatting>
  <conditionalFormatting sqref="A2310">
    <cfRule type="duplicateValues" dxfId="9" priority="630"/>
  </conditionalFormatting>
  <conditionalFormatting sqref="A2311">
    <cfRule type="duplicateValues" dxfId="9" priority="629"/>
  </conditionalFormatting>
  <conditionalFormatting sqref="A2312">
    <cfRule type="duplicateValues" dxfId="9" priority="628"/>
  </conditionalFormatting>
  <conditionalFormatting sqref="A2313">
    <cfRule type="duplicateValues" dxfId="9" priority="627"/>
  </conditionalFormatting>
  <conditionalFormatting sqref="A2314">
    <cfRule type="duplicateValues" dxfId="9" priority="626"/>
  </conditionalFormatting>
  <conditionalFormatting sqref="A2315">
    <cfRule type="duplicateValues" dxfId="9" priority="625"/>
  </conditionalFormatting>
  <conditionalFormatting sqref="A2316">
    <cfRule type="duplicateValues" dxfId="9" priority="624"/>
  </conditionalFormatting>
  <conditionalFormatting sqref="A2317">
    <cfRule type="duplicateValues" dxfId="9" priority="623"/>
  </conditionalFormatting>
  <conditionalFormatting sqref="A2318">
    <cfRule type="duplicateValues" dxfId="9" priority="622"/>
  </conditionalFormatting>
  <conditionalFormatting sqref="A2319">
    <cfRule type="duplicateValues" dxfId="9" priority="621"/>
  </conditionalFormatting>
  <conditionalFormatting sqref="A2320">
    <cfRule type="duplicateValues" dxfId="9" priority="620"/>
  </conditionalFormatting>
  <conditionalFormatting sqref="A2321">
    <cfRule type="duplicateValues" dxfId="9" priority="619"/>
  </conditionalFormatting>
  <conditionalFormatting sqref="A2322">
    <cfRule type="duplicateValues" dxfId="9" priority="618"/>
  </conditionalFormatting>
  <conditionalFormatting sqref="A2323">
    <cfRule type="duplicateValues" dxfId="9" priority="617"/>
  </conditionalFormatting>
  <conditionalFormatting sqref="A2324">
    <cfRule type="duplicateValues" dxfId="9" priority="616"/>
  </conditionalFormatting>
  <conditionalFormatting sqref="A2325">
    <cfRule type="duplicateValues" dxfId="9" priority="615"/>
  </conditionalFormatting>
  <conditionalFormatting sqref="A2326">
    <cfRule type="duplicateValues" dxfId="9" priority="614"/>
  </conditionalFormatting>
  <conditionalFormatting sqref="A2327">
    <cfRule type="duplicateValues" dxfId="9" priority="613"/>
  </conditionalFormatting>
  <conditionalFormatting sqref="A2328">
    <cfRule type="duplicateValues" dxfId="9" priority="612"/>
  </conditionalFormatting>
  <conditionalFormatting sqref="A2329">
    <cfRule type="duplicateValues" dxfId="9" priority="611"/>
  </conditionalFormatting>
  <conditionalFormatting sqref="A2330">
    <cfRule type="duplicateValues" dxfId="9" priority="610"/>
  </conditionalFormatting>
  <conditionalFormatting sqref="A2331">
    <cfRule type="duplicateValues" dxfId="9" priority="609"/>
  </conditionalFormatting>
  <conditionalFormatting sqref="A2332">
    <cfRule type="duplicateValues" dxfId="9" priority="608"/>
  </conditionalFormatting>
  <conditionalFormatting sqref="A2333">
    <cfRule type="duplicateValues" dxfId="9" priority="607"/>
  </conditionalFormatting>
  <conditionalFormatting sqref="A2334">
    <cfRule type="duplicateValues" dxfId="9" priority="606"/>
  </conditionalFormatting>
  <conditionalFormatting sqref="A2335">
    <cfRule type="duplicateValues" dxfId="9" priority="605"/>
  </conditionalFormatting>
  <conditionalFormatting sqref="A2336">
    <cfRule type="duplicateValues" dxfId="9" priority="604"/>
  </conditionalFormatting>
  <conditionalFormatting sqref="A2337">
    <cfRule type="duplicateValues" dxfId="9" priority="603"/>
  </conditionalFormatting>
  <conditionalFormatting sqref="A2338">
    <cfRule type="duplicateValues" dxfId="9" priority="602"/>
  </conditionalFormatting>
  <conditionalFormatting sqref="A2339">
    <cfRule type="duplicateValues" dxfId="9" priority="601"/>
  </conditionalFormatting>
  <conditionalFormatting sqref="A2340">
    <cfRule type="duplicateValues" dxfId="9" priority="600"/>
  </conditionalFormatting>
  <conditionalFormatting sqref="A2341">
    <cfRule type="duplicateValues" dxfId="9" priority="599"/>
  </conditionalFormatting>
  <conditionalFormatting sqref="A2342">
    <cfRule type="duplicateValues" dxfId="9" priority="598"/>
  </conditionalFormatting>
  <conditionalFormatting sqref="A2343">
    <cfRule type="duplicateValues" dxfId="9" priority="597"/>
  </conditionalFormatting>
  <conditionalFormatting sqref="A2344">
    <cfRule type="duplicateValues" dxfId="9" priority="596"/>
  </conditionalFormatting>
  <conditionalFormatting sqref="A2345">
    <cfRule type="duplicateValues" dxfId="9" priority="595"/>
  </conditionalFormatting>
  <conditionalFormatting sqref="A2346">
    <cfRule type="duplicateValues" dxfId="9" priority="594"/>
  </conditionalFormatting>
  <conditionalFormatting sqref="A2347">
    <cfRule type="duplicateValues" dxfId="9" priority="593"/>
  </conditionalFormatting>
  <conditionalFormatting sqref="A2348">
    <cfRule type="duplicateValues" dxfId="9" priority="592"/>
  </conditionalFormatting>
  <conditionalFormatting sqref="A2349">
    <cfRule type="duplicateValues" dxfId="9" priority="591"/>
  </conditionalFormatting>
  <conditionalFormatting sqref="A2350">
    <cfRule type="duplicateValues" dxfId="9" priority="590"/>
  </conditionalFormatting>
  <conditionalFormatting sqref="A2351">
    <cfRule type="duplicateValues" dxfId="9" priority="589"/>
  </conditionalFormatting>
  <conditionalFormatting sqref="A2352">
    <cfRule type="duplicateValues" dxfId="9" priority="588"/>
  </conditionalFormatting>
  <conditionalFormatting sqref="A2353">
    <cfRule type="duplicateValues" dxfId="9" priority="587"/>
  </conditionalFormatting>
  <conditionalFormatting sqref="A2354">
    <cfRule type="duplicateValues" dxfId="9" priority="586"/>
  </conditionalFormatting>
  <conditionalFormatting sqref="A2355">
    <cfRule type="duplicateValues" dxfId="9" priority="585"/>
  </conditionalFormatting>
  <conditionalFormatting sqref="A2356">
    <cfRule type="duplicateValues" dxfId="9" priority="584"/>
  </conditionalFormatting>
  <conditionalFormatting sqref="A2357">
    <cfRule type="duplicateValues" dxfId="9" priority="583"/>
  </conditionalFormatting>
  <conditionalFormatting sqref="A2358">
    <cfRule type="duplicateValues" dxfId="9" priority="582"/>
  </conditionalFormatting>
  <conditionalFormatting sqref="A2359">
    <cfRule type="duplicateValues" dxfId="9" priority="581"/>
  </conditionalFormatting>
  <conditionalFormatting sqref="A2360">
    <cfRule type="duplicateValues" dxfId="9" priority="580"/>
  </conditionalFormatting>
  <conditionalFormatting sqref="A2361">
    <cfRule type="duplicateValues" dxfId="9" priority="579"/>
  </conditionalFormatting>
  <conditionalFormatting sqref="A2362">
    <cfRule type="duplicateValues" dxfId="9" priority="578"/>
  </conditionalFormatting>
  <conditionalFormatting sqref="A2363">
    <cfRule type="duplicateValues" dxfId="9" priority="577"/>
  </conditionalFormatting>
  <conditionalFormatting sqref="A2364">
    <cfRule type="duplicateValues" dxfId="9" priority="576"/>
  </conditionalFormatting>
  <conditionalFormatting sqref="A2365">
    <cfRule type="duplicateValues" dxfId="9" priority="575"/>
  </conditionalFormatting>
  <conditionalFormatting sqref="A2366">
    <cfRule type="duplicateValues" dxfId="9" priority="574"/>
  </conditionalFormatting>
  <conditionalFormatting sqref="A2367">
    <cfRule type="duplicateValues" dxfId="9" priority="573"/>
  </conditionalFormatting>
  <conditionalFormatting sqref="A2368">
    <cfRule type="duplicateValues" dxfId="9" priority="572"/>
  </conditionalFormatting>
  <conditionalFormatting sqref="A2369">
    <cfRule type="duplicateValues" dxfId="9" priority="571"/>
  </conditionalFormatting>
  <conditionalFormatting sqref="A2370">
    <cfRule type="duplicateValues" dxfId="9" priority="570"/>
  </conditionalFormatting>
  <conditionalFormatting sqref="A2371">
    <cfRule type="duplicateValues" dxfId="9" priority="569"/>
  </conditionalFormatting>
  <conditionalFormatting sqref="A2372">
    <cfRule type="duplicateValues" dxfId="9" priority="568"/>
  </conditionalFormatting>
  <conditionalFormatting sqref="A2373">
    <cfRule type="duplicateValues" dxfId="9" priority="567"/>
  </conditionalFormatting>
  <conditionalFormatting sqref="A2374">
    <cfRule type="duplicateValues" dxfId="9" priority="566"/>
  </conditionalFormatting>
  <conditionalFormatting sqref="A2375">
    <cfRule type="duplicateValues" dxfId="9" priority="565"/>
  </conditionalFormatting>
  <conditionalFormatting sqref="A2376">
    <cfRule type="duplicateValues" dxfId="9" priority="564"/>
  </conditionalFormatting>
  <conditionalFormatting sqref="A2377">
    <cfRule type="duplicateValues" dxfId="9" priority="563"/>
  </conditionalFormatting>
  <conditionalFormatting sqref="A2378">
    <cfRule type="duplicateValues" dxfId="9" priority="562"/>
  </conditionalFormatting>
  <conditionalFormatting sqref="A2379">
    <cfRule type="duplicateValues" dxfId="9" priority="561"/>
  </conditionalFormatting>
  <conditionalFormatting sqref="A2380">
    <cfRule type="duplicateValues" dxfId="9" priority="560"/>
  </conditionalFormatting>
  <conditionalFormatting sqref="A2381">
    <cfRule type="duplicateValues" dxfId="9" priority="559"/>
  </conditionalFormatting>
  <conditionalFormatting sqref="A2382">
    <cfRule type="duplicateValues" dxfId="9" priority="558"/>
  </conditionalFormatting>
  <conditionalFormatting sqref="A2383">
    <cfRule type="duplicateValues" dxfId="9" priority="557"/>
  </conditionalFormatting>
  <conditionalFormatting sqref="A2384">
    <cfRule type="duplicateValues" dxfId="9" priority="556"/>
  </conditionalFormatting>
  <conditionalFormatting sqref="A2385">
    <cfRule type="duplicateValues" dxfId="9" priority="555"/>
  </conditionalFormatting>
  <conditionalFormatting sqref="A2386">
    <cfRule type="duplicateValues" dxfId="9" priority="554"/>
  </conditionalFormatting>
  <conditionalFormatting sqref="A2388">
    <cfRule type="duplicateValues" dxfId="9" priority="59"/>
  </conditionalFormatting>
  <conditionalFormatting sqref="A2389">
    <cfRule type="duplicateValues" dxfId="9" priority="58"/>
  </conditionalFormatting>
  <conditionalFormatting sqref="A2390">
    <cfRule type="duplicateValues" dxfId="9" priority="57"/>
  </conditionalFormatting>
  <conditionalFormatting sqref="A2391">
    <cfRule type="duplicateValues" dxfId="9" priority="56"/>
  </conditionalFormatting>
  <conditionalFormatting sqref="A2392">
    <cfRule type="duplicateValues" dxfId="9" priority="55"/>
  </conditionalFormatting>
  <conditionalFormatting sqref="A2393">
    <cfRule type="duplicateValues" dxfId="9" priority="54"/>
  </conditionalFormatting>
  <conditionalFormatting sqref="A2394">
    <cfRule type="duplicateValues" dxfId="9" priority="53"/>
  </conditionalFormatting>
  <conditionalFormatting sqref="A2395">
    <cfRule type="duplicateValues" dxfId="9" priority="52"/>
  </conditionalFormatting>
  <conditionalFormatting sqref="A2396">
    <cfRule type="duplicateValues" dxfId="9" priority="51"/>
  </conditionalFormatting>
  <conditionalFormatting sqref="A2397">
    <cfRule type="duplicateValues" dxfId="9" priority="50"/>
  </conditionalFormatting>
  <conditionalFormatting sqref="A2398">
    <cfRule type="duplicateValues" dxfId="9" priority="49"/>
  </conditionalFormatting>
  <conditionalFormatting sqref="A2399">
    <cfRule type="duplicateValues" dxfId="9" priority="48"/>
  </conditionalFormatting>
  <conditionalFormatting sqref="A2400">
    <cfRule type="duplicateValues" dxfId="9" priority="47"/>
  </conditionalFormatting>
  <conditionalFormatting sqref="A2401">
    <cfRule type="duplicateValues" dxfId="9" priority="46"/>
  </conditionalFormatting>
  <conditionalFormatting sqref="A2402">
    <cfRule type="duplicateValues" dxfId="9" priority="45"/>
  </conditionalFormatting>
  <conditionalFormatting sqref="A2403">
    <cfRule type="duplicateValues" dxfId="9" priority="44"/>
  </conditionalFormatting>
  <conditionalFormatting sqref="A2404">
    <cfRule type="duplicateValues" dxfId="9" priority="43"/>
  </conditionalFormatting>
  <conditionalFormatting sqref="A2405">
    <cfRule type="duplicateValues" dxfId="9" priority="42"/>
  </conditionalFormatting>
  <conditionalFormatting sqref="A2406">
    <cfRule type="duplicateValues" dxfId="9" priority="41"/>
  </conditionalFormatting>
  <conditionalFormatting sqref="A2407">
    <cfRule type="duplicateValues" dxfId="9" priority="40"/>
  </conditionalFormatting>
  <conditionalFormatting sqref="A2408">
    <cfRule type="duplicateValues" dxfId="9" priority="39"/>
  </conditionalFormatting>
  <conditionalFormatting sqref="A2409">
    <cfRule type="duplicateValues" dxfId="9" priority="38"/>
  </conditionalFormatting>
  <conditionalFormatting sqref="A2410">
    <cfRule type="duplicateValues" dxfId="9" priority="37"/>
  </conditionalFormatting>
  <conditionalFormatting sqref="A2411">
    <cfRule type="duplicateValues" dxfId="9" priority="36"/>
  </conditionalFormatting>
  <conditionalFormatting sqref="A2412">
    <cfRule type="duplicateValues" dxfId="9" priority="35"/>
  </conditionalFormatting>
  <conditionalFormatting sqref="A2413">
    <cfRule type="duplicateValues" dxfId="9" priority="34"/>
  </conditionalFormatting>
  <conditionalFormatting sqref="A2414">
    <cfRule type="duplicateValues" dxfId="9" priority="33"/>
  </conditionalFormatting>
  <conditionalFormatting sqref="A2415">
    <cfRule type="duplicateValues" dxfId="9" priority="32"/>
  </conditionalFormatting>
  <conditionalFormatting sqref="A2416">
    <cfRule type="duplicateValues" dxfId="9" priority="31"/>
  </conditionalFormatting>
  <conditionalFormatting sqref="A2418">
    <cfRule type="duplicateValues" dxfId="9" priority="30"/>
  </conditionalFormatting>
  <conditionalFormatting sqref="A2419">
    <cfRule type="duplicateValues" dxfId="9" priority="29"/>
  </conditionalFormatting>
  <conditionalFormatting sqref="A2420">
    <cfRule type="duplicateValues" dxfId="9" priority="28"/>
  </conditionalFormatting>
  <conditionalFormatting sqref="A2421">
    <cfRule type="duplicateValues" dxfId="9" priority="27"/>
  </conditionalFormatting>
  <conditionalFormatting sqref="A2422">
    <cfRule type="duplicateValues" dxfId="9" priority="26"/>
  </conditionalFormatting>
  <conditionalFormatting sqref="A2423">
    <cfRule type="duplicateValues" dxfId="9" priority="25"/>
  </conditionalFormatting>
  <conditionalFormatting sqref="A2424">
    <cfRule type="duplicateValues" dxfId="9" priority="24"/>
  </conditionalFormatting>
  <conditionalFormatting sqref="A2425">
    <cfRule type="duplicateValues" dxfId="9" priority="23"/>
  </conditionalFormatting>
  <conditionalFormatting sqref="A2426">
    <cfRule type="duplicateValues" dxfId="9" priority="22"/>
  </conditionalFormatting>
  <conditionalFormatting sqref="A2427">
    <cfRule type="duplicateValues" dxfId="9" priority="21"/>
  </conditionalFormatting>
  <conditionalFormatting sqref="A2428">
    <cfRule type="duplicateValues" dxfId="9" priority="20"/>
  </conditionalFormatting>
  <conditionalFormatting sqref="A2429">
    <cfRule type="duplicateValues" dxfId="9" priority="19"/>
  </conditionalFormatting>
  <conditionalFormatting sqref="A2430">
    <cfRule type="duplicateValues" dxfId="9" priority="18"/>
  </conditionalFormatting>
  <conditionalFormatting sqref="A2431">
    <cfRule type="duplicateValues" dxfId="9" priority="17"/>
  </conditionalFormatting>
  <conditionalFormatting sqref="A2432">
    <cfRule type="duplicateValues" dxfId="9" priority="16"/>
  </conditionalFormatting>
  <conditionalFormatting sqref="A2433">
    <cfRule type="duplicateValues" dxfId="9" priority="15"/>
  </conditionalFormatting>
  <conditionalFormatting sqref="A2434">
    <cfRule type="duplicateValues" dxfId="9" priority="14"/>
  </conditionalFormatting>
  <conditionalFormatting sqref="A2435">
    <cfRule type="duplicateValues" dxfId="9" priority="13"/>
  </conditionalFormatting>
  <conditionalFormatting sqref="A2436">
    <cfRule type="duplicateValues" dxfId="9" priority="12"/>
  </conditionalFormatting>
  <conditionalFormatting sqref="A2437">
    <cfRule type="duplicateValues" dxfId="9" priority="11"/>
  </conditionalFormatting>
  <conditionalFormatting sqref="A2438">
    <cfRule type="duplicateValues" dxfId="9" priority="10"/>
  </conditionalFormatting>
  <conditionalFormatting sqref="A2439">
    <cfRule type="duplicateValues" dxfId="9" priority="9"/>
  </conditionalFormatting>
  <conditionalFormatting sqref="A2440">
    <cfRule type="duplicateValues" dxfId="9" priority="8"/>
  </conditionalFormatting>
  <conditionalFormatting sqref="A2441">
    <cfRule type="duplicateValues" dxfId="9" priority="7"/>
  </conditionalFormatting>
  <conditionalFormatting sqref="A2442">
    <cfRule type="duplicateValues" dxfId="9" priority="6"/>
  </conditionalFormatting>
  <conditionalFormatting sqref="A2443">
    <cfRule type="duplicateValues" dxfId="9" priority="5"/>
  </conditionalFormatting>
  <conditionalFormatting sqref="A2444">
    <cfRule type="duplicateValues" dxfId="9" priority="4"/>
  </conditionalFormatting>
  <conditionalFormatting sqref="A2445">
    <cfRule type="duplicateValues" dxfId="9" priority="3"/>
  </conditionalFormatting>
  <conditionalFormatting sqref="A2446">
    <cfRule type="duplicateValues" dxfId="9" priority="2"/>
  </conditionalFormatting>
  <conditionalFormatting sqref="B2456">
    <cfRule type="duplicateValues" dxfId="9" priority="2411"/>
  </conditionalFormatting>
  <conditionalFormatting sqref="A11:A25">
    <cfRule type="duplicateValues" dxfId="9" priority="2405"/>
  </conditionalFormatting>
  <conditionalFormatting sqref="A725:A755">
    <cfRule type="duplicateValues" dxfId="9" priority="524"/>
  </conditionalFormatting>
  <conditionalFormatting sqref="A1450:A1451">
    <cfRule type="duplicateValues" dxfId="9" priority="176"/>
  </conditionalFormatting>
  <conditionalFormatting sqref="A2086:A2117">
    <cfRule type="duplicateValues" dxfId="9" priority="394"/>
  </conditionalFormatting>
  <conditionalFormatting sqref="B2454:B2455">
    <cfRule type="duplicateValues" dxfId="9" priority="2412"/>
  </conditionalFormatting>
  <conditionalFormatting sqref="A1:A6 A2459:A1048576">
    <cfRule type="duplicateValues" dxfId="9" priority="2415"/>
  </conditionalFormatting>
  <conditionalFormatting sqref="B1:B5 B2459:B1048576">
    <cfRule type="duplicateValues" dxfId="9" priority="2414"/>
  </conditionalFormatting>
  <conditionalFormatting sqref="A36 A66 A186 A96 A156 A486 A606 A821 A786:A790 A881 A1031 A1181 A1271 A1121 A1391 A1421 A1001 A1061 A1481 A1511 A1541:A1546 A1607 A1727 A1907 A1757 A2237 A2387 A2417 A2447:A2458">
    <cfRule type="duplicateValues" dxfId="9" priority="2404"/>
  </conditionalFormatting>
  <conditionalFormatting sqref="A143 A155 A152 A149 A146">
    <cfRule type="duplicateValues" dxfId="9" priority="2319"/>
  </conditionalFormatting>
  <conditionalFormatting sqref="A144 A153 A150 A147">
    <cfRule type="duplicateValues" dxfId="9" priority="2318"/>
  </conditionalFormatting>
  <conditionalFormatting sqref="A145 A154 A151 A148">
    <cfRule type="duplicateValues" dxfId="9" priority="2317"/>
  </conditionalFormatting>
  <conditionalFormatting sqref="B2450:B2451 B2453">
    <cfRule type="duplicateValues" dxfId="9" priority="2413"/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AL961"/>
  <sheetViews>
    <sheetView workbookViewId="0">
      <selection activeCell="J20" sqref="J20"/>
    </sheetView>
  </sheetViews>
  <sheetFormatPr defaultColWidth="9" defaultRowHeight="13.85"/>
  <cols>
    <col min="2" max="2" width="31" customWidth="1"/>
    <col min="9" max="9" width="15" customWidth="1"/>
    <col min="10" max="10" width="14.1238938053097"/>
    <col min="15" max="15" width="12.8761061946903" customWidth="1"/>
    <col min="16" max="16" width="12.6283185840708"/>
    <col min="22" max="22" width="9.3716814159292"/>
  </cols>
  <sheetData>
    <row r="1" ht="15" spans="1:38">
      <c r="A1" t="s">
        <v>1082</v>
      </c>
      <c r="B1" t="s">
        <v>1083</v>
      </c>
      <c r="C1" t="s">
        <v>1084</v>
      </c>
      <c r="H1" t="s">
        <v>1085</v>
      </c>
      <c r="I1" s="22" t="s">
        <v>1086</v>
      </c>
      <c r="J1" s="22" t="s">
        <v>1087</v>
      </c>
      <c r="K1" s="22" t="s">
        <v>1088</v>
      </c>
      <c r="L1" s="22" t="s">
        <v>1089</v>
      </c>
      <c r="N1" t="s">
        <v>997</v>
      </c>
      <c r="O1" t="s">
        <v>1090</v>
      </c>
      <c r="P1" t="s">
        <v>1091</v>
      </c>
      <c r="Q1" t="s">
        <v>1090</v>
      </c>
      <c r="R1" t="s">
        <v>1090</v>
      </c>
      <c r="U1" t="s">
        <v>997</v>
      </c>
      <c r="V1" t="s">
        <v>1092</v>
      </c>
      <c r="Y1" t="s">
        <v>997</v>
      </c>
      <c r="Z1" t="s">
        <v>998</v>
      </c>
      <c r="AA1" t="s">
        <v>1093</v>
      </c>
      <c r="AB1" t="s">
        <v>1094</v>
      </c>
      <c r="AC1" t="s">
        <v>1095</v>
      </c>
      <c r="AD1" t="s">
        <v>1096</v>
      </c>
      <c r="AE1" t="s">
        <v>1097</v>
      </c>
      <c r="AI1" t="s">
        <v>1098</v>
      </c>
      <c r="AJ1" t="s">
        <v>1099</v>
      </c>
      <c r="AK1" t="s">
        <v>1100</v>
      </c>
      <c r="AL1" t="s">
        <v>1101</v>
      </c>
    </row>
    <row r="2" ht="15" spans="1:31">
      <c r="A2">
        <v>0</v>
      </c>
      <c r="B2" t="s">
        <v>1102</v>
      </c>
      <c r="C2">
        <v>0</v>
      </c>
      <c r="H2" s="22">
        <v>1</v>
      </c>
      <c r="I2">
        <v>6.27</v>
      </c>
      <c r="J2">
        <v>9.5</v>
      </c>
      <c r="K2">
        <v>15.2</v>
      </c>
      <c r="L2">
        <v>22.8</v>
      </c>
      <c r="M2">
        <v>11</v>
      </c>
      <c r="N2">
        <v>1</v>
      </c>
      <c r="O2">
        <f>I2</f>
        <v>6.27</v>
      </c>
      <c r="P2">
        <f>I12</f>
        <v>0.209</v>
      </c>
      <c r="U2">
        <v>1</v>
      </c>
      <c r="V2">
        <f>W2*10000</f>
        <v>75900</v>
      </c>
      <c r="W2">
        <v>7.59</v>
      </c>
      <c r="Y2">
        <v>1</v>
      </c>
      <c r="Z2">
        <v>1</v>
      </c>
      <c r="AA2">
        <v>1</v>
      </c>
      <c r="AB2">
        <f>Y2*1000+Z2*100+AA2</f>
        <v>1101</v>
      </c>
      <c r="AC2">
        <f>AI4</f>
        <v>18</v>
      </c>
      <c r="AD2">
        <f>AC2</f>
        <v>18</v>
      </c>
      <c r="AE2" s="17">
        <v>500</v>
      </c>
    </row>
    <row r="3" ht="15" spans="1:38">
      <c r="A3">
        <v>1</v>
      </c>
      <c r="B3" t="s">
        <v>1103</v>
      </c>
      <c r="C3">
        <v>3</v>
      </c>
      <c r="H3" s="22">
        <v>2</v>
      </c>
      <c r="I3">
        <v>6.93</v>
      </c>
      <c r="J3">
        <v>10.5</v>
      </c>
      <c r="K3">
        <v>16.8</v>
      </c>
      <c r="L3">
        <v>25.2</v>
      </c>
      <c r="M3">
        <v>21</v>
      </c>
      <c r="N3">
        <v>2</v>
      </c>
      <c r="O3">
        <f t="shared" ref="O3:O8" si="0">I3</f>
        <v>6.93</v>
      </c>
      <c r="P3">
        <v>0.561</v>
      </c>
      <c r="U3">
        <v>2</v>
      </c>
      <c r="V3">
        <f t="shared" ref="V3:V8" si="1">W3*10000</f>
        <v>126225</v>
      </c>
      <c r="W3">
        <v>12.6225</v>
      </c>
      <c r="Y3">
        <v>1</v>
      </c>
      <c r="Z3">
        <v>1</v>
      </c>
      <c r="AA3">
        <v>2</v>
      </c>
      <c r="AB3">
        <f t="shared" ref="AB3:AB66" si="2">Y3*1000+Z3*100+AA3</f>
        <v>1102</v>
      </c>
      <c r="AC3">
        <f>AC2</f>
        <v>18</v>
      </c>
      <c r="AD3">
        <f>AD2+AC3</f>
        <v>36</v>
      </c>
      <c r="AE3" s="78">
        <v>700</v>
      </c>
      <c r="AH3" t="s">
        <v>1104</v>
      </c>
      <c r="AI3" t="s">
        <v>1105</v>
      </c>
      <c r="AJ3" t="s">
        <v>1105</v>
      </c>
      <c r="AK3" t="s">
        <v>1105</v>
      </c>
      <c r="AL3" t="s">
        <v>1105</v>
      </c>
    </row>
    <row r="4" ht="15" spans="1:38">
      <c r="A4">
        <v>2</v>
      </c>
      <c r="B4" t="s">
        <v>1106</v>
      </c>
      <c r="C4">
        <v>3</v>
      </c>
      <c r="H4" s="22">
        <v>3</v>
      </c>
      <c r="I4">
        <v>9.4743</v>
      </c>
      <c r="J4">
        <v>14.355</v>
      </c>
      <c r="K4">
        <v>22.968</v>
      </c>
      <c r="L4">
        <v>34.452</v>
      </c>
      <c r="M4">
        <v>31</v>
      </c>
      <c r="N4">
        <v>3</v>
      </c>
      <c r="O4">
        <f t="shared" si="0"/>
        <v>9.4743</v>
      </c>
      <c r="P4">
        <v>1.177</v>
      </c>
      <c r="U4">
        <v>3</v>
      </c>
      <c r="V4">
        <f t="shared" si="1"/>
        <v>234811.5</v>
      </c>
      <c r="W4">
        <v>23.48115</v>
      </c>
      <c r="Y4">
        <v>1</v>
      </c>
      <c r="Z4">
        <v>1</v>
      </c>
      <c r="AA4">
        <v>3</v>
      </c>
      <c r="AB4">
        <f t="shared" si="2"/>
        <v>1103</v>
      </c>
      <c r="AC4">
        <f t="shared" ref="AC4:AC67" si="3">AC3</f>
        <v>18</v>
      </c>
      <c r="AD4">
        <f t="shared" ref="AD4:AD31" si="4">AD3+AC4</f>
        <v>54</v>
      </c>
      <c r="AE4" s="78">
        <v>900</v>
      </c>
      <c r="AG4">
        <v>1</v>
      </c>
      <c r="AH4">
        <v>1</v>
      </c>
      <c r="AI4">
        <v>18</v>
      </c>
      <c r="AJ4">
        <v>36</v>
      </c>
      <c r="AK4">
        <v>91</v>
      </c>
      <c r="AL4">
        <v>152</v>
      </c>
    </row>
    <row r="5" ht="15" spans="1:38">
      <c r="A5">
        <v>3</v>
      </c>
      <c r="B5" t="s">
        <v>1107</v>
      </c>
      <c r="C5">
        <v>3</v>
      </c>
      <c r="H5" s="22">
        <v>4</v>
      </c>
      <c r="I5">
        <v>14.6025</v>
      </c>
      <c r="J5">
        <v>22.125</v>
      </c>
      <c r="K5">
        <v>35.4</v>
      </c>
      <c r="L5">
        <v>53.1</v>
      </c>
      <c r="M5">
        <v>41</v>
      </c>
      <c r="N5">
        <v>4</v>
      </c>
      <c r="O5">
        <f t="shared" si="0"/>
        <v>14.6025</v>
      </c>
      <c r="P5">
        <v>2.409</v>
      </c>
      <c r="U5">
        <v>4</v>
      </c>
      <c r="V5">
        <f t="shared" si="1"/>
        <v>451687.5</v>
      </c>
      <c r="W5">
        <v>45.16875</v>
      </c>
      <c r="Y5">
        <v>1</v>
      </c>
      <c r="Z5">
        <v>1</v>
      </c>
      <c r="AA5">
        <v>4</v>
      </c>
      <c r="AB5">
        <f t="shared" si="2"/>
        <v>1104</v>
      </c>
      <c r="AC5">
        <f t="shared" si="3"/>
        <v>18</v>
      </c>
      <c r="AD5">
        <f t="shared" si="4"/>
        <v>72</v>
      </c>
      <c r="AE5" s="78">
        <v>1100</v>
      </c>
      <c r="AG5">
        <v>1</v>
      </c>
      <c r="AH5">
        <v>1.5</v>
      </c>
      <c r="AI5">
        <v>27</v>
      </c>
      <c r="AJ5">
        <v>55</v>
      </c>
      <c r="AK5">
        <v>137</v>
      </c>
      <c r="AL5">
        <v>228</v>
      </c>
    </row>
    <row r="6" ht="15" spans="1:38">
      <c r="A6">
        <v>4</v>
      </c>
      <c r="B6" t="s">
        <v>1108</v>
      </c>
      <c r="C6">
        <v>3</v>
      </c>
      <c r="H6" s="22">
        <v>5</v>
      </c>
      <c r="I6">
        <v>25.9182</v>
      </c>
      <c r="J6">
        <v>39.27</v>
      </c>
      <c r="K6">
        <v>62.832</v>
      </c>
      <c r="L6">
        <v>94.248</v>
      </c>
      <c r="M6">
        <v>51</v>
      </c>
      <c r="N6">
        <v>5</v>
      </c>
      <c r="O6">
        <f t="shared" si="0"/>
        <v>25.9182</v>
      </c>
      <c r="U6">
        <v>5</v>
      </c>
      <c r="V6">
        <f t="shared" si="1"/>
        <v>840592.5</v>
      </c>
      <c r="W6">
        <v>84.05925</v>
      </c>
      <c r="Y6">
        <v>1</v>
      </c>
      <c r="Z6">
        <v>1</v>
      </c>
      <c r="AA6">
        <v>5</v>
      </c>
      <c r="AB6">
        <f t="shared" si="2"/>
        <v>1105</v>
      </c>
      <c r="AC6">
        <f t="shared" si="3"/>
        <v>18</v>
      </c>
      <c r="AD6">
        <f t="shared" si="4"/>
        <v>90</v>
      </c>
      <c r="AE6" s="78">
        <v>1300</v>
      </c>
      <c r="AG6">
        <v>1</v>
      </c>
      <c r="AH6">
        <v>2</v>
      </c>
      <c r="AI6">
        <v>36</v>
      </c>
      <c r="AJ6">
        <v>73</v>
      </c>
      <c r="AK6">
        <v>182</v>
      </c>
      <c r="AL6">
        <v>303</v>
      </c>
    </row>
    <row r="7" ht="15" spans="1:31">
      <c r="A7">
        <v>5</v>
      </c>
      <c r="B7" t="s">
        <v>1109</v>
      </c>
      <c r="C7">
        <v>6</v>
      </c>
      <c r="H7" s="22">
        <v>6</v>
      </c>
      <c r="I7">
        <v>47.322</v>
      </c>
      <c r="J7">
        <v>71.7</v>
      </c>
      <c r="K7">
        <v>114.72</v>
      </c>
      <c r="L7">
        <v>172.08</v>
      </c>
      <c r="M7">
        <v>61</v>
      </c>
      <c r="N7">
        <v>6</v>
      </c>
      <c r="O7">
        <f t="shared" si="0"/>
        <v>47.322</v>
      </c>
      <c r="U7">
        <v>6</v>
      </c>
      <c r="V7">
        <f t="shared" si="1"/>
        <v>1587762</v>
      </c>
      <c r="W7">
        <v>158.7762</v>
      </c>
      <c r="Y7">
        <v>1</v>
      </c>
      <c r="Z7">
        <v>1</v>
      </c>
      <c r="AA7">
        <v>6</v>
      </c>
      <c r="AB7">
        <f t="shared" si="2"/>
        <v>1106</v>
      </c>
      <c r="AC7">
        <f t="shared" si="3"/>
        <v>18</v>
      </c>
      <c r="AD7">
        <f t="shared" si="4"/>
        <v>108</v>
      </c>
      <c r="AE7" s="78">
        <v>1500</v>
      </c>
    </row>
    <row r="8" ht="15" spans="1:31">
      <c r="A8">
        <v>6</v>
      </c>
      <c r="B8" t="s">
        <v>1110</v>
      </c>
      <c r="C8">
        <v>6</v>
      </c>
      <c r="H8" s="22">
        <v>7</v>
      </c>
      <c r="I8">
        <v>94.842</v>
      </c>
      <c r="J8">
        <v>143.7</v>
      </c>
      <c r="K8">
        <v>229.92</v>
      </c>
      <c r="L8">
        <v>344.88</v>
      </c>
      <c r="M8">
        <v>71</v>
      </c>
      <c r="N8">
        <v>7</v>
      </c>
      <c r="O8">
        <f t="shared" si="0"/>
        <v>94.842</v>
      </c>
      <c r="U8">
        <v>7</v>
      </c>
      <c r="V8">
        <f t="shared" si="1"/>
        <v>3125463</v>
      </c>
      <c r="W8">
        <v>312.5463</v>
      </c>
      <c r="Y8">
        <v>1</v>
      </c>
      <c r="Z8">
        <v>1</v>
      </c>
      <c r="AA8">
        <v>7</v>
      </c>
      <c r="AB8">
        <f t="shared" si="2"/>
        <v>1107</v>
      </c>
      <c r="AC8">
        <f t="shared" si="3"/>
        <v>18</v>
      </c>
      <c r="AD8">
        <f t="shared" si="4"/>
        <v>126</v>
      </c>
      <c r="AE8" s="78">
        <v>1700</v>
      </c>
    </row>
    <row r="9" ht="15" spans="1:38">
      <c r="A9">
        <v>7</v>
      </c>
      <c r="B9" t="s">
        <v>1111</v>
      </c>
      <c r="C9">
        <v>6</v>
      </c>
      <c r="M9">
        <f>M2+1</f>
        <v>12</v>
      </c>
      <c r="N9">
        <v>1</v>
      </c>
      <c r="O9">
        <f>J2</f>
        <v>9.5</v>
      </c>
      <c r="P9">
        <f>J12</f>
        <v>0.316666666666667</v>
      </c>
      <c r="Y9">
        <v>1</v>
      </c>
      <c r="Z9">
        <v>1</v>
      </c>
      <c r="AA9">
        <v>8</v>
      </c>
      <c r="AB9">
        <f t="shared" si="2"/>
        <v>1108</v>
      </c>
      <c r="AC9">
        <f t="shared" si="3"/>
        <v>18</v>
      </c>
      <c r="AD9">
        <f t="shared" si="4"/>
        <v>144</v>
      </c>
      <c r="AE9" s="78">
        <v>1900</v>
      </c>
      <c r="AG9">
        <v>2</v>
      </c>
      <c r="AH9">
        <v>1</v>
      </c>
      <c r="AI9">
        <v>42</v>
      </c>
      <c r="AJ9">
        <v>85</v>
      </c>
      <c r="AK9">
        <v>211</v>
      </c>
      <c r="AL9">
        <v>352</v>
      </c>
    </row>
    <row r="10" ht="15" spans="1:38">
      <c r="A10">
        <v>8</v>
      </c>
      <c r="B10" t="s">
        <v>1112</v>
      </c>
      <c r="C10">
        <v>3</v>
      </c>
      <c r="M10">
        <f t="shared" ref="M10:M29" si="5">M3+1</f>
        <v>22</v>
      </c>
      <c r="N10">
        <v>2</v>
      </c>
      <c r="O10">
        <f t="shared" ref="O10:O15" si="6">J3</f>
        <v>10.5</v>
      </c>
      <c r="P10">
        <v>0.85</v>
      </c>
      <c r="Y10">
        <v>1</v>
      </c>
      <c r="Z10">
        <v>1</v>
      </c>
      <c r="AA10">
        <v>9</v>
      </c>
      <c r="AB10">
        <f t="shared" si="2"/>
        <v>1109</v>
      </c>
      <c r="AC10">
        <f t="shared" si="3"/>
        <v>18</v>
      </c>
      <c r="AD10">
        <f t="shared" si="4"/>
        <v>162</v>
      </c>
      <c r="AE10" s="78">
        <v>2100</v>
      </c>
      <c r="AG10">
        <v>2</v>
      </c>
      <c r="AH10">
        <v>1.5</v>
      </c>
      <c r="AI10">
        <v>63</v>
      </c>
      <c r="AJ10">
        <v>127</v>
      </c>
      <c r="AK10">
        <v>317</v>
      </c>
      <c r="AL10">
        <v>529</v>
      </c>
    </row>
    <row r="11" ht="15" spans="1:38">
      <c r="A11">
        <v>9</v>
      </c>
      <c r="B11" t="s">
        <v>1113</v>
      </c>
      <c r="C11">
        <v>6</v>
      </c>
      <c r="H11" t="s">
        <v>1114</v>
      </c>
      <c r="I11" s="22" t="s">
        <v>1086</v>
      </c>
      <c r="J11" s="22" t="s">
        <v>1087</v>
      </c>
      <c r="K11" s="22" t="s">
        <v>1088</v>
      </c>
      <c r="L11" s="22" t="s">
        <v>1089</v>
      </c>
      <c r="M11">
        <f t="shared" si="5"/>
        <v>32</v>
      </c>
      <c r="N11">
        <v>3</v>
      </c>
      <c r="O11">
        <f t="shared" si="6"/>
        <v>14.355</v>
      </c>
      <c r="P11">
        <v>1.78333333333333</v>
      </c>
      <c r="Y11">
        <v>1</v>
      </c>
      <c r="Z11">
        <v>1</v>
      </c>
      <c r="AA11">
        <v>10</v>
      </c>
      <c r="AB11">
        <f t="shared" si="2"/>
        <v>1110</v>
      </c>
      <c r="AC11">
        <f t="shared" si="3"/>
        <v>18</v>
      </c>
      <c r="AD11">
        <f t="shared" si="4"/>
        <v>180</v>
      </c>
      <c r="AE11" s="78">
        <v>2300</v>
      </c>
      <c r="AG11">
        <v>2</v>
      </c>
      <c r="AH11">
        <v>2</v>
      </c>
      <c r="AI11">
        <v>85</v>
      </c>
      <c r="AJ11">
        <v>169</v>
      </c>
      <c r="AK11">
        <v>423</v>
      </c>
      <c r="AL11">
        <v>705</v>
      </c>
    </row>
    <row r="12" ht="15" spans="1:31">
      <c r="A12">
        <v>10</v>
      </c>
      <c r="B12" t="s">
        <v>1115</v>
      </c>
      <c r="C12">
        <v>3</v>
      </c>
      <c r="H12" s="22">
        <v>1</v>
      </c>
      <c r="I12" s="22">
        <v>0.209</v>
      </c>
      <c r="J12" s="22">
        <v>0.316666666666667</v>
      </c>
      <c r="K12" s="22">
        <v>0.506666666666667</v>
      </c>
      <c r="L12" s="22">
        <v>0.76</v>
      </c>
      <c r="M12">
        <f t="shared" si="5"/>
        <v>42</v>
      </c>
      <c r="N12">
        <v>4</v>
      </c>
      <c r="O12">
        <f t="shared" si="6"/>
        <v>22.125</v>
      </c>
      <c r="P12">
        <v>3.65</v>
      </c>
      <c r="Y12">
        <v>1</v>
      </c>
      <c r="Z12">
        <v>1</v>
      </c>
      <c r="AA12">
        <v>11</v>
      </c>
      <c r="AB12">
        <f t="shared" si="2"/>
        <v>1111</v>
      </c>
      <c r="AC12">
        <f>AI5</f>
        <v>27</v>
      </c>
      <c r="AD12">
        <f t="shared" si="4"/>
        <v>207</v>
      </c>
      <c r="AE12" s="78">
        <v>2700</v>
      </c>
    </row>
    <row r="13" ht="15" spans="1:31">
      <c r="A13">
        <v>11</v>
      </c>
      <c r="B13" t="s">
        <v>1116</v>
      </c>
      <c r="C13">
        <v>6</v>
      </c>
      <c r="H13" s="22">
        <v>2</v>
      </c>
      <c r="I13" s="22">
        <v>0.462</v>
      </c>
      <c r="J13" s="22">
        <v>0.7</v>
      </c>
      <c r="K13" s="22">
        <v>1.12</v>
      </c>
      <c r="L13" s="22">
        <v>1.68</v>
      </c>
      <c r="M13">
        <f t="shared" si="5"/>
        <v>52</v>
      </c>
      <c r="N13">
        <v>5</v>
      </c>
      <c r="O13">
        <f t="shared" si="6"/>
        <v>39.27</v>
      </c>
      <c r="Y13">
        <v>1</v>
      </c>
      <c r="Z13">
        <v>1</v>
      </c>
      <c r="AA13">
        <v>12</v>
      </c>
      <c r="AB13">
        <f t="shared" si="2"/>
        <v>1112</v>
      </c>
      <c r="AC13">
        <f t="shared" si="3"/>
        <v>27</v>
      </c>
      <c r="AD13">
        <f t="shared" si="4"/>
        <v>234</v>
      </c>
      <c r="AE13" s="78">
        <v>3100</v>
      </c>
    </row>
    <row r="14" ht="15" spans="1:38">
      <c r="A14">
        <v>12</v>
      </c>
      <c r="B14" t="s">
        <v>1117</v>
      </c>
      <c r="C14">
        <v>0</v>
      </c>
      <c r="H14" s="22">
        <v>3</v>
      </c>
      <c r="I14" s="22">
        <v>0.957</v>
      </c>
      <c r="J14" s="22">
        <v>1.45</v>
      </c>
      <c r="K14" s="22">
        <v>2.32</v>
      </c>
      <c r="L14" s="22">
        <v>3.48</v>
      </c>
      <c r="M14">
        <f t="shared" si="5"/>
        <v>62</v>
      </c>
      <c r="N14">
        <v>6</v>
      </c>
      <c r="O14">
        <f t="shared" si="6"/>
        <v>71.7</v>
      </c>
      <c r="Y14">
        <v>1</v>
      </c>
      <c r="Z14">
        <v>1</v>
      </c>
      <c r="AA14">
        <v>13</v>
      </c>
      <c r="AB14">
        <f t="shared" si="2"/>
        <v>1113</v>
      </c>
      <c r="AC14">
        <f t="shared" si="3"/>
        <v>27</v>
      </c>
      <c r="AD14">
        <f t="shared" si="4"/>
        <v>261</v>
      </c>
      <c r="AE14" s="78">
        <v>3500</v>
      </c>
      <c r="AG14">
        <v>3</v>
      </c>
      <c r="AH14">
        <v>1</v>
      </c>
      <c r="AI14">
        <v>100</v>
      </c>
      <c r="AJ14">
        <v>199</v>
      </c>
      <c r="AK14">
        <v>498</v>
      </c>
      <c r="AL14">
        <v>830</v>
      </c>
    </row>
    <row r="15" ht="15" spans="1:38">
      <c r="A15">
        <v>13</v>
      </c>
      <c r="B15" t="s">
        <v>1118</v>
      </c>
      <c r="C15">
        <v>6</v>
      </c>
      <c r="H15" s="22">
        <v>4</v>
      </c>
      <c r="I15" s="22">
        <v>1.947</v>
      </c>
      <c r="J15" s="22">
        <v>2.95</v>
      </c>
      <c r="K15" s="22">
        <v>4.72</v>
      </c>
      <c r="L15" s="22">
        <v>7.08</v>
      </c>
      <c r="M15">
        <f t="shared" si="5"/>
        <v>72</v>
      </c>
      <c r="N15">
        <v>7</v>
      </c>
      <c r="O15">
        <f t="shared" si="6"/>
        <v>143.7</v>
      </c>
      <c r="Y15">
        <v>1</v>
      </c>
      <c r="Z15">
        <v>1</v>
      </c>
      <c r="AA15">
        <v>14</v>
      </c>
      <c r="AB15">
        <f t="shared" si="2"/>
        <v>1114</v>
      </c>
      <c r="AC15">
        <f t="shared" si="3"/>
        <v>27</v>
      </c>
      <c r="AD15">
        <f t="shared" si="4"/>
        <v>288</v>
      </c>
      <c r="AE15" s="78">
        <v>3900</v>
      </c>
      <c r="AG15">
        <v>3</v>
      </c>
      <c r="AH15">
        <v>1.5</v>
      </c>
      <c r="AI15">
        <v>149</v>
      </c>
      <c r="AJ15">
        <v>299</v>
      </c>
      <c r="AK15">
        <v>747</v>
      </c>
      <c r="AL15">
        <v>1245</v>
      </c>
    </row>
    <row r="16" ht="15" spans="1:38">
      <c r="A16">
        <v>14</v>
      </c>
      <c r="B16" t="s">
        <v>1119</v>
      </c>
      <c r="C16">
        <v>3</v>
      </c>
      <c r="H16">
        <v>5</v>
      </c>
      <c r="I16">
        <v>3.927</v>
      </c>
      <c r="J16">
        <v>5.95</v>
      </c>
      <c r="K16">
        <v>9.52</v>
      </c>
      <c r="L16">
        <v>14.28</v>
      </c>
      <c r="M16">
        <f t="shared" si="5"/>
        <v>13</v>
      </c>
      <c r="N16">
        <v>1</v>
      </c>
      <c r="O16">
        <f>K2</f>
        <v>15.2</v>
      </c>
      <c r="P16">
        <f>K12</f>
        <v>0.506666666666667</v>
      </c>
      <c r="Y16">
        <v>1</v>
      </c>
      <c r="Z16">
        <v>1</v>
      </c>
      <c r="AA16">
        <v>15</v>
      </c>
      <c r="AB16">
        <f t="shared" si="2"/>
        <v>1115</v>
      </c>
      <c r="AC16">
        <f t="shared" si="3"/>
        <v>27</v>
      </c>
      <c r="AD16">
        <f t="shared" si="4"/>
        <v>315</v>
      </c>
      <c r="AE16" s="78">
        <v>4300</v>
      </c>
      <c r="AG16">
        <v>3</v>
      </c>
      <c r="AH16">
        <v>2</v>
      </c>
      <c r="AI16">
        <v>199</v>
      </c>
      <c r="AJ16">
        <v>398</v>
      </c>
      <c r="AK16">
        <v>996</v>
      </c>
      <c r="AL16">
        <v>1660</v>
      </c>
    </row>
    <row r="17" ht="15" spans="8:31">
      <c r="H17">
        <v>6</v>
      </c>
      <c r="I17">
        <v>7.887</v>
      </c>
      <c r="J17">
        <v>11.95</v>
      </c>
      <c r="K17">
        <v>19.12</v>
      </c>
      <c r="L17">
        <v>28.68</v>
      </c>
      <c r="M17">
        <f t="shared" si="5"/>
        <v>23</v>
      </c>
      <c r="N17">
        <v>2</v>
      </c>
      <c r="O17">
        <f t="shared" ref="O17:O22" si="7">K3</f>
        <v>16.8</v>
      </c>
      <c r="P17">
        <f>K13</f>
        <v>1.12</v>
      </c>
      <c r="Y17">
        <v>1</v>
      </c>
      <c r="Z17">
        <v>1</v>
      </c>
      <c r="AA17">
        <v>16</v>
      </c>
      <c r="AB17">
        <f t="shared" si="2"/>
        <v>1116</v>
      </c>
      <c r="AC17">
        <f t="shared" si="3"/>
        <v>27</v>
      </c>
      <c r="AD17">
        <f t="shared" si="4"/>
        <v>342</v>
      </c>
      <c r="AE17" s="78">
        <v>4700</v>
      </c>
    </row>
    <row r="18" ht="15" spans="8:31">
      <c r="H18">
        <v>7</v>
      </c>
      <c r="I18">
        <v>15.807</v>
      </c>
      <c r="J18">
        <v>23.95</v>
      </c>
      <c r="K18">
        <v>38.32</v>
      </c>
      <c r="L18">
        <v>57.48</v>
      </c>
      <c r="M18">
        <f t="shared" si="5"/>
        <v>33</v>
      </c>
      <c r="N18">
        <v>3</v>
      </c>
      <c r="O18">
        <f t="shared" si="7"/>
        <v>22.968</v>
      </c>
      <c r="P18">
        <f>K14</f>
        <v>2.32</v>
      </c>
      <c r="Y18">
        <v>1</v>
      </c>
      <c r="Z18">
        <v>1</v>
      </c>
      <c r="AA18">
        <v>17</v>
      </c>
      <c r="AB18">
        <f t="shared" si="2"/>
        <v>1117</v>
      </c>
      <c r="AC18">
        <f t="shared" si="3"/>
        <v>27</v>
      </c>
      <c r="AD18">
        <f t="shared" si="4"/>
        <v>369</v>
      </c>
      <c r="AE18" s="78">
        <v>5100</v>
      </c>
    </row>
    <row r="19" ht="15" spans="13:38">
      <c r="M19">
        <f t="shared" si="5"/>
        <v>43</v>
      </c>
      <c r="N19">
        <v>4</v>
      </c>
      <c r="O19">
        <f t="shared" si="7"/>
        <v>35.4</v>
      </c>
      <c r="P19">
        <f>K15</f>
        <v>4.72</v>
      </c>
      <c r="Y19">
        <v>1</v>
      </c>
      <c r="Z19">
        <v>1</v>
      </c>
      <c r="AA19">
        <v>18</v>
      </c>
      <c r="AB19">
        <f t="shared" si="2"/>
        <v>1118</v>
      </c>
      <c r="AC19">
        <f t="shared" si="3"/>
        <v>27</v>
      </c>
      <c r="AD19">
        <f t="shared" si="4"/>
        <v>396</v>
      </c>
      <c r="AE19" s="78">
        <v>5500</v>
      </c>
      <c r="AG19">
        <v>4</v>
      </c>
      <c r="AH19">
        <v>1</v>
      </c>
      <c r="AI19">
        <v>230</v>
      </c>
      <c r="AJ19">
        <v>460</v>
      </c>
      <c r="AK19">
        <v>1150</v>
      </c>
      <c r="AL19">
        <v>1917</v>
      </c>
    </row>
    <row r="20" ht="15" spans="13:38">
      <c r="M20">
        <f t="shared" si="5"/>
        <v>53</v>
      </c>
      <c r="N20">
        <v>5</v>
      </c>
      <c r="O20">
        <f t="shared" si="7"/>
        <v>62.832</v>
      </c>
      <c r="Y20">
        <v>1</v>
      </c>
      <c r="Z20">
        <v>1</v>
      </c>
      <c r="AA20">
        <v>19</v>
      </c>
      <c r="AB20">
        <f t="shared" si="2"/>
        <v>1119</v>
      </c>
      <c r="AC20">
        <f t="shared" si="3"/>
        <v>27</v>
      </c>
      <c r="AD20">
        <f t="shared" si="4"/>
        <v>423</v>
      </c>
      <c r="AE20" s="78">
        <v>5900</v>
      </c>
      <c r="AG20">
        <v>4</v>
      </c>
      <c r="AH20">
        <v>1.5</v>
      </c>
      <c r="AI20">
        <v>345</v>
      </c>
      <c r="AJ20">
        <v>690</v>
      </c>
      <c r="AK20">
        <v>1725</v>
      </c>
      <c r="AL20">
        <v>2876</v>
      </c>
    </row>
    <row r="21" ht="15" spans="13:38">
      <c r="M21">
        <f t="shared" si="5"/>
        <v>63</v>
      </c>
      <c r="N21">
        <v>6</v>
      </c>
      <c r="O21">
        <f t="shared" si="7"/>
        <v>114.72</v>
      </c>
      <c r="Y21">
        <v>1</v>
      </c>
      <c r="Z21">
        <v>1</v>
      </c>
      <c r="AA21">
        <v>20</v>
      </c>
      <c r="AB21">
        <f t="shared" si="2"/>
        <v>1120</v>
      </c>
      <c r="AC21">
        <f t="shared" si="3"/>
        <v>27</v>
      </c>
      <c r="AD21">
        <f t="shared" si="4"/>
        <v>450</v>
      </c>
      <c r="AE21" s="78">
        <v>6300</v>
      </c>
      <c r="AG21">
        <v>4</v>
      </c>
      <c r="AH21">
        <v>2</v>
      </c>
      <c r="AI21">
        <v>460</v>
      </c>
      <c r="AJ21">
        <v>920</v>
      </c>
      <c r="AK21">
        <v>2301</v>
      </c>
      <c r="AL21">
        <v>3834</v>
      </c>
    </row>
    <row r="22" ht="15" spans="13:31">
      <c r="M22">
        <f t="shared" si="5"/>
        <v>73</v>
      </c>
      <c r="N22">
        <v>7</v>
      </c>
      <c r="O22">
        <f t="shared" si="7"/>
        <v>229.92</v>
      </c>
      <c r="Y22">
        <v>1</v>
      </c>
      <c r="Z22">
        <v>1</v>
      </c>
      <c r="AA22">
        <v>21</v>
      </c>
      <c r="AB22">
        <f t="shared" si="2"/>
        <v>1121</v>
      </c>
      <c r="AC22">
        <f>AI6</f>
        <v>36</v>
      </c>
      <c r="AD22">
        <f t="shared" si="4"/>
        <v>486</v>
      </c>
      <c r="AE22" s="78">
        <v>7100</v>
      </c>
    </row>
    <row r="23" ht="15" spans="13:31">
      <c r="M23">
        <f t="shared" si="5"/>
        <v>14</v>
      </c>
      <c r="N23">
        <v>1</v>
      </c>
      <c r="O23">
        <f>L2</f>
        <v>22.8</v>
      </c>
      <c r="P23">
        <f>L12</f>
        <v>0.76</v>
      </c>
      <c r="Y23">
        <v>1</v>
      </c>
      <c r="Z23">
        <v>1</v>
      </c>
      <c r="AA23">
        <v>22</v>
      </c>
      <c r="AB23">
        <f t="shared" si="2"/>
        <v>1122</v>
      </c>
      <c r="AC23">
        <f t="shared" si="3"/>
        <v>36</v>
      </c>
      <c r="AD23">
        <f t="shared" si="4"/>
        <v>522</v>
      </c>
      <c r="AE23" s="78">
        <v>7900</v>
      </c>
    </row>
    <row r="24" ht="15" spans="13:31">
      <c r="M24">
        <f t="shared" si="5"/>
        <v>24</v>
      </c>
      <c r="N24">
        <v>2</v>
      </c>
      <c r="O24">
        <f t="shared" ref="O24:O29" si="8">L3</f>
        <v>25.2</v>
      </c>
      <c r="P24">
        <f>L13</f>
        <v>1.68</v>
      </c>
      <c r="Y24">
        <v>1</v>
      </c>
      <c r="Z24">
        <v>1</v>
      </c>
      <c r="AA24">
        <v>23</v>
      </c>
      <c r="AB24">
        <f t="shared" si="2"/>
        <v>1123</v>
      </c>
      <c r="AC24">
        <f t="shared" si="3"/>
        <v>36</v>
      </c>
      <c r="AD24">
        <f t="shared" si="4"/>
        <v>558</v>
      </c>
      <c r="AE24" s="78">
        <v>8700</v>
      </c>
    </row>
    <row r="25" ht="15" spans="13:31">
      <c r="M25">
        <f t="shared" si="5"/>
        <v>34</v>
      </c>
      <c r="N25">
        <v>3</v>
      </c>
      <c r="O25">
        <f t="shared" si="8"/>
        <v>34.452</v>
      </c>
      <c r="P25">
        <f>L14</f>
        <v>3.48</v>
      </c>
      <c r="Y25">
        <v>1</v>
      </c>
      <c r="Z25">
        <v>1</v>
      </c>
      <c r="AA25">
        <v>24</v>
      </c>
      <c r="AB25">
        <f t="shared" si="2"/>
        <v>1124</v>
      </c>
      <c r="AC25">
        <f t="shared" si="3"/>
        <v>36</v>
      </c>
      <c r="AD25">
        <f t="shared" si="4"/>
        <v>594</v>
      </c>
      <c r="AE25" s="78">
        <v>9500</v>
      </c>
    </row>
    <row r="26" ht="15" spans="13:31">
      <c r="M26">
        <f t="shared" si="5"/>
        <v>44</v>
      </c>
      <c r="N26">
        <v>4</v>
      </c>
      <c r="O26">
        <f t="shared" si="8"/>
        <v>53.1</v>
      </c>
      <c r="P26">
        <f>L15</f>
        <v>7.08</v>
      </c>
      <c r="Y26">
        <v>1</v>
      </c>
      <c r="Z26">
        <v>1</v>
      </c>
      <c r="AA26">
        <v>25</v>
      </c>
      <c r="AB26">
        <f t="shared" si="2"/>
        <v>1125</v>
      </c>
      <c r="AC26">
        <f t="shared" si="3"/>
        <v>36</v>
      </c>
      <c r="AD26">
        <f t="shared" si="4"/>
        <v>630</v>
      </c>
      <c r="AE26" s="78">
        <v>10300</v>
      </c>
    </row>
    <row r="27" ht="15" spans="13:31">
      <c r="M27">
        <f t="shared" si="5"/>
        <v>54</v>
      </c>
      <c r="N27">
        <v>5</v>
      </c>
      <c r="O27">
        <f t="shared" si="8"/>
        <v>94.248</v>
      </c>
      <c r="Y27">
        <v>1</v>
      </c>
      <c r="Z27">
        <v>1</v>
      </c>
      <c r="AA27">
        <v>26</v>
      </c>
      <c r="AB27">
        <f t="shared" si="2"/>
        <v>1126</v>
      </c>
      <c r="AC27">
        <f t="shared" si="3"/>
        <v>36</v>
      </c>
      <c r="AD27">
        <f t="shared" si="4"/>
        <v>666</v>
      </c>
      <c r="AE27" s="78">
        <v>11100</v>
      </c>
    </row>
    <row r="28" ht="15" spans="13:31">
      <c r="M28">
        <f t="shared" si="5"/>
        <v>64</v>
      </c>
      <c r="N28">
        <v>6</v>
      </c>
      <c r="O28">
        <f t="shared" si="8"/>
        <v>172.08</v>
      </c>
      <c r="Y28">
        <v>1</v>
      </c>
      <c r="Z28">
        <v>1</v>
      </c>
      <c r="AA28">
        <v>27</v>
      </c>
      <c r="AB28">
        <f t="shared" si="2"/>
        <v>1127</v>
      </c>
      <c r="AC28">
        <f t="shared" si="3"/>
        <v>36</v>
      </c>
      <c r="AD28">
        <f t="shared" si="4"/>
        <v>702</v>
      </c>
      <c r="AE28" s="78">
        <v>11900</v>
      </c>
    </row>
    <row r="29" ht="15" spans="13:31">
      <c r="M29">
        <f t="shared" si="5"/>
        <v>74</v>
      </c>
      <c r="N29">
        <v>7</v>
      </c>
      <c r="O29">
        <f t="shared" si="8"/>
        <v>344.88</v>
      </c>
      <c r="Y29">
        <v>1</v>
      </c>
      <c r="Z29">
        <v>1</v>
      </c>
      <c r="AA29">
        <v>28</v>
      </c>
      <c r="AB29">
        <f t="shared" si="2"/>
        <v>1128</v>
      </c>
      <c r="AC29">
        <f t="shared" si="3"/>
        <v>36</v>
      </c>
      <c r="AD29">
        <f t="shared" si="4"/>
        <v>738</v>
      </c>
      <c r="AE29" s="78">
        <v>12700</v>
      </c>
    </row>
    <row r="30" ht="15" spans="25:31">
      <c r="Y30">
        <v>1</v>
      </c>
      <c r="Z30">
        <v>1</v>
      </c>
      <c r="AA30">
        <v>29</v>
      </c>
      <c r="AB30">
        <f t="shared" si="2"/>
        <v>1129</v>
      </c>
      <c r="AC30">
        <f t="shared" si="3"/>
        <v>36</v>
      </c>
      <c r="AD30">
        <f t="shared" si="4"/>
        <v>774</v>
      </c>
      <c r="AE30" s="78">
        <v>13500</v>
      </c>
    </row>
    <row r="31" ht="15" spans="25:31">
      <c r="Y31">
        <v>1</v>
      </c>
      <c r="Z31">
        <v>1</v>
      </c>
      <c r="AA31">
        <v>30</v>
      </c>
      <c r="AB31">
        <f t="shared" si="2"/>
        <v>1130</v>
      </c>
      <c r="AC31">
        <f t="shared" si="3"/>
        <v>36</v>
      </c>
      <c r="AD31">
        <f t="shared" si="4"/>
        <v>810</v>
      </c>
      <c r="AE31" s="78">
        <v>14300</v>
      </c>
    </row>
    <row r="32" ht="15" spans="25:31">
      <c r="Y32">
        <v>1</v>
      </c>
      <c r="Z32">
        <f>Z2+1</f>
        <v>2</v>
      </c>
      <c r="AA32">
        <v>1</v>
      </c>
      <c r="AB32">
        <f t="shared" si="2"/>
        <v>1201</v>
      </c>
      <c r="AC32">
        <f>AJ4</f>
        <v>36</v>
      </c>
      <c r="AD32">
        <f>AC32</f>
        <v>36</v>
      </c>
      <c r="AE32" s="78">
        <v>750</v>
      </c>
    </row>
    <row r="33" ht="15" spans="25:31">
      <c r="Y33">
        <v>1</v>
      </c>
      <c r="Z33">
        <f t="shared" ref="Z33:Z64" si="9">Z3+1</f>
        <v>2</v>
      </c>
      <c r="AA33">
        <v>2</v>
      </c>
      <c r="AB33">
        <f t="shared" si="2"/>
        <v>1202</v>
      </c>
      <c r="AC33">
        <f t="shared" si="3"/>
        <v>36</v>
      </c>
      <c r="AD33">
        <f t="shared" ref="AD33:AD61" si="10">AD32+AC33</f>
        <v>72</v>
      </c>
      <c r="AE33" s="78">
        <v>1050</v>
      </c>
    </row>
    <row r="34" ht="15" spans="25:31">
      <c r="Y34">
        <v>1</v>
      </c>
      <c r="Z34">
        <f t="shared" si="9"/>
        <v>2</v>
      </c>
      <c r="AA34">
        <v>3</v>
      </c>
      <c r="AB34">
        <f t="shared" si="2"/>
        <v>1203</v>
      </c>
      <c r="AC34">
        <f t="shared" si="3"/>
        <v>36</v>
      </c>
      <c r="AD34">
        <f t="shared" si="10"/>
        <v>108</v>
      </c>
      <c r="AE34" s="78">
        <v>1350</v>
      </c>
    </row>
    <row r="35" ht="15" spans="25:31">
      <c r="Y35">
        <v>1</v>
      </c>
      <c r="Z35">
        <f t="shared" si="9"/>
        <v>2</v>
      </c>
      <c r="AA35">
        <v>4</v>
      </c>
      <c r="AB35">
        <f t="shared" si="2"/>
        <v>1204</v>
      </c>
      <c r="AC35">
        <f t="shared" si="3"/>
        <v>36</v>
      </c>
      <c r="AD35">
        <f t="shared" si="10"/>
        <v>144</v>
      </c>
      <c r="AE35" s="78">
        <v>1650</v>
      </c>
    </row>
    <row r="36" ht="15" spans="25:31">
      <c r="Y36">
        <v>1</v>
      </c>
      <c r="Z36">
        <f t="shared" si="9"/>
        <v>2</v>
      </c>
      <c r="AA36">
        <v>5</v>
      </c>
      <c r="AB36">
        <f t="shared" si="2"/>
        <v>1205</v>
      </c>
      <c r="AC36">
        <f t="shared" si="3"/>
        <v>36</v>
      </c>
      <c r="AD36">
        <f t="shared" si="10"/>
        <v>180</v>
      </c>
      <c r="AE36" s="78">
        <v>1950</v>
      </c>
    </row>
    <row r="37" ht="15" spans="25:31">
      <c r="Y37">
        <v>1</v>
      </c>
      <c r="Z37">
        <f t="shared" si="9"/>
        <v>2</v>
      </c>
      <c r="AA37">
        <v>6</v>
      </c>
      <c r="AB37">
        <f t="shared" si="2"/>
        <v>1206</v>
      </c>
      <c r="AC37">
        <f t="shared" si="3"/>
        <v>36</v>
      </c>
      <c r="AD37">
        <f t="shared" si="10"/>
        <v>216</v>
      </c>
      <c r="AE37" s="78">
        <v>2250</v>
      </c>
    </row>
    <row r="38" ht="15" spans="25:31">
      <c r="Y38">
        <v>1</v>
      </c>
      <c r="Z38">
        <f t="shared" si="9"/>
        <v>2</v>
      </c>
      <c r="AA38">
        <v>7</v>
      </c>
      <c r="AB38">
        <f t="shared" si="2"/>
        <v>1207</v>
      </c>
      <c r="AC38">
        <f t="shared" si="3"/>
        <v>36</v>
      </c>
      <c r="AD38">
        <f t="shared" si="10"/>
        <v>252</v>
      </c>
      <c r="AE38" s="78">
        <v>2550</v>
      </c>
    </row>
    <row r="39" ht="15" spans="25:31">
      <c r="Y39">
        <v>1</v>
      </c>
      <c r="Z39">
        <f t="shared" si="9"/>
        <v>2</v>
      </c>
      <c r="AA39">
        <v>8</v>
      </c>
      <c r="AB39">
        <f t="shared" si="2"/>
        <v>1208</v>
      </c>
      <c r="AC39">
        <f t="shared" si="3"/>
        <v>36</v>
      </c>
      <c r="AD39">
        <f t="shared" si="10"/>
        <v>288</v>
      </c>
      <c r="AE39" s="78">
        <v>2850</v>
      </c>
    </row>
    <row r="40" ht="15" spans="25:31">
      <c r="Y40">
        <v>1</v>
      </c>
      <c r="Z40">
        <f t="shared" si="9"/>
        <v>2</v>
      </c>
      <c r="AA40">
        <v>9</v>
      </c>
      <c r="AB40">
        <f t="shared" si="2"/>
        <v>1209</v>
      </c>
      <c r="AC40">
        <f t="shared" si="3"/>
        <v>36</v>
      </c>
      <c r="AD40">
        <f t="shared" si="10"/>
        <v>324</v>
      </c>
      <c r="AE40" s="78">
        <v>3150</v>
      </c>
    </row>
    <row r="41" ht="15" spans="25:31">
      <c r="Y41">
        <v>1</v>
      </c>
      <c r="Z41">
        <f t="shared" si="9"/>
        <v>2</v>
      </c>
      <c r="AA41">
        <v>10</v>
      </c>
      <c r="AB41">
        <f t="shared" si="2"/>
        <v>1210</v>
      </c>
      <c r="AC41">
        <f t="shared" si="3"/>
        <v>36</v>
      </c>
      <c r="AD41">
        <f t="shared" si="10"/>
        <v>360</v>
      </c>
      <c r="AE41" s="78">
        <v>3450</v>
      </c>
    </row>
    <row r="42" ht="15" spans="25:31">
      <c r="Y42">
        <v>1</v>
      </c>
      <c r="Z42">
        <f t="shared" si="9"/>
        <v>2</v>
      </c>
      <c r="AA42">
        <v>11</v>
      </c>
      <c r="AB42">
        <f t="shared" si="2"/>
        <v>1211</v>
      </c>
      <c r="AC42">
        <f>AJ5</f>
        <v>55</v>
      </c>
      <c r="AD42">
        <f t="shared" si="10"/>
        <v>415</v>
      </c>
      <c r="AE42" s="78">
        <v>4050</v>
      </c>
    </row>
    <row r="43" ht="15" spans="25:31">
      <c r="Y43">
        <v>1</v>
      </c>
      <c r="Z43">
        <f t="shared" si="9"/>
        <v>2</v>
      </c>
      <c r="AA43">
        <v>12</v>
      </c>
      <c r="AB43">
        <f t="shared" si="2"/>
        <v>1212</v>
      </c>
      <c r="AC43">
        <f t="shared" si="3"/>
        <v>55</v>
      </c>
      <c r="AD43">
        <f t="shared" si="10"/>
        <v>470</v>
      </c>
      <c r="AE43" s="78">
        <v>4650</v>
      </c>
    </row>
    <row r="44" ht="15" spans="25:31">
      <c r="Y44">
        <v>1</v>
      </c>
      <c r="Z44">
        <f t="shared" si="9"/>
        <v>2</v>
      </c>
      <c r="AA44">
        <v>13</v>
      </c>
      <c r="AB44">
        <f t="shared" si="2"/>
        <v>1213</v>
      </c>
      <c r="AC44">
        <f t="shared" si="3"/>
        <v>55</v>
      </c>
      <c r="AD44">
        <f t="shared" si="10"/>
        <v>525</v>
      </c>
      <c r="AE44" s="78">
        <v>5250</v>
      </c>
    </row>
    <row r="45" ht="15" spans="25:31">
      <c r="Y45">
        <v>1</v>
      </c>
      <c r="Z45">
        <f t="shared" si="9"/>
        <v>2</v>
      </c>
      <c r="AA45">
        <v>14</v>
      </c>
      <c r="AB45">
        <f t="shared" si="2"/>
        <v>1214</v>
      </c>
      <c r="AC45">
        <f t="shared" si="3"/>
        <v>55</v>
      </c>
      <c r="AD45">
        <f t="shared" si="10"/>
        <v>580</v>
      </c>
      <c r="AE45" s="78">
        <v>5850</v>
      </c>
    </row>
    <row r="46" ht="15" spans="25:31">
      <c r="Y46">
        <v>1</v>
      </c>
      <c r="Z46">
        <f t="shared" si="9"/>
        <v>2</v>
      </c>
      <c r="AA46">
        <v>15</v>
      </c>
      <c r="AB46">
        <f t="shared" si="2"/>
        <v>1215</v>
      </c>
      <c r="AC46">
        <f t="shared" si="3"/>
        <v>55</v>
      </c>
      <c r="AD46">
        <f t="shared" si="10"/>
        <v>635</v>
      </c>
      <c r="AE46" s="78">
        <v>6450</v>
      </c>
    </row>
    <row r="47" ht="15" spans="25:31">
      <c r="Y47">
        <v>1</v>
      </c>
      <c r="Z47">
        <f t="shared" si="9"/>
        <v>2</v>
      </c>
      <c r="AA47">
        <v>16</v>
      </c>
      <c r="AB47">
        <f t="shared" si="2"/>
        <v>1216</v>
      </c>
      <c r="AC47">
        <f t="shared" si="3"/>
        <v>55</v>
      </c>
      <c r="AD47">
        <f t="shared" si="10"/>
        <v>690</v>
      </c>
      <c r="AE47" s="78">
        <v>7050</v>
      </c>
    </row>
    <row r="48" ht="15" spans="25:31">
      <c r="Y48">
        <v>1</v>
      </c>
      <c r="Z48">
        <f t="shared" si="9"/>
        <v>2</v>
      </c>
      <c r="AA48">
        <v>17</v>
      </c>
      <c r="AB48">
        <f t="shared" si="2"/>
        <v>1217</v>
      </c>
      <c r="AC48">
        <f t="shared" si="3"/>
        <v>55</v>
      </c>
      <c r="AD48">
        <f t="shared" si="10"/>
        <v>745</v>
      </c>
      <c r="AE48" s="78">
        <v>7650</v>
      </c>
    </row>
    <row r="49" ht="15" spans="25:31">
      <c r="Y49">
        <v>1</v>
      </c>
      <c r="Z49">
        <f t="shared" si="9"/>
        <v>2</v>
      </c>
      <c r="AA49">
        <v>18</v>
      </c>
      <c r="AB49">
        <f t="shared" si="2"/>
        <v>1218</v>
      </c>
      <c r="AC49">
        <f t="shared" si="3"/>
        <v>55</v>
      </c>
      <c r="AD49">
        <f t="shared" si="10"/>
        <v>800</v>
      </c>
      <c r="AE49" s="78">
        <v>8250</v>
      </c>
    </row>
    <row r="50" ht="15" spans="25:31">
      <c r="Y50">
        <v>1</v>
      </c>
      <c r="Z50">
        <f t="shared" si="9"/>
        <v>2</v>
      </c>
      <c r="AA50">
        <v>19</v>
      </c>
      <c r="AB50">
        <f t="shared" si="2"/>
        <v>1219</v>
      </c>
      <c r="AC50">
        <f t="shared" si="3"/>
        <v>55</v>
      </c>
      <c r="AD50">
        <f t="shared" si="10"/>
        <v>855</v>
      </c>
      <c r="AE50" s="78">
        <v>8850</v>
      </c>
    </row>
    <row r="51" ht="15" spans="25:31">
      <c r="Y51">
        <v>1</v>
      </c>
      <c r="Z51">
        <f t="shared" si="9"/>
        <v>2</v>
      </c>
      <c r="AA51">
        <v>20</v>
      </c>
      <c r="AB51">
        <f t="shared" si="2"/>
        <v>1220</v>
      </c>
      <c r="AC51">
        <f t="shared" si="3"/>
        <v>55</v>
      </c>
      <c r="AD51">
        <f t="shared" si="10"/>
        <v>910</v>
      </c>
      <c r="AE51" s="78">
        <v>9450</v>
      </c>
    </row>
    <row r="52" ht="15" spans="25:31">
      <c r="Y52">
        <v>1</v>
      </c>
      <c r="Z52">
        <f t="shared" si="9"/>
        <v>2</v>
      </c>
      <c r="AA52">
        <v>21</v>
      </c>
      <c r="AB52">
        <f t="shared" si="2"/>
        <v>1221</v>
      </c>
      <c r="AC52">
        <f>AJ6</f>
        <v>73</v>
      </c>
      <c r="AD52">
        <f t="shared" si="10"/>
        <v>983</v>
      </c>
      <c r="AE52" s="78">
        <v>10650</v>
      </c>
    </row>
    <row r="53" ht="15" spans="25:31">
      <c r="Y53">
        <v>1</v>
      </c>
      <c r="Z53">
        <f t="shared" si="9"/>
        <v>2</v>
      </c>
      <c r="AA53">
        <v>22</v>
      </c>
      <c r="AB53">
        <f t="shared" si="2"/>
        <v>1222</v>
      </c>
      <c r="AC53">
        <f t="shared" si="3"/>
        <v>73</v>
      </c>
      <c r="AD53">
        <f t="shared" si="10"/>
        <v>1056</v>
      </c>
      <c r="AE53" s="78">
        <v>11850</v>
      </c>
    </row>
    <row r="54" ht="15" spans="25:31">
      <c r="Y54">
        <v>1</v>
      </c>
      <c r="Z54">
        <f t="shared" si="9"/>
        <v>2</v>
      </c>
      <c r="AA54">
        <v>23</v>
      </c>
      <c r="AB54">
        <f t="shared" si="2"/>
        <v>1223</v>
      </c>
      <c r="AC54">
        <f t="shared" si="3"/>
        <v>73</v>
      </c>
      <c r="AD54">
        <f t="shared" si="10"/>
        <v>1129</v>
      </c>
      <c r="AE54" s="78">
        <v>13050</v>
      </c>
    </row>
    <row r="55" ht="15" spans="25:31">
      <c r="Y55">
        <v>1</v>
      </c>
      <c r="Z55">
        <f t="shared" si="9"/>
        <v>2</v>
      </c>
      <c r="AA55">
        <v>24</v>
      </c>
      <c r="AB55">
        <f t="shared" si="2"/>
        <v>1224</v>
      </c>
      <c r="AC55">
        <f t="shared" si="3"/>
        <v>73</v>
      </c>
      <c r="AD55">
        <f t="shared" si="10"/>
        <v>1202</v>
      </c>
      <c r="AE55" s="78">
        <v>14250</v>
      </c>
    </row>
    <row r="56" ht="15" spans="25:31">
      <c r="Y56">
        <v>1</v>
      </c>
      <c r="Z56">
        <f t="shared" si="9"/>
        <v>2</v>
      </c>
      <c r="AA56">
        <v>25</v>
      </c>
      <c r="AB56">
        <f t="shared" si="2"/>
        <v>1225</v>
      </c>
      <c r="AC56">
        <f t="shared" si="3"/>
        <v>73</v>
      </c>
      <c r="AD56">
        <f t="shared" si="10"/>
        <v>1275</v>
      </c>
      <c r="AE56" s="78">
        <v>15450</v>
      </c>
    </row>
    <row r="57" ht="15" spans="25:31">
      <c r="Y57">
        <v>1</v>
      </c>
      <c r="Z57">
        <f t="shared" si="9"/>
        <v>2</v>
      </c>
      <c r="AA57">
        <v>26</v>
      </c>
      <c r="AB57">
        <f t="shared" si="2"/>
        <v>1226</v>
      </c>
      <c r="AC57">
        <f t="shared" si="3"/>
        <v>73</v>
      </c>
      <c r="AD57">
        <f t="shared" si="10"/>
        <v>1348</v>
      </c>
      <c r="AE57" s="78">
        <v>16650</v>
      </c>
    </row>
    <row r="58" ht="15" spans="25:31">
      <c r="Y58">
        <v>1</v>
      </c>
      <c r="Z58">
        <f t="shared" si="9"/>
        <v>2</v>
      </c>
      <c r="AA58">
        <v>27</v>
      </c>
      <c r="AB58">
        <f t="shared" si="2"/>
        <v>1227</v>
      </c>
      <c r="AC58">
        <f t="shared" si="3"/>
        <v>73</v>
      </c>
      <c r="AD58">
        <f t="shared" si="10"/>
        <v>1421</v>
      </c>
      <c r="AE58" s="78">
        <v>17850</v>
      </c>
    </row>
    <row r="59" ht="15" spans="25:31">
      <c r="Y59">
        <v>1</v>
      </c>
      <c r="Z59">
        <f t="shared" si="9"/>
        <v>2</v>
      </c>
      <c r="AA59">
        <v>28</v>
      </c>
      <c r="AB59">
        <f t="shared" si="2"/>
        <v>1228</v>
      </c>
      <c r="AC59">
        <f t="shared" si="3"/>
        <v>73</v>
      </c>
      <c r="AD59">
        <f t="shared" si="10"/>
        <v>1494</v>
      </c>
      <c r="AE59" s="78">
        <v>19050</v>
      </c>
    </row>
    <row r="60" ht="15" spans="25:31">
      <c r="Y60">
        <v>1</v>
      </c>
      <c r="Z60">
        <f t="shared" si="9"/>
        <v>2</v>
      </c>
      <c r="AA60">
        <v>29</v>
      </c>
      <c r="AB60">
        <f t="shared" si="2"/>
        <v>1229</v>
      </c>
      <c r="AC60">
        <f t="shared" si="3"/>
        <v>73</v>
      </c>
      <c r="AD60">
        <f t="shared" si="10"/>
        <v>1567</v>
      </c>
      <c r="AE60" s="78">
        <v>20250</v>
      </c>
    </row>
    <row r="61" ht="15" spans="25:31">
      <c r="Y61">
        <v>1</v>
      </c>
      <c r="Z61">
        <f t="shared" si="9"/>
        <v>2</v>
      </c>
      <c r="AA61">
        <v>30</v>
      </c>
      <c r="AB61">
        <f t="shared" si="2"/>
        <v>1230</v>
      </c>
      <c r="AC61">
        <f t="shared" si="3"/>
        <v>73</v>
      </c>
      <c r="AD61">
        <f t="shared" si="10"/>
        <v>1640</v>
      </c>
      <c r="AE61" s="78">
        <v>21450</v>
      </c>
    </row>
    <row r="62" spans="25:31">
      <c r="Y62">
        <v>1</v>
      </c>
      <c r="Z62">
        <f t="shared" si="9"/>
        <v>3</v>
      </c>
      <c r="AA62">
        <v>1</v>
      </c>
      <c r="AB62">
        <f t="shared" si="2"/>
        <v>1301</v>
      </c>
      <c r="AC62">
        <f>AK4</f>
        <v>91</v>
      </c>
      <c r="AD62">
        <f>AC62</f>
        <v>91</v>
      </c>
      <c r="AE62">
        <v>1000</v>
      </c>
    </row>
    <row r="63" spans="25:31">
      <c r="Y63">
        <v>1</v>
      </c>
      <c r="Z63">
        <f t="shared" si="9"/>
        <v>3</v>
      </c>
      <c r="AA63">
        <v>2</v>
      </c>
      <c r="AB63">
        <f t="shared" si="2"/>
        <v>1302</v>
      </c>
      <c r="AC63">
        <f t="shared" si="3"/>
        <v>91</v>
      </c>
      <c r="AD63">
        <f t="shared" ref="AD63:AD91" si="11">AD62+AC63</f>
        <v>182</v>
      </c>
      <c r="AE63">
        <v>1400</v>
      </c>
    </row>
    <row r="64" spans="25:31">
      <c r="Y64">
        <v>1</v>
      </c>
      <c r="Z64">
        <f t="shared" si="9"/>
        <v>3</v>
      </c>
      <c r="AA64">
        <v>3</v>
      </c>
      <c r="AB64">
        <f t="shared" si="2"/>
        <v>1303</v>
      </c>
      <c r="AC64">
        <f t="shared" si="3"/>
        <v>91</v>
      </c>
      <c r="AD64">
        <f t="shared" si="11"/>
        <v>273</v>
      </c>
      <c r="AE64">
        <v>1800</v>
      </c>
    </row>
    <row r="65" spans="25:31">
      <c r="Y65">
        <v>1</v>
      </c>
      <c r="Z65">
        <f t="shared" ref="Z65:Z96" si="12">Z35+1</f>
        <v>3</v>
      </c>
      <c r="AA65">
        <v>4</v>
      </c>
      <c r="AB65">
        <f t="shared" si="2"/>
        <v>1304</v>
      </c>
      <c r="AC65">
        <f t="shared" si="3"/>
        <v>91</v>
      </c>
      <c r="AD65">
        <f t="shared" si="11"/>
        <v>364</v>
      </c>
      <c r="AE65">
        <v>2200</v>
      </c>
    </row>
    <row r="66" spans="25:31">
      <c r="Y66">
        <v>1</v>
      </c>
      <c r="Z66">
        <f t="shared" si="12"/>
        <v>3</v>
      </c>
      <c r="AA66">
        <v>5</v>
      </c>
      <c r="AB66">
        <f t="shared" si="2"/>
        <v>1305</v>
      </c>
      <c r="AC66">
        <f t="shared" si="3"/>
        <v>91</v>
      </c>
      <c r="AD66">
        <f t="shared" si="11"/>
        <v>455</v>
      </c>
      <c r="AE66">
        <v>2600</v>
      </c>
    </row>
    <row r="67" spans="25:31">
      <c r="Y67">
        <v>1</v>
      </c>
      <c r="Z67">
        <f t="shared" si="12"/>
        <v>3</v>
      </c>
      <c r="AA67">
        <v>6</v>
      </c>
      <c r="AB67">
        <f t="shared" ref="AB67:AB130" si="13">Y67*1000+Z67*100+AA67</f>
        <v>1306</v>
      </c>
      <c r="AC67">
        <f t="shared" si="3"/>
        <v>91</v>
      </c>
      <c r="AD67">
        <f t="shared" si="11"/>
        <v>546</v>
      </c>
      <c r="AE67">
        <v>3000</v>
      </c>
    </row>
    <row r="68" spans="25:31">
      <c r="Y68">
        <v>1</v>
      </c>
      <c r="Z68">
        <f t="shared" si="12"/>
        <v>3</v>
      </c>
      <c r="AA68">
        <v>7</v>
      </c>
      <c r="AB68">
        <f t="shared" si="13"/>
        <v>1307</v>
      </c>
      <c r="AC68">
        <f t="shared" ref="AC68:AC131" si="14">AC67</f>
        <v>91</v>
      </c>
      <c r="AD68">
        <f t="shared" si="11"/>
        <v>637</v>
      </c>
      <c r="AE68">
        <v>3400</v>
      </c>
    </row>
    <row r="69" spans="25:31">
      <c r="Y69">
        <v>1</v>
      </c>
      <c r="Z69">
        <f t="shared" si="12"/>
        <v>3</v>
      </c>
      <c r="AA69">
        <v>8</v>
      </c>
      <c r="AB69">
        <f t="shared" si="13"/>
        <v>1308</v>
      </c>
      <c r="AC69">
        <f t="shared" si="14"/>
        <v>91</v>
      </c>
      <c r="AD69">
        <f t="shared" si="11"/>
        <v>728</v>
      </c>
      <c r="AE69">
        <v>3800</v>
      </c>
    </row>
    <row r="70" spans="25:31">
      <c r="Y70">
        <v>1</v>
      </c>
      <c r="Z70">
        <f t="shared" si="12"/>
        <v>3</v>
      </c>
      <c r="AA70">
        <v>9</v>
      </c>
      <c r="AB70">
        <f t="shared" si="13"/>
        <v>1309</v>
      </c>
      <c r="AC70">
        <f t="shared" si="14"/>
        <v>91</v>
      </c>
      <c r="AD70">
        <f t="shared" si="11"/>
        <v>819</v>
      </c>
      <c r="AE70">
        <v>4200</v>
      </c>
    </row>
    <row r="71" spans="25:31">
      <c r="Y71">
        <v>1</v>
      </c>
      <c r="Z71">
        <f t="shared" si="12"/>
        <v>3</v>
      </c>
      <c r="AA71">
        <v>10</v>
      </c>
      <c r="AB71">
        <f t="shared" si="13"/>
        <v>1310</v>
      </c>
      <c r="AC71">
        <f t="shared" si="14"/>
        <v>91</v>
      </c>
      <c r="AD71">
        <f t="shared" si="11"/>
        <v>910</v>
      </c>
      <c r="AE71">
        <v>4600</v>
      </c>
    </row>
    <row r="72" spans="25:31">
      <c r="Y72">
        <v>1</v>
      </c>
      <c r="Z72">
        <f t="shared" si="12"/>
        <v>3</v>
      </c>
      <c r="AA72">
        <v>11</v>
      </c>
      <c r="AB72">
        <f t="shared" si="13"/>
        <v>1311</v>
      </c>
      <c r="AC72">
        <f>AK5</f>
        <v>137</v>
      </c>
      <c r="AD72">
        <f t="shared" si="11"/>
        <v>1047</v>
      </c>
      <c r="AE72">
        <v>5400</v>
      </c>
    </row>
    <row r="73" spans="25:31">
      <c r="Y73">
        <v>1</v>
      </c>
      <c r="Z73">
        <f t="shared" si="12"/>
        <v>3</v>
      </c>
      <c r="AA73">
        <v>12</v>
      </c>
      <c r="AB73">
        <f t="shared" si="13"/>
        <v>1312</v>
      </c>
      <c r="AC73">
        <f t="shared" si="14"/>
        <v>137</v>
      </c>
      <c r="AD73">
        <f t="shared" si="11"/>
        <v>1184</v>
      </c>
      <c r="AE73">
        <v>6200</v>
      </c>
    </row>
    <row r="74" spans="25:31">
      <c r="Y74">
        <v>1</v>
      </c>
      <c r="Z74">
        <f t="shared" si="12"/>
        <v>3</v>
      </c>
      <c r="AA74">
        <v>13</v>
      </c>
      <c r="AB74">
        <f t="shared" si="13"/>
        <v>1313</v>
      </c>
      <c r="AC74">
        <f t="shared" si="14"/>
        <v>137</v>
      </c>
      <c r="AD74">
        <f t="shared" si="11"/>
        <v>1321</v>
      </c>
      <c r="AE74">
        <v>7000</v>
      </c>
    </row>
    <row r="75" spans="25:31">
      <c r="Y75">
        <v>1</v>
      </c>
      <c r="Z75">
        <f t="shared" si="12"/>
        <v>3</v>
      </c>
      <c r="AA75">
        <v>14</v>
      </c>
      <c r="AB75">
        <f t="shared" si="13"/>
        <v>1314</v>
      </c>
      <c r="AC75">
        <f t="shared" si="14"/>
        <v>137</v>
      </c>
      <c r="AD75">
        <f t="shared" si="11"/>
        <v>1458</v>
      </c>
      <c r="AE75">
        <v>7800</v>
      </c>
    </row>
    <row r="76" spans="25:31">
      <c r="Y76">
        <v>1</v>
      </c>
      <c r="Z76">
        <f t="shared" si="12"/>
        <v>3</v>
      </c>
      <c r="AA76">
        <v>15</v>
      </c>
      <c r="AB76">
        <f t="shared" si="13"/>
        <v>1315</v>
      </c>
      <c r="AC76">
        <f t="shared" si="14"/>
        <v>137</v>
      </c>
      <c r="AD76">
        <f t="shared" si="11"/>
        <v>1595</v>
      </c>
      <c r="AE76">
        <v>8600</v>
      </c>
    </row>
    <row r="77" spans="25:31">
      <c r="Y77">
        <v>1</v>
      </c>
      <c r="Z77">
        <f t="shared" si="12"/>
        <v>3</v>
      </c>
      <c r="AA77">
        <v>16</v>
      </c>
      <c r="AB77">
        <f t="shared" si="13"/>
        <v>1316</v>
      </c>
      <c r="AC77">
        <f t="shared" si="14"/>
        <v>137</v>
      </c>
      <c r="AD77">
        <f t="shared" si="11"/>
        <v>1732</v>
      </c>
      <c r="AE77">
        <v>9400</v>
      </c>
    </row>
    <row r="78" spans="25:31">
      <c r="Y78">
        <v>1</v>
      </c>
      <c r="Z78">
        <f t="shared" si="12"/>
        <v>3</v>
      </c>
      <c r="AA78">
        <v>17</v>
      </c>
      <c r="AB78">
        <f t="shared" si="13"/>
        <v>1317</v>
      </c>
      <c r="AC78">
        <f t="shared" si="14"/>
        <v>137</v>
      </c>
      <c r="AD78">
        <f t="shared" si="11"/>
        <v>1869</v>
      </c>
      <c r="AE78">
        <v>10200</v>
      </c>
    </row>
    <row r="79" spans="25:31">
      <c r="Y79">
        <v>1</v>
      </c>
      <c r="Z79">
        <f t="shared" si="12"/>
        <v>3</v>
      </c>
      <c r="AA79">
        <v>18</v>
      </c>
      <c r="AB79">
        <f t="shared" si="13"/>
        <v>1318</v>
      </c>
      <c r="AC79">
        <f t="shared" si="14"/>
        <v>137</v>
      </c>
      <c r="AD79">
        <f t="shared" si="11"/>
        <v>2006</v>
      </c>
      <c r="AE79">
        <v>11000</v>
      </c>
    </row>
    <row r="80" spans="25:31">
      <c r="Y80">
        <v>1</v>
      </c>
      <c r="Z80">
        <f t="shared" si="12"/>
        <v>3</v>
      </c>
      <c r="AA80">
        <v>19</v>
      </c>
      <c r="AB80">
        <f t="shared" si="13"/>
        <v>1319</v>
      </c>
      <c r="AC80">
        <f t="shared" si="14"/>
        <v>137</v>
      </c>
      <c r="AD80">
        <f t="shared" si="11"/>
        <v>2143</v>
      </c>
      <c r="AE80">
        <v>11800</v>
      </c>
    </row>
    <row r="81" spans="25:31">
      <c r="Y81">
        <v>1</v>
      </c>
      <c r="Z81">
        <f t="shared" si="12"/>
        <v>3</v>
      </c>
      <c r="AA81">
        <v>20</v>
      </c>
      <c r="AB81">
        <f t="shared" si="13"/>
        <v>1320</v>
      </c>
      <c r="AC81">
        <f t="shared" si="14"/>
        <v>137</v>
      </c>
      <c r="AD81">
        <f t="shared" si="11"/>
        <v>2280</v>
      </c>
      <c r="AE81">
        <v>12600</v>
      </c>
    </row>
    <row r="82" spans="25:31">
      <c r="Y82">
        <v>1</v>
      </c>
      <c r="Z82">
        <f t="shared" si="12"/>
        <v>3</v>
      </c>
      <c r="AA82">
        <v>21</v>
      </c>
      <c r="AB82">
        <f t="shared" si="13"/>
        <v>1321</v>
      </c>
      <c r="AC82">
        <f>AK6</f>
        <v>182</v>
      </c>
      <c r="AD82">
        <f t="shared" si="11"/>
        <v>2462</v>
      </c>
      <c r="AE82">
        <v>14200</v>
      </c>
    </row>
    <row r="83" spans="25:31">
      <c r="Y83">
        <v>1</v>
      </c>
      <c r="Z83">
        <f t="shared" si="12"/>
        <v>3</v>
      </c>
      <c r="AA83">
        <v>22</v>
      </c>
      <c r="AB83">
        <f t="shared" si="13"/>
        <v>1322</v>
      </c>
      <c r="AC83">
        <f t="shared" si="14"/>
        <v>182</v>
      </c>
      <c r="AD83">
        <f t="shared" si="11"/>
        <v>2644</v>
      </c>
      <c r="AE83">
        <v>15800</v>
      </c>
    </row>
    <row r="84" spans="25:31">
      <c r="Y84">
        <v>1</v>
      </c>
      <c r="Z84">
        <f t="shared" si="12"/>
        <v>3</v>
      </c>
      <c r="AA84">
        <v>23</v>
      </c>
      <c r="AB84">
        <f t="shared" si="13"/>
        <v>1323</v>
      </c>
      <c r="AC84">
        <f t="shared" si="14"/>
        <v>182</v>
      </c>
      <c r="AD84">
        <f t="shared" si="11"/>
        <v>2826</v>
      </c>
      <c r="AE84">
        <v>17400</v>
      </c>
    </row>
    <row r="85" spans="25:31">
      <c r="Y85">
        <v>1</v>
      </c>
      <c r="Z85">
        <f t="shared" si="12"/>
        <v>3</v>
      </c>
      <c r="AA85">
        <v>24</v>
      </c>
      <c r="AB85">
        <f t="shared" si="13"/>
        <v>1324</v>
      </c>
      <c r="AC85">
        <f t="shared" si="14"/>
        <v>182</v>
      </c>
      <c r="AD85">
        <f t="shared" si="11"/>
        <v>3008</v>
      </c>
      <c r="AE85">
        <v>19000</v>
      </c>
    </row>
    <row r="86" spans="25:31">
      <c r="Y86">
        <v>1</v>
      </c>
      <c r="Z86">
        <f t="shared" si="12"/>
        <v>3</v>
      </c>
      <c r="AA86">
        <v>25</v>
      </c>
      <c r="AB86">
        <f t="shared" si="13"/>
        <v>1325</v>
      </c>
      <c r="AC86">
        <f t="shared" si="14"/>
        <v>182</v>
      </c>
      <c r="AD86">
        <f t="shared" si="11"/>
        <v>3190</v>
      </c>
      <c r="AE86">
        <v>20600</v>
      </c>
    </row>
    <row r="87" spans="25:31">
      <c r="Y87">
        <v>1</v>
      </c>
      <c r="Z87">
        <f t="shared" si="12"/>
        <v>3</v>
      </c>
      <c r="AA87">
        <v>26</v>
      </c>
      <c r="AB87">
        <f t="shared" si="13"/>
        <v>1326</v>
      </c>
      <c r="AC87">
        <f t="shared" si="14"/>
        <v>182</v>
      </c>
      <c r="AD87">
        <f t="shared" si="11"/>
        <v>3372</v>
      </c>
      <c r="AE87">
        <v>22200</v>
      </c>
    </row>
    <row r="88" spans="25:31">
      <c r="Y88">
        <v>1</v>
      </c>
      <c r="Z88">
        <f t="shared" si="12"/>
        <v>3</v>
      </c>
      <c r="AA88">
        <v>27</v>
      </c>
      <c r="AB88">
        <f t="shared" si="13"/>
        <v>1327</v>
      </c>
      <c r="AC88">
        <f t="shared" si="14"/>
        <v>182</v>
      </c>
      <c r="AD88">
        <f t="shared" si="11"/>
        <v>3554</v>
      </c>
      <c r="AE88">
        <v>23800</v>
      </c>
    </row>
    <row r="89" spans="25:31">
      <c r="Y89">
        <v>1</v>
      </c>
      <c r="Z89">
        <f t="shared" si="12"/>
        <v>3</v>
      </c>
      <c r="AA89">
        <v>28</v>
      </c>
      <c r="AB89">
        <f t="shared" si="13"/>
        <v>1328</v>
      </c>
      <c r="AC89">
        <f t="shared" si="14"/>
        <v>182</v>
      </c>
      <c r="AD89">
        <f t="shared" si="11"/>
        <v>3736</v>
      </c>
      <c r="AE89">
        <v>25400</v>
      </c>
    </row>
    <row r="90" spans="25:31">
      <c r="Y90">
        <v>1</v>
      </c>
      <c r="Z90">
        <f t="shared" si="12"/>
        <v>3</v>
      </c>
      <c r="AA90">
        <v>29</v>
      </c>
      <c r="AB90">
        <f t="shared" si="13"/>
        <v>1329</v>
      </c>
      <c r="AC90">
        <f t="shared" si="14"/>
        <v>182</v>
      </c>
      <c r="AD90">
        <f t="shared" si="11"/>
        <v>3918</v>
      </c>
      <c r="AE90">
        <v>27000</v>
      </c>
    </row>
    <row r="91" spans="25:31">
      <c r="Y91">
        <v>1</v>
      </c>
      <c r="Z91">
        <f t="shared" si="12"/>
        <v>3</v>
      </c>
      <c r="AA91">
        <v>30</v>
      </c>
      <c r="AB91">
        <f t="shared" si="13"/>
        <v>1330</v>
      </c>
      <c r="AC91">
        <f t="shared" si="14"/>
        <v>182</v>
      </c>
      <c r="AD91">
        <f t="shared" si="11"/>
        <v>4100</v>
      </c>
      <c r="AE91">
        <v>28600</v>
      </c>
    </row>
    <row r="92" spans="25:31">
      <c r="Y92">
        <v>1</v>
      </c>
      <c r="Z92">
        <f t="shared" si="12"/>
        <v>4</v>
      </c>
      <c r="AA92">
        <v>1</v>
      </c>
      <c r="AB92">
        <f t="shared" si="13"/>
        <v>1401</v>
      </c>
      <c r="AC92">
        <f>AL4</f>
        <v>152</v>
      </c>
      <c r="AD92">
        <f>AC92</f>
        <v>152</v>
      </c>
      <c r="AE92">
        <v>1500</v>
      </c>
    </row>
    <row r="93" spans="25:31">
      <c r="Y93">
        <v>1</v>
      </c>
      <c r="Z93">
        <f t="shared" si="12"/>
        <v>4</v>
      </c>
      <c r="AA93">
        <v>2</v>
      </c>
      <c r="AB93">
        <f t="shared" si="13"/>
        <v>1402</v>
      </c>
      <c r="AC93">
        <f t="shared" si="14"/>
        <v>152</v>
      </c>
      <c r="AD93">
        <f t="shared" ref="AD93:AD121" si="15">AD92+AC93</f>
        <v>304</v>
      </c>
      <c r="AE93">
        <v>2100</v>
      </c>
    </row>
    <row r="94" spans="25:31">
      <c r="Y94">
        <v>1</v>
      </c>
      <c r="Z94">
        <f t="shared" si="12"/>
        <v>4</v>
      </c>
      <c r="AA94">
        <v>3</v>
      </c>
      <c r="AB94">
        <f t="shared" si="13"/>
        <v>1403</v>
      </c>
      <c r="AC94">
        <f t="shared" si="14"/>
        <v>152</v>
      </c>
      <c r="AD94">
        <f t="shared" si="15"/>
        <v>456</v>
      </c>
      <c r="AE94">
        <v>2700</v>
      </c>
    </row>
    <row r="95" spans="25:31">
      <c r="Y95">
        <v>1</v>
      </c>
      <c r="Z95">
        <f t="shared" si="12"/>
        <v>4</v>
      </c>
      <c r="AA95">
        <v>4</v>
      </c>
      <c r="AB95">
        <f t="shared" si="13"/>
        <v>1404</v>
      </c>
      <c r="AC95">
        <f t="shared" si="14"/>
        <v>152</v>
      </c>
      <c r="AD95">
        <f t="shared" si="15"/>
        <v>608</v>
      </c>
      <c r="AE95">
        <v>3300</v>
      </c>
    </row>
    <row r="96" spans="25:31">
      <c r="Y96">
        <v>1</v>
      </c>
      <c r="Z96">
        <f t="shared" si="12"/>
        <v>4</v>
      </c>
      <c r="AA96">
        <v>5</v>
      </c>
      <c r="AB96">
        <f t="shared" si="13"/>
        <v>1405</v>
      </c>
      <c r="AC96">
        <f t="shared" si="14"/>
        <v>152</v>
      </c>
      <c r="AD96">
        <f t="shared" si="15"/>
        <v>760</v>
      </c>
      <c r="AE96">
        <v>3900</v>
      </c>
    </row>
    <row r="97" spans="25:31">
      <c r="Y97">
        <v>1</v>
      </c>
      <c r="Z97">
        <f t="shared" ref="Z97:Z121" si="16">Z67+1</f>
        <v>4</v>
      </c>
      <c r="AA97">
        <v>6</v>
      </c>
      <c r="AB97">
        <f t="shared" si="13"/>
        <v>1406</v>
      </c>
      <c r="AC97">
        <f t="shared" si="14"/>
        <v>152</v>
      </c>
      <c r="AD97">
        <f t="shared" si="15"/>
        <v>912</v>
      </c>
      <c r="AE97">
        <v>4500</v>
      </c>
    </row>
    <row r="98" spans="25:31">
      <c r="Y98">
        <v>1</v>
      </c>
      <c r="Z98">
        <f t="shared" si="16"/>
        <v>4</v>
      </c>
      <c r="AA98">
        <v>7</v>
      </c>
      <c r="AB98">
        <f t="shared" si="13"/>
        <v>1407</v>
      </c>
      <c r="AC98">
        <f t="shared" si="14"/>
        <v>152</v>
      </c>
      <c r="AD98">
        <f t="shared" si="15"/>
        <v>1064</v>
      </c>
      <c r="AE98">
        <v>5100</v>
      </c>
    </row>
    <row r="99" spans="25:31">
      <c r="Y99">
        <v>1</v>
      </c>
      <c r="Z99">
        <f t="shared" si="16"/>
        <v>4</v>
      </c>
      <c r="AA99">
        <v>8</v>
      </c>
      <c r="AB99">
        <f t="shared" si="13"/>
        <v>1408</v>
      </c>
      <c r="AC99">
        <f t="shared" si="14"/>
        <v>152</v>
      </c>
      <c r="AD99">
        <f t="shared" si="15"/>
        <v>1216</v>
      </c>
      <c r="AE99">
        <v>5700</v>
      </c>
    </row>
    <row r="100" spans="25:31">
      <c r="Y100">
        <v>1</v>
      </c>
      <c r="Z100">
        <f t="shared" si="16"/>
        <v>4</v>
      </c>
      <c r="AA100">
        <v>9</v>
      </c>
      <c r="AB100">
        <f t="shared" si="13"/>
        <v>1409</v>
      </c>
      <c r="AC100">
        <f t="shared" si="14"/>
        <v>152</v>
      </c>
      <c r="AD100">
        <f t="shared" si="15"/>
        <v>1368</v>
      </c>
      <c r="AE100">
        <v>6300</v>
      </c>
    </row>
    <row r="101" spans="25:31">
      <c r="Y101">
        <v>1</v>
      </c>
      <c r="Z101">
        <f t="shared" si="16"/>
        <v>4</v>
      </c>
      <c r="AA101">
        <v>10</v>
      </c>
      <c r="AB101">
        <f t="shared" si="13"/>
        <v>1410</v>
      </c>
      <c r="AC101">
        <f t="shared" si="14"/>
        <v>152</v>
      </c>
      <c r="AD101">
        <f t="shared" si="15"/>
        <v>1520</v>
      </c>
      <c r="AE101">
        <v>6900</v>
      </c>
    </row>
    <row r="102" spans="25:31">
      <c r="Y102">
        <v>1</v>
      </c>
      <c r="Z102">
        <f t="shared" si="16"/>
        <v>4</v>
      </c>
      <c r="AA102">
        <v>11</v>
      </c>
      <c r="AB102">
        <f t="shared" si="13"/>
        <v>1411</v>
      </c>
      <c r="AC102">
        <f>AL5</f>
        <v>228</v>
      </c>
      <c r="AD102">
        <f t="shared" si="15"/>
        <v>1748</v>
      </c>
      <c r="AE102">
        <v>8100</v>
      </c>
    </row>
    <row r="103" spans="25:31">
      <c r="Y103">
        <v>1</v>
      </c>
      <c r="Z103">
        <f t="shared" si="16"/>
        <v>4</v>
      </c>
      <c r="AA103">
        <v>12</v>
      </c>
      <c r="AB103">
        <f t="shared" si="13"/>
        <v>1412</v>
      </c>
      <c r="AC103">
        <f t="shared" si="14"/>
        <v>228</v>
      </c>
      <c r="AD103">
        <f t="shared" si="15"/>
        <v>1976</v>
      </c>
      <c r="AE103">
        <v>9300</v>
      </c>
    </row>
    <row r="104" spans="25:31">
      <c r="Y104">
        <v>1</v>
      </c>
      <c r="Z104">
        <f t="shared" si="16"/>
        <v>4</v>
      </c>
      <c r="AA104">
        <v>13</v>
      </c>
      <c r="AB104">
        <f t="shared" si="13"/>
        <v>1413</v>
      </c>
      <c r="AC104">
        <f t="shared" si="14"/>
        <v>228</v>
      </c>
      <c r="AD104">
        <f t="shared" si="15"/>
        <v>2204</v>
      </c>
      <c r="AE104">
        <v>10500</v>
      </c>
    </row>
    <row r="105" spans="25:31">
      <c r="Y105">
        <v>1</v>
      </c>
      <c r="Z105">
        <f t="shared" si="16"/>
        <v>4</v>
      </c>
      <c r="AA105">
        <v>14</v>
      </c>
      <c r="AB105">
        <f t="shared" si="13"/>
        <v>1414</v>
      </c>
      <c r="AC105">
        <f t="shared" si="14"/>
        <v>228</v>
      </c>
      <c r="AD105">
        <f t="shared" si="15"/>
        <v>2432</v>
      </c>
      <c r="AE105">
        <v>11700</v>
      </c>
    </row>
    <row r="106" spans="25:31">
      <c r="Y106">
        <v>1</v>
      </c>
      <c r="Z106">
        <f t="shared" si="16"/>
        <v>4</v>
      </c>
      <c r="AA106">
        <v>15</v>
      </c>
      <c r="AB106">
        <f t="shared" si="13"/>
        <v>1415</v>
      </c>
      <c r="AC106">
        <f t="shared" si="14"/>
        <v>228</v>
      </c>
      <c r="AD106">
        <f t="shared" si="15"/>
        <v>2660</v>
      </c>
      <c r="AE106">
        <v>12900</v>
      </c>
    </row>
    <row r="107" spans="25:31">
      <c r="Y107">
        <v>1</v>
      </c>
      <c r="Z107">
        <f t="shared" si="16"/>
        <v>4</v>
      </c>
      <c r="AA107">
        <v>16</v>
      </c>
      <c r="AB107">
        <f t="shared" si="13"/>
        <v>1416</v>
      </c>
      <c r="AC107">
        <f t="shared" si="14"/>
        <v>228</v>
      </c>
      <c r="AD107">
        <f t="shared" si="15"/>
        <v>2888</v>
      </c>
      <c r="AE107">
        <v>14100</v>
      </c>
    </row>
    <row r="108" spans="25:31">
      <c r="Y108">
        <v>1</v>
      </c>
      <c r="Z108">
        <f t="shared" si="16"/>
        <v>4</v>
      </c>
      <c r="AA108">
        <v>17</v>
      </c>
      <c r="AB108">
        <f t="shared" si="13"/>
        <v>1417</v>
      </c>
      <c r="AC108">
        <f t="shared" si="14"/>
        <v>228</v>
      </c>
      <c r="AD108">
        <f t="shared" si="15"/>
        <v>3116</v>
      </c>
      <c r="AE108">
        <v>15300</v>
      </c>
    </row>
    <row r="109" spans="25:31">
      <c r="Y109">
        <v>1</v>
      </c>
      <c r="Z109">
        <f t="shared" si="16"/>
        <v>4</v>
      </c>
      <c r="AA109">
        <v>18</v>
      </c>
      <c r="AB109">
        <f t="shared" si="13"/>
        <v>1418</v>
      </c>
      <c r="AC109">
        <f t="shared" si="14"/>
        <v>228</v>
      </c>
      <c r="AD109">
        <f t="shared" si="15"/>
        <v>3344</v>
      </c>
      <c r="AE109">
        <v>16500</v>
      </c>
    </row>
    <row r="110" spans="25:31">
      <c r="Y110">
        <v>1</v>
      </c>
      <c r="Z110">
        <f t="shared" si="16"/>
        <v>4</v>
      </c>
      <c r="AA110">
        <v>19</v>
      </c>
      <c r="AB110">
        <f t="shared" si="13"/>
        <v>1419</v>
      </c>
      <c r="AC110">
        <f t="shared" si="14"/>
        <v>228</v>
      </c>
      <c r="AD110">
        <f t="shared" si="15"/>
        <v>3572</v>
      </c>
      <c r="AE110">
        <v>17700</v>
      </c>
    </row>
    <row r="111" spans="25:31">
      <c r="Y111">
        <v>1</v>
      </c>
      <c r="Z111">
        <f t="shared" si="16"/>
        <v>4</v>
      </c>
      <c r="AA111">
        <v>20</v>
      </c>
      <c r="AB111">
        <f t="shared" si="13"/>
        <v>1420</v>
      </c>
      <c r="AC111">
        <f t="shared" si="14"/>
        <v>228</v>
      </c>
      <c r="AD111">
        <f t="shared" si="15"/>
        <v>3800</v>
      </c>
      <c r="AE111">
        <v>18900</v>
      </c>
    </row>
    <row r="112" spans="25:31">
      <c r="Y112">
        <v>1</v>
      </c>
      <c r="Z112">
        <f t="shared" si="16"/>
        <v>4</v>
      </c>
      <c r="AA112">
        <v>21</v>
      </c>
      <c r="AB112">
        <f t="shared" si="13"/>
        <v>1421</v>
      </c>
      <c r="AC112">
        <f>AL6</f>
        <v>303</v>
      </c>
      <c r="AD112">
        <f t="shared" si="15"/>
        <v>4103</v>
      </c>
      <c r="AE112">
        <v>21300</v>
      </c>
    </row>
    <row r="113" spans="25:31">
      <c r="Y113">
        <v>1</v>
      </c>
      <c r="Z113">
        <f t="shared" si="16"/>
        <v>4</v>
      </c>
      <c r="AA113">
        <v>22</v>
      </c>
      <c r="AB113">
        <f t="shared" si="13"/>
        <v>1422</v>
      </c>
      <c r="AC113">
        <f t="shared" si="14"/>
        <v>303</v>
      </c>
      <c r="AD113">
        <f t="shared" si="15"/>
        <v>4406</v>
      </c>
      <c r="AE113">
        <v>23700</v>
      </c>
    </row>
    <row r="114" spans="25:31">
      <c r="Y114">
        <v>1</v>
      </c>
      <c r="Z114">
        <f t="shared" si="16"/>
        <v>4</v>
      </c>
      <c r="AA114">
        <v>23</v>
      </c>
      <c r="AB114">
        <f t="shared" si="13"/>
        <v>1423</v>
      </c>
      <c r="AC114">
        <f t="shared" si="14"/>
        <v>303</v>
      </c>
      <c r="AD114">
        <f t="shared" si="15"/>
        <v>4709</v>
      </c>
      <c r="AE114">
        <v>26100</v>
      </c>
    </row>
    <row r="115" spans="25:31">
      <c r="Y115">
        <v>1</v>
      </c>
      <c r="Z115">
        <f t="shared" si="16"/>
        <v>4</v>
      </c>
      <c r="AA115">
        <v>24</v>
      </c>
      <c r="AB115">
        <f t="shared" si="13"/>
        <v>1424</v>
      </c>
      <c r="AC115">
        <f t="shared" si="14"/>
        <v>303</v>
      </c>
      <c r="AD115">
        <f t="shared" si="15"/>
        <v>5012</v>
      </c>
      <c r="AE115">
        <v>28500</v>
      </c>
    </row>
    <row r="116" spans="25:31">
      <c r="Y116">
        <v>1</v>
      </c>
      <c r="Z116">
        <f t="shared" si="16"/>
        <v>4</v>
      </c>
      <c r="AA116">
        <v>25</v>
      </c>
      <c r="AB116">
        <f t="shared" si="13"/>
        <v>1425</v>
      </c>
      <c r="AC116">
        <f t="shared" si="14"/>
        <v>303</v>
      </c>
      <c r="AD116">
        <f t="shared" si="15"/>
        <v>5315</v>
      </c>
      <c r="AE116">
        <v>30900</v>
      </c>
    </row>
    <row r="117" spans="25:31">
      <c r="Y117">
        <v>1</v>
      </c>
      <c r="Z117">
        <f t="shared" si="16"/>
        <v>4</v>
      </c>
      <c r="AA117">
        <v>26</v>
      </c>
      <c r="AB117">
        <f t="shared" si="13"/>
        <v>1426</v>
      </c>
      <c r="AC117">
        <f t="shared" si="14"/>
        <v>303</v>
      </c>
      <c r="AD117">
        <f t="shared" si="15"/>
        <v>5618</v>
      </c>
      <c r="AE117">
        <v>33300</v>
      </c>
    </row>
    <row r="118" spans="25:31">
      <c r="Y118">
        <v>1</v>
      </c>
      <c r="Z118">
        <f t="shared" si="16"/>
        <v>4</v>
      </c>
      <c r="AA118">
        <v>27</v>
      </c>
      <c r="AB118">
        <f t="shared" si="13"/>
        <v>1427</v>
      </c>
      <c r="AC118">
        <f t="shared" si="14"/>
        <v>303</v>
      </c>
      <c r="AD118">
        <f t="shared" si="15"/>
        <v>5921</v>
      </c>
      <c r="AE118">
        <v>35700</v>
      </c>
    </row>
    <row r="119" spans="25:31">
      <c r="Y119">
        <v>1</v>
      </c>
      <c r="Z119">
        <f t="shared" si="16"/>
        <v>4</v>
      </c>
      <c r="AA119">
        <v>28</v>
      </c>
      <c r="AB119">
        <f t="shared" si="13"/>
        <v>1428</v>
      </c>
      <c r="AC119">
        <f t="shared" si="14"/>
        <v>303</v>
      </c>
      <c r="AD119">
        <f t="shared" si="15"/>
        <v>6224</v>
      </c>
      <c r="AE119">
        <v>38100</v>
      </c>
    </row>
    <row r="120" spans="25:31">
      <c r="Y120">
        <v>1</v>
      </c>
      <c r="Z120">
        <f t="shared" si="16"/>
        <v>4</v>
      </c>
      <c r="AA120">
        <v>29</v>
      </c>
      <c r="AB120">
        <f t="shared" si="13"/>
        <v>1429</v>
      </c>
      <c r="AC120">
        <f t="shared" si="14"/>
        <v>303</v>
      </c>
      <c r="AD120">
        <f t="shared" si="15"/>
        <v>6527</v>
      </c>
      <c r="AE120">
        <v>40500</v>
      </c>
    </row>
    <row r="121" spans="25:31">
      <c r="Y121">
        <v>1</v>
      </c>
      <c r="Z121">
        <f t="shared" si="16"/>
        <v>4</v>
      </c>
      <c r="AA121">
        <v>30</v>
      </c>
      <c r="AB121">
        <f t="shared" si="13"/>
        <v>1430</v>
      </c>
      <c r="AC121">
        <f t="shared" si="14"/>
        <v>303</v>
      </c>
      <c r="AD121">
        <f t="shared" si="15"/>
        <v>6830</v>
      </c>
      <c r="AE121">
        <v>42900</v>
      </c>
    </row>
    <row r="122" ht="15" spans="25:31">
      <c r="Y122">
        <f>Y2+1</f>
        <v>2</v>
      </c>
      <c r="Z122">
        <v>1</v>
      </c>
      <c r="AA122">
        <v>1</v>
      </c>
      <c r="AB122">
        <f t="shared" si="13"/>
        <v>2101</v>
      </c>
      <c r="AC122">
        <f>AI9</f>
        <v>42</v>
      </c>
      <c r="AD122">
        <f>AC122</f>
        <v>42</v>
      </c>
      <c r="AE122" s="17">
        <v>500</v>
      </c>
    </row>
    <row r="123" ht="15" spans="25:31">
      <c r="Y123">
        <f t="shared" ref="Y123:Y186" si="17">Y3+1</f>
        <v>2</v>
      </c>
      <c r="Z123">
        <v>1</v>
      </c>
      <c r="AA123">
        <v>2</v>
      </c>
      <c r="AB123">
        <f t="shared" si="13"/>
        <v>2102</v>
      </c>
      <c r="AC123">
        <f t="shared" si="14"/>
        <v>42</v>
      </c>
      <c r="AD123">
        <f t="shared" ref="AD123:AD151" si="18">AD122+AC123</f>
        <v>84</v>
      </c>
      <c r="AE123" s="78">
        <v>700</v>
      </c>
    </row>
    <row r="124" ht="15" spans="25:31">
      <c r="Y124">
        <f t="shared" si="17"/>
        <v>2</v>
      </c>
      <c r="Z124">
        <v>1</v>
      </c>
      <c r="AA124">
        <v>3</v>
      </c>
      <c r="AB124">
        <f t="shared" si="13"/>
        <v>2103</v>
      </c>
      <c r="AC124">
        <f t="shared" si="14"/>
        <v>42</v>
      </c>
      <c r="AD124">
        <f t="shared" si="18"/>
        <v>126</v>
      </c>
      <c r="AE124" s="78">
        <v>900</v>
      </c>
    </row>
    <row r="125" ht="15" spans="25:31">
      <c r="Y125">
        <f t="shared" si="17"/>
        <v>2</v>
      </c>
      <c r="Z125">
        <v>1</v>
      </c>
      <c r="AA125">
        <v>4</v>
      </c>
      <c r="AB125">
        <f t="shared" si="13"/>
        <v>2104</v>
      </c>
      <c r="AC125">
        <f t="shared" si="14"/>
        <v>42</v>
      </c>
      <c r="AD125">
        <f t="shared" si="18"/>
        <v>168</v>
      </c>
      <c r="AE125" s="78">
        <v>1100</v>
      </c>
    </row>
    <row r="126" ht="15" spans="25:31">
      <c r="Y126">
        <f t="shared" si="17"/>
        <v>2</v>
      </c>
      <c r="Z126">
        <v>1</v>
      </c>
      <c r="AA126">
        <v>5</v>
      </c>
      <c r="AB126">
        <f t="shared" si="13"/>
        <v>2105</v>
      </c>
      <c r="AC126">
        <f t="shared" si="14"/>
        <v>42</v>
      </c>
      <c r="AD126">
        <f t="shared" si="18"/>
        <v>210</v>
      </c>
      <c r="AE126" s="78">
        <v>1300</v>
      </c>
    </row>
    <row r="127" ht="15" spans="25:31">
      <c r="Y127">
        <f t="shared" si="17"/>
        <v>2</v>
      </c>
      <c r="Z127">
        <v>1</v>
      </c>
      <c r="AA127">
        <v>6</v>
      </c>
      <c r="AB127">
        <f t="shared" si="13"/>
        <v>2106</v>
      </c>
      <c r="AC127">
        <f t="shared" si="14"/>
        <v>42</v>
      </c>
      <c r="AD127">
        <f t="shared" si="18"/>
        <v>252</v>
      </c>
      <c r="AE127" s="78">
        <v>1500</v>
      </c>
    </row>
    <row r="128" ht="15" spans="25:31">
      <c r="Y128">
        <f t="shared" si="17"/>
        <v>2</v>
      </c>
      <c r="Z128">
        <v>1</v>
      </c>
      <c r="AA128">
        <v>7</v>
      </c>
      <c r="AB128">
        <f t="shared" si="13"/>
        <v>2107</v>
      </c>
      <c r="AC128">
        <f t="shared" si="14"/>
        <v>42</v>
      </c>
      <c r="AD128">
        <f t="shared" si="18"/>
        <v>294</v>
      </c>
      <c r="AE128" s="78">
        <v>1700</v>
      </c>
    </row>
    <row r="129" ht="15" spans="25:31">
      <c r="Y129">
        <f t="shared" si="17"/>
        <v>2</v>
      </c>
      <c r="Z129">
        <v>1</v>
      </c>
      <c r="AA129">
        <v>8</v>
      </c>
      <c r="AB129">
        <f t="shared" si="13"/>
        <v>2108</v>
      </c>
      <c r="AC129">
        <f t="shared" si="14"/>
        <v>42</v>
      </c>
      <c r="AD129">
        <f t="shared" si="18"/>
        <v>336</v>
      </c>
      <c r="AE129" s="78">
        <v>1900</v>
      </c>
    </row>
    <row r="130" ht="15" spans="25:31">
      <c r="Y130">
        <f t="shared" si="17"/>
        <v>2</v>
      </c>
      <c r="Z130">
        <v>1</v>
      </c>
      <c r="AA130">
        <v>9</v>
      </c>
      <c r="AB130">
        <f t="shared" si="13"/>
        <v>2109</v>
      </c>
      <c r="AC130">
        <f t="shared" si="14"/>
        <v>42</v>
      </c>
      <c r="AD130">
        <f t="shared" si="18"/>
        <v>378</v>
      </c>
      <c r="AE130" s="78">
        <v>2100</v>
      </c>
    </row>
    <row r="131" ht="15" spans="25:31">
      <c r="Y131">
        <f t="shared" si="17"/>
        <v>2</v>
      </c>
      <c r="Z131">
        <v>1</v>
      </c>
      <c r="AA131">
        <v>10</v>
      </c>
      <c r="AB131">
        <f t="shared" ref="AB131:AB194" si="19">Y131*1000+Z131*100+AA131</f>
        <v>2110</v>
      </c>
      <c r="AC131">
        <f t="shared" si="14"/>
        <v>42</v>
      </c>
      <c r="AD131">
        <f t="shared" si="18"/>
        <v>420</v>
      </c>
      <c r="AE131" s="78">
        <v>2300</v>
      </c>
    </row>
    <row r="132" ht="15" spans="25:31">
      <c r="Y132">
        <f t="shared" si="17"/>
        <v>2</v>
      </c>
      <c r="Z132">
        <v>1</v>
      </c>
      <c r="AA132">
        <v>11</v>
      </c>
      <c r="AB132">
        <f t="shared" si="19"/>
        <v>2111</v>
      </c>
      <c r="AC132">
        <f>AI10</f>
        <v>63</v>
      </c>
      <c r="AD132">
        <f t="shared" si="18"/>
        <v>483</v>
      </c>
      <c r="AE132" s="78">
        <v>2700</v>
      </c>
    </row>
    <row r="133" ht="15" spans="25:31">
      <c r="Y133">
        <f t="shared" si="17"/>
        <v>2</v>
      </c>
      <c r="Z133">
        <v>1</v>
      </c>
      <c r="AA133">
        <v>12</v>
      </c>
      <c r="AB133">
        <f t="shared" si="19"/>
        <v>2112</v>
      </c>
      <c r="AC133">
        <f t="shared" ref="AC133:AC195" si="20">AC132</f>
        <v>63</v>
      </c>
      <c r="AD133">
        <f t="shared" si="18"/>
        <v>546</v>
      </c>
      <c r="AE133" s="78">
        <v>3100</v>
      </c>
    </row>
    <row r="134" ht="15" spans="25:31">
      <c r="Y134">
        <f t="shared" si="17"/>
        <v>2</v>
      </c>
      <c r="Z134">
        <v>1</v>
      </c>
      <c r="AA134">
        <v>13</v>
      </c>
      <c r="AB134">
        <f t="shared" si="19"/>
        <v>2113</v>
      </c>
      <c r="AC134">
        <f t="shared" si="20"/>
        <v>63</v>
      </c>
      <c r="AD134">
        <f t="shared" si="18"/>
        <v>609</v>
      </c>
      <c r="AE134" s="78">
        <v>3500</v>
      </c>
    </row>
    <row r="135" ht="15" spans="25:31">
      <c r="Y135">
        <f t="shared" si="17"/>
        <v>2</v>
      </c>
      <c r="Z135">
        <v>1</v>
      </c>
      <c r="AA135">
        <v>14</v>
      </c>
      <c r="AB135">
        <f t="shared" si="19"/>
        <v>2114</v>
      </c>
      <c r="AC135">
        <f t="shared" si="20"/>
        <v>63</v>
      </c>
      <c r="AD135">
        <f t="shared" si="18"/>
        <v>672</v>
      </c>
      <c r="AE135" s="78">
        <v>3900</v>
      </c>
    </row>
    <row r="136" ht="15" spans="25:31">
      <c r="Y136">
        <f t="shared" si="17"/>
        <v>2</v>
      </c>
      <c r="Z136">
        <v>1</v>
      </c>
      <c r="AA136">
        <v>15</v>
      </c>
      <c r="AB136">
        <f t="shared" si="19"/>
        <v>2115</v>
      </c>
      <c r="AC136">
        <f t="shared" si="20"/>
        <v>63</v>
      </c>
      <c r="AD136">
        <f t="shared" si="18"/>
        <v>735</v>
      </c>
      <c r="AE136" s="78">
        <v>4300</v>
      </c>
    </row>
    <row r="137" ht="15" spans="25:31">
      <c r="Y137">
        <f t="shared" si="17"/>
        <v>2</v>
      </c>
      <c r="Z137">
        <v>1</v>
      </c>
      <c r="AA137">
        <v>16</v>
      </c>
      <c r="AB137">
        <f t="shared" si="19"/>
        <v>2116</v>
      </c>
      <c r="AC137">
        <f t="shared" si="20"/>
        <v>63</v>
      </c>
      <c r="AD137">
        <f t="shared" si="18"/>
        <v>798</v>
      </c>
      <c r="AE137" s="78">
        <v>4700</v>
      </c>
    </row>
    <row r="138" ht="15" spans="25:31">
      <c r="Y138">
        <f t="shared" si="17"/>
        <v>2</v>
      </c>
      <c r="Z138">
        <v>1</v>
      </c>
      <c r="AA138">
        <v>17</v>
      </c>
      <c r="AB138">
        <f t="shared" si="19"/>
        <v>2117</v>
      </c>
      <c r="AC138">
        <f t="shared" si="20"/>
        <v>63</v>
      </c>
      <c r="AD138">
        <f t="shared" si="18"/>
        <v>861</v>
      </c>
      <c r="AE138" s="78">
        <v>5100</v>
      </c>
    </row>
    <row r="139" ht="15" spans="25:31">
      <c r="Y139">
        <f t="shared" si="17"/>
        <v>2</v>
      </c>
      <c r="Z139">
        <v>1</v>
      </c>
      <c r="AA139">
        <v>18</v>
      </c>
      <c r="AB139">
        <f t="shared" si="19"/>
        <v>2118</v>
      </c>
      <c r="AC139">
        <f t="shared" si="20"/>
        <v>63</v>
      </c>
      <c r="AD139">
        <f t="shared" si="18"/>
        <v>924</v>
      </c>
      <c r="AE139" s="78">
        <v>5500</v>
      </c>
    </row>
    <row r="140" ht="15" spans="25:31">
      <c r="Y140">
        <f t="shared" si="17"/>
        <v>2</v>
      </c>
      <c r="Z140">
        <v>1</v>
      </c>
      <c r="AA140">
        <v>19</v>
      </c>
      <c r="AB140">
        <f t="shared" si="19"/>
        <v>2119</v>
      </c>
      <c r="AC140">
        <f t="shared" si="20"/>
        <v>63</v>
      </c>
      <c r="AD140">
        <f t="shared" si="18"/>
        <v>987</v>
      </c>
      <c r="AE140" s="78">
        <v>5900</v>
      </c>
    </row>
    <row r="141" ht="15" spans="25:31">
      <c r="Y141">
        <f t="shared" si="17"/>
        <v>2</v>
      </c>
      <c r="Z141">
        <v>1</v>
      </c>
      <c r="AA141">
        <v>20</v>
      </c>
      <c r="AB141">
        <f t="shared" si="19"/>
        <v>2120</v>
      </c>
      <c r="AC141">
        <f t="shared" si="20"/>
        <v>63</v>
      </c>
      <c r="AD141">
        <f t="shared" si="18"/>
        <v>1050</v>
      </c>
      <c r="AE141" s="78">
        <v>6300</v>
      </c>
    </row>
    <row r="142" ht="15" spans="25:31">
      <c r="Y142">
        <f t="shared" si="17"/>
        <v>2</v>
      </c>
      <c r="Z142">
        <v>1</v>
      </c>
      <c r="AA142">
        <v>21</v>
      </c>
      <c r="AB142">
        <f t="shared" si="19"/>
        <v>2121</v>
      </c>
      <c r="AC142">
        <f>AI11</f>
        <v>85</v>
      </c>
      <c r="AD142">
        <f t="shared" si="18"/>
        <v>1135</v>
      </c>
      <c r="AE142" s="78">
        <v>7100</v>
      </c>
    </row>
    <row r="143" ht="15" spans="25:31">
      <c r="Y143">
        <f t="shared" si="17"/>
        <v>2</v>
      </c>
      <c r="Z143">
        <v>1</v>
      </c>
      <c r="AA143">
        <v>22</v>
      </c>
      <c r="AB143">
        <f t="shared" si="19"/>
        <v>2122</v>
      </c>
      <c r="AC143">
        <f t="shared" si="20"/>
        <v>85</v>
      </c>
      <c r="AD143">
        <f t="shared" si="18"/>
        <v>1220</v>
      </c>
      <c r="AE143" s="78">
        <v>7900</v>
      </c>
    </row>
    <row r="144" ht="15" spans="25:31">
      <c r="Y144">
        <f t="shared" si="17"/>
        <v>2</v>
      </c>
      <c r="Z144">
        <v>1</v>
      </c>
      <c r="AA144">
        <v>23</v>
      </c>
      <c r="AB144">
        <f t="shared" si="19"/>
        <v>2123</v>
      </c>
      <c r="AC144">
        <f t="shared" si="20"/>
        <v>85</v>
      </c>
      <c r="AD144">
        <f t="shared" si="18"/>
        <v>1305</v>
      </c>
      <c r="AE144" s="78">
        <v>8700</v>
      </c>
    </row>
    <row r="145" ht="15" spans="25:31">
      <c r="Y145">
        <f t="shared" si="17"/>
        <v>2</v>
      </c>
      <c r="Z145">
        <v>1</v>
      </c>
      <c r="AA145">
        <v>24</v>
      </c>
      <c r="AB145">
        <f t="shared" si="19"/>
        <v>2124</v>
      </c>
      <c r="AC145">
        <f t="shared" si="20"/>
        <v>85</v>
      </c>
      <c r="AD145">
        <f t="shared" si="18"/>
        <v>1390</v>
      </c>
      <c r="AE145" s="78">
        <v>9500</v>
      </c>
    </row>
    <row r="146" ht="15" spans="25:31">
      <c r="Y146">
        <f t="shared" si="17"/>
        <v>2</v>
      </c>
      <c r="Z146">
        <v>1</v>
      </c>
      <c r="AA146">
        <v>25</v>
      </c>
      <c r="AB146">
        <f t="shared" si="19"/>
        <v>2125</v>
      </c>
      <c r="AC146">
        <f t="shared" si="20"/>
        <v>85</v>
      </c>
      <c r="AD146">
        <f t="shared" si="18"/>
        <v>1475</v>
      </c>
      <c r="AE146" s="78">
        <v>10300</v>
      </c>
    </row>
    <row r="147" ht="15" spans="25:31">
      <c r="Y147">
        <f t="shared" si="17"/>
        <v>2</v>
      </c>
      <c r="Z147">
        <v>1</v>
      </c>
      <c r="AA147">
        <v>26</v>
      </c>
      <c r="AB147">
        <f t="shared" si="19"/>
        <v>2126</v>
      </c>
      <c r="AC147">
        <f t="shared" si="20"/>
        <v>85</v>
      </c>
      <c r="AD147">
        <f t="shared" si="18"/>
        <v>1560</v>
      </c>
      <c r="AE147" s="78">
        <v>11100</v>
      </c>
    </row>
    <row r="148" ht="15" spans="25:31">
      <c r="Y148">
        <f t="shared" si="17"/>
        <v>2</v>
      </c>
      <c r="Z148">
        <v>1</v>
      </c>
      <c r="AA148">
        <v>27</v>
      </c>
      <c r="AB148">
        <f t="shared" si="19"/>
        <v>2127</v>
      </c>
      <c r="AC148">
        <f t="shared" si="20"/>
        <v>85</v>
      </c>
      <c r="AD148">
        <f t="shared" si="18"/>
        <v>1645</v>
      </c>
      <c r="AE148" s="78">
        <v>11900</v>
      </c>
    </row>
    <row r="149" ht="15" spans="25:31">
      <c r="Y149">
        <f t="shared" si="17"/>
        <v>2</v>
      </c>
      <c r="Z149">
        <v>1</v>
      </c>
      <c r="AA149">
        <v>28</v>
      </c>
      <c r="AB149">
        <f t="shared" si="19"/>
        <v>2128</v>
      </c>
      <c r="AC149">
        <f t="shared" si="20"/>
        <v>85</v>
      </c>
      <c r="AD149">
        <f t="shared" si="18"/>
        <v>1730</v>
      </c>
      <c r="AE149" s="78">
        <v>12700</v>
      </c>
    </row>
    <row r="150" ht="15" spans="25:31">
      <c r="Y150">
        <f t="shared" si="17"/>
        <v>2</v>
      </c>
      <c r="Z150">
        <v>1</v>
      </c>
      <c r="AA150">
        <v>29</v>
      </c>
      <c r="AB150">
        <f t="shared" si="19"/>
        <v>2129</v>
      </c>
      <c r="AC150">
        <f t="shared" si="20"/>
        <v>85</v>
      </c>
      <c r="AD150">
        <f t="shared" si="18"/>
        <v>1815</v>
      </c>
      <c r="AE150" s="78">
        <v>13500</v>
      </c>
    </row>
    <row r="151" ht="15" spans="25:31">
      <c r="Y151">
        <f t="shared" si="17"/>
        <v>2</v>
      </c>
      <c r="Z151">
        <v>1</v>
      </c>
      <c r="AA151">
        <v>30</v>
      </c>
      <c r="AB151">
        <f t="shared" si="19"/>
        <v>2130</v>
      </c>
      <c r="AC151">
        <f t="shared" si="20"/>
        <v>85</v>
      </c>
      <c r="AD151">
        <f t="shared" si="18"/>
        <v>1900</v>
      </c>
      <c r="AE151" s="78">
        <v>14300</v>
      </c>
    </row>
    <row r="152" ht="15" spans="25:31">
      <c r="Y152">
        <f t="shared" si="17"/>
        <v>2</v>
      </c>
      <c r="Z152">
        <v>2</v>
      </c>
      <c r="AA152">
        <v>1</v>
      </c>
      <c r="AB152">
        <f t="shared" si="19"/>
        <v>2201</v>
      </c>
      <c r="AC152">
        <f>AJ10</f>
        <v>127</v>
      </c>
      <c r="AD152">
        <f>AC152</f>
        <v>127</v>
      </c>
      <c r="AE152" s="78">
        <v>750</v>
      </c>
    </row>
    <row r="153" ht="15" spans="25:31">
      <c r="Y153">
        <f t="shared" si="17"/>
        <v>2</v>
      </c>
      <c r="Z153">
        <v>2</v>
      </c>
      <c r="AA153">
        <v>2</v>
      </c>
      <c r="AB153">
        <f t="shared" si="19"/>
        <v>2202</v>
      </c>
      <c r="AC153">
        <f t="shared" si="20"/>
        <v>127</v>
      </c>
      <c r="AD153">
        <f t="shared" ref="AD153:AD181" si="21">AD152+AC153</f>
        <v>254</v>
      </c>
      <c r="AE153" s="78">
        <v>1050</v>
      </c>
    </row>
    <row r="154" ht="15" spans="25:31">
      <c r="Y154">
        <f t="shared" si="17"/>
        <v>2</v>
      </c>
      <c r="Z154">
        <v>2</v>
      </c>
      <c r="AA154">
        <v>3</v>
      </c>
      <c r="AB154">
        <f t="shared" si="19"/>
        <v>2203</v>
      </c>
      <c r="AC154">
        <f t="shared" si="20"/>
        <v>127</v>
      </c>
      <c r="AD154">
        <f t="shared" si="21"/>
        <v>381</v>
      </c>
      <c r="AE154" s="78">
        <v>1350</v>
      </c>
    </row>
    <row r="155" ht="15" spans="25:31">
      <c r="Y155">
        <f t="shared" si="17"/>
        <v>2</v>
      </c>
      <c r="Z155">
        <v>2</v>
      </c>
      <c r="AA155">
        <v>4</v>
      </c>
      <c r="AB155">
        <f t="shared" si="19"/>
        <v>2204</v>
      </c>
      <c r="AC155">
        <f t="shared" si="20"/>
        <v>127</v>
      </c>
      <c r="AD155">
        <f t="shared" si="21"/>
        <v>508</v>
      </c>
      <c r="AE155" s="78">
        <v>1650</v>
      </c>
    </row>
    <row r="156" ht="15" spans="25:31">
      <c r="Y156">
        <f t="shared" si="17"/>
        <v>2</v>
      </c>
      <c r="Z156">
        <v>2</v>
      </c>
      <c r="AA156">
        <v>5</v>
      </c>
      <c r="AB156">
        <f t="shared" si="19"/>
        <v>2205</v>
      </c>
      <c r="AC156">
        <f t="shared" si="20"/>
        <v>127</v>
      </c>
      <c r="AD156">
        <f t="shared" si="21"/>
        <v>635</v>
      </c>
      <c r="AE156" s="78">
        <v>1950</v>
      </c>
    </row>
    <row r="157" ht="15" spans="25:31">
      <c r="Y157">
        <f t="shared" si="17"/>
        <v>2</v>
      </c>
      <c r="Z157">
        <v>2</v>
      </c>
      <c r="AA157">
        <v>6</v>
      </c>
      <c r="AB157">
        <f t="shared" si="19"/>
        <v>2206</v>
      </c>
      <c r="AC157">
        <f t="shared" si="20"/>
        <v>127</v>
      </c>
      <c r="AD157">
        <f t="shared" si="21"/>
        <v>762</v>
      </c>
      <c r="AE157" s="78">
        <v>2250</v>
      </c>
    </row>
    <row r="158" ht="15" spans="25:31">
      <c r="Y158">
        <f t="shared" si="17"/>
        <v>2</v>
      </c>
      <c r="Z158">
        <v>2</v>
      </c>
      <c r="AA158">
        <v>7</v>
      </c>
      <c r="AB158">
        <f t="shared" si="19"/>
        <v>2207</v>
      </c>
      <c r="AC158">
        <f t="shared" si="20"/>
        <v>127</v>
      </c>
      <c r="AD158">
        <f t="shared" si="21"/>
        <v>889</v>
      </c>
      <c r="AE158" s="78">
        <v>2550</v>
      </c>
    </row>
    <row r="159" ht="15" spans="25:31">
      <c r="Y159">
        <f t="shared" si="17"/>
        <v>2</v>
      </c>
      <c r="Z159">
        <v>2</v>
      </c>
      <c r="AA159">
        <v>8</v>
      </c>
      <c r="AB159">
        <f t="shared" si="19"/>
        <v>2208</v>
      </c>
      <c r="AC159">
        <f t="shared" si="20"/>
        <v>127</v>
      </c>
      <c r="AD159">
        <f t="shared" si="21"/>
        <v>1016</v>
      </c>
      <c r="AE159" s="78">
        <v>2850</v>
      </c>
    </row>
    <row r="160" ht="15" spans="25:31">
      <c r="Y160">
        <f t="shared" si="17"/>
        <v>2</v>
      </c>
      <c r="Z160">
        <v>2</v>
      </c>
      <c r="AA160">
        <v>9</v>
      </c>
      <c r="AB160">
        <f t="shared" si="19"/>
        <v>2209</v>
      </c>
      <c r="AC160">
        <f t="shared" si="20"/>
        <v>127</v>
      </c>
      <c r="AD160">
        <f t="shared" si="21"/>
        <v>1143</v>
      </c>
      <c r="AE160" s="78">
        <v>3150</v>
      </c>
    </row>
    <row r="161" ht="15" spans="25:31">
      <c r="Y161">
        <f t="shared" si="17"/>
        <v>2</v>
      </c>
      <c r="Z161">
        <v>2</v>
      </c>
      <c r="AA161">
        <v>10</v>
      </c>
      <c r="AB161">
        <f t="shared" si="19"/>
        <v>2210</v>
      </c>
      <c r="AC161">
        <f t="shared" si="20"/>
        <v>127</v>
      </c>
      <c r="AD161">
        <f t="shared" si="21"/>
        <v>1270</v>
      </c>
      <c r="AE161" s="78">
        <v>3450</v>
      </c>
    </row>
    <row r="162" ht="15" spans="25:31">
      <c r="Y162">
        <f t="shared" si="17"/>
        <v>2</v>
      </c>
      <c r="Z162">
        <v>2</v>
      </c>
      <c r="AA162">
        <v>11</v>
      </c>
      <c r="AB162">
        <f t="shared" si="19"/>
        <v>2211</v>
      </c>
      <c r="AC162">
        <f>AJ11</f>
        <v>169</v>
      </c>
      <c r="AD162">
        <f t="shared" si="21"/>
        <v>1439</v>
      </c>
      <c r="AE162" s="78">
        <v>4050</v>
      </c>
    </row>
    <row r="163" ht="15" spans="25:31">
      <c r="Y163">
        <f t="shared" si="17"/>
        <v>2</v>
      </c>
      <c r="Z163">
        <v>2</v>
      </c>
      <c r="AA163">
        <v>12</v>
      </c>
      <c r="AB163">
        <f t="shared" si="19"/>
        <v>2212</v>
      </c>
      <c r="AC163">
        <f t="shared" si="20"/>
        <v>169</v>
      </c>
      <c r="AD163">
        <f t="shared" si="21"/>
        <v>1608</v>
      </c>
      <c r="AE163" s="78">
        <v>4650</v>
      </c>
    </row>
    <row r="164" ht="15" spans="25:31">
      <c r="Y164">
        <f t="shared" si="17"/>
        <v>2</v>
      </c>
      <c r="Z164">
        <v>2</v>
      </c>
      <c r="AA164">
        <v>13</v>
      </c>
      <c r="AB164">
        <f t="shared" si="19"/>
        <v>2213</v>
      </c>
      <c r="AC164">
        <f t="shared" si="20"/>
        <v>169</v>
      </c>
      <c r="AD164">
        <f t="shared" si="21"/>
        <v>1777</v>
      </c>
      <c r="AE164" s="78">
        <v>5250</v>
      </c>
    </row>
    <row r="165" ht="15" spans="25:31">
      <c r="Y165">
        <f t="shared" si="17"/>
        <v>2</v>
      </c>
      <c r="Z165">
        <v>2</v>
      </c>
      <c r="AA165">
        <v>14</v>
      </c>
      <c r="AB165">
        <f t="shared" si="19"/>
        <v>2214</v>
      </c>
      <c r="AC165">
        <f t="shared" si="20"/>
        <v>169</v>
      </c>
      <c r="AD165">
        <f t="shared" si="21"/>
        <v>1946</v>
      </c>
      <c r="AE165" s="78">
        <v>5850</v>
      </c>
    </row>
    <row r="166" ht="15" spans="25:31">
      <c r="Y166">
        <f t="shared" si="17"/>
        <v>2</v>
      </c>
      <c r="Z166">
        <v>2</v>
      </c>
      <c r="AA166">
        <v>15</v>
      </c>
      <c r="AB166">
        <f t="shared" si="19"/>
        <v>2215</v>
      </c>
      <c r="AC166">
        <f t="shared" si="20"/>
        <v>169</v>
      </c>
      <c r="AD166">
        <f t="shared" si="21"/>
        <v>2115</v>
      </c>
      <c r="AE166" s="78">
        <v>6450</v>
      </c>
    </row>
    <row r="167" ht="15" spans="25:31">
      <c r="Y167">
        <f t="shared" si="17"/>
        <v>2</v>
      </c>
      <c r="Z167">
        <v>2</v>
      </c>
      <c r="AA167">
        <v>16</v>
      </c>
      <c r="AB167">
        <f t="shared" si="19"/>
        <v>2216</v>
      </c>
      <c r="AC167">
        <f t="shared" si="20"/>
        <v>169</v>
      </c>
      <c r="AD167">
        <f t="shared" si="21"/>
        <v>2284</v>
      </c>
      <c r="AE167" s="78">
        <v>7050</v>
      </c>
    </row>
    <row r="168" ht="15" spans="25:31">
      <c r="Y168">
        <f t="shared" si="17"/>
        <v>2</v>
      </c>
      <c r="Z168">
        <v>2</v>
      </c>
      <c r="AA168">
        <v>17</v>
      </c>
      <c r="AB168">
        <f t="shared" si="19"/>
        <v>2217</v>
      </c>
      <c r="AC168">
        <f t="shared" si="20"/>
        <v>169</v>
      </c>
      <c r="AD168">
        <f t="shared" si="21"/>
        <v>2453</v>
      </c>
      <c r="AE168" s="78">
        <v>7650</v>
      </c>
    </row>
    <row r="169" ht="15" spans="25:31">
      <c r="Y169">
        <f t="shared" si="17"/>
        <v>2</v>
      </c>
      <c r="Z169">
        <v>2</v>
      </c>
      <c r="AA169">
        <v>18</v>
      </c>
      <c r="AB169">
        <f t="shared" si="19"/>
        <v>2218</v>
      </c>
      <c r="AC169">
        <f t="shared" si="20"/>
        <v>169</v>
      </c>
      <c r="AD169">
        <f t="shared" si="21"/>
        <v>2622</v>
      </c>
      <c r="AE169" s="78">
        <v>8250</v>
      </c>
    </row>
    <row r="170" ht="15" spans="25:31">
      <c r="Y170">
        <f t="shared" si="17"/>
        <v>2</v>
      </c>
      <c r="Z170">
        <v>2</v>
      </c>
      <c r="AA170">
        <v>19</v>
      </c>
      <c r="AB170">
        <f t="shared" si="19"/>
        <v>2219</v>
      </c>
      <c r="AC170">
        <f t="shared" si="20"/>
        <v>169</v>
      </c>
      <c r="AD170">
        <f t="shared" si="21"/>
        <v>2791</v>
      </c>
      <c r="AE170" s="78">
        <v>8850</v>
      </c>
    </row>
    <row r="171" ht="15" spans="25:31">
      <c r="Y171">
        <f t="shared" si="17"/>
        <v>2</v>
      </c>
      <c r="Z171">
        <v>2</v>
      </c>
      <c r="AA171">
        <v>20</v>
      </c>
      <c r="AB171">
        <f t="shared" si="19"/>
        <v>2220</v>
      </c>
      <c r="AC171">
        <f t="shared" si="20"/>
        <v>169</v>
      </c>
      <c r="AD171">
        <f t="shared" si="21"/>
        <v>2960</v>
      </c>
      <c r="AE171" s="78">
        <v>9450</v>
      </c>
    </row>
    <row r="172" ht="15" spans="25:31">
      <c r="Y172">
        <f t="shared" si="17"/>
        <v>2</v>
      </c>
      <c r="Z172">
        <v>2</v>
      </c>
      <c r="AA172">
        <v>21</v>
      </c>
      <c r="AB172">
        <f t="shared" si="19"/>
        <v>2221</v>
      </c>
      <c r="AC172">
        <f t="shared" si="20"/>
        <v>169</v>
      </c>
      <c r="AD172">
        <f t="shared" si="21"/>
        <v>3129</v>
      </c>
      <c r="AE172" s="78">
        <v>10650</v>
      </c>
    </row>
    <row r="173" ht="15" spans="25:31">
      <c r="Y173">
        <f t="shared" si="17"/>
        <v>2</v>
      </c>
      <c r="Z173">
        <v>2</v>
      </c>
      <c r="AA173">
        <v>22</v>
      </c>
      <c r="AB173">
        <f t="shared" si="19"/>
        <v>2222</v>
      </c>
      <c r="AC173">
        <f t="shared" si="20"/>
        <v>169</v>
      </c>
      <c r="AD173">
        <f t="shared" si="21"/>
        <v>3298</v>
      </c>
      <c r="AE173" s="78">
        <v>11850</v>
      </c>
    </row>
    <row r="174" ht="15" spans="25:31">
      <c r="Y174">
        <f t="shared" si="17"/>
        <v>2</v>
      </c>
      <c r="Z174">
        <v>2</v>
      </c>
      <c r="AA174">
        <v>23</v>
      </c>
      <c r="AB174">
        <f t="shared" si="19"/>
        <v>2223</v>
      </c>
      <c r="AC174">
        <f t="shared" si="20"/>
        <v>169</v>
      </c>
      <c r="AD174">
        <f t="shared" si="21"/>
        <v>3467</v>
      </c>
      <c r="AE174" s="78">
        <v>13050</v>
      </c>
    </row>
    <row r="175" ht="15" spans="25:31">
      <c r="Y175">
        <f t="shared" si="17"/>
        <v>2</v>
      </c>
      <c r="Z175">
        <v>2</v>
      </c>
      <c r="AA175">
        <v>24</v>
      </c>
      <c r="AB175">
        <f t="shared" si="19"/>
        <v>2224</v>
      </c>
      <c r="AC175">
        <f t="shared" si="20"/>
        <v>169</v>
      </c>
      <c r="AD175">
        <f t="shared" si="21"/>
        <v>3636</v>
      </c>
      <c r="AE175" s="78">
        <v>14250</v>
      </c>
    </row>
    <row r="176" ht="15" spans="25:31">
      <c r="Y176">
        <f t="shared" si="17"/>
        <v>2</v>
      </c>
      <c r="Z176">
        <v>2</v>
      </c>
      <c r="AA176">
        <v>25</v>
      </c>
      <c r="AB176">
        <f t="shared" si="19"/>
        <v>2225</v>
      </c>
      <c r="AC176">
        <f t="shared" si="20"/>
        <v>169</v>
      </c>
      <c r="AD176">
        <f t="shared" si="21"/>
        <v>3805</v>
      </c>
      <c r="AE176" s="78">
        <v>15450</v>
      </c>
    </row>
    <row r="177" ht="15" spans="25:31">
      <c r="Y177">
        <f t="shared" si="17"/>
        <v>2</v>
      </c>
      <c r="Z177">
        <v>2</v>
      </c>
      <c r="AA177">
        <v>26</v>
      </c>
      <c r="AB177">
        <f t="shared" si="19"/>
        <v>2226</v>
      </c>
      <c r="AC177">
        <f t="shared" si="20"/>
        <v>169</v>
      </c>
      <c r="AD177">
        <f t="shared" si="21"/>
        <v>3974</v>
      </c>
      <c r="AE177" s="78">
        <v>16650</v>
      </c>
    </row>
    <row r="178" ht="15" spans="25:31">
      <c r="Y178">
        <f t="shared" si="17"/>
        <v>2</v>
      </c>
      <c r="Z178">
        <v>2</v>
      </c>
      <c r="AA178">
        <v>27</v>
      </c>
      <c r="AB178">
        <f t="shared" si="19"/>
        <v>2227</v>
      </c>
      <c r="AC178">
        <f t="shared" si="20"/>
        <v>169</v>
      </c>
      <c r="AD178">
        <f t="shared" si="21"/>
        <v>4143</v>
      </c>
      <c r="AE178" s="78">
        <v>17850</v>
      </c>
    </row>
    <row r="179" ht="15" spans="25:31">
      <c r="Y179">
        <f t="shared" si="17"/>
        <v>2</v>
      </c>
      <c r="Z179">
        <v>2</v>
      </c>
      <c r="AA179">
        <v>28</v>
      </c>
      <c r="AB179">
        <f t="shared" si="19"/>
        <v>2228</v>
      </c>
      <c r="AC179">
        <f t="shared" si="20"/>
        <v>169</v>
      </c>
      <c r="AD179">
        <f t="shared" si="21"/>
        <v>4312</v>
      </c>
      <c r="AE179" s="78">
        <v>19050</v>
      </c>
    </row>
    <row r="180" ht="15" spans="25:31">
      <c r="Y180">
        <f t="shared" si="17"/>
        <v>2</v>
      </c>
      <c r="Z180">
        <v>2</v>
      </c>
      <c r="AA180">
        <v>29</v>
      </c>
      <c r="AB180">
        <f t="shared" si="19"/>
        <v>2229</v>
      </c>
      <c r="AC180">
        <f t="shared" si="20"/>
        <v>169</v>
      </c>
      <c r="AD180">
        <f t="shared" si="21"/>
        <v>4481</v>
      </c>
      <c r="AE180" s="78">
        <v>20250</v>
      </c>
    </row>
    <row r="181" ht="15" spans="25:31">
      <c r="Y181">
        <f t="shared" si="17"/>
        <v>2</v>
      </c>
      <c r="Z181">
        <v>2</v>
      </c>
      <c r="AA181">
        <v>30</v>
      </c>
      <c r="AB181">
        <f t="shared" si="19"/>
        <v>2230</v>
      </c>
      <c r="AC181">
        <f t="shared" si="20"/>
        <v>169</v>
      </c>
      <c r="AD181">
        <f t="shared" si="21"/>
        <v>4650</v>
      </c>
      <c r="AE181" s="78">
        <v>21450</v>
      </c>
    </row>
    <row r="182" spans="25:31">
      <c r="Y182">
        <f t="shared" si="17"/>
        <v>2</v>
      </c>
      <c r="Z182">
        <v>3</v>
      </c>
      <c r="AA182">
        <v>1</v>
      </c>
      <c r="AB182">
        <f t="shared" si="19"/>
        <v>2301</v>
      </c>
      <c r="AC182">
        <f>AK9</f>
        <v>211</v>
      </c>
      <c r="AD182">
        <f>AC182</f>
        <v>211</v>
      </c>
      <c r="AE182">
        <v>1000</v>
      </c>
    </row>
    <row r="183" spans="25:31">
      <c r="Y183">
        <f t="shared" si="17"/>
        <v>2</v>
      </c>
      <c r="Z183">
        <v>3</v>
      </c>
      <c r="AA183">
        <v>2</v>
      </c>
      <c r="AB183">
        <f t="shared" si="19"/>
        <v>2302</v>
      </c>
      <c r="AC183">
        <f t="shared" si="20"/>
        <v>211</v>
      </c>
      <c r="AD183">
        <f t="shared" ref="AD183:AD211" si="22">AD182+AC183</f>
        <v>422</v>
      </c>
      <c r="AE183">
        <v>1400</v>
      </c>
    </row>
    <row r="184" spans="25:31">
      <c r="Y184">
        <f t="shared" si="17"/>
        <v>2</v>
      </c>
      <c r="Z184">
        <v>3</v>
      </c>
      <c r="AA184">
        <v>3</v>
      </c>
      <c r="AB184">
        <f t="shared" si="19"/>
        <v>2303</v>
      </c>
      <c r="AC184">
        <f t="shared" si="20"/>
        <v>211</v>
      </c>
      <c r="AD184">
        <f t="shared" si="22"/>
        <v>633</v>
      </c>
      <c r="AE184">
        <v>1800</v>
      </c>
    </row>
    <row r="185" spans="25:31">
      <c r="Y185">
        <f t="shared" si="17"/>
        <v>2</v>
      </c>
      <c r="Z185">
        <v>3</v>
      </c>
      <c r="AA185">
        <v>4</v>
      </c>
      <c r="AB185">
        <f t="shared" si="19"/>
        <v>2304</v>
      </c>
      <c r="AC185">
        <f t="shared" si="20"/>
        <v>211</v>
      </c>
      <c r="AD185">
        <f t="shared" si="22"/>
        <v>844</v>
      </c>
      <c r="AE185">
        <v>2200</v>
      </c>
    </row>
    <row r="186" spans="25:31">
      <c r="Y186">
        <f t="shared" si="17"/>
        <v>2</v>
      </c>
      <c r="Z186">
        <v>3</v>
      </c>
      <c r="AA186">
        <v>5</v>
      </c>
      <c r="AB186">
        <f t="shared" si="19"/>
        <v>2305</v>
      </c>
      <c r="AC186">
        <f t="shared" si="20"/>
        <v>211</v>
      </c>
      <c r="AD186">
        <f t="shared" si="22"/>
        <v>1055</v>
      </c>
      <c r="AE186">
        <v>2600</v>
      </c>
    </row>
    <row r="187" spans="25:31">
      <c r="Y187">
        <f t="shared" ref="Y187:Y250" si="23">Y67+1</f>
        <v>2</v>
      </c>
      <c r="Z187">
        <v>3</v>
      </c>
      <c r="AA187">
        <v>6</v>
      </c>
      <c r="AB187">
        <f t="shared" si="19"/>
        <v>2306</v>
      </c>
      <c r="AC187">
        <f t="shared" si="20"/>
        <v>211</v>
      </c>
      <c r="AD187">
        <f t="shared" si="22"/>
        <v>1266</v>
      </c>
      <c r="AE187">
        <v>3000</v>
      </c>
    </row>
    <row r="188" spans="25:31">
      <c r="Y188">
        <f t="shared" si="23"/>
        <v>2</v>
      </c>
      <c r="Z188">
        <v>3</v>
      </c>
      <c r="AA188">
        <v>7</v>
      </c>
      <c r="AB188">
        <f t="shared" si="19"/>
        <v>2307</v>
      </c>
      <c r="AC188">
        <f t="shared" si="20"/>
        <v>211</v>
      </c>
      <c r="AD188">
        <f t="shared" si="22"/>
        <v>1477</v>
      </c>
      <c r="AE188">
        <v>3400</v>
      </c>
    </row>
    <row r="189" spans="25:31">
      <c r="Y189">
        <f t="shared" si="23"/>
        <v>2</v>
      </c>
      <c r="Z189">
        <v>3</v>
      </c>
      <c r="AA189">
        <v>8</v>
      </c>
      <c r="AB189">
        <f t="shared" si="19"/>
        <v>2308</v>
      </c>
      <c r="AC189">
        <f t="shared" si="20"/>
        <v>211</v>
      </c>
      <c r="AD189">
        <f t="shared" si="22"/>
        <v>1688</v>
      </c>
      <c r="AE189">
        <v>3800</v>
      </c>
    </row>
    <row r="190" spans="25:31">
      <c r="Y190">
        <f t="shared" si="23"/>
        <v>2</v>
      </c>
      <c r="Z190">
        <v>3</v>
      </c>
      <c r="AA190">
        <v>9</v>
      </c>
      <c r="AB190">
        <f t="shared" si="19"/>
        <v>2309</v>
      </c>
      <c r="AC190">
        <f t="shared" si="20"/>
        <v>211</v>
      </c>
      <c r="AD190">
        <f t="shared" si="22"/>
        <v>1899</v>
      </c>
      <c r="AE190">
        <v>4200</v>
      </c>
    </row>
    <row r="191" spans="25:31">
      <c r="Y191">
        <f t="shared" si="23"/>
        <v>2</v>
      </c>
      <c r="Z191">
        <v>3</v>
      </c>
      <c r="AA191">
        <v>10</v>
      </c>
      <c r="AB191">
        <f t="shared" si="19"/>
        <v>2310</v>
      </c>
      <c r="AC191">
        <f t="shared" si="20"/>
        <v>211</v>
      </c>
      <c r="AD191">
        <f t="shared" si="22"/>
        <v>2110</v>
      </c>
      <c r="AE191">
        <v>4600</v>
      </c>
    </row>
    <row r="192" spans="25:31">
      <c r="Y192">
        <f t="shared" si="23"/>
        <v>2</v>
      </c>
      <c r="Z192">
        <v>3</v>
      </c>
      <c r="AA192">
        <v>11</v>
      </c>
      <c r="AB192">
        <f t="shared" si="19"/>
        <v>2311</v>
      </c>
      <c r="AC192">
        <f>AK10</f>
        <v>317</v>
      </c>
      <c r="AD192">
        <f t="shared" si="22"/>
        <v>2427</v>
      </c>
      <c r="AE192">
        <v>5400</v>
      </c>
    </row>
    <row r="193" spans="25:31">
      <c r="Y193">
        <f t="shared" si="23"/>
        <v>2</v>
      </c>
      <c r="Z193">
        <v>3</v>
      </c>
      <c r="AA193">
        <v>12</v>
      </c>
      <c r="AB193">
        <f t="shared" si="19"/>
        <v>2312</v>
      </c>
      <c r="AC193">
        <f t="shared" si="20"/>
        <v>317</v>
      </c>
      <c r="AD193">
        <f t="shared" si="22"/>
        <v>2744</v>
      </c>
      <c r="AE193">
        <v>6200</v>
      </c>
    </row>
    <row r="194" spans="25:31">
      <c r="Y194">
        <f t="shared" si="23"/>
        <v>2</v>
      </c>
      <c r="Z194">
        <v>3</v>
      </c>
      <c r="AA194">
        <v>13</v>
      </c>
      <c r="AB194">
        <f t="shared" si="19"/>
        <v>2313</v>
      </c>
      <c r="AC194">
        <f t="shared" si="20"/>
        <v>317</v>
      </c>
      <c r="AD194">
        <f t="shared" si="22"/>
        <v>3061</v>
      </c>
      <c r="AE194">
        <v>7000</v>
      </c>
    </row>
    <row r="195" spans="25:31">
      <c r="Y195">
        <f t="shared" si="23"/>
        <v>2</v>
      </c>
      <c r="Z195">
        <v>3</v>
      </c>
      <c r="AA195">
        <v>14</v>
      </c>
      <c r="AB195">
        <f t="shared" ref="AB195:AB258" si="24">Y195*1000+Z195*100+AA195</f>
        <v>2314</v>
      </c>
      <c r="AC195">
        <f t="shared" si="20"/>
        <v>317</v>
      </c>
      <c r="AD195">
        <f t="shared" si="22"/>
        <v>3378</v>
      </c>
      <c r="AE195">
        <v>7800</v>
      </c>
    </row>
    <row r="196" spans="25:31">
      <c r="Y196">
        <f t="shared" si="23"/>
        <v>2</v>
      </c>
      <c r="Z196">
        <v>3</v>
      </c>
      <c r="AA196">
        <v>15</v>
      </c>
      <c r="AB196">
        <f t="shared" si="24"/>
        <v>2315</v>
      </c>
      <c r="AC196">
        <f t="shared" ref="AC196:AC259" si="25">AC195</f>
        <v>317</v>
      </c>
      <c r="AD196">
        <f t="shared" si="22"/>
        <v>3695</v>
      </c>
      <c r="AE196">
        <v>8600</v>
      </c>
    </row>
    <row r="197" spans="25:31">
      <c r="Y197">
        <f t="shared" si="23"/>
        <v>2</v>
      </c>
      <c r="Z197">
        <v>3</v>
      </c>
      <c r="AA197">
        <v>16</v>
      </c>
      <c r="AB197">
        <f t="shared" si="24"/>
        <v>2316</v>
      </c>
      <c r="AC197">
        <f t="shared" si="25"/>
        <v>317</v>
      </c>
      <c r="AD197">
        <f t="shared" si="22"/>
        <v>4012</v>
      </c>
      <c r="AE197">
        <v>9400</v>
      </c>
    </row>
    <row r="198" spans="25:31">
      <c r="Y198">
        <f t="shared" si="23"/>
        <v>2</v>
      </c>
      <c r="Z198">
        <v>3</v>
      </c>
      <c r="AA198">
        <v>17</v>
      </c>
      <c r="AB198">
        <f t="shared" si="24"/>
        <v>2317</v>
      </c>
      <c r="AC198">
        <f t="shared" si="25"/>
        <v>317</v>
      </c>
      <c r="AD198">
        <f t="shared" si="22"/>
        <v>4329</v>
      </c>
      <c r="AE198">
        <v>10200</v>
      </c>
    </row>
    <row r="199" spans="25:31">
      <c r="Y199">
        <f t="shared" si="23"/>
        <v>2</v>
      </c>
      <c r="Z199">
        <v>3</v>
      </c>
      <c r="AA199">
        <v>18</v>
      </c>
      <c r="AB199">
        <f t="shared" si="24"/>
        <v>2318</v>
      </c>
      <c r="AC199">
        <f t="shared" si="25"/>
        <v>317</v>
      </c>
      <c r="AD199">
        <f t="shared" si="22"/>
        <v>4646</v>
      </c>
      <c r="AE199">
        <v>11000</v>
      </c>
    </row>
    <row r="200" spans="25:31">
      <c r="Y200">
        <f t="shared" si="23"/>
        <v>2</v>
      </c>
      <c r="Z200">
        <v>3</v>
      </c>
      <c r="AA200">
        <v>19</v>
      </c>
      <c r="AB200">
        <f t="shared" si="24"/>
        <v>2319</v>
      </c>
      <c r="AC200">
        <f t="shared" si="25"/>
        <v>317</v>
      </c>
      <c r="AD200">
        <f t="shared" si="22"/>
        <v>4963</v>
      </c>
      <c r="AE200">
        <v>11800</v>
      </c>
    </row>
    <row r="201" spans="25:31">
      <c r="Y201">
        <f t="shared" si="23"/>
        <v>2</v>
      </c>
      <c r="Z201">
        <v>3</v>
      </c>
      <c r="AA201">
        <v>20</v>
      </c>
      <c r="AB201">
        <f t="shared" si="24"/>
        <v>2320</v>
      </c>
      <c r="AC201">
        <f t="shared" si="25"/>
        <v>317</v>
      </c>
      <c r="AD201">
        <f t="shared" si="22"/>
        <v>5280</v>
      </c>
      <c r="AE201">
        <v>12600</v>
      </c>
    </row>
    <row r="202" spans="25:31">
      <c r="Y202">
        <f t="shared" si="23"/>
        <v>2</v>
      </c>
      <c r="Z202">
        <v>3</v>
      </c>
      <c r="AA202">
        <v>21</v>
      </c>
      <c r="AB202">
        <f t="shared" si="24"/>
        <v>2321</v>
      </c>
      <c r="AC202">
        <f>AK11</f>
        <v>423</v>
      </c>
      <c r="AD202">
        <f t="shared" si="22"/>
        <v>5703</v>
      </c>
      <c r="AE202">
        <v>14200</v>
      </c>
    </row>
    <row r="203" spans="25:31">
      <c r="Y203">
        <f t="shared" si="23"/>
        <v>2</v>
      </c>
      <c r="Z203">
        <v>3</v>
      </c>
      <c r="AA203">
        <v>22</v>
      </c>
      <c r="AB203">
        <f t="shared" si="24"/>
        <v>2322</v>
      </c>
      <c r="AC203">
        <f t="shared" si="25"/>
        <v>423</v>
      </c>
      <c r="AD203">
        <f t="shared" si="22"/>
        <v>6126</v>
      </c>
      <c r="AE203">
        <v>15800</v>
      </c>
    </row>
    <row r="204" spans="25:31">
      <c r="Y204">
        <f t="shared" si="23"/>
        <v>2</v>
      </c>
      <c r="Z204">
        <v>3</v>
      </c>
      <c r="AA204">
        <v>23</v>
      </c>
      <c r="AB204">
        <f t="shared" si="24"/>
        <v>2323</v>
      </c>
      <c r="AC204">
        <f t="shared" si="25"/>
        <v>423</v>
      </c>
      <c r="AD204">
        <f t="shared" si="22"/>
        <v>6549</v>
      </c>
      <c r="AE204">
        <v>17400</v>
      </c>
    </row>
    <row r="205" spans="25:31">
      <c r="Y205">
        <f t="shared" si="23"/>
        <v>2</v>
      </c>
      <c r="Z205">
        <v>3</v>
      </c>
      <c r="AA205">
        <v>24</v>
      </c>
      <c r="AB205">
        <f t="shared" si="24"/>
        <v>2324</v>
      </c>
      <c r="AC205">
        <f t="shared" si="25"/>
        <v>423</v>
      </c>
      <c r="AD205">
        <f t="shared" si="22"/>
        <v>6972</v>
      </c>
      <c r="AE205">
        <v>19000</v>
      </c>
    </row>
    <row r="206" spans="25:31">
      <c r="Y206">
        <f t="shared" si="23"/>
        <v>2</v>
      </c>
      <c r="Z206">
        <v>3</v>
      </c>
      <c r="AA206">
        <v>25</v>
      </c>
      <c r="AB206">
        <f t="shared" si="24"/>
        <v>2325</v>
      </c>
      <c r="AC206">
        <f t="shared" si="25"/>
        <v>423</v>
      </c>
      <c r="AD206">
        <f t="shared" si="22"/>
        <v>7395</v>
      </c>
      <c r="AE206">
        <v>20600</v>
      </c>
    </row>
    <row r="207" spans="25:31">
      <c r="Y207">
        <f t="shared" si="23"/>
        <v>2</v>
      </c>
      <c r="Z207">
        <v>3</v>
      </c>
      <c r="AA207">
        <v>26</v>
      </c>
      <c r="AB207">
        <f t="shared" si="24"/>
        <v>2326</v>
      </c>
      <c r="AC207">
        <f t="shared" si="25"/>
        <v>423</v>
      </c>
      <c r="AD207">
        <f t="shared" si="22"/>
        <v>7818</v>
      </c>
      <c r="AE207">
        <v>22200</v>
      </c>
    </row>
    <row r="208" spans="25:31">
      <c r="Y208">
        <f t="shared" si="23"/>
        <v>2</v>
      </c>
      <c r="Z208">
        <v>3</v>
      </c>
      <c r="AA208">
        <v>27</v>
      </c>
      <c r="AB208">
        <f t="shared" si="24"/>
        <v>2327</v>
      </c>
      <c r="AC208">
        <f t="shared" si="25"/>
        <v>423</v>
      </c>
      <c r="AD208">
        <f t="shared" si="22"/>
        <v>8241</v>
      </c>
      <c r="AE208">
        <v>23800</v>
      </c>
    </row>
    <row r="209" spans="25:31">
      <c r="Y209">
        <f t="shared" si="23"/>
        <v>2</v>
      </c>
      <c r="Z209">
        <v>3</v>
      </c>
      <c r="AA209">
        <v>28</v>
      </c>
      <c r="AB209">
        <f t="shared" si="24"/>
        <v>2328</v>
      </c>
      <c r="AC209">
        <f t="shared" si="25"/>
        <v>423</v>
      </c>
      <c r="AD209">
        <f t="shared" si="22"/>
        <v>8664</v>
      </c>
      <c r="AE209">
        <v>25400</v>
      </c>
    </row>
    <row r="210" spans="25:31">
      <c r="Y210">
        <f t="shared" si="23"/>
        <v>2</v>
      </c>
      <c r="Z210">
        <v>3</v>
      </c>
      <c r="AA210">
        <v>29</v>
      </c>
      <c r="AB210">
        <f t="shared" si="24"/>
        <v>2329</v>
      </c>
      <c r="AC210">
        <f t="shared" si="25"/>
        <v>423</v>
      </c>
      <c r="AD210">
        <f t="shared" si="22"/>
        <v>9087</v>
      </c>
      <c r="AE210">
        <v>27000</v>
      </c>
    </row>
    <row r="211" spans="25:31">
      <c r="Y211">
        <f t="shared" si="23"/>
        <v>2</v>
      </c>
      <c r="Z211">
        <v>3</v>
      </c>
      <c r="AA211">
        <v>30</v>
      </c>
      <c r="AB211">
        <f t="shared" si="24"/>
        <v>2330</v>
      </c>
      <c r="AC211">
        <f t="shared" si="25"/>
        <v>423</v>
      </c>
      <c r="AD211">
        <f t="shared" si="22"/>
        <v>9510</v>
      </c>
      <c r="AE211">
        <v>28600</v>
      </c>
    </row>
    <row r="212" spans="25:31">
      <c r="Y212">
        <f t="shared" si="23"/>
        <v>2</v>
      </c>
      <c r="Z212">
        <v>4</v>
      </c>
      <c r="AA212">
        <v>1</v>
      </c>
      <c r="AB212">
        <f t="shared" si="24"/>
        <v>2401</v>
      </c>
      <c r="AC212">
        <f>AL9</f>
        <v>352</v>
      </c>
      <c r="AD212">
        <f>AC212</f>
        <v>352</v>
      </c>
      <c r="AE212">
        <v>1500</v>
      </c>
    </row>
    <row r="213" spans="25:31">
      <c r="Y213">
        <f t="shared" si="23"/>
        <v>2</v>
      </c>
      <c r="Z213">
        <v>4</v>
      </c>
      <c r="AA213">
        <v>2</v>
      </c>
      <c r="AB213">
        <f t="shared" si="24"/>
        <v>2402</v>
      </c>
      <c r="AC213">
        <f t="shared" si="25"/>
        <v>352</v>
      </c>
      <c r="AD213">
        <f t="shared" ref="AD213:AD241" si="26">AD212+AC213</f>
        <v>704</v>
      </c>
      <c r="AE213">
        <v>2100</v>
      </c>
    </row>
    <row r="214" spans="25:31">
      <c r="Y214">
        <f t="shared" si="23"/>
        <v>2</v>
      </c>
      <c r="Z214">
        <v>4</v>
      </c>
      <c r="AA214">
        <v>3</v>
      </c>
      <c r="AB214">
        <f t="shared" si="24"/>
        <v>2403</v>
      </c>
      <c r="AC214">
        <f t="shared" si="25"/>
        <v>352</v>
      </c>
      <c r="AD214">
        <f t="shared" si="26"/>
        <v>1056</v>
      </c>
      <c r="AE214">
        <v>2700</v>
      </c>
    </row>
    <row r="215" spans="25:31">
      <c r="Y215">
        <f t="shared" si="23"/>
        <v>2</v>
      </c>
      <c r="Z215">
        <v>4</v>
      </c>
      <c r="AA215">
        <v>4</v>
      </c>
      <c r="AB215">
        <f t="shared" si="24"/>
        <v>2404</v>
      </c>
      <c r="AC215">
        <f t="shared" si="25"/>
        <v>352</v>
      </c>
      <c r="AD215">
        <f t="shared" si="26"/>
        <v>1408</v>
      </c>
      <c r="AE215">
        <v>3300</v>
      </c>
    </row>
    <row r="216" spans="25:31">
      <c r="Y216">
        <f t="shared" si="23"/>
        <v>2</v>
      </c>
      <c r="Z216">
        <v>4</v>
      </c>
      <c r="AA216">
        <v>5</v>
      </c>
      <c r="AB216">
        <f t="shared" si="24"/>
        <v>2405</v>
      </c>
      <c r="AC216">
        <f t="shared" si="25"/>
        <v>352</v>
      </c>
      <c r="AD216">
        <f t="shared" si="26"/>
        <v>1760</v>
      </c>
      <c r="AE216">
        <v>3900</v>
      </c>
    </row>
    <row r="217" spans="25:31">
      <c r="Y217">
        <f t="shared" si="23"/>
        <v>2</v>
      </c>
      <c r="Z217">
        <v>4</v>
      </c>
      <c r="AA217">
        <v>6</v>
      </c>
      <c r="AB217">
        <f t="shared" si="24"/>
        <v>2406</v>
      </c>
      <c r="AC217">
        <f t="shared" si="25"/>
        <v>352</v>
      </c>
      <c r="AD217">
        <f t="shared" si="26"/>
        <v>2112</v>
      </c>
      <c r="AE217">
        <v>4500</v>
      </c>
    </row>
    <row r="218" spans="25:31">
      <c r="Y218">
        <f t="shared" si="23"/>
        <v>2</v>
      </c>
      <c r="Z218">
        <v>4</v>
      </c>
      <c r="AA218">
        <v>7</v>
      </c>
      <c r="AB218">
        <f t="shared" si="24"/>
        <v>2407</v>
      </c>
      <c r="AC218">
        <f t="shared" si="25"/>
        <v>352</v>
      </c>
      <c r="AD218">
        <f t="shared" si="26"/>
        <v>2464</v>
      </c>
      <c r="AE218">
        <v>5100</v>
      </c>
    </row>
    <row r="219" spans="25:31">
      <c r="Y219">
        <f t="shared" si="23"/>
        <v>2</v>
      </c>
      <c r="Z219">
        <v>4</v>
      </c>
      <c r="AA219">
        <v>8</v>
      </c>
      <c r="AB219">
        <f t="shared" si="24"/>
        <v>2408</v>
      </c>
      <c r="AC219">
        <f t="shared" si="25"/>
        <v>352</v>
      </c>
      <c r="AD219">
        <f t="shared" si="26"/>
        <v>2816</v>
      </c>
      <c r="AE219">
        <v>5700</v>
      </c>
    </row>
    <row r="220" spans="25:31">
      <c r="Y220">
        <f t="shared" si="23"/>
        <v>2</v>
      </c>
      <c r="Z220">
        <v>4</v>
      </c>
      <c r="AA220">
        <v>9</v>
      </c>
      <c r="AB220">
        <f t="shared" si="24"/>
        <v>2409</v>
      </c>
      <c r="AC220">
        <f t="shared" si="25"/>
        <v>352</v>
      </c>
      <c r="AD220">
        <f t="shared" si="26"/>
        <v>3168</v>
      </c>
      <c r="AE220">
        <v>6300</v>
      </c>
    </row>
    <row r="221" spans="25:31">
      <c r="Y221">
        <f t="shared" si="23"/>
        <v>2</v>
      </c>
      <c r="Z221">
        <v>4</v>
      </c>
      <c r="AA221">
        <v>10</v>
      </c>
      <c r="AB221">
        <f t="shared" si="24"/>
        <v>2410</v>
      </c>
      <c r="AC221">
        <f t="shared" si="25"/>
        <v>352</v>
      </c>
      <c r="AD221">
        <f t="shared" si="26"/>
        <v>3520</v>
      </c>
      <c r="AE221">
        <v>6900</v>
      </c>
    </row>
    <row r="222" spans="25:31">
      <c r="Y222">
        <f t="shared" si="23"/>
        <v>2</v>
      </c>
      <c r="Z222">
        <v>4</v>
      </c>
      <c r="AA222">
        <v>11</v>
      </c>
      <c r="AB222">
        <f t="shared" si="24"/>
        <v>2411</v>
      </c>
      <c r="AC222">
        <f>AL10</f>
        <v>529</v>
      </c>
      <c r="AD222">
        <f t="shared" si="26"/>
        <v>4049</v>
      </c>
      <c r="AE222">
        <v>8100</v>
      </c>
    </row>
    <row r="223" spans="25:31">
      <c r="Y223">
        <f t="shared" si="23"/>
        <v>2</v>
      </c>
      <c r="Z223">
        <v>4</v>
      </c>
      <c r="AA223">
        <v>12</v>
      </c>
      <c r="AB223">
        <f t="shared" si="24"/>
        <v>2412</v>
      </c>
      <c r="AC223">
        <f t="shared" si="25"/>
        <v>529</v>
      </c>
      <c r="AD223">
        <f t="shared" si="26"/>
        <v>4578</v>
      </c>
      <c r="AE223">
        <v>9300</v>
      </c>
    </row>
    <row r="224" spans="25:31">
      <c r="Y224">
        <f t="shared" si="23"/>
        <v>2</v>
      </c>
      <c r="Z224">
        <v>4</v>
      </c>
      <c r="AA224">
        <v>13</v>
      </c>
      <c r="AB224">
        <f t="shared" si="24"/>
        <v>2413</v>
      </c>
      <c r="AC224">
        <f t="shared" si="25"/>
        <v>529</v>
      </c>
      <c r="AD224">
        <f t="shared" si="26"/>
        <v>5107</v>
      </c>
      <c r="AE224">
        <v>10500</v>
      </c>
    </row>
    <row r="225" spans="25:31">
      <c r="Y225">
        <f t="shared" si="23"/>
        <v>2</v>
      </c>
      <c r="Z225">
        <v>4</v>
      </c>
      <c r="AA225">
        <v>14</v>
      </c>
      <c r="AB225">
        <f t="shared" si="24"/>
        <v>2414</v>
      </c>
      <c r="AC225">
        <f t="shared" si="25"/>
        <v>529</v>
      </c>
      <c r="AD225">
        <f t="shared" si="26"/>
        <v>5636</v>
      </c>
      <c r="AE225">
        <v>11700</v>
      </c>
    </row>
    <row r="226" spans="25:31">
      <c r="Y226">
        <f t="shared" si="23"/>
        <v>2</v>
      </c>
      <c r="Z226">
        <v>4</v>
      </c>
      <c r="AA226">
        <v>15</v>
      </c>
      <c r="AB226">
        <f t="shared" si="24"/>
        <v>2415</v>
      </c>
      <c r="AC226">
        <f t="shared" si="25"/>
        <v>529</v>
      </c>
      <c r="AD226">
        <f t="shared" si="26"/>
        <v>6165</v>
      </c>
      <c r="AE226">
        <v>12900</v>
      </c>
    </row>
    <row r="227" spans="25:31">
      <c r="Y227">
        <f t="shared" si="23"/>
        <v>2</v>
      </c>
      <c r="Z227">
        <v>4</v>
      </c>
      <c r="AA227">
        <v>16</v>
      </c>
      <c r="AB227">
        <f t="shared" si="24"/>
        <v>2416</v>
      </c>
      <c r="AC227">
        <f t="shared" si="25"/>
        <v>529</v>
      </c>
      <c r="AD227">
        <f t="shared" si="26"/>
        <v>6694</v>
      </c>
      <c r="AE227">
        <v>14100</v>
      </c>
    </row>
    <row r="228" spans="25:31">
      <c r="Y228">
        <f t="shared" si="23"/>
        <v>2</v>
      </c>
      <c r="Z228">
        <v>4</v>
      </c>
      <c r="AA228">
        <v>17</v>
      </c>
      <c r="AB228">
        <f t="shared" si="24"/>
        <v>2417</v>
      </c>
      <c r="AC228">
        <f t="shared" si="25"/>
        <v>529</v>
      </c>
      <c r="AD228">
        <f t="shared" si="26"/>
        <v>7223</v>
      </c>
      <c r="AE228">
        <v>15300</v>
      </c>
    </row>
    <row r="229" spans="25:31">
      <c r="Y229">
        <f t="shared" si="23"/>
        <v>2</v>
      </c>
      <c r="Z229">
        <v>4</v>
      </c>
      <c r="AA229">
        <v>18</v>
      </c>
      <c r="AB229">
        <f t="shared" si="24"/>
        <v>2418</v>
      </c>
      <c r="AC229">
        <f t="shared" si="25"/>
        <v>529</v>
      </c>
      <c r="AD229">
        <f t="shared" si="26"/>
        <v>7752</v>
      </c>
      <c r="AE229">
        <v>16500</v>
      </c>
    </row>
    <row r="230" spans="25:31">
      <c r="Y230">
        <f t="shared" si="23"/>
        <v>2</v>
      </c>
      <c r="Z230">
        <v>4</v>
      </c>
      <c r="AA230">
        <v>19</v>
      </c>
      <c r="AB230">
        <f t="shared" si="24"/>
        <v>2419</v>
      </c>
      <c r="AC230">
        <f t="shared" si="25"/>
        <v>529</v>
      </c>
      <c r="AD230">
        <f t="shared" si="26"/>
        <v>8281</v>
      </c>
      <c r="AE230">
        <v>17700</v>
      </c>
    </row>
    <row r="231" spans="25:31">
      <c r="Y231">
        <f t="shared" si="23"/>
        <v>2</v>
      </c>
      <c r="Z231">
        <v>4</v>
      </c>
      <c r="AA231">
        <v>20</v>
      </c>
      <c r="AB231">
        <f t="shared" si="24"/>
        <v>2420</v>
      </c>
      <c r="AC231">
        <f t="shared" si="25"/>
        <v>529</v>
      </c>
      <c r="AD231">
        <f t="shared" si="26"/>
        <v>8810</v>
      </c>
      <c r="AE231">
        <v>18900</v>
      </c>
    </row>
    <row r="232" spans="25:31">
      <c r="Y232">
        <f t="shared" si="23"/>
        <v>2</v>
      </c>
      <c r="Z232">
        <v>4</v>
      </c>
      <c r="AA232">
        <v>21</v>
      </c>
      <c r="AB232">
        <f t="shared" si="24"/>
        <v>2421</v>
      </c>
      <c r="AC232">
        <f>AL11</f>
        <v>705</v>
      </c>
      <c r="AD232">
        <f t="shared" si="26"/>
        <v>9515</v>
      </c>
      <c r="AE232">
        <v>21300</v>
      </c>
    </row>
    <row r="233" spans="25:31">
      <c r="Y233">
        <f t="shared" si="23"/>
        <v>2</v>
      </c>
      <c r="Z233">
        <v>4</v>
      </c>
      <c r="AA233">
        <v>22</v>
      </c>
      <c r="AB233">
        <f t="shared" si="24"/>
        <v>2422</v>
      </c>
      <c r="AC233">
        <f t="shared" si="25"/>
        <v>705</v>
      </c>
      <c r="AD233">
        <f t="shared" si="26"/>
        <v>10220</v>
      </c>
      <c r="AE233">
        <v>23700</v>
      </c>
    </row>
    <row r="234" spans="25:31">
      <c r="Y234">
        <f t="shared" si="23"/>
        <v>2</v>
      </c>
      <c r="Z234">
        <v>4</v>
      </c>
      <c r="AA234">
        <v>23</v>
      </c>
      <c r="AB234">
        <f t="shared" si="24"/>
        <v>2423</v>
      </c>
      <c r="AC234">
        <f t="shared" si="25"/>
        <v>705</v>
      </c>
      <c r="AD234">
        <f t="shared" si="26"/>
        <v>10925</v>
      </c>
      <c r="AE234">
        <v>26100</v>
      </c>
    </row>
    <row r="235" spans="25:31">
      <c r="Y235">
        <f t="shared" si="23"/>
        <v>2</v>
      </c>
      <c r="Z235">
        <v>4</v>
      </c>
      <c r="AA235">
        <v>24</v>
      </c>
      <c r="AB235">
        <f t="shared" si="24"/>
        <v>2424</v>
      </c>
      <c r="AC235">
        <f t="shared" si="25"/>
        <v>705</v>
      </c>
      <c r="AD235">
        <f t="shared" si="26"/>
        <v>11630</v>
      </c>
      <c r="AE235">
        <v>28500</v>
      </c>
    </row>
    <row r="236" spans="25:31">
      <c r="Y236">
        <f t="shared" si="23"/>
        <v>2</v>
      </c>
      <c r="Z236">
        <v>4</v>
      </c>
      <c r="AA236">
        <v>25</v>
      </c>
      <c r="AB236">
        <f t="shared" si="24"/>
        <v>2425</v>
      </c>
      <c r="AC236">
        <f t="shared" si="25"/>
        <v>705</v>
      </c>
      <c r="AD236">
        <f t="shared" si="26"/>
        <v>12335</v>
      </c>
      <c r="AE236">
        <v>30900</v>
      </c>
    </row>
    <row r="237" spans="25:31">
      <c r="Y237">
        <f t="shared" si="23"/>
        <v>2</v>
      </c>
      <c r="Z237">
        <v>4</v>
      </c>
      <c r="AA237">
        <v>26</v>
      </c>
      <c r="AB237">
        <f t="shared" si="24"/>
        <v>2426</v>
      </c>
      <c r="AC237">
        <f t="shared" si="25"/>
        <v>705</v>
      </c>
      <c r="AD237">
        <f t="shared" si="26"/>
        <v>13040</v>
      </c>
      <c r="AE237">
        <v>33300</v>
      </c>
    </row>
    <row r="238" spans="25:31">
      <c r="Y238">
        <f t="shared" si="23"/>
        <v>2</v>
      </c>
      <c r="Z238">
        <v>4</v>
      </c>
      <c r="AA238">
        <v>27</v>
      </c>
      <c r="AB238">
        <f t="shared" si="24"/>
        <v>2427</v>
      </c>
      <c r="AC238">
        <f t="shared" si="25"/>
        <v>705</v>
      </c>
      <c r="AD238">
        <f t="shared" si="26"/>
        <v>13745</v>
      </c>
      <c r="AE238">
        <v>35700</v>
      </c>
    </row>
    <row r="239" spans="25:31">
      <c r="Y239">
        <f t="shared" si="23"/>
        <v>2</v>
      </c>
      <c r="Z239">
        <v>4</v>
      </c>
      <c r="AA239">
        <v>28</v>
      </c>
      <c r="AB239">
        <f t="shared" si="24"/>
        <v>2428</v>
      </c>
      <c r="AC239">
        <f t="shared" si="25"/>
        <v>705</v>
      </c>
      <c r="AD239">
        <f t="shared" si="26"/>
        <v>14450</v>
      </c>
      <c r="AE239">
        <v>38100</v>
      </c>
    </row>
    <row r="240" spans="25:31">
      <c r="Y240">
        <f t="shared" si="23"/>
        <v>2</v>
      </c>
      <c r="Z240">
        <v>4</v>
      </c>
      <c r="AA240">
        <v>29</v>
      </c>
      <c r="AB240">
        <f t="shared" si="24"/>
        <v>2429</v>
      </c>
      <c r="AC240">
        <f t="shared" si="25"/>
        <v>705</v>
      </c>
      <c r="AD240">
        <f t="shared" si="26"/>
        <v>15155</v>
      </c>
      <c r="AE240">
        <v>40500</v>
      </c>
    </row>
    <row r="241" spans="25:31">
      <c r="Y241">
        <f t="shared" si="23"/>
        <v>2</v>
      </c>
      <c r="Z241">
        <v>4</v>
      </c>
      <c r="AA241">
        <v>30</v>
      </c>
      <c r="AB241">
        <f t="shared" si="24"/>
        <v>2430</v>
      </c>
      <c r="AC241">
        <f t="shared" si="25"/>
        <v>705</v>
      </c>
      <c r="AD241">
        <f t="shared" si="26"/>
        <v>15860</v>
      </c>
      <c r="AE241">
        <v>42900</v>
      </c>
    </row>
    <row r="242" ht="15" spans="25:31">
      <c r="Y242">
        <f t="shared" si="23"/>
        <v>3</v>
      </c>
      <c r="Z242">
        <v>1</v>
      </c>
      <c r="AA242">
        <v>1</v>
      </c>
      <c r="AB242">
        <f t="shared" si="24"/>
        <v>3101</v>
      </c>
      <c r="AC242">
        <f>AI14</f>
        <v>100</v>
      </c>
      <c r="AD242">
        <f>AC242</f>
        <v>100</v>
      </c>
      <c r="AE242" s="17">
        <v>500</v>
      </c>
    </row>
    <row r="243" ht="15" spans="25:31">
      <c r="Y243">
        <f t="shared" si="23"/>
        <v>3</v>
      </c>
      <c r="Z243">
        <v>1</v>
      </c>
      <c r="AA243">
        <v>2</v>
      </c>
      <c r="AB243">
        <f t="shared" si="24"/>
        <v>3102</v>
      </c>
      <c r="AC243">
        <f t="shared" si="25"/>
        <v>100</v>
      </c>
      <c r="AD243">
        <f t="shared" ref="AD243:AD271" si="27">AD242+AC243</f>
        <v>200</v>
      </c>
      <c r="AE243" s="78">
        <v>700</v>
      </c>
    </row>
    <row r="244" ht="15" spans="25:31">
      <c r="Y244">
        <f t="shared" si="23"/>
        <v>3</v>
      </c>
      <c r="Z244">
        <v>1</v>
      </c>
      <c r="AA244">
        <v>3</v>
      </c>
      <c r="AB244">
        <f t="shared" si="24"/>
        <v>3103</v>
      </c>
      <c r="AC244">
        <f t="shared" si="25"/>
        <v>100</v>
      </c>
      <c r="AD244">
        <f t="shared" si="27"/>
        <v>300</v>
      </c>
      <c r="AE244" s="78">
        <v>900</v>
      </c>
    </row>
    <row r="245" ht="15" spans="25:31">
      <c r="Y245">
        <f t="shared" si="23"/>
        <v>3</v>
      </c>
      <c r="Z245">
        <v>1</v>
      </c>
      <c r="AA245">
        <v>4</v>
      </c>
      <c r="AB245">
        <f t="shared" si="24"/>
        <v>3104</v>
      </c>
      <c r="AC245">
        <f t="shared" si="25"/>
        <v>100</v>
      </c>
      <c r="AD245">
        <f t="shared" si="27"/>
        <v>400</v>
      </c>
      <c r="AE245" s="78">
        <v>1100</v>
      </c>
    </row>
    <row r="246" ht="15" spans="25:31">
      <c r="Y246">
        <f t="shared" si="23"/>
        <v>3</v>
      </c>
      <c r="Z246">
        <v>1</v>
      </c>
      <c r="AA246">
        <v>5</v>
      </c>
      <c r="AB246">
        <f t="shared" si="24"/>
        <v>3105</v>
      </c>
      <c r="AC246">
        <f t="shared" si="25"/>
        <v>100</v>
      </c>
      <c r="AD246">
        <f t="shared" si="27"/>
        <v>500</v>
      </c>
      <c r="AE246" s="78">
        <v>1300</v>
      </c>
    </row>
    <row r="247" ht="15" spans="25:31">
      <c r="Y247">
        <f t="shared" si="23"/>
        <v>3</v>
      </c>
      <c r="Z247">
        <v>1</v>
      </c>
      <c r="AA247">
        <v>6</v>
      </c>
      <c r="AB247">
        <f t="shared" si="24"/>
        <v>3106</v>
      </c>
      <c r="AC247">
        <f t="shared" si="25"/>
        <v>100</v>
      </c>
      <c r="AD247">
        <f t="shared" si="27"/>
        <v>600</v>
      </c>
      <c r="AE247" s="78">
        <v>1500</v>
      </c>
    </row>
    <row r="248" ht="15" spans="25:31">
      <c r="Y248">
        <f t="shared" si="23"/>
        <v>3</v>
      </c>
      <c r="Z248">
        <v>1</v>
      </c>
      <c r="AA248">
        <v>7</v>
      </c>
      <c r="AB248">
        <f t="shared" si="24"/>
        <v>3107</v>
      </c>
      <c r="AC248">
        <f t="shared" si="25"/>
        <v>100</v>
      </c>
      <c r="AD248">
        <f t="shared" si="27"/>
        <v>700</v>
      </c>
      <c r="AE248" s="78">
        <v>1700</v>
      </c>
    </row>
    <row r="249" ht="15" spans="25:31">
      <c r="Y249">
        <f t="shared" si="23"/>
        <v>3</v>
      </c>
      <c r="Z249">
        <v>1</v>
      </c>
      <c r="AA249">
        <v>8</v>
      </c>
      <c r="AB249">
        <f t="shared" si="24"/>
        <v>3108</v>
      </c>
      <c r="AC249">
        <f t="shared" si="25"/>
        <v>100</v>
      </c>
      <c r="AD249">
        <f t="shared" si="27"/>
        <v>800</v>
      </c>
      <c r="AE249" s="78">
        <v>1900</v>
      </c>
    </row>
    <row r="250" ht="15" spans="25:31">
      <c r="Y250">
        <f t="shared" si="23"/>
        <v>3</v>
      </c>
      <c r="Z250">
        <v>1</v>
      </c>
      <c r="AA250">
        <v>9</v>
      </c>
      <c r="AB250">
        <f t="shared" si="24"/>
        <v>3109</v>
      </c>
      <c r="AC250">
        <f t="shared" si="25"/>
        <v>100</v>
      </c>
      <c r="AD250">
        <f t="shared" si="27"/>
        <v>900</v>
      </c>
      <c r="AE250" s="78">
        <v>2100</v>
      </c>
    </row>
    <row r="251" ht="15" spans="25:31">
      <c r="Y251">
        <f t="shared" ref="Y251:Y314" si="28">Y131+1</f>
        <v>3</v>
      </c>
      <c r="Z251">
        <v>1</v>
      </c>
      <c r="AA251">
        <v>10</v>
      </c>
      <c r="AB251">
        <f t="shared" si="24"/>
        <v>3110</v>
      </c>
      <c r="AC251">
        <f t="shared" si="25"/>
        <v>100</v>
      </c>
      <c r="AD251">
        <f t="shared" si="27"/>
        <v>1000</v>
      </c>
      <c r="AE251" s="78">
        <v>2300</v>
      </c>
    </row>
    <row r="252" ht="15" spans="25:31">
      <c r="Y252">
        <f t="shared" si="28"/>
        <v>3</v>
      </c>
      <c r="Z252">
        <v>1</v>
      </c>
      <c r="AA252">
        <v>11</v>
      </c>
      <c r="AB252">
        <f t="shared" si="24"/>
        <v>3111</v>
      </c>
      <c r="AC252">
        <f>AI15</f>
        <v>149</v>
      </c>
      <c r="AD252">
        <f t="shared" si="27"/>
        <v>1149</v>
      </c>
      <c r="AE252" s="78">
        <v>2700</v>
      </c>
    </row>
    <row r="253" ht="15" spans="25:31">
      <c r="Y253">
        <f t="shared" si="28"/>
        <v>3</v>
      </c>
      <c r="Z253">
        <v>1</v>
      </c>
      <c r="AA253">
        <v>12</v>
      </c>
      <c r="AB253">
        <f t="shared" si="24"/>
        <v>3112</v>
      </c>
      <c r="AC253">
        <f t="shared" si="25"/>
        <v>149</v>
      </c>
      <c r="AD253">
        <f t="shared" si="27"/>
        <v>1298</v>
      </c>
      <c r="AE253" s="78">
        <v>3100</v>
      </c>
    </row>
    <row r="254" ht="15" spans="25:31">
      <c r="Y254">
        <f t="shared" si="28"/>
        <v>3</v>
      </c>
      <c r="Z254">
        <v>1</v>
      </c>
      <c r="AA254">
        <v>13</v>
      </c>
      <c r="AB254">
        <f t="shared" si="24"/>
        <v>3113</v>
      </c>
      <c r="AC254">
        <f t="shared" si="25"/>
        <v>149</v>
      </c>
      <c r="AD254">
        <f t="shared" si="27"/>
        <v>1447</v>
      </c>
      <c r="AE254" s="78">
        <v>3500</v>
      </c>
    </row>
    <row r="255" ht="15" spans="25:31">
      <c r="Y255">
        <f t="shared" si="28"/>
        <v>3</v>
      </c>
      <c r="Z255">
        <v>1</v>
      </c>
      <c r="AA255">
        <v>14</v>
      </c>
      <c r="AB255">
        <f t="shared" si="24"/>
        <v>3114</v>
      </c>
      <c r="AC255">
        <f t="shared" si="25"/>
        <v>149</v>
      </c>
      <c r="AD255">
        <f t="shared" si="27"/>
        <v>1596</v>
      </c>
      <c r="AE255" s="78">
        <v>3900</v>
      </c>
    </row>
    <row r="256" ht="15" spans="25:31">
      <c r="Y256">
        <f t="shared" si="28"/>
        <v>3</v>
      </c>
      <c r="Z256">
        <v>1</v>
      </c>
      <c r="AA256">
        <v>15</v>
      </c>
      <c r="AB256">
        <f t="shared" si="24"/>
        <v>3115</v>
      </c>
      <c r="AC256">
        <f t="shared" si="25"/>
        <v>149</v>
      </c>
      <c r="AD256">
        <f t="shared" si="27"/>
        <v>1745</v>
      </c>
      <c r="AE256" s="78">
        <v>4300</v>
      </c>
    </row>
    <row r="257" ht="15" spans="25:31">
      <c r="Y257">
        <f t="shared" si="28"/>
        <v>3</v>
      </c>
      <c r="Z257">
        <v>1</v>
      </c>
      <c r="AA257">
        <v>16</v>
      </c>
      <c r="AB257">
        <f t="shared" si="24"/>
        <v>3116</v>
      </c>
      <c r="AC257">
        <f t="shared" si="25"/>
        <v>149</v>
      </c>
      <c r="AD257">
        <f t="shared" si="27"/>
        <v>1894</v>
      </c>
      <c r="AE257" s="78">
        <v>4700</v>
      </c>
    </row>
    <row r="258" ht="15" spans="25:31">
      <c r="Y258">
        <f t="shared" si="28"/>
        <v>3</v>
      </c>
      <c r="Z258">
        <v>1</v>
      </c>
      <c r="AA258">
        <v>17</v>
      </c>
      <c r="AB258">
        <f t="shared" si="24"/>
        <v>3117</v>
      </c>
      <c r="AC258">
        <f t="shared" si="25"/>
        <v>149</v>
      </c>
      <c r="AD258">
        <f t="shared" si="27"/>
        <v>2043</v>
      </c>
      <c r="AE258" s="78">
        <v>5100</v>
      </c>
    </row>
    <row r="259" ht="15" spans="25:31">
      <c r="Y259">
        <f t="shared" si="28"/>
        <v>3</v>
      </c>
      <c r="Z259">
        <v>1</v>
      </c>
      <c r="AA259">
        <v>18</v>
      </c>
      <c r="AB259">
        <f t="shared" ref="AB259:AB322" si="29">Y259*1000+Z259*100+AA259</f>
        <v>3118</v>
      </c>
      <c r="AC259">
        <f t="shared" si="25"/>
        <v>149</v>
      </c>
      <c r="AD259">
        <f t="shared" si="27"/>
        <v>2192</v>
      </c>
      <c r="AE259" s="78">
        <v>5500</v>
      </c>
    </row>
    <row r="260" ht="15" spans="25:31">
      <c r="Y260">
        <f t="shared" si="28"/>
        <v>3</v>
      </c>
      <c r="Z260">
        <v>1</v>
      </c>
      <c r="AA260">
        <v>19</v>
      </c>
      <c r="AB260">
        <f t="shared" si="29"/>
        <v>3119</v>
      </c>
      <c r="AC260">
        <f t="shared" ref="AC260:AC323" si="30">AC259</f>
        <v>149</v>
      </c>
      <c r="AD260">
        <f t="shared" si="27"/>
        <v>2341</v>
      </c>
      <c r="AE260" s="78">
        <v>5900</v>
      </c>
    </row>
    <row r="261" ht="15" spans="25:31">
      <c r="Y261">
        <f t="shared" si="28"/>
        <v>3</v>
      </c>
      <c r="Z261">
        <v>1</v>
      </c>
      <c r="AA261">
        <v>20</v>
      </c>
      <c r="AB261">
        <f t="shared" si="29"/>
        <v>3120</v>
      </c>
      <c r="AC261">
        <f t="shared" si="30"/>
        <v>149</v>
      </c>
      <c r="AD261">
        <f t="shared" si="27"/>
        <v>2490</v>
      </c>
      <c r="AE261" s="78">
        <v>6300</v>
      </c>
    </row>
    <row r="262" ht="15" spans="25:31">
      <c r="Y262">
        <f t="shared" si="28"/>
        <v>3</v>
      </c>
      <c r="Z262">
        <v>1</v>
      </c>
      <c r="AA262">
        <v>21</v>
      </c>
      <c r="AB262">
        <f t="shared" si="29"/>
        <v>3121</v>
      </c>
      <c r="AC262">
        <f>AI16</f>
        <v>199</v>
      </c>
      <c r="AD262">
        <f t="shared" si="27"/>
        <v>2689</v>
      </c>
      <c r="AE262" s="78">
        <v>7100</v>
      </c>
    </row>
    <row r="263" ht="15" spans="25:31">
      <c r="Y263">
        <f t="shared" si="28"/>
        <v>3</v>
      </c>
      <c r="Z263">
        <v>1</v>
      </c>
      <c r="AA263">
        <v>22</v>
      </c>
      <c r="AB263">
        <f t="shared" si="29"/>
        <v>3122</v>
      </c>
      <c r="AC263">
        <f t="shared" si="30"/>
        <v>199</v>
      </c>
      <c r="AD263">
        <f t="shared" si="27"/>
        <v>2888</v>
      </c>
      <c r="AE263" s="78">
        <v>7900</v>
      </c>
    </row>
    <row r="264" ht="15" spans="25:31">
      <c r="Y264">
        <f t="shared" si="28"/>
        <v>3</v>
      </c>
      <c r="Z264">
        <v>1</v>
      </c>
      <c r="AA264">
        <v>23</v>
      </c>
      <c r="AB264">
        <f t="shared" si="29"/>
        <v>3123</v>
      </c>
      <c r="AC264">
        <f t="shared" si="30"/>
        <v>199</v>
      </c>
      <c r="AD264">
        <f t="shared" si="27"/>
        <v>3087</v>
      </c>
      <c r="AE264" s="78">
        <v>8700</v>
      </c>
    </row>
    <row r="265" ht="15" spans="25:31">
      <c r="Y265">
        <f t="shared" si="28"/>
        <v>3</v>
      </c>
      <c r="Z265">
        <v>1</v>
      </c>
      <c r="AA265">
        <v>24</v>
      </c>
      <c r="AB265">
        <f t="shared" si="29"/>
        <v>3124</v>
      </c>
      <c r="AC265">
        <f t="shared" si="30"/>
        <v>199</v>
      </c>
      <c r="AD265">
        <f t="shared" si="27"/>
        <v>3286</v>
      </c>
      <c r="AE265" s="78">
        <v>9500</v>
      </c>
    </row>
    <row r="266" ht="15" spans="25:31">
      <c r="Y266">
        <f t="shared" si="28"/>
        <v>3</v>
      </c>
      <c r="Z266">
        <v>1</v>
      </c>
      <c r="AA266">
        <v>25</v>
      </c>
      <c r="AB266">
        <f t="shared" si="29"/>
        <v>3125</v>
      </c>
      <c r="AC266">
        <f t="shared" si="30"/>
        <v>199</v>
      </c>
      <c r="AD266">
        <f t="shared" si="27"/>
        <v>3485</v>
      </c>
      <c r="AE266" s="78">
        <v>10300</v>
      </c>
    </row>
    <row r="267" ht="15" spans="25:31">
      <c r="Y267">
        <f t="shared" si="28"/>
        <v>3</v>
      </c>
      <c r="Z267">
        <v>1</v>
      </c>
      <c r="AA267">
        <v>26</v>
      </c>
      <c r="AB267">
        <f t="shared" si="29"/>
        <v>3126</v>
      </c>
      <c r="AC267">
        <f t="shared" si="30"/>
        <v>199</v>
      </c>
      <c r="AD267">
        <f t="shared" si="27"/>
        <v>3684</v>
      </c>
      <c r="AE267" s="78">
        <v>11100</v>
      </c>
    </row>
    <row r="268" ht="15" spans="25:31">
      <c r="Y268">
        <f t="shared" si="28"/>
        <v>3</v>
      </c>
      <c r="Z268">
        <v>1</v>
      </c>
      <c r="AA268">
        <v>27</v>
      </c>
      <c r="AB268">
        <f t="shared" si="29"/>
        <v>3127</v>
      </c>
      <c r="AC268">
        <f t="shared" si="30"/>
        <v>199</v>
      </c>
      <c r="AD268">
        <f t="shared" si="27"/>
        <v>3883</v>
      </c>
      <c r="AE268" s="78">
        <v>11900</v>
      </c>
    </row>
    <row r="269" ht="15" spans="25:31">
      <c r="Y269">
        <f t="shared" si="28"/>
        <v>3</v>
      </c>
      <c r="Z269">
        <v>1</v>
      </c>
      <c r="AA269">
        <v>28</v>
      </c>
      <c r="AB269">
        <f t="shared" si="29"/>
        <v>3128</v>
      </c>
      <c r="AC269">
        <f t="shared" si="30"/>
        <v>199</v>
      </c>
      <c r="AD269">
        <f t="shared" si="27"/>
        <v>4082</v>
      </c>
      <c r="AE269" s="78">
        <v>12700</v>
      </c>
    </row>
    <row r="270" ht="15" spans="25:31">
      <c r="Y270">
        <f t="shared" si="28"/>
        <v>3</v>
      </c>
      <c r="Z270">
        <v>1</v>
      </c>
      <c r="AA270">
        <v>29</v>
      </c>
      <c r="AB270">
        <f t="shared" si="29"/>
        <v>3129</v>
      </c>
      <c r="AC270">
        <f t="shared" si="30"/>
        <v>199</v>
      </c>
      <c r="AD270">
        <f t="shared" si="27"/>
        <v>4281</v>
      </c>
      <c r="AE270" s="78">
        <v>13500</v>
      </c>
    </row>
    <row r="271" ht="15" spans="25:31">
      <c r="Y271">
        <f t="shared" si="28"/>
        <v>3</v>
      </c>
      <c r="Z271">
        <v>1</v>
      </c>
      <c r="AA271">
        <v>30</v>
      </c>
      <c r="AB271">
        <f t="shared" si="29"/>
        <v>3130</v>
      </c>
      <c r="AC271">
        <f t="shared" si="30"/>
        <v>199</v>
      </c>
      <c r="AD271">
        <f t="shared" si="27"/>
        <v>4480</v>
      </c>
      <c r="AE271" s="78">
        <v>14300</v>
      </c>
    </row>
    <row r="272" ht="15" spans="25:31">
      <c r="Y272">
        <f t="shared" si="28"/>
        <v>3</v>
      </c>
      <c r="Z272">
        <f t="shared" ref="Z272:Z335" si="31">Z242+1</f>
        <v>2</v>
      </c>
      <c r="AA272">
        <v>1</v>
      </c>
      <c r="AB272">
        <f t="shared" si="29"/>
        <v>3201</v>
      </c>
      <c r="AC272">
        <f>AJ14</f>
        <v>199</v>
      </c>
      <c r="AD272">
        <f>AC272</f>
        <v>199</v>
      </c>
      <c r="AE272" s="78">
        <v>750</v>
      </c>
    </row>
    <row r="273" ht="15" spans="25:31">
      <c r="Y273">
        <f t="shared" si="28"/>
        <v>3</v>
      </c>
      <c r="Z273">
        <f t="shared" si="31"/>
        <v>2</v>
      </c>
      <c r="AA273">
        <v>2</v>
      </c>
      <c r="AB273">
        <f t="shared" si="29"/>
        <v>3202</v>
      </c>
      <c r="AC273">
        <f t="shared" si="30"/>
        <v>199</v>
      </c>
      <c r="AD273">
        <f t="shared" ref="AD273:AD301" si="32">AD272+AC273</f>
        <v>398</v>
      </c>
      <c r="AE273" s="78">
        <v>1050</v>
      </c>
    </row>
    <row r="274" ht="15" spans="25:31">
      <c r="Y274">
        <f t="shared" si="28"/>
        <v>3</v>
      </c>
      <c r="Z274">
        <f t="shared" si="31"/>
        <v>2</v>
      </c>
      <c r="AA274">
        <v>3</v>
      </c>
      <c r="AB274">
        <f t="shared" si="29"/>
        <v>3203</v>
      </c>
      <c r="AC274">
        <f t="shared" si="30"/>
        <v>199</v>
      </c>
      <c r="AD274">
        <f t="shared" si="32"/>
        <v>597</v>
      </c>
      <c r="AE274" s="78">
        <v>1350</v>
      </c>
    </row>
    <row r="275" ht="15" spans="25:31">
      <c r="Y275">
        <f t="shared" si="28"/>
        <v>3</v>
      </c>
      <c r="Z275">
        <f t="shared" si="31"/>
        <v>2</v>
      </c>
      <c r="AA275">
        <v>4</v>
      </c>
      <c r="AB275">
        <f t="shared" si="29"/>
        <v>3204</v>
      </c>
      <c r="AC275">
        <f t="shared" si="30"/>
        <v>199</v>
      </c>
      <c r="AD275">
        <f t="shared" si="32"/>
        <v>796</v>
      </c>
      <c r="AE275" s="78">
        <v>1650</v>
      </c>
    </row>
    <row r="276" ht="15" spans="25:31">
      <c r="Y276">
        <f t="shared" si="28"/>
        <v>3</v>
      </c>
      <c r="Z276">
        <f t="shared" si="31"/>
        <v>2</v>
      </c>
      <c r="AA276">
        <v>5</v>
      </c>
      <c r="AB276">
        <f t="shared" si="29"/>
        <v>3205</v>
      </c>
      <c r="AC276">
        <f t="shared" si="30"/>
        <v>199</v>
      </c>
      <c r="AD276">
        <f t="shared" si="32"/>
        <v>995</v>
      </c>
      <c r="AE276" s="78">
        <v>1950</v>
      </c>
    </row>
    <row r="277" ht="15" spans="25:31">
      <c r="Y277">
        <f t="shared" si="28"/>
        <v>3</v>
      </c>
      <c r="Z277">
        <f t="shared" si="31"/>
        <v>2</v>
      </c>
      <c r="AA277">
        <v>6</v>
      </c>
      <c r="AB277">
        <f t="shared" si="29"/>
        <v>3206</v>
      </c>
      <c r="AC277">
        <f t="shared" si="30"/>
        <v>199</v>
      </c>
      <c r="AD277">
        <f t="shared" si="32"/>
        <v>1194</v>
      </c>
      <c r="AE277" s="78">
        <v>2250</v>
      </c>
    </row>
    <row r="278" ht="15" spans="25:31">
      <c r="Y278">
        <f t="shared" si="28"/>
        <v>3</v>
      </c>
      <c r="Z278">
        <f t="shared" si="31"/>
        <v>2</v>
      </c>
      <c r="AA278">
        <v>7</v>
      </c>
      <c r="AB278">
        <f t="shared" si="29"/>
        <v>3207</v>
      </c>
      <c r="AC278">
        <f t="shared" si="30"/>
        <v>199</v>
      </c>
      <c r="AD278">
        <f t="shared" si="32"/>
        <v>1393</v>
      </c>
      <c r="AE278" s="78">
        <v>2550</v>
      </c>
    </row>
    <row r="279" ht="15" spans="25:31">
      <c r="Y279">
        <f t="shared" si="28"/>
        <v>3</v>
      </c>
      <c r="Z279">
        <f t="shared" si="31"/>
        <v>2</v>
      </c>
      <c r="AA279">
        <v>8</v>
      </c>
      <c r="AB279">
        <f t="shared" si="29"/>
        <v>3208</v>
      </c>
      <c r="AC279">
        <f t="shared" si="30"/>
        <v>199</v>
      </c>
      <c r="AD279">
        <f t="shared" si="32"/>
        <v>1592</v>
      </c>
      <c r="AE279" s="78">
        <v>2850</v>
      </c>
    </row>
    <row r="280" ht="15" spans="25:31">
      <c r="Y280">
        <f t="shared" si="28"/>
        <v>3</v>
      </c>
      <c r="Z280">
        <f t="shared" si="31"/>
        <v>2</v>
      </c>
      <c r="AA280">
        <v>9</v>
      </c>
      <c r="AB280">
        <f t="shared" si="29"/>
        <v>3209</v>
      </c>
      <c r="AC280">
        <f t="shared" si="30"/>
        <v>199</v>
      </c>
      <c r="AD280">
        <f t="shared" si="32"/>
        <v>1791</v>
      </c>
      <c r="AE280" s="78">
        <v>3150</v>
      </c>
    </row>
    <row r="281" ht="15" spans="25:31">
      <c r="Y281">
        <f t="shared" si="28"/>
        <v>3</v>
      </c>
      <c r="Z281">
        <f t="shared" si="31"/>
        <v>2</v>
      </c>
      <c r="AA281">
        <v>10</v>
      </c>
      <c r="AB281">
        <f t="shared" si="29"/>
        <v>3210</v>
      </c>
      <c r="AC281">
        <f t="shared" si="30"/>
        <v>199</v>
      </c>
      <c r="AD281">
        <f t="shared" si="32"/>
        <v>1990</v>
      </c>
      <c r="AE281" s="78">
        <v>3450</v>
      </c>
    </row>
    <row r="282" ht="15" spans="25:31">
      <c r="Y282">
        <f t="shared" si="28"/>
        <v>3</v>
      </c>
      <c r="Z282">
        <f t="shared" si="31"/>
        <v>2</v>
      </c>
      <c r="AA282">
        <v>11</v>
      </c>
      <c r="AB282">
        <f t="shared" si="29"/>
        <v>3211</v>
      </c>
      <c r="AC282">
        <f>AJ15</f>
        <v>299</v>
      </c>
      <c r="AD282">
        <f t="shared" si="32"/>
        <v>2289</v>
      </c>
      <c r="AE282" s="78">
        <v>4050</v>
      </c>
    </row>
    <row r="283" ht="15" spans="25:31">
      <c r="Y283">
        <f t="shared" si="28"/>
        <v>3</v>
      </c>
      <c r="Z283">
        <f t="shared" si="31"/>
        <v>2</v>
      </c>
      <c r="AA283">
        <v>12</v>
      </c>
      <c r="AB283">
        <f t="shared" si="29"/>
        <v>3212</v>
      </c>
      <c r="AC283">
        <f t="shared" si="30"/>
        <v>299</v>
      </c>
      <c r="AD283">
        <f t="shared" si="32"/>
        <v>2588</v>
      </c>
      <c r="AE283" s="78">
        <v>4650</v>
      </c>
    </row>
    <row r="284" ht="15" spans="25:31">
      <c r="Y284">
        <f t="shared" si="28"/>
        <v>3</v>
      </c>
      <c r="Z284">
        <f t="shared" si="31"/>
        <v>2</v>
      </c>
      <c r="AA284">
        <v>13</v>
      </c>
      <c r="AB284">
        <f t="shared" si="29"/>
        <v>3213</v>
      </c>
      <c r="AC284">
        <f t="shared" si="30"/>
        <v>299</v>
      </c>
      <c r="AD284">
        <f t="shared" si="32"/>
        <v>2887</v>
      </c>
      <c r="AE284" s="78">
        <v>5250</v>
      </c>
    </row>
    <row r="285" ht="15" spans="25:31">
      <c r="Y285">
        <f t="shared" si="28"/>
        <v>3</v>
      </c>
      <c r="Z285">
        <f t="shared" si="31"/>
        <v>2</v>
      </c>
      <c r="AA285">
        <v>14</v>
      </c>
      <c r="AB285">
        <f t="shared" si="29"/>
        <v>3214</v>
      </c>
      <c r="AC285">
        <f t="shared" si="30"/>
        <v>299</v>
      </c>
      <c r="AD285">
        <f t="shared" si="32"/>
        <v>3186</v>
      </c>
      <c r="AE285" s="78">
        <v>5850</v>
      </c>
    </row>
    <row r="286" ht="15" spans="25:31">
      <c r="Y286">
        <f t="shared" si="28"/>
        <v>3</v>
      </c>
      <c r="Z286">
        <f t="shared" si="31"/>
        <v>2</v>
      </c>
      <c r="AA286">
        <v>15</v>
      </c>
      <c r="AB286">
        <f t="shared" si="29"/>
        <v>3215</v>
      </c>
      <c r="AC286">
        <f t="shared" si="30"/>
        <v>299</v>
      </c>
      <c r="AD286">
        <f t="shared" si="32"/>
        <v>3485</v>
      </c>
      <c r="AE286" s="78">
        <v>6450</v>
      </c>
    </row>
    <row r="287" ht="15" spans="25:31">
      <c r="Y287">
        <f t="shared" si="28"/>
        <v>3</v>
      </c>
      <c r="Z287">
        <f t="shared" si="31"/>
        <v>2</v>
      </c>
      <c r="AA287">
        <v>16</v>
      </c>
      <c r="AB287">
        <f t="shared" si="29"/>
        <v>3216</v>
      </c>
      <c r="AC287">
        <f t="shared" si="30"/>
        <v>299</v>
      </c>
      <c r="AD287">
        <f t="shared" si="32"/>
        <v>3784</v>
      </c>
      <c r="AE287" s="78">
        <v>7050</v>
      </c>
    </row>
    <row r="288" ht="15" spans="25:31">
      <c r="Y288">
        <f t="shared" si="28"/>
        <v>3</v>
      </c>
      <c r="Z288">
        <f t="shared" si="31"/>
        <v>2</v>
      </c>
      <c r="AA288">
        <v>17</v>
      </c>
      <c r="AB288">
        <f t="shared" si="29"/>
        <v>3217</v>
      </c>
      <c r="AC288">
        <f t="shared" si="30"/>
        <v>299</v>
      </c>
      <c r="AD288">
        <f t="shared" si="32"/>
        <v>4083</v>
      </c>
      <c r="AE288" s="78">
        <v>7650</v>
      </c>
    </row>
    <row r="289" ht="15" spans="25:31">
      <c r="Y289">
        <f t="shared" si="28"/>
        <v>3</v>
      </c>
      <c r="Z289">
        <f t="shared" si="31"/>
        <v>2</v>
      </c>
      <c r="AA289">
        <v>18</v>
      </c>
      <c r="AB289">
        <f t="shared" si="29"/>
        <v>3218</v>
      </c>
      <c r="AC289">
        <f t="shared" si="30"/>
        <v>299</v>
      </c>
      <c r="AD289">
        <f t="shared" si="32"/>
        <v>4382</v>
      </c>
      <c r="AE289" s="78">
        <v>8250</v>
      </c>
    </row>
    <row r="290" ht="15" spans="25:31">
      <c r="Y290">
        <f t="shared" si="28"/>
        <v>3</v>
      </c>
      <c r="Z290">
        <f t="shared" si="31"/>
        <v>2</v>
      </c>
      <c r="AA290">
        <v>19</v>
      </c>
      <c r="AB290">
        <f t="shared" si="29"/>
        <v>3219</v>
      </c>
      <c r="AC290">
        <f t="shared" si="30"/>
        <v>299</v>
      </c>
      <c r="AD290">
        <f t="shared" si="32"/>
        <v>4681</v>
      </c>
      <c r="AE290" s="78">
        <v>8850</v>
      </c>
    </row>
    <row r="291" ht="15" spans="25:31">
      <c r="Y291">
        <f t="shared" si="28"/>
        <v>3</v>
      </c>
      <c r="Z291">
        <f t="shared" si="31"/>
        <v>2</v>
      </c>
      <c r="AA291">
        <v>20</v>
      </c>
      <c r="AB291">
        <f t="shared" si="29"/>
        <v>3220</v>
      </c>
      <c r="AC291">
        <f t="shared" si="30"/>
        <v>299</v>
      </c>
      <c r="AD291">
        <f t="shared" si="32"/>
        <v>4980</v>
      </c>
      <c r="AE291" s="78">
        <v>9450</v>
      </c>
    </row>
    <row r="292" ht="15" spans="25:31">
      <c r="Y292">
        <f t="shared" si="28"/>
        <v>3</v>
      </c>
      <c r="Z292">
        <f t="shared" si="31"/>
        <v>2</v>
      </c>
      <c r="AA292">
        <v>21</v>
      </c>
      <c r="AB292">
        <f t="shared" si="29"/>
        <v>3221</v>
      </c>
      <c r="AC292">
        <f>AJ16</f>
        <v>398</v>
      </c>
      <c r="AD292">
        <f t="shared" si="32"/>
        <v>5378</v>
      </c>
      <c r="AE292" s="78">
        <v>10650</v>
      </c>
    </row>
    <row r="293" ht="15" spans="25:31">
      <c r="Y293">
        <f t="shared" si="28"/>
        <v>3</v>
      </c>
      <c r="Z293">
        <f t="shared" si="31"/>
        <v>2</v>
      </c>
      <c r="AA293">
        <v>22</v>
      </c>
      <c r="AB293">
        <f t="shared" si="29"/>
        <v>3222</v>
      </c>
      <c r="AC293">
        <f t="shared" si="30"/>
        <v>398</v>
      </c>
      <c r="AD293">
        <f t="shared" si="32"/>
        <v>5776</v>
      </c>
      <c r="AE293" s="78">
        <v>11850</v>
      </c>
    </row>
    <row r="294" ht="15" spans="25:31">
      <c r="Y294">
        <f t="shared" si="28"/>
        <v>3</v>
      </c>
      <c r="Z294">
        <f t="shared" si="31"/>
        <v>2</v>
      </c>
      <c r="AA294">
        <v>23</v>
      </c>
      <c r="AB294">
        <f t="shared" si="29"/>
        <v>3223</v>
      </c>
      <c r="AC294">
        <f t="shared" si="30"/>
        <v>398</v>
      </c>
      <c r="AD294">
        <f t="shared" si="32"/>
        <v>6174</v>
      </c>
      <c r="AE294" s="78">
        <v>13050</v>
      </c>
    </row>
    <row r="295" ht="15" spans="25:31">
      <c r="Y295">
        <f t="shared" si="28"/>
        <v>3</v>
      </c>
      <c r="Z295">
        <f t="shared" si="31"/>
        <v>2</v>
      </c>
      <c r="AA295">
        <v>24</v>
      </c>
      <c r="AB295">
        <f t="shared" si="29"/>
        <v>3224</v>
      </c>
      <c r="AC295">
        <f t="shared" si="30"/>
        <v>398</v>
      </c>
      <c r="AD295">
        <f t="shared" si="32"/>
        <v>6572</v>
      </c>
      <c r="AE295" s="78">
        <v>14250</v>
      </c>
    </row>
    <row r="296" ht="15" spans="25:31">
      <c r="Y296">
        <f t="shared" si="28"/>
        <v>3</v>
      </c>
      <c r="Z296">
        <f t="shared" si="31"/>
        <v>2</v>
      </c>
      <c r="AA296">
        <v>25</v>
      </c>
      <c r="AB296">
        <f t="shared" si="29"/>
        <v>3225</v>
      </c>
      <c r="AC296">
        <f t="shared" si="30"/>
        <v>398</v>
      </c>
      <c r="AD296">
        <f t="shared" si="32"/>
        <v>6970</v>
      </c>
      <c r="AE296" s="78">
        <v>15450</v>
      </c>
    </row>
    <row r="297" ht="15" spans="25:31">
      <c r="Y297">
        <f t="shared" si="28"/>
        <v>3</v>
      </c>
      <c r="Z297">
        <f t="shared" si="31"/>
        <v>2</v>
      </c>
      <c r="AA297">
        <v>26</v>
      </c>
      <c r="AB297">
        <f t="shared" si="29"/>
        <v>3226</v>
      </c>
      <c r="AC297">
        <f t="shared" si="30"/>
        <v>398</v>
      </c>
      <c r="AD297">
        <f t="shared" si="32"/>
        <v>7368</v>
      </c>
      <c r="AE297" s="78">
        <v>16650</v>
      </c>
    </row>
    <row r="298" ht="15" spans="25:31">
      <c r="Y298">
        <f t="shared" si="28"/>
        <v>3</v>
      </c>
      <c r="Z298">
        <f t="shared" si="31"/>
        <v>2</v>
      </c>
      <c r="AA298">
        <v>27</v>
      </c>
      <c r="AB298">
        <f t="shared" si="29"/>
        <v>3227</v>
      </c>
      <c r="AC298">
        <f t="shared" si="30"/>
        <v>398</v>
      </c>
      <c r="AD298">
        <f t="shared" si="32"/>
        <v>7766</v>
      </c>
      <c r="AE298" s="78">
        <v>17850</v>
      </c>
    </row>
    <row r="299" ht="15" spans="25:31">
      <c r="Y299">
        <f t="shared" si="28"/>
        <v>3</v>
      </c>
      <c r="Z299">
        <f t="shared" si="31"/>
        <v>2</v>
      </c>
      <c r="AA299">
        <v>28</v>
      </c>
      <c r="AB299">
        <f t="shared" si="29"/>
        <v>3228</v>
      </c>
      <c r="AC299">
        <f t="shared" si="30"/>
        <v>398</v>
      </c>
      <c r="AD299">
        <f t="shared" si="32"/>
        <v>8164</v>
      </c>
      <c r="AE299" s="78">
        <v>19050</v>
      </c>
    </row>
    <row r="300" ht="15" spans="25:31">
      <c r="Y300">
        <f t="shared" si="28"/>
        <v>3</v>
      </c>
      <c r="Z300">
        <f t="shared" si="31"/>
        <v>2</v>
      </c>
      <c r="AA300">
        <v>29</v>
      </c>
      <c r="AB300">
        <f t="shared" si="29"/>
        <v>3229</v>
      </c>
      <c r="AC300">
        <f t="shared" si="30"/>
        <v>398</v>
      </c>
      <c r="AD300">
        <f t="shared" si="32"/>
        <v>8562</v>
      </c>
      <c r="AE300" s="78">
        <v>20250</v>
      </c>
    </row>
    <row r="301" ht="15" spans="25:31">
      <c r="Y301">
        <f t="shared" si="28"/>
        <v>3</v>
      </c>
      <c r="Z301">
        <f t="shared" si="31"/>
        <v>2</v>
      </c>
      <c r="AA301">
        <v>30</v>
      </c>
      <c r="AB301">
        <f t="shared" si="29"/>
        <v>3230</v>
      </c>
      <c r="AC301">
        <f t="shared" si="30"/>
        <v>398</v>
      </c>
      <c r="AD301">
        <f t="shared" si="32"/>
        <v>8960</v>
      </c>
      <c r="AE301" s="78">
        <v>21450</v>
      </c>
    </row>
    <row r="302" spans="25:31">
      <c r="Y302">
        <f t="shared" si="28"/>
        <v>3</v>
      </c>
      <c r="Z302">
        <f t="shared" si="31"/>
        <v>3</v>
      </c>
      <c r="AA302">
        <v>1</v>
      </c>
      <c r="AB302">
        <f t="shared" si="29"/>
        <v>3301</v>
      </c>
      <c r="AC302">
        <f>AK14</f>
        <v>498</v>
      </c>
      <c r="AD302">
        <f>AC302</f>
        <v>498</v>
      </c>
      <c r="AE302">
        <v>1000</v>
      </c>
    </row>
    <row r="303" spans="25:31">
      <c r="Y303">
        <f t="shared" si="28"/>
        <v>3</v>
      </c>
      <c r="Z303">
        <f t="shared" si="31"/>
        <v>3</v>
      </c>
      <c r="AA303">
        <v>2</v>
      </c>
      <c r="AB303">
        <f t="shared" si="29"/>
        <v>3302</v>
      </c>
      <c r="AC303">
        <f t="shared" si="30"/>
        <v>498</v>
      </c>
      <c r="AD303">
        <f t="shared" ref="AD303:AD331" si="33">AD302+AC303</f>
        <v>996</v>
      </c>
      <c r="AE303">
        <v>1400</v>
      </c>
    </row>
    <row r="304" spans="25:31">
      <c r="Y304">
        <f t="shared" si="28"/>
        <v>3</v>
      </c>
      <c r="Z304">
        <f t="shared" si="31"/>
        <v>3</v>
      </c>
      <c r="AA304">
        <v>3</v>
      </c>
      <c r="AB304">
        <f t="shared" si="29"/>
        <v>3303</v>
      </c>
      <c r="AC304">
        <f t="shared" si="30"/>
        <v>498</v>
      </c>
      <c r="AD304">
        <f t="shared" si="33"/>
        <v>1494</v>
      </c>
      <c r="AE304">
        <v>1800</v>
      </c>
    </row>
    <row r="305" spans="25:31">
      <c r="Y305">
        <f t="shared" si="28"/>
        <v>3</v>
      </c>
      <c r="Z305">
        <f t="shared" si="31"/>
        <v>3</v>
      </c>
      <c r="AA305">
        <v>4</v>
      </c>
      <c r="AB305">
        <f t="shared" si="29"/>
        <v>3304</v>
      </c>
      <c r="AC305">
        <f t="shared" si="30"/>
        <v>498</v>
      </c>
      <c r="AD305">
        <f t="shared" si="33"/>
        <v>1992</v>
      </c>
      <c r="AE305">
        <v>2200</v>
      </c>
    </row>
    <row r="306" spans="25:31">
      <c r="Y306">
        <f t="shared" si="28"/>
        <v>3</v>
      </c>
      <c r="Z306">
        <f t="shared" si="31"/>
        <v>3</v>
      </c>
      <c r="AA306">
        <v>5</v>
      </c>
      <c r="AB306">
        <f t="shared" si="29"/>
        <v>3305</v>
      </c>
      <c r="AC306">
        <f t="shared" si="30"/>
        <v>498</v>
      </c>
      <c r="AD306">
        <f t="shared" si="33"/>
        <v>2490</v>
      </c>
      <c r="AE306">
        <v>2600</v>
      </c>
    </row>
    <row r="307" spans="25:31">
      <c r="Y307">
        <f t="shared" si="28"/>
        <v>3</v>
      </c>
      <c r="Z307">
        <f t="shared" si="31"/>
        <v>3</v>
      </c>
      <c r="AA307">
        <v>6</v>
      </c>
      <c r="AB307">
        <f t="shared" si="29"/>
        <v>3306</v>
      </c>
      <c r="AC307">
        <f t="shared" si="30"/>
        <v>498</v>
      </c>
      <c r="AD307">
        <f t="shared" si="33"/>
        <v>2988</v>
      </c>
      <c r="AE307">
        <v>3000</v>
      </c>
    </row>
    <row r="308" spans="25:31">
      <c r="Y308">
        <f t="shared" si="28"/>
        <v>3</v>
      </c>
      <c r="Z308">
        <f t="shared" si="31"/>
        <v>3</v>
      </c>
      <c r="AA308">
        <v>7</v>
      </c>
      <c r="AB308">
        <f t="shared" si="29"/>
        <v>3307</v>
      </c>
      <c r="AC308">
        <f t="shared" si="30"/>
        <v>498</v>
      </c>
      <c r="AD308">
        <f t="shared" si="33"/>
        <v>3486</v>
      </c>
      <c r="AE308">
        <v>3400</v>
      </c>
    </row>
    <row r="309" spans="25:31">
      <c r="Y309">
        <f t="shared" si="28"/>
        <v>3</v>
      </c>
      <c r="Z309">
        <f t="shared" si="31"/>
        <v>3</v>
      </c>
      <c r="AA309">
        <v>8</v>
      </c>
      <c r="AB309">
        <f t="shared" si="29"/>
        <v>3308</v>
      </c>
      <c r="AC309">
        <f t="shared" si="30"/>
        <v>498</v>
      </c>
      <c r="AD309">
        <f t="shared" si="33"/>
        <v>3984</v>
      </c>
      <c r="AE309">
        <v>3800</v>
      </c>
    </row>
    <row r="310" spans="25:31">
      <c r="Y310">
        <f t="shared" si="28"/>
        <v>3</v>
      </c>
      <c r="Z310">
        <f t="shared" si="31"/>
        <v>3</v>
      </c>
      <c r="AA310">
        <v>9</v>
      </c>
      <c r="AB310">
        <f t="shared" si="29"/>
        <v>3309</v>
      </c>
      <c r="AC310">
        <f t="shared" si="30"/>
        <v>498</v>
      </c>
      <c r="AD310">
        <f t="shared" si="33"/>
        <v>4482</v>
      </c>
      <c r="AE310">
        <v>4200</v>
      </c>
    </row>
    <row r="311" spans="25:31">
      <c r="Y311">
        <f t="shared" si="28"/>
        <v>3</v>
      </c>
      <c r="Z311">
        <f t="shared" si="31"/>
        <v>3</v>
      </c>
      <c r="AA311">
        <v>10</v>
      </c>
      <c r="AB311">
        <f t="shared" si="29"/>
        <v>3310</v>
      </c>
      <c r="AC311">
        <f t="shared" si="30"/>
        <v>498</v>
      </c>
      <c r="AD311">
        <f t="shared" si="33"/>
        <v>4980</v>
      </c>
      <c r="AE311">
        <v>4600</v>
      </c>
    </row>
    <row r="312" spans="25:31">
      <c r="Y312">
        <f t="shared" si="28"/>
        <v>3</v>
      </c>
      <c r="Z312">
        <f t="shared" si="31"/>
        <v>3</v>
      </c>
      <c r="AA312">
        <v>11</v>
      </c>
      <c r="AB312">
        <f t="shared" si="29"/>
        <v>3311</v>
      </c>
      <c r="AC312">
        <f>AK15</f>
        <v>747</v>
      </c>
      <c r="AD312">
        <f t="shared" si="33"/>
        <v>5727</v>
      </c>
      <c r="AE312">
        <v>5400</v>
      </c>
    </row>
    <row r="313" spans="25:31">
      <c r="Y313">
        <f t="shared" si="28"/>
        <v>3</v>
      </c>
      <c r="Z313">
        <f t="shared" si="31"/>
        <v>3</v>
      </c>
      <c r="AA313">
        <v>12</v>
      </c>
      <c r="AB313">
        <f t="shared" si="29"/>
        <v>3312</v>
      </c>
      <c r="AC313">
        <f t="shared" si="30"/>
        <v>747</v>
      </c>
      <c r="AD313">
        <f t="shared" si="33"/>
        <v>6474</v>
      </c>
      <c r="AE313">
        <v>6200</v>
      </c>
    </row>
    <row r="314" spans="25:31">
      <c r="Y314">
        <f t="shared" si="28"/>
        <v>3</v>
      </c>
      <c r="Z314">
        <f t="shared" si="31"/>
        <v>3</v>
      </c>
      <c r="AA314">
        <v>13</v>
      </c>
      <c r="AB314">
        <f t="shared" si="29"/>
        <v>3313</v>
      </c>
      <c r="AC314">
        <f t="shared" si="30"/>
        <v>747</v>
      </c>
      <c r="AD314">
        <f t="shared" si="33"/>
        <v>7221</v>
      </c>
      <c r="AE314">
        <v>7000</v>
      </c>
    </row>
    <row r="315" spans="25:31">
      <c r="Y315">
        <f t="shared" ref="Y315:Y378" si="34">Y195+1</f>
        <v>3</v>
      </c>
      <c r="Z315">
        <f t="shared" si="31"/>
        <v>3</v>
      </c>
      <c r="AA315">
        <v>14</v>
      </c>
      <c r="AB315">
        <f t="shared" si="29"/>
        <v>3314</v>
      </c>
      <c r="AC315">
        <f t="shared" si="30"/>
        <v>747</v>
      </c>
      <c r="AD315">
        <f t="shared" si="33"/>
        <v>7968</v>
      </c>
      <c r="AE315">
        <v>7800</v>
      </c>
    </row>
    <row r="316" spans="25:31">
      <c r="Y316">
        <f t="shared" si="34"/>
        <v>3</v>
      </c>
      <c r="Z316">
        <f t="shared" si="31"/>
        <v>3</v>
      </c>
      <c r="AA316">
        <v>15</v>
      </c>
      <c r="AB316">
        <f t="shared" si="29"/>
        <v>3315</v>
      </c>
      <c r="AC316">
        <f t="shared" si="30"/>
        <v>747</v>
      </c>
      <c r="AD316">
        <f t="shared" si="33"/>
        <v>8715</v>
      </c>
      <c r="AE316">
        <v>8600</v>
      </c>
    </row>
    <row r="317" spans="25:31">
      <c r="Y317">
        <f t="shared" si="34"/>
        <v>3</v>
      </c>
      <c r="Z317">
        <f t="shared" si="31"/>
        <v>3</v>
      </c>
      <c r="AA317">
        <v>16</v>
      </c>
      <c r="AB317">
        <f t="shared" si="29"/>
        <v>3316</v>
      </c>
      <c r="AC317">
        <f t="shared" si="30"/>
        <v>747</v>
      </c>
      <c r="AD317">
        <f t="shared" si="33"/>
        <v>9462</v>
      </c>
      <c r="AE317">
        <v>9400</v>
      </c>
    </row>
    <row r="318" spans="25:31">
      <c r="Y318">
        <f t="shared" si="34"/>
        <v>3</v>
      </c>
      <c r="Z318">
        <f t="shared" si="31"/>
        <v>3</v>
      </c>
      <c r="AA318">
        <v>17</v>
      </c>
      <c r="AB318">
        <f t="shared" si="29"/>
        <v>3317</v>
      </c>
      <c r="AC318">
        <f t="shared" si="30"/>
        <v>747</v>
      </c>
      <c r="AD318">
        <f t="shared" si="33"/>
        <v>10209</v>
      </c>
      <c r="AE318">
        <v>10200</v>
      </c>
    </row>
    <row r="319" spans="25:31">
      <c r="Y319">
        <f t="shared" si="34"/>
        <v>3</v>
      </c>
      <c r="Z319">
        <f t="shared" si="31"/>
        <v>3</v>
      </c>
      <c r="AA319">
        <v>18</v>
      </c>
      <c r="AB319">
        <f t="shared" si="29"/>
        <v>3318</v>
      </c>
      <c r="AC319">
        <f t="shared" si="30"/>
        <v>747</v>
      </c>
      <c r="AD319">
        <f t="shared" si="33"/>
        <v>10956</v>
      </c>
      <c r="AE319">
        <v>11000</v>
      </c>
    </row>
    <row r="320" spans="25:31">
      <c r="Y320">
        <f t="shared" si="34"/>
        <v>3</v>
      </c>
      <c r="Z320">
        <f t="shared" si="31"/>
        <v>3</v>
      </c>
      <c r="AA320">
        <v>19</v>
      </c>
      <c r="AB320">
        <f t="shared" si="29"/>
        <v>3319</v>
      </c>
      <c r="AC320">
        <f t="shared" si="30"/>
        <v>747</v>
      </c>
      <c r="AD320">
        <f t="shared" si="33"/>
        <v>11703</v>
      </c>
      <c r="AE320">
        <v>11800</v>
      </c>
    </row>
    <row r="321" spans="25:31">
      <c r="Y321">
        <f t="shared" si="34"/>
        <v>3</v>
      </c>
      <c r="Z321">
        <f t="shared" si="31"/>
        <v>3</v>
      </c>
      <c r="AA321">
        <v>20</v>
      </c>
      <c r="AB321">
        <f t="shared" si="29"/>
        <v>3320</v>
      </c>
      <c r="AC321">
        <f t="shared" si="30"/>
        <v>747</v>
      </c>
      <c r="AD321">
        <f t="shared" si="33"/>
        <v>12450</v>
      </c>
      <c r="AE321">
        <v>12600</v>
      </c>
    </row>
    <row r="322" spans="25:31">
      <c r="Y322">
        <f t="shared" si="34"/>
        <v>3</v>
      </c>
      <c r="Z322">
        <f t="shared" si="31"/>
        <v>3</v>
      </c>
      <c r="AA322">
        <v>21</v>
      </c>
      <c r="AB322">
        <f t="shared" si="29"/>
        <v>3321</v>
      </c>
      <c r="AC322">
        <f>AK16</f>
        <v>996</v>
      </c>
      <c r="AD322">
        <f t="shared" si="33"/>
        <v>13446</v>
      </c>
      <c r="AE322">
        <v>14200</v>
      </c>
    </row>
    <row r="323" spans="25:31">
      <c r="Y323">
        <f t="shared" si="34"/>
        <v>3</v>
      </c>
      <c r="Z323">
        <f t="shared" si="31"/>
        <v>3</v>
      </c>
      <c r="AA323">
        <v>22</v>
      </c>
      <c r="AB323">
        <f t="shared" ref="AB323:AB386" si="35">Y323*1000+Z323*100+AA323</f>
        <v>3322</v>
      </c>
      <c r="AC323">
        <f t="shared" si="30"/>
        <v>996</v>
      </c>
      <c r="AD323">
        <f t="shared" si="33"/>
        <v>14442</v>
      </c>
      <c r="AE323">
        <v>15800</v>
      </c>
    </row>
    <row r="324" spans="25:31">
      <c r="Y324">
        <f t="shared" si="34"/>
        <v>3</v>
      </c>
      <c r="Z324">
        <f t="shared" si="31"/>
        <v>3</v>
      </c>
      <c r="AA324">
        <v>23</v>
      </c>
      <c r="AB324">
        <f t="shared" si="35"/>
        <v>3323</v>
      </c>
      <c r="AC324">
        <f t="shared" ref="AC324:AC387" si="36">AC323</f>
        <v>996</v>
      </c>
      <c r="AD324">
        <f t="shared" si="33"/>
        <v>15438</v>
      </c>
      <c r="AE324">
        <v>17400</v>
      </c>
    </row>
    <row r="325" spans="25:31">
      <c r="Y325">
        <f t="shared" si="34"/>
        <v>3</v>
      </c>
      <c r="Z325">
        <f t="shared" si="31"/>
        <v>3</v>
      </c>
      <c r="AA325">
        <v>24</v>
      </c>
      <c r="AB325">
        <f t="shared" si="35"/>
        <v>3324</v>
      </c>
      <c r="AC325">
        <f t="shared" si="36"/>
        <v>996</v>
      </c>
      <c r="AD325">
        <f t="shared" si="33"/>
        <v>16434</v>
      </c>
      <c r="AE325">
        <v>19000</v>
      </c>
    </row>
    <row r="326" spans="25:31">
      <c r="Y326">
        <f t="shared" si="34"/>
        <v>3</v>
      </c>
      <c r="Z326">
        <f t="shared" si="31"/>
        <v>3</v>
      </c>
      <c r="AA326">
        <v>25</v>
      </c>
      <c r="AB326">
        <f t="shared" si="35"/>
        <v>3325</v>
      </c>
      <c r="AC326">
        <f t="shared" si="36"/>
        <v>996</v>
      </c>
      <c r="AD326">
        <f t="shared" si="33"/>
        <v>17430</v>
      </c>
      <c r="AE326">
        <v>20600</v>
      </c>
    </row>
    <row r="327" spans="25:31">
      <c r="Y327">
        <f t="shared" si="34"/>
        <v>3</v>
      </c>
      <c r="Z327">
        <f t="shared" si="31"/>
        <v>3</v>
      </c>
      <c r="AA327">
        <v>26</v>
      </c>
      <c r="AB327">
        <f t="shared" si="35"/>
        <v>3326</v>
      </c>
      <c r="AC327">
        <f t="shared" si="36"/>
        <v>996</v>
      </c>
      <c r="AD327">
        <f t="shared" si="33"/>
        <v>18426</v>
      </c>
      <c r="AE327">
        <v>22200</v>
      </c>
    </row>
    <row r="328" spans="25:31">
      <c r="Y328">
        <f t="shared" si="34"/>
        <v>3</v>
      </c>
      <c r="Z328">
        <f t="shared" si="31"/>
        <v>3</v>
      </c>
      <c r="AA328">
        <v>27</v>
      </c>
      <c r="AB328">
        <f t="shared" si="35"/>
        <v>3327</v>
      </c>
      <c r="AC328">
        <f t="shared" si="36"/>
        <v>996</v>
      </c>
      <c r="AD328">
        <f t="shared" si="33"/>
        <v>19422</v>
      </c>
      <c r="AE328">
        <v>23800</v>
      </c>
    </row>
    <row r="329" spans="25:31">
      <c r="Y329">
        <f t="shared" si="34"/>
        <v>3</v>
      </c>
      <c r="Z329">
        <f t="shared" si="31"/>
        <v>3</v>
      </c>
      <c r="AA329">
        <v>28</v>
      </c>
      <c r="AB329">
        <f t="shared" si="35"/>
        <v>3328</v>
      </c>
      <c r="AC329">
        <f t="shared" si="36"/>
        <v>996</v>
      </c>
      <c r="AD329">
        <f t="shared" si="33"/>
        <v>20418</v>
      </c>
      <c r="AE329">
        <v>25400</v>
      </c>
    </row>
    <row r="330" spans="25:31">
      <c r="Y330">
        <f t="shared" si="34"/>
        <v>3</v>
      </c>
      <c r="Z330">
        <f t="shared" si="31"/>
        <v>3</v>
      </c>
      <c r="AA330">
        <v>29</v>
      </c>
      <c r="AB330">
        <f t="shared" si="35"/>
        <v>3329</v>
      </c>
      <c r="AC330">
        <f t="shared" si="36"/>
        <v>996</v>
      </c>
      <c r="AD330">
        <f t="shared" si="33"/>
        <v>21414</v>
      </c>
      <c r="AE330">
        <v>27000</v>
      </c>
    </row>
    <row r="331" spans="25:31">
      <c r="Y331">
        <f t="shared" si="34"/>
        <v>3</v>
      </c>
      <c r="Z331">
        <f t="shared" si="31"/>
        <v>3</v>
      </c>
      <c r="AA331">
        <v>30</v>
      </c>
      <c r="AB331">
        <f t="shared" si="35"/>
        <v>3330</v>
      </c>
      <c r="AC331">
        <f t="shared" si="36"/>
        <v>996</v>
      </c>
      <c r="AD331">
        <f t="shared" si="33"/>
        <v>22410</v>
      </c>
      <c r="AE331">
        <v>28600</v>
      </c>
    </row>
    <row r="332" spans="25:31">
      <c r="Y332">
        <f t="shared" si="34"/>
        <v>3</v>
      </c>
      <c r="Z332">
        <f t="shared" si="31"/>
        <v>4</v>
      </c>
      <c r="AA332">
        <v>1</v>
      </c>
      <c r="AB332">
        <f t="shared" si="35"/>
        <v>3401</v>
      </c>
      <c r="AC332">
        <f>AL14</f>
        <v>830</v>
      </c>
      <c r="AD332">
        <f>AC332</f>
        <v>830</v>
      </c>
      <c r="AE332">
        <v>1500</v>
      </c>
    </row>
    <row r="333" spans="25:31">
      <c r="Y333">
        <f t="shared" si="34"/>
        <v>3</v>
      </c>
      <c r="Z333">
        <f t="shared" si="31"/>
        <v>4</v>
      </c>
      <c r="AA333">
        <v>2</v>
      </c>
      <c r="AB333">
        <f t="shared" si="35"/>
        <v>3402</v>
      </c>
      <c r="AC333">
        <f t="shared" si="36"/>
        <v>830</v>
      </c>
      <c r="AD333">
        <f t="shared" ref="AD333:AD361" si="37">AD332+AC333</f>
        <v>1660</v>
      </c>
      <c r="AE333">
        <v>2100</v>
      </c>
    </row>
    <row r="334" spans="25:31">
      <c r="Y334">
        <f t="shared" si="34"/>
        <v>3</v>
      </c>
      <c r="Z334">
        <f t="shared" si="31"/>
        <v>4</v>
      </c>
      <c r="AA334">
        <v>3</v>
      </c>
      <c r="AB334">
        <f t="shared" si="35"/>
        <v>3403</v>
      </c>
      <c r="AC334">
        <f t="shared" si="36"/>
        <v>830</v>
      </c>
      <c r="AD334">
        <f t="shared" si="37"/>
        <v>2490</v>
      </c>
      <c r="AE334">
        <v>2700</v>
      </c>
    </row>
    <row r="335" spans="25:31">
      <c r="Y335">
        <f t="shared" si="34"/>
        <v>3</v>
      </c>
      <c r="Z335">
        <f t="shared" si="31"/>
        <v>4</v>
      </c>
      <c r="AA335">
        <v>4</v>
      </c>
      <c r="AB335">
        <f t="shared" si="35"/>
        <v>3404</v>
      </c>
      <c r="AC335">
        <f t="shared" si="36"/>
        <v>830</v>
      </c>
      <c r="AD335">
        <f t="shared" si="37"/>
        <v>3320</v>
      </c>
      <c r="AE335">
        <v>3300</v>
      </c>
    </row>
    <row r="336" spans="25:31">
      <c r="Y336">
        <f t="shared" si="34"/>
        <v>3</v>
      </c>
      <c r="Z336">
        <f t="shared" ref="Z336:Z361" si="38">Z306+1</f>
        <v>4</v>
      </c>
      <c r="AA336">
        <v>5</v>
      </c>
      <c r="AB336">
        <f t="shared" si="35"/>
        <v>3405</v>
      </c>
      <c r="AC336">
        <f t="shared" si="36"/>
        <v>830</v>
      </c>
      <c r="AD336">
        <f t="shared" si="37"/>
        <v>4150</v>
      </c>
      <c r="AE336">
        <v>3900</v>
      </c>
    </row>
    <row r="337" spans="25:31">
      <c r="Y337">
        <f t="shared" si="34"/>
        <v>3</v>
      </c>
      <c r="Z337">
        <f t="shared" si="38"/>
        <v>4</v>
      </c>
      <c r="AA337">
        <v>6</v>
      </c>
      <c r="AB337">
        <f t="shared" si="35"/>
        <v>3406</v>
      </c>
      <c r="AC337">
        <f t="shared" si="36"/>
        <v>830</v>
      </c>
      <c r="AD337">
        <f t="shared" si="37"/>
        <v>4980</v>
      </c>
      <c r="AE337">
        <v>4500</v>
      </c>
    </row>
    <row r="338" spans="25:31">
      <c r="Y338">
        <f t="shared" si="34"/>
        <v>3</v>
      </c>
      <c r="Z338">
        <f t="shared" si="38"/>
        <v>4</v>
      </c>
      <c r="AA338">
        <v>7</v>
      </c>
      <c r="AB338">
        <f t="shared" si="35"/>
        <v>3407</v>
      </c>
      <c r="AC338">
        <f t="shared" si="36"/>
        <v>830</v>
      </c>
      <c r="AD338">
        <f t="shared" si="37"/>
        <v>5810</v>
      </c>
      <c r="AE338">
        <v>5100</v>
      </c>
    </row>
    <row r="339" spans="25:31">
      <c r="Y339">
        <f t="shared" si="34"/>
        <v>3</v>
      </c>
      <c r="Z339">
        <f t="shared" si="38"/>
        <v>4</v>
      </c>
      <c r="AA339">
        <v>8</v>
      </c>
      <c r="AB339">
        <f t="shared" si="35"/>
        <v>3408</v>
      </c>
      <c r="AC339">
        <f t="shared" si="36"/>
        <v>830</v>
      </c>
      <c r="AD339">
        <f t="shared" si="37"/>
        <v>6640</v>
      </c>
      <c r="AE339">
        <v>5700</v>
      </c>
    </row>
    <row r="340" spans="25:31">
      <c r="Y340">
        <f t="shared" si="34"/>
        <v>3</v>
      </c>
      <c r="Z340">
        <f t="shared" si="38"/>
        <v>4</v>
      </c>
      <c r="AA340">
        <v>9</v>
      </c>
      <c r="AB340">
        <f t="shared" si="35"/>
        <v>3409</v>
      </c>
      <c r="AC340">
        <f t="shared" si="36"/>
        <v>830</v>
      </c>
      <c r="AD340">
        <f t="shared" si="37"/>
        <v>7470</v>
      </c>
      <c r="AE340">
        <v>6300</v>
      </c>
    </row>
    <row r="341" spans="25:31">
      <c r="Y341">
        <f t="shared" si="34"/>
        <v>3</v>
      </c>
      <c r="Z341">
        <f t="shared" si="38"/>
        <v>4</v>
      </c>
      <c r="AA341">
        <v>10</v>
      </c>
      <c r="AB341">
        <f t="shared" si="35"/>
        <v>3410</v>
      </c>
      <c r="AC341">
        <f t="shared" si="36"/>
        <v>830</v>
      </c>
      <c r="AD341">
        <f t="shared" si="37"/>
        <v>8300</v>
      </c>
      <c r="AE341">
        <v>6900</v>
      </c>
    </row>
    <row r="342" spans="25:31">
      <c r="Y342">
        <f t="shared" si="34"/>
        <v>3</v>
      </c>
      <c r="Z342">
        <f t="shared" si="38"/>
        <v>4</v>
      </c>
      <c r="AA342">
        <v>11</v>
      </c>
      <c r="AB342">
        <f t="shared" si="35"/>
        <v>3411</v>
      </c>
      <c r="AC342">
        <f>AL15</f>
        <v>1245</v>
      </c>
      <c r="AD342">
        <f t="shared" si="37"/>
        <v>9545</v>
      </c>
      <c r="AE342">
        <v>8100</v>
      </c>
    </row>
    <row r="343" spans="25:31">
      <c r="Y343">
        <f t="shared" si="34"/>
        <v>3</v>
      </c>
      <c r="Z343">
        <f t="shared" si="38"/>
        <v>4</v>
      </c>
      <c r="AA343">
        <v>12</v>
      </c>
      <c r="AB343">
        <f t="shared" si="35"/>
        <v>3412</v>
      </c>
      <c r="AC343">
        <f t="shared" si="36"/>
        <v>1245</v>
      </c>
      <c r="AD343">
        <f t="shared" si="37"/>
        <v>10790</v>
      </c>
      <c r="AE343">
        <v>9300</v>
      </c>
    </row>
    <row r="344" spans="25:31">
      <c r="Y344">
        <f t="shared" si="34"/>
        <v>3</v>
      </c>
      <c r="Z344">
        <f t="shared" si="38"/>
        <v>4</v>
      </c>
      <c r="AA344">
        <v>13</v>
      </c>
      <c r="AB344">
        <f t="shared" si="35"/>
        <v>3413</v>
      </c>
      <c r="AC344">
        <f t="shared" si="36"/>
        <v>1245</v>
      </c>
      <c r="AD344">
        <f t="shared" si="37"/>
        <v>12035</v>
      </c>
      <c r="AE344">
        <v>10500</v>
      </c>
    </row>
    <row r="345" spans="25:31">
      <c r="Y345">
        <f t="shared" si="34"/>
        <v>3</v>
      </c>
      <c r="Z345">
        <f t="shared" si="38"/>
        <v>4</v>
      </c>
      <c r="AA345">
        <v>14</v>
      </c>
      <c r="AB345">
        <f t="shared" si="35"/>
        <v>3414</v>
      </c>
      <c r="AC345">
        <f t="shared" si="36"/>
        <v>1245</v>
      </c>
      <c r="AD345">
        <f t="shared" si="37"/>
        <v>13280</v>
      </c>
      <c r="AE345">
        <v>11700</v>
      </c>
    </row>
    <row r="346" spans="25:31">
      <c r="Y346">
        <f t="shared" si="34"/>
        <v>3</v>
      </c>
      <c r="Z346">
        <f t="shared" si="38"/>
        <v>4</v>
      </c>
      <c r="AA346">
        <v>15</v>
      </c>
      <c r="AB346">
        <f t="shared" si="35"/>
        <v>3415</v>
      </c>
      <c r="AC346">
        <f t="shared" si="36"/>
        <v>1245</v>
      </c>
      <c r="AD346">
        <f t="shared" si="37"/>
        <v>14525</v>
      </c>
      <c r="AE346">
        <v>12900</v>
      </c>
    </row>
    <row r="347" spans="25:31">
      <c r="Y347">
        <f t="shared" si="34"/>
        <v>3</v>
      </c>
      <c r="Z347">
        <f t="shared" si="38"/>
        <v>4</v>
      </c>
      <c r="AA347">
        <v>16</v>
      </c>
      <c r="AB347">
        <f t="shared" si="35"/>
        <v>3416</v>
      </c>
      <c r="AC347">
        <f t="shared" si="36"/>
        <v>1245</v>
      </c>
      <c r="AD347">
        <f t="shared" si="37"/>
        <v>15770</v>
      </c>
      <c r="AE347">
        <v>14100</v>
      </c>
    </row>
    <row r="348" spans="25:31">
      <c r="Y348">
        <f t="shared" si="34"/>
        <v>3</v>
      </c>
      <c r="Z348">
        <f t="shared" si="38"/>
        <v>4</v>
      </c>
      <c r="AA348">
        <v>17</v>
      </c>
      <c r="AB348">
        <f t="shared" si="35"/>
        <v>3417</v>
      </c>
      <c r="AC348">
        <f t="shared" si="36"/>
        <v>1245</v>
      </c>
      <c r="AD348">
        <f t="shared" si="37"/>
        <v>17015</v>
      </c>
      <c r="AE348">
        <v>15300</v>
      </c>
    </row>
    <row r="349" spans="25:31">
      <c r="Y349">
        <f t="shared" si="34"/>
        <v>3</v>
      </c>
      <c r="Z349">
        <f t="shared" si="38"/>
        <v>4</v>
      </c>
      <c r="AA349">
        <v>18</v>
      </c>
      <c r="AB349">
        <f t="shared" si="35"/>
        <v>3418</v>
      </c>
      <c r="AC349">
        <f t="shared" si="36"/>
        <v>1245</v>
      </c>
      <c r="AD349">
        <f t="shared" si="37"/>
        <v>18260</v>
      </c>
      <c r="AE349">
        <v>16500</v>
      </c>
    </row>
    <row r="350" spans="25:31">
      <c r="Y350">
        <f t="shared" si="34"/>
        <v>3</v>
      </c>
      <c r="Z350">
        <f t="shared" si="38"/>
        <v>4</v>
      </c>
      <c r="AA350">
        <v>19</v>
      </c>
      <c r="AB350">
        <f t="shared" si="35"/>
        <v>3419</v>
      </c>
      <c r="AC350">
        <f t="shared" si="36"/>
        <v>1245</v>
      </c>
      <c r="AD350">
        <f t="shared" si="37"/>
        <v>19505</v>
      </c>
      <c r="AE350">
        <v>17700</v>
      </c>
    </row>
    <row r="351" spans="25:31">
      <c r="Y351">
        <f t="shared" si="34"/>
        <v>3</v>
      </c>
      <c r="Z351">
        <f t="shared" si="38"/>
        <v>4</v>
      </c>
      <c r="AA351">
        <v>20</v>
      </c>
      <c r="AB351">
        <f t="shared" si="35"/>
        <v>3420</v>
      </c>
      <c r="AC351">
        <f t="shared" si="36"/>
        <v>1245</v>
      </c>
      <c r="AD351">
        <f t="shared" si="37"/>
        <v>20750</v>
      </c>
      <c r="AE351">
        <v>18900</v>
      </c>
    </row>
    <row r="352" spans="25:31">
      <c r="Y352">
        <f t="shared" si="34"/>
        <v>3</v>
      </c>
      <c r="Z352">
        <f t="shared" si="38"/>
        <v>4</v>
      </c>
      <c r="AA352">
        <v>21</v>
      </c>
      <c r="AB352">
        <f t="shared" si="35"/>
        <v>3421</v>
      </c>
      <c r="AC352">
        <f>AL16</f>
        <v>1660</v>
      </c>
      <c r="AD352">
        <f t="shared" si="37"/>
        <v>22410</v>
      </c>
      <c r="AE352">
        <v>21300</v>
      </c>
    </row>
    <row r="353" spans="25:31">
      <c r="Y353">
        <f t="shared" si="34"/>
        <v>3</v>
      </c>
      <c r="Z353">
        <f t="shared" si="38"/>
        <v>4</v>
      </c>
      <c r="AA353">
        <v>22</v>
      </c>
      <c r="AB353">
        <f t="shared" si="35"/>
        <v>3422</v>
      </c>
      <c r="AC353">
        <f t="shared" si="36"/>
        <v>1660</v>
      </c>
      <c r="AD353">
        <f t="shared" si="37"/>
        <v>24070</v>
      </c>
      <c r="AE353">
        <v>23700</v>
      </c>
    </row>
    <row r="354" spans="25:31">
      <c r="Y354">
        <f t="shared" si="34"/>
        <v>3</v>
      </c>
      <c r="Z354">
        <f t="shared" si="38"/>
        <v>4</v>
      </c>
      <c r="AA354">
        <v>23</v>
      </c>
      <c r="AB354">
        <f t="shared" si="35"/>
        <v>3423</v>
      </c>
      <c r="AC354">
        <f t="shared" si="36"/>
        <v>1660</v>
      </c>
      <c r="AD354">
        <f t="shared" si="37"/>
        <v>25730</v>
      </c>
      <c r="AE354">
        <v>26100</v>
      </c>
    </row>
    <row r="355" spans="25:31">
      <c r="Y355">
        <f t="shared" si="34"/>
        <v>3</v>
      </c>
      <c r="Z355">
        <f t="shared" si="38"/>
        <v>4</v>
      </c>
      <c r="AA355">
        <v>24</v>
      </c>
      <c r="AB355">
        <f t="shared" si="35"/>
        <v>3424</v>
      </c>
      <c r="AC355">
        <f t="shared" si="36"/>
        <v>1660</v>
      </c>
      <c r="AD355">
        <f t="shared" si="37"/>
        <v>27390</v>
      </c>
      <c r="AE355">
        <v>28500</v>
      </c>
    </row>
    <row r="356" spans="25:31">
      <c r="Y356">
        <f t="shared" si="34"/>
        <v>3</v>
      </c>
      <c r="Z356">
        <f t="shared" si="38"/>
        <v>4</v>
      </c>
      <c r="AA356">
        <v>25</v>
      </c>
      <c r="AB356">
        <f t="shared" si="35"/>
        <v>3425</v>
      </c>
      <c r="AC356">
        <f t="shared" si="36"/>
        <v>1660</v>
      </c>
      <c r="AD356">
        <f t="shared" si="37"/>
        <v>29050</v>
      </c>
      <c r="AE356">
        <v>30900</v>
      </c>
    </row>
    <row r="357" spans="25:31">
      <c r="Y357">
        <f t="shared" si="34"/>
        <v>3</v>
      </c>
      <c r="Z357">
        <f t="shared" si="38"/>
        <v>4</v>
      </c>
      <c r="AA357">
        <v>26</v>
      </c>
      <c r="AB357">
        <f t="shared" si="35"/>
        <v>3426</v>
      </c>
      <c r="AC357">
        <f t="shared" si="36"/>
        <v>1660</v>
      </c>
      <c r="AD357">
        <f t="shared" si="37"/>
        <v>30710</v>
      </c>
      <c r="AE357">
        <v>33300</v>
      </c>
    </row>
    <row r="358" spans="25:31">
      <c r="Y358">
        <f t="shared" si="34"/>
        <v>3</v>
      </c>
      <c r="Z358">
        <f t="shared" si="38"/>
        <v>4</v>
      </c>
      <c r="AA358">
        <v>27</v>
      </c>
      <c r="AB358">
        <f t="shared" si="35"/>
        <v>3427</v>
      </c>
      <c r="AC358">
        <f t="shared" si="36"/>
        <v>1660</v>
      </c>
      <c r="AD358">
        <f t="shared" si="37"/>
        <v>32370</v>
      </c>
      <c r="AE358">
        <v>35700</v>
      </c>
    </row>
    <row r="359" spans="25:31">
      <c r="Y359">
        <f t="shared" si="34"/>
        <v>3</v>
      </c>
      <c r="Z359">
        <f t="shared" si="38"/>
        <v>4</v>
      </c>
      <c r="AA359">
        <v>28</v>
      </c>
      <c r="AB359">
        <f t="shared" si="35"/>
        <v>3428</v>
      </c>
      <c r="AC359">
        <f t="shared" si="36"/>
        <v>1660</v>
      </c>
      <c r="AD359">
        <f t="shared" si="37"/>
        <v>34030</v>
      </c>
      <c r="AE359">
        <v>38100</v>
      </c>
    </row>
    <row r="360" spans="25:31">
      <c r="Y360">
        <f t="shared" si="34"/>
        <v>3</v>
      </c>
      <c r="Z360">
        <f t="shared" si="38"/>
        <v>4</v>
      </c>
      <c r="AA360">
        <v>29</v>
      </c>
      <c r="AB360">
        <f t="shared" si="35"/>
        <v>3429</v>
      </c>
      <c r="AC360">
        <f t="shared" si="36"/>
        <v>1660</v>
      </c>
      <c r="AD360">
        <f t="shared" si="37"/>
        <v>35690</v>
      </c>
      <c r="AE360">
        <v>40500</v>
      </c>
    </row>
    <row r="361" spans="25:31">
      <c r="Y361">
        <f t="shared" si="34"/>
        <v>3</v>
      </c>
      <c r="Z361">
        <f t="shared" si="38"/>
        <v>4</v>
      </c>
      <c r="AA361">
        <v>30</v>
      </c>
      <c r="AB361">
        <f t="shared" si="35"/>
        <v>3430</v>
      </c>
      <c r="AC361">
        <f t="shared" si="36"/>
        <v>1660</v>
      </c>
      <c r="AD361">
        <f t="shared" si="37"/>
        <v>37350</v>
      </c>
      <c r="AE361">
        <v>42900</v>
      </c>
    </row>
    <row r="362" ht="15" spans="25:31">
      <c r="Y362">
        <f t="shared" si="34"/>
        <v>4</v>
      </c>
      <c r="Z362">
        <v>1</v>
      </c>
      <c r="AA362">
        <v>1</v>
      </c>
      <c r="AB362">
        <f t="shared" si="35"/>
        <v>4101</v>
      </c>
      <c r="AC362">
        <f>AI19</f>
        <v>230</v>
      </c>
      <c r="AD362">
        <f>AC362</f>
        <v>230</v>
      </c>
      <c r="AE362" s="17">
        <v>500</v>
      </c>
    </row>
    <row r="363" ht="15" spans="25:31">
      <c r="Y363">
        <f t="shared" si="34"/>
        <v>4</v>
      </c>
      <c r="Z363">
        <v>1</v>
      </c>
      <c r="AA363">
        <v>2</v>
      </c>
      <c r="AB363">
        <f t="shared" si="35"/>
        <v>4102</v>
      </c>
      <c r="AC363">
        <f t="shared" si="36"/>
        <v>230</v>
      </c>
      <c r="AD363">
        <f t="shared" ref="AD363:AD391" si="39">AD362+AC363</f>
        <v>460</v>
      </c>
      <c r="AE363" s="78">
        <v>700</v>
      </c>
    </row>
    <row r="364" ht="15" spans="25:31">
      <c r="Y364">
        <f t="shared" si="34"/>
        <v>4</v>
      </c>
      <c r="Z364">
        <v>1</v>
      </c>
      <c r="AA364">
        <v>3</v>
      </c>
      <c r="AB364">
        <f t="shared" si="35"/>
        <v>4103</v>
      </c>
      <c r="AC364">
        <f t="shared" si="36"/>
        <v>230</v>
      </c>
      <c r="AD364">
        <f t="shared" si="39"/>
        <v>690</v>
      </c>
      <c r="AE364" s="78">
        <v>900</v>
      </c>
    </row>
    <row r="365" ht="15" spans="25:31">
      <c r="Y365">
        <f t="shared" si="34"/>
        <v>4</v>
      </c>
      <c r="Z365">
        <v>1</v>
      </c>
      <c r="AA365">
        <v>4</v>
      </c>
      <c r="AB365">
        <f t="shared" si="35"/>
        <v>4104</v>
      </c>
      <c r="AC365">
        <f t="shared" si="36"/>
        <v>230</v>
      </c>
      <c r="AD365">
        <f t="shared" si="39"/>
        <v>920</v>
      </c>
      <c r="AE365" s="78">
        <v>1100</v>
      </c>
    </row>
    <row r="366" ht="15" spans="25:31">
      <c r="Y366">
        <f t="shared" si="34"/>
        <v>4</v>
      </c>
      <c r="Z366">
        <v>1</v>
      </c>
      <c r="AA366">
        <v>5</v>
      </c>
      <c r="AB366">
        <f t="shared" si="35"/>
        <v>4105</v>
      </c>
      <c r="AC366">
        <f t="shared" si="36"/>
        <v>230</v>
      </c>
      <c r="AD366">
        <f t="shared" si="39"/>
        <v>1150</v>
      </c>
      <c r="AE366" s="78">
        <v>1300</v>
      </c>
    </row>
    <row r="367" ht="15" spans="25:31">
      <c r="Y367">
        <f t="shared" si="34"/>
        <v>4</v>
      </c>
      <c r="Z367">
        <v>1</v>
      </c>
      <c r="AA367">
        <v>6</v>
      </c>
      <c r="AB367">
        <f t="shared" si="35"/>
        <v>4106</v>
      </c>
      <c r="AC367">
        <f t="shared" si="36"/>
        <v>230</v>
      </c>
      <c r="AD367">
        <f t="shared" si="39"/>
        <v>1380</v>
      </c>
      <c r="AE367" s="78">
        <v>1500</v>
      </c>
    </row>
    <row r="368" ht="15" spans="25:31">
      <c r="Y368">
        <f t="shared" si="34"/>
        <v>4</v>
      </c>
      <c r="Z368">
        <v>1</v>
      </c>
      <c r="AA368">
        <v>7</v>
      </c>
      <c r="AB368">
        <f t="shared" si="35"/>
        <v>4107</v>
      </c>
      <c r="AC368">
        <f t="shared" si="36"/>
        <v>230</v>
      </c>
      <c r="AD368">
        <f t="shared" si="39"/>
        <v>1610</v>
      </c>
      <c r="AE368" s="78">
        <v>1700</v>
      </c>
    </row>
    <row r="369" ht="15" spans="25:31">
      <c r="Y369">
        <f t="shared" si="34"/>
        <v>4</v>
      </c>
      <c r="Z369">
        <v>1</v>
      </c>
      <c r="AA369">
        <v>8</v>
      </c>
      <c r="AB369">
        <f t="shared" si="35"/>
        <v>4108</v>
      </c>
      <c r="AC369">
        <f t="shared" si="36"/>
        <v>230</v>
      </c>
      <c r="AD369">
        <f t="shared" si="39"/>
        <v>1840</v>
      </c>
      <c r="AE369" s="78">
        <v>1900</v>
      </c>
    </row>
    <row r="370" ht="15" spans="25:31">
      <c r="Y370">
        <f t="shared" si="34"/>
        <v>4</v>
      </c>
      <c r="Z370">
        <v>1</v>
      </c>
      <c r="AA370">
        <v>9</v>
      </c>
      <c r="AB370">
        <f t="shared" si="35"/>
        <v>4109</v>
      </c>
      <c r="AC370">
        <f t="shared" si="36"/>
        <v>230</v>
      </c>
      <c r="AD370">
        <f t="shared" si="39"/>
        <v>2070</v>
      </c>
      <c r="AE370" s="78">
        <v>2100</v>
      </c>
    </row>
    <row r="371" ht="15" spans="25:31">
      <c r="Y371">
        <f t="shared" si="34"/>
        <v>4</v>
      </c>
      <c r="Z371">
        <v>1</v>
      </c>
      <c r="AA371">
        <v>10</v>
      </c>
      <c r="AB371">
        <f t="shared" si="35"/>
        <v>4110</v>
      </c>
      <c r="AC371">
        <f t="shared" si="36"/>
        <v>230</v>
      </c>
      <c r="AD371">
        <f t="shared" si="39"/>
        <v>2300</v>
      </c>
      <c r="AE371" s="78">
        <v>2300</v>
      </c>
    </row>
    <row r="372" ht="15" spans="25:31">
      <c r="Y372">
        <f t="shared" si="34"/>
        <v>4</v>
      </c>
      <c r="Z372">
        <v>1</v>
      </c>
      <c r="AA372">
        <v>11</v>
      </c>
      <c r="AB372">
        <f t="shared" si="35"/>
        <v>4111</v>
      </c>
      <c r="AC372">
        <f>AI20</f>
        <v>345</v>
      </c>
      <c r="AD372">
        <f t="shared" si="39"/>
        <v>2645</v>
      </c>
      <c r="AE372" s="78">
        <v>2700</v>
      </c>
    </row>
    <row r="373" ht="15" spans="25:31">
      <c r="Y373">
        <f t="shared" si="34"/>
        <v>4</v>
      </c>
      <c r="Z373">
        <v>1</v>
      </c>
      <c r="AA373">
        <v>12</v>
      </c>
      <c r="AB373">
        <f t="shared" si="35"/>
        <v>4112</v>
      </c>
      <c r="AC373">
        <f t="shared" si="36"/>
        <v>345</v>
      </c>
      <c r="AD373">
        <f t="shared" si="39"/>
        <v>2990</v>
      </c>
      <c r="AE373" s="78">
        <v>3100</v>
      </c>
    </row>
    <row r="374" ht="15" spans="25:31">
      <c r="Y374">
        <f t="shared" si="34"/>
        <v>4</v>
      </c>
      <c r="Z374">
        <v>1</v>
      </c>
      <c r="AA374">
        <v>13</v>
      </c>
      <c r="AB374">
        <f t="shared" si="35"/>
        <v>4113</v>
      </c>
      <c r="AC374">
        <f t="shared" si="36"/>
        <v>345</v>
      </c>
      <c r="AD374">
        <f t="shared" si="39"/>
        <v>3335</v>
      </c>
      <c r="AE374" s="78">
        <v>3500</v>
      </c>
    </row>
    <row r="375" ht="15" spans="25:31">
      <c r="Y375">
        <f t="shared" si="34"/>
        <v>4</v>
      </c>
      <c r="Z375">
        <v>1</v>
      </c>
      <c r="AA375">
        <v>14</v>
      </c>
      <c r="AB375">
        <f t="shared" si="35"/>
        <v>4114</v>
      </c>
      <c r="AC375">
        <f t="shared" si="36"/>
        <v>345</v>
      </c>
      <c r="AD375">
        <f t="shared" si="39"/>
        <v>3680</v>
      </c>
      <c r="AE375" s="78">
        <v>3900</v>
      </c>
    </row>
    <row r="376" ht="15" spans="25:31">
      <c r="Y376">
        <f t="shared" si="34"/>
        <v>4</v>
      </c>
      <c r="Z376">
        <v>1</v>
      </c>
      <c r="AA376">
        <v>15</v>
      </c>
      <c r="AB376">
        <f t="shared" si="35"/>
        <v>4115</v>
      </c>
      <c r="AC376">
        <f t="shared" si="36"/>
        <v>345</v>
      </c>
      <c r="AD376">
        <f t="shared" si="39"/>
        <v>4025</v>
      </c>
      <c r="AE376" s="78">
        <v>4300</v>
      </c>
    </row>
    <row r="377" ht="15" spans="25:31">
      <c r="Y377">
        <f t="shared" si="34"/>
        <v>4</v>
      </c>
      <c r="Z377">
        <v>1</v>
      </c>
      <c r="AA377">
        <v>16</v>
      </c>
      <c r="AB377">
        <f t="shared" si="35"/>
        <v>4116</v>
      </c>
      <c r="AC377">
        <f t="shared" si="36"/>
        <v>345</v>
      </c>
      <c r="AD377">
        <f t="shared" si="39"/>
        <v>4370</v>
      </c>
      <c r="AE377" s="78">
        <v>4700</v>
      </c>
    </row>
    <row r="378" ht="15" spans="25:31">
      <c r="Y378">
        <f t="shared" si="34"/>
        <v>4</v>
      </c>
      <c r="Z378">
        <v>1</v>
      </c>
      <c r="AA378">
        <v>17</v>
      </c>
      <c r="AB378">
        <f t="shared" si="35"/>
        <v>4117</v>
      </c>
      <c r="AC378">
        <f t="shared" si="36"/>
        <v>345</v>
      </c>
      <c r="AD378">
        <f t="shared" si="39"/>
        <v>4715</v>
      </c>
      <c r="AE378" s="78">
        <v>5100</v>
      </c>
    </row>
    <row r="379" ht="15" spans="25:31">
      <c r="Y379">
        <f t="shared" ref="Y379:Y442" si="40">Y259+1</f>
        <v>4</v>
      </c>
      <c r="Z379">
        <v>1</v>
      </c>
      <c r="AA379">
        <v>18</v>
      </c>
      <c r="AB379">
        <f t="shared" si="35"/>
        <v>4118</v>
      </c>
      <c r="AC379">
        <f t="shared" si="36"/>
        <v>345</v>
      </c>
      <c r="AD379">
        <f t="shared" si="39"/>
        <v>5060</v>
      </c>
      <c r="AE379" s="78">
        <v>5500</v>
      </c>
    </row>
    <row r="380" ht="15" spans="25:31">
      <c r="Y380">
        <f t="shared" si="40"/>
        <v>4</v>
      </c>
      <c r="Z380">
        <v>1</v>
      </c>
      <c r="AA380">
        <v>19</v>
      </c>
      <c r="AB380">
        <f t="shared" si="35"/>
        <v>4119</v>
      </c>
      <c r="AC380">
        <f t="shared" si="36"/>
        <v>345</v>
      </c>
      <c r="AD380">
        <f t="shared" si="39"/>
        <v>5405</v>
      </c>
      <c r="AE380" s="78">
        <v>5900</v>
      </c>
    </row>
    <row r="381" ht="15" spans="25:31">
      <c r="Y381">
        <f t="shared" si="40"/>
        <v>4</v>
      </c>
      <c r="Z381">
        <v>1</v>
      </c>
      <c r="AA381">
        <v>20</v>
      </c>
      <c r="AB381">
        <f t="shared" si="35"/>
        <v>4120</v>
      </c>
      <c r="AC381">
        <f t="shared" si="36"/>
        <v>345</v>
      </c>
      <c r="AD381">
        <f t="shared" si="39"/>
        <v>5750</v>
      </c>
      <c r="AE381" s="78">
        <v>6300</v>
      </c>
    </row>
    <row r="382" ht="15" spans="25:31">
      <c r="Y382">
        <f t="shared" si="40"/>
        <v>4</v>
      </c>
      <c r="Z382">
        <v>1</v>
      </c>
      <c r="AA382">
        <v>21</v>
      </c>
      <c r="AB382">
        <f t="shared" si="35"/>
        <v>4121</v>
      </c>
      <c r="AC382">
        <f>AI21</f>
        <v>460</v>
      </c>
      <c r="AD382">
        <f t="shared" si="39"/>
        <v>6210</v>
      </c>
      <c r="AE382" s="78">
        <v>7100</v>
      </c>
    </row>
    <row r="383" ht="15" spans="25:31">
      <c r="Y383">
        <f t="shared" si="40"/>
        <v>4</v>
      </c>
      <c r="Z383">
        <v>1</v>
      </c>
      <c r="AA383">
        <v>22</v>
      </c>
      <c r="AB383">
        <f t="shared" si="35"/>
        <v>4122</v>
      </c>
      <c r="AC383">
        <f t="shared" si="36"/>
        <v>460</v>
      </c>
      <c r="AD383">
        <f t="shared" si="39"/>
        <v>6670</v>
      </c>
      <c r="AE383" s="78">
        <v>7900</v>
      </c>
    </row>
    <row r="384" ht="15" spans="25:31">
      <c r="Y384">
        <f t="shared" si="40"/>
        <v>4</v>
      </c>
      <c r="Z384">
        <v>1</v>
      </c>
      <c r="AA384">
        <v>23</v>
      </c>
      <c r="AB384">
        <f t="shared" si="35"/>
        <v>4123</v>
      </c>
      <c r="AC384">
        <f t="shared" si="36"/>
        <v>460</v>
      </c>
      <c r="AD384">
        <f t="shared" si="39"/>
        <v>7130</v>
      </c>
      <c r="AE384" s="78">
        <v>8700</v>
      </c>
    </row>
    <row r="385" ht="15" spans="25:31">
      <c r="Y385">
        <f t="shared" si="40"/>
        <v>4</v>
      </c>
      <c r="Z385">
        <v>1</v>
      </c>
      <c r="AA385">
        <v>24</v>
      </c>
      <c r="AB385">
        <f t="shared" si="35"/>
        <v>4124</v>
      </c>
      <c r="AC385">
        <f t="shared" si="36"/>
        <v>460</v>
      </c>
      <c r="AD385">
        <f t="shared" si="39"/>
        <v>7590</v>
      </c>
      <c r="AE385" s="78">
        <v>9500</v>
      </c>
    </row>
    <row r="386" ht="15" spans="25:31">
      <c r="Y386">
        <f t="shared" si="40"/>
        <v>4</v>
      </c>
      <c r="Z386">
        <v>1</v>
      </c>
      <c r="AA386">
        <v>25</v>
      </c>
      <c r="AB386">
        <f t="shared" si="35"/>
        <v>4125</v>
      </c>
      <c r="AC386">
        <f t="shared" si="36"/>
        <v>460</v>
      </c>
      <c r="AD386">
        <f t="shared" si="39"/>
        <v>8050</v>
      </c>
      <c r="AE386" s="78">
        <v>10300</v>
      </c>
    </row>
    <row r="387" ht="15" spans="25:31">
      <c r="Y387">
        <f t="shared" si="40"/>
        <v>4</v>
      </c>
      <c r="Z387">
        <v>1</v>
      </c>
      <c r="AA387">
        <v>26</v>
      </c>
      <c r="AB387">
        <f t="shared" ref="AB387:AB450" si="41">Y387*1000+Z387*100+AA387</f>
        <v>4126</v>
      </c>
      <c r="AC387">
        <f t="shared" si="36"/>
        <v>460</v>
      </c>
      <c r="AD387">
        <f t="shared" si="39"/>
        <v>8510</v>
      </c>
      <c r="AE387" s="78">
        <v>11100</v>
      </c>
    </row>
    <row r="388" ht="15" spans="25:31">
      <c r="Y388">
        <f t="shared" si="40"/>
        <v>4</v>
      </c>
      <c r="Z388">
        <v>1</v>
      </c>
      <c r="AA388">
        <v>27</v>
      </c>
      <c r="AB388">
        <f t="shared" si="41"/>
        <v>4127</v>
      </c>
      <c r="AC388">
        <f t="shared" ref="AC388:AC451" si="42">AC387</f>
        <v>460</v>
      </c>
      <c r="AD388">
        <f t="shared" si="39"/>
        <v>8970</v>
      </c>
      <c r="AE388" s="78">
        <v>11900</v>
      </c>
    </row>
    <row r="389" ht="15" spans="25:31">
      <c r="Y389">
        <f t="shared" si="40"/>
        <v>4</v>
      </c>
      <c r="Z389">
        <v>1</v>
      </c>
      <c r="AA389">
        <v>28</v>
      </c>
      <c r="AB389">
        <f t="shared" si="41"/>
        <v>4128</v>
      </c>
      <c r="AC389">
        <f t="shared" si="42"/>
        <v>460</v>
      </c>
      <c r="AD389">
        <f t="shared" si="39"/>
        <v>9430</v>
      </c>
      <c r="AE389" s="78">
        <v>12700</v>
      </c>
    </row>
    <row r="390" ht="15" spans="25:31">
      <c r="Y390">
        <f t="shared" si="40"/>
        <v>4</v>
      </c>
      <c r="Z390">
        <v>1</v>
      </c>
      <c r="AA390">
        <v>29</v>
      </c>
      <c r="AB390">
        <f t="shared" si="41"/>
        <v>4129</v>
      </c>
      <c r="AC390">
        <f t="shared" si="42"/>
        <v>460</v>
      </c>
      <c r="AD390">
        <f t="shared" si="39"/>
        <v>9890</v>
      </c>
      <c r="AE390" s="78">
        <v>13500</v>
      </c>
    </row>
    <row r="391" ht="15" spans="25:31">
      <c r="Y391">
        <f t="shared" si="40"/>
        <v>4</v>
      </c>
      <c r="Z391">
        <v>1</v>
      </c>
      <c r="AA391">
        <v>30</v>
      </c>
      <c r="AB391">
        <f t="shared" si="41"/>
        <v>4130</v>
      </c>
      <c r="AC391">
        <f t="shared" si="42"/>
        <v>460</v>
      </c>
      <c r="AD391">
        <f t="shared" si="39"/>
        <v>10350</v>
      </c>
      <c r="AE391" s="78">
        <v>14300</v>
      </c>
    </row>
    <row r="392" ht="15" spans="25:31">
      <c r="Y392">
        <f t="shared" si="40"/>
        <v>4</v>
      </c>
      <c r="Z392">
        <f t="shared" ref="Z392:Z455" si="43">Z362+1</f>
        <v>2</v>
      </c>
      <c r="AA392">
        <v>1</v>
      </c>
      <c r="AB392">
        <f t="shared" si="41"/>
        <v>4201</v>
      </c>
      <c r="AC392">
        <f>AJ19</f>
        <v>460</v>
      </c>
      <c r="AD392">
        <f>AC392</f>
        <v>460</v>
      </c>
      <c r="AE392" s="78">
        <v>750</v>
      </c>
    </row>
    <row r="393" ht="15" spans="25:31">
      <c r="Y393">
        <f t="shared" si="40"/>
        <v>4</v>
      </c>
      <c r="Z393">
        <f t="shared" si="43"/>
        <v>2</v>
      </c>
      <c r="AA393">
        <v>2</v>
      </c>
      <c r="AB393">
        <f t="shared" si="41"/>
        <v>4202</v>
      </c>
      <c r="AC393">
        <f t="shared" si="42"/>
        <v>460</v>
      </c>
      <c r="AD393">
        <f t="shared" ref="AD393:AD421" si="44">AD392+AC393</f>
        <v>920</v>
      </c>
      <c r="AE393" s="78">
        <v>1050</v>
      </c>
    </row>
    <row r="394" ht="15" spans="25:31">
      <c r="Y394">
        <f t="shared" si="40"/>
        <v>4</v>
      </c>
      <c r="Z394">
        <f t="shared" si="43"/>
        <v>2</v>
      </c>
      <c r="AA394">
        <v>3</v>
      </c>
      <c r="AB394">
        <f t="shared" si="41"/>
        <v>4203</v>
      </c>
      <c r="AC394">
        <f t="shared" si="42"/>
        <v>460</v>
      </c>
      <c r="AD394">
        <f t="shared" si="44"/>
        <v>1380</v>
      </c>
      <c r="AE394" s="78">
        <v>1350</v>
      </c>
    </row>
    <row r="395" ht="15" spans="25:31">
      <c r="Y395">
        <f t="shared" si="40"/>
        <v>4</v>
      </c>
      <c r="Z395">
        <f t="shared" si="43"/>
        <v>2</v>
      </c>
      <c r="AA395">
        <v>4</v>
      </c>
      <c r="AB395">
        <f t="shared" si="41"/>
        <v>4204</v>
      </c>
      <c r="AC395">
        <f t="shared" si="42"/>
        <v>460</v>
      </c>
      <c r="AD395">
        <f t="shared" si="44"/>
        <v>1840</v>
      </c>
      <c r="AE395" s="78">
        <v>1650</v>
      </c>
    </row>
    <row r="396" ht="15" spans="25:31">
      <c r="Y396">
        <f t="shared" si="40"/>
        <v>4</v>
      </c>
      <c r="Z396">
        <f t="shared" si="43"/>
        <v>2</v>
      </c>
      <c r="AA396">
        <v>5</v>
      </c>
      <c r="AB396">
        <f t="shared" si="41"/>
        <v>4205</v>
      </c>
      <c r="AC396">
        <f t="shared" si="42"/>
        <v>460</v>
      </c>
      <c r="AD396">
        <f t="shared" si="44"/>
        <v>2300</v>
      </c>
      <c r="AE396" s="78">
        <v>1950</v>
      </c>
    </row>
    <row r="397" ht="15" spans="25:31">
      <c r="Y397">
        <f t="shared" si="40"/>
        <v>4</v>
      </c>
      <c r="Z397">
        <f t="shared" si="43"/>
        <v>2</v>
      </c>
      <c r="AA397">
        <v>6</v>
      </c>
      <c r="AB397">
        <f t="shared" si="41"/>
        <v>4206</v>
      </c>
      <c r="AC397">
        <f t="shared" si="42"/>
        <v>460</v>
      </c>
      <c r="AD397">
        <f t="shared" si="44"/>
        <v>2760</v>
      </c>
      <c r="AE397" s="78">
        <v>2250</v>
      </c>
    </row>
    <row r="398" ht="15" spans="25:31">
      <c r="Y398">
        <f t="shared" si="40"/>
        <v>4</v>
      </c>
      <c r="Z398">
        <f t="shared" si="43"/>
        <v>2</v>
      </c>
      <c r="AA398">
        <v>7</v>
      </c>
      <c r="AB398">
        <f t="shared" si="41"/>
        <v>4207</v>
      </c>
      <c r="AC398">
        <f t="shared" si="42"/>
        <v>460</v>
      </c>
      <c r="AD398">
        <f t="shared" si="44"/>
        <v>3220</v>
      </c>
      <c r="AE398" s="78">
        <v>2550</v>
      </c>
    </row>
    <row r="399" ht="15" spans="25:31">
      <c r="Y399">
        <f t="shared" si="40"/>
        <v>4</v>
      </c>
      <c r="Z399">
        <f t="shared" si="43"/>
        <v>2</v>
      </c>
      <c r="AA399">
        <v>8</v>
      </c>
      <c r="AB399">
        <f t="shared" si="41"/>
        <v>4208</v>
      </c>
      <c r="AC399">
        <f t="shared" si="42"/>
        <v>460</v>
      </c>
      <c r="AD399">
        <f t="shared" si="44"/>
        <v>3680</v>
      </c>
      <c r="AE399" s="78">
        <v>2850</v>
      </c>
    </row>
    <row r="400" ht="15" spans="25:31">
      <c r="Y400">
        <f t="shared" si="40"/>
        <v>4</v>
      </c>
      <c r="Z400">
        <f t="shared" si="43"/>
        <v>2</v>
      </c>
      <c r="AA400">
        <v>9</v>
      </c>
      <c r="AB400">
        <f t="shared" si="41"/>
        <v>4209</v>
      </c>
      <c r="AC400">
        <f t="shared" si="42"/>
        <v>460</v>
      </c>
      <c r="AD400">
        <f t="shared" si="44"/>
        <v>4140</v>
      </c>
      <c r="AE400" s="78">
        <v>3150</v>
      </c>
    </row>
    <row r="401" ht="15" spans="25:31">
      <c r="Y401">
        <f t="shared" si="40"/>
        <v>4</v>
      </c>
      <c r="Z401">
        <f t="shared" si="43"/>
        <v>2</v>
      </c>
      <c r="AA401">
        <v>10</v>
      </c>
      <c r="AB401">
        <f t="shared" si="41"/>
        <v>4210</v>
      </c>
      <c r="AC401">
        <f t="shared" si="42"/>
        <v>460</v>
      </c>
      <c r="AD401">
        <f t="shared" si="44"/>
        <v>4600</v>
      </c>
      <c r="AE401" s="78">
        <v>3450</v>
      </c>
    </row>
    <row r="402" ht="15" spans="25:31">
      <c r="Y402">
        <f t="shared" si="40"/>
        <v>4</v>
      </c>
      <c r="Z402">
        <f t="shared" si="43"/>
        <v>2</v>
      </c>
      <c r="AA402">
        <v>11</v>
      </c>
      <c r="AB402">
        <f t="shared" si="41"/>
        <v>4211</v>
      </c>
      <c r="AC402">
        <f>AJ20</f>
        <v>690</v>
      </c>
      <c r="AD402">
        <f t="shared" si="44"/>
        <v>5290</v>
      </c>
      <c r="AE402" s="78">
        <v>4050</v>
      </c>
    </row>
    <row r="403" ht="15" spans="25:31">
      <c r="Y403">
        <f t="shared" si="40"/>
        <v>4</v>
      </c>
      <c r="Z403">
        <f t="shared" si="43"/>
        <v>2</v>
      </c>
      <c r="AA403">
        <v>12</v>
      </c>
      <c r="AB403">
        <f t="shared" si="41"/>
        <v>4212</v>
      </c>
      <c r="AC403">
        <f t="shared" si="42"/>
        <v>690</v>
      </c>
      <c r="AD403">
        <f t="shared" si="44"/>
        <v>5980</v>
      </c>
      <c r="AE403" s="78">
        <v>4650</v>
      </c>
    </row>
    <row r="404" ht="15" spans="25:31">
      <c r="Y404">
        <f t="shared" si="40"/>
        <v>4</v>
      </c>
      <c r="Z404">
        <f t="shared" si="43"/>
        <v>2</v>
      </c>
      <c r="AA404">
        <v>13</v>
      </c>
      <c r="AB404">
        <f t="shared" si="41"/>
        <v>4213</v>
      </c>
      <c r="AC404">
        <f t="shared" si="42"/>
        <v>690</v>
      </c>
      <c r="AD404">
        <f t="shared" si="44"/>
        <v>6670</v>
      </c>
      <c r="AE404" s="78">
        <v>5250</v>
      </c>
    </row>
    <row r="405" ht="15" spans="25:31">
      <c r="Y405">
        <f t="shared" si="40"/>
        <v>4</v>
      </c>
      <c r="Z405">
        <f t="shared" si="43"/>
        <v>2</v>
      </c>
      <c r="AA405">
        <v>14</v>
      </c>
      <c r="AB405">
        <f t="shared" si="41"/>
        <v>4214</v>
      </c>
      <c r="AC405">
        <f t="shared" si="42"/>
        <v>690</v>
      </c>
      <c r="AD405">
        <f t="shared" si="44"/>
        <v>7360</v>
      </c>
      <c r="AE405" s="78">
        <v>5850</v>
      </c>
    </row>
    <row r="406" ht="15" spans="25:31">
      <c r="Y406">
        <f t="shared" si="40"/>
        <v>4</v>
      </c>
      <c r="Z406">
        <f t="shared" si="43"/>
        <v>2</v>
      </c>
      <c r="AA406">
        <v>15</v>
      </c>
      <c r="AB406">
        <f t="shared" si="41"/>
        <v>4215</v>
      </c>
      <c r="AC406">
        <f t="shared" si="42"/>
        <v>690</v>
      </c>
      <c r="AD406">
        <f t="shared" si="44"/>
        <v>8050</v>
      </c>
      <c r="AE406" s="78">
        <v>6450</v>
      </c>
    </row>
    <row r="407" ht="15" spans="25:31">
      <c r="Y407">
        <f t="shared" si="40"/>
        <v>4</v>
      </c>
      <c r="Z407">
        <f t="shared" si="43"/>
        <v>2</v>
      </c>
      <c r="AA407">
        <v>16</v>
      </c>
      <c r="AB407">
        <f t="shared" si="41"/>
        <v>4216</v>
      </c>
      <c r="AC407">
        <f t="shared" si="42"/>
        <v>690</v>
      </c>
      <c r="AD407">
        <f t="shared" si="44"/>
        <v>8740</v>
      </c>
      <c r="AE407" s="78">
        <v>7050</v>
      </c>
    </row>
    <row r="408" ht="15" spans="25:31">
      <c r="Y408">
        <f t="shared" si="40"/>
        <v>4</v>
      </c>
      <c r="Z408">
        <f t="shared" si="43"/>
        <v>2</v>
      </c>
      <c r="AA408">
        <v>17</v>
      </c>
      <c r="AB408">
        <f t="shared" si="41"/>
        <v>4217</v>
      </c>
      <c r="AC408">
        <f t="shared" si="42"/>
        <v>690</v>
      </c>
      <c r="AD408">
        <f t="shared" si="44"/>
        <v>9430</v>
      </c>
      <c r="AE408" s="78">
        <v>7650</v>
      </c>
    </row>
    <row r="409" ht="15" spans="25:31">
      <c r="Y409">
        <f t="shared" si="40"/>
        <v>4</v>
      </c>
      <c r="Z409">
        <f t="shared" si="43"/>
        <v>2</v>
      </c>
      <c r="AA409">
        <v>18</v>
      </c>
      <c r="AB409">
        <f t="shared" si="41"/>
        <v>4218</v>
      </c>
      <c r="AC409">
        <f t="shared" si="42"/>
        <v>690</v>
      </c>
      <c r="AD409">
        <f t="shared" si="44"/>
        <v>10120</v>
      </c>
      <c r="AE409" s="78">
        <v>8250</v>
      </c>
    </row>
    <row r="410" ht="15" spans="25:31">
      <c r="Y410">
        <f t="shared" si="40"/>
        <v>4</v>
      </c>
      <c r="Z410">
        <f t="shared" si="43"/>
        <v>2</v>
      </c>
      <c r="AA410">
        <v>19</v>
      </c>
      <c r="AB410">
        <f t="shared" si="41"/>
        <v>4219</v>
      </c>
      <c r="AC410">
        <f t="shared" si="42"/>
        <v>690</v>
      </c>
      <c r="AD410">
        <f t="shared" si="44"/>
        <v>10810</v>
      </c>
      <c r="AE410" s="78">
        <v>8850</v>
      </c>
    </row>
    <row r="411" ht="15" spans="25:31">
      <c r="Y411">
        <f t="shared" si="40"/>
        <v>4</v>
      </c>
      <c r="Z411">
        <f t="shared" si="43"/>
        <v>2</v>
      </c>
      <c r="AA411">
        <v>20</v>
      </c>
      <c r="AB411">
        <f t="shared" si="41"/>
        <v>4220</v>
      </c>
      <c r="AC411">
        <f t="shared" si="42"/>
        <v>690</v>
      </c>
      <c r="AD411">
        <f t="shared" si="44"/>
        <v>11500</v>
      </c>
      <c r="AE411" s="78">
        <v>9450</v>
      </c>
    </row>
    <row r="412" ht="15" spans="25:31">
      <c r="Y412">
        <f t="shared" si="40"/>
        <v>4</v>
      </c>
      <c r="Z412">
        <f t="shared" si="43"/>
        <v>2</v>
      </c>
      <c r="AA412">
        <v>21</v>
      </c>
      <c r="AB412">
        <f t="shared" si="41"/>
        <v>4221</v>
      </c>
      <c r="AC412">
        <f>AJ21</f>
        <v>920</v>
      </c>
      <c r="AD412">
        <f t="shared" si="44"/>
        <v>12420</v>
      </c>
      <c r="AE412" s="78">
        <v>10650</v>
      </c>
    </row>
    <row r="413" ht="15" spans="25:31">
      <c r="Y413">
        <f t="shared" si="40"/>
        <v>4</v>
      </c>
      <c r="Z413">
        <f t="shared" si="43"/>
        <v>2</v>
      </c>
      <c r="AA413">
        <v>22</v>
      </c>
      <c r="AB413">
        <f t="shared" si="41"/>
        <v>4222</v>
      </c>
      <c r="AC413">
        <f t="shared" si="42"/>
        <v>920</v>
      </c>
      <c r="AD413">
        <f t="shared" si="44"/>
        <v>13340</v>
      </c>
      <c r="AE413" s="78">
        <v>11850</v>
      </c>
    </row>
    <row r="414" ht="15" spans="25:31">
      <c r="Y414">
        <f t="shared" si="40"/>
        <v>4</v>
      </c>
      <c r="Z414">
        <f t="shared" si="43"/>
        <v>2</v>
      </c>
      <c r="AA414">
        <v>23</v>
      </c>
      <c r="AB414">
        <f t="shared" si="41"/>
        <v>4223</v>
      </c>
      <c r="AC414">
        <f t="shared" si="42"/>
        <v>920</v>
      </c>
      <c r="AD414">
        <f t="shared" si="44"/>
        <v>14260</v>
      </c>
      <c r="AE414" s="78">
        <v>13050</v>
      </c>
    </row>
    <row r="415" ht="15" spans="25:31">
      <c r="Y415">
        <f t="shared" si="40"/>
        <v>4</v>
      </c>
      <c r="Z415">
        <f t="shared" si="43"/>
        <v>2</v>
      </c>
      <c r="AA415">
        <v>24</v>
      </c>
      <c r="AB415">
        <f t="shared" si="41"/>
        <v>4224</v>
      </c>
      <c r="AC415">
        <f t="shared" si="42"/>
        <v>920</v>
      </c>
      <c r="AD415">
        <f t="shared" si="44"/>
        <v>15180</v>
      </c>
      <c r="AE415" s="78">
        <v>14250</v>
      </c>
    </row>
    <row r="416" ht="15" spans="25:31">
      <c r="Y416">
        <f t="shared" si="40"/>
        <v>4</v>
      </c>
      <c r="Z416">
        <f t="shared" si="43"/>
        <v>2</v>
      </c>
      <c r="AA416">
        <v>25</v>
      </c>
      <c r="AB416">
        <f t="shared" si="41"/>
        <v>4225</v>
      </c>
      <c r="AC416">
        <f t="shared" si="42"/>
        <v>920</v>
      </c>
      <c r="AD416">
        <f t="shared" si="44"/>
        <v>16100</v>
      </c>
      <c r="AE416" s="78">
        <v>15450</v>
      </c>
    </row>
    <row r="417" ht="15" spans="25:31">
      <c r="Y417">
        <f t="shared" si="40"/>
        <v>4</v>
      </c>
      <c r="Z417">
        <f t="shared" si="43"/>
        <v>2</v>
      </c>
      <c r="AA417">
        <v>26</v>
      </c>
      <c r="AB417">
        <f t="shared" si="41"/>
        <v>4226</v>
      </c>
      <c r="AC417">
        <f t="shared" si="42"/>
        <v>920</v>
      </c>
      <c r="AD417">
        <f t="shared" si="44"/>
        <v>17020</v>
      </c>
      <c r="AE417" s="78">
        <v>16650</v>
      </c>
    </row>
    <row r="418" ht="15" spans="25:31">
      <c r="Y418">
        <f t="shared" si="40"/>
        <v>4</v>
      </c>
      <c r="Z418">
        <f t="shared" si="43"/>
        <v>2</v>
      </c>
      <c r="AA418">
        <v>27</v>
      </c>
      <c r="AB418">
        <f t="shared" si="41"/>
        <v>4227</v>
      </c>
      <c r="AC418">
        <f t="shared" si="42"/>
        <v>920</v>
      </c>
      <c r="AD418">
        <f t="shared" si="44"/>
        <v>17940</v>
      </c>
      <c r="AE418" s="78">
        <v>17850</v>
      </c>
    </row>
    <row r="419" ht="15" spans="25:31">
      <c r="Y419">
        <f t="shared" si="40"/>
        <v>4</v>
      </c>
      <c r="Z419">
        <f t="shared" si="43"/>
        <v>2</v>
      </c>
      <c r="AA419">
        <v>28</v>
      </c>
      <c r="AB419">
        <f t="shared" si="41"/>
        <v>4228</v>
      </c>
      <c r="AC419">
        <f t="shared" si="42"/>
        <v>920</v>
      </c>
      <c r="AD419">
        <f t="shared" si="44"/>
        <v>18860</v>
      </c>
      <c r="AE419" s="78">
        <v>19050</v>
      </c>
    </row>
    <row r="420" ht="15" spans="25:31">
      <c r="Y420">
        <f t="shared" si="40"/>
        <v>4</v>
      </c>
      <c r="Z420">
        <f t="shared" si="43"/>
        <v>2</v>
      </c>
      <c r="AA420">
        <v>29</v>
      </c>
      <c r="AB420">
        <f t="shared" si="41"/>
        <v>4229</v>
      </c>
      <c r="AC420">
        <f t="shared" si="42"/>
        <v>920</v>
      </c>
      <c r="AD420">
        <f t="shared" si="44"/>
        <v>19780</v>
      </c>
      <c r="AE420" s="78">
        <v>20250</v>
      </c>
    </row>
    <row r="421" ht="15" spans="25:31">
      <c r="Y421">
        <f t="shared" si="40"/>
        <v>4</v>
      </c>
      <c r="Z421">
        <f t="shared" si="43"/>
        <v>2</v>
      </c>
      <c r="AA421">
        <v>30</v>
      </c>
      <c r="AB421">
        <f t="shared" si="41"/>
        <v>4230</v>
      </c>
      <c r="AC421">
        <f t="shared" si="42"/>
        <v>920</v>
      </c>
      <c r="AD421">
        <f t="shared" si="44"/>
        <v>20700</v>
      </c>
      <c r="AE421" s="78">
        <v>21450</v>
      </c>
    </row>
    <row r="422" spans="25:31">
      <c r="Y422">
        <f t="shared" si="40"/>
        <v>4</v>
      </c>
      <c r="Z422">
        <f t="shared" si="43"/>
        <v>3</v>
      </c>
      <c r="AA422">
        <v>1</v>
      </c>
      <c r="AB422">
        <f t="shared" si="41"/>
        <v>4301</v>
      </c>
      <c r="AC422">
        <f>AK19</f>
        <v>1150</v>
      </c>
      <c r="AD422">
        <f>AC422</f>
        <v>1150</v>
      </c>
      <c r="AE422">
        <v>1000</v>
      </c>
    </row>
    <row r="423" spans="25:31">
      <c r="Y423">
        <f t="shared" si="40"/>
        <v>4</v>
      </c>
      <c r="Z423">
        <f t="shared" si="43"/>
        <v>3</v>
      </c>
      <c r="AA423">
        <v>2</v>
      </c>
      <c r="AB423">
        <f t="shared" si="41"/>
        <v>4302</v>
      </c>
      <c r="AC423">
        <f t="shared" si="42"/>
        <v>1150</v>
      </c>
      <c r="AD423">
        <f t="shared" ref="AD423:AD451" si="45">AD422+AC423</f>
        <v>2300</v>
      </c>
      <c r="AE423">
        <v>1400</v>
      </c>
    </row>
    <row r="424" spans="25:31">
      <c r="Y424">
        <f t="shared" si="40"/>
        <v>4</v>
      </c>
      <c r="Z424">
        <f t="shared" si="43"/>
        <v>3</v>
      </c>
      <c r="AA424">
        <v>3</v>
      </c>
      <c r="AB424">
        <f t="shared" si="41"/>
        <v>4303</v>
      </c>
      <c r="AC424">
        <f t="shared" si="42"/>
        <v>1150</v>
      </c>
      <c r="AD424">
        <f t="shared" si="45"/>
        <v>3450</v>
      </c>
      <c r="AE424">
        <v>1800</v>
      </c>
    </row>
    <row r="425" spans="25:31">
      <c r="Y425">
        <f t="shared" si="40"/>
        <v>4</v>
      </c>
      <c r="Z425">
        <f t="shared" si="43"/>
        <v>3</v>
      </c>
      <c r="AA425">
        <v>4</v>
      </c>
      <c r="AB425">
        <f t="shared" si="41"/>
        <v>4304</v>
      </c>
      <c r="AC425">
        <f t="shared" si="42"/>
        <v>1150</v>
      </c>
      <c r="AD425">
        <f t="shared" si="45"/>
        <v>4600</v>
      </c>
      <c r="AE425">
        <v>2200</v>
      </c>
    </row>
    <row r="426" spans="25:31">
      <c r="Y426">
        <f t="shared" si="40"/>
        <v>4</v>
      </c>
      <c r="Z426">
        <f t="shared" si="43"/>
        <v>3</v>
      </c>
      <c r="AA426">
        <v>5</v>
      </c>
      <c r="AB426">
        <f t="shared" si="41"/>
        <v>4305</v>
      </c>
      <c r="AC426">
        <f t="shared" si="42"/>
        <v>1150</v>
      </c>
      <c r="AD426">
        <f t="shared" si="45"/>
        <v>5750</v>
      </c>
      <c r="AE426">
        <v>2600</v>
      </c>
    </row>
    <row r="427" spans="25:31">
      <c r="Y427">
        <f t="shared" si="40"/>
        <v>4</v>
      </c>
      <c r="Z427">
        <f t="shared" si="43"/>
        <v>3</v>
      </c>
      <c r="AA427">
        <v>6</v>
      </c>
      <c r="AB427">
        <f t="shared" si="41"/>
        <v>4306</v>
      </c>
      <c r="AC427">
        <f t="shared" si="42"/>
        <v>1150</v>
      </c>
      <c r="AD427">
        <f t="shared" si="45"/>
        <v>6900</v>
      </c>
      <c r="AE427">
        <v>3000</v>
      </c>
    </row>
    <row r="428" spans="25:31">
      <c r="Y428">
        <f t="shared" si="40"/>
        <v>4</v>
      </c>
      <c r="Z428">
        <f t="shared" si="43"/>
        <v>3</v>
      </c>
      <c r="AA428">
        <v>7</v>
      </c>
      <c r="AB428">
        <f t="shared" si="41"/>
        <v>4307</v>
      </c>
      <c r="AC428">
        <f t="shared" si="42"/>
        <v>1150</v>
      </c>
      <c r="AD428">
        <f t="shared" si="45"/>
        <v>8050</v>
      </c>
      <c r="AE428">
        <v>3400</v>
      </c>
    </row>
    <row r="429" spans="25:31">
      <c r="Y429">
        <f t="shared" si="40"/>
        <v>4</v>
      </c>
      <c r="Z429">
        <f t="shared" si="43"/>
        <v>3</v>
      </c>
      <c r="AA429">
        <v>8</v>
      </c>
      <c r="AB429">
        <f t="shared" si="41"/>
        <v>4308</v>
      </c>
      <c r="AC429">
        <f t="shared" si="42"/>
        <v>1150</v>
      </c>
      <c r="AD429">
        <f t="shared" si="45"/>
        <v>9200</v>
      </c>
      <c r="AE429">
        <v>3800</v>
      </c>
    </row>
    <row r="430" spans="25:31">
      <c r="Y430">
        <f t="shared" si="40"/>
        <v>4</v>
      </c>
      <c r="Z430">
        <f t="shared" si="43"/>
        <v>3</v>
      </c>
      <c r="AA430">
        <v>9</v>
      </c>
      <c r="AB430">
        <f t="shared" si="41"/>
        <v>4309</v>
      </c>
      <c r="AC430">
        <f t="shared" si="42"/>
        <v>1150</v>
      </c>
      <c r="AD430">
        <f t="shared" si="45"/>
        <v>10350</v>
      </c>
      <c r="AE430">
        <v>4200</v>
      </c>
    </row>
    <row r="431" spans="25:31">
      <c r="Y431">
        <f t="shared" si="40"/>
        <v>4</v>
      </c>
      <c r="Z431">
        <f t="shared" si="43"/>
        <v>3</v>
      </c>
      <c r="AA431">
        <v>10</v>
      </c>
      <c r="AB431">
        <f t="shared" si="41"/>
        <v>4310</v>
      </c>
      <c r="AC431">
        <f t="shared" si="42"/>
        <v>1150</v>
      </c>
      <c r="AD431">
        <f t="shared" si="45"/>
        <v>11500</v>
      </c>
      <c r="AE431">
        <v>4600</v>
      </c>
    </row>
    <row r="432" spans="25:31">
      <c r="Y432">
        <f t="shared" si="40"/>
        <v>4</v>
      </c>
      <c r="Z432">
        <f t="shared" si="43"/>
        <v>3</v>
      </c>
      <c r="AA432">
        <v>11</v>
      </c>
      <c r="AB432">
        <f t="shared" si="41"/>
        <v>4311</v>
      </c>
      <c r="AC432">
        <f>AK20</f>
        <v>1725</v>
      </c>
      <c r="AD432">
        <f t="shared" si="45"/>
        <v>13225</v>
      </c>
      <c r="AE432">
        <v>5400</v>
      </c>
    </row>
    <row r="433" spans="25:31">
      <c r="Y433">
        <f t="shared" si="40"/>
        <v>4</v>
      </c>
      <c r="Z433">
        <f t="shared" si="43"/>
        <v>3</v>
      </c>
      <c r="AA433">
        <v>12</v>
      </c>
      <c r="AB433">
        <f t="shared" si="41"/>
        <v>4312</v>
      </c>
      <c r="AC433">
        <f t="shared" si="42"/>
        <v>1725</v>
      </c>
      <c r="AD433">
        <f t="shared" si="45"/>
        <v>14950</v>
      </c>
      <c r="AE433">
        <v>6200</v>
      </c>
    </row>
    <row r="434" spans="25:31">
      <c r="Y434">
        <f t="shared" si="40"/>
        <v>4</v>
      </c>
      <c r="Z434">
        <f t="shared" si="43"/>
        <v>3</v>
      </c>
      <c r="AA434">
        <v>13</v>
      </c>
      <c r="AB434">
        <f t="shared" si="41"/>
        <v>4313</v>
      </c>
      <c r="AC434">
        <f t="shared" si="42"/>
        <v>1725</v>
      </c>
      <c r="AD434">
        <f t="shared" si="45"/>
        <v>16675</v>
      </c>
      <c r="AE434">
        <v>7000</v>
      </c>
    </row>
    <row r="435" spans="25:31">
      <c r="Y435">
        <f t="shared" si="40"/>
        <v>4</v>
      </c>
      <c r="Z435">
        <f t="shared" si="43"/>
        <v>3</v>
      </c>
      <c r="AA435">
        <v>14</v>
      </c>
      <c r="AB435">
        <f t="shared" si="41"/>
        <v>4314</v>
      </c>
      <c r="AC435">
        <f t="shared" si="42"/>
        <v>1725</v>
      </c>
      <c r="AD435">
        <f t="shared" si="45"/>
        <v>18400</v>
      </c>
      <c r="AE435">
        <v>7800</v>
      </c>
    </row>
    <row r="436" spans="25:31">
      <c r="Y436">
        <f t="shared" si="40"/>
        <v>4</v>
      </c>
      <c r="Z436">
        <f t="shared" si="43"/>
        <v>3</v>
      </c>
      <c r="AA436">
        <v>15</v>
      </c>
      <c r="AB436">
        <f t="shared" si="41"/>
        <v>4315</v>
      </c>
      <c r="AC436">
        <f t="shared" si="42"/>
        <v>1725</v>
      </c>
      <c r="AD436">
        <f t="shared" si="45"/>
        <v>20125</v>
      </c>
      <c r="AE436">
        <v>8600</v>
      </c>
    </row>
    <row r="437" spans="25:31">
      <c r="Y437">
        <f t="shared" si="40"/>
        <v>4</v>
      </c>
      <c r="Z437">
        <f t="shared" si="43"/>
        <v>3</v>
      </c>
      <c r="AA437">
        <v>16</v>
      </c>
      <c r="AB437">
        <f t="shared" si="41"/>
        <v>4316</v>
      </c>
      <c r="AC437">
        <f t="shared" si="42"/>
        <v>1725</v>
      </c>
      <c r="AD437">
        <f t="shared" si="45"/>
        <v>21850</v>
      </c>
      <c r="AE437">
        <v>9400</v>
      </c>
    </row>
    <row r="438" spans="25:31">
      <c r="Y438">
        <f t="shared" si="40"/>
        <v>4</v>
      </c>
      <c r="Z438">
        <f t="shared" si="43"/>
        <v>3</v>
      </c>
      <c r="AA438">
        <v>17</v>
      </c>
      <c r="AB438">
        <f t="shared" si="41"/>
        <v>4317</v>
      </c>
      <c r="AC438">
        <f t="shared" si="42"/>
        <v>1725</v>
      </c>
      <c r="AD438">
        <f t="shared" si="45"/>
        <v>23575</v>
      </c>
      <c r="AE438">
        <v>10200</v>
      </c>
    </row>
    <row r="439" spans="25:31">
      <c r="Y439">
        <f t="shared" si="40"/>
        <v>4</v>
      </c>
      <c r="Z439">
        <f t="shared" si="43"/>
        <v>3</v>
      </c>
      <c r="AA439">
        <v>18</v>
      </c>
      <c r="AB439">
        <f t="shared" si="41"/>
        <v>4318</v>
      </c>
      <c r="AC439">
        <f t="shared" si="42"/>
        <v>1725</v>
      </c>
      <c r="AD439">
        <f t="shared" si="45"/>
        <v>25300</v>
      </c>
      <c r="AE439">
        <v>11000</v>
      </c>
    </row>
    <row r="440" spans="25:31">
      <c r="Y440">
        <f t="shared" si="40"/>
        <v>4</v>
      </c>
      <c r="Z440">
        <f t="shared" si="43"/>
        <v>3</v>
      </c>
      <c r="AA440">
        <v>19</v>
      </c>
      <c r="AB440">
        <f t="shared" si="41"/>
        <v>4319</v>
      </c>
      <c r="AC440">
        <f t="shared" si="42"/>
        <v>1725</v>
      </c>
      <c r="AD440">
        <f t="shared" si="45"/>
        <v>27025</v>
      </c>
      <c r="AE440">
        <v>11800</v>
      </c>
    </row>
    <row r="441" spans="25:31">
      <c r="Y441">
        <f t="shared" si="40"/>
        <v>4</v>
      </c>
      <c r="Z441">
        <f t="shared" si="43"/>
        <v>3</v>
      </c>
      <c r="AA441">
        <v>20</v>
      </c>
      <c r="AB441">
        <f t="shared" si="41"/>
        <v>4320</v>
      </c>
      <c r="AC441">
        <f t="shared" si="42"/>
        <v>1725</v>
      </c>
      <c r="AD441">
        <f t="shared" si="45"/>
        <v>28750</v>
      </c>
      <c r="AE441">
        <v>12600</v>
      </c>
    </row>
    <row r="442" spans="25:31">
      <c r="Y442">
        <f t="shared" si="40"/>
        <v>4</v>
      </c>
      <c r="Z442">
        <f t="shared" si="43"/>
        <v>3</v>
      </c>
      <c r="AA442">
        <v>21</v>
      </c>
      <c r="AB442">
        <f t="shared" si="41"/>
        <v>4321</v>
      </c>
      <c r="AC442">
        <f>AK21</f>
        <v>2301</v>
      </c>
      <c r="AD442">
        <f t="shared" si="45"/>
        <v>31051</v>
      </c>
      <c r="AE442">
        <v>14200</v>
      </c>
    </row>
    <row r="443" spans="25:31">
      <c r="Y443">
        <f t="shared" ref="Y443:Y506" si="46">Y323+1</f>
        <v>4</v>
      </c>
      <c r="Z443">
        <f t="shared" si="43"/>
        <v>3</v>
      </c>
      <c r="AA443">
        <v>22</v>
      </c>
      <c r="AB443">
        <f t="shared" si="41"/>
        <v>4322</v>
      </c>
      <c r="AC443">
        <f t="shared" si="42"/>
        <v>2301</v>
      </c>
      <c r="AD443">
        <f t="shared" si="45"/>
        <v>33352</v>
      </c>
      <c r="AE443">
        <v>15800</v>
      </c>
    </row>
    <row r="444" spans="25:31">
      <c r="Y444">
        <f t="shared" si="46"/>
        <v>4</v>
      </c>
      <c r="Z444">
        <f t="shared" si="43"/>
        <v>3</v>
      </c>
      <c r="AA444">
        <v>23</v>
      </c>
      <c r="AB444">
        <f t="shared" si="41"/>
        <v>4323</v>
      </c>
      <c r="AC444">
        <f t="shared" si="42"/>
        <v>2301</v>
      </c>
      <c r="AD444">
        <f t="shared" si="45"/>
        <v>35653</v>
      </c>
      <c r="AE444">
        <v>17400</v>
      </c>
    </row>
    <row r="445" spans="25:31">
      <c r="Y445">
        <f t="shared" si="46"/>
        <v>4</v>
      </c>
      <c r="Z445">
        <f t="shared" si="43"/>
        <v>3</v>
      </c>
      <c r="AA445">
        <v>24</v>
      </c>
      <c r="AB445">
        <f t="shared" si="41"/>
        <v>4324</v>
      </c>
      <c r="AC445">
        <f t="shared" si="42"/>
        <v>2301</v>
      </c>
      <c r="AD445">
        <f t="shared" si="45"/>
        <v>37954</v>
      </c>
      <c r="AE445">
        <v>19000</v>
      </c>
    </row>
    <row r="446" spans="25:31">
      <c r="Y446">
        <f t="shared" si="46"/>
        <v>4</v>
      </c>
      <c r="Z446">
        <f t="shared" si="43"/>
        <v>3</v>
      </c>
      <c r="AA446">
        <v>25</v>
      </c>
      <c r="AB446">
        <f t="shared" si="41"/>
        <v>4325</v>
      </c>
      <c r="AC446">
        <f t="shared" si="42"/>
        <v>2301</v>
      </c>
      <c r="AD446">
        <f t="shared" si="45"/>
        <v>40255</v>
      </c>
      <c r="AE446">
        <v>20600</v>
      </c>
    </row>
    <row r="447" spans="25:31">
      <c r="Y447">
        <f t="shared" si="46"/>
        <v>4</v>
      </c>
      <c r="Z447">
        <f t="shared" si="43"/>
        <v>3</v>
      </c>
      <c r="AA447">
        <v>26</v>
      </c>
      <c r="AB447">
        <f t="shared" si="41"/>
        <v>4326</v>
      </c>
      <c r="AC447">
        <f t="shared" si="42"/>
        <v>2301</v>
      </c>
      <c r="AD447">
        <f t="shared" si="45"/>
        <v>42556</v>
      </c>
      <c r="AE447">
        <v>22200</v>
      </c>
    </row>
    <row r="448" spans="25:31">
      <c r="Y448">
        <f t="shared" si="46"/>
        <v>4</v>
      </c>
      <c r="Z448">
        <f t="shared" si="43"/>
        <v>3</v>
      </c>
      <c r="AA448">
        <v>27</v>
      </c>
      <c r="AB448">
        <f t="shared" si="41"/>
        <v>4327</v>
      </c>
      <c r="AC448">
        <f t="shared" si="42"/>
        <v>2301</v>
      </c>
      <c r="AD448">
        <f t="shared" si="45"/>
        <v>44857</v>
      </c>
      <c r="AE448">
        <v>23800</v>
      </c>
    </row>
    <row r="449" spans="25:31">
      <c r="Y449">
        <f t="shared" si="46"/>
        <v>4</v>
      </c>
      <c r="Z449">
        <f t="shared" si="43"/>
        <v>3</v>
      </c>
      <c r="AA449">
        <v>28</v>
      </c>
      <c r="AB449">
        <f t="shared" si="41"/>
        <v>4328</v>
      </c>
      <c r="AC449">
        <f t="shared" si="42"/>
        <v>2301</v>
      </c>
      <c r="AD449">
        <f t="shared" si="45"/>
        <v>47158</v>
      </c>
      <c r="AE449">
        <v>25400</v>
      </c>
    </row>
    <row r="450" spans="25:31">
      <c r="Y450">
        <f t="shared" si="46"/>
        <v>4</v>
      </c>
      <c r="Z450">
        <f t="shared" si="43"/>
        <v>3</v>
      </c>
      <c r="AA450">
        <v>29</v>
      </c>
      <c r="AB450">
        <f t="shared" si="41"/>
        <v>4329</v>
      </c>
      <c r="AC450">
        <f t="shared" si="42"/>
        <v>2301</v>
      </c>
      <c r="AD450">
        <f t="shared" si="45"/>
        <v>49459</v>
      </c>
      <c r="AE450">
        <v>27000</v>
      </c>
    </row>
    <row r="451" spans="25:31">
      <c r="Y451">
        <f t="shared" si="46"/>
        <v>4</v>
      </c>
      <c r="Z451">
        <f t="shared" si="43"/>
        <v>3</v>
      </c>
      <c r="AA451">
        <v>30</v>
      </c>
      <c r="AB451">
        <f t="shared" ref="AB451:AB514" si="47">Y451*1000+Z451*100+AA451</f>
        <v>4330</v>
      </c>
      <c r="AC451">
        <f t="shared" si="42"/>
        <v>2301</v>
      </c>
      <c r="AD451">
        <f t="shared" si="45"/>
        <v>51760</v>
      </c>
      <c r="AE451">
        <v>28600</v>
      </c>
    </row>
    <row r="452" spans="25:31">
      <c r="Y452">
        <f t="shared" si="46"/>
        <v>4</v>
      </c>
      <c r="Z452">
        <f t="shared" si="43"/>
        <v>4</v>
      </c>
      <c r="AA452">
        <v>1</v>
      </c>
      <c r="AB452">
        <f t="shared" si="47"/>
        <v>4401</v>
      </c>
      <c r="AC452">
        <f>AL19</f>
        <v>1917</v>
      </c>
      <c r="AD452">
        <f>AC452</f>
        <v>1917</v>
      </c>
      <c r="AE452">
        <v>1500</v>
      </c>
    </row>
    <row r="453" spans="25:31">
      <c r="Y453">
        <f t="shared" si="46"/>
        <v>4</v>
      </c>
      <c r="Z453">
        <f t="shared" si="43"/>
        <v>4</v>
      </c>
      <c r="AA453">
        <v>2</v>
      </c>
      <c r="AB453">
        <f t="shared" si="47"/>
        <v>4402</v>
      </c>
      <c r="AC453">
        <f t="shared" ref="AC453:AC515" si="48">AC452</f>
        <v>1917</v>
      </c>
      <c r="AD453">
        <f t="shared" ref="AD453:AD481" si="49">AD452+AC453</f>
        <v>3834</v>
      </c>
      <c r="AE453">
        <v>2100</v>
      </c>
    </row>
    <row r="454" spans="25:31">
      <c r="Y454">
        <f t="shared" si="46"/>
        <v>4</v>
      </c>
      <c r="Z454">
        <f t="shared" si="43"/>
        <v>4</v>
      </c>
      <c r="AA454">
        <v>3</v>
      </c>
      <c r="AB454">
        <f t="shared" si="47"/>
        <v>4403</v>
      </c>
      <c r="AC454">
        <f t="shared" si="48"/>
        <v>1917</v>
      </c>
      <c r="AD454">
        <f t="shared" si="49"/>
        <v>5751</v>
      </c>
      <c r="AE454">
        <v>2700</v>
      </c>
    </row>
    <row r="455" spans="25:31">
      <c r="Y455">
        <f t="shared" si="46"/>
        <v>4</v>
      </c>
      <c r="Z455">
        <f t="shared" si="43"/>
        <v>4</v>
      </c>
      <c r="AA455">
        <v>4</v>
      </c>
      <c r="AB455">
        <f t="shared" si="47"/>
        <v>4404</v>
      </c>
      <c r="AC455">
        <f t="shared" si="48"/>
        <v>1917</v>
      </c>
      <c r="AD455">
        <f t="shared" si="49"/>
        <v>7668</v>
      </c>
      <c r="AE455">
        <v>3300</v>
      </c>
    </row>
    <row r="456" spans="25:31">
      <c r="Y456">
        <f t="shared" si="46"/>
        <v>4</v>
      </c>
      <c r="Z456">
        <f t="shared" ref="Z456:Z481" si="50">Z426+1</f>
        <v>4</v>
      </c>
      <c r="AA456">
        <v>5</v>
      </c>
      <c r="AB456">
        <f t="shared" si="47"/>
        <v>4405</v>
      </c>
      <c r="AC456">
        <f t="shared" si="48"/>
        <v>1917</v>
      </c>
      <c r="AD456">
        <f t="shared" si="49"/>
        <v>9585</v>
      </c>
      <c r="AE456">
        <v>3900</v>
      </c>
    </row>
    <row r="457" spans="25:31">
      <c r="Y457">
        <f t="shared" si="46"/>
        <v>4</v>
      </c>
      <c r="Z457">
        <f t="shared" si="50"/>
        <v>4</v>
      </c>
      <c r="AA457">
        <v>6</v>
      </c>
      <c r="AB457">
        <f t="shared" si="47"/>
        <v>4406</v>
      </c>
      <c r="AC457">
        <f t="shared" si="48"/>
        <v>1917</v>
      </c>
      <c r="AD457">
        <f t="shared" si="49"/>
        <v>11502</v>
      </c>
      <c r="AE457">
        <v>4500</v>
      </c>
    </row>
    <row r="458" spans="25:31">
      <c r="Y458">
        <f t="shared" si="46"/>
        <v>4</v>
      </c>
      <c r="Z458">
        <f t="shared" si="50"/>
        <v>4</v>
      </c>
      <c r="AA458">
        <v>7</v>
      </c>
      <c r="AB458">
        <f t="shared" si="47"/>
        <v>4407</v>
      </c>
      <c r="AC458">
        <f t="shared" si="48"/>
        <v>1917</v>
      </c>
      <c r="AD458">
        <f t="shared" si="49"/>
        <v>13419</v>
      </c>
      <c r="AE458">
        <v>5100</v>
      </c>
    </row>
    <row r="459" spans="25:31">
      <c r="Y459">
        <f t="shared" si="46"/>
        <v>4</v>
      </c>
      <c r="Z459">
        <f t="shared" si="50"/>
        <v>4</v>
      </c>
      <c r="AA459">
        <v>8</v>
      </c>
      <c r="AB459">
        <f t="shared" si="47"/>
        <v>4408</v>
      </c>
      <c r="AC459">
        <f t="shared" si="48"/>
        <v>1917</v>
      </c>
      <c r="AD459">
        <f t="shared" si="49"/>
        <v>15336</v>
      </c>
      <c r="AE459">
        <v>5700</v>
      </c>
    </row>
    <row r="460" spans="25:31">
      <c r="Y460">
        <f t="shared" si="46"/>
        <v>4</v>
      </c>
      <c r="Z460">
        <f t="shared" si="50"/>
        <v>4</v>
      </c>
      <c r="AA460">
        <v>9</v>
      </c>
      <c r="AB460">
        <f t="shared" si="47"/>
        <v>4409</v>
      </c>
      <c r="AC460">
        <f t="shared" si="48"/>
        <v>1917</v>
      </c>
      <c r="AD460">
        <f t="shared" si="49"/>
        <v>17253</v>
      </c>
      <c r="AE460">
        <v>6300</v>
      </c>
    </row>
    <row r="461" spans="25:31">
      <c r="Y461">
        <f t="shared" si="46"/>
        <v>4</v>
      </c>
      <c r="Z461">
        <f t="shared" si="50"/>
        <v>4</v>
      </c>
      <c r="AA461">
        <v>10</v>
      </c>
      <c r="AB461">
        <f t="shared" si="47"/>
        <v>4410</v>
      </c>
      <c r="AC461">
        <f t="shared" si="48"/>
        <v>1917</v>
      </c>
      <c r="AD461">
        <f t="shared" si="49"/>
        <v>19170</v>
      </c>
      <c r="AE461">
        <v>6900</v>
      </c>
    </row>
    <row r="462" spans="25:31">
      <c r="Y462">
        <f t="shared" si="46"/>
        <v>4</v>
      </c>
      <c r="Z462">
        <f t="shared" si="50"/>
        <v>4</v>
      </c>
      <c r="AA462">
        <v>11</v>
      </c>
      <c r="AB462">
        <f t="shared" si="47"/>
        <v>4411</v>
      </c>
      <c r="AC462">
        <f>AL20</f>
        <v>2876</v>
      </c>
      <c r="AD462">
        <f t="shared" si="49"/>
        <v>22046</v>
      </c>
      <c r="AE462">
        <v>8100</v>
      </c>
    </row>
    <row r="463" spans="25:31">
      <c r="Y463">
        <f t="shared" si="46"/>
        <v>4</v>
      </c>
      <c r="Z463">
        <f t="shared" si="50"/>
        <v>4</v>
      </c>
      <c r="AA463">
        <v>12</v>
      </c>
      <c r="AB463">
        <f t="shared" si="47"/>
        <v>4412</v>
      </c>
      <c r="AC463">
        <f t="shared" si="48"/>
        <v>2876</v>
      </c>
      <c r="AD463">
        <f t="shared" si="49"/>
        <v>24922</v>
      </c>
      <c r="AE463">
        <v>9300</v>
      </c>
    </row>
    <row r="464" spans="25:31">
      <c r="Y464">
        <f t="shared" si="46"/>
        <v>4</v>
      </c>
      <c r="Z464">
        <f t="shared" si="50"/>
        <v>4</v>
      </c>
      <c r="AA464">
        <v>13</v>
      </c>
      <c r="AB464">
        <f t="shared" si="47"/>
        <v>4413</v>
      </c>
      <c r="AC464">
        <f t="shared" si="48"/>
        <v>2876</v>
      </c>
      <c r="AD464">
        <f t="shared" si="49"/>
        <v>27798</v>
      </c>
      <c r="AE464">
        <v>10500</v>
      </c>
    </row>
    <row r="465" spans="25:31">
      <c r="Y465">
        <f t="shared" si="46"/>
        <v>4</v>
      </c>
      <c r="Z465">
        <f t="shared" si="50"/>
        <v>4</v>
      </c>
      <c r="AA465">
        <v>14</v>
      </c>
      <c r="AB465">
        <f t="shared" si="47"/>
        <v>4414</v>
      </c>
      <c r="AC465">
        <f t="shared" si="48"/>
        <v>2876</v>
      </c>
      <c r="AD465">
        <f t="shared" si="49"/>
        <v>30674</v>
      </c>
      <c r="AE465">
        <v>11700</v>
      </c>
    </row>
    <row r="466" spans="25:31">
      <c r="Y466">
        <f t="shared" si="46"/>
        <v>4</v>
      </c>
      <c r="Z466">
        <f t="shared" si="50"/>
        <v>4</v>
      </c>
      <c r="AA466">
        <v>15</v>
      </c>
      <c r="AB466">
        <f t="shared" si="47"/>
        <v>4415</v>
      </c>
      <c r="AC466">
        <f t="shared" si="48"/>
        <v>2876</v>
      </c>
      <c r="AD466">
        <f t="shared" si="49"/>
        <v>33550</v>
      </c>
      <c r="AE466">
        <v>12900</v>
      </c>
    </row>
    <row r="467" spans="25:31">
      <c r="Y467">
        <f t="shared" si="46"/>
        <v>4</v>
      </c>
      <c r="Z467">
        <f t="shared" si="50"/>
        <v>4</v>
      </c>
      <c r="AA467">
        <v>16</v>
      </c>
      <c r="AB467">
        <f t="shared" si="47"/>
        <v>4416</v>
      </c>
      <c r="AC467">
        <f t="shared" si="48"/>
        <v>2876</v>
      </c>
      <c r="AD467">
        <f t="shared" si="49"/>
        <v>36426</v>
      </c>
      <c r="AE467">
        <v>14100</v>
      </c>
    </row>
    <row r="468" spans="25:31">
      <c r="Y468">
        <f t="shared" si="46"/>
        <v>4</v>
      </c>
      <c r="Z468">
        <f t="shared" si="50"/>
        <v>4</v>
      </c>
      <c r="AA468">
        <v>17</v>
      </c>
      <c r="AB468">
        <f t="shared" si="47"/>
        <v>4417</v>
      </c>
      <c r="AC468">
        <f t="shared" si="48"/>
        <v>2876</v>
      </c>
      <c r="AD468">
        <f t="shared" si="49"/>
        <v>39302</v>
      </c>
      <c r="AE468">
        <v>15300</v>
      </c>
    </row>
    <row r="469" spans="25:31">
      <c r="Y469">
        <f t="shared" si="46"/>
        <v>4</v>
      </c>
      <c r="Z469">
        <f t="shared" si="50"/>
        <v>4</v>
      </c>
      <c r="AA469">
        <v>18</v>
      </c>
      <c r="AB469">
        <f t="shared" si="47"/>
        <v>4418</v>
      </c>
      <c r="AC469">
        <f t="shared" si="48"/>
        <v>2876</v>
      </c>
      <c r="AD469">
        <f t="shared" si="49"/>
        <v>42178</v>
      </c>
      <c r="AE469">
        <v>16500</v>
      </c>
    </row>
    <row r="470" spans="25:31">
      <c r="Y470">
        <f t="shared" si="46"/>
        <v>4</v>
      </c>
      <c r="Z470">
        <f t="shared" si="50"/>
        <v>4</v>
      </c>
      <c r="AA470">
        <v>19</v>
      </c>
      <c r="AB470">
        <f t="shared" si="47"/>
        <v>4419</v>
      </c>
      <c r="AC470">
        <f t="shared" si="48"/>
        <v>2876</v>
      </c>
      <c r="AD470">
        <f t="shared" si="49"/>
        <v>45054</v>
      </c>
      <c r="AE470">
        <v>17700</v>
      </c>
    </row>
    <row r="471" spans="25:31">
      <c r="Y471">
        <f t="shared" si="46"/>
        <v>4</v>
      </c>
      <c r="Z471">
        <f t="shared" si="50"/>
        <v>4</v>
      </c>
      <c r="AA471">
        <v>20</v>
      </c>
      <c r="AB471">
        <f t="shared" si="47"/>
        <v>4420</v>
      </c>
      <c r="AC471">
        <f t="shared" si="48"/>
        <v>2876</v>
      </c>
      <c r="AD471">
        <f t="shared" si="49"/>
        <v>47930</v>
      </c>
      <c r="AE471">
        <v>18900</v>
      </c>
    </row>
    <row r="472" spans="25:31">
      <c r="Y472">
        <f t="shared" si="46"/>
        <v>4</v>
      </c>
      <c r="Z472">
        <f t="shared" si="50"/>
        <v>4</v>
      </c>
      <c r="AA472">
        <v>21</v>
      </c>
      <c r="AB472">
        <f t="shared" si="47"/>
        <v>4421</v>
      </c>
      <c r="AC472">
        <f>AL21</f>
        <v>3834</v>
      </c>
      <c r="AD472">
        <f t="shared" si="49"/>
        <v>51764</v>
      </c>
      <c r="AE472">
        <v>21300</v>
      </c>
    </row>
    <row r="473" spans="25:31">
      <c r="Y473">
        <f t="shared" si="46"/>
        <v>4</v>
      </c>
      <c r="Z473">
        <f t="shared" si="50"/>
        <v>4</v>
      </c>
      <c r="AA473">
        <v>22</v>
      </c>
      <c r="AB473">
        <f t="shared" si="47"/>
        <v>4422</v>
      </c>
      <c r="AC473">
        <f t="shared" si="48"/>
        <v>3834</v>
      </c>
      <c r="AD473">
        <f t="shared" si="49"/>
        <v>55598</v>
      </c>
      <c r="AE473">
        <v>23700</v>
      </c>
    </row>
    <row r="474" spans="25:31">
      <c r="Y474">
        <f t="shared" si="46"/>
        <v>4</v>
      </c>
      <c r="Z474">
        <f t="shared" si="50"/>
        <v>4</v>
      </c>
      <c r="AA474">
        <v>23</v>
      </c>
      <c r="AB474">
        <f t="shared" si="47"/>
        <v>4423</v>
      </c>
      <c r="AC474">
        <f t="shared" si="48"/>
        <v>3834</v>
      </c>
      <c r="AD474">
        <f t="shared" si="49"/>
        <v>59432</v>
      </c>
      <c r="AE474">
        <v>26100</v>
      </c>
    </row>
    <row r="475" spans="25:31">
      <c r="Y475">
        <f t="shared" si="46"/>
        <v>4</v>
      </c>
      <c r="Z475">
        <f t="shared" si="50"/>
        <v>4</v>
      </c>
      <c r="AA475">
        <v>24</v>
      </c>
      <c r="AB475">
        <f t="shared" si="47"/>
        <v>4424</v>
      </c>
      <c r="AC475">
        <f t="shared" si="48"/>
        <v>3834</v>
      </c>
      <c r="AD475">
        <f t="shared" si="49"/>
        <v>63266</v>
      </c>
      <c r="AE475">
        <v>28500</v>
      </c>
    </row>
    <row r="476" spans="25:31">
      <c r="Y476">
        <f t="shared" si="46"/>
        <v>4</v>
      </c>
      <c r="Z476">
        <f t="shared" si="50"/>
        <v>4</v>
      </c>
      <c r="AA476">
        <v>25</v>
      </c>
      <c r="AB476">
        <f t="shared" si="47"/>
        <v>4425</v>
      </c>
      <c r="AC476">
        <f t="shared" si="48"/>
        <v>3834</v>
      </c>
      <c r="AD476">
        <f t="shared" si="49"/>
        <v>67100</v>
      </c>
      <c r="AE476">
        <v>30900</v>
      </c>
    </row>
    <row r="477" spans="25:31">
      <c r="Y477">
        <f t="shared" si="46"/>
        <v>4</v>
      </c>
      <c r="Z477">
        <f t="shared" si="50"/>
        <v>4</v>
      </c>
      <c r="AA477">
        <v>26</v>
      </c>
      <c r="AB477">
        <f t="shared" si="47"/>
        <v>4426</v>
      </c>
      <c r="AC477">
        <f t="shared" si="48"/>
        <v>3834</v>
      </c>
      <c r="AD477">
        <f t="shared" si="49"/>
        <v>70934</v>
      </c>
      <c r="AE477">
        <v>33300</v>
      </c>
    </row>
    <row r="478" spans="25:31">
      <c r="Y478">
        <f t="shared" si="46"/>
        <v>4</v>
      </c>
      <c r="Z478">
        <f t="shared" si="50"/>
        <v>4</v>
      </c>
      <c r="AA478">
        <v>27</v>
      </c>
      <c r="AB478">
        <f t="shared" si="47"/>
        <v>4427</v>
      </c>
      <c r="AC478">
        <f t="shared" si="48"/>
        <v>3834</v>
      </c>
      <c r="AD478">
        <f t="shared" si="49"/>
        <v>74768</v>
      </c>
      <c r="AE478">
        <v>35700</v>
      </c>
    </row>
    <row r="479" spans="25:31">
      <c r="Y479">
        <f t="shared" si="46"/>
        <v>4</v>
      </c>
      <c r="Z479">
        <f t="shared" si="50"/>
        <v>4</v>
      </c>
      <c r="AA479">
        <v>28</v>
      </c>
      <c r="AB479">
        <f t="shared" si="47"/>
        <v>4428</v>
      </c>
      <c r="AC479">
        <f t="shared" si="48"/>
        <v>3834</v>
      </c>
      <c r="AD479">
        <f t="shared" si="49"/>
        <v>78602</v>
      </c>
      <c r="AE479">
        <v>38100</v>
      </c>
    </row>
    <row r="480" spans="25:31">
      <c r="Y480">
        <f t="shared" si="46"/>
        <v>4</v>
      </c>
      <c r="Z480">
        <f t="shared" si="50"/>
        <v>4</v>
      </c>
      <c r="AA480">
        <v>29</v>
      </c>
      <c r="AB480">
        <f t="shared" si="47"/>
        <v>4429</v>
      </c>
      <c r="AC480">
        <f t="shared" si="48"/>
        <v>3834</v>
      </c>
      <c r="AD480">
        <f t="shared" si="49"/>
        <v>82436</v>
      </c>
      <c r="AE480">
        <v>40500</v>
      </c>
    </row>
    <row r="481" spans="25:31">
      <c r="Y481">
        <f t="shared" si="46"/>
        <v>4</v>
      </c>
      <c r="Z481">
        <f t="shared" si="50"/>
        <v>4</v>
      </c>
      <c r="AA481">
        <v>30</v>
      </c>
      <c r="AB481">
        <f t="shared" si="47"/>
        <v>4430</v>
      </c>
      <c r="AC481">
        <f t="shared" si="48"/>
        <v>3834</v>
      </c>
      <c r="AD481">
        <f t="shared" si="49"/>
        <v>86270</v>
      </c>
      <c r="AE481">
        <v>42900</v>
      </c>
    </row>
    <row r="482" ht="15" spans="25:31">
      <c r="Y482">
        <f t="shared" si="46"/>
        <v>5</v>
      </c>
      <c r="Z482">
        <v>1</v>
      </c>
      <c r="AA482">
        <v>1</v>
      </c>
      <c r="AB482">
        <f t="shared" si="47"/>
        <v>5101</v>
      </c>
      <c r="AC482">
        <f t="shared" si="48"/>
        <v>3834</v>
      </c>
      <c r="AD482">
        <f>AC482</f>
        <v>3834</v>
      </c>
      <c r="AE482" s="17">
        <v>500</v>
      </c>
    </row>
    <row r="483" ht="15" spans="25:31">
      <c r="Y483">
        <f t="shared" si="46"/>
        <v>5</v>
      </c>
      <c r="Z483">
        <v>1</v>
      </c>
      <c r="AA483">
        <v>2</v>
      </c>
      <c r="AB483">
        <f t="shared" si="47"/>
        <v>5102</v>
      </c>
      <c r="AC483">
        <f t="shared" si="48"/>
        <v>3834</v>
      </c>
      <c r="AD483">
        <f t="shared" ref="AD483:AD511" si="51">AD482+AC483</f>
        <v>7668</v>
      </c>
      <c r="AE483" s="78">
        <v>700</v>
      </c>
    </row>
    <row r="484" ht="15" spans="25:31">
      <c r="Y484">
        <f t="shared" si="46"/>
        <v>5</v>
      </c>
      <c r="Z484">
        <v>1</v>
      </c>
      <c r="AA484">
        <v>3</v>
      </c>
      <c r="AB484">
        <f t="shared" si="47"/>
        <v>5103</v>
      </c>
      <c r="AC484">
        <f t="shared" si="48"/>
        <v>3834</v>
      </c>
      <c r="AD484">
        <f t="shared" si="51"/>
        <v>11502</v>
      </c>
      <c r="AE484" s="78">
        <v>900</v>
      </c>
    </row>
    <row r="485" ht="15" spans="25:31">
      <c r="Y485">
        <f t="shared" si="46"/>
        <v>5</v>
      </c>
      <c r="Z485">
        <v>1</v>
      </c>
      <c r="AA485">
        <v>4</v>
      </c>
      <c r="AB485">
        <f t="shared" si="47"/>
        <v>5104</v>
      </c>
      <c r="AC485">
        <f t="shared" si="48"/>
        <v>3834</v>
      </c>
      <c r="AD485">
        <f t="shared" si="51"/>
        <v>15336</v>
      </c>
      <c r="AE485" s="78">
        <v>1100</v>
      </c>
    </row>
    <row r="486" ht="15" spans="25:31">
      <c r="Y486">
        <f t="shared" si="46"/>
        <v>5</v>
      </c>
      <c r="Z486">
        <v>1</v>
      </c>
      <c r="AA486">
        <v>5</v>
      </c>
      <c r="AB486">
        <f t="shared" si="47"/>
        <v>5105</v>
      </c>
      <c r="AC486">
        <f t="shared" si="48"/>
        <v>3834</v>
      </c>
      <c r="AD486">
        <f t="shared" si="51"/>
        <v>19170</v>
      </c>
      <c r="AE486" s="78">
        <v>1300</v>
      </c>
    </row>
    <row r="487" ht="15" spans="25:31">
      <c r="Y487">
        <f t="shared" si="46"/>
        <v>5</v>
      </c>
      <c r="Z487">
        <v>1</v>
      </c>
      <c r="AA487">
        <v>6</v>
      </c>
      <c r="AB487">
        <f t="shared" si="47"/>
        <v>5106</v>
      </c>
      <c r="AC487">
        <f t="shared" si="48"/>
        <v>3834</v>
      </c>
      <c r="AD487">
        <f t="shared" si="51"/>
        <v>23004</v>
      </c>
      <c r="AE487" s="78">
        <v>1500</v>
      </c>
    </row>
    <row r="488" ht="15" spans="25:31">
      <c r="Y488">
        <f t="shared" si="46"/>
        <v>5</v>
      </c>
      <c r="Z488">
        <v>1</v>
      </c>
      <c r="AA488">
        <v>7</v>
      </c>
      <c r="AB488">
        <f t="shared" si="47"/>
        <v>5107</v>
      </c>
      <c r="AC488">
        <f t="shared" si="48"/>
        <v>3834</v>
      </c>
      <c r="AD488">
        <f t="shared" si="51"/>
        <v>26838</v>
      </c>
      <c r="AE488" s="78">
        <v>1700</v>
      </c>
    </row>
    <row r="489" ht="15" spans="25:31">
      <c r="Y489">
        <f t="shared" si="46"/>
        <v>5</v>
      </c>
      <c r="Z489">
        <v>1</v>
      </c>
      <c r="AA489">
        <v>8</v>
      </c>
      <c r="AB489">
        <f t="shared" si="47"/>
        <v>5108</v>
      </c>
      <c r="AC489">
        <f t="shared" si="48"/>
        <v>3834</v>
      </c>
      <c r="AD489">
        <f t="shared" si="51"/>
        <v>30672</v>
      </c>
      <c r="AE489" s="78">
        <v>1900</v>
      </c>
    </row>
    <row r="490" ht="15" spans="25:31">
      <c r="Y490">
        <f t="shared" si="46"/>
        <v>5</v>
      </c>
      <c r="Z490">
        <v>1</v>
      </c>
      <c r="AA490">
        <v>9</v>
      </c>
      <c r="AB490">
        <f t="shared" si="47"/>
        <v>5109</v>
      </c>
      <c r="AC490">
        <f t="shared" si="48"/>
        <v>3834</v>
      </c>
      <c r="AD490">
        <f t="shared" si="51"/>
        <v>34506</v>
      </c>
      <c r="AE490" s="78">
        <v>2100</v>
      </c>
    </row>
    <row r="491" ht="15" spans="25:31">
      <c r="Y491">
        <f t="shared" si="46"/>
        <v>5</v>
      </c>
      <c r="Z491">
        <v>1</v>
      </c>
      <c r="AA491">
        <v>10</v>
      </c>
      <c r="AB491">
        <f t="shared" si="47"/>
        <v>5110</v>
      </c>
      <c r="AC491">
        <f t="shared" si="48"/>
        <v>3834</v>
      </c>
      <c r="AD491">
        <f t="shared" si="51"/>
        <v>38340</v>
      </c>
      <c r="AE491" s="78">
        <v>2300</v>
      </c>
    </row>
    <row r="492" ht="15" spans="25:31">
      <c r="Y492">
        <f t="shared" si="46"/>
        <v>5</v>
      </c>
      <c r="Z492">
        <v>1</v>
      </c>
      <c r="AA492">
        <v>11</v>
      </c>
      <c r="AB492">
        <f t="shared" si="47"/>
        <v>5111</v>
      </c>
      <c r="AC492">
        <f t="shared" si="48"/>
        <v>3834</v>
      </c>
      <c r="AD492">
        <f t="shared" si="51"/>
        <v>42174</v>
      </c>
      <c r="AE492" s="78">
        <v>2700</v>
      </c>
    </row>
    <row r="493" ht="15" spans="25:31">
      <c r="Y493">
        <f t="shared" si="46"/>
        <v>5</v>
      </c>
      <c r="Z493">
        <v>1</v>
      </c>
      <c r="AA493">
        <v>12</v>
      </c>
      <c r="AB493">
        <f t="shared" si="47"/>
        <v>5112</v>
      </c>
      <c r="AC493">
        <f t="shared" si="48"/>
        <v>3834</v>
      </c>
      <c r="AD493">
        <f t="shared" si="51"/>
        <v>46008</v>
      </c>
      <c r="AE493" s="78">
        <v>3100</v>
      </c>
    </row>
    <row r="494" ht="15" spans="25:31">
      <c r="Y494">
        <f t="shared" si="46"/>
        <v>5</v>
      </c>
      <c r="Z494">
        <v>1</v>
      </c>
      <c r="AA494">
        <v>13</v>
      </c>
      <c r="AB494">
        <f t="shared" si="47"/>
        <v>5113</v>
      </c>
      <c r="AC494">
        <f t="shared" si="48"/>
        <v>3834</v>
      </c>
      <c r="AD494">
        <f t="shared" si="51"/>
        <v>49842</v>
      </c>
      <c r="AE494" s="78">
        <v>3500</v>
      </c>
    </row>
    <row r="495" ht="15" spans="25:31">
      <c r="Y495">
        <f t="shared" si="46"/>
        <v>5</v>
      </c>
      <c r="Z495">
        <v>1</v>
      </c>
      <c r="AA495">
        <v>14</v>
      </c>
      <c r="AB495">
        <f t="shared" si="47"/>
        <v>5114</v>
      </c>
      <c r="AC495">
        <f t="shared" si="48"/>
        <v>3834</v>
      </c>
      <c r="AD495">
        <f t="shared" si="51"/>
        <v>53676</v>
      </c>
      <c r="AE495" s="78">
        <v>3900</v>
      </c>
    </row>
    <row r="496" ht="15" spans="25:31">
      <c r="Y496">
        <f t="shared" si="46"/>
        <v>5</v>
      </c>
      <c r="Z496">
        <v>1</v>
      </c>
      <c r="AA496">
        <v>15</v>
      </c>
      <c r="AB496">
        <f t="shared" si="47"/>
        <v>5115</v>
      </c>
      <c r="AC496">
        <f t="shared" si="48"/>
        <v>3834</v>
      </c>
      <c r="AD496">
        <f t="shared" si="51"/>
        <v>57510</v>
      </c>
      <c r="AE496" s="78">
        <v>4300</v>
      </c>
    </row>
    <row r="497" ht="15" spans="25:31">
      <c r="Y497">
        <f t="shared" si="46"/>
        <v>5</v>
      </c>
      <c r="Z497">
        <v>1</v>
      </c>
      <c r="AA497">
        <v>16</v>
      </c>
      <c r="AB497">
        <f t="shared" si="47"/>
        <v>5116</v>
      </c>
      <c r="AC497">
        <f t="shared" si="48"/>
        <v>3834</v>
      </c>
      <c r="AD497">
        <f t="shared" si="51"/>
        <v>61344</v>
      </c>
      <c r="AE497" s="78">
        <v>4700</v>
      </c>
    </row>
    <row r="498" ht="15" spans="25:31">
      <c r="Y498">
        <f t="shared" si="46"/>
        <v>5</v>
      </c>
      <c r="Z498">
        <v>1</v>
      </c>
      <c r="AA498">
        <v>17</v>
      </c>
      <c r="AB498">
        <f t="shared" si="47"/>
        <v>5117</v>
      </c>
      <c r="AC498">
        <f t="shared" si="48"/>
        <v>3834</v>
      </c>
      <c r="AD498">
        <f t="shared" si="51"/>
        <v>65178</v>
      </c>
      <c r="AE498" s="78">
        <v>5100</v>
      </c>
    </row>
    <row r="499" ht="15" spans="25:31">
      <c r="Y499">
        <f t="shared" si="46"/>
        <v>5</v>
      </c>
      <c r="Z499">
        <v>1</v>
      </c>
      <c r="AA499">
        <v>18</v>
      </c>
      <c r="AB499">
        <f t="shared" si="47"/>
        <v>5118</v>
      </c>
      <c r="AC499">
        <f t="shared" si="48"/>
        <v>3834</v>
      </c>
      <c r="AD499">
        <f t="shared" si="51"/>
        <v>69012</v>
      </c>
      <c r="AE499" s="78">
        <v>5500</v>
      </c>
    </row>
    <row r="500" ht="15" spans="25:31">
      <c r="Y500">
        <f t="shared" si="46"/>
        <v>5</v>
      </c>
      <c r="Z500">
        <v>1</v>
      </c>
      <c r="AA500">
        <v>19</v>
      </c>
      <c r="AB500">
        <f t="shared" si="47"/>
        <v>5119</v>
      </c>
      <c r="AC500">
        <f t="shared" si="48"/>
        <v>3834</v>
      </c>
      <c r="AD500">
        <f t="shared" si="51"/>
        <v>72846</v>
      </c>
      <c r="AE500" s="78">
        <v>5900</v>
      </c>
    </row>
    <row r="501" ht="15" spans="25:31">
      <c r="Y501">
        <f t="shared" si="46"/>
        <v>5</v>
      </c>
      <c r="Z501">
        <v>1</v>
      </c>
      <c r="AA501">
        <v>20</v>
      </c>
      <c r="AB501">
        <f t="shared" si="47"/>
        <v>5120</v>
      </c>
      <c r="AC501">
        <f t="shared" si="48"/>
        <v>3834</v>
      </c>
      <c r="AD501">
        <f t="shared" si="51"/>
        <v>76680</v>
      </c>
      <c r="AE501" s="78">
        <v>6300</v>
      </c>
    </row>
    <row r="502" ht="15" spans="25:31">
      <c r="Y502">
        <f t="shared" si="46"/>
        <v>5</v>
      </c>
      <c r="Z502">
        <v>1</v>
      </c>
      <c r="AA502">
        <v>21</v>
      </c>
      <c r="AB502">
        <f t="shared" si="47"/>
        <v>5121</v>
      </c>
      <c r="AC502">
        <f t="shared" si="48"/>
        <v>3834</v>
      </c>
      <c r="AD502">
        <f t="shared" si="51"/>
        <v>80514</v>
      </c>
      <c r="AE502" s="78">
        <v>7100</v>
      </c>
    </row>
    <row r="503" ht="15" spans="25:31">
      <c r="Y503">
        <f t="shared" si="46"/>
        <v>5</v>
      </c>
      <c r="Z503">
        <v>1</v>
      </c>
      <c r="AA503">
        <v>22</v>
      </c>
      <c r="AB503">
        <f t="shared" si="47"/>
        <v>5122</v>
      </c>
      <c r="AC503">
        <f t="shared" si="48"/>
        <v>3834</v>
      </c>
      <c r="AD503">
        <f t="shared" si="51"/>
        <v>84348</v>
      </c>
      <c r="AE503" s="78">
        <v>7900</v>
      </c>
    </row>
    <row r="504" ht="15" spans="25:31">
      <c r="Y504">
        <f t="shared" si="46"/>
        <v>5</v>
      </c>
      <c r="Z504">
        <v>1</v>
      </c>
      <c r="AA504">
        <v>23</v>
      </c>
      <c r="AB504">
        <f t="shared" si="47"/>
        <v>5123</v>
      </c>
      <c r="AC504">
        <f t="shared" si="48"/>
        <v>3834</v>
      </c>
      <c r="AD504">
        <f t="shared" si="51"/>
        <v>88182</v>
      </c>
      <c r="AE504" s="78">
        <v>8700</v>
      </c>
    </row>
    <row r="505" ht="15" spans="25:31">
      <c r="Y505">
        <f t="shared" si="46"/>
        <v>5</v>
      </c>
      <c r="Z505">
        <v>1</v>
      </c>
      <c r="AA505">
        <v>24</v>
      </c>
      <c r="AB505">
        <f t="shared" si="47"/>
        <v>5124</v>
      </c>
      <c r="AC505">
        <f t="shared" si="48"/>
        <v>3834</v>
      </c>
      <c r="AD505">
        <f t="shared" si="51"/>
        <v>92016</v>
      </c>
      <c r="AE505" s="78">
        <v>9500</v>
      </c>
    </row>
    <row r="506" ht="15" spans="25:31">
      <c r="Y506">
        <f t="shared" si="46"/>
        <v>5</v>
      </c>
      <c r="Z506">
        <v>1</v>
      </c>
      <c r="AA506">
        <v>25</v>
      </c>
      <c r="AB506">
        <f t="shared" si="47"/>
        <v>5125</v>
      </c>
      <c r="AC506">
        <f t="shared" si="48"/>
        <v>3834</v>
      </c>
      <c r="AD506">
        <f t="shared" si="51"/>
        <v>95850</v>
      </c>
      <c r="AE506" s="78">
        <v>10300</v>
      </c>
    </row>
    <row r="507" ht="15" spans="25:31">
      <c r="Y507">
        <f t="shared" ref="Y507:Y570" si="52">Y387+1</f>
        <v>5</v>
      </c>
      <c r="Z507">
        <v>1</v>
      </c>
      <c r="AA507">
        <v>26</v>
      </c>
      <c r="AB507">
        <f t="shared" si="47"/>
        <v>5126</v>
      </c>
      <c r="AC507">
        <f t="shared" si="48"/>
        <v>3834</v>
      </c>
      <c r="AD507">
        <f t="shared" si="51"/>
        <v>99684</v>
      </c>
      <c r="AE507" s="78">
        <v>11100</v>
      </c>
    </row>
    <row r="508" ht="15" spans="25:31">
      <c r="Y508">
        <f t="shared" si="52"/>
        <v>5</v>
      </c>
      <c r="Z508">
        <v>1</v>
      </c>
      <c r="AA508">
        <v>27</v>
      </c>
      <c r="AB508">
        <f t="shared" si="47"/>
        <v>5127</v>
      </c>
      <c r="AC508">
        <f t="shared" si="48"/>
        <v>3834</v>
      </c>
      <c r="AD508">
        <f t="shared" si="51"/>
        <v>103518</v>
      </c>
      <c r="AE508" s="78">
        <v>11900</v>
      </c>
    </row>
    <row r="509" ht="15" spans="25:31">
      <c r="Y509">
        <f t="shared" si="52"/>
        <v>5</v>
      </c>
      <c r="Z509">
        <v>1</v>
      </c>
      <c r="AA509">
        <v>28</v>
      </c>
      <c r="AB509">
        <f t="shared" si="47"/>
        <v>5128</v>
      </c>
      <c r="AC509">
        <f t="shared" si="48"/>
        <v>3834</v>
      </c>
      <c r="AD509">
        <f t="shared" si="51"/>
        <v>107352</v>
      </c>
      <c r="AE509" s="78">
        <v>12700</v>
      </c>
    </row>
    <row r="510" ht="15" spans="25:31">
      <c r="Y510">
        <f t="shared" si="52"/>
        <v>5</v>
      </c>
      <c r="Z510">
        <v>1</v>
      </c>
      <c r="AA510">
        <v>29</v>
      </c>
      <c r="AB510">
        <f t="shared" si="47"/>
        <v>5129</v>
      </c>
      <c r="AC510">
        <f t="shared" si="48"/>
        <v>3834</v>
      </c>
      <c r="AD510">
        <f t="shared" si="51"/>
        <v>111186</v>
      </c>
      <c r="AE510" s="78">
        <v>13500</v>
      </c>
    </row>
    <row r="511" ht="15" spans="25:31">
      <c r="Y511">
        <f t="shared" si="52"/>
        <v>5</v>
      </c>
      <c r="Z511">
        <v>1</v>
      </c>
      <c r="AA511">
        <v>30</v>
      </c>
      <c r="AB511">
        <f t="shared" si="47"/>
        <v>5130</v>
      </c>
      <c r="AC511">
        <f t="shared" si="48"/>
        <v>3834</v>
      </c>
      <c r="AD511">
        <f t="shared" si="51"/>
        <v>115020</v>
      </c>
      <c r="AE511" s="78">
        <v>14300</v>
      </c>
    </row>
    <row r="512" ht="15" spans="25:31">
      <c r="Y512">
        <f t="shared" si="52"/>
        <v>5</v>
      </c>
      <c r="Z512">
        <f t="shared" ref="Z512:Z575" si="53">Z482+1</f>
        <v>2</v>
      </c>
      <c r="AA512">
        <v>1</v>
      </c>
      <c r="AB512">
        <f t="shared" si="47"/>
        <v>5201</v>
      </c>
      <c r="AC512">
        <f t="shared" si="48"/>
        <v>3834</v>
      </c>
      <c r="AD512">
        <f>AC512</f>
        <v>3834</v>
      </c>
      <c r="AE512" s="78">
        <v>750</v>
      </c>
    </row>
    <row r="513" ht="15" spans="25:31">
      <c r="Y513">
        <f t="shared" si="52"/>
        <v>5</v>
      </c>
      <c r="Z513">
        <f t="shared" si="53"/>
        <v>2</v>
      </c>
      <c r="AA513">
        <v>2</v>
      </c>
      <c r="AB513">
        <f t="shared" si="47"/>
        <v>5202</v>
      </c>
      <c r="AC513">
        <f t="shared" si="48"/>
        <v>3834</v>
      </c>
      <c r="AD513">
        <f t="shared" ref="AD513:AD541" si="54">AD512+AC513</f>
        <v>7668</v>
      </c>
      <c r="AE513" s="78">
        <v>1050</v>
      </c>
    </row>
    <row r="514" ht="15" spans="25:31">
      <c r="Y514">
        <f t="shared" si="52"/>
        <v>5</v>
      </c>
      <c r="Z514">
        <f t="shared" si="53"/>
        <v>2</v>
      </c>
      <c r="AA514">
        <v>3</v>
      </c>
      <c r="AB514">
        <f t="shared" si="47"/>
        <v>5203</v>
      </c>
      <c r="AC514">
        <f t="shared" si="48"/>
        <v>3834</v>
      </c>
      <c r="AD514">
        <f t="shared" si="54"/>
        <v>11502</v>
      </c>
      <c r="AE514" s="78">
        <v>1350</v>
      </c>
    </row>
    <row r="515" ht="15" spans="25:31">
      <c r="Y515">
        <f t="shared" si="52"/>
        <v>5</v>
      </c>
      <c r="Z515">
        <f t="shared" si="53"/>
        <v>2</v>
      </c>
      <c r="AA515">
        <v>4</v>
      </c>
      <c r="AB515">
        <f t="shared" ref="AB515:AB578" si="55">Y515*1000+Z515*100+AA515</f>
        <v>5204</v>
      </c>
      <c r="AC515">
        <f t="shared" si="48"/>
        <v>3834</v>
      </c>
      <c r="AD515">
        <f t="shared" si="54"/>
        <v>15336</v>
      </c>
      <c r="AE515" s="78">
        <v>1650</v>
      </c>
    </row>
    <row r="516" ht="15" spans="25:31">
      <c r="Y516">
        <f t="shared" si="52"/>
        <v>5</v>
      </c>
      <c r="Z516">
        <f t="shared" si="53"/>
        <v>2</v>
      </c>
      <c r="AA516">
        <v>5</v>
      </c>
      <c r="AB516">
        <f t="shared" si="55"/>
        <v>5205</v>
      </c>
      <c r="AC516">
        <f t="shared" ref="AC516:AC579" si="56">AC515</f>
        <v>3834</v>
      </c>
      <c r="AD516">
        <f t="shared" si="54"/>
        <v>19170</v>
      </c>
      <c r="AE516" s="78">
        <v>1950</v>
      </c>
    </row>
    <row r="517" ht="15" spans="25:31">
      <c r="Y517">
        <f t="shared" si="52"/>
        <v>5</v>
      </c>
      <c r="Z517">
        <f t="shared" si="53"/>
        <v>2</v>
      </c>
      <c r="AA517">
        <v>6</v>
      </c>
      <c r="AB517">
        <f t="shared" si="55"/>
        <v>5206</v>
      </c>
      <c r="AC517">
        <f t="shared" si="56"/>
        <v>3834</v>
      </c>
      <c r="AD517">
        <f t="shared" si="54"/>
        <v>23004</v>
      </c>
      <c r="AE517" s="78">
        <v>2250</v>
      </c>
    </row>
    <row r="518" ht="15" spans="25:31">
      <c r="Y518">
        <f t="shared" si="52"/>
        <v>5</v>
      </c>
      <c r="Z518">
        <f t="shared" si="53"/>
        <v>2</v>
      </c>
      <c r="AA518">
        <v>7</v>
      </c>
      <c r="AB518">
        <f t="shared" si="55"/>
        <v>5207</v>
      </c>
      <c r="AC518">
        <f t="shared" si="56"/>
        <v>3834</v>
      </c>
      <c r="AD518">
        <f t="shared" si="54"/>
        <v>26838</v>
      </c>
      <c r="AE518" s="78">
        <v>2550</v>
      </c>
    </row>
    <row r="519" ht="15" spans="25:31">
      <c r="Y519">
        <f t="shared" si="52"/>
        <v>5</v>
      </c>
      <c r="Z519">
        <f t="shared" si="53"/>
        <v>2</v>
      </c>
      <c r="AA519">
        <v>8</v>
      </c>
      <c r="AB519">
        <f t="shared" si="55"/>
        <v>5208</v>
      </c>
      <c r="AC519">
        <f t="shared" si="56"/>
        <v>3834</v>
      </c>
      <c r="AD519">
        <f t="shared" si="54"/>
        <v>30672</v>
      </c>
      <c r="AE519" s="78">
        <v>2850</v>
      </c>
    </row>
    <row r="520" ht="15" spans="25:31">
      <c r="Y520">
        <f t="shared" si="52"/>
        <v>5</v>
      </c>
      <c r="Z520">
        <f t="shared" si="53"/>
        <v>2</v>
      </c>
      <c r="AA520">
        <v>9</v>
      </c>
      <c r="AB520">
        <f t="shared" si="55"/>
        <v>5209</v>
      </c>
      <c r="AC520">
        <f t="shared" si="56"/>
        <v>3834</v>
      </c>
      <c r="AD520">
        <f t="shared" si="54"/>
        <v>34506</v>
      </c>
      <c r="AE520" s="78">
        <v>3150</v>
      </c>
    </row>
    <row r="521" ht="15" spans="25:31">
      <c r="Y521">
        <f t="shared" si="52"/>
        <v>5</v>
      </c>
      <c r="Z521">
        <f t="shared" si="53"/>
        <v>2</v>
      </c>
      <c r="AA521">
        <v>10</v>
      </c>
      <c r="AB521">
        <f t="shared" si="55"/>
        <v>5210</v>
      </c>
      <c r="AC521">
        <f t="shared" si="56"/>
        <v>3834</v>
      </c>
      <c r="AD521">
        <f t="shared" si="54"/>
        <v>38340</v>
      </c>
      <c r="AE521" s="78">
        <v>3450</v>
      </c>
    </row>
    <row r="522" ht="15" spans="25:31">
      <c r="Y522">
        <f t="shared" si="52"/>
        <v>5</v>
      </c>
      <c r="Z522">
        <f t="shared" si="53"/>
        <v>2</v>
      </c>
      <c r="AA522">
        <v>11</v>
      </c>
      <c r="AB522">
        <f t="shared" si="55"/>
        <v>5211</v>
      </c>
      <c r="AC522">
        <f t="shared" si="56"/>
        <v>3834</v>
      </c>
      <c r="AD522">
        <f t="shared" si="54"/>
        <v>42174</v>
      </c>
      <c r="AE522" s="78">
        <v>4050</v>
      </c>
    </row>
    <row r="523" ht="15" spans="25:31">
      <c r="Y523">
        <f t="shared" si="52"/>
        <v>5</v>
      </c>
      <c r="Z523">
        <f t="shared" si="53"/>
        <v>2</v>
      </c>
      <c r="AA523">
        <v>12</v>
      </c>
      <c r="AB523">
        <f t="shared" si="55"/>
        <v>5212</v>
      </c>
      <c r="AC523">
        <f t="shared" si="56"/>
        <v>3834</v>
      </c>
      <c r="AD523">
        <f t="shared" si="54"/>
        <v>46008</v>
      </c>
      <c r="AE523" s="78">
        <v>4650</v>
      </c>
    </row>
    <row r="524" ht="15" spans="25:31">
      <c r="Y524">
        <f t="shared" si="52"/>
        <v>5</v>
      </c>
      <c r="Z524">
        <f t="shared" si="53"/>
        <v>2</v>
      </c>
      <c r="AA524">
        <v>13</v>
      </c>
      <c r="AB524">
        <f t="shared" si="55"/>
        <v>5213</v>
      </c>
      <c r="AC524">
        <f t="shared" si="56"/>
        <v>3834</v>
      </c>
      <c r="AD524">
        <f t="shared" si="54"/>
        <v>49842</v>
      </c>
      <c r="AE524" s="78">
        <v>5250</v>
      </c>
    </row>
    <row r="525" ht="15" spans="25:31">
      <c r="Y525">
        <f t="shared" si="52"/>
        <v>5</v>
      </c>
      <c r="Z525">
        <f t="shared" si="53"/>
        <v>2</v>
      </c>
      <c r="AA525">
        <v>14</v>
      </c>
      <c r="AB525">
        <f t="shared" si="55"/>
        <v>5214</v>
      </c>
      <c r="AC525">
        <f t="shared" si="56"/>
        <v>3834</v>
      </c>
      <c r="AD525">
        <f t="shared" si="54"/>
        <v>53676</v>
      </c>
      <c r="AE525" s="78">
        <v>5850</v>
      </c>
    </row>
    <row r="526" ht="15" spans="25:31">
      <c r="Y526">
        <f t="shared" si="52"/>
        <v>5</v>
      </c>
      <c r="Z526">
        <f t="shared" si="53"/>
        <v>2</v>
      </c>
      <c r="AA526">
        <v>15</v>
      </c>
      <c r="AB526">
        <f t="shared" si="55"/>
        <v>5215</v>
      </c>
      <c r="AC526">
        <f t="shared" si="56"/>
        <v>3834</v>
      </c>
      <c r="AD526">
        <f t="shared" si="54"/>
        <v>57510</v>
      </c>
      <c r="AE526" s="78">
        <v>6450</v>
      </c>
    </row>
    <row r="527" ht="15" spans="25:31">
      <c r="Y527">
        <f t="shared" si="52"/>
        <v>5</v>
      </c>
      <c r="Z527">
        <f t="shared" si="53"/>
        <v>2</v>
      </c>
      <c r="AA527">
        <v>16</v>
      </c>
      <c r="AB527">
        <f t="shared" si="55"/>
        <v>5216</v>
      </c>
      <c r="AC527">
        <f t="shared" si="56"/>
        <v>3834</v>
      </c>
      <c r="AD527">
        <f t="shared" si="54"/>
        <v>61344</v>
      </c>
      <c r="AE527" s="78">
        <v>7050</v>
      </c>
    </row>
    <row r="528" ht="15" spans="25:31">
      <c r="Y528">
        <f t="shared" si="52"/>
        <v>5</v>
      </c>
      <c r="Z528">
        <f t="shared" si="53"/>
        <v>2</v>
      </c>
      <c r="AA528">
        <v>17</v>
      </c>
      <c r="AB528">
        <f t="shared" si="55"/>
        <v>5217</v>
      </c>
      <c r="AC528">
        <f t="shared" si="56"/>
        <v>3834</v>
      </c>
      <c r="AD528">
        <f t="shared" si="54"/>
        <v>65178</v>
      </c>
      <c r="AE528" s="78">
        <v>7650</v>
      </c>
    </row>
    <row r="529" ht="15" spans="25:31">
      <c r="Y529">
        <f t="shared" si="52"/>
        <v>5</v>
      </c>
      <c r="Z529">
        <f t="shared" si="53"/>
        <v>2</v>
      </c>
      <c r="AA529">
        <v>18</v>
      </c>
      <c r="AB529">
        <f t="shared" si="55"/>
        <v>5218</v>
      </c>
      <c r="AC529">
        <f t="shared" si="56"/>
        <v>3834</v>
      </c>
      <c r="AD529">
        <f t="shared" si="54"/>
        <v>69012</v>
      </c>
      <c r="AE529" s="78">
        <v>8250</v>
      </c>
    </row>
    <row r="530" ht="15" spans="25:31">
      <c r="Y530">
        <f t="shared" si="52"/>
        <v>5</v>
      </c>
      <c r="Z530">
        <f t="shared" si="53"/>
        <v>2</v>
      </c>
      <c r="AA530">
        <v>19</v>
      </c>
      <c r="AB530">
        <f t="shared" si="55"/>
        <v>5219</v>
      </c>
      <c r="AC530">
        <f t="shared" si="56"/>
        <v>3834</v>
      </c>
      <c r="AD530">
        <f t="shared" si="54"/>
        <v>72846</v>
      </c>
      <c r="AE530" s="78">
        <v>8850</v>
      </c>
    </row>
    <row r="531" ht="15" spans="25:31">
      <c r="Y531">
        <f t="shared" si="52"/>
        <v>5</v>
      </c>
      <c r="Z531">
        <f t="shared" si="53"/>
        <v>2</v>
      </c>
      <c r="AA531">
        <v>20</v>
      </c>
      <c r="AB531">
        <f t="shared" si="55"/>
        <v>5220</v>
      </c>
      <c r="AC531">
        <f t="shared" si="56"/>
        <v>3834</v>
      </c>
      <c r="AD531">
        <f t="shared" si="54"/>
        <v>76680</v>
      </c>
      <c r="AE531" s="78">
        <v>9450</v>
      </c>
    </row>
    <row r="532" ht="15" spans="25:31">
      <c r="Y532">
        <f t="shared" si="52"/>
        <v>5</v>
      </c>
      <c r="Z532">
        <f t="shared" si="53"/>
        <v>2</v>
      </c>
      <c r="AA532">
        <v>21</v>
      </c>
      <c r="AB532">
        <f t="shared" si="55"/>
        <v>5221</v>
      </c>
      <c r="AC532">
        <f t="shared" si="56"/>
        <v>3834</v>
      </c>
      <c r="AD532">
        <f t="shared" si="54"/>
        <v>80514</v>
      </c>
      <c r="AE532" s="78">
        <v>10650</v>
      </c>
    </row>
    <row r="533" ht="15" spans="25:31">
      <c r="Y533">
        <f t="shared" si="52"/>
        <v>5</v>
      </c>
      <c r="Z533">
        <f t="shared" si="53"/>
        <v>2</v>
      </c>
      <c r="AA533">
        <v>22</v>
      </c>
      <c r="AB533">
        <f t="shared" si="55"/>
        <v>5222</v>
      </c>
      <c r="AC533">
        <f t="shared" si="56"/>
        <v>3834</v>
      </c>
      <c r="AD533">
        <f t="shared" si="54"/>
        <v>84348</v>
      </c>
      <c r="AE533" s="78">
        <v>11850</v>
      </c>
    </row>
    <row r="534" ht="15" spans="25:31">
      <c r="Y534">
        <f t="shared" si="52"/>
        <v>5</v>
      </c>
      <c r="Z534">
        <f t="shared" si="53"/>
        <v>2</v>
      </c>
      <c r="AA534">
        <v>23</v>
      </c>
      <c r="AB534">
        <f t="shared" si="55"/>
        <v>5223</v>
      </c>
      <c r="AC534">
        <f t="shared" si="56"/>
        <v>3834</v>
      </c>
      <c r="AD534">
        <f t="shared" si="54"/>
        <v>88182</v>
      </c>
      <c r="AE534" s="78">
        <v>13050</v>
      </c>
    </row>
    <row r="535" ht="15" spans="25:31">
      <c r="Y535">
        <f t="shared" si="52"/>
        <v>5</v>
      </c>
      <c r="Z535">
        <f t="shared" si="53"/>
        <v>2</v>
      </c>
      <c r="AA535">
        <v>24</v>
      </c>
      <c r="AB535">
        <f t="shared" si="55"/>
        <v>5224</v>
      </c>
      <c r="AC535">
        <f t="shared" si="56"/>
        <v>3834</v>
      </c>
      <c r="AD535">
        <f t="shared" si="54"/>
        <v>92016</v>
      </c>
      <c r="AE535" s="78">
        <v>14250</v>
      </c>
    </row>
    <row r="536" ht="15" spans="25:31">
      <c r="Y536">
        <f t="shared" si="52"/>
        <v>5</v>
      </c>
      <c r="Z536">
        <f t="shared" si="53"/>
        <v>2</v>
      </c>
      <c r="AA536">
        <v>25</v>
      </c>
      <c r="AB536">
        <f t="shared" si="55"/>
        <v>5225</v>
      </c>
      <c r="AC536">
        <f t="shared" si="56"/>
        <v>3834</v>
      </c>
      <c r="AD536">
        <f t="shared" si="54"/>
        <v>95850</v>
      </c>
      <c r="AE536" s="78">
        <v>15450</v>
      </c>
    </row>
    <row r="537" ht="15" spans="25:31">
      <c r="Y537">
        <f t="shared" si="52"/>
        <v>5</v>
      </c>
      <c r="Z537">
        <f t="shared" si="53"/>
        <v>2</v>
      </c>
      <c r="AA537">
        <v>26</v>
      </c>
      <c r="AB537">
        <f t="shared" si="55"/>
        <v>5226</v>
      </c>
      <c r="AC537">
        <f t="shared" si="56"/>
        <v>3834</v>
      </c>
      <c r="AD537">
        <f t="shared" si="54"/>
        <v>99684</v>
      </c>
      <c r="AE537" s="78">
        <v>16650</v>
      </c>
    </row>
    <row r="538" ht="15" spans="25:31">
      <c r="Y538">
        <f t="shared" si="52"/>
        <v>5</v>
      </c>
      <c r="Z538">
        <f t="shared" si="53"/>
        <v>2</v>
      </c>
      <c r="AA538">
        <v>27</v>
      </c>
      <c r="AB538">
        <f t="shared" si="55"/>
        <v>5227</v>
      </c>
      <c r="AC538">
        <f t="shared" si="56"/>
        <v>3834</v>
      </c>
      <c r="AD538">
        <f t="shared" si="54"/>
        <v>103518</v>
      </c>
      <c r="AE538" s="78">
        <v>17850</v>
      </c>
    </row>
    <row r="539" ht="15" spans="25:31">
      <c r="Y539">
        <f t="shared" si="52"/>
        <v>5</v>
      </c>
      <c r="Z539">
        <f t="shared" si="53"/>
        <v>2</v>
      </c>
      <c r="AA539">
        <v>28</v>
      </c>
      <c r="AB539">
        <f t="shared" si="55"/>
        <v>5228</v>
      </c>
      <c r="AC539">
        <f t="shared" si="56"/>
        <v>3834</v>
      </c>
      <c r="AD539">
        <f t="shared" si="54"/>
        <v>107352</v>
      </c>
      <c r="AE539" s="78">
        <v>19050</v>
      </c>
    </row>
    <row r="540" ht="15" spans="25:31">
      <c r="Y540">
        <f t="shared" si="52"/>
        <v>5</v>
      </c>
      <c r="Z540">
        <f t="shared" si="53"/>
        <v>2</v>
      </c>
      <c r="AA540">
        <v>29</v>
      </c>
      <c r="AB540">
        <f t="shared" si="55"/>
        <v>5229</v>
      </c>
      <c r="AC540">
        <f t="shared" si="56"/>
        <v>3834</v>
      </c>
      <c r="AD540">
        <f t="shared" si="54"/>
        <v>111186</v>
      </c>
      <c r="AE540" s="78">
        <v>20250</v>
      </c>
    </row>
    <row r="541" ht="15" spans="25:31">
      <c r="Y541">
        <f t="shared" si="52"/>
        <v>5</v>
      </c>
      <c r="Z541">
        <f t="shared" si="53"/>
        <v>2</v>
      </c>
      <c r="AA541">
        <v>30</v>
      </c>
      <c r="AB541">
        <f t="shared" si="55"/>
        <v>5230</v>
      </c>
      <c r="AC541">
        <f t="shared" si="56"/>
        <v>3834</v>
      </c>
      <c r="AD541">
        <f t="shared" si="54"/>
        <v>115020</v>
      </c>
      <c r="AE541" s="78">
        <v>21450</v>
      </c>
    </row>
    <row r="542" spans="25:31">
      <c r="Y542">
        <f t="shared" si="52"/>
        <v>5</v>
      </c>
      <c r="Z542">
        <f t="shared" si="53"/>
        <v>3</v>
      </c>
      <c r="AA542">
        <v>1</v>
      </c>
      <c r="AB542">
        <f t="shared" si="55"/>
        <v>5301</v>
      </c>
      <c r="AC542">
        <f t="shared" si="56"/>
        <v>3834</v>
      </c>
      <c r="AD542">
        <f>AC542</f>
        <v>3834</v>
      </c>
      <c r="AE542">
        <v>1000</v>
      </c>
    </row>
    <row r="543" spans="25:31">
      <c r="Y543">
        <f t="shared" si="52"/>
        <v>5</v>
      </c>
      <c r="Z543">
        <f t="shared" si="53"/>
        <v>3</v>
      </c>
      <c r="AA543">
        <v>2</v>
      </c>
      <c r="AB543">
        <f t="shared" si="55"/>
        <v>5302</v>
      </c>
      <c r="AC543">
        <f t="shared" si="56"/>
        <v>3834</v>
      </c>
      <c r="AD543">
        <f t="shared" ref="AD543:AD571" si="57">AD542+AC543</f>
        <v>7668</v>
      </c>
      <c r="AE543">
        <v>1400</v>
      </c>
    </row>
    <row r="544" spans="25:31">
      <c r="Y544">
        <f t="shared" si="52"/>
        <v>5</v>
      </c>
      <c r="Z544">
        <f t="shared" si="53"/>
        <v>3</v>
      </c>
      <c r="AA544">
        <v>3</v>
      </c>
      <c r="AB544">
        <f t="shared" si="55"/>
        <v>5303</v>
      </c>
      <c r="AC544">
        <f t="shared" si="56"/>
        <v>3834</v>
      </c>
      <c r="AD544">
        <f t="shared" si="57"/>
        <v>11502</v>
      </c>
      <c r="AE544">
        <v>1800</v>
      </c>
    </row>
    <row r="545" spans="25:31">
      <c r="Y545">
        <f t="shared" si="52"/>
        <v>5</v>
      </c>
      <c r="Z545">
        <f t="shared" si="53"/>
        <v>3</v>
      </c>
      <c r="AA545">
        <v>4</v>
      </c>
      <c r="AB545">
        <f t="shared" si="55"/>
        <v>5304</v>
      </c>
      <c r="AC545">
        <f t="shared" si="56"/>
        <v>3834</v>
      </c>
      <c r="AD545">
        <f t="shared" si="57"/>
        <v>15336</v>
      </c>
      <c r="AE545">
        <v>2200</v>
      </c>
    </row>
    <row r="546" spans="25:31">
      <c r="Y546">
        <f t="shared" si="52"/>
        <v>5</v>
      </c>
      <c r="Z546">
        <f t="shared" si="53"/>
        <v>3</v>
      </c>
      <c r="AA546">
        <v>5</v>
      </c>
      <c r="AB546">
        <f t="shared" si="55"/>
        <v>5305</v>
      </c>
      <c r="AC546">
        <f t="shared" si="56"/>
        <v>3834</v>
      </c>
      <c r="AD546">
        <f t="shared" si="57"/>
        <v>19170</v>
      </c>
      <c r="AE546">
        <v>2600</v>
      </c>
    </row>
    <row r="547" spans="25:31">
      <c r="Y547">
        <f t="shared" si="52"/>
        <v>5</v>
      </c>
      <c r="Z547">
        <f t="shared" si="53"/>
        <v>3</v>
      </c>
      <c r="AA547">
        <v>6</v>
      </c>
      <c r="AB547">
        <f t="shared" si="55"/>
        <v>5306</v>
      </c>
      <c r="AC547">
        <f t="shared" si="56"/>
        <v>3834</v>
      </c>
      <c r="AD547">
        <f t="shared" si="57"/>
        <v>23004</v>
      </c>
      <c r="AE547">
        <v>3000</v>
      </c>
    </row>
    <row r="548" spans="25:31">
      <c r="Y548">
        <f t="shared" si="52"/>
        <v>5</v>
      </c>
      <c r="Z548">
        <f t="shared" si="53"/>
        <v>3</v>
      </c>
      <c r="AA548">
        <v>7</v>
      </c>
      <c r="AB548">
        <f t="shared" si="55"/>
        <v>5307</v>
      </c>
      <c r="AC548">
        <f t="shared" si="56"/>
        <v>3834</v>
      </c>
      <c r="AD548">
        <f t="shared" si="57"/>
        <v>26838</v>
      </c>
      <c r="AE548">
        <v>3400</v>
      </c>
    </row>
    <row r="549" spans="25:31">
      <c r="Y549">
        <f t="shared" si="52"/>
        <v>5</v>
      </c>
      <c r="Z549">
        <f t="shared" si="53"/>
        <v>3</v>
      </c>
      <c r="AA549">
        <v>8</v>
      </c>
      <c r="AB549">
        <f t="shared" si="55"/>
        <v>5308</v>
      </c>
      <c r="AC549">
        <f t="shared" si="56"/>
        <v>3834</v>
      </c>
      <c r="AD549">
        <f t="shared" si="57"/>
        <v>30672</v>
      </c>
      <c r="AE549">
        <v>3800</v>
      </c>
    </row>
    <row r="550" spans="25:31">
      <c r="Y550">
        <f t="shared" si="52"/>
        <v>5</v>
      </c>
      <c r="Z550">
        <f t="shared" si="53"/>
        <v>3</v>
      </c>
      <c r="AA550">
        <v>9</v>
      </c>
      <c r="AB550">
        <f t="shared" si="55"/>
        <v>5309</v>
      </c>
      <c r="AC550">
        <f t="shared" si="56"/>
        <v>3834</v>
      </c>
      <c r="AD550">
        <f t="shared" si="57"/>
        <v>34506</v>
      </c>
      <c r="AE550">
        <v>4200</v>
      </c>
    </row>
    <row r="551" spans="25:31">
      <c r="Y551">
        <f t="shared" si="52"/>
        <v>5</v>
      </c>
      <c r="Z551">
        <f t="shared" si="53"/>
        <v>3</v>
      </c>
      <c r="AA551">
        <v>10</v>
      </c>
      <c r="AB551">
        <f t="shared" si="55"/>
        <v>5310</v>
      </c>
      <c r="AC551">
        <f t="shared" si="56"/>
        <v>3834</v>
      </c>
      <c r="AD551">
        <f t="shared" si="57"/>
        <v>38340</v>
      </c>
      <c r="AE551">
        <v>4600</v>
      </c>
    </row>
    <row r="552" spans="25:31">
      <c r="Y552">
        <f t="shared" si="52"/>
        <v>5</v>
      </c>
      <c r="Z552">
        <f t="shared" si="53"/>
        <v>3</v>
      </c>
      <c r="AA552">
        <v>11</v>
      </c>
      <c r="AB552">
        <f t="shared" si="55"/>
        <v>5311</v>
      </c>
      <c r="AC552">
        <f t="shared" si="56"/>
        <v>3834</v>
      </c>
      <c r="AD552">
        <f t="shared" si="57"/>
        <v>42174</v>
      </c>
      <c r="AE552">
        <v>5400</v>
      </c>
    </row>
    <row r="553" spans="25:31">
      <c r="Y553">
        <f t="shared" si="52"/>
        <v>5</v>
      </c>
      <c r="Z553">
        <f t="shared" si="53"/>
        <v>3</v>
      </c>
      <c r="AA553">
        <v>12</v>
      </c>
      <c r="AB553">
        <f t="shared" si="55"/>
        <v>5312</v>
      </c>
      <c r="AC553">
        <f t="shared" si="56"/>
        <v>3834</v>
      </c>
      <c r="AD553">
        <f t="shared" si="57"/>
        <v>46008</v>
      </c>
      <c r="AE553">
        <v>6200</v>
      </c>
    </row>
    <row r="554" spans="25:31">
      <c r="Y554">
        <f t="shared" si="52"/>
        <v>5</v>
      </c>
      <c r="Z554">
        <f t="shared" si="53"/>
        <v>3</v>
      </c>
      <c r="AA554">
        <v>13</v>
      </c>
      <c r="AB554">
        <f t="shared" si="55"/>
        <v>5313</v>
      </c>
      <c r="AC554">
        <f t="shared" si="56"/>
        <v>3834</v>
      </c>
      <c r="AD554">
        <f t="shared" si="57"/>
        <v>49842</v>
      </c>
      <c r="AE554">
        <v>7000</v>
      </c>
    </row>
    <row r="555" spans="25:31">
      <c r="Y555">
        <f t="shared" si="52"/>
        <v>5</v>
      </c>
      <c r="Z555">
        <f t="shared" si="53"/>
        <v>3</v>
      </c>
      <c r="AA555">
        <v>14</v>
      </c>
      <c r="AB555">
        <f t="shared" si="55"/>
        <v>5314</v>
      </c>
      <c r="AC555">
        <f t="shared" si="56"/>
        <v>3834</v>
      </c>
      <c r="AD555">
        <f t="shared" si="57"/>
        <v>53676</v>
      </c>
      <c r="AE555">
        <v>7800</v>
      </c>
    </row>
    <row r="556" spans="25:31">
      <c r="Y556">
        <f t="shared" si="52"/>
        <v>5</v>
      </c>
      <c r="Z556">
        <f t="shared" si="53"/>
        <v>3</v>
      </c>
      <c r="AA556">
        <v>15</v>
      </c>
      <c r="AB556">
        <f t="shared" si="55"/>
        <v>5315</v>
      </c>
      <c r="AC556">
        <f t="shared" si="56"/>
        <v>3834</v>
      </c>
      <c r="AD556">
        <f t="shared" si="57"/>
        <v>57510</v>
      </c>
      <c r="AE556">
        <v>8600</v>
      </c>
    </row>
    <row r="557" spans="25:31">
      <c r="Y557">
        <f t="shared" si="52"/>
        <v>5</v>
      </c>
      <c r="Z557">
        <f t="shared" si="53"/>
        <v>3</v>
      </c>
      <c r="AA557">
        <v>16</v>
      </c>
      <c r="AB557">
        <f t="shared" si="55"/>
        <v>5316</v>
      </c>
      <c r="AC557">
        <f t="shared" si="56"/>
        <v>3834</v>
      </c>
      <c r="AD557">
        <f t="shared" si="57"/>
        <v>61344</v>
      </c>
      <c r="AE557">
        <v>9400</v>
      </c>
    </row>
    <row r="558" spans="25:31">
      <c r="Y558">
        <f t="shared" si="52"/>
        <v>5</v>
      </c>
      <c r="Z558">
        <f t="shared" si="53"/>
        <v>3</v>
      </c>
      <c r="AA558">
        <v>17</v>
      </c>
      <c r="AB558">
        <f t="shared" si="55"/>
        <v>5317</v>
      </c>
      <c r="AC558">
        <f t="shared" si="56"/>
        <v>3834</v>
      </c>
      <c r="AD558">
        <f t="shared" si="57"/>
        <v>65178</v>
      </c>
      <c r="AE558">
        <v>10200</v>
      </c>
    </row>
    <row r="559" spans="25:31">
      <c r="Y559">
        <f t="shared" si="52"/>
        <v>5</v>
      </c>
      <c r="Z559">
        <f t="shared" si="53"/>
        <v>3</v>
      </c>
      <c r="AA559">
        <v>18</v>
      </c>
      <c r="AB559">
        <f t="shared" si="55"/>
        <v>5318</v>
      </c>
      <c r="AC559">
        <f t="shared" si="56"/>
        <v>3834</v>
      </c>
      <c r="AD559">
        <f t="shared" si="57"/>
        <v>69012</v>
      </c>
      <c r="AE559">
        <v>11000</v>
      </c>
    </row>
    <row r="560" spans="25:31">
      <c r="Y560">
        <f t="shared" si="52"/>
        <v>5</v>
      </c>
      <c r="Z560">
        <f t="shared" si="53"/>
        <v>3</v>
      </c>
      <c r="AA560">
        <v>19</v>
      </c>
      <c r="AB560">
        <f t="shared" si="55"/>
        <v>5319</v>
      </c>
      <c r="AC560">
        <f t="shared" si="56"/>
        <v>3834</v>
      </c>
      <c r="AD560">
        <f t="shared" si="57"/>
        <v>72846</v>
      </c>
      <c r="AE560">
        <v>11800</v>
      </c>
    </row>
    <row r="561" spans="25:31">
      <c r="Y561">
        <f t="shared" si="52"/>
        <v>5</v>
      </c>
      <c r="Z561">
        <f t="shared" si="53"/>
        <v>3</v>
      </c>
      <c r="AA561">
        <v>20</v>
      </c>
      <c r="AB561">
        <f t="shared" si="55"/>
        <v>5320</v>
      </c>
      <c r="AC561">
        <f t="shared" si="56"/>
        <v>3834</v>
      </c>
      <c r="AD561">
        <f t="shared" si="57"/>
        <v>76680</v>
      </c>
      <c r="AE561">
        <v>12600</v>
      </c>
    </row>
    <row r="562" spans="25:31">
      <c r="Y562">
        <f t="shared" si="52"/>
        <v>5</v>
      </c>
      <c r="Z562">
        <f t="shared" si="53"/>
        <v>3</v>
      </c>
      <c r="AA562">
        <v>21</v>
      </c>
      <c r="AB562">
        <f t="shared" si="55"/>
        <v>5321</v>
      </c>
      <c r="AC562">
        <f t="shared" si="56"/>
        <v>3834</v>
      </c>
      <c r="AD562">
        <f t="shared" si="57"/>
        <v>80514</v>
      </c>
      <c r="AE562">
        <v>14200</v>
      </c>
    </row>
    <row r="563" spans="25:31">
      <c r="Y563">
        <f t="shared" si="52"/>
        <v>5</v>
      </c>
      <c r="Z563">
        <f t="shared" si="53"/>
        <v>3</v>
      </c>
      <c r="AA563">
        <v>22</v>
      </c>
      <c r="AB563">
        <f t="shared" si="55"/>
        <v>5322</v>
      </c>
      <c r="AC563">
        <f t="shared" si="56"/>
        <v>3834</v>
      </c>
      <c r="AD563">
        <f t="shared" si="57"/>
        <v>84348</v>
      </c>
      <c r="AE563">
        <v>15800</v>
      </c>
    </row>
    <row r="564" spans="25:31">
      <c r="Y564">
        <f t="shared" si="52"/>
        <v>5</v>
      </c>
      <c r="Z564">
        <f t="shared" si="53"/>
        <v>3</v>
      </c>
      <c r="AA564">
        <v>23</v>
      </c>
      <c r="AB564">
        <f t="shared" si="55"/>
        <v>5323</v>
      </c>
      <c r="AC564">
        <f t="shared" si="56"/>
        <v>3834</v>
      </c>
      <c r="AD564">
        <f t="shared" si="57"/>
        <v>88182</v>
      </c>
      <c r="AE564">
        <v>17400</v>
      </c>
    </row>
    <row r="565" spans="25:31">
      <c r="Y565">
        <f t="shared" si="52"/>
        <v>5</v>
      </c>
      <c r="Z565">
        <f t="shared" si="53"/>
        <v>3</v>
      </c>
      <c r="AA565">
        <v>24</v>
      </c>
      <c r="AB565">
        <f t="shared" si="55"/>
        <v>5324</v>
      </c>
      <c r="AC565">
        <f t="shared" si="56"/>
        <v>3834</v>
      </c>
      <c r="AD565">
        <f t="shared" si="57"/>
        <v>92016</v>
      </c>
      <c r="AE565">
        <v>19000</v>
      </c>
    </row>
    <row r="566" spans="25:31">
      <c r="Y566">
        <f t="shared" si="52"/>
        <v>5</v>
      </c>
      <c r="Z566">
        <f t="shared" si="53"/>
        <v>3</v>
      </c>
      <c r="AA566">
        <v>25</v>
      </c>
      <c r="AB566">
        <f t="shared" si="55"/>
        <v>5325</v>
      </c>
      <c r="AC566">
        <f t="shared" si="56"/>
        <v>3834</v>
      </c>
      <c r="AD566">
        <f t="shared" si="57"/>
        <v>95850</v>
      </c>
      <c r="AE566">
        <v>20600</v>
      </c>
    </row>
    <row r="567" spans="25:31">
      <c r="Y567">
        <f t="shared" si="52"/>
        <v>5</v>
      </c>
      <c r="Z567">
        <f t="shared" si="53"/>
        <v>3</v>
      </c>
      <c r="AA567">
        <v>26</v>
      </c>
      <c r="AB567">
        <f t="shared" si="55"/>
        <v>5326</v>
      </c>
      <c r="AC567">
        <f t="shared" si="56"/>
        <v>3834</v>
      </c>
      <c r="AD567">
        <f t="shared" si="57"/>
        <v>99684</v>
      </c>
      <c r="AE567">
        <v>22200</v>
      </c>
    </row>
    <row r="568" spans="25:31">
      <c r="Y568">
        <f t="shared" si="52"/>
        <v>5</v>
      </c>
      <c r="Z568">
        <f t="shared" si="53"/>
        <v>3</v>
      </c>
      <c r="AA568">
        <v>27</v>
      </c>
      <c r="AB568">
        <f t="shared" si="55"/>
        <v>5327</v>
      </c>
      <c r="AC568">
        <f t="shared" si="56"/>
        <v>3834</v>
      </c>
      <c r="AD568">
        <f t="shared" si="57"/>
        <v>103518</v>
      </c>
      <c r="AE568">
        <v>23800</v>
      </c>
    </row>
    <row r="569" spans="25:31">
      <c r="Y569">
        <f t="shared" si="52"/>
        <v>5</v>
      </c>
      <c r="Z569">
        <f t="shared" si="53"/>
        <v>3</v>
      </c>
      <c r="AA569">
        <v>28</v>
      </c>
      <c r="AB569">
        <f t="shared" si="55"/>
        <v>5328</v>
      </c>
      <c r="AC569">
        <f t="shared" si="56"/>
        <v>3834</v>
      </c>
      <c r="AD569">
        <f t="shared" si="57"/>
        <v>107352</v>
      </c>
      <c r="AE569">
        <v>25400</v>
      </c>
    </row>
    <row r="570" spans="25:31">
      <c r="Y570">
        <f t="shared" si="52"/>
        <v>5</v>
      </c>
      <c r="Z570">
        <f t="shared" si="53"/>
        <v>3</v>
      </c>
      <c r="AA570">
        <v>29</v>
      </c>
      <c r="AB570">
        <f t="shared" si="55"/>
        <v>5329</v>
      </c>
      <c r="AC570">
        <f t="shared" si="56"/>
        <v>3834</v>
      </c>
      <c r="AD570">
        <f t="shared" si="57"/>
        <v>111186</v>
      </c>
      <c r="AE570">
        <v>27000</v>
      </c>
    </row>
    <row r="571" spans="25:31">
      <c r="Y571">
        <f t="shared" ref="Y571:Y634" si="58">Y451+1</f>
        <v>5</v>
      </c>
      <c r="Z571">
        <f t="shared" si="53"/>
        <v>3</v>
      </c>
      <c r="AA571">
        <v>30</v>
      </c>
      <c r="AB571">
        <f t="shared" si="55"/>
        <v>5330</v>
      </c>
      <c r="AC571">
        <f t="shared" si="56"/>
        <v>3834</v>
      </c>
      <c r="AD571">
        <f t="shared" si="57"/>
        <v>115020</v>
      </c>
      <c r="AE571">
        <v>28600</v>
      </c>
    </row>
    <row r="572" spans="25:31">
      <c r="Y572">
        <f t="shared" si="58"/>
        <v>5</v>
      </c>
      <c r="Z572">
        <f t="shared" si="53"/>
        <v>4</v>
      </c>
      <c r="AA572">
        <v>1</v>
      </c>
      <c r="AB572">
        <f t="shared" si="55"/>
        <v>5401</v>
      </c>
      <c r="AC572">
        <f t="shared" si="56"/>
        <v>3834</v>
      </c>
      <c r="AD572">
        <f>AC572</f>
        <v>3834</v>
      </c>
      <c r="AE572">
        <v>1500</v>
      </c>
    </row>
    <row r="573" spans="25:31">
      <c r="Y573">
        <f t="shared" si="58"/>
        <v>5</v>
      </c>
      <c r="Z573">
        <f t="shared" si="53"/>
        <v>4</v>
      </c>
      <c r="AA573">
        <v>2</v>
      </c>
      <c r="AB573">
        <f t="shared" si="55"/>
        <v>5402</v>
      </c>
      <c r="AC573">
        <f t="shared" si="56"/>
        <v>3834</v>
      </c>
      <c r="AD573">
        <f t="shared" ref="AD573:AD601" si="59">AD572+AC573</f>
        <v>7668</v>
      </c>
      <c r="AE573">
        <v>2100</v>
      </c>
    </row>
    <row r="574" spans="25:31">
      <c r="Y574">
        <f t="shared" si="58"/>
        <v>5</v>
      </c>
      <c r="Z574">
        <f t="shared" si="53"/>
        <v>4</v>
      </c>
      <c r="AA574">
        <v>3</v>
      </c>
      <c r="AB574">
        <f t="shared" si="55"/>
        <v>5403</v>
      </c>
      <c r="AC574">
        <f t="shared" si="56"/>
        <v>3834</v>
      </c>
      <c r="AD574">
        <f t="shared" si="59"/>
        <v>11502</v>
      </c>
      <c r="AE574">
        <v>2700</v>
      </c>
    </row>
    <row r="575" spans="25:31">
      <c r="Y575">
        <f t="shared" si="58"/>
        <v>5</v>
      </c>
      <c r="Z575">
        <f t="shared" si="53"/>
        <v>4</v>
      </c>
      <c r="AA575">
        <v>4</v>
      </c>
      <c r="AB575">
        <f t="shared" si="55"/>
        <v>5404</v>
      </c>
      <c r="AC575">
        <f t="shared" si="56"/>
        <v>3834</v>
      </c>
      <c r="AD575">
        <f t="shared" si="59"/>
        <v>15336</v>
      </c>
      <c r="AE575">
        <v>3300</v>
      </c>
    </row>
    <row r="576" spans="25:31">
      <c r="Y576">
        <f t="shared" si="58"/>
        <v>5</v>
      </c>
      <c r="Z576">
        <f t="shared" ref="Z576:Z601" si="60">Z546+1</f>
        <v>4</v>
      </c>
      <c r="AA576">
        <v>5</v>
      </c>
      <c r="AB576">
        <f t="shared" si="55"/>
        <v>5405</v>
      </c>
      <c r="AC576">
        <f t="shared" si="56"/>
        <v>3834</v>
      </c>
      <c r="AD576">
        <f t="shared" si="59"/>
        <v>19170</v>
      </c>
      <c r="AE576">
        <v>3900</v>
      </c>
    </row>
    <row r="577" spans="25:31">
      <c r="Y577">
        <f t="shared" si="58"/>
        <v>5</v>
      </c>
      <c r="Z577">
        <f t="shared" si="60"/>
        <v>4</v>
      </c>
      <c r="AA577">
        <v>6</v>
      </c>
      <c r="AB577">
        <f t="shared" si="55"/>
        <v>5406</v>
      </c>
      <c r="AC577">
        <f t="shared" si="56"/>
        <v>3834</v>
      </c>
      <c r="AD577">
        <f t="shared" si="59"/>
        <v>23004</v>
      </c>
      <c r="AE577">
        <v>4500</v>
      </c>
    </row>
    <row r="578" spans="25:31">
      <c r="Y578">
        <f t="shared" si="58"/>
        <v>5</v>
      </c>
      <c r="Z578">
        <f t="shared" si="60"/>
        <v>4</v>
      </c>
      <c r="AA578">
        <v>7</v>
      </c>
      <c r="AB578">
        <f t="shared" si="55"/>
        <v>5407</v>
      </c>
      <c r="AC578">
        <f t="shared" si="56"/>
        <v>3834</v>
      </c>
      <c r="AD578">
        <f t="shared" si="59"/>
        <v>26838</v>
      </c>
      <c r="AE578">
        <v>5100</v>
      </c>
    </row>
    <row r="579" spans="25:31">
      <c r="Y579">
        <f t="shared" si="58"/>
        <v>5</v>
      </c>
      <c r="Z579">
        <f t="shared" si="60"/>
        <v>4</v>
      </c>
      <c r="AA579">
        <v>8</v>
      </c>
      <c r="AB579">
        <f t="shared" ref="AB579:AB642" si="61">Y579*1000+Z579*100+AA579</f>
        <v>5408</v>
      </c>
      <c r="AC579">
        <f t="shared" si="56"/>
        <v>3834</v>
      </c>
      <c r="AD579">
        <f t="shared" si="59"/>
        <v>30672</v>
      </c>
      <c r="AE579">
        <v>5700</v>
      </c>
    </row>
    <row r="580" spans="25:31">
      <c r="Y580">
        <f t="shared" si="58"/>
        <v>5</v>
      </c>
      <c r="Z580">
        <f t="shared" si="60"/>
        <v>4</v>
      </c>
      <c r="AA580">
        <v>9</v>
      </c>
      <c r="AB580">
        <f t="shared" si="61"/>
        <v>5409</v>
      </c>
      <c r="AC580">
        <f t="shared" ref="AC580:AC643" si="62">AC579</f>
        <v>3834</v>
      </c>
      <c r="AD580">
        <f t="shared" si="59"/>
        <v>34506</v>
      </c>
      <c r="AE580">
        <v>6300</v>
      </c>
    </row>
    <row r="581" spans="25:31">
      <c r="Y581">
        <f t="shared" si="58"/>
        <v>5</v>
      </c>
      <c r="Z581">
        <f t="shared" si="60"/>
        <v>4</v>
      </c>
      <c r="AA581">
        <v>10</v>
      </c>
      <c r="AB581">
        <f t="shared" si="61"/>
        <v>5410</v>
      </c>
      <c r="AC581">
        <f t="shared" si="62"/>
        <v>3834</v>
      </c>
      <c r="AD581">
        <f t="shared" si="59"/>
        <v>38340</v>
      </c>
      <c r="AE581">
        <v>6900</v>
      </c>
    </row>
    <row r="582" spans="25:31">
      <c r="Y582">
        <f t="shared" si="58"/>
        <v>5</v>
      </c>
      <c r="Z582">
        <f t="shared" si="60"/>
        <v>4</v>
      </c>
      <c r="AA582">
        <v>11</v>
      </c>
      <c r="AB582">
        <f t="shared" si="61"/>
        <v>5411</v>
      </c>
      <c r="AC582">
        <f t="shared" si="62"/>
        <v>3834</v>
      </c>
      <c r="AD582">
        <f t="shared" si="59"/>
        <v>42174</v>
      </c>
      <c r="AE582">
        <v>8100</v>
      </c>
    </row>
    <row r="583" spans="25:31">
      <c r="Y583">
        <f t="shared" si="58"/>
        <v>5</v>
      </c>
      <c r="Z583">
        <f t="shared" si="60"/>
        <v>4</v>
      </c>
      <c r="AA583">
        <v>12</v>
      </c>
      <c r="AB583">
        <f t="shared" si="61"/>
        <v>5412</v>
      </c>
      <c r="AC583">
        <f t="shared" si="62"/>
        <v>3834</v>
      </c>
      <c r="AD583">
        <f t="shared" si="59"/>
        <v>46008</v>
      </c>
      <c r="AE583">
        <v>9300</v>
      </c>
    </row>
    <row r="584" spans="25:31">
      <c r="Y584">
        <f t="shared" si="58"/>
        <v>5</v>
      </c>
      <c r="Z584">
        <f t="shared" si="60"/>
        <v>4</v>
      </c>
      <c r="AA584">
        <v>13</v>
      </c>
      <c r="AB584">
        <f t="shared" si="61"/>
        <v>5413</v>
      </c>
      <c r="AC584">
        <f t="shared" si="62"/>
        <v>3834</v>
      </c>
      <c r="AD584">
        <f t="shared" si="59"/>
        <v>49842</v>
      </c>
      <c r="AE584">
        <v>10500</v>
      </c>
    </row>
    <row r="585" spans="25:31">
      <c r="Y585">
        <f t="shared" si="58"/>
        <v>5</v>
      </c>
      <c r="Z585">
        <f t="shared" si="60"/>
        <v>4</v>
      </c>
      <c r="AA585">
        <v>14</v>
      </c>
      <c r="AB585">
        <f t="shared" si="61"/>
        <v>5414</v>
      </c>
      <c r="AC585">
        <f t="shared" si="62"/>
        <v>3834</v>
      </c>
      <c r="AD585">
        <f t="shared" si="59"/>
        <v>53676</v>
      </c>
      <c r="AE585">
        <v>11700</v>
      </c>
    </row>
    <row r="586" spans="25:31">
      <c r="Y586">
        <f t="shared" si="58"/>
        <v>5</v>
      </c>
      <c r="Z586">
        <f t="shared" si="60"/>
        <v>4</v>
      </c>
      <c r="AA586">
        <v>15</v>
      </c>
      <c r="AB586">
        <f t="shared" si="61"/>
        <v>5415</v>
      </c>
      <c r="AC586">
        <f t="shared" si="62"/>
        <v>3834</v>
      </c>
      <c r="AD586">
        <f t="shared" si="59"/>
        <v>57510</v>
      </c>
      <c r="AE586">
        <v>12900</v>
      </c>
    </row>
    <row r="587" spans="25:31">
      <c r="Y587">
        <f t="shared" si="58"/>
        <v>5</v>
      </c>
      <c r="Z587">
        <f t="shared" si="60"/>
        <v>4</v>
      </c>
      <c r="AA587">
        <v>16</v>
      </c>
      <c r="AB587">
        <f t="shared" si="61"/>
        <v>5416</v>
      </c>
      <c r="AC587">
        <f t="shared" si="62"/>
        <v>3834</v>
      </c>
      <c r="AD587">
        <f t="shared" si="59"/>
        <v>61344</v>
      </c>
      <c r="AE587">
        <v>14100</v>
      </c>
    </row>
    <row r="588" spans="25:31">
      <c r="Y588">
        <f t="shared" si="58"/>
        <v>5</v>
      </c>
      <c r="Z588">
        <f t="shared" si="60"/>
        <v>4</v>
      </c>
      <c r="AA588">
        <v>17</v>
      </c>
      <c r="AB588">
        <f t="shared" si="61"/>
        <v>5417</v>
      </c>
      <c r="AC588">
        <f t="shared" si="62"/>
        <v>3834</v>
      </c>
      <c r="AD588">
        <f t="shared" si="59"/>
        <v>65178</v>
      </c>
      <c r="AE588">
        <v>15300</v>
      </c>
    </row>
    <row r="589" spans="25:31">
      <c r="Y589">
        <f t="shared" si="58"/>
        <v>5</v>
      </c>
      <c r="Z589">
        <f t="shared" si="60"/>
        <v>4</v>
      </c>
      <c r="AA589">
        <v>18</v>
      </c>
      <c r="AB589">
        <f t="shared" si="61"/>
        <v>5418</v>
      </c>
      <c r="AC589">
        <f t="shared" si="62"/>
        <v>3834</v>
      </c>
      <c r="AD589">
        <f t="shared" si="59"/>
        <v>69012</v>
      </c>
      <c r="AE589">
        <v>16500</v>
      </c>
    </row>
    <row r="590" spans="25:31">
      <c r="Y590">
        <f t="shared" si="58"/>
        <v>5</v>
      </c>
      <c r="Z590">
        <f t="shared" si="60"/>
        <v>4</v>
      </c>
      <c r="AA590">
        <v>19</v>
      </c>
      <c r="AB590">
        <f t="shared" si="61"/>
        <v>5419</v>
      </c>
      <c r="AC590">
        <f t="shared" si="62"/>
        <v>3834</v>
      </c>
      <c r="AD590">
        <f t="shared" si="59"/>
        <v>72846</v>
      </c>
      <c r="AE590">
        <v>17700</v>
      </c>
    </row>
    <row r="591" spans="25:31">
      <c r="Y591">
        <f t="shared" si="58"/>
        <v>5</v>
      </c>
      <c r="Z591">
        <f t="shared" si="60"/>
        <v>4</v>
      </c>
      <c r="AA591">
        <v>20</v>
      </c>
      <c r="AB591">
        <f t="shared" si="61"/>
        <v>5420</v>
      </c>
      <c r="AC591">
        <f t="shared" si="62"/>
        <v>3834</v>
      </c>
      <c r="AD591">
        <f t="shared" si="59"/>
        <v>76680</v>
      </c>
      <c r="AE591">
        <v>18900</v>
      </c>
    </row>
    <row r="592" spans="25:31">
      <c r="Y592">
        <f t="shared" si="58"/>
        <v>5</v>
      </c>
      <c r="Z592">
        <f t="shared" si="60"/>
        <v>4</v>
      </c>
      <c r="AA592">
        <v>21</v>
      </c>
      <c r="AB592">
        <f t="shared" si="61"/>
        <v>5421</v>
      </c>
      <c r="AC592">
        <f t="shared" si="62"/>
        <v>3834</v>
      </c>
      <c r="AD592">
        <f t="shared" si="59"/>
        <v>80514</v>
      </c>
      <c r="AE592">
        <v>21300</v>
      </c>
    </row>
    <row r="593" spans="25:31">
      <c r="Y593">
        <f t="shared" si="58"/>
        <v>5</v>
      </c>
      <c r="Z593">
        <f t="shared" si="60"/>
        <v>4</v>
      </c>
      <c r="AA593">
        <v>22</v>
      </c>
      <c r="AB593">
        <f t="shared" si="61"/>
        <v>5422</v>
      </c>
      <c r="AC593">
        <f t="shared" si="62"/>
        <v>3834</v>
      </c>
      <c r="AD593">
        <f t="shared" si="59"/>
        <v>84348</v>
      </c>
      <c r="AE593">
        <v>23700</v>
      </c>
    </row>
    <row r="594" spans="25:31">
      <c r="Y594">
        <f t="shared" si="58"/>
        <v>5</v>
      </c>
      <c r="Z594">
        <f t="shared" si="60"/>
        <v>4</v>
      </c>
      <c r="AA594">
        <v>23</v>
      </c>
      <c r="AB594">
        <f t="shared" si="61"/>
        <v>5423</v>
      </c>
      <c r="AC594">
        <f t="shared" si="62"/>
        <v>3834</v>
      </c>
      <c r="AD594">
        <f t="shared" si="59"/>
        <v>88182</v>
      </c>
      <c r="AE594">
        <v>26100</v>
      </c>
    </row>
    <row r="595" spans="25:31">
      <c r="Y595">
        <f t="shared" si="58"/>
        <v>5</v>
      </c>
      <c r="Z595">
        <f t="shared" si="60"/>
        <v>4</v>
      </c>
      <c r="AA595">
        <v>24</v>
      </c>
      <c r="AB595">
        <f t="shared" si="61"/>
        <v>5424</v>
      </c>
      <c r="AC595">
        <f t="shared" si="62"/>
        <v>3834</v>
      </c>
      <c r="AD595">
        <f t="shared" si="59"/>
        <v>92016</v>
      </c>
      <c r="AE595">
        <v>28500</v>
      </c>
    </row>
    <row r="596" spans="25:31">
      <c r="Y596">
        <f t="shared" si="58"/>
        <v>5</v>
      </c>
      <c r="Z596">
        <f t="shared" si="60"/>
        <v>4</v>
      </c>
      <c r="AA596">
        <v>25</v>
      </c>
      <c r="AB596">
        <f t="shared" si="61"/>
        <v>5425</v>
      </c>
      <c r="AC596">
        <f t="shared" si="62"/>
        <v>3834</v>
      </c>
      <c r="AD596">
        <f t="shared" si="59"/>
        <v>95850</v>
      </c>
      <c r="AE596">
        <v>30900</v>
      </c>
    </row>
    <row r="597" spans="25:31">
      <c r="Y597">
        <f t="shared" si="58"/>
        <v>5</v>
      </c>
      <c r="Z597">
        <f t="shared" si="60"/>
        <v>4</v>
      </c>
      <c r="AA597">
        <v>26</v>
      </c>
      <c r="AB597">
        <f t="shared" si="61"/>
        <v>5426</v>
      </c>
      <c r="AC597">
        <f t="shared" si="62"/>
        <v>3834</v>
      </c>
      <c r="AD597">
        <f t="shared" si="59"/>
        <v>99684</v>
      </c>
      <c r="AE597">
        <v>33300</v>
      </c>
    </row>
    <row r="598" spans="25:31">
      <c r="Y598">
        <f t="shared" si="58"/>
        <v>5</v>
      </c>
      <c r="Z598">
        <f t="shared" si="60"/>
        <v>4</v>
      </c>
      <c r="AA598">
        <v>27</v>
      </c>
      <c r="AB598">
        <f t="shared" si="61"/>
        <v>5427</v>
      </c>
      <c r="AC598">
        <f t="shared" si="62"/>
        <v>3834</v>
      </c>
      <c r="AD598">
        <f t="shared" si="59"/>
        <v>103518</v>
      </c>
      <c r="AE598">
        <v>35700</v>
      </c>
    </row>
    <row r="599" spans="25:31">
      <c r="Y599">
        <f t="shared" si="58"/>
        <v>5</v>
      </c>
      <c r="Z599">
        <f t="shared" si="60"/>
        <v>4</v>
      </c>
      <c r="AA599">
        <v>28</v>
      </c>
      <c r="AB599">
        <f t="shared" si="61"/>
        <v>5428</v>
      </c>
      <c r="AC599">
        <f t="shared" si="62"/>
        <v>3834</v>
      </c>
      <c r="AD599">
        <f t="shared" si="59"/>
        <v>107352</v>
      </c>
      <c r="AE599">
        <v>38100</v>
      </c>
    </row>
    <row r="600" spans="25:31">
      <c r="Y600">
        <f t="shared" si="58"/>
        <v>5</v>
      </c>
      <c r="Z600">
        <f t="shared" si="60"/>
        <v>4</v>
      </c>
      <c r="AA600">
        <v>29</v>
      </c>
      <c r="AB600">
        <f t="shared" si="61"/>
        <v>5429</v>
      </c>
      <c r="AC600">
        <f t="shared" si="62"/>
        <v>3834</v>
      </c>
      <c r="AD600">
        <f t="shared" si="59"/>
        <v>111186</v>
      </c>
      <c r="AE600">
        <v>40500</v>
      </c>
    </row>
    <row r="601" spans="25:31">
      <c r="Y601">
        <f t="shared" si="58"/>
        <v>5</v>
      </c>
      <c r="Z601">
        <f t="shared" si="60"/>
        <v>4</v>
      </c>
      <c r="AA601">
        <v>30</v>
      </c>
      <c r="AB601">
        <f t="shared" si="61"/>
        <v>5430</v>
      </c>
      <c r="AC601">
        <f t="shared" si="62"/>
        <v>3834</v>
      </c>
      <c r="AD601">
        <f t="shared" si="59"/>
        <v>115020</v>
      </c>
      <c r="AE601">
        <v>42900</v>
      </c>
    </row>
    <row r="602" ht="15" spans="25:31">
      <c r="Y602">
        <f t="shared" si="58"/>
        <v>6</v>
      </c>
      <c r="Z602">
        <v>1</v>
      </c>
      <c r="AA602">
        <v>1</v>
      </c>
      <c r="AB602">
        <f t="shared" si="61"/>
        <v>6101</v>
      </c>
      <c r="AC602">
        <f t="shared" si="62"/>
        <v>3834</v>
      </c>
      <c r="AD602">
        <f>AC602</f>
        <v>3834</v>
      </c>
      <c r="AE602" s="17">
        <v>500</v>
      </c>
    </row>
    <row r="603" ht="15" spans="25:31">
      <c r="Y603">
        <f t="shared" si="58"/>
        <v>6</v>
      </c>
      <c r="Z603">
        <v>1</v>
      </c>
      <c r="AA603">
        <v>2</v>
      </c>
      <c r="AB603">
        <f t="shared" si="61"/>
        <v>6102</v>
      </c>
      <c r="AC603">
        <f t="shared" si="62"/>
        <v>3834</v>
      </c>
      <c r="AD603">
        <f t="shared" ref="AD603:AD631" si="63">AD602+AC603</f>
        <v>7668</v>
      </c>
      <c r="AE603" s="78">
        <v>700</v>
      </c>
    </row>
    <row r="604" ht="15" spans="25:31">
      <c r="Y604">
        <f t="shared" si="58"/>
        <v>6</v>
      </c>
      <c r="Z604">
        <v>1</v>
      </c>
      <c r="AA604">
        <v>3</v>
      </c>
      <c r="AB604">
        <f t="shared" si="61"/>
        <v>6103</v>
      </c>
      <c r="AC604">
        <f t="shared" si="62"/>
        <v>3834</v>
      </c>
      <c r="AD604">
        <f t="shared" si="63"/>
        <v>11502</v>
      </c>
      <c r="AE604" s="78">
        <v>900</v>
      </c>
    </row>
    <row r="605" ht="15" spans="25:31">
      <c r="Y605">
        <f t="shared" si="58"/>
        <v>6</v>
      </c>
      <c r="Z605">
        <v>1</v>
      </c>
      <c r="AA605">
        <v>4</v>
      </c>
      <c r="AB605">
        <f t="shared" si="61"/>
        <v>6104</v>
      </c>
      <c r="AC605">
        <f t="shared" si="62"/>
        <v>3834</v>
      </c>
      <c r="AD605">
        <f t="shared" si="63"/>
        <v>15336</v>
      </c>
      <c r="AE605" s="78">
        <v>1100</v>
      </c>
    </row>
    <row r="606" ht="15" spans="25:31">
      <c r="Y606">
        <f t="shared" si="58"/>
        <v>6</v>
      </c>
      <c r="Z606">
        <v>1</v>
      </c>
      <c r="AA606">
        <v>5</v>
      </c>
      <c r="AB606">
        <f t="shared" si="61"/>
        <v>6105</v>
      </c>
      <c r="AC606">
        <f t="shared" si="62"/>
        <v>3834</v>
      </c>
      <c r="AD606">
        <f t="shared" si="63"/>
        <v>19170</v>
      </c>
      <c r="AE606" s="78">
        <v>1300</v>
      </c>
    </row>
    <row r="607" ht="15" spans="25:31">
      <c r="Y607">
        <f t="shared" si="58"/>
        <v>6</v>
      </c>
      <c r="Z607">
        <v>1</v>
      </c>
      <c r="AA607">
        <v>6</v>
      </c>
      <c r="AB607">
        <f t="shared" si="61"/>
        <v>6106</v>
      </c>
      <c r="AC607">
        <f t="shared" si="62"/>
        <v>3834</v>
      </c>
      <c r="AD607">
        <f t="shared" si="63"/>
        <v>23004</v>
      </c>
      <c r="AE607" s="78">
        <v>1500</v>
      </c>
    </row>
    <row r="608" ht="15" spans="25:31">
      <c r="Y608">
        <f t="shared" si="58"/>
        <v>6</v>
      </c>
      <c r="Z608">
        <v>1</v>
      </c>
      <c r="AA608">
        <v>7</v>
      </c>
      <c r="AB608">
        <f t="shared" si="61"/>
        <v>6107</v>
      </c>
      <c r="AC608">
        <f t="shared" si="62"/>
        <v>3834</v>
      </c>
      <c r="AD608">
        <f t="shared" si="63"/>
        <v>26838</v>
      </c>
      <c r="AE608" s="78">
        <v>1700</v>
      </c>
    </row>
    <row r="609" ht="15" spans="25:31">
      <c r="Y609">
        <f t="shared" si="58"/>
        <v>6</v>
      </c>
      <c r="Z609">
        <v>1</v>
      </c>
      <c r="AA609">
        <v>8</v>
      </c>
      <c r="AB609">
        <f t="shared" si="61"/>
        <v>6108</v>
      </c>
      <c r="AC609">
        <f t="shared" si="62"/>
        <v>3834</v>
      </c>
      <c r="AD609">
        <f t="shared" si="63"/>
        <v>30672</v>
      </c>
      <c r="AE609" s="78">
        <v>1900</v>
      </c>
    </row>
    <row r="610" ht="15" spans="25:31">
      <c r="Y610">
        <f t="shared" si="58"/>
        <v>6</v>
      </c>
      <c r="Z610">
        <v>1</v>
      </c>
      <c r="AA610">
        <v>9</v>
      </c>
      <c r="AB610">
        <f t="shared" si="61"/>
        <v>6109</v>
      </c>
      <c r="AC610">
        <f t="shared" si="62"/>
        <v>3834</v>
      </c>
      <c r="AD610">
        <f t="shared" si="63"/>
        <v>34506</v>
      </c>
      <c r="AE610" s="78">
        <v>2100</v>
      </c>
    </row>
    <row r="611" ht="15" spans="25:31">
      <c r="Y611">
        <f t="shared" si="58"/>
        <v>6</v>
      </c>
      <c r="Z611">
        <v>1</v>
      </c>
      <c r="AA611">
        <v>10</v>
      </c>
      <c r="AB611">
        <f t="shared" si="61"/>
        <v>6110</v>
      </c>
      <c r="AC611">
        <f t="shared" si="62"/>
        <v>3834</v>
      </c>
      <c r="AD611">
        <f t="shared" si="63"/>
        <v>38340</v>
      </c>
      <c r="AE611" s="78">
        <v>2300</v>
      </c>
    </row>
    <row r="612" ht="15" spans="25:31">
      <c r="Y612">
        <f t="shared" si="58"/>
        <v>6</v>
      </c>
      <c r="Z612">
        <v>1</v>
      </c>
      <c r="AA612">
        <v>11</v>
      </c>
      <c r="AB612">
        <f t="shared" si="61"/>
        <v>6111</v>
      </c>
      <c r="AC612">
        <f t="shared" si="62"/>
        <v>3834</v>
      </c>
      <c r="AD612">
        <f t="shared" si="63"/>
        <v>42174</v>
      </c>
      <c r="AE612" s="78">
        <v>2700</v>
      </c>
    </row>
    <row r="613" ht="15" spans="25:31">
      <c r="Y613">
        <f t="shared" si="58"/>
        <v>6</v>
      </c>
      <c r="Z613">
        <v>1</v>
      </c>
      <c r="AA613">
        <v>12</v>
      </c>
      <c r="AB613">
        <f t="shared" si="61"/>
        <v>6112</v>
      </c>
      <c r="AC613">
        <f t="shared" si="62"/>
        <v>3834</v>
      </c>
      <c r="AD613">
        <f t="shared" si="63"/>
        <v>46008</v>
      </c>
      <c r="AE613" s="78">
        <v>3100</v>
      </c>
    </row>
    <row r="614" ht="15" spans="25:31">
      <c r="Y614">
        <f t="shared" si="58"/>
        <v>6</v>
      </c>
      <c r="Z614">
        <v>1</v>
      </c>
      <c r="AA614">
        <v>13</v>
      </c>
      <c r="AB614">
        <f t="shared" si="61"/>
        <v>6113</v>
      </c>
      <c r="AC614">
        <f t="shared" si="62"/>
        <v>3834</v>
      </c>
      <c r="AD614">
        <f t="shared" si="63"/>
        <v>49842</v>
      </c>
      <c r="AE614" s="78">
        <v>3500</v>
      </c>
    </row>
    <row r="615" ht="15" spans="25:31">
      <c r="Y615">
        <f t="shared" si="58"/>
        <v>6</v>
      </c>
      <c r="Z615">
        <v>1</v>
      </c>
      <c r="AA615">
        <v>14</v>
      </c>
      <c r="AB615">
        <f t="shared" si="61"/>
        <v>6114</v>
      </c>
      <c r="AC615">
        <f t="shared" si="62"/>
        <v>3834</v>
      </c>
      <c r="AD615">
        <f t="shared" si="63"/>
        <v>53676</v>
      </c>
      <c r="AE615" s="78">
        <v>3900</v>
      </c>
    </row>
    <row r="616" ht="15" spans="25:31">
      <c r="Y616">
        <f t="shared" si="58"/>
        <v>6</v>
      </c>
      <c r="Z616">
        <v>1</v>
      </c>
      <c r="AA616">
        <v>15</v>
      </c>
      <c r="AB616">
        <f t="shared" si="61"/>
        <v>6115</v>
      </c>
      <c r="AC616">
        <f t="shared" si="62"/>
        <v>3834</v>
      </c>
      <c r="AD616">
        <f t="shared" si="63"/>
        <v>57510</v>
      </c>
      <c r="AE616" s="78">
        <v>4300</v>
      </c>
    </row>
    <row r="617" ht="15" spans="25:31">
      <c r="Y617">
        <f t="shared" si="58"/>
        <v>6</v>
      </c>
      <c r="Z617">
        <v>1</v>
      </c>
      <c r="AA617">
        <v>16</v>
      </c>
      <c r="AB617">
        <f t="shared" si="61"/>
        <v>6116</v>
      </c>
      <c r="AC617">
        <f t="shared" si="62"/>
        <v>3834</v>
      </c>
      <c r="AD617">
        <f t="shared" si="63"/>
        <v>61344</v>
      </c>
      <c r="AE617" s="78">
        <v>4700</v>
      </c>
    </row>
    <row r="618" ht="15" spans="25:31">
      <c r="Y618">
        <f t="shared" si="58"/>
        <v>6</v>
      </c>
      <c r="Z618">
        <v>1</v>
      </c>
      <c r="AA618">
        <v>17</v>
      </c>
      <c r="AB618">
        <f t="shared" si="61"/>
        <v>6117</v>
      </c>
      <c r="AC618">
        <f t="shared" si="62"/>
        <v>3834</v>
      </c>
      <c r="AD618">
        <f t="shared" si="63"/>
        <v>65178</v>
      </c>
      <c r="AE618" s="78">
        <v>5100</v>
      </c>
    </row>
    <row r="619" ht="15" spans="25:31">
      <c r="Y619">
        <f t="shared" si="58"/>
        <v>6</v>
      </c>
      <c r="Z619">
        <v>1</v>
      </c>
      <c r="AA619">
        <v>18</v>
      </c>
      <c r="AB619">
        <f t="shared" si="61"/>
        <v>6118</v>
      </c>
      <c r="AC619">
        <f t="shared" si="62"/>
        <v>3834</v>
      </c>
      <c r="AD619">
        <f t="shared" si="63"/>
        <v>69012</v>
      </c>
      <c r="AE619" s="78">
        <v>5500</v>
      </c>
    </row>
    <row r="620" ht="15" spans="25:31">
      <c r="Y620">
        <f t="shared" si="58"/>
        <v>6</v>
      </c>
      <c r="Z620">
        <v>1</v>
      </c>
      <c r="AA620">
        <v>19</v>
      </c>
      <c r="AB620">
        <f t="shared" si="61"/>
        <v>6119</v>
      </c>
      <c r="AC620">
        <f t="shared" si="62"/>
        <v>3834</v>
      </c>
      <c r="AD620">
        <f t="shared" si="63"/>
        <v>72846</v>
      </c>
      <c r="AE620" s="78">
        <v>5900</v>
      </c>
    </row>
    <row r="621" ht="15" spans="25:31">
      <c r="Y621">
        <f t="shared" si="58"/>
        <v>6</v>
      </c>
      <c r="Z621">
        <v>1</v>
      </c>
      <c r="AA621">
        <v>20</v>
      </c>
      <c r="AB621">
        <f t="shared" si="61"/>
        <v>6120</v>
      </c>
      <c r="AC621">
        <f t="shared" si="62"/>
        <v>3834</v>
      </c>
      <c r="AD621">
        <f t="shared" si="63"/>
        <v>76680</v>
      </c>
      <c r="AE621" s="78">
        <v>6300</v>
      </c>
    </row>
    <row r="622" ht="15" spans="25:31">
      <c r="Y622">
        <f t="shared" si="58"/>
        <v>6</v>
      </c>
      <c r="Z622">
        <v>1</v>
      </c>
      <c r="AA622">
        <v>21</v>
      </c>
      <c r="AB622">
        <f t="shared" si="61"/>
        <v>6121</v>
      </c>
      <c r="AC622">
        <f t="shared" si="62"/>
        <v>3834</v>
      </c>
      <c r="AD622">
        <f t="shared" si="63"/>
        <v>80514</v>
      </c>
      <c r="AE622" s="78">
        <v>7100</v>
      </c>
    </row>
    <row r="623" ht="15" spans="25:31">
      <c r="Y623">
        <f t="shared" si="58"/>
        <v>6</v>
      </c>
      <c r="Z623">
        <v>1</v>
      </c>
      <c r="AA623">
        <v>22</v>
      </c>
      <c r="AB623">
        <f t="shared" si="61"/>
        <v>6122</v>
      </c>
      <c r="AC623">
        <f t="shared" si="62"/>
        <v>3834</v>
      </c>
      <c r="AD623">
        <f t="shared" si="63"/>
        <v>84348</v>
      </c>
      <c r="AE623" s="78">
        <v>7900</v>
      </c>
    </row>
    <row r="624" ht="15" spans="25:31">
      <c r="Y624">
        <f t="shared" si="58"/>
        <v>6</v>
      </c>
      <c r="Z624">
        <v>1</v>
      </c>
      <c r="AA624">
        <v>23</v>
      </c>
      <c r="AB624">
        <f t="shared" si="61"/>
        <v>6123</v>
      </c>
      <c r="AC624">
        <f t="shared" si="62"/>
        <v>3834</v>
      </c>
      <c r="AD624">
        <f t="shared" si="63"/>
        <v>88182</v>
      </c>
      <c r="AE624" s="78">
        <v>8700</v>
      </c>
    </row>
    <row r="625" ht="15" spans="25:31">
      <c r="Y625">
        <f t="shared" si="58"/>
        <v>6</v>
      </c>
      <c r="Z625">
        <v>1</v>
      </c>
      <c r="AA625">
        <v>24</v>
      </c>
      <c r="AB625">
        <f t="shared" si="61"/>
        <v>6124</v>
      </c>
      <c r="AC625">
        <f t="shared" si="62"/>
        <v>3834</v>
      </c>
      <c r="AD625">
        <f t="shared" si="63"/>
        <v>92016</v>
      </c>
      <c r="AE625" s="78">
        <v>9500</v>
      </c>
    </row>
    <row r="626" ht="15" spans="25:31">
      <c r="Y626">
        <f t="shared" si="58"/>
        <v>6</v>
      </c>
      <c r="Z626">
        <v>1</v>
      </c>
      <c r="AA626">
        <v>25</v>
      </c>
      <c r="AB626">
        <f t="shared" si="61"/>
        <v>6125</v>
      </c>
      <c r="AC626">
        <f t="shared" si="62"/>
        <v>3834</v>
      </c>
      <c r="AD626">
        <f t="shared" si="63"/>
        <v>95850</v>
      </c>
      <c r="AE626" s="78">
        <v>10300</v>
      </c>
    </row>
    <row r="627" ht="15" spans="25:31">
      <c r="Y627">
        <f t="shared" si="58"/>
        <v>6</v>
      </c>
      <c r="Z627">
        <v>1</v>
      </c>
      <c r="AA627">
        <v>26</v>
      </c>
      <c r="AB627">
        <f t="shared" si="61"/>
        <v>6126</v>
      </c>
      <c r="AC627">
        <f t="shared" si="62"/>
        <v>3834</v>
      </c>
      <c r="AD627">
        <f t="shared" si="63"/>
        <v>99684</v>
      </c>
      <c r="AE627" s="78">
        <v>11100</v>
      </c>
    </row>
    <row r="628" ht="15" spans="25:31">
      <c r="Y628">
        <f t="shared" si="58"/>
        <v>6</v>
      </c>
      <c r="Z628">
        <v>1</v>
      </c>
      <c r="AA628">
        <v>27</v>
      </c>
      <c r="AB628">
        <f t="shared" si="61"/>
        <v>6127</v>
      </c>
      <c r="AC628">
        <f t="shared" si="62"/>
        <v>3834</v>
      </c>
      <c r="AD628">
        <f t="shared" si="63"/>
        <v>103518</v>
      </c>
      <c r="AE628" s="78">
        <v>11900</v>
      </c>
    </row>
    <row r="629" ht="15" spans="25:31">
      <c r="Y629">
        <f t="shared" si="58"/>
        <v>6</v>
      </c>
      <c r="Z629">
        <v>1</v>
      </c>
      <c r="AA629">
        <v>28</v>
      </c>
      <c r="AB629">
        <f t="shared" si="61"/>
        <v>6128</v>
      </c>
      <c r="AC629">
        <f t="shared" si="62"/>
        <v>3834</v>
      </c>
      <c r="AD629">
        <f t="shared" si="63"/>
        <v>107352</v>
      </c>
      <c r="AE629" s="78">
        <v>12700</v>
      </c>
    </row>
    <row r="630" ht="15" spans="25:31">
      <c r="Y630">
        <f t="shared" si="58"/>
        <v>6</v>
      </c>
      <c r="Z630">
        <v>1</v>
      </c>
      <c r="AA630">
        <v>29</v>
      </c>
      <c r="AB630">
        <f t="shared" si="61"/>
        <v>6129</v>
      </c>
      <c r="AC630">
        <f t="shared" si="62"/>
        <v>3834</v>
      </c>
      <c r="AD630">
        <f t="shared" si="63"/>
        <v>111186</v>
      </c>
      <c r="AE630" s="78">
        <v>13500</v>
      </c>
    </row>
    <row r="631" ht="15" spans="25:31">
      <c r="Y631">
        <f t="shared" si="58"/>
        <v>6</v>
      </c>
      <c r="Z631">
        <v>1</v>
      </c>
      <c r="AA631">
        <v>30</v>
      </c>
      <c r="AB631">
        <f t="shared" si="61"/>
        <v>6130</v>
      </c>
      <c r="AC631">
        <f t="shared" si="62"/>
        <v>3834</v>
      </c>
      <c r="AD631">
        <f t="shared" si="63"/>
        <v>115020</v>
      </c>
      <c r="AE631" s="78">
        <v>14300</v>
      </c>
    </row>
    <row r="632" ht="15" spans="25:31">
      <c r="Y632">
        <f t="shared" si="58"/>
        <v>6</v>
      </c>
      <c r="Z632">
        <f t="shared" ref="Z632:Z695" si="64">Z602+1</f>
        <v>2</v>
      </c>
      <c r="AA632">
        <v>1</v>
      </c>
      <c r="AB632">
        <f t="shared" si="61"/>
        <v>6201</v>
      </c>
      <c r="AC632">
        <f t="shared" si="62"/>
        <v>3834</v>
      </c>
      <c r="AD632">
        <f>AC632</f>
        <v>3834</v>
      </c>
      <c r="AE632" s="78">
        <v>750</v>
      </c>
    </row>
    <row r="633" ht="15" spans="25:31">
      <c r="Y633">
        <f t="shared" si="58"/>
        <v>6</v>
      </c>
      <c r="Z633">
        <f t="shared" si="64"/>
        <v>2</v>
      </c>
      <c r="AA633">
        <v>2</v>
      </c>
      <c r="AB633">
        <f t="shared" si="61"/>
        <v>6202</v>
      </c>
      <c r="AC633">
        <f t="shared" si="62"/>
        <v>3834</v>
      </c>
      <c r="AD633">
        <f t="shared" ref="AD633:AD661" si="65">AD632+AC633</f>
        <v>7668</v>
      </c>
      <c r="AE633" s="78">
        <v>1050</v>
      </c>
    </row>
    <row r="634" ht="15" spans="25:31">
      <c r="Y634">
        <f t="shared" si="58"/>
        <v>6</v>
      </c>
      <c r="Z634">
        <f t="shared" si="64"/>
        <v>2</v>
      </c>
      <c r="AA634">
        <v>3</v>
      </c>
      <c r="AB634">
        <f t="shared" si="61"/>
        <v>6203</v>
      </c>
      <c r="AC634">
        <f t="shared" si="62"/>
        <v>3834</v>
      </c>
      <c r="AD634">
        <f t="shared" si="65"/>
        <v>11502</v>
      </c>
      <c r="AE634" s="78">
        <v>1350</v>
      </c>
    </row>
    <row r="635" ht="15" spans="25:31">
      <c r="Y635">
        <f t="shared" ref="Y635:Y698" si="66">Y515+1</f>
        <v>6</v>
      </c>
      <c r="Z635">
        <f t="shared" si="64"/>
        <v>2</v>
      </c>
      <c r="AA635">
        <v>4</v>
      </c>
      <c r="AB635">
        <f t="shared" si="61"/>
        <v>6204</v>
      </c>
      <c r="AC635">
        <f t="shared" si="62"/>
        <v>3834</v>
      </c>
      <c r="AD635">
        <f t="shared" si="65"/>
        <v>15336</v>
      </c>
      <c r="AE635" s="78">
        <v>1650</v>
      </c>
    </row>
    <row r="636" ht="15" spans="25:31">
      <c r="Y636">
        <f t="shared" si="66"/>
        <v>6</v>
      </c>
      <c r="Z636">
        <f t="shared" si="64"/>
        <v>2</v>
      </c>
      <c r="AA636">
        <v>5</v>
      </c>
      <c r="AB636">
        <f t="shared" si="61"/>
        <v>6205</v>
      </c>
      <c r="AC636">
        <f t="shared" si="62"/>
        <v>3834</v>
      </c>
      <c r="AD636">
        <f t="shared" si="65"/>
        <v>19170</v>
      </c>
      <c r="AE636" s="78">
        <v>1950</v>
      </c>
    </row>
    <row r="637" ht="15" spans="25:31">
      <c r="Y637">
        <f t="shared" si="66"/>
        <v>6</v>
      </c>
      <c r="Z637">
        <f t="shared" si="64"/>
        <v>2</v>
      </c>
      <c r="AA637">
        <v>6</v>
      </c>
      <c r="AB637">
        <f t="shared" si="61"/>
        <v>6206</v>
      </c>
      <c r="AC637">
        <f t="shared" si="62"/>
        <v>3834</v>
      </c>
      <c r="AD637">
        <f t="shared" si="65"/>
        <v>23004</v>
      </c>
      <c r="AE637" s="78">
        <v>2250</v>
      </c>
    </row>
    <row r="638" ht="15" spans="25:31">
      <c r="Y638">
        <f t="shared" si="66"/>
        <v>6</v>
      </c>
      <c r="Z638">
        <f t="shared" si="64"/>
        <v>2</v>
      </c>
      <c r="AA638">
        <v>7</v>
      </c>
      <c r="AB638">
        <f t="shared" si="61"/>
        <v>6207</v>
      </c>
      <c r="AC638">
        <f t="shared" si="62"/>
        <v>3834</v>
      </c>
      <c r="AD638">
        <f t="shared" si="65"/>
        <v>26838</v>
      </c>
      <c r="AE638" s="78">
        <v>2550</v>
      </c>
    </row>
    <row r="639" ht="15" spans="25:31">
      <c r="Y639">
        <f t="shared" si="66"/>
        <v>6</v>
      </c>
      <c r="Z639">
        <f t="shared" si="64"/>
        <v>2</v>
      </c>
      <c r="AA639">
        <v>8</v>
      </c>
      <c r="AB639">
        <f t="shared" si="61"/>
        <v>6208</v>
      </c>
      <c r="AC639">
        <f t="shared" si="62"/>
        <v>3834</v>
      </c>
      <c r="AD639">
        <f t="shared" si="65"/>
        <v>30672</v>
      </c>
      <c r="AE639" s="78">
        <v>2850</v>
      </c>
    </row>
    <row r="640" ht="15" spans="25:31">
      <c r="Y640">
        <f t="shared" si="66"/>
        <v>6</v>
      </c>
      <c r="Z640">
        <f t="shared" si="64"/>
        <v>2</v>
      </c>
      <c r="AA640">
        <v>9</v>
      </c>
      <c r="AB640">
        <f t="shared" si="61"/>
        <v>6209</v>
      </c>
      <c r="AC640">
        <f t="shared" si="62"/>
        <v>3834</v>
      </c>
      <c r="AD640">
        <f t="shared" si="65"/>
        <v>34506</v>
      </c>
      <c r="AE640" s="78">
        <v>3150</v>
      </c>
    </row>
    <row r="641" ht="15" spans="25:31">
      <c r="Y641">
        <f t="shared" si="66"/>
        <v>6</v>
      </c>
      <c r="Z641">
        <f t="shared" si="64"/>
        <v>2</v>
      </c>
      <c r="AA641">
        <v>10</v>
      </c>
      <c r="AB641">
        <f t="shared" si="61"/>
        <v>6210</v>
      </c>
      <c r="AC641">
        <f t="shared" si="62"/>
        <v>3834</v>
      </c>
      <c r="AD641">
        <f t="shared" si="65"/>
        <v>38340</v>
      </c>
      <c r="AE641" s="78">
        <v>3450</v>
      </c>
    </row>
    <row r="642" ht="15" spans="25:31">
      <c r="Y642">
        <f t="shared" si="66"/>
        <v>6</v>
      </c>
      <c r="Z642">
        <f t="shared" si="64"/>
        <v>2</v>
      </c>
      <c r="AA642">
        <v>11</v>
      </c>
      <c r="AB642">
        <f t="shared" si="61"/>
        <v>6211</v>
      </c>
      <c r="AC642">
        <f t="shared" si="62"/>
        <v>3834</v>
      </c>
      <c r="AD642">
        <f t="shared" si="65"/>
        <v>42174</v>
      </c>
      <c r="AE642" s="78">
        <v>4050</v>
      </c>
    </row>
    <row r="643" ht="15" spans="25:31">
      <c r="Y643">
        <f t="shared" si="66"/>
        <v>6</v>
      </c>
      <c r="Z643">
        <f t="shared" si="64"/>
        <v>2</v>
      </c>
      <c r="AA643">
        <v>12</v>
      </c>
      <c r="AB643">
        <f t="shared" ref="AB643:AB706" si="67">Y643*1000+Z643*100+AA643</f>
        <v>6212</v>
      </c>
      <c r="AC643">
        <f t="shared" si="62"/>
        <v>3834</v>
      </c>
      <c r="AD643">
        <f t="shared" si="65"/>
        <v>46008</v>
      </c>
      <c r="AE643" s="78">
        <v>4650</v>
      </c>
    </row>
    <row r="644" ht="15" spans="25:31">
      <c r="Y644">
        <f t="shared" si="66"/>
        <v>6</v>
      </c>
      <c r="Z644">
        <f t="shared" si="64"/>
        <v>2</v>
      </c>
      <c r="AA644">
        <v>13</v>
      </c>
      <c r="AB644">
        <f t="shared" si="67"/>
        <v>6213</v>
      </c>
      <c r="AC644">
        <f t="shared" ref="AC644:AC707" si="68">AC643</f>
        <v>3834</v>
      </c>
      <c r="AD644">
        <f t="shared" si="65"/>
        <v>49842</v>
      </c>
      <c r="AE644" s="78">
        <v>5250</v>
      </c>
    </row>
    <row r="645" ht="15" spans="25:31">
      <c r="Y645">
        <f t="shared" si="66"/>
        <v>6</v>
      </c>
      <c r="Z645">
        <f t="shared" si="64"/>
        <v>2</v>
      </c>
      <c r="AA645">
        <v>14</v>
      </c>
      <c r="AB645">
        <f t="shared" si="67"/>
        <v>6214</v>
      </c>
      <c r="AC645">
        <f t="shared" si="68"/>
        <v>3834</v>
      </c>
      <c r="AD645">
        <f t="shared" si="65"/>
        <v>53676</v>
      </c>
      <c r="AE645" s="78">
        <v>5850</v>
      </c>
    </row>
    <row r="646" ht="15" spans="25:31">
      <c r="Y646">
        <f t="shared" si="66"/>
        <v>6</v>
      </c>
      <c r="Z646">
        <f t="shared" si="64"/>
        <v>2</v>
      </c>
      <c r="AA646">
        <v>15</v>
      </c>
      <c r="AB646">
        <f t="shared" si="67"/>
        <v>6215</v>
      </c>
      <c r="AC646">
        <f t="shared" si="68"/>
        <v>3834</v>
      </c>
      <c r="AD646">
        <f t="shared" si="65"/>
        <v>57510</v>
      </c>
      <c r="AE646" s="78">
        <v>6450</v>
      </c>
    </row>
    <row r="647" ht="15" spans="25:31">
      <c r="Y647">
        <f t="shared" si="66"/>
        <v>6</v>
      </c>
      <c r="Z647">
        <f t="shared" si="64"/>
        <v>2</v>
      </c>
      <c r="AA647">
        <v>16</v>
      </c>
      <c r="AB647">
        <f t="shared" si="67"/>
        <v>6216</v>
      </c>
      <c r="AC647">
        <f t="shared" si="68"/>
        <v>3834</v>
      </c>
      <c r="AD647">
        <f t="shared" si="65"/>
        <v>61344</v>
      </c>
      <c r="AE647" s="78">
        <v>7050</v>
      </c>
    </row>
    <row r="648" ht="15" spans="25:31">
      <c r="Y648">
        <f t="shared" si="66"/>
        <v>6</v>
      </c>
      <c r="Z648">
        <f t="shared" si="64"/>
        <v>2</v>
      </c>
      <c r="AA648">
        <v>17</v>
      </c>
      <c r="AB648">
        <f t="shared" si="67"/>
        <v>6217</v>
      </c>
      <c r="AC648">
        <f t="shared" si="68"/>
        <v>3834</v>
      </c>
      <c r="AD648">
        <f t="shared" si="65"/>
        <v>65178</v>
      </c>
      <c r="AE648" s="78">
        <v>7650</v>
      </c>
    </row>
    <row r="649" ht="15" spans="25:31">
      <c r="Y649">
        <f t="shared" si="66"/>
        <v>6</v>
      </c>
      <c r="Z649">
        <f t="shared" si="64"/>
        <v>2</v>
      </c>
      <c r="AA649">
        <v>18</v>
      </c>
      <c r="AB649">
        <f t="shared" si="67"/>
        <v>6218</v>
      </c>
      <c r="AC649">
        <f t="shared" si="68"/>
        <v>3834</v>
      </c>
      <c r="AD649">
        <f t="shared" si="65"/>
        <v>69012</v>
      </c>
      <c r="AE649" s="78">
        <v>8250</v>
      </c>
    </row>
    <row r="650" ht="15" spans="25:31">
      <c r="Y650">
        <f t="shared" si="66"/>
        <v>6</v>
      </c>
      <c r="Z650">
        <f t="shared" si="64"/>
        <v>2</v>
      </c>
      <c r="AA650">
        <v>19</v>
      </c>
      <c r="AB650">
        <f t="shared" si="67"/>
        <v>6219</v>
      </c>
      <c r="AC650">
        <f t="shared" si="68"/>
        <v>3834</v>
      </c>
      <c r="AD650">
        <f t="shared" si="65"/>
        <v>72846</v>
      </c>
      <c r="AE650" s="78">
        <v>8850</v>
      </c>
    </row>
    <row r="651" ht="15" spans="25:31">
      <c r="Y651">
        <f t="shared" si="66"/>
        <v>6</v>
      </c>
      <c r="Z651">
        <f t="shared" si="64"/>
        <v>2</v>
      </c>
      <c r="AA651">
        <v>20</v>
      </c>
      <c r="AB651">
        <f t="shared" si="67"/>
        <v>6220</v>
      </c>
      <c r="AC651">
        <f t="shared" si="68"/>
        <v>3834</v>
      </c>
      <c r="AD651">
        <f t="shared" si="65"/>
        <v>76680</v>
      </c>
      <c r="AE651" s="78">
        <v>9450</v>
      </c>
    </row>
    <row r="652" ht="15" spans="25:31">
      <c r="Y652">
        <f t="shared" si="66"/>
        <v>6</v>
      </c>
      <c r="Z652">
        <f t="shared" si="64"/>
        <v>2</v>
      </c>
      <c r="AA652">
        <v>21</v>
      </c>
      <c r="AB652">
        <f t="shared" si="67"/>
        <v>6221</v>
      </c>
      <c r="AC652">
        <f t="shared" si="68"/>
        <v>3834</v>
      </c>
      <c r="AD652">
        <f t="shared" si="65"/>
        <v>80514</v>
      </c>
      <c r="AE652" s="78">
        <v>10650</v>
      </c>
    </row>
    <row r="653" ht="15" spans="25:31">
      <c r="Y653">
        <f t="shared" si="66"/>
        <v>6</v>
      </c>
      <c r="Z653">
        <f t="shared" si="64"/>
        <v>2</v>
      </c>
      <c r="AA653">
        <v>22</v>
      </c>
      <c r="AB653">
        <f t="shared" si="67"/>
        <v>6222</v>
      </c>
      <c r="AC653">
        <f t="shared" si="68"/>
        <v>3834</v>
      </c>
      <c r="AD653">
        <f t="shared" si="65"/>
        <v>84348</v>
      </c>
      <c r="AE653" s="78">
        <v>11850</v>
      </c>
    </row>
    <row r="654" ht="15" spans="25:31">
      <c r="Y654">
        <f t="shared" si="66"/>
        <v>6</v>
      </c>
      <c r="Z654">
        <f t="shared" si="64"/>
        <v>2</v>
      </c>
      <c r="AA654">
        <v>23</v>
      </c>
      <c r="AB654">
        <f t="shared" si="67"/>
        <v>6223</v>
      </c>
      <c r="AC654">
        <f t="shared" si="68"/>
        <v>3834</v>
      </c>
      <c r="AD654">
        <f t="shared" si="65"/>
        <v>88182</v>
      </c>
      <c r="AE654" s="78">
        <v>13050</v>
      </c>
    </row>
    <row r="655" ht="15" spans="25:31">
      <c r="Y655">
        <f t="shared" si="66"/>
        <v>6</v>
      </c>
      <c r="Z655">
        <f t="shared" si="64"/>
        <v>2</v>
      </c>
      <c r="AA655">
        <v>24</v>
      </c>
      <c r="AB655">
        <f t="shared" si="67"/>
        <v>6224</v>
      </c>
      <c r="AC655">
        <f t="shared" si="68"/>
        <v>3834</v>
      </c>
      <c r="AD655">
        <f t="shared" si="65"/>
        <v>92016</v>
      </c>
      <c r="AE655" s="78">
        <v>14250</v>
      </c>
    </row>
    <row r="656" ht="15" spans="25:31">
      <c r="Y656">
        <f t="shared" si="66"/>
        <v>6</v>
      </c>
      <c r="Z656">
        <f t="shared" si="64"/>
        <v>2</v>
      </c>
      <c r="AA656">
        <v>25</v>
      </c>
      <c r="AB656">
        <f t="shared" si="67"/>
        <v>6225</v>
      </c>
      <c r="AC656">
        <f t="shared" si="68"/>
        <v>3834</v>
      </c>
      <c r="AD656">
        <f t="shared" si="65"/>
        <v>95850</v>
      </c>
      <c r="AE656" s="78">
        <v>15450</v>
      </c>
    </row>
    <row r="657" ht="15" spans="25:31">
      <c r="Y657">
        <f t="shared" si="66"/>
        <v>6</v>
      </c>
      <c r="Z657">
        <f t="shared" si="64"/>
        <v>2</v>
      </c>
      <c r="AA657">
        <v>26</v>
      </c>
      <c r="AB657">
        <f t="shared" si="67"/>
        <v>6226</v>
      </c>
      <c r="AC657">
        <f t="shared" si="68"/>
        <v>3834</v>
      </c>
      <c r="AD657">
        <f t="shared" si="65"/>
        <v>99684</v>
      </c>
      <c r="AE657" s="78">
        <v>16650</v>
      </c>
    </row>
    <row r="658" ht="15" spans="25:31">
      <c r="Y658">
        <f t="shared" si="66"/>
        <v>6</v>
      </c>
      <c r="Z658">
        <f t="shared" si="64"/>
        <v>2</v>
      </c>
      <c r="AA658">
        <v>27</v>
      </c>
      <c r="AB658">
        <f t="shared" si="67"/>
        <v>6227</v>
      </c>
      <c r="AC658">
        <f t="shared" si="68"/>
        <v>3834</v>
      </c>
      <c r="AD658">
        <f t="shared" si="65"/>
        <v>103518</v>
      </c>
      <c r="AE658" s="78">
        <v>17850</v>
      </c>
    </row>
    <row r="659" ht="15" spans="25:31">
      <c r="Y659">
        <f t="shared" si="66"/>
        <v>6</v>
      </c>
      <c r="Z659">
        <f t="shared" si="64"/>
        <v>2</v>
      </c>
      <c r="AA659">
        <v>28</v>
      </c>
      <c r="AB659">
        <f t="shared" si="67"/>
        <v>6228</v>
      </c>
      <c r="AC659">
        <f t="shared" si="68"/>
        <v>3834</v>
      </c>
      <c r="AD659">
        <f t="shared" si="65"/>
        <v>107352</v>
      </c>
      <c r="AE659" s="78">
        <v>19050</v>
      </c>
    </row>
    <row r="660" ht="15" spans="25:31">
      <c r="Y660">
        <f t="shared" si="66"/>
        <v>6</v>
      </c>
      <c r="Z660">
        <f t="shared" si="64"/>
        <v>2</v>
      </c>
      <c r="AA660">
        <v>29</v>
      </c>
      <c r="AB660">
        <f t="shared" si="67"/>
        <v>6229</v>
      </c>
      <c r="AC660">
        <f t="shared" si="68"/>
        <v>3834</v>
      </c>
      <c r="AD660">
        <f t="shared" si="65"/>
        <v>111186</v>
      </c>
      <c r="AE660" s="78">
        <v>20250</v>
      </c>
    </row>
    <row r="661" ht="15" spans="25:31">
      <c r="Y661">
        <f t="shared" si="66"/>
        <v>6</v>
      </c>
      <c r="Z661">
        <f t="shared" si="64"/>
        <v>2</v>
      </c>
      <c r="AA661">
        <v>30</v>
      </c>
      <c r="AB661">
        <f t="shared" si="67"/>
        <v>6230</v>
      </c>
      <c r="AC661">
        <f t="shared" si="68"/>
        <v>3834</v>
      </c>
      <c r="AD661">
        <f t="shared" si="65"/>
        <v>115020</v>
      </c>
      <c r="AE661" s="78">
        <v>21450</v>
      </c>
    </row>
    <row r="662" spans="25:31">
      <c r="Y662">
        <f t="shared" si="66"/>
        <v>6</v>
      </c>
      <c r="Z662">
        <f t="shared" si="64"/>
        <v>3</v>
      </c>
      <c r="AA662">
        <v>1</v>
      </c>
      <c r="AB662">
        <f t="shared" si="67"/>
        <v>6301</v>
      </c>
      <c r="AC662">
        <f t="shared" si="68"/>
        <v>3834</v>
      </c>
      <c r="AD662">
        <f>AC662</f>
        <v>3834</v>
      </c>
      <c r="AE662">
        <v>1000</v>
      </c>
    </row>
    <row r="663" spans="25:31">
      <c r="Y663">
        <f t="shared" si="66"/>
        <v>6</v>
      </c>
      <c r="Z663">
        <f t="shared" si="64"/>
        <v>3</v>
      </c>
      <c r="AA663">
        <v>2</v>
      </c>
      <c r="AB663">
        <f t="shared" si="67"/>
        <v>6302</v>
      </c>
      <c r="AC663">
        <f t="shared" si="68"/>
        <v>3834</v>
      </c>
      <c r="AD663">
        <f t="shared" ref="AD663:AD691" si="69">AD662+AC663</f>
        <v>7668</v>
      </c>
      <c r="AE663">
        <v>1400</v>
      </c>
    </row>
    <row r="664" spans="25:31">
      <c r="Y664">
        <f t="shared" si="66"/>
        <v>6</v>
      </c>
      <c r="Z664">
        <f t="shared" si="64"/>
        <v>3</v>
      </c>
      <c r="AA664">
        <v>3</v>
      </c>
      <c r="AB664">
        <f t="shared" si="67"/>
        <v>6303</v>
      </c>
      <c r="AC664">
        <f t="shared" si="68"/>
        <v>3834</v>
      </c>
      <c r="AD664">
        <f t="shared" si="69"/>
        <v>11502</v>
      </c>
      <c r="AE664">
        <v>1800</v>
      </c>
    </row>
    <row r="665" spans="25:31">
      <c r="Y665">
        <f t="shared" si="66"/>
        <v>6</v>
      </c>
      <c r="Z665">
        <f t="shared" si="64"/>
        <v>3</v>
      </c>
      <c r="AA665">
        <v>4</v>
      </c>
      <c r="AB665">
        <f t="shared" si="67"/>
        <v>6304</v>
      </c>
      <c r="AC665">
        <f t="shared" si="68"/>
        <v>3834</v>
      </c>
      <c r="AD665">
        <f t="shared" si="69"/>
        <v>15336</v>
      </c>
      <c r="AE665">
        <v>2200</v>
      </c>
    </row>
    <row r="666" spans="25:31">
      <c r="Y666">
        <f t="shared" si="66"/>
        <v>6</v>
      </c>
      <c r="Z666">
        <f t="shared" si="64"/>
        <v>3</v>
      </c>
      <c r="AA666">
        <v>5</v>
      </c>
      <c r="AB666">
        <f t="shared" si="67"/>
        <v>6305</v>
      </c>
      <c r="AC666">
        <f t="shared" si="68"/>
        <v>3834</v>
      </c>
      <c r="AD666">
        <f t="shared" si="69"/>
        <v>19170</v>
      </c>
      <c r="AE666">
        <v>2600</v>
      </c>
    </row>
    <row r="667" spans="25:31">
      <c r="Y667">
        <f t="shared" si="66"/>
        <v>6</v>
      </c>
      <c r="Z667">
        <f t="shared" si="64"/>
        <v>3</v>
      </c>
      <c r="AA667">
        <v>6</v>
      </c>
      <c r="AB667">
        <f t="shared" si="67"/>
        <v>6306</v>
      </c>
      <c r="AC667">
        <f t="shared" si="68"/>
        <v>3834</v>
      </c>
      <c r="AD667">
        <f t="shared" si="69"/>
        <v>23004</v>
      </c>
      <c r="AE667">
        <v>3000</v>
      </c>
    </row>
    <row r="668" spans="25:31">
      <c r="Y668">
        <f t="shared" si="66"/>
        <v>6</v>
      </c>
      <c r="Z668">
        <f t="shared" si="64"/>
        <v>3</v>
      </c>
      <c r="AA668">
        <v>7</v>
      </c>
      <c r="AB668">
        <f t="shared" si="67"/>
        <v>6307</v>
      </c>
      <c r="AC668">
        <f t="shared" si="68"/>
        <v>3834</v>
      </c>
      <c r="AD668">
        <f t="shared" si="69"/>
        <v>26838</v>
      </c>
      <c r="AE668">
        <v>3400</v>
      </c>
    </row>
    <row r="669" spans="25:31">
      <c r="Y669">
        <f t="shared" si="66"/>
        <v>6</v>
      </c>
      <c r="Z669">
        <f t="shared" si="64"/>
        <v>3</v>
      </c>
      <c r="AA669">
        <v>8</v>
      </c>
      <c r="AB669">
        <f t="shared" si="67"/>
        <v>6308</v>
      </c>
      <c r="AC669">
        <f t="shared" si="68"/>
        <v>3834</v>
      </c>
      <c r="AD669">
        <f t="shared" si="69"/>
        <v>30672</v>
      </c>
      <c r="AE669">
        <v>3800</v>
      </c>
    </row>
    <row r="670" spans="25:31">
      <c r="Y670">
        <f t="shared" si="66"/>
        <v>6</v>
      </c>
      <c r="Z670">
        <f t="shared" si="64"/>
        <v>3</v>
      </c>
      <c r="AA670">
        <v>9</v>
      </c>
      <c r="AB670">
        <f t="shared" si="67"/>
        <v>6309</v>
      </c>
      <c r="AC670">
        <f t="shared" si="68"/>
        <v>3834</v>
      </c>
      <c r="AD670">
        <f t="shared" si="69"/>
        <v>34506</v>
      </c>
      <c r="AE670">
        <v>4200</v>
      </c>
    </row>
    <row r="671" spans="25:31">
      <c r="Y671">
        <f t="shared" si="66"/>
        <v>6</v>
      </c>
      <c r="Z671">
        <f t="shared" si="64"/>
        <v>3</v>
      </c>
      <c r="AA671">
        <v>10</v>
      </c>
      <c r="AB671">
        <f t="shared" si="67"/>
        <v>6310</v>
      </c>
      <c r="AC671">
        <f t="shared" si="68"/>
        <v>3834</v>
      </c>
      <c r="AD671">
        <f t="shared" si="69"/>
        <v>38340</v>
      </c>
      <c r="AE671">
        <v>4600</v>
      </c>
    </row>
    <row r="672" spans="25:31">
      <c r="Y672">
        <f t="shared" si="66"/>
        <v>6</v>
      </c>
      <c r="Z672">
        <f t="shared" si="64"/>
        <v>3</v>
      </c>
      <c r="AA672">
        <v>11</v>
      </c>
      <c r="AB672">
        <f t="shared" si="67"/>
        <v>6311</v>
      </c>
      <c r="AC672">
        <f t="shared" si="68"/>
        <v>3834</v>
      </c>
      <c r="AD672">
        <f t="shared" si="69"/>
        <v>42174</v>
      </c>
      <c r="AE672">
        <v>5400</v>
      </c>
    </row>
    <row r="673" spans="25:31">
      <c r="Y673">
        <f t="shared" si="66"/>
        <v>6</v>
      </c>
      <c r="Z673">
        <f t="shared" si="64"/>
        <v>3</v>
      </c>
      <c r="AA673">
        <v>12</v>
      </c>
      <c r="AB673">
        <f t="shared" si="67"/>
        <v>6312</v>
      </c>
      <c r="AC673">
        <f t="shared" si="68"/>
        <v>3834</v>
      </c>
      <c r="AD673">
        <f t="shared" si="69"/>
        <v>46008</v>
      </c>
      <c r="AE673">
        <v>6200</v>
      </c>
    </row>
    <row r="674" spans="25:31">
      <c r="Y674">
        <f t="shared" si="66"/>
        <v>6</v>
      </c>
      <c r="Z674">
        <f t="shared" si="64"/>
        <v>3</v>
      </c>
      <c r="AA674">
        <v>13</v>
      </c>
      <c r="AB674">
        <f t="shared" si="67"/>
        <v>6313</v>
      </c>
      <c r="AC674">
        <f t="shared" si="68"/>
        <v>3834</v>
      </c>
      <c r="AD674">
        <f t="shared" si="69"/>
        <v>49842</v>
      </c>
      <c r="AE674">
        <v>7000</v>
      </c>
    </row>
    <row r="675" spans="25:31">
      <c r="Y675">
        <f t="shared" si="66"/>
        <v>6</v>
      </c>
      <c r="Z675">
        <f t="shared" si="64"/>
        <v>3</v>
      </c>
      <c r="AA675">
        <v>14</v>
      </c>
      <c r="AB675">
        <f t="shared" si="67"/>
        <v>6314</v>
      </c>
      <c r="AC675">
        <f t="shared" si="68"/>
        <v>3834</v>
      </c>
      <c r="AD675">
        <f t="shared" si="69"/>
        <v>53676</v>
      </c>
      <c r="AE675">
        <v>7800</v>
      </c>
    </row>
    <row r="676" spans="25:31">
      <c r="Y676">
        <f t="shared" si="66"/>
        <v>6</v>
      </c>
      <c r="Z676">
        <f t="shared" si="64"/>
        <v>3</v>
      </c>
      <c r="AA676">
        <v>15</v>
      </c>
      <c r="AB676">
        <f t="shared" si="67"/>
        <v>6315</v>
      </c>
      <c r="AC676">
        <f t="shared" si="68"/>
        <v>3834</v>
      </c>
      <c r="AD676">
        <f t="shared" si="69"/>
        <v>57510</v>
      </c>
      <c r="AE676">
        <v>8600</v>
      </c>
    </row>
    <row r="677" spans="25:31">
      <c r="Y677">
        <f t="shared" si="66"/>
        <v>6</v>
      </c>
      <c r="Z677">
        <f t="shared" si="64"/>
        <v>3</v>
      </c>
      <c r="AA677">
        <v>16</v>
      </c>
      <c r="AB677">
        <f t="shared" si="67"/>
        <v>6316</v>
      </c>
      <c r="AC677">
        <f t="shared" si="68"/>
        <v>3834</v>
      </c>
      <c r="AD677">
        <f t="shared" si="69"/>
        <v>61344</v>
      </c>
      <c r="AE677">
        <v>9400</v>
      </c>
    </row>
    <row r="678" spans="25:31">
      <c r="Y678">
        <f t="shared" si="66"/>
        <v>6</v>
      </c>
      <c r="Z678">
        <f t="shared" si="64"/>
        <v>3</v>
      </c>
      <c r="AA678">
        <v>17</v>
      </c>
      <c r="AB678">
        <f t="shared" si="67"/>
        <v>6317</v>
      </c>
      <c r="AC678">
        <f t="shared" si="68"/>
        <v>3834</v>
      </c>
      <c r="AD678">
        <f t="shared" si="69"/>
        <v>65178</v>
      </c>
      <c r="AE678">
        <v>10200</v>
      </c>
    </row>
    <row r="679" spans="25:31">
      <c r="Y679">
        <f t="shared" si="66"/>
        <v>6</v>
      </c>
      <c r="Z679">
        <f t="shared" si="64"/>
        <v>3</v>
      </c>
      <c r="AA679">
        <v>18</v>
      </c>
      <c r="AB679">
        <f t="shared" si="67"/>
        <v>6318</v>
      </c>
      <c r="AC679">
        <f t="shared" si="68"/>
        <v>3834</v>
      </c>
      <c r="AD679">
        <f t="shared" si="69"/>
        <v>69012</v>
      </c>
      <c r="AE679">
        <v>11000</v>
      </c>
    </row>
    <row r="680" spans="25:31">
      <c r="Y680">
        <f t="shared" si="66"/>
        <v>6</v>
      </c>
      <c r="Z680">
        <f t="shared" si="64"/>
        <v>3</v>
      </c>
      <c r="AA680">
        <v>19</v>
      </c>
      <c r="AB680">
        <f t="shared" si="67"/>
        <v>6319</v>
      </c>
      <c r="AC680">
        <f t="shared" si="68"/>
        <v>3834</v>
      </c>
      <c r="AD680">
        <f t="shared" si="69"/>
        <v>72846</v>
      </c>
      <c r="AE680">
        <v>11800</v>
      </c>
    </row>
    <row r="681" spans="25:31">
      <c r="Y681">
        <f t="shared" si="66"/>
        <v>6</v>
      </c>
      <c r="Z681">
        <f t="shared" si="64"/>
        <v>3</v>
      </c>
      <c r="AA681">
        <v>20</v>
      </c>
      <c r="AB681">
        <f t="shared" si="67"/>
        <v>6320</v>
      </c>
      <c r="AC681">
        <f t="shared" si="68"/>
        <v>3834</v>
      </c>
      <c r="AD681">
        <f t="shared" si="69"/>
        <v>76680</v>
      </c>
      <c r="AE681">
        <v>12600</v>
      </c>
    </row>
    <row r="682" spans="25:31">
      <c r="Y682">
        <f t="shared" si="66"/>
        <v>6</v>
      </c>
      <c r="Z682">
        <f t="shared" si="64"/>
        <v>3</v>
      </c>
      <c r="AA682">
        <v>21</v>
      </c>
      <c r="AB682">
        <f t="shared" si="67"/>
        <v>6321</v>
      </c>
      <c r="AC682">
        <f t="shared" si="68"/>
        <v>3834</v>
      </c>
      <c r="AD682">
        <f t="shared" si="69"/>
        <v>80514</v>
      </c>
      <c r="AE682">
        <v>14200</v>
      </c>
    </row>
    <row r="683" spans="25:31">
      <c r="Y683">
        <f t="shared" si="66"/>
        <v>6</v>
      </c>
      <c r="Z683">
        <f t="shared" si="64"/>
        <v>3</v>
      </c>
      <c r="AA683">
        <v>22</v>
      </c>
      <c r="AB683">
        <f t="shared" si="67"/>
        <v>6322</v>
      </c>
      <c r="AC683">
        <f t="shared" si="68"/>
        <v>3834</v>
      </c>
      <c r="AD683">
        <f t="shared" si="69"/>
        <v>84348</v>
      </c>
      <c r="AE683">
        <v>15800</v>
      </c>
    </row>
    <row r="684" spans="25:31">
      <c r="Y684">
        <f t="shared" si="66"/>
        <v>6</v>
      </c>
      <c r="Z684">
        <f t="shared" si="64"/>
        <v>3</v>
      </c>
      <c r="AA684">
        <v>23</v>
      </c>
      <c r="AB684">
        <f t="shared" si="67"/>
        <v>6323</v>
      </c>
      <c r="AC684">
        <f t="shared" si="68"/>
        <v>3834</v>
      </c>
      <c r="AD684">
        <f t="shared" si="69"/>
        <v>88182</v>
      </c>
      <c r="AE684">
        <v>17400</v>
      </c>
    </row>
    <row r="685" spans="25:31">
      <c r="Y685">
        <f t="shared" si="66"/>
        <v>6</v>
      </c>
      <c r="Z685">
        <f t="shared" si="64"/>
        <v>3</v>
      </c>
      <c r="AA685">
        <v>24</v>
      </c>
      <c r="AB685">
        <f t="shared" si="67"/>
        <v>6324</v>
      </c>
      <c r="AC685">
        <f t="shared" si="68"/>
        <v>3834</v>
      </c>
      <c r="AD685">
        <f t="shared" si="69"/>
        <v>92016</v>
      </c>
      <c r="AE685">
        <v>19000</v>
      </c>
    </row>
    <row r="686" spans="25:31">
      <c r="Y686">
        <f t="shared" si="66"/>
        <v>6</v>
      </c>
      <c r="Z686">
        <f t="shared" si="64"/>
        <v>3</v>
      </c>
      <c r="AA686">
        <v>25</v>
      </c>
      <c r="AB686">
        <f t="shared" si="67"/>
        <v>6325</v>
      </c>
      <c r="AC686">
        <f t="shared" si="68"/>
        <v>3834</v>
      </c>
      <c r="AD686">
        <f t="shared" si="69"/>
        <v>95850</v>
      </c>
      <c r="AE686">
        <v>20600</v>
      </c>
    </row>
    <row r="687" spans="25:31">
      <c r="Y687">
        <f t="shared" si="66"/>
        <v>6</v>
      </c>
      <c r="Z687">
        <f t="shared" si="64"/>
        <v>3</v>
      </c>
      <c r="AA687">
        <v>26</v>
      </c>
      <c r="AB687">
        <f t="shared" si="67"/>
        <v>6326</v>
      </c>
      <c r="AC687">
        <f t="shared" si="68"/>
        <v>3834</v>
      </c>
      <c r="AD687">
        <f t="shared" si="69"/>
        <v>99684</v>
      </c>
      <c r="AE687">
        <v>22200</v>
      </c>
    </row>
    <row r="688" spans="25:31">
      <c r="Y688">
        <f t="shared" si="66"/>
        <v>6</v>
      </c>
      <c r="Z688">
        <f t="shared" si="64"/>
        <v>3</v>
      </c>
      <c r="AA688">
        <v>27</v>
      </c>
      <c r="AB688">
        <f t="shared" si="67"/>
        <v>6327</v>
      </c>
      <c r="AC688">
        <f t="shared" si="68"/>
        <v>3834</v>
      </c>
      <c r="AD688">
        <f t="shared" si="69"/>
        <v>103518</v>
      </c>
      <c r="AE688">
        <v>23800</v>
      </c>
    </row>
    <row r="689" spans="25:31">
      <c r="Y689">
        <f t="shared" si="66"/>
        <v>6</v>
      </c>
      <c r="Z689">
        <f t="shared" si="64"/>
        <v>3</v>
      </c>
      <c r="AA689">
        <v>28</v>
      </c>
      <c r="AB689">
        <f t="shared" si="67"/>
        <v>6328</v>
      </c>
      <c r="AC689">
        <f t="shared" si="68"/>
        <v>3834</v>
      </c>
      <c r="AD689">
        <f t="shared" si="69"/>
        <v>107352</v>
      </c>
      <c r="AE689">
        <v>25400</v>
      </c>
    </row>
    <row r="690" spans="25:31">
      <c r="Y690">
        <f t="shared" si="66"/>
        <v>6</v>
      </c>
      <c r="Z690">
        <f t="shared" si="64"/>
        <v>3</v>
      </c>
      <c r="AA690">
        <v>29</v>
      </c>
      <c r="AB690">
        <f t="shared" si="67"/>
        <v>6329</v>
      </c>
      <c r="AC690">
        <f t="shared" si="68"/>
        <v>3834</v>
      </c>
      <c r="AD690">
        <f t="shared" si="69"/>
        <v>111186</v>
      </c>
      <c r="AE690">
        <v>27000</v>
      </c>
    </row>
    <row r="691" spans="25:31">
      <c r="Y691">
        <f t="shared" si="66"/>
        <v>6</v>
      </c>
      <c r="Z691">
        <f t="shared" si="64"/>
        <v>3</v>
      </c>
      <c r="AA691">
        <v>30</v>
      </c>
      <c r="AB691">
        <f t="shared" si="67"/>
        <v>6330</v>
      </c>
      <c r="AC691">
        <f t="shared" si="68"/>
        <v>3834</v>
      </c>
      <c r="AD691">
        <f t="shared" si="69"/>
        <v>115020</v>
      </c>
      <c r="AE691">
        <v>28600</v>
      </c>
    </row>
    <row r="692" spans="25:31">
      <c r="Y692">
        <f t="shared" si="66"/>
        <v>6</v>
      </c>
      <c r="Z692">
        <f t="shared" si="64"/>
        <v>4</v>
      </c>
      <c r="AA692">
        <v>1</v>
      </c>
      <c r="AB692">
        <f t="shared" si="67"/>
        <v>6401</v>
      </c>
      <c r="AC692">
        <f t="shared" si="68"/>
        <v>3834</v>
      </c>
      <c r="AD692">
        <f>AC692</f>
        <v>3834</v>
      </c>
      <c r="AE692">
        <v>1500</v>
      </c>
    </row>
    <row r="693" spans="25:31">
      <c r="Y693">
        <f t="shared" si="66"/>
        <v>6</v>
      </c>
      <c r="Z693">
        <f t="shared" si="64"/>
        <v>4</v>
      </c>
      <c r="AA693">
        <v>2</v>
      </c>
      <c r="AB693">
        <f t="shared" si="67"/>
        <v>6402</v>
      </c>
      <c r="AC693">
        <f t="shared" si="68"/>
        <v>3834</v>
      </c>
      <c r="AD693">
        <f t="shared" ref="AD693:AD721" si="70">AD692+AC693</f>
        <v>7668</v>
      </c>
      <c r="AE693">
        <v>2100</v>
      </c>
    </row>
    <row r="694" spans="25:31">
      <c r="Y694">
        <f t="shared" si="66"/>
        <v>6</v>
      </c>
      <c r="Z694">
        <f t="shared" si="64"/>
        <v>4</v>
      </c>
      <c r="AA694">
        <v>3</v>
      </c>
      <c r="AB694">
        <f t="shared" si="67"/>
        <v>6403</v>
      </c>
      <c r="AC694">
        <f t="shared" si="68"/>
        <v>3834</v>
      </c>
      <c r="AD694">
        <f t="shared" si="70"/>
        <v>11502</v>
      </c>
      <c r="AE694">
        <v>2700</v>
      </c>
    </row>
    <row r="695" spans="25:31">
      <c r="Y695">
        <f t="shared" si="66"/>
        <v>6</v>
      </c>
      <c r="Z695">
        <f t="shared" si="64"/>
        <v>4</v>
      </c>
      <c r="AA695">
        <v>4</v>
      </c>
      <c r="AB695">
        <f t="shared" si="67"/>
        <v>6404</v>
      </c>
      <c r="AC695">
        <f t="shared" si="68"/>
        <v>3834</v>
      </c>
      <c r="AD695">
        <f t="shared" si="70"/>
        <v>15336</v>
      </c>
      <c r="AE695">
        <v>3300</v>
      </c>
    </row>
    <row r="696" spans="25:31">
      <c r="Y696">
        <f t="shared" si="66"/>
        <v>6</v>
      </c>
      <c r="Z696">
        <f t="shared" ref="Z696:Z721" si="71">Z666+1</f>
        <v>4</v>
      </c>
      <c r="AA696">
        <v>5</v>
      </c>
      <c r="AB696">
        <f t="shared" si="67"/>
        <v>6405</v>
      </c>
      <c r="AC696">
        <f t="shared" si="68"/>
        <v>3834</v>
      </c>
      <c r="AD696">
        <f t="shared" si="70"/>
        <v>19170</v>
      </c>
      <c r="AE696">
        <v>3900</v>
      </c>
    </row>
    <row r="697" spans="25:31">
      <c r="Y697">
        <f t="shared" si="66"/>
        <v>6</v>
      </c>
      <c r="Z697">
        <f t="shared" si="71"/>
        <v>4</v>
      </c>
      <c r="AA697">
        <v>6</v>
      </c>
      <c r="AB697">
        <f t="shared" si="67"/>
        <v>6406</v>
      </c>
      <c r="AC697">
        <f t="shared" si="68"/>
        <v>3834</v>
      </c>
      <c r="AD697">
        <f t="shared" si="70"/>
        <v>23004</v>
      </c>
      <c r="AE697">
        <v>4500</v>
      </c>
    </row>
    <row r="698" spans="25:31">
      <c r="Y698">
        <f t="shared" si="66"/>
        <v>6</v>
      </c>
      <c r="Z698">
        <f t="shared" si="71"/>
        <v>4</v>
      </c>
      <c r="AA698">
        <v>7</v>
      </c>
      <c r="AB698">
        <f t="shared" si="67"/>
        <v>6407</v>
      </c>
      <c r="AC698">
        <f t="shared" si="68"/>
        <v>3834</v>
      </c>
      <c r="AD698">
        <f t="shared" si="70"/>
        <v>26838</v>
      </c>
      <c r="AE698">
        <v>5100</v>
      </c>
    </row>
    <row r="699" spans="25:31">
      <c r="Y699">
        <f t="shared" ref="Y699:Y762" si="72">Y579+1</f>
        <v>6</v>
      </c>
      <c r="Z699">
        <f t="shared" si="71"/>
        <v>4</v>
      </c>
      <c r="AA699">
        <v>8</v>
      </c>
      <c r="AB699">
        <f t="shared" si="67"/>
        <v>6408</v>
      </c>
      <c r="AC699">
        <f t="shared" si="68"/>
        <v>3834</v>
      </c>
      <c r="AD699">
        <f t="shared" si="70"/>
        <v>30672</v>
      </c>
      <c r="AE699">
        <v>5700</v>
      </c>
    </row>
    <row r="700" spans="25:31">
      <c r="Y700">
        <f t="shared" si="72"/>
        <v>6</v>
      </c>
      <c r="Z700">
        <f t="shared" si="71"/>
        <v>4</v>
      </c>
      <c r="AA700">
        <v>9</v>
      </c>
      <c r="AB700">
        <f t="shared" si="67"/>
        <v>6409</v>
      </c>
      <c r="AC700">
        <f t="shared" si="68"/>
        <v>3834</v>
      </c>
      <c r="AD700">
        <f t="shared" si="70"/>
        <v>34506</v>
      </c>
      <c r="AE700">
        <v>6300</v>
      </c>
    </row>
    <row r="701" spans="25:31">
      <c r="Y701">
        <f t="shared" si="72"/>
        <v>6</v>
      </c>
      <c r="Z701">
        <f t="shared" si="71"/>
        <v>4</v>
      </c>
      <c r="AA701">
        <v>10</v>
      </c>
      <c r="AB701">
        <f t="shared" si="67"/>
        <v>6410</v>
      </c>
      <c r="AC701">
        <f t="shared" si="68"/>
        <v>3834</v>
      </c>
      <c r="AD701">
        <f t="shared" si="70"/>
        <v>38340</v>
      </c>
      <c r="AE701">
        <v>6900</v>
      </c>
    </row>
    <row r="702" spans="25:31">
      <c r="Y702">
        <f t="shared" si="72"/>
        <v>6</v>
      </c>
      <c r="Z702">
        <f t="shared" si="71"/>
        <v>4</v>
      </c>
      <c r="AA702">
        <v>11</v>
      </c>
      <c r="AB702">
        <f t="shared" si="67"/>
        <v>6411</v>
      </c>
      <c r="AC702">
        <f t="shared" si="68"/>
        <v>3834</v>
      </c>
      <c r="AD702">
        <f t="shared" si="70"/>
        <v>42174</v>
      </c>
      <c r="AE702">
        <v>8100</v>
      </c>
    </row>
    <row r="703" spans="25:31">
      <c r="Y703">
        <f t="shared" si="72"/>
        <v>6</v>
      </c>
      <c r="Z703">
        <f t="shared" si="71"/>
        <v>4</v>
      </c>
      <c r="AA703">
        <v>12</v>
      </c>
      <c r="AB703">
        <f t="shared" si="67"/>
        <v>6412</v>
      </c>
      <c r="AC703">
        <f t="shared" si="68"/>
        <v>3834</v>
      </c>
      <c r="AD703">
        <f t="shared" si="70"/>
        <v>46008</v>
      </c>
      <c r="AE703">
        <v>9300</v>
      </c>
    </row>
    <row r="704" spans="25:31">
      <c r="Y704">
        <f t="shared" si="72"/>
        <v>6</v>
      </c>
      <c r="Z704">
        <f t="shared" si="71"/>
        <v>4</v>
      </c>
      <c r="AA704">
        <v>13</v>
      </c>
      <c r="AB704">
        <f t="shared" si="67"/>
        <v>6413</v>
      </c>
      <c r="AC704">
        <f t="shared" si="68"/>
        <v>3834</v>
      </c>
      <c r="AD704">
        <f t="shared" si="70"/>
        <v>49842</v>
      </c>
      <c r="AE704">
        <v>10500</v>
      </c>
    </row>
    <row r="705" spans="25:31">
      <c r="Y705">
        <f t="shared" si="72"/>
        <v>6</v>
      </c>
      <c r="Z705">
        <f t="shared" si="71"/>
        <v>4</v>
      </c>
      <c r="AA705">
        <v>14</v>
      </c>
      <c r="AB705">
        <f t="shared" si="67"/>
        <v>6414</v>
      </c>
      <c r="AC705">
        <f t="shared" si="68"/>
        <v>3834</v>
      </c>
      <c r="AD705">
        <f t="shared" si="70"/>
        <v>53676</v>
      </c>
      <c r="AE705">
        <v>11700</v>
      </c>
    </row>
    <row r="706" spans="25:31">
      <c r="Y706">
        <f t="shared" si="72"/>
        <v>6</v>
      </c>
      <c r="Z706">
        <f t="shared" si="71"/>
        <v>4</v>
      </c>
      <c r="AA706">
        <v>15</v>
      </c>
      <c r="AB706">
        <f t="shared" si="67"/>
        <v>6415</v>
      </c>
      <c r="AC706">
        <f t="shared" si="68"/>
        <v>3834</v>
      </c>
      <c r="AD706">
        <f t="shared" si="70"/>
        <v>57510</v>
      </c>
      <c r="AE706">
        <v>12900</v>
      </c>
    </row>
    <row r="707" spans="25:31">
      <c r="Y707">
        <f t="shared" si="72"/>
        <v>6</v>
      </c>
      <c r="Z707">
        <f t="shared" si="71"/>
        <v>4</v>
      </c>
      <c r="AA707">
        <v>16</v>
      </c>
      <c r="AB707">
        <f t="shared" ref="AB707:AB770" si="73">Y707*1000+Z707*100+AA707</f>
        <v>6416</v>
      </c>
      <c r="AC707">
        <f t="shared" si="68"/>
        <v>3834</v>
      </c>
      <c r="AD707">
        <f t="shared" si="70"/>
        <v>61344</v>
      </c>
      <c r="AE707">
        <v>14100</v>
      </c>
    </row>
    <row r="708" spans="25:31">
      <c r="Y708">
        <f t="shared" si="72"/>
        <v>6</v>
      </c>
      <c r="Z708">
        <f t="shared" si="71"/>
        <v>4</v>
      </c>
      <c r="AA708">
        <v>17</v>
      </c>
      <c r="AB708">
        <f t="shared" si="73"/>
        <v>6417</v>
      </c>
      <c r="AC708">
        <f t="shared" ref="AC708:AC771" si="74">AC707</f>
        <v>3834</v>
      </c>
      <c r="AD708">
        <f t="shared" si="70"/>
        <v>65178</v>
      </c>
      <c r="AE708">
        <v>15300</v>
      </c>
    </row>
    <row r="709" spans="25:31">
      <c r="Y709">
        <f t="shared" si="72"/>
        <v>6</v>
      </c>
      <c r="Z709">
        <f t="shared" si="71"/>
        <v>4</v>
      </c>
      <c r="AA709">
        <v>18</v>
      </c>
      <c r="AB709">
        <f t="shared" si="73"/>
        <v>6418</v>
      </c>
      <c r="AC709">
        <f t="shared" si="74"/>
        <v>3834</v>
      </c>
      <c r="AD709">
        <f t="shared" si="70"/>
        <v>69012</v>
      </c>
      <c r="AE709">
        <v>16500</v>
      </c>
    </row>
    <row r="710" spans="25:31">
      <c r="Y710">
        <f t="shared" si="72"/>
        <v>6</v>
      </c>
      <c r="Z710">
        <f t="shared" si="71"/>
        <v>4</v>
      </c>
      <c r="AA710">
        <v>19</v>
      </c>
      <c r="AB710">
        <f t="shared" si="73"/>
        <v>6419</v>
      </c>
      <c r="AC710">
        <f t="shared" si="74"/>
        <v>3834</v>
      </c>
      <c r="AD710">
        <f t="shared" si="70"/>
        <v>72846</v>
      </c>
      <c r="AE710">
        <v>17700</v>
      </c>
    </row>
    <row r="711" spans="25:31">
      <c r="Y711">
        <f t="shared" si="72"/>
        <v>6</v>
      </c>
      <c r="Z711">
        <f t="shared" si="71"/>
        <v>4</v>
      </c>
      <c r="AA711">
        <v>20</v>
      </c>
      <c r="AB711">
        <f t="shared" si="73"/>
        <v>6420</v>
      </c>
      <c r="AC711">
        <f t="shared" si="74"/>
        <v>3834</v>
      </c>
      <c r="AD711">
        <f t="shared" si="70"/>
        <v>76680</v>
      </c>
      <c r="AE711">
        <v>18900</v>
      </c>
    </row>
    <row r="712" spans="25:31">
      <c r="Y712">
        <f t="shared" si="72"/>
        <v>6</v>
      </c>
      <c r="Z712">
        <f t="shared" si="71"/>
        <v>4</v>
      </c>
      <c r="AA712">
        <v>21</v>
      </c>
      <c r="AB712">
        <f t="shared" si="73"/>
        <v>6421</v>
      </c>
      <c r="AC712">
        <f t="shared" si="74"/>
        <v>3834</v>
      </c>
      <c r="AD712">
        <f t="shared" si="70"/>
        <v>80514</v>
      </c>
      <c r="AE712">
        <v>21300</v>
      </c>
    </row>
    <row r="713" spans="25:31">
      <c r="Y713">
        <f t="shared" si="72"/>
        <v>6</v>
      </c>
      <c r="Z713">
        <f t="shared" si="71"/>
        <v>4</v>
      </c>
      <c r="AA713">
        <v>22</v>
      </c>
      <c r="AB713">
        <f t="shared" si="73"/>
        <v>6422</v>
      </c>
      <c r="AC713">
        <f t="shared" si="74"/>
        <v>3834</v>
      </c>
      <c r="AD713">
        <f t="shared" si="70"/>
        <v>84348</v>
      </c>
      <c r="AE713">
        <v>23700</v>
      </c>
    </row>
    <row r="714" spans="25:31">
      <c r="Y714">
        <f t="shared" si="72"/>
        <v>6</v>
      </c>
      <c r="Z714">
        <f t="shared" si="71"/>
        <v>4</v>
      </c>
      <c r="AA714">
        <v>23</v>
      </c>
      <c r="AB714">
        <f t="shared" si="73"/>
        <v>6423</v>
      </c>
      <c r="AC714">
        <f t="shared" si="74"/>
        <v>3834</v>
      </c>
      <c r="AD714">
        <f t="shared" si="70"/>
        <v>88182</v>
      </c>
      <c r="AE714">
        <v>26100</v>
      </c>
    </row>
    <row r="715" spans="25:31">
      <c r="Y715">
        <f t="shared" si="72"/>
        <v>6</v>
      </c>
      <c r="Z715">
        <f t="shared" si="71"/>
        <v>4</v>
      </c>
      <c r="AA715">
        <v>24</v>
      </c>
      <c r="AB715">
        <f t="shared" si="73"/>
        <v>6424</v>
      </c>
      <c r="AC715">
        <f t="shared" si="74"/>
        <v>3834</v>
      </c>
      <c r="AD715">
        <f t="shared" si="70"/>
        <v>92016</v>
      </c>
      <c r="AE715">
        <v>28500</v>
      </c>
    </row>
    <row r="716" spans="25:31">
      <c r="Y716">
        <f t="shared" si="72"/>
        <v>6</v>
      </c>
      <c r="Z716">
        <f t="shared" si="71"/>
        <v>4</v>
      </c>
      <c r="AA716">
        <v>25</v>
      </c>
      <c r="AB716">
        <f t="shared" si="73"/>
        <v>6425</v>
      </c>
      <c r="AC716">
        <f t="shared" si="74"/>
        <v>3834</v>
      </c>
      <c r="AD716">
        <f t="shared" si="70"/>
        <v>95850</v>
      </c>
      <c r="AE716">
        <v>30900</v>
      </c>
    </row>
    <row r="717" spans="25:31">
      <c r="Y717">
        <f t="shared" si="72"/>
        <v>6</v>
      </c>
      <c r="Z717">
        <f t="shared" si="71"/>
        <v>4</v>
      </c>
      <c r="AA717">
        <v>26</v>
      </c>
      <c r="AB717">
        <f t="shared" si="73"/>
        <v>6426</v>
      </c>
      <c r="AC717">
        <f t="shared" si="74"/>
        <v>3834</v>
      </c>
      <c r="AD717">
        <f t="shared" si="70"/>
        <v>99684</v>
      </c>
      <c r="AE717">
        <v>33300</v>
      </c>
    </row>
    <row r="718" spans="25:31">
      <c r="Y718">
        <f t="shared" si="72"/>
        <v>6</v>
      </c>
      <c r="Z718">
        <f t="shared" si="71"/>
        <v>4</v>
      </c>
      <c r="AA718">
        <v>27</v>
      </c>
      <c r="AB718">
        <f t="shared" si="73"/>
        <v>6427</v>
      </c>
      <c r="AC718">
        <f t="shared" si="74"/>
        <v>3834</v>
      </c>
      <c r="AD718">
        <f t="shared" si="70"/>
        <v>103518</v>
      </c>
      <c r="AE718">
        <v>35700</v>
      </c>
    </row>
    <row r="719" spans="25:31">
      <c r="Y719">
        <f t="shared" si="72"/>
        <v>6</v>
      </c>
      <c r="Z719">
        <f t="shared" si="71"/>
        <v>4</v>
      </c>
      <c r="AA719">
        <v>28</v>
      </c>
      <c r="AB719">
        <f t="shared" si="73"/>
        <v>6428</v>
      </c>
      <c r="AC719">
        <f t="shared" si="74"/>
        <v>3834</v>
      </c>
      <c r="AD719">
        <f t="shared" si="70"/>
        <v>107352</v>
      </c>
      <c r="AE719">
        <v>38100</v>
      </c>
    </row>
    <row r="720" spans="25:31">
      <c r="Y720">
        <f t="shared" si="72"/>
        <v>6</v>
      </c>
      <c r="Z720">
        <f t="shared" si="71"/>
        <v>4</v>
      </c>
      <c r="AA720">
        <v>29</v>
      </c>
      <c r="AB720">
        <f t="shared" si="73"/>
        <v>6429</v>
      </c>
      <c r="AC720">
        <f t="shared" si="74"/>
        <v>3834</v>
      </c>
      <c r="AD720">
        <f t="shared" si="70"/>
        <v>111186</v>
      </c>
      <c r="AE720">
        <v>40500</v>
      </c>
    </row>
    <row r="721" spans="25:31">
      <c r="Y721">
        <f t="shared" si="72"/>
        <v>6</v>
      </c>
      <c r="Z721">
        <f t="shared" si="71"/>
        <v>4</v>
      </c>
      <c r="AA721">
        <v>30</v>
      </c>
      <c r="AB721">
        <f t="shared" si="73"/>
        <v>6430</v>
      </c>
      <c r="AC721">
        <f t="shared" si="74"/>
        <v>3834</v>
      </c>
      <c r="AD721">
        <f t="shared" si="70"/>
        <v>115020</v>
      </c>
      <c r="AE721">
        <v>42900</v>
      </c>
    </row>
    <row r="722" ht="15" spans="25:31">
      <c r="Y722">
        <f t="shared" si="72"/>
        <v>7</v>
      </c>
      <c r="Z722">
        <v>1</v>
      </c>
      <c r="AA722">
        <v>1</v>
      </c>
      <c r="AB722">
        <f t="shared" si="73"/>
        <v>7101</v>
      </c>
      <c r="AC722">
        <f t="shared" si="74"/>
        <v>3834</v>
      </c>
      <c r="AD722">
        <f>AC722</f>
        <v>3834</v>
      </c>
      <c r="AE722" s="17">
        <v>500</v>
      </c>
    </row>
    <row r="723" ht="15" spans="25:31">
      <c r="Y723">
        <f t="shared" si="72"/>
        <v>7</v>
      </c>
      <c r="Z723">
        <v>1</v>
      </c>
      <c r="AA723">
        <v>2</v>
      </c>
      <c r="AB723">
        <f t="shared" si="73"/>
        <v>7102</v>
      </c>
      <c r="AC723">
        <f t="shared" si="74"/>
        <v>3834</v>
      </c>
      <c r="AD723">
        <f t="shared" ref="AD723:AD751" si="75">AD722+AC723</f>
        <v>7668</v>
      </c>
      <c r="AE723" s="78">
        <v>700</v>
      </c>
    </row>
    <row r="724" ht="15" spans="25:31">
      <c r="Y724">
        <f t="shared" si="72"/>
        <v>7</v>
      </c>
      <c r="Z724">
        <v>1</v>
      </c>
      <c r="AA724">
        <v>3</v>
      </c>
      <c r="AB724">
        <f t="shared" si="73"/>
        <v>7103</v>
      </c>
      <c r="AC724">
        <f t="shared" si="74"/>
        <v>3834</v>
      </c>
      <c r="AD724">
        <f t="shared" si="75"/>
        <v>11502</v>
      </c>
      <c r="AE724" s="78">
        <v>900</v>
      </c>
    </row>
    <row r="725" ht="15" spans="25:31">
      <c r="Y725">
        <f t="shared" si="72"/>
        <v>7</v>
      </c>
      <c r="Z725">
        <v>1</v>
      </c>
      <c r="AA725">
        <v>4</v>
      </c>
      <c r="AB725">
        <f t="shared" si="73"/>
        <v>7104</v>
      </c>
      <c r="AC725">
        <f t="shared" si="74"/>
        <v>3834</v>
      </c>
      <c r="AD725">
        <f t="shared" si="75"/>
        <v>15336</v>
      </c>
      <c r="AE725" s="78">
        <v>1100</v>
      </c>
    </row>
    <row r="726" ht="15" spans="25:31">
      <c r="Y726">
        <f t="shared" si="72"/>
        <v>7</v>
      </c>
      <c r="Z726">
        <v>1</v>
      </c>
      <c r="AA726">
        <v>5</v>
      </c>
      <c r="AB726">
        <f t="shared" si="73"/>
        <v>7105</v>
      </c>
      <c r="AC726">
        <f t="shared" si="74"/>
        <v>3834</v>
      </c>
      <c r="AD726">
        <f t="shared" si="75"/>
        <v>19170</v>
      </c>
      <c r="AE726" s="78">
        <v>1300</v>
      </c>
    </row>
    <row r="727" ht="15" spans="25:31">
      <c r="Y727">
        <f t="shared" si="72"/>
        <v>7</v>
      </c>
      <c r="Z727">
        <v>1</v>
      </c>
      <c r="AA727">
        <v>6</v>
      </c>
      <c r="AB727">
        <f t="shared" si="73"/>
        <v>7106</v>
      </c>
      <c r="AC727">
        <f t="shared" si="74"/>
        <v>3834</v>
      </c>
      <c r="AD727">
        <f t="shared" si="75"/>
        <v>23004</v>
      </c>
      <c r="AE727" s="78">
        <v>1500</v>
      </c>
    </row>
    <row r="728" ht="15" spans="25:31">
      <c r="Y728">
        <f t="shared" si="72"/>
        <v>7</v>
      </c>
      <c r="Z728">
        <v>1</v>
      </c>
      <c r="AA728">
        <v>7</v>
      </c>
      <c r="AB728">
        <f t="shared" si="73"/>
        <v>7107</v>
      </c>
      <c r="AC728">
        <f t="shared" si="74"/>
        <v>3834</v>
      </c>
      <c r="AD728">
        <f t="shared" si="75"/>
        <v>26838</v>
      </c>
      <c r="AE728" s="78">
        <v>1700</v>
      </c>
    </row>
    <row r="729" ht="15" spans="25:31">
      <c r="Y729">
        <f t="shared" si="72"/>
        <v>7</v>
      </c>
      <c r="Z729">
        <v>1</v>
      </c>
      <c r="AA729">
        <v>8</v>
      </c>
      <c r="AB729">
        <f t="shared" si="73"/>
        <v>7108</v>
      </c>
      <c r="AC729">
        <f t="shared" si="74"/>
        <v>3834</v>
      </c>
      <c r="AD729">
        <f t="shared" si="75"/>
        <v>30672</v>
      </c>
      <c r="AE729" s="78">
        <v>1900</v>
      </c>
    </row>
    <row r="730" ht="15" spans="25:31">
      <c r="Y730">
        <f t="shared" si="72"/>
        <v>7</v>
      </c>
      <c r="Z730">
        <v>1</v>
      </c>
      <c r="AA730">
        <v>9</v>
      </c>
      <c r="AB730">
        <f t="shared" si="73"/>
        <v>7109</v>
      </c>
      <c r="AC730">
        <f t="shared" si="74"/>
        <v>3834</v>
      </c>
      <c r="AD730">
        <f t="shared" si="75"/>
        <v>34506</v>
      </c>
      <c r="AE730" s="78">
        <v>2100</v>
      </c>
    </row>
    <row r="731" ht="15" spans="25:31">
      <c r="Y731">
        <f t="shared" si="72"/>
        <v>7</v>
      </c>
      <c r="Z731">
        <v>1</v>
      </c>
      <c r="AA731">
        <v>10</v>
      </c>
      <c r="AB731">
        <f t="shared" si="73"/>
        <v>7110</v>
      </c>
      <c r="AC731">
        <f t="shared" si="74"/>
        <v>3834</v>
      </c>
      <c r="AD731">
        <f t="shared" si="75"/>
        <v>38340</v>
      </c>
      <c r="AE731" s="78">
        <v>2300</v>
      </c>
    </row>
    <row r="732" ht="15" spans="25:31">
      <c r="Y732">
        <f t="shared" si="72"/>
        <v>7</v>
      </c>
      <c r="Z732">
        <v>1</v>
      </c>
      <c r="AA732">
        <v>11</v>
      </c>
      <c r="AB732">
        <f t="shared" si="73"/>
        <v>7111</v>
      </c>
      <c r="AC732">
        <f t="shared" si="74"/>
        <v>3834</v>
      </c>
      <c r="AD732">
        <f t="shared" si="75"/>
        <v>42174</v>
      </c>
      <c r="AE732" s="78">
        <v>2700</v>
      </c>
    </row>
    <row r="733" ht="15" spans="25:31">
      <c r="Y733">
        <f t="shared" si="72"/>
        <v>7</v>
      </c>
      <c r="Z733">
        <v>1</v>
      </c>
      <c r="AA733">
        <v>12</v>
      </c>
      <c r="AB733">
        <f t="shared" si="73"/>
        <v>7112</v>
      </c>
      <c r="AC733">
        <f t="shared" si="74"/>
        <v>3834</v>
      </c>
      <c r="AD733">
        <f t="shared" si="75"/>
        <v>46008</v>
      </c>
      <c r="AE733" s="78">
        <v>3100</v>
      </c>
    </row>
    <row r="734" ht="15" spans="25:31">
      <c r="Y734">
        <f t="shared" si="72"/>
        <v>7</v>
      </c>
      <c r="Z734">
        <v>1</v>
      </c>
      <c r="AA734">
        <v>13</v>
      </c>
      <c r="AB734">
        <f t="shared" si="73"/>
        <v>7113</v>
      </c>
      <c r="AC734">
        <f t="shared" si="74"/>
        <v>3834</v>
      </c>
      <c r="AD734">
        <f t="shared" si="75"/>
        <v>49842</v>
      </c>
      <c r="AE734" s="78">
        <v>3500</v>
      </c>
    </row>
    <row r="735" ht="15" spans="25:31">
      <c r="Y735">
        <f t="shared" si="72"/>
        <v>7</v>
      </c>
      <c r="Z735">
        <v>1</v>
      </c>
      <c r="AA735">
        <v>14</v>
      </c>
      <c r="AB735">
        <f t="shared" si="73"/>
        <v>7114</v>
      </c>
      <c r="AC735">
        <f t="shared" si="74"/>
        <v>3834</v>
      </c>
      <c r="AD735">
        <f t="shared" si="75"/>
        <v>53676</v>
      </c>
      <c r="AE735" s="78">
        <v>3900</v>
      </c>
    </row>
    <row r="736" ht="15" spans="25:31">
      <c r="Y736">
        <f t="shared" si="72"/>
        <v>7</v>
      </c>
      <c r="Z736">
        <v>1</v>
      </c>
      <c r="AA736">
        <v>15</v>
      </c>
      <c r="AB736">
        <f t="shared" si="73"/>
        <v>7115</v>
      </c>
      <c r="AC736">
        <f t="shared" si="74"/>
        <v>3834</v>
      </c>
      <c r="AD736">
        <f t="shared" si="75"/>
        <v>57510</v>
      </c>
      <c r="AE736" s="78">
        <v>4300</v>
      </c>
    </row>
    <row r="737" ht="15" spans="25:31">
      <c r="Y737">
        <f t="shared" si="72"/>
        <v>7</v>
      </c>
      <c r="Z737">
        <v>1</v>
      </c>
      <c r="AA737">
        <v>16</v>
      </c>
      <c r="AB737">
        <f t="shared" si="73"/>
        <v>7116</v>
      </c>
      <c r="AC737">
        <f t="shared" si="74"/>
        <v>3834</v>
      </c>
      <c r="AD737">
        <f t="shared" si="75"/>
        <v>61344</v>
      </c>
      <c r="AE737" s="78">
        <v>4700</v>
      </c>
    </row>
    <row r="738" ht="15" spans="25:31">
      <c r="Y738">
        <f t="shared" si="72"/>
        <v>7</v>
      </c>
      <c r="Z738">
        <v>1</v>
      </c>
      <c r="AA738">
        <v>17</v>
      </c>
      <c r="AB738">
        <f t="shared" si="73"/>
        <v>7117</v>
      </c>
      <c r="AC738">
        <f t="shared" si="74"/>
        <v>3834</v>
      </c>
      <c r="AD738">
        <f t="shared" si="75"/>
        <v>65178</v>
      </c>
      <c r="AE738" s="78">
        <v>5100</v>
      </c>
    </row>
    <row r="739" ht="15" spans="25:31">
      <c r="Y739">
        <f t="shared" si="72"/>
        <v>7</v>
      </c>
      <c r="Z739">
        <v>1</v>
      </c>
      <c r="AA739">
        <v>18</v>
      </c>
      <c r="AB739">
        <f t="shared" si="73"/>
        <v>7118</v>
      </c>
      <c r="AC739">
        <f t="shared" si="74"/>
        <v>3834</v>
      </c>
      <c r="AD739">
        <f t="shared" si="75"/>
        <v>69012</v>
      </c>
      <c r="AE739" s="78">
        <v>5500</v>
      </c>
    </row>
    <row r="740" ht="15" spans="25:31">
      <c r="Y740">
        <f t="shared" si="72"/>
        <v>7</v>
      </c>
      <c r="Z740">
        <v>1</v>
      </c>
      <c r="AA740">
        <v>19</v>
      </c>
      <c r="AB740">
        <f t="shared" si="73"/>
        <v>7119</v>
      </c>
      <c r="AC740">
        <f t="shared" si="74"/>
        <v>3834</v>
      </c>
      <c r="AD740">
        <f t="shared" si="75"/>
        <v>72846</v>
      </c>
      <c r="AE740" s="78">
        <v>5900</v>
      </c>
    </row>
    <row r="741" ht="15" spans="25:31">
      <c r="Y741">
        <f t="shared" si="72"/>
        <v>7</v>
      </c>
      <c r="Z741">
        <v>1</v>
      </c>
      <c r="AA741">
        <v>20</v>
      </c>
      <c r="AB741">
        <f t="shared" si="73"/>
        <v>7120</v>
      </c>
      <c r="AC741">
        <f t="shared" si="74"/>
        <v>3834</v>
      </c>
      <c r="AD741">
        <f t="shared" si="75"/>
        <v>76680</v>
      </c>
      <c r="AE741" s="78">
        <v>6300</v>
      </c>
    </row>
    <row r="742" ht="15" spans="25:31">
      <c r="Y742">
        <f t="shared" si="72"/>
        <v>7</v>
      </c>
      <c r="Z742">
        <v>1</v>
      </c>
      <c r="AA742">
        <v>21</v>
      </c>
      <c r="AB742">
        <f t="shared" si="73"/>
        <v>7121</v>
      </c>
      <c r="AC742">
        <f t="shared" si="74"/>
        <v>3834</v>
      </c>
      <c r="AD742">
        <f t="shared" si="75"/>
        <v>80514</v>
      </c>
      <c r="AE742" s="78">
        <v>7100</v>
      </c>
    </row>
    <row r="743" ht="15" spans="25:31">
      <c r="Y743">
        <f t="shared" si="72"/>
        <v>7</v>
      </c>
      <c r="Z743">
        <v>1</v>
      </c>
      <c r="AA743">
        <v>22</v>
      </c>
      <c r="AB743">
        <f t="shared" si="73"/>
        <v>7122</v>
      </c>
      <c r="AC743">
        <f t="shared" si="74"/>
        <v>3834</v>
      </c>
      <c r="AD743">
        <f t="shared" si="75"/>
        <v>84348</v>
      </c>
      <c r="AE743" s="78">
        <v>7900</v>
      </c>
    </row>
    <row r="744" ht="15" spans="25:31">
      <c r="Y744">
        <f t="shared" si="72"/>
        <v>7</v>
      </c>
      <c r="Z744">
        <v>1</v>
      </c>
      <c r="AA744">
        <v>23</v>
      </c>
      <c r="AB744">
        <f t="shared" si="73"/>
        <v>7123</v>
      </c>
      <c r="AC744">
        <f t="shared" si="74"/>
        <v>3834</v>
      </c>
      <c r="AD744">
        <f t="shared" si="75"/>
        <v>88182</v>
      </c>
      <c r="AE744" s="78">
        <v>8700</v>
      </c>
    </row>
    <row r="745" ht="15" spans="25:31">
      <c r="Y745">
        <f t="shared" si="72"/>
        <v>7</v>
      </c>
      <c r="Z745">
        <v>1</v>
      </c>
      <c r="AA745">
        <v>24</v>
      </c>
      <c r="AB745">
        <f t="shared" si="73"/>
        <v>7124</v>
      </c>
      <c r="AC745">
        <f t="shared" si="74"/>
        <v>3834</v>
      </c>
      <c r="AD745">
        <f t="shared" si="75"/>
        <v>92016</v>
      </c>
      <c r="AE745" s="78">
        <v>9500</v>
      </c>
    </row>
    <row r="746" ht="15" spans="25:31">
      <c r="Y746">
        <f t="shared" si="72"/>
        <v>7</v>
      </c>
      <c r="Z746">
        <v>1</v>
      </c>
      <c r="AA746">
        <v>25</v>
      </c>
      <c r="AB746">
        <f t="shared" si="73"/>
        <v>7125</v>
      </c>
      <c r="AC746">
        <f t="shared" si="74"/>
        <v>3834</v>
      </c>
      <c r="AD746">
        <f t="shared" si="75"/>
        <v>95850</v>
      </c>
      <c r="AE746" s="78">
        <v>10300</v>
      </c>
    </row>
    <row r="747" ht="15" spans="25:31">
      <c r="Y747">
        <f t="shared" si="72"/>
        <v>7</v>
      </c>
      <c r="Z747">
        <v>1</v>
      </c>
      <c r="AA747">
        <v>26</v>
      </c>
      <c r="AB747">
        <f t="shared" si="73"/>
        <v>7126</v>
      </c>
      <c r="AC747">
        <f t="shared" si="74"/>
        <v>3834</v>
      </c>
      <c r="AD747">
        <f t="shared" si="75"/>
        <v>99684</v>
      </c>
      <c r="AE747" s="78">
        <v>11100</v>
      </c>
    </row>
    <row r="748" ht="15" spans="25:31">
      <c r="Y748">
        <f t="shared" si="72"/>
        <v>7</v>
      </c>
      <c r="Z748">
        <v>1</v>
      </c>
      <c r="AA748">
        <v>27</v>
      </c>
      <c r="AB748">
        <f t="shared" si="73"/>
        <v>7127</v>
      </c>
      <c r="AC748">
        <f t="shared" si="74"/>
        <v>3834</v>
      </c>
      <c r="AD748">
        <f t="shared" si="75"/>
        <v>103518</v>
      </c>
      <c r="AE748" s="78">
        <v>11900</v>
      </c>
    </row>
    <row r="749" ht="15" spans="25:31">
      <c r="Y749">
        <f t="shared" si="72"/>
        <v>7</v>
      </c>
      <c r="Z749">
        <v>1</v>
      </c>
      <c r="AA749">
        <v>28</v>
      </c>
      <c r="AB749">
        <f t="shared" si="73"/>
        <v>7128</v>
      </c>
      <c r="AC749">
        <f t="shared" si="74"/>
        <v>3834</v>
      </c>
      <c r="AD749">
        <f t="shared" si="75"/>
        <v>107352</v>
      </c>
      <c r="AE749" s="78">
        <v>12700</v>
      </c>
    </row>
    <row r="750" ht="15" spans="25:31">
      <c r="Y750">
        <f t="shared" si="72"/>
        <v>7</v>
      </c>
      <c r="Z750">
        <v>1</v>
      </c>
      <c r="AA750">
        <v>29</v>
      </c>
      <c r="AB750">
        <f t="shared" si="73"/>
        <v>7129</v>
      </c>
      <c r="AC750">
        <f t="shared" si="74"/>
        <v>3834</v>
      </c>
      <c r="AD750">
        <f t="shared" si="75"/>
        <v>111186</v>
      </c>
      <c r="AE750" s="78">
        <v>13500</v>
      </c>
    </row>
    <row r="751" ht="15" spans="25:31">
      <c r="Y751">
        <f t="shared" si="72"/>
        <v>7</v>
      </c>
      <c r="Z751">
        <v>1</v>
      </c>
      <c r="AA751">
        <v>30</v>
      </c>
      <c r="AB751">
        <f t="shared" si="73"/>
        <v>7130</v>
      </c>
      <c r="AC751">
        <f t="shared" si="74"/>
        <v>3834</v>
      </c>
      <c r="AD751">
        <f t="shared" si="75"/>
        <v>115020</v>
      </c>
      <c r="AE751" s="78">
        <v>14300</v>
      </c>
    </row>
    <row r="752" ht="15" spans="25:31">
      <c r="Y752">
        <f t="shared" si="72"/>
        <v>7</v>
      </c>
      <c r="Z752">
        <f t="shared" ref="Z752:Z815" si="76">Z722+1</f>
        <v>2</v>
      </c>
      <c r="AA752">
        <v>1</v>
      </c>
      <c r="AB752">
        <f t="shared" si="73"/>
        <v>7201</v>
      </c>
      <c r="AC752">
        <f t="shared" si="74"/>
        <v>3834</v>
      </c>
      <c r="AD752">
        <f>AC752</f>
        <v>3834</v>
      </c>
      <c r="AE752" s="78">
        <v>750</v>
      </c>
    </row>
    <row r="753" ht="15" spans="25:31">
      <c r="Y753">
        <f t="shared" si="72"/>
        <v>7</v>
      </c>
      <c r="Z753">
        <f t="shared" si="76"/>
        <v>2</v>
      </c>
      <c r="AA753">
        <v>2</v>
      </c>
      <c r="AB753">
        <f t="shared" si="73"/>
        <v>7202</v>
      </c>
      <c r="AC753">
        <f t="shared" si="74"/>
        <v>3834</v>
      </c>
      <c r="AD753">
        <f t="shared" ref="AD753:AD781" si="77">AD752+AC753</f>
        <v>7668</v>
      </c>
      <c r="AE753" s="78">
        <v>1050</v>
      </c>
    </row>
    <row r="754" ht="15" spans="25:31">
      <c r="Y754">
        <f t="shared" si="72"/>
        <v>7</v>
      </c>
      <c r="Z754">
        <f t="shared" si="76"/>
        <v>2</v>
      </c>
      <c r="AA754">
        <v>3</v>
      </c>
      <c r="AB754">
        <f t="shared" si="73"/>
        <v>7203</v>
      </c>
      <c r="AC754">
        <f t="shared" si="74"/>
        <v>3834</v>
      </c>
      <c r="AD754">
        <f t="shared" si="77"/>
        <v>11502</v>
      </c>
      <c r="AE754" s="78">
        <v>1350</v>
      </c>
    </row>
    <row r="755" ht="15" spans="25:31">
      <c r="Y755">
        <f t="shared" si="72"/>
        <v>7</v>
      </c>
      <c r="Z755">
        <f t="shared" si="76"/>
        <v>2</v>
      </c>
      <c r="AA755">
        <v>4</v>
      </c>
      <c r="AB755">
        <f t="shared" si="73"/>
        <v>7204</v>
      </c>
      <c r="AC755">
        <f t="shared" si="74"/>
        <v>3834</v>
      </c>
      <c r="AD755">
        <f t="shared" si="77"/>
        <v>15336</v>
      </c>
      <c r="AE755" s="78">
        <v>1650</v>
      </c>
    </row>
    <row r="756" ht="15" spans="25:31">
      <c r="Y756">
        <f t="shared" si="72"/>
        <v>7</v>
      </c>
      <c r="Z756">
        <f t="shared" si="76"/>
        <v>2</v>
      </c>
      <c r="AA756">
        <v>5</v>
      </c>
      <c r="AB756">
        <f t="shared" si="73"/>
        <v>7205</v>
      </c>
      <c r="AC756">
        <f t="shared" si="74"/>
        <v>3834</v>
      </c>
      <c r="AD756">
        <f t="shared" si="77"/>
        <v>19170</v>
      </c>
      <c r="AE756" s="78">
        <v>1950</v>
      </c>
    </row>
    <row r="757" ht="15" spans="25:31">
      <c r="Y757">
        <f t="shared" si="72"/>
        <v>7</v>
      </c>
      <c r="Z757">
        <f t="shared" si="76"/>
        <v>2</v>
      </c>
      <c r="AA757">
        <v>6</v>
      </c>
      <c r="AB757">
        <f t="shared" si="73"/>
        <v>7206</v>
      </c>
      <c r="AC757">
        <f t="shared" si="74"/>
        <v>3834</v>
      </c>
      <c r="AD757">
        <f t="shared" si="77"/>
        <v>23004</v>
      </c>
      <c r="AE757" s="78">
        <v>2250</v>
      </c>
    </row>
    <row r="758" ht="15" spans="25:31">
      <c r="Y758">
        <f t="shared" si="72"/>
        <v>7</v>
      </c>
      <c r="Z758">
        <f t="shared" si="76"/>
        <v>2</v>
      </c>
      <c r="AA758">
        <v>7</v>
      </c>
      <c r="AB758">
        <f t="shared" si="73"/>
        <v>7207</v>
      </c>
      <c r="AC758">
        <f t="shared" si="74"/>
        <v>3834</v>
      </c>
      <c r="AD758">
        <f t="shared" si="77"/>
        <v>26838</v>
      </c>
      <c r="AE758" s="78">
        <v>2550</v>
      </c>
    </row>
    <row r="759" ht="15" spans="25:31">
      <c r="Y759">
        <f t="shared" si="72"/>
        <v>7</v>
      </c>
      <c r="Z759">
        <f t="shared" si="76"/>
        <v>2</v>
      </c>
      <c r="AA759">
        <v>8</v>
      </c>
      <c r="AB759">
        <f t="shared" si="73"/>
        <v>7208</v>
      </c>
      <c r="AC759">
        <f t="shared" si="74"/>
        <v>3834</v>
      </c>
      <c r="AD759">
        <f t="shared" si="77"/>
        <v>30672</v>
      </c>
      <c r="AE759" s="78">
        <v>2850</v>
      </c>
    </row>
    <row r="760" ht="15" spans="25:31">
      <c r="Y760">
        <f t="shared" si="72"/>
        <v>7</v>
      </c>
      <c r="Z760">
        <f t="shared" si="76"/>
        <v>2</v>
      </c>
      <c r="AA760">
        <v>9</v>
      </c>
      <c r="AB760">
        <f t="shared" si="73"/>
        <v>7209</v>
      </c>
      <c r="AC760">
        <f t="shared" si="74"/>
        <v>3834</v>
      </c>
      <c r="AD760">
        <f t="shared" si="77"/>
        <v>34506</v>
      </c>
      <c r="AE760" s="78">
        <v>3150</v>
      </c>
    </row>
    <row r="761" ht="15" spans="25:31">
      <c r="Y761">
        <f t="shared" si="72"/>
        <v>7</v>
      </c>
      <c r="Z761">
        <f t="shared" si="76"/>
        <v>2</v>
      </c>
      <c r="AA761">
        <v>10</v>
      </c>
      <c r="AB761">
        <f t="shared" si="73"/>
        <v>7210</v>
      </c>
      <c r="AC761">
        <f t="shared" si="74"/>
        <v>3834</v>
      </c>
      <c r="AD761">
        <f t="shared" si="77"/>
        <v>38340</v>
      </c>
      <c r="AE761" s="78">
        <v>3450</v>
      </c>
    </row>
    <row r="762" ht="15" spans="25:31">
      <c r="Y762">
        <f t="shared" si="72"/>
        <v>7</v>
      </c>
      <c r="Z762">
        <f t="shared" si="76"/>
        <v>2</v>
      </c>
      <c r="AA762">
        <v>11</v>
      </c>
      <c r="AB762">
        <f t="shared" si="73"/>
        <v>7211</v>
      </c>
      <c r="AC762">
        <f t="shared" si="74"/>
        <v>3834</v>
      </c>
      <c r="AD762">
        <f t="shared" si="77"/>
        <v>42174</v>
      </c>
      <c r="AE762" s="78">
        <v>4050</v>
      </c>
    </row>
    <row r="763" ht="15" spans="25:31">
      <c r="Y763">
        <f t="shared" ref="Y763:Y826" si="78">Y643+1</f>
        <v>7</v>
      </c>
      <c r="Z763">
        <f t="shared" si="76"/>
        <v>2</v>
      </c>
      <c r="AA763">
        <v>12</v>
      </c>
      <c r="AB763">
        <f t="shared" si="73"/>
        <v>7212</v>
      </c>
      <c r="AC763">
        <f t="shared" si="74"/>
        <v>3834</v>
      </c>
      <c r="AD763">
        <f t="shared" si="77"/>
        <v>46008</v>
      </c>
      <c r="AE763" s="78">
        <v>4650</v>
      </c>
    </row>
    <row r="764" ht="15" spans="25:31">
      <c r="Y764">
        <f t="shared" si="78"/>
        <v>7</v>
      </c>
      <c r="Z764">
        <f t="shared" si="76"/>
        <v>2</v>
      </c>
      <c r="AA764">
        <v>13</v>
      </c>
      <c r="AB764">
        <f t="shared" si="73"/>
        <v>7213</v>
      </c>
      <c r="AC764">
        <f t="shared" si="74"/>
        <v>3834</v>
      </c>
      <c r="AD764">
        <f t="shared" si="77"/>
        <v>49842</v>
      </c>
      <c r="AE764" s="78">
        <v>5250</v>
      </c>
    </row>
    <row r="765" ht="15" spans="25:31">
      <c r="Y765">
        <f t="shared" si="78"/>
        <v>7</v>
      </c>
      <c r="Z765">
        <f t="shared" si="76"/>
        <v>2</v>
      </c>
      <c r="AA765">
        <v>14</v>
      </c>
      <c r="AB765">
        <f t="shared" si="73"/>
        <v>7214</v>
      </c>
      <c r="AC765">
        <f t="shared" si="74"/>
        <v>3834</v>
      </c>
      <c r="AD765">
        <f t="shared" si="77"/>
        <v>53676</v>
      </c>
      <c r="AE765" s="78">
        <v>5850</v>
      </c>
    </row>
    <row r="766" ht="15" spans="25:31">
      <c r="Y766">
        <f t="shared" si="78"/>
        <v>7</v>
      </c>
      <c r="Z766">
        <f t="shared" si="76"/>
        <v>2</v>
      </c>
      <c r="AA766">
        <v>15</v>
      </c>
      <c r="AB766">
        <f t="shared" si="73"/>
        <v>7215</v>
      </c>
      <c r="AC766">
        <f t="shared" si="74"/>
        <v>3834</v>
      </c>
      <c r="AD766">
        <f t="shared" si="77"/>
        <v>57510</v>
      </c>
      <c r="AE766" s="78">
        <v>6450</v>
      </c>
    </row>
    <row r="767" ht="15" spans="25:31">
      <c r="Y767">
        <f t="shared" si="78"/>
        <v>7</v>
      </c>
      <c r="Z767">
        <f t="shared" si="76"/>
        <v>2</v>
      </c>
      <c r="AA767">
        <v>16</v>
      </c>
      <c r="AB767">
        <f t="shared" si="73"/>
        <v>7216</v>
      </c>
      <c r="AC767">
        <f t="shared" si="74"/>
        <v>3834</v>
      </c>
      <c r="AD767">
        <f t="shared" si="77"/>
        <v>61344</v>
      </c>
      <c r="AE767" s="78">
        <v>7050</v>
      </c>
    </row>
    <row r="768" ht="15" spans="25:31">
      <c r="Y768">
        <f t="shared" si="78"/>
        <v>7</v>
      </c>
      <c r="Z768">
        <f t="shared" si="76"/>
        <v>2</v>
      </c>
      <c r="AA768">
        <v>17</v>
      </c>
      <c r="AB768">
        <f t="shared" si="73"/>
        <v>7217</v>
      </c>
      <c r="AC768">
        <f t="shared" si="74"/>
        <v>3834</v>
      </c>
      <c r="AD768">
        <f t="shared" si="77"/>
        <v>65178</v>
      </c>
      <c r="AE768" s="78">
        <v>7650</v>
      </c>
    </row>
    <row r="769" ht="15" spans="25:31">
      <c r="Y769">
        <f t="shared" si="78"/>
        <v>7</v>
      </c>
      <c r="Z769">
        <f t="shared" si="76"/>
        <v>2</v>
      </c>
      <c r="AA769">
        <v>18</v>
      </c>
      <c r="AB769">
        <f t="shared" si="73"/>
        <v>7218</v>
      </c>
      <c r="AC769">
        <f t="shared" si="74"/>
        <v>3834</v>
      </c>
      <c r="AD769">
        <f t="shared" si="77"/>
        <v>69012</v>
      </c>
      <c r="AE769" s="78">
        <v>8250</v>
      </c>
    </row>
    <row r="770" ht="15" spans="25:31">
      <c r="Y770">
        <f t="shared" si="78"/>
        <v>7</v>
      </c>
      <c r="Z770">
        <f t="shared" si="76"/>
        <v>2</v>
      </c>
      <c r="AA770">
        <v>19</v>
      </c>
      <c r="AB770">
        <f t="shared" si="73"/>
        <v>7219</v>
      </c>
      <c r="AC770">
        <f t="shared" si="74"/>
        <v>3834</v>
      </c>
      <c r="AD770">
        <f t="shared" si="77"/>
        <v>72846</v>
      </c>
      <c r="AE770" s="78">
        <v>8850</v>
      </c>
    </row>
    <row r="771" ht="15" spans="25:31">
      <c r="Y771">
        <f t="shared" si="78"/>
        <v>7</v>
      </c>
      <c r="Z771">
        <f t="shared" si="76"/>
        <v>2</v>
      </c>
      <c r="AA771">
        <v>20</v>
      </c>
      <c r="AB771">
        <f t="shared" ref="AB771:AB834" si="79">Y771*1000+Z771*100+AA771</f>
        <v>7220</v>
      </c>
      <c r="AC771">
        <f t="shared" si="74"/>
        <v>3834</v>
      </c>
      <c r="AD771">
        <f t="shared" si="77"/>
        <v>76680</v>
      </c>
      <c r="AE771" s="78">
        <v>9450</v>
      </c>
    </row>
    <row r="772" ht="15" spans="25:31">
      <c r="Y772">
        <f t="shared" si="78"/>
        <v>7</v>
      </c>
      <c r="Z772">
        <f t="shared" si="76"/>
        <v>2</v>
      </c>
      <c r="AA772">
        <v>21</v>
      </c>
      <c r="AB772">
        <f t="shared" si="79"/>
        <v>7221</v>
      </c>
      <c r="AC772">
        <f t="shared" ref="AC772:AC835" si="80">AC771</f>
        <v>3834</v>
      </c>
      <c r="AD772">
        <f t="shared" si="77"/>
        <v>80514</v>
      </c>
      <c r="AE772" s="78">
        <v>10650</v>
      </c>
    </row>
    <row r="773" ht="15" spans="25:31">
      <c r="Y773">
        <f t="shared" si="78"/>
        <v>7</v>
      </c>
      <c r="Z773">
        <f t="shared" si="76"/>
        <v>2</v>
      </c>
      <c r="AA773">
        <v>22</v>
      </c>
      <c r="AB773">
        <f t="shared" si="79"/>
        <v>7222</v>
      </c>
      <c r="AC773">
        <f t="shared" si="80"/>
        <v>3834</v>
      </c>
      <c r="AD773">
        <f t="shared" si="77"/>
        <v>84348</v>
      </c>
      <c r="AE773" s="78">
        <v>11850</v>
      </c>
    </row>
    <row r="774" ht="15" spans="25:31">
      <c r="Y774">
        <f t="shared" si="78"/>
        <v>7</v>
      </c>
      <c r="Z774">
        <f t="shared" si="76"/>
        <v>2</v>
      </c>
      <c r="AA774">
        <v>23</v>
      </c>
      <c r="AB774">
        <f t="shared" si="79"/>
        <v>7223</v>
      </c>
      <c r="AC774">
        <f t="shared" si="80"/>
        <v>3834</v>
      </c>
      <c r="AD774">
        <f t="shared" si="77"/>
        <v>88182</v>
      </c>
      <c r="AE774" s="78">
        <v>13050</v>
      </c>
    </row>
    <row r="775" ht="15" spans="25:31">
      <c r="Y775">
        <f t="shared" si="78"/>
        <v>7</v>
      </c>
      <c r="Z775">
        <f t="shared" si="76"/>
        <v>2</v>
      </c>
      <c r="AA775">
        <v>24</v>
      </c>
      <c r="AB775">
        <f t="shared" si="79"/>
        <v>7224</v>
      </c>
      <c r="AC775">
        <f t="shared" si="80"/>
        <v>3834</v>
      </c>
      <c r="AD775">
        <f t="shared" si="77"/>
        <v>92016</v>
      </c>
      <c r="AE775" s="78">
        <v>14250</v>
      </c>
    </row>
    <row r="776" ht="15" spans="25:31">
      <c r="Y776">
        <f t="shared" si="78"/>
        <v>7</v>
      </c>
      <c r="Z776">
        <f t="shared" si="76"/>
        <v>2</v>
      </c>
      <c r="AA776">
        <v>25</v>
      </c>
      <c r="AB776">
        <f t="shared" si="79"/>
        <v>7225</v>
      </c>
      <c r="AC776">
        <f t="shared" si="80"/>
        <v>3834</v>
      </c>
      <c r="AD776">
        <f t="shared" si="77"/>
        <v>95850</v>
      </c>
      <c r="AE776" s="78">
        <v>15450</v>
      </c>
    </row>
    <row r="777" ht="15" spans="25:31">
      <c r="Y777">
        <f t="shared" si="78"/>
        <v>7</v>
      </c>
      <c r="Z777">
        <f t="shared" si="76"/>
        <v>2</v>
      </c>
      <c r="AA777">
        <v>26</v>
      </c>
      <c r="AB777">
        <f t="shared" si="79"/>
        <v>7226</v>
      </c>
      <c r="AC777">
        <f t="shared" si="80"/>
        <v>3834</v>
      </c>
      <c r="AD777">
        <f t="shared" si="77"/>
        <v>99684</v>
      </c>
      <c r="AE777" s="78">
        <v>16650</v>
      </c>
    </row>
    <row r="778" ht="15" spans="25:31">
      <c r="Y778">
        <f t="shared" si="78"/>
        <v>7</v>
      </c>
      <c r="Z778">
        <f t="shared" si="76"/>
        <v>2</v>
      </c>
      <c r="AA778">
        <v>27</v>
      </c>
      <c r="AB778">
        <f t="shared" si="79"/>
        <v>7227</v>
      </c>
      <c r="AC778">
        <f t="shared" si="80"/>
        <v>3834</v>
      </c>
      <c r="AD778">
        <f t="shared" si="77"/>
        <v>103518</v>
      </c>
      <c r="AE778" s="78">
        <v>17850</v>
      </c>
    </row>
    <row r="779" ht="15" spans="25:31">
      <c r="Y779">
        <f t="shared" si="78"/>
        <v>7</v>
      </c>
      <c r="Z779">
        <f t="shared" si="76"/>
        <v>2</v>
      </c>
      <c r="AA779">
        <v>28</v>
      </c>
      <c r="AB779">
        <f t="shared" si="79"/>
        <v>7228</v>
      </c>
      <c r="AC779">
        <f t="shared" si="80"/>
        <v>3834</v>
      </c>
      <c r="AD779">
        <f t="shared" si="77"/>
        <v>107352</v>
      </c>
      <c r="AE779" s="78">
        <v>19050</v>
      </c>
    </row>
    <row r="780" ht="15" spans="25:31">
      <c r="Y780">
        <f t="shared" si="78"/>
        <v>7</v>
      </c>
      <c r="Z780">
        <f t="shared" si="76"/>
        <v>2</v>
      </c>
      <c r="AA780">
        <v>29</v>
      </c>
      <c r="AB780">
        <f t="shared" si="79"/>
        <v>7229</v>
      </c>
      <c r="AC780">
        <f t="shared" si="80"/>
        <v>3834</v>
      </c>
      <c r="AD780">
        <f t="shared" si="77"/>
        <v>111186</v>
      </c>
      <c r="AE780" s="78">
        <v>20250</v>
      </c>
    </row>
    <row r="781" ht="15" spans="25:31">
      <c r="Y781">
        <f t="shared" si="78"/>
        <v>7</v>
      </c>
      <c r="Z781">
        <f t="shared" si="76"/>
        <v>2</v>
      </c>
      <c r="AA781">
        <v>30</v>
      </c>
      <c r="AB781">
        <f t="shared" si="79"/>
        <v>7230</v>
      </c>
      <c r="AC781">
        <f t="shared" si="80"/>
        <v>3834</v>
      </c>
      <c r="AD781">
        <f t="shared" si="77"/>
        <v>115020</v>
      </c>
      <c r="AE781" s="78">
        <v>21450</v>
      </c>
    </row>
    <row r="782" spans="25:31">
      <c r="Y782">
        <f t="shared" si="78"/>
        <v>7</v>
      </c>
      <c r="Z782">
        <f t="shared" si="76"/>
        <v>3</v>
      </c>
      <c r="AA782">
        <v>1</v>
      </c>
      <c r="AB782">
        <f t="shared" si="79"/>
        <v>7301</v>
      </c>
      <c r="AC782">
        <f t="shared" si="80"/>
        <v>3834</v>
      </c>
      <c r="AD782">
        <f>AC782</f>
        <v>3834</v>
      </c>
      <c r="AE782">
        <v>1000</v>
      </c>
    </row>
    <row r="783" spans="25:31">
      <c r="Y783">
        <f t="shared" si="78"/>
        <v>7</v>
      </c>
      <c r="Z783">
        <f t="shared" si="76"/>
        <v>3</v>
      </c>
      <c r="AA783">
        <v>2</v>
      </c>
      <c r="AB783">
        <f t="shared" si="79"/>
        <v>7302</v>
      </c>
      <c r="AC783">
        <f t="shared" si="80"/>
        <v>3834</v>
      </c>
      <c r="AD783">
        <f t="shared" ref="AD783:AD811" si="81">AD782+AC783</f>
        <v>7668</v>
      </c>
      <c r="AE783">
        <v>1400</v>
      </c>
    </row>
    <row r="784" spans="25:31">
      <c r="Y784">
        <f t="shared" si="78"/>
        <v>7</v>
      </c>
      <c r="Z784">
        <f t="shared" si="76"/>
        <v>3</v>
      </c>
      <c r="AA784">
        <v>3</v>
      </c>
      <c r="AB784">
        <f t="shared" si="79"/>
        <v>7303</v>
      </c>
      <c r="AC784">
        <f t="shared" si="80"/>
        <v>3834</v>
      </c>
      <c r="AD784">
        <f t="shared" si="81"/>
        <v>11502</v>
      </c>
      <c r="AE784">
        <v>1800</v>
      </c>
    </row>
    <row r="785" spans="25:31">
      <c r="Y785">
        <f t="shared" si="78"/>
        <v>7</v>
      </c>
      <c r="Z785">
        <f t="shared" si="76"/>
        <v>3</v>
      </c>
      <c r="AA785">
        <v>4</v>
      </c>
      <c r="AB785">
        <f t="shared" si="79"/>
        <v>7304</v>
      </c>
      <c r="AC785">
        <f t="shared" si="80"/>
        <v>3834</v>
      </c>
      <c r="AD785">
        <f t="shared" si="81"/>
        <v>15336</v>
      </c>
      <c r="AE785">
        <v>2200</v>
      </c>
    </row>
    <row r="786" spans="25:31">
      <c r="Y786">
        <f t="shared" si="78"/>
        <v>7</v>
      </c>
      <c r="Z786">
        <f t="shared" si="76"/>
        <v>3</v>
      </c>
      <c r="AA786">
        <v>5</v>
      </c>
      <c r="AB786">
        <f t="shared" si="79"/>
        <v>7305</v>
      </c>
      <c r="AC786">
        <f t="shared" si="80"/>
        <v>3834</v>
      </c>
      <c r="AD786">
        <f t="shared" si="81"/>
        <v>19170</v>
      </c>
      <c r="AE786">
        <v>2600</v>
      </c>
    </row>
    <row r="787" spans="25:31">
      <c r="Y787">
        <f t="shared" si="78"/>
        <v>7</v>
      </c>
      <c r="Z787">
        <f t="shared" si="76"/>
        <v>3</v>
      </c>
      <c r="AA787">
        <v>6</v>
      </c>
      <c r="AB787">
        <f t="shared" si="79"/>
        <v>7306</v>
      </c>
      <c r="AC787">
        <f t="shared" si="80"/>
        <v>3834</v>
      </c>
      <c r="AD787">
        <f t="shared" si="81"/>
        <v>23004</v>
      </c>
      <c r="AE787">
        <v>3000</v>
      </c>
    </row>
    <row r="788" spans="25:31">
      <c r="Y788">
        <f t="shared" si="78"/>
        <v>7</v>
      </c>
      <c r="Z788">
        <f t="shared" si="76"/>
        <v>3</v>
      </c>
      <c r="AA788">
        <v>7</v>
      </c>
      <c r="AB788">
        <f t="shared" si="79"/>
        <v>7307</v>
      </c>
      <c r="AC788">
        <f t="shared" si="80"/>
        <v>3834</v>
      </c>
      <c r="AD788">
        <f t="shared" si="81"/>
        <v>26838</v>
      </c>
      <c r="AE788">
        <v>3400</v>
      </c>
    </row>
    <row r="789" spans="25:31">
      <c r="Y789">
        <f t="shared" si="78"/>
        <v>7</v>
      </c>
      <c r="Z789">
        <f t="shared" si="76"/>
        <v>3</v>
      </c>
      <c r="AA789">
        <v>8</v>
      </c>
      <c r="AB789">
        <f t="shared" si="79"/>
        <v>7308</v>
      </c>
      <c r="AC789">
        <f t="shared" si="80"/>
        <v>3834</v>
      </c>
      <c r="AD789">
        <f t="shared" si="81"/>
        <v>30672</v>
      </c>
      <c r="AE789">
        <v>3800</v>
      </c>
    </row>
    <row r="790" spans="25:31">
      <c r="Y790">
        <f t="shared" si="78"/>
        <v>7</v>
      </c>
      <c r="Z790">
        <f t="shared" si="76"/>
        <v>3</v>
      </c>
      <c r="AA790">
        <v>9</v>
      </c>
      <c r="AB790">
        <f t="shared" si="79"/>
        <v>7309</v>
      </c>
      <c r="AC790">
        <f t="shared" si="80"/>
        <v>3834</v>
      </c>
      <c r="AD790">
        <f t="shared" si="81"/>
        <v>34506</v>
      </c>
      <c r="AE790">
        <v>4200</v>
      </c>
    </row>
    <row r="791" spans="25:31">
      <c r="Y791">
        <f t="shared" si="78"/>
        <v>7</v>
      </c>
      <c r="Z791">
        <f t="shared" si="76"/>
        <v>3</v>
      </c>
      <c r="AA791">
        <v>10</v>
      </c>
      <c r="AB791">
        <f t="shared" si="79"/>
        <v>7310</v>
      </c>
      <c r="AC791">
        <f t="shared" si="80"/>
        <v>3834</v>
      </c>
      <c r="AD791">
        <f t="shared" si="81"/>
        <v>38340</v>
      </c>
      <c r="AE791">
        <v>4600</v>
      </c>
    </row>
    <row r="792" spans="25:31">
      <c r="Y792">
        <f t="shared" si="78"/>
        <v>7</v>
      </c>
      <c r="Z792">
        <f t="shared" si="76"/>
        <v>3</v>
      </c>
      <c r="AA792">
        <v>11</v>
      </c>
      <c r="AB792">
        <f t="shared" si="79"/>
        <v>7311</v>
      </c>
      <c r="AC792">
        <f t="shared" si="80"/>
        <v>3834</v>
      </c>
      <c r="AD792">
        <f t="shared" si="81"/>
        <v>42174</v>
      </c>
      <c r="AE792">
        <v>5400</v>
      </c>
    </row>
    <row r="793" spans="25:31">
      <c r="Y793">
        <f t="shared" si="78"/>
        <v>7</v>
      </c>
      <c r="Z793">
        <f t="shared" si="76"/>
        <v>3</v>
      </c>
      <c r="AA793">
        <v>12</v>
      </c>
      <c r="AB793">
        <f t="shared" si="79"/>
        <v>7312</v>
      </c>
      <c r="AC793">
        <f t="shared" si="80"/>
        <v>3834</v>
      </c>
      <c r="AD793">
        <f t="shared" si="81"/>
        <v>46008</v>
      </c>
      <c r="AE793">
        <v>6200</v>
      </c>
    </row>
    <row r="794" spans="25:31">
      <c r="Y794">
        <f t="shared" si="78"/>
        <v>7</v>
      </c>
      <c r="Z794">
        <f t="shared" si="76"/>
        <v>3</v>
      </c>
      <c r="AA794">
        <v>13</v>
      </c>
      <c r="AB794">
        <f t="shared" si="79"/>
        <v>7313</v>
      </c>
      <c r="AC794">
        <f t="shared" si="80"/>
        <v>3834</v>
      </c>
      <c r="AD794">
        <f t="shared" si="81"/>
        <v>49842</v>
      </c>
      <c r="AE794">
        <v>7000</v>
      </c>
    </row>
    <row r="795" spans="25:31">
      <c r="Y795">
        <f t="shared" si="78"/>
        <v>7</v>
      </c>
      <c r="Z795">
        <f t="shared" si="76"/>
        <v>3</v>
      </c>
      <c r="AA795">
        <v>14</v>
      </c>
      <c r="AB795">
        <f t="shared" si="79"/>
        <v>7314</v>
      </c>
      <c r="AC795">
        <f t="shared" si="80"/>
        <v>3834</v>
      </c>
      <c r="AD795">
        <f t="shared" si="81"/>
        <v>53676</v>
      </c>
      <c r="AE795">
        <v>7800</v>
      </c>
    </row>
    <row r="796" spans="25:31">
      <c r="Y796">
        <f t="shared" si="78"/>
        <v>7</v>
      </c>
      <c r="Z796">
        <f t="shared" si="76"/>
        <v>3</v>
      </c>
      <c r="AA796">
        <v>15</v>
      </c>
      <c r="AB796">
        <f t="shared" si="79"/>
        <v>7315</v>
      </c>
      <c r="AC796">
        <f t="shared" si="80"/>
        <v>3834</v>
      </c>
      <c r="AD796">
        <f t="shared" si="81"/>
        <v>57510</v>
      </c>
      <c r="AE796">
        <v>8600</v>
      </c>
    </row>
    <row r="797" spans="25:31">
      <c r="Y797">
        <f t="shared" si="78"/>
        <v>7</v>
      </c>
      <c r="Z797">
        <f t="shared" si="76"/>
        <v>3</v>
      </c>
      <c r="AA797">
        <v>16</v>
      </c>
      <c r="AB797">
        <f t="shared" si="79"/>
        <v>7316</v>
      </c>
      <c r="AC797">
        <f t="shared" si="80"/>
        <v>3834</v>
      </c>
      <c r="AD797">
        <f t="shared" si="81"/>
        <v>61344</v>
      </c>
      <c r="AE797">
        <v>9400</v>
      </c>
    </row>
    <row r="798" spans="25:31">
      <c r="Y798">
        <f t="shared" si="78"/>
        <v>7</v>
      </c>
      <c r="Z798">
        <f t="shared" si="76"/>
        <v>3</v>
      </c>
      <c r="AA798">
        <v>17</v>
      </c>
      <c r="AB798">
        <f t="shared" si="79"/>
        <v>7317</v>
      </c>
      <c r="AC798">
        <f t="shared" si="80"/>
        <v>3834</v>
      </c>
      <c r="AD798">
        <f t="shared" si="81"/>
        <v>65178</v>
      </c>
      <c r="AE798">
        <v>10200</v>
      </c>
    </row>
    <row r="799" spans="25:31">
      <c r="Y799">
        <f t="shared" si="78"/>
        <v>7</v>
      </c>
      <c r="Z799">
        <f t="shared" si="76"/>
        <v>3</v>
      </c>
      <c r="AA799">
        <v>18</v>
      </c>
      <c r="AB799">
        <f t="shared" si="79"/>
        <v>7318</v>
      </c>
      <c r="AC799">
        <f t="shared" si="80"/>
        <v>3834</v>
      </c>
      <c r="AD799">
        <f t="shared" si="81"/>
        <v>69012</v>
      </c>
      <c r="AE799">
        <v>11000</v>
      </c>
    </row>
    <row r="800" spans="25:31">
      <c r="Y800">
        <f t="shared" si="78"/>
        <v>7</v>
      </c>
      <c r="Z800">
        <f t="shared" si="76"/>
        <v>3</v>
      </c>
      <c r="AA800">
        <v>19</v>
      </c>
      <c r="AB800">
        <f t="shared" si="79"/>
        <v>7319</v>
      </c>
      <c r="AC800">
        <f t="shared" si="80"/>
        <v>3834</v>
      </c>
      <c r="AD800">
        <f t="shared" si="81"/>
        <v>72846</v>
      </c>
      <c r="AE800">
        <v>11800</v>
      </c>
    </row>
    <row r="801" spans="25:31">
      <c r="Y801">
        <f t="shared" si="78"/>
        <v>7</v>
      </c>
      <c r="Z801">
        <f t="shared" si="76"/>
        <v>3</v>
      </c>
      <c r="AA801">
        <v>20</v>
      </c>
      <c r="AB801">
        <f t="shared" si="79"/>
        <v>7320</v>
      </c>
      <c r="AC801">
        <f t="shared" si="80"/>
        <v>3834</v>
      </c>
      <c r="AD801">
        <f t="shared" si="81"/>
        <v>76680</v>
      </c>
      <c r="AE801">
        <v>12600</v>
      </c>
    </row>
    <row r="802" spans="25:31">
      <c r="Y802">
        <f t="shared" si="78"/>
        <v>7</v>
      </c>
      <c r="Z802">
        <f t="shared" si="76"/>
        <v>3</v>
      </c>
      <c r="AA802">
        <v>21</v>
      </c>
      <c r="AB802">
        <f t="shared" si="79"/>
        <v>7321</v>
      </c>
      <c r="AC802">
        <f t="shared" si="80"/>
        <v>3834</v>
      </c>
      <c r="AD802">
        <f t="shared" si="81"/>
        <v>80514</v>
      </c>
      <c r="AE802">
        <v>14200</v>
      </c>
    </row>
    <row r="803" spans="25:31">
      <c r="Y803">
        <f t="shared" si="78"/>
        <v>7</v>
      </c>
      <c r="Z803">
        <f t="shared" si="76"/>
        <v>3</v>
      </c>
      <c r="AA803">
        <v>22</v>
      </c>
      <c r="AB803">
        <f t="shared" si="79"/>
        <v>7322</v>
      </c>
      <c r="AC803">
        <f t="shared" si="80"/>
        <v>3834</v>
      </c>
      <c r="AD803">
        <f t="shared" si="81"/>
        <v>84348</v>
      </c>
      <c r="AE803">
        <v>15800</v>
      </c>
    </row>
    <row r="804" spans="25:31">
      <c r="Y804">
        <f t="shared" si="78"/>
        <v>7</v>
      </c>
      <c r="Z804">
        <f t="shared" si="76"/>
        <v>3</v>
      </c>
      <c r="AA804">
        <v>23</v>
      </c>
      <c r="AB804">
        <f t="shared" si="79"/>
        <v>7323</v>
      </c>
      <c r="AC804">
        <f t="shared" si="80"/>
        <v>3834</v>
      </c>
      <c r="AD804">
        <f t="shared" si="81"/>
        <v>88182</v>
      </c>
      <c r="AE804">
        <v>17400</v>
      </c>
    </row>
    <row r="805" spans="25:31">
      <c r="Y805">
        <f t="shared" si="78"/>
        <v>7</v>
      </c>
      <c r="Z805">
        <f t="shared" si="76"/>
        <v>3</v>
      </c>
      <c r="AA805">
        <v>24</v>
      </c>
      <c r="AB805">
        <f t="shared" si="79"/>
        <v>7324</v>
      </c>
      <c r="AC805">
        <f t="shared" si="80"/>
        <v>3834</v>
      </c>
      <c r="AD805">
        <f t="shared" si="81"/>
        <v>92016</v>
      </c>
      <c r="AE805">
        <v>19000</v>
      </c>
    </row>
    <row r="806" spans="25:31">
      <c r="Y806">
        <f t="shared" si="78"/>
        <v>7</v>
      </c>
      <c r="Z806">
        <f t="shared" si="76"/>
        <v>3</v>
      </c>
      <c r="AA806">
        <v>25</v>
      </c>
      <c r="AB806">
        <f t="shared" si="79"/>
        <v>7325</v>
      </c>
      <c r="AC806">
        <f t="shared" si="80"/>
        <v>3834</v>
      </c>
      <c r="AD806">
        <f t="shared" si="81"/>
        <v>95850</v>
      </c>
      <c r="AE806">
        <v>20600</v>
      </c>
    </row>
    <row r="807" spans="25:31">
      <c r="Y807">
        <f t="shared" si="78"/>
        <v>7</v>
      </c>
      <c r="Z807">
        <f t="shared" si="76"/>
        <v>3</v>
      </c>
      <c r="AA807">
        <v>26</v>
      </c>
      <c r="AB807">
        <f t="shared" si="79"/>
        <v>7326</v>
      </c>
      <c r="AC807">
        <f t="shared" si="80"/>
        <v>3834</v>
      </c>
      <c r="AD807">
        <f t="shared" si="81"/>
        <v>99684</v>
      </c>
      <c r="AE807">
        <v>22200</v>
      </c>
    </row>
    <row r="808" spans="25:31">
      <c r="Y808">
        <f t="shared" si="78"/>
        <v>7</v>
      </c>
      <c r="Z808">
        <f t="shared" si="76"/>
        <v>3</v>
      </c>
      <c r="AA808">
        <v>27</v>
      </c>
      <c r="AB808">
        <f t="shared" si="79"/>
        <v>7327</v>
      </c>
      <c r="AC808">
        <f t="shared" si="80"/>
        <v>3834</v>
      </c>
      <c r="AD808">
        <f t="shared" si="81"/>
        <v>103518</v>
      </c>
      <c r="AE808">
        <v>23800</v>
      </c>
    </row>
    <row r="809" spans="25:31">
      <c r="Y809">
        <f t="shared" si="78"/>
        <v>7</v>
      </c>
      <c r="Z809">
        <f t="shared" si="76"/>
        <v>3</v>
      </c>
      <c r="AA809">
        <v>28</v>
      </c>
      <c r="AB809">
        <f t="shared" si="79"/>
        <v>7328</v>
      </c>
      <c r="AC809">
        <f t="shared" si="80"/>
        <v>3834</v>
      </c>
      <c r="AD809">
        <f t="shared" si="81"/>
        <v>107352</v>
      </c>
      <c r="AE809">
        <v>25400</v>
      </c>
    </row>
    <row r="810" spans="25:31">
      <c r="Y810">
        <f t="shared" si="78"/>
        <v>7</v>
      </c>
      <c r="Z810">
        <f t="shared" si="76"/>
        <v>3</v>
      </c>
      <c r="AA810">
        <v>29</v>
      </c>
      <c r="AB810">
        <f t="shared" si="79"/>
        <v>7329</v>
      </c>
      <c r="AC810">
        <f t="shared" si="80"/>
        <v>3834</v>
      </c>
      <c r="AD810">
        <f t="shared" si="81"/>
        <v>111186</v>
      </c>
      <c r="AE810">
        <v>27000</v>
      </c>
    </row>
    <row r="811" spans="25:31">
      <c r="Y811">
        <f t="shared" si="78"/>
        <v>7</v>
      </c>
      <c r="Z811">
        <f t="shared" si="76"/>
        <v>3</v>
      </c>
      <c r="AA811">
        <v>30</v>
      </c>
      <c r="AB811">
        <f t="shared" si="79"/>
        <v>7330</v>
      </c>
      <c r="AC811">
        <f t="shared" si="80"/>
        <v>3834</v>
      </c>
      <c r="AD811">
        <f t="shared" si="81"/>
        <v>115020</v>
      </c>
      <c r="AE811">
        <v>28600</v>
      </c>
    </row>
    <row r="812" spans="25:31">
      <c r="Y812">
        <f t="shared" si="78"/>
        <v>7</v>
      </c>
      <c r="Z812">
        <f t="shared" si="76"/>
        <v>4</v>
      </c>
      <c r="AA812">
        <v>1</v>
      </c>
      <c r="AB812">
        <f t="shared" si="79"/>
        <v>7401</v>
      </c>
      <c r="AC812">
        <f t="shared" si="80"/>
        <v>3834</v>
      </c>
      <c r="AD812">
        <f>AC812</f>
        <v>3834</v>
      </c>
      <c r="AE812">
        <v>1500</v>
      </c>
    </row>
    <row r="813" spans="25:31">
      <c r="Y813">
        <f t="shared" si="78"/>
        <v>7</v>
      </c>
      <c r="Z813">
        <f t="shared" si="76"/>
        <v>4</v>
      </c>
      <c r="AA813">
        <v>2</v>
      </c>
      <c r="AB813">
        <f t="shared" si="79"/>
        <v>7402</v>
      </c>
      <c r="AC813">
        <f t="shared" si="80"/>
        <v>3834</v>
      </c>
      <c r="AD813">
        <f t="shared" ref="AD813:AD841" si="82">AD812+AC813</f>
        <v>7668</v>
      </c>
      <c r="AE813">
        <v>2100</v>
      </c>
    </row>
    <row r="814" spans="25:31">
      <c r="Y814">
        <f t="shared" si="78"/>
        <v>7</v>
      </c>
      <c r="Z814">
        <f t="shared" si="76"/>
        <v>4</v>
      </c>
      <c r="AA814">
        <v>3</v>
      </c>
      <c r="AB814">
        <f t="shared" si="79"/>
        <v>7403</v>
      </c>
      <c r="AC814">
        <f t="shared" si="80"/>
        <v>3834</v>
      </c>
      <c r="AD814">
        <f t="shared" si="82"/>
        <v>11502</v>
      </c>
      <c r="AE814">
        <v>2700</v>
      </c>
    </row>
    <row r="815" spans="25:31">
      <c r="Y815">
        <f t="shared" si="78"/>
        <v>7</v>
      </c>
      <c r="Z815">
        <f t="shared" si="76"/>
        <v>4</v>
      </c>
      <c r="AA815">
        <v>4</v>
      </c>
      <c r="AB815">
        <f t="shared" si="79"/>
        <v>7404</v>
      </c>
      <c r="AC815">
        <f t="shared" si="80"/>
        <v>3834</v>
      </c>
      <c r="AD815">
        <f t="shared" si="82"/>
        <v>15336</v>
      </c>
      <c r="AE815">
        <v>3300</v>
      </c>
    </row>
    <row r="816" spans="25:31">
      <c r="Y816">
        <f t="shared" si="78"/>
        <v>7</v>
      </c>
      <c r="Z816">
        <f t="shared" ref="Z816:Z841" si="83">Z786+1</f>
        <v>4</v>
      </c>
      <c r="AA816">
        <v>5</v>
      </c>
      <c r="AB816">
        <f t="shared" si="79"/>
        <v>7405</v>
      </c>
      <c r="AC816">
        <f t="shared" si="80"/>
        <v>3834</v>
      </c>
      <c r="AD816">
        <f t="shared" si="82"/>
        <v>19170</v>
      </c>
      <c r="AE816">
        <v>3900</v>
      </c>
    </row>
    <row r="817" spans="25:31">
      <c r="Y817">
        <f t="shared" si="78"/>
        <v>7</v>
      </c>
      <c r="Z817">
        <f t="shared" si="83"/>
        <v>4</v>
      </c>
      <c r="AA817">
        <v>6</v>
      </c>
      <c r="AB817">
        <f t="shared" si="79"/>
        <v>7406</v>
      </c>
      <c r="AC817">
        <f t="shared" si="80"/>
        <v>3834</v>
      </c>
      <c r="AD817">
        <f t="shared" si="82"/>
        <v>23004</v>
      </c>
      <c r="AE817">
        <v>4500</v>
      </c>
    </row>
    <row r="818" spans="25:31">
      <c r="Y818">
        <f t="shared" si="78"/>
        <v>7</v>
      </c>
      <c r="Z818">
        <f t="shared" si="83"/>
        <v>4</v>
      </c>
      <c r="AA818">
        <v>7</v>
      </c>
      <c r="AB818">
        <f t="shared" si="79"/>
        <v>7407</v>
      </c>
      <c r="AC818">
        <f t="shared" si="80"/>
        <v>3834</v>
      </c>
      <c r="AD818">
        <f t="shared" si="82"/>
        <v>26838</v>
      </c>
      <c r="AE818">
        <v>5100</v>
      </c>
    </row>
    <row r="819" spans="25:31">
      <c r="Y819">
        <f t="shared" si="78"/>
        <v>7</v>
      </c>
      <c r="Z819">
        <f t="shared" si="83"/>
        <v>4</v>
      </c>
      <c r="AA819">
        <v>8</v>
      </c>
      <c r="AB819">
        <f t="shared" si="79"/>
        <v>7408</v>
      </c>
      <c r="AC819">
        <f t="shared" si="80"/>
        <v>3834</v>
      </c>
      <c r="AD819">
        <f t="shared" si="82"/>
        <v>30672</v>
      </c>
      <c r="AE819">
        <v>5700</v>
      </c>
    </row>
    <row r="820" spans="25:31">
      <c r="Y820">
        <f t="shared" si="78"/>
        <v>7</v>
      </c>
      <c r="Z820">
        <f t="shared" si="83"/>
        <v>4</v>
      </c>
      <c r="AA820">
        <v>9</v>
      </c>
      <c r="AB820">
        <f t="shared" si="79"/>
        <v>7409</v>
      </c>
      <c r="AC820">
        <f t="shared" si="80"/>
        <v>3834</v>
      </c>
      <c r="AD820">
        <f t="shared" si="82"/>
        <v>34506</v>
      </c>
      <c r="AE820">
        <v>6300</v>
      </c>
    </row>
    <row r="821" spans="25:31">
      <c r="Y821">
        <f t="shared" si="78"/>
        <v>7</v>
      </c>
      <c r="Z821">
        <f t="shared" si="83"/>
        <v>4</v>
      </c>
      <c r="AA821">
        <v>10</v>
      </c>
      <c r="AB821">
        <f t="shared" si="79"/>
        <v>7410</v>
      </c>
      <c r="AC821">
        <f t="shared" si="80"/>
        <v>3834</v>
      </c>
      <c r="AD821">
        <f t="shared" si="82"/>
        <v>38340</v>
      </c>
      <c r="AE821">
        <v>6900</v>
      </c>
    </row>
    <row r="822" spans="25:31">
      <c r="Y822">
        <f t="shared" si="78"/>
        <v>7</v>
      </c>
      <c r="Z822">
        <f t="shared" si="83"/>
        <v>4</v>
      </c>
      <c r="AA822">
        <v>11</v>
      </c>
      <c r="AB822">
        <f t="shared" si="79"/>
        <v>7411</v>
      </c>
      <c r="AC822">
        <f t="shared" si="80"/>
        <v>3834</v>
      </c>
      <c r="AD822">
        <f t="shared" si="82"/>
        <v>42174</v>
      </c>
      <c r="AE822">
        <v>8100</v>
      </c>
    </row>
    <row r="823" spans="25:31">
      <c r="Y823">
        <f t="shared" si="78"/>
        <v>7</v>
      </c>
      <c r="Z823">
        <f t="shared" si="83"/>
        <v>4</v>
      </c>
      <c r="AA823">
        <v>12</v>
      </c>
      <c r="AB823">
        <f t="shared" si="79"/>
        <v>7412</v>
      </c>
      <c r="AC823">
        <f t="shared" si="80"/>
        <v>3834</v>
      </c>
      <c r="AD823">
        <f t="shared" si="82"/>
        <v>46008</v>
      </c>
      <c r="AE823">
        <v>9300</v>
      </c>
    </row>
    <row r="824" spans="25:31">
      <c r="Y824">
        <f t="shared" si="78"/>
        <v>7</v>
      </c>
      <c r="Z824">
        <f t="shared" si="83"/>
        <v>4</v>
      </c>
      <c r="AA824">
        <v>13</v>
      </c>
      <c r="AB824">
        <f t="shared" si="79"/>
        <v>7413</v>
      </c>
      <c r="AC824">
        <f t="shared" si="80"/>
        <v>3834</v>
      </c>
      <c r="AD824">
        <f t="shared" si="82"/>
        <v>49842</v>
      </c>
      <c r="AE824">
        <v>10500</v>
      </c>
    </row>
    <row r="825" spans="25:31">
      <c r="Y825">
        <f t="shared" si="78"/>
        <v>7</v>
      </c>
      <c r="Z825">
        <f t="shared" si="83"/>
        <v>4</v>
      </c>
      <c r="AA825">
        <v>14</v>
      </c>
      <c r="AB825">
        <f t="shared" si="79"/>
        <v>7414</v>
      </c>
      <c r="AC825">
        <f t="shared" si="80"/>
        <v>3834</v>
      </c>
      <c r="AD825">
        <f t="shared" si="82"/>
        <v>53676</v>
      </c>
      <c r="AE825">
        <v>11700</v>
      </c>
    </row>
    <row r="826" spans="25:31">
      <c r="Y826">
        <f t="shared" si="78"/>
        <v>7</v>
      </c>
      <c r="Z826">
        <f t="shared" si="83"/>
        <v>4</v>
      </c>
      <c r="AA826">
        <v>15</v>
      </c>
      <c r="AB826">
        <f t="shared" si="79"/>
        <v>7415</v>
      </c>
      <c r="AC826">
        <f t="shared" si="80"/>
        <v>3834</v>
      </c>
      <c r="AD826">
        <f t="shared" si="82"/>
        <v>57510</v>
      </c>
      <c r="AE826">
        <v>12900</v>
      </c>
    </row>
    <row r="827" spans="25:31">
      <c r="Y827">
        <f t="shared" ref="Y827:Y890" si="84">Y707+1</f>
        <v>7</v>
      </c>
      <c r="Z827">
        <f t="shared" si="83"/>
        <v>4</v>
      </c>
      <c r="AA827">
        <v>16</v>
      </c>
      <c r="AB827">
        <f t="shared" si="79"/>
        <v>7416</v>
      </c>
      <c r="AC827">
        <f t="shared" si="80"/>
        <v>3834</v>
      </c>
      <c r="AD827">
        <f t="shared" si="82"/>
        <v>61344</v>
      </c>
      <c r="AE827">
        <v>14100</v>
      </c>
    </row>
    <row r="828" spans="25:31">
      <c r="Y828">
        <f t="shared" si="84"/>
        <v>7</v>
      </c>
      <c r="Z828">
        <f t="shared" si="83"/>
        <v>4</v>
      </c>
      <c r="AA828">
        <v>17</v>
      </c>
      <c r="AB828">
        <f t="shared" si="79"/>
        <v>7417</v>
      </c>
      <c r="AC828">
        <f t="shared" si="80"/>
        <v>3834</v>
      </c>
      <c r="AD828">
        <f t="shared" si="82"/>
        <v>65178</v>
      </c>
      <c r="AE828">
        <v>15300</v>
      </c>
    </row>
    <row r="829" spans="25:31">
      <c r="Y829">
        <f t="shared" si="84"/>
        <v>7</v>
      </c>
      <c r="Z829">
        <f t="shared" si="83"/>
        <v>4</v>
      </c>
      <c r="AA829">
        <v>18</v>
      </c>
      <c r="AB829">
        <f t="shared" si="79"/>
        <v>7418</v>
      </c>
      <c r="AC829">
        <f t="shared" si="80"/>
        <v>3834</v>
      </c>
      <c r="AD829">
        <f t="shared" si="82"/>
        <v>69012</v>
      </c>
      <c r="AE829">
        <v>16500</v>
      </c>
    </row>
    <row r="830" spans="25:31">
      <c r="Y830">
        <f t="shared" si="84"/>
        <v>7</v>
      </c>
      <c r="Z830">
        <f t="shared" si="83"/>
        <v>4</v>
      </c>
      <c r="AA830">
        <v>19</v>
      </c>
      <c r="AB830">
        <f t="shared" si="79"/>
        <v>7419</v>
      </c>
      <c r="AC830">
        <f t="shared" si="80"/>
        <v>3834</v>
      </c>
      <c r="AD830">
        <f t="shared" si="82"/>
        <v>72846</v>
      </c>
      <c r="AE830">
        <v>17700</v>
      </c>
    </row>
    <row r="831" spans="25:31">
      <c r="Y831">
        <f t="shared" si="84"/>
        <v>7</v>
      </c>
      <c r="Z831">
        <f t="shared" si="83"/>
        <v>4</v>
      </c>
      <c r="AA831">
        <v>20</v>
      </c>
      <c r="AB831">
        <f t="shared" si="79"/>
        <v>7420</v>
      </c>
      <c r="AC831">
        <f t="shared" si="80"/>
        <v>3834</v>
      </c>
      <c r="AD831">
        <f t="shared" si="82"/>
        <v>76680</v>
      </c>
      <c r="AE831">
        <v>18900</v>
      </c>
    </row>
    <row r="832" spans="25:31">
      <c r="Y832">
        <f t="shared" si="84"/>
        <v>7</v>
      </c>
      <c r="Z832">
        <f t="shared" si="83"/>
        <v>4</v>
      </c>
      <c r="AA832">
        <v>21</v>
      </c>
      <c r="AB832">
        <f t="shared" si="79"/>
        <v>7421</v>
      </c>
      <c r="AC832">
        <f t="shared" si="80"/>
        <v>3834</v>
      </c>
      <c r="AD832">
        <f t="shared" si="82"/>
        <v>80514</v>
      </c>
      <c r="AE832">
        <v>21300</v>
      </c>
    </row>
    <row r="833" spans="25:31">
      <c r="Y833">
        <f t="shared" si="84"/>
        <v>7</v>
      </c>
      <c r="Z833">
        <f t="shared" si="83"/>
        <v>4</v>
      </c>
      <c r="AA833">
        <v>22</v>
      </c>
      <c r="AB833">
        <f t="shared" si="79"/>
        <v>7422</v>
      </c>
      <c r="AC833">
        <f t="shared" si="80"/>
        <v>3834</v>
      </c>
      <c r="AD833">
        <f t="shared" si="82"/>
        <v>84348</v>
      </c>
      <c r="AE833">
        <v>23700</v>
      </c>
    </row>
    <row r="834" spans="25:31">
      <c r="Y834">
        <f t="shared" si="84"/>
        <v>7</v>
      </c>
      <c r="Z834">
        <f t="shared" si="83"/>
        <v>4</v>
      </c>
      <c r="AA834">
        <v>23</v>
      </c>
      <c r="AB834">
        <f t="shared" si="79"/>
        <v>7423</v>
      </c>
      <c r="AC834">
        <f t="shared" si="80"/>
        <v>3834</v>
      </c>
      <c r="AD834">
        <f t="shared" si="82"/>
        <v>88182</v>
      </c>
      <c r="AE834">
        <v>26100</v>
      </c>
    </row>
    <row r="835" spans="25:31">
      <c r="Y835">
        <f t="shared" si="84"/>
        <v>7</v>
      </c>
      <c r="Z835">
        <f t="shared" si="83"/>
        <v>4</v>
      </c>
      <c r="AA835">
        <v>24</v>
      </c>
      <c r="AB835">
        <f t="shared" ref="AB835:AB898" si="85">Y835*1000+Z835*100+AA835</f>
        <v>7424</v>
      </c>
      <c r="AC835">
        <f t="shared" si="80"/>
        <v>3834</v>
      </c>
      <c r="AD835">
        <f t="shared" si="82"/>
        <v>92016</v>
      </c>
      <c r="AE835">
        <v>28500</v>
      </c>
    </row>
    <row r="836" spans="25:31">
      <c r="Y836">
        <f t="shared" si="84"/>
        <v>7</v>
      </c>
      <c r="Z836">
        <f t="shared" si="83"/>
        <v>4</v>
      </c>
      <c r="AA836">
        <v>25</v>
      </c>
      <c r="AB836">
        <f t="shared" si="85"/>
        <v>7425</v>
      </c>
      <c r="AC836">
        <f t="shared" ref="AC836:AC899" si="86">AC835</f>
        <v>3834</v>
      </c>
      <c r="AD836">
        <f t="shared" si="82"/>
        <v>95850</v>
      </c>
      <c r="AE836">
        <v>30900</v>
      </c>
    </row>
    <row r="837" spans="25:31">
      <c r="Y837">
        <f t="shared" si="84"/>
        <v>7</v>
      </c>
      <c r="Z837">
        <f t="shared" si="83"/>
        <v>4</v>
      </c>
      <c r="AA837">
        <v>26</v>
      </c>
      <c r="AB837">
        <f t="shared" si="85"/>
        <v>7426</v>
      </c>
      <c r="AC837">
        <f t="shared" si="86"/>
        <v>3834</v>
      </c>
      <c r="AD837">
        <f t="shared" si="82"/>
        <v>99684</v>
      </c>
      <c r="AE837">
        <v>33300</v>
      </c>
    </row>
    <row r="838" spans="25:31">
      <c r="Y838">
        <f t="shared" si="84"/>
        <v>7</v>
      </c>
      <c r="Z838">
        <f t="shared" si="83"/>
        <v>4</v>
      </c>
      <c r="AA838">
        <v>27</v>
      </c>
      <c r="AB838">
        <f t="shared" si="85"/>
        <v>7427</v>
      </c>
      <c r="AC838">
        <f t="shared" si="86"/>
        <v>3834</v>
      </c>
      <c r="AD838">
        <f t="shared" si="82"/>
        <v>103518</v>
      </c>
      <c r="AE838">
        <v>35700</v>
      </c>
    </row>
    <row r="839" spans="25:31">
      <c r="Y839">
        <f t="shared" si="84"/>
        <v>7</v>
      </c>
      <c r="Z839">
        <f t="shared" si="83"/>
        <v>4</v>
      </c>
      <c r="AA839">
        <v>28</v>
      </c>
      <c r="AB839">
        <f t="shared" si="85"/>
        <v>7428</v>
      </c>
      <c r="AC839">
        <f t="shared" si="86"/>
        <v>3834</v>
      </c>
      <c r="AD839">
        <f t="shared" si="82"/>
        <v>107352</v>
      </c>
      <c r="AE839">
        <v>38100</v>
      </c>
    </row>
    <row r="840" spans="25:31">
      <c r="Y840">
        <f t="shared" si="84"/>
        <v>7</v>
      </c>
      <c r="Z840">
        <f t="shared" si="83"/>
        <v>4</v>
      </c>
      <c r="AA840">
        <v>29</v>
      </c>
      <c r="AB840">
        <f t="shared" si="85"/>
        <v>7429</v>
      </c>
      <c r="AC840">
        <f t="shared" si="86"/>
        <v>3834</v>
      </c>
      <c r="AD840">
        <f t="shared" si="82"/>
        <v>111186</v>
      </c>
      <c r="AE840">
        <v>40500</v>
      </c>
    </row>
    <row r="841" spans="25:31">
      <c r="Y841">
        <f t="shared" si="84"/>
        <v>7</v>
      </c>
      <c r="Z841">
        <f t="shared" si="83"/>
        <v>4</v>
      </c>
      <c r="AA841">
        <v>30</v>
      </c>
      <c r="AB841">
        <f t="shared" si="85"/>
        <v>7430</v>
      </c>
      <c r="AC841">
        <f t="shared" si="86"/>
        <v>3834</v>
      </c>
      <c r="AD841">
        <f t="shared" si="82"/>
        <v>115020</v>
      </c>
      <c r="AE841">
        <v>42900</v>
      </c>
    </row>
    <row r="842" ht="15" spans="25:31">
      <c r="Y842">
        <f t="shared" si="84"/>
        <v>8</v>
      </c>
      <c r="Z842">
        <v>1</v>
      </c>
      <c r="AA842">
        <v>1</v>
      </c>
      <c r="AB842">
        <f t="shared" si="85"/>
        <v>8101</v>
      </c>
      <c r="AC842">
        <f t="shared" si="86"/>
        <v>3834</v>
      </c>
      <c r="AD842">
        <f>AC842</f>
        <v>3834</v>
      </c>
      <c r="AE842" s="17">
        <v>500</v>
      </c>
    </row>
    <row r="843" ht="15" spans="25:31">
      <c r="Y843">
        <f t="shared" si="84"/>
        <v>8</v>
      </c>
      <c r="Z843">
        <v>1</v>
      </c>
      <c r="AA843">
        <v>2</v>
      </c>
      <c r="AB843">
        <f t="shared" si="85"/>
        <v>8102</v>
      </c>
      <c r="AC843">
        <f t="shared" si="86"/>
        <v>3834</v>
      </c>
      <c r="AD843">
        <f t="shared" ref="AD843:AD871" si="87">AD842+AC843</f>
        <v>7668</v>
      </c>
      <c r="AE843" s="78">
        <v>700</v>
      </c>
    </row>
    <row r="844" ht="15" spans="25:31">
      <c r="Y844">
        <f t="shared" si="84"/>
        <v>8</v>
      </c>
      <c r="Z844">
        <v>1</v>
      </c>
      <c r="AA844">
        <v>3</v>
      </c>
      <c r="AB844">
        <f t="shared" si="85"/>
        <v>8103</v>
      </c>
      <c r="AC844">
        <f t="shared" si="86"/>
        <v>3834</v>
      </c>
      <c r="AD844">
        <f t="shared" si="87"/>
        <v>11502</v>
      </c>
      <c r="AE844" s="78">
        <v>900</v>
      </c>
    </row>
    <row r="845" ht="15" spans="25:31">
      <c r="Y845">
        <f t="shared" si="84"/>
        <v>8</v>
      </c>
      <c r="Z845">
        <v>1</v>
      </c>
      <c r="AA845">
        <v>4</v>
      </c>
      <c r="AB845">
        <f t="shared" si="85"/>
        <v>8104</v>
      </c>
      <c r="AC845">
        <f t="shared" si="86"/>
        <v>3834</v>
      </c>
      <c r="AD845">
        <f t="shared" si="87"/>
        <v>15336</v>
      </c>
      <c r="AE845" s="78">
        <v>1100</v>
      </c>
    </row>
    <row r="846" ht="15" spans="25:31">
      <c r="Y846">
        <f t="shared" si="84"/>
        <v>8</v>
      </c>
      <c r="Z846">
        <v>1</v>
      </c>
      <c r="AA846">
        <v>5</v>
      </c>
      <c r="AB846">
        <f t="shared" si="85"/>
        <v>8105</v>
      </c>
      <c r="AC846">
        <f t="shared" si="86"/>
        <v>3834</v>
      </c>
      <c r="AD846">
        <f t="shared" si="87"/>
        <v>19170</v>
      </c>
      <c r="AE846" s="78">
        <v>1300</v>
      </c>
    </row>
    <row r="847" ht="15" spans="25:31">
      <c r="Y847">
        <f t="shared" si="84"/>
        <v>8</v>
      </c>
      <c r="Z847">
        <v>1</v>
      </c>
      <c r="AA847">
        <v>6</v>
      </c>
      <c r="AB847">
        <f t="shared" si="85"/>
        <v>8106</v>
      </c>
      <c r="AC847">
        <f t="shared" si="86"/>
        <v>3834</v>
      </c>
      <c r="AD847">
        <f t="shared" si="87"/>
        <v>23004</v>
      </c>
      <c r="AE847" s="78">
        <v>1500</v>
      </c>
    </row>
    <row r="848" ht="15" spans="25:31">
      <c r="Y848">
        <f t="shared" si="84"/>
        <v>8</v>
      </c>
      <c r="Z848">
        <v>1</v>
      </c>
      <c r="AA848">
        <v>7</v>
      </c>
      <c r="AB848">
        <f t="shared" si="85"/>
        <v>8107</v>
      </c>
      <c r="AC848">
        <f t="shared" si="86"/>
        <v>3834</v>
      </c>
      <c r="AD848">
        <f t="shared" si="87"/>
        <v>26838</v>
      </c>
      <c r="AE848" s="78">
        <v>1700</v>
      </c>
    </row>
    <row r="849" ht="15" spans="25:31">
      <c r="Y849">
        <f t="shared" si="84"/>
        <v>8</v>
      </c>
      <c r="Z849">
        <v>1</v>
      </c>
      <c r="AA849">
        <v>8</v>
      </c>
      <c r="AB849">
        <f t="shared" si="85"/>
        <v>8108</v>
      </c>
      <c r="AC849">
        <f t="shared" si="86"/>
        <v>3834</v>
      </c>
      <c r="AD849">
        <f t="shared" si="87"/>
        <v>30672</v>
      </c>
      <c r="AE849" s="78">
        <v>1900</v>
      </c>
    </row>
    <row r="850" ht="15" spans="25:31">
      <c r="Y850">
        <f t="shared" si="84"/>
        <v>8</v>
      </c>
      <c r="Z850">
        <v>1</v>
      </c>
      <c r="AA850">
        <v>9</v>
      </c>
      <c r="AB850">
        <f t="shared" si="85"/>
        <v>8109</v>
      </c>
      <c r="AC850">
        <f t="shared" si="86"/>
        <v>3834</v>
      </c>
      <c r="AD850">
        <f t="shared" si="87"/>
        <v>34506</v>
      </c>
      <c r="AE850" s="78">
        <v>2100</v>
      </c>
    </row>
    <row r="851" ht="15" spans="25:31">
      <c r="Y851">
        <f t="shared" si="84"/>
        <v>8</v>
      </c>
      <c r="Z851">
        <v>1</v>
      </c>
      <c r="AA851">
        <v>10</v>
      </c>
      <c r="AB851">
        <f t="shared" si="85"/>
        <v>8110</v>
      </c>
      <c r="AC851">
        <f t="shared" si="86"/>
        <v>3834</v>
      </c>
      <c r="AD851">
        <f t="shared" si="87"/>
        <v>38340</v>
      </c>
      <c r="AE851" s="78">
        <v>2300</v>
      </c>
    </row>
    <row r="852" ht="15" spans="25:31">
      <c r="Y852">
        <f t="shared" si="84"/>
        <v>8</v>
      </c>
      <c r="Z852">
        <v>1</v>
      </c>
      <c r="AA852">
        <v>11</v>
      </c>
      <c r="AB852">
        <f t="shared" si="85"/>
        <v>8111</v>
      </c>
      <c r="AC852">
        <f t="shared" si="86"/>
        <v>3834</v>
      </c>
      <c r="AD852">
        <f t="shared" si="87"/>
        <v>42174</v>
      </c>
      <c r="AE852" s="78">
        <v>2700</v>
      </c>
    </row>
    <row r="853" ht="15" spans="25:31">
      <c r="Y853">
        <f t="shared" si="84"/>
        <v>8</v>
      </c>
      <c r="Z853">
        <v>1</v>
      </c>
      <c r="AA853">
        <v>12</v>
      </c>
      <c r="AB853">
        <f t="shared" si="85"/>
        <v>8112</v>
      </c>
      <c r="AC853">
        <f t="shared" si="86"/>
        <v>3834</v>
      </c>
      <c r="AD853">
        <f t="shared" si="87"/>
        <v>46008</v>
      </c>
      <c r="AE853" s="78">
        <v>3100</v>
      </c>
    </row>
    <row r="854" ht="15" spans="25:31">
      <c r="Y854">
        <f t="shared" si="84"/>
        <v>8</v>
      </c>
      <c r="Z854">
        <v>1</v>
      </c>
      <c r="AA854">
        <v>13</v>
      </c>
      <c r="AB854">
        <f t="shared" si="85"/>
        <v>8113</v>
      </c>
      <c r="AC854">
        <f t="shared" si="86"/>
        <v>3834</v>
      </c>
      <c r="AD854">
        <f t="shared" si="87"/>
        <v>49842</v>
      </c>
      <c r="AE854" s="78">
        <v>3500</v>
      </c>
    </row>
    <row r="855" ht="15" spans="25:31">
      <c r="Y855">
        <f t="shared" si="84"/>
        <v>8</v>
      </c>
      <c r="Z855">
        <v>1</v>
      </c>
      <c r="AA855">
        <v>14</v>
      </c>
      <c r="AB855">
        <f t="shared" si="85"/>
        <v>8114</v>
      </c>
      <c r="AC855">
        <f t="shared" si="86"/>
        <v>3834</v>
      </c>
      <c r="AD855">
        <f t="shared" si="87"/>
        <v>53676</v>
      </c>
      <c r="AE855" s="78">
        <v>3900</v>
      </c>
    </row>
    <row r="856" ht="15" spans="25:31">
      <c r="Y856">
        <f t="shared" si="84"/>
        <v>8</v>
      </c>
      <c r="Z856">
        <v>1</v>
      </c>
      <c r="AA856">
        <v>15</v>
      </c>
      <c r="AB856">
        <f t="shared" si="85"/>
        <v>8115</v>
      </c>
      <c r="AC856">
        <f t="shared" si="86"/>
        <v>3834</v>
      </c>
      <c r="AD856">
        <f t="shared" si="87"/>
        <v>57510</v>
      </c>
      <c r="AE856" s="78">
        <v>4300</v>
      </c>
    </row>
    <row r="857" ht="15" spans="25:31">
      <c r="Y857">
        <f t="shared" si="84"/>
        <v>8</v>
      </c>
      <c r="Z857">
        <v>1</v>
      </c>
      <c r="AA857">
        <v>16</v>
      </c>
      <c r="AB857">
        <f t="shared" si="85"/>
        <v>8116</v>
      </c>
      <c r="AC857">
        <f t="shared" si="86"/>
        <v>3834</v>
      </c>
      <c r="AD857">
        <f t="shared" si="87"/>
        <v>61344</v>
      </c>
      <c r="AE857" s="78">
        <v>4700</v>
      </c>
    </row>
    <row r="858" ht="15" spans="25:31">
      <c r="Y858">
        <f t="shared" si="84"/>
        <v>8</v>
      </c>
      <c r="Z858">
        <v>1</v>
      </c>
      <c r="AA858">
        <v>17</v>
      </c>
      <c r="AB858">
        <f t="shared" si="85"/>
        <v>8117</v>
      </c>
      <c r="AC858">
        <f t="shared" si="86"/>
        <v>3834</v>
      </c>
      <c r="AD858">
        <f t="shared" si="87"/>
        <v>65178</v>
      </c>
      <c r="AE858" s="78">
        <v>5100</v>
      </c>
    </row>
    <row r="859" ht="15" spans="25:31">
      <c r="Y859">
        <f t="shared" si="84"/>
        <v>8</v>
      </c>
      <c r="Z859">
        <v>1</v>
      </c>
      <c r="AA859">
        <v>18</v>
      </c>
      <c r="AB859">
        <f t="shared" si="85"/>
        <v>8118</v>
      </c>
      <c r="AC859">
        <f t="shared" si="86"/>
        <v>3834</v>
      </c>
      <c r="AD859">
        <f t="shared" si="87"/>
        <v>69012</v>
      </c>
      <c r="AE859" s="78">
        <v>5500</v>
      </c>
    </row>
    <row r="860" ht="15" spans="25:31">
      <c r="Y860">
        <f t="shared" si="84"/>
        <v>8</v>
      </c>
      <c r="Z860">
        <v>1</v>
      </c>
      <c r="AA860">
        <v>19</v>
      </c>
      <c r="AB860">
        <f t="shared" si="85"/>
        <v>8119</v>
      </c>
      <c r="AC860">
        <f t="shared" si="86"/>
        <v>3834</v>
      </c>
      <c r="AD860">
        <f t="shared" si="87"/>
        <v>72846</v>
      </c>
      <c r="AE860" s="78">
        <v>5900</v>
      </c>
    </row>
    <row r="861" ht="15" spans="25:31">
      <c r="Y861">
        <f t="shared" si="84"/>
        <v>8</v>
      </c>
      <c r="Z861">
        <v>1</v>
      </c>
      <c r="AA861">
        <v>20</v>
      </c>
      <c r="AB861">
        <f t="shared" si="85"/>
        <v>8120</v>
      </c>
      <c r="AC861">
        <f t="shared" si="86"/>
        <v>3834</v>
      </c>
      <c r="AD861">
        <f t="shared" si="87"/>
        <v>76680</v>
      </c>
      <c r="AE861" s="78">
        <v>6300</v>
      </c>
    </row>
    <row r="862" ht="15" spans="25:31">
      <c r="Y862">
        <f t="shared" si="84"/>
        <v>8</v>
      </c>
      <c r="Z862">
        <v>1</v>
      </c>
      <c r="AA862">
        <v>21</v>
      </c>
      <c r="AB862">
        <f t="shared" si="85"/>
        <v>8121</v>
      </c>
      <c r="AC862">
        <f t="shared" si="86"/>
        <v>3834</v>
      </c>
      <c r="AD862">
        <f t="shared" si="87"/>
        <v>80514</v>
      </c>
      <c r="AE862" s="78">
        <v>7100</v>
      </c>
    </row>
    <row r="863" ht="15" spans="25:31">
      <c r="Y863">
        <f t="shared" si="84"/>
        <v>8</v>
      </c>
      <c r="Z863">
        <v>1</v>
      </c>
      <c r="AA863">
        <v>22</v>
      </c>
      <c r="AB863">
        <f t="shared" si="85"/>
        <v>8122</v>
      </c>
      <c r="AC863">
        <f t="shared" si="86"/>
        <v>3834</v>
      </c>
      <c r="AD863">
        <f t="shared" si="87"/>
        <v>84348</v>
      </c>
      <c r="AE863" s="78">
        <v>7900</v>
      </c>
    </row>
    <row r="864" ht="15" spans="25:31">
      <c r="Y864">
        <f t="shared" si="84"/>
        <v>8</v>
      </c>
      <c r="Z864">
        <v>1</v>
      </c>
      <c r="AA864">
        <v>23</v>
      </c>
      <c r="AB864">
        <f t="shared" si="85"/>
        <v>8123</v>
      </c>
      <c r="AC864">
        <f t="shared" si="86"/>
        <v>3834</v>
      </c>
      <c r="AD864">
        <f t="shared" si="87"/>
        <v>88182</v>
      </c>
      <c r="AE864" s="78">
        <v>8700</v>
      </c>
    </row>
    <row r="865" ht="15" spans="25:31">
      <c r="Y865">
        <f t="shared" si="84"/>
        <v>8</v>
      </c>
      <c r="Z865">
        <v>1</v>
      </c>
      <c r="AA865">
        <v>24</v>
      </c>
      <c r="AB865">
        <f t="shared" si="85"/>
        <v>8124</v>
      </c>
      <c r="AC865">
        <f t="shared" si="86"/>
        <v>3834</v>
      </c>
      <c r="AD865">
        <f t="shared" si="87"/>
        <v>92016</v>
      </c>
      <c r="AE865" s="78">
        <v>9500</v>
      </c>
    </row>
    <row r="866" ht="15" spans="25:31">
      <c r="Y866">
        <f t="shared" si="84"/>
        <v>8</v>
      </c>
      <c r="Z866">
        <v>1</v>
      </c>
      <c r="AA866">
        <v>25</v>
      </c>
      <c r="AB866">
        <f t="shared" si="85"/>
        <v>8125</v>
      </c>
      <c r="AC866">
        <f t="shared" si="86"/>
        <v>3834</v>
      </c>
      <c r="AD866">
        <f t="shared" si="87"/>
        <v>95850</v>
      </c>
      <c r="AE866" s="78">
        <v>10300</v>
      </c>
    </row>
    <row r="867" ht="15" spans="25:31">
      <c r="Y867">
        <f t="shared" si="84"/>
        <v>8</v>
      </c>
      <c r="Z867">
        <v>1</v>
      </c>
      <c r="AA867">
        <v>26</v>
      </c>
      <c r="AB867">
        <f t="shared" si="85"/>
        <v>8126</v>
      </c>
      <c r="AC867">
        <f t="shared" si="86"/>
        <v>3834</v>
      </c>
      <c r="AD867">
        <f t="shared" si="87"/>
        <v>99684</v>
      </c>
      <c r="AE867" s="78">
        <v>11100</v>
      </c>
    </row>
    <row r="868" ht="15" spans="25:31">
      <c r="Y868">
        <f t="shared" si="84"/>
        <v>8</v>
      </c>
      <c r="Z868">
        <v>1</v>
      </c>
      <c r="AA868">
        <v>27</v>
      </c>
      <c r="AB868">
        <f t="shared" si="85"/>
        <v>8127</v>
      </c>
      <c r="AC868">
        <f t="shared" si="86"/>
        <v>3834</v>
      </c>
      <c r="AD868">
        <f t="shared" si="87"/>
        <v>103518</v>
      </c>
      <c r="AE868" s="78">
        <v>11900</v>
      </c>
    </row>
    <row r="869" ht="15" spans="25:31">
      <c r="Y869">
        <f t="shared" si="84"/>
        <v>8</v>
      </c>
      <c r="Z869">
        <v>1</v>
      </c>
      <c r="AA869">
        <v>28</v>
      </c>
      <c r="AB869">
        <f t="shared" si="85"/>
        <v>8128</v>
      </c>
      <c r="AC869">
        <f t="shared" si="86"/>
        <v>3834</v>
      </c>
      <c r="AD869">
        <f t="shared" si="87"/>
        <v>107352</v>
      </c>
      <c r="AE869" s="78">
        <v>12700</v>
      </c>
    </row>
    <row r="870" ht="15" spans="25:31">
      <c r="Y870">
        <f t="shared" si="84"/>
        <v>8</v>
      </c>
      <c r="Z870">
        <v>1</v>
      </c>
      <c r="AA870">
        <v>29</v>
      </c>
      <c r="AB870">
        <f t="shared" si="85"/>
        <v>8129</v>
      </c>
      <c r="AC870">
        <f t="shared" si="86"/>
        <v>3834</v>
      </c>
      <c r="AD870">
        <f t="shared" si="87"/>
        <v>111186</v>
      </c>
      <c r="AE870" s="78">
        <v>13500</v>
      </c>
    </row>
    <row r="871" ht="15" spans="25:31">
      <c r="Y871">
        <f t="shared" si="84"/>
        <v>8</v>
      </c>
      <c r="Z871">
        <v>1</v>
      </c>
      <c r="AA871">
        <v>30</v>
      </c>
      <c r="AB871">
        <f t="shared" si="85"/>
        <v>8130</v>
      </c>
      <c r="AC871">
        <f t="shared" si="86"/>
        <v>3834</v>
      </c>
      <c r="AD871">
        <f t="shared" si="87"/>
        <v>115020</v>
      </c>
      <c r="AE871" s="78">
        <v>14300</v>
      </c>
    </row>
    <row r="872" ht="15" spans="25:31">
      <c r="Y872">
        <f t="shared" si="84"/>
        <v>8</v>
      </c>
      <c r="Z872">
        <f t="shared" ref="Z872:Z935" si="88">Z842+1</f>
        <v>2</v>
      </c>
      <c r="AA872">
        <v>1</v>
      </c>
      <c r="AB872">
        <f t="shared" si="85"/>
        <v>8201</v>
      </c>
      <c r="AC872">
        <f t="shared" si="86"/>
        <v>3834</v>
      </c>
      <c r="AD872">
        <f>AC872</f>
        <v>3834</v>
      </c>
      <c r="AE872" s="78">
        <v>750</v>
      </c>
    </row>
    <row r="873" ht="15" spans="25:31">
      <c r="Y873">
        <f t="shared" si="84"/>
        <v>8</v>
      </c>
      <c r="Z873">
        <f t="shared" si="88"/>
        <v>2</v>
      </c>
      <c r="AA873">
        <v>2</v>
      </c>
      <c r="AB873">
        <f t="shared" si="85"/>
        <v>8202</v>
      </c>
      <c r="AC873">
        <f t="shared" si="86"/>
        <v>3834</v>
      </c>
      <c r="AD873">
        <f t="shared" ref="AD873:AD901" si="89">AD872+AC873</f>
        <v>7668</v>
      </c>
      <c r="AE873" s="78">
        <v>1050</v>
      </c>
    </row>
    <row r="874" ht="15" spans="25:31">
      <c r="Y874">
        <f t="shared" si="84"/>
        <v>8</v>
      </c>
      <c r="Z874">
        <f t="shared" si="88"/>
        <v>2</v>
      </c>
      <c r="AA874">
        <v>3</v>
      </c>
      <c r="AB874">
        <f t="shared" si="85"/>
        <v>8203</v>
      </c>
      <c r="AC874">
        <f t="shared" si="86"/>
        <v>3834</v>
      </c>
      <c r="AD874">
        <f t="shared" si="89"/>
        <v>11502</v>
      </c>
      <c r="AE874" s="78">
        <v>1350</v>
      </c>
    </row>
    <row r="875" ht="15" spans="25:31">
      <c r="Y875">
        <f t="shared" si="84"/>
        <v>8</v>
      </c>
      <c r="Z875">
        <f t="shared" si="88"/>
        <v>2</v>
      </c>
      <c r="AA875">
        <v>4</v>
      </c>
      <c r="AB875">
        <f t="shared" si="85"/>
        <v>8204</v>
      </c>
      <c r="AC875">
        <f t="shared" si="86"/>
        <v>3834</v>
      </c>
      <c r="AD875">
        <f t="shared" si="89"/>
        <v>15336</v>
      </c>
      <c r="AE875" s="78">
        <v>1650</v>
      </c>
    </row>
    <row r="876" ht="15" spans="25:31">
      <c r="Y876">
        <f t="shared" si="84"/>
        <v>8</v>
      </c>
      <c r="Z876">
        <f t="shared" si="88"/>
        <v>2</v>
      </c>
      <c r="AA876">
        <v>5</v>
      </c>
      <c r="AB876">
        <f t="shared" si="85"/>
        <v>8205</v>
      </c>
      <c r="AC876">
        <f t="shared" si="86"/>
        <v>3834</v>
      </c>
      <c r="AD876">
        <f t="shared" si="89"/>
        <v>19170</v>
      </c>
      <c r="AE876" s="78">
        <v>1950</v>
      </c>
    </row>
    <row r="877" ht="15" spans="25:31">
      <c r="Y877">
        <f t="shared" si="84"/>
        <v>8</v>
      </c>
      <c r="Z877">
        <f t="shared" si="88"/>
        <v>2</v>
      </c>
      <c r="AA877">
        <v>6</v>
      </c>
      <c r="AB877">
        <f t="shared" si="85"/>
        <v>8206</v>
      </c>
      <c r="AC877">
        <f t="shared" si="86"/>
        <v>3834</v>
      </c>
      <c r="AD877">
        <f t="shared" si="89"/>
        <v>23004</v>
      </c>
      <c r="AE877" s="78">
        <v>2250</v>
      </c>
    </row>
    <row r="878" ht="15" spans="25:31">
      <c r="Y878">
        <f t="shared" si="84"/>
        <v>8</v>
      </c>
      <c r="Z878">
        <f t="shared" si="88"/>
        <v>2</v>
      </c>
      <c r="AA878">
        <v>7</v>
      </c>
      <c r="AB878">
        <f t="shared" si="85"/>
        <v>8207</v>
      </c>
      <c r="AC878">
        <f t="shared" si="86"/>
        <v>3834</v>
      </c>
      <c r="AD878">
        <f t="shared" si="89"/>
        <v>26838</v>
      </c>
      <c r="AE878" s="78">
        <v>2550</v>
      </c>
    </row>
    <row r="879" ht="15" spans="25:31">
      <c r="Y879">
        <f t="shared" si="84"/>
        <v>8</v>
      </c>
      <c r="Z879">
        <f t="shared" si="88"/>
        <v>2</v>
      </c>
      <c r="AA879">
        <v>8</v>
      </c>
      <c r="AB879">
        <f t="shared" si="85"/>
        <v>8208</v>
      </c>
      <c r="AC879">
        <f t="shared" si="86"/>
        <v>3834</v>
      </c>
      <c r="AD879">
        <f t="shared" si="89"/>
        <v>30672</v>
      </c>
      <c r="AE879" s="78">
        <v>2850</v>
      </c>
    </row>
    <row r="880" ht="15" spans="25:31">
      <c r="Y880">
        <f t="shared" si="84"/>
        <v>8</v>
      </c>
      <c r="Z880">
        <f t="shared" si="88"/>
        <v>2</v>
      </c>
      <c r="AA880">
        <v>9</v>
      </c>
      <c r="AB880">
        <f t="shared" si="85"/>
        <v>8209</v>
      </c>
      <c r="AC880">
        <f t="shared" si="86"/>
        <v>3834</v>
      </c>
      <c r="AD880">
        <f t="shared" si="89"/>
        <v>34506</v>
      </c>
      <c r="AE880" s="78">
        <v>3150</v>
      </c>
    </row>
    <row r="881" ht="15" spans="25:31">
      <c r="Y881">
        <f t="shared" si="84"/>
        <v>8</v>
      </c>
      <c r="Z881">
        <f t="shared" si="88"/>
        <v>2</v>
      </c>
      <c r="AA881">
        <v>10</v>
      </c>
      <c r="AB881">
        <f t="shared" si="85"/>
        <v>8210</v>
      </c>
      <c r="AC881">
        <f t="shared" si="86"/>
        <v>3834</v>
      </c>
      <c r="AD881">
        <f t="shared" si="89"/>
        <v>38340</v>
      </c>
      <c r="AE881" s="78">
        <v>3450</v>
      </c>
    </row>
    <row r="882" ht="15" spans="25:31">
      <c r="Y882">
        <f t="shared" si="84"/>
        <v>8</v>
      </c>
      <c r="Z882">
        <f t="shared" si="88"/>
        <v>2</v>
      </c>
      <c r="AA882">
        <v>11</v>
      </c>
      <c r="AB882">
        <f t="shared" si="85"/>
        <v>8211</v>
      </c>
      <c r="AC882">
        <f t="shared" si="86"/>
        <v>3834</v>
      </c>
      <c r="AD882">
        <f t="shared" si="89"/>
        <v>42174</v>
      </c>
      <c r="AE882" s="78">
        <v>4050</v>
      </c>
    </row>
    <row r="883" ht="15" spans="25:31">
      <c r="Y883">
        <f t="shared" si="84"/>
        <v>8</v>
      </c>
      <c r="Z883">
        <f t="shared" si="88"/>
        <v>2</v>
      </c>
      <c r="AA883">
        <v>12</v>
      </c>
      <c r="AB883">
        <f t="shared" si="85"/>
        <v>8212</v>
      </c>
      <c r="AC883">
        <f t="shared" si="86"/>
        <v>3834</v>
      </c>
      <c r="AD883">
        <f t="shared" si="89"/>
        <v>46008</v>
      </c>
      <c r="AE883" s="78">
        <v>4650</v>
      </c>
    </row>
    <row r="884" ht="15" spans="25:31">
      <c r="Y884">
        <f t="shared" si="84"/>
        <v>8</v>
      </c>
      <c r="Z884">
        <f t="shared" si="88"/>
        <v>2</v>
      </c>
      <c r="AA884">
        <v>13</v>
      </c>
      <c r="AB884">
        <f t="shared" si="85"/>
        <v>8213</v>
      </c>
      <c r="AC884">
        <f t="shared" si="86"/>
        <v>3834</v>
      </c>
      <c r="AD884">
        <f t="shared" si="89"/>
        <v>49842</v>
      </c>
      <c r="AE884" s="78">
        <v>5250</v>
      </c>
    </row>
    <row r="885" ht="15" spans="25:31">
      <c r="Y885">
        <f t="shared" si="84"/>
        <v>8</v>
      </c>
      <c r="Z885">
        <f t="shared" si="88"/>
        <v>2</v>
      </c>
      <c r="AA885">
        <v>14</v>
      </c>
      <c r="AB885">
        <f t="shared" si="85"/>
        <v>8214</v>
      </c>
      <c r="AC885">
        <f t="shared" si="86"/>
        <v>3834</v>
      </c>
      <c r="AD885">
        <f t="shared" si="89"/>
        <v>53676</v>
      </c>
      <c r="AE885" s="78">
        <v>5850</v>
      </c>
    </row>
    <row r="886" ht="15" spans="25:31">
      <c r="Y886">
        <f t="shared" si="84"/>
        <v>8</v>
      </c>
      <c r="Z886">
        <f t="shared" si="88"/>
        <v>2</v>
      </c>
      <c r="AA886">
        <v>15</v>
      </c>
      <c r="AB886">
        <f t="shared" si="85"/>
        <v>8215</v>
      </c>
      <c r="AC886">
        <f t="shared" si="86"/>
        <v>3834</v>
      </c>
      <c r="AD886">
        <f t="shared" si="89"/>
        <v>57510</v>
      </c>
      <c r="AE886" s="78">
        <v>6450</v>
      </c>
    </row>
    <row r="887" ht="15" spans="25:31">
      <c r="Y887">
        <f t="shared" si="84"/>
        <v>8</v>
      </c>
      <c r="Z887">
        <f t="shared" si="88"/>
        <v>2</v>
      </c>
      <c r="AA887">
        <v>16</v>
      </c>
      <c r="AB887">
        <f t="shared" si="85"/>
        <v>8216</v>
      </c>
      <c r="AC887">
        <f t="shared" si="86"/>
        <v>3834</v>
      </c>
      <c r="AD887">
        <f t="shared" si="89"/>
        <v>61344</v>
      </c>
      <c r="AE887" s="78">
        <v>7050</v>
      </c>
    </row>
    <row r="888" ht="15" spans="25:31">
      <c r="Y888">
        <f t="shared" si="84"/>
        <v>8</v>
      </c>
      <c r="Z888">
        <f t="shared" si="88"/>
        <v>2</v>
      </c>
      <c r="AA888">
        <v>17</v>
      </c>
      <c r="AB888">
        <f t="shared" si="85"/>
        <v>8217</v>
      </c>
      <c r="AC888">
        <f t="shared" si="86"/>
        <v>3834</v>
      </c>
      <c r="AD888">
        <f t="shared" si="89"/>
        <v>65178</v>
      </c>
      <c r="AE888" s="78">
        <v>7650</v>
      </c>
    </row>
    <row r="889" ht="15" spans="25:31">
      <c r="Y889">
        <f t="shared" si="84"/>
        <v>8</v>
      </c>
      <c r="Z889">
        <f t="shared" si="88"/>
        <v>2</v>
      </c>
      <c r="AA889">
        <v>18</v>
      </c>
      <c r="AB889">
        <f t="shared" si="85"/>
        <v>8218</v>
      </c>
      <c r="AC889">
        <f t="shared" si="86"/>
        <v>3834</v>
      </c>
      <c r="AD889">
        <f t="shared" si="89"/>
        <v>69012</v>
      </c>
      <c r="AE889" s="78">
        <v>8250</v>
      </c>
    </row>
    <row r="890" ht="15" spans="25:31">
      <c r="Y890">
        <f t="shared" si="84"/>
        <v>8</v>
      </c>
      <c r="Z890">
        <f t="shared" si="88"/>
        <v>2</v>
      </c>
      <c r="AA890">
        <v>19</v>
      </c>
      <c r="AB890">
        <f t="shared" si="85"/>
        <v>8219</v>
      </c>
      <c r="AC890">
        <f t="shared" si="86"/>
        <v>3834</v>
      </c>
      <c r="AD890">
        <f t="shared" si="89"/>
        <v>72846</v>
      </c>
      <c r="AE890" s="78">
        <v>8850</v>
      </c>
    </row>
    <row r="891" ht="15" spans="25:31">
      <c r="Y891">
        <f t="shared" ref="Y891:Y954" si="90">Y771+1</f>
        <v>8</v>
      </c>
      <c r="Z891">
        <f t="shared" si="88"/>
        <v>2</v>
      </c>
      <c r="AA891">
        <v>20</v>
      </c>
      <c r="AB891">
        <f t="shared" si="85"/>
        <v>8220</v>
      </c>
      <c r="AC891">
        <f t="shared" si="86"/>
        <v>3834</v>
      </c>
      <c r="AD891">
        <f t="shared" si="89"/>
        <v>76680</v>
      </c>
      <c r="AE891" s="78">
        <v>9450</v>
      </c>
    </row>
    <row r="892" ht="15" spans="25:31">
      <c r="Y892">
        <f t="shared" si="90"/>
        <v>8</v>
      </c>
      <c r="Z892">
        <f t="shared" si="88"/>
        <v>2</v>
      </c>
      <c r="AA892">
        <v>21</v>
      </c>
      <c r="AB892">
        <f t="shared" si="85"/>
        <v>8221</v>
      </c>
      <c r="AC892">
        <f t="shared" si="86"/>
        <v>3834</v>
      </c>
      <c r="AD892">
        <f t="shared" si="89"/>
        <v>80514</v>
      </c>
      <c r="AE892" s="78">
        <v>10650</v>
      </c>
    </row>
    <row r="893" ht="15" spans="25:31">
      <c r="Y893">
        <f t="shared" si="90"/>
        <v>8</v>
      </c>
      <c r="Z893">
        <f t="shared" si="88"/>
        <v>2</v>
      </c>
      <c r="AA893">
        <v>22</v>
      </c>
      <c r="AB893">
        <f t="shared" si="85"/>
        <v>8222</v>
      </c>
      <c r="AC893">
        <f t="shared" si="86"/>
        <v>3834</v>
      </c>
      <c r="AD893">
        <f t="shared" si="89"/>
        <v>84348</v>
      </c>
      <c r="AE893" s="78">
        <v>11850</v>
      </c>
    </row>
    <row r="894" ht="15" spans="25:31">
      <c r="Y894">
        <f t="shared" si="90"/>
        <v>8</v>
      </c>
      <c r="Z894">
        <f t="shared" si="88"/>
        <v>2</v>
      </c>
      <c r="AA894">
        <v>23</v>
      </c>
      <c r="AB894">
        <f t="shared" si="85"/>
        <v>8223</v>
      </c>
      <c r="AC894">
        <f t="shared" si="86"/>
        <v>3834</v>
      </c>
      <c r="AD894">
        <f t="shared" si="89"/>
        <v>88182</v>
      </c>
      <c r="AE894" s="78">
        <v>13050</v>
      </c>
    </row>
    <row r="895" ht="15" spans="25:31">
      <c r="Y895">
        <f t="shared" si="90"/>
        <v>8</v>
      </c>
      <c r="Z895">
        <f t="shared" si="88"/>
        <v>2</v>
      </c>
      <c r="AA895">
        <v>24</v>
      </c>
      <c r="AB895">
        <f t="shared" si="85"/>
        <v>8224</v>
      </c>
      <c r="AC895">
        <f t="shared" si="86"/>
        <v>3834</v>
      </c>
      <c r="AD895">
        <f t="shared" si="89"/>
        <v>92016</v>
      </c>
      <c r="AE895" s="78">
        <v>14250</v>
      </c>
    </row>
    <row r="896" ht="15" spans="25:31">
      <c r="Y896">
        <f t="shared" si="90"/>
        <v>8</v>
      </c>
      <c r="Z896">
        <f t="shared" si="88"/>
        <v>2</v>
      </c>
      <c r="AA896">
        <v>25</v>
      </c>
      <c r="AB896">
        <f t="shared" si="85"/>
        <v>8225</v>
      </c>
      <c r="AC896">
        <f t="shared" si="86"/>
        <v>3834</v>
      </c>
      <c r="AD896">
        <f t="shared" si="89"/>
        <v>95850</v>
      </c>
      <c r="AE896" s="78">
        <v>15450</v>
      </c>
    </row>
    <row r="897" ht="15" spans="25:31">
      <c r="Y897">
        <f t="shared" si="90"/>
        <v>8</v>
      </c>
      <c r="Z897">
        <f t="shared" si="88"/>
        <v>2</v>
      </c>
      <c r="AA897">
        <v>26</v>
      </c>
      <c r="AB897">
        <f t="shared" si="85"/>
        <v>8226</v>
      </c>
      <c r="AC897">
        <f t="shared" si="86"/>
        <v>3834</v>
      </c>
      <c r="AD897">
        <f t="shared" si="89"/>
        <v>99684</v>
      </c>
      <c r="AE897" s="78">
        <v>16650</v>
      </c>
    </row>
    <row r="898" ht="15" spans="25:31">
      <c r="Y898">
        <f t="shared" si="90"/>
        <v>8</v>
      </c>
      <c r="Z898">
        <f t="shared" si="88"/>
        <v>2</v>
      </c>
      <c r="AA898">
        <v>27</v>
      </c>
      <c r="AB898">
        <f t="shared" si="85"/>
        <v>8227</v>
      </c>
      <c r="AC898">
        <f t="shared" si="86"/>
        <v>3834</v>
      </c>
      <c r="AD898">
        <f t="shared" si="89"/>
        <v>103518</v>
      </c>
      <c r="AE898" s="78">
        <v>17850</v>
      </c>
    </row>
    <row r="899" ht="15" spans="25:31">
      <c r="Y899">
        <f t="shared" si="90"/>
        <v>8</v>
      </c>
      <c r="Z899">
        <f t="shared" si="88"/>
        <v>2</v>
      </c>
      <c r="AA899">
        <v>28</v>
      </c>
      <c r="AB899">
        <f t="shared" ref="AB899:AB961" si="91">Y899*1000+Z899*100+AA899</f>
        <v>8228</v>
      </c>
      <c r="AC899">
        <f t="shared" si="86"/>
        <v>3834</v>
      </c>
      <c r="AD899">
        <f t="shared" si="89"/>
        <v>107352</v>
      </c>
      <c r="AE899" s="78">
        <v>19050</v>
      </c>
    </row>
    <row r="900" ht="15" spans="25:31">
      <c r="Y900">
        <f t="shared" si="90"/>
        <v>8</v>
      </c>
      <c r="Z900">
        <f t="shared" si="88"/>
        <v>2</v>
      </c>
      <c r="AA900">
        <v>29</v>
      </c>
      <c r="AB900">
        <f t="shared" si="91"/>
        <v>8229</v>
      </c>
      <c r="AC900">
        <f t="shared" ref="AC900:AC961" si="92">AC899</f>
        <v>3834</v>
      </c>
      <c r="AD900">
        <f t="shared" si="89"/>
        <v>111186</v>
      </c>
      <c r="AE900" s="78">
        <v>20250</v>
      </c>
    </row>
    <row r="901" ht="15" spans="25:31">
      <c r="Y901">
        <f t="shared" si="90"/>
        <v>8</v>
      </c>
      <c r="Z901">
        <f t="shared" si="88"/>
        <v>2</v>
      </c>
      <c r="AA901">
        <v>30</v>
      </c>
      <c r="AB901">
        <f t="shared" si="91"/>
        <v>8230</v>
      </c>
      <c r="AC901">
        <f t="shared" si="92"/>
        <v>3834</v>
      </c>
      <c r="AD901">
        <f t="shared" si="89"/>
        <v>115020</v>
      </c>
      <c r="AE901" s="78">
        <v>21450</v>
      </c>
    </row>
    <row r="902" spans="25:31">
      <c r="Y902">
        <f t="shared" si="90"/>
        <v>8</v>
      </c>
      <c r="Z902">
        <f t="shared" si="88"/>
        <v>3</v>
      </c>
      <c r="AA902">
        <v>1</v>
      </c>
      <c r="AB902">
        <f t="shared" si="91"/>
        <v>8301</v>
      </c>
      <c r="AC902">
        <f t="shared" si="92"/>
        <v>3834</v>
      </c>
      <c r="AD902">
        <f>AC902</f>
        <v>3834</v>
      </c>
      <c r="AE902">
        <v>1000</v>
      </c>
    </row>
    <row r="903" spans="25:31">
      <c r="Y903">
        <f t="shared" si="90"/>
        <v>8</v>
      </c>
      <c r="Z903">
        <f t="shared" si="88"/>
        <v>3</v>
      </c>
      <c r="AA903">
        <v>2</v>
      </c>
      <c r="AB903">
        <f t="shared" si="91"/>
        <v>8302</v>
      </c>
      <c r="AC903">
        <f t="shared" si="92"/>
        <v>3834</v>
      </c>
      <c r="AD903">
        <f t="shared" ref="AD903:AD931" si="93">AD902+AC903</f>
        <v>7668</v>
      </c>
      <c r="AE903">
        <v>1400</v>
      </c>
    </row>
    <row r="904" spans="25:31">
      <c r="Y904">
        <f t="shared" si="90"/>
        <v>8</v>
      </c>
      <c r="Z904">
        <f t="shared" si="88"/>
        <v>3</v>
      </c>
      <c r="AA904">
        <v>3</v>
      </c>
      <c r="AB904">
        <f t="shared" si="91"/>
        <v>8303</v>
      </c>
      <c r="AC904">
        <f t="shared" si="92"/>
        <v>3834</v>
      </c>
      <c r="AD904">
        <f t="shared" si="93"/>
        <v>11502</v>
      </c>
      <c r="AE904">
        <v>1800</v>
      </c>
    </row>
    <row r="905" spans="25:31">
      <c r="Y905">
        <f t="shared" si="90"/>
        <v>8</v>
      </c>
      <c r="Z905">
        <f t="shared" si="88"/>
        <v>3</v>
      </c>
      <c r="AA905">
        <v>4</v>
      </c>
      <c r="AB905">
        <f t="shared" si="91"/>
        <v>8304</v>
      </c>
      <c r="AC905">
        <f t="shared" si="92"/>
        <v>3834</v>
      </c>
      <c r="AD905">
        <f t="shared" si="93"/>
        <v>15336</v>
      </c>
      <c r="AE905">
        <v>2200</v>
      </c>
    </row>
    <row r="906" spans="25:31">
      <c r="Y906">
        <f t="shared" si="90"/>
        <v>8</v>
      </c>
      <c r="Z906">
        <f t="shared" si="88"/>
        <v>3</v>
      </c>
      <c r="AA906">
        <v>5</v>
      </c>
      <c r="AB906">
        <f t="shared" si="91"/>
        <v>8305</v>
      </c>
      <c r="AC906">
        <f t="shared" si="92"/>
        <v>3834</v>
      </c>
      <c r="AD906">
        <f t="shared" si="93"/>
        <v>19170</v>
      </c>
      <c r="AE906">
        <v>2600</v>
      </c>
    </row>
    <row r="907" spans="25:31">
      <c r="Y907">
        <f t="shared" si="90"/>
        <v>8</v>
      </c>
      <c r="Z907">
        <f t="shared" si="88"/>
        <v>3</v>
      </c>
      <c r="AA907">
        <v>6</v>
      </c>
      <c r="AB907">
        <f t="shared" si="91"/>
        <v>8306</v>
      </c>
      <c r="AC907">
        <f t="shared" si="92"/>
        <v>3834</v>
      </c>
      <c r="AD907">
        <f t="shared" si="93"/>
        <v>23004</v>
      </c>
      <c r="AE907">
        <v>3000</v>
      </c>
    </row>
    <row r="908" spans="25:31">
      <c r="Y908">
        <f t="shared" si="90"/>
        <v>8</v>
      </c>
      <c r="Z908">
        <f t="shared" si="88"/>
        <v>3</v>
      </c>
      <c r="AA908">
        <v>7</v>
      </c>
      <c r="AB908">
        <f t="shared" si="91"/>
        <v>8307</v>
      </c>
      <c r="AC908">
        <f t="shared" si="92"/>
        <v>3834</v>
      </c>
      <c r="AD908">
        <f t="shared" si="93"/>
        <v>26838</v>
      </c>
      <c r="AE908">
        <v>3400</v>
      </c>
    </row>
    <row r="909" spans="25:31">
      <c r="Y909">
        <f t="shared" si="90"/>
        <v>8</v>
      </c>
      <c r="Z909">
        <f t="shared" si="88"/>
        <v>3</v>
      </c>
      <c r="AA909">
        <v>8</v>
      </c>
      <c r="AB909">
        <f t="shared" si="91"/>
        <v>8308</v>
      </c>
      <c r="AC909">
        <f t="shared" si="92"/>
        <v>3834</v>
      </c>
      <c r="AD909">
        <f t="shared" si="93"/>
        <v>30672</v>
      </c>
      <c r="AE909">
        <v>3800</v>
      </c>
    </row>
    <row r="910" spans="25:31">
      <c r="Y910">
        <f t="shared" si="90"/>
        <v>8</v>
      </c>
      <c r="Z910">
        <f t="shared" si="88"/>
        <v>3</v>
      </c>
      <c r="AA910">
        <v>9</v>
      </c>
      <c r="AB910">
        <f t="shared" si="91"/>
        <v>8309</v>
      </c>
      <c r="AC910">
        <f t="shared" si="92"/>
        <v>3834</v>
      </c>
      <c r="AD910">
        <f t="shared" si="93"/>
        <v>34506</v>
      </c>
      <c r="AE910">
        <v>4200</v>
      </c>
    </row>
    <row r="911" spans="25:31">
      <c r="Y911">
        <f t="shared" si="90"/>
        <v>8</v>
      </c>
      <c r="Z911">
        <f t="shared" si="88"/>
        <v>3</v>
      </c>
      <c r="AA911">
        <v>10</v>
      </c>
      <c r="AB911">
        <f t="shared" si="91"/>
        <v>8310</v>
      </c>
      <c r="AC911">
        <f t="shared" si="92"/>
        <v>3834</v>
      </c>
      <c r="AD911">
        <f t="shared" si="93"/>
        <v>38340</v>
      </c>
      <c r="AE911">
        <v>4600</v>
      </c>
    </row>
    <row r="912" spans="25:31">
      <c r="Y912">
        <f t="shared" si="90"/>
        <v>8</v>
      </c>
      <c r="Z912">
        <f t="shared" si="88"/>
        <v>3</v>
      </c>
      <c r="AA912">
        <v>11</v>
      </c>
      <c r="AB912">
        <f t="shared" si="91"/>
        <v>8311</v>
      </c>
      <c r="AC912">
        <f t="shared" si="92"/>
        <v>3834</v>
      </c>
      <c r="AD912">
        <f t="shared" si="93"/>
        <v>42174</v>
      </c>
      <c r="AE912">
        <v>5400</v>
      </c>
    </row>
    <row r="913" spans="25:31">
      <c r="Y913">
        <f t="shared" si="90"/>
        <v>8</v>
      </c>
      <c r="Z913">
        <f t="shared" si="88"/>
        <v>3</v>
      </c>
      <c r="AA913">
        <v>12</v>
      </c>
      <c r="AB913">
        <f t="shared" si="91"/>
        <v>8312</v>
      </c>
      <c r="AC913">
        <f t="shared" si="92"/>
        <v>3834</v>
      </c>
      <c r="AD913">
        <f t="shared" si="93"/>
        <v>46008</v>
      </c>
      <c r="AE913">
        <v>6200</v>
      </c>
    </row>
    <row r="914" spans="25:31">
      <c r="Y914">
        <f t="shared" si="90"/>
        <v>8</v>
      </c>
      <c r="Z914">
        <f t="shared" si="88"/>
        <v>3</v>
      </c>
      <c r="AA914">
        <v>13</v>
      </c>
      <c r="AB914">
        <f t="shared" si="91"/>
        <v>8313</v>
      </c>
      <c r="AC914">
        <f t="shared" si="92"/>
        <v>3834</v>
      </c>
      <c r="AD914">
        <f t="shared" si="93"/>
        <v>49842</v>
      </c>
      <c r="AE914">
        <v>7000</v>
      </c>
    </row>
    <row r="915" spans="25:31">
      <c r="Y915">
        <f t="shared" si="90"/>
        <v>8</v>
      </c>
      <c r="Z915">
        <f t="shared" si="88"/>
        <v>3</v>
      </c>
      <c r="AA915">
        <v>14</v>
      </c>
      <c r="AB915">
        <f t="shared" si="91"/>
        <v>8314</v>
      </c>
      <c r="AC915">
        <f t="shared" si="92"/>
        <v>3834</v>
      </c>
      <c r="AD915">
        <f t="shared" si="93"/>
        <v>53676</v>
      </c>
      <c r="AE915">
        <v>7800</v>
      </c>
    </row>
    <row r="916" spans="25:31">
      <c r="Y916">
        <f t="shared" si="90"/>
        <v>8</v>
      </c>
      <c r="Z916">
        <f t="shared" si="88"/>
        <v>3</v>
      </c>
      <c r="AA916">
        <v>15</v>
      </c>
      <c r="AB916">
        <f t="shared" si="91"/>
        <v>8315</v>
      </c>
      <c r="AC916">
        <f t="shared" si="92"/>
        <v>3834</v>
      </c>
      <c r="AD916">
        <f t="shared" si="93"/>
        <v>57510</v>
      </c>
      <c r="AE916">
        <v>8600</v>
      </c>
    </row>
    <row r="917" spans="25:31">
      <c r="Y917">
        <f t="shared" si="90"/>
        <v>8</v>
      </c>
      <c r="Z917">
        <f t="shared" si="88"/>
        <v>3</v>
      </c>
      <c r="AA917">
        <v>16</v>
      </c>
      <c r="AB917">
        <f t="shared" si="91"/>
        <v>8316</v>
      </c>
      <c r="AC917">
        <f t="shared" si="92"/>
        <v>3834</v>
      </c>
      <c r="AD917">
        <f t="shared" si="93"/>
        <v>61344</v>
      </c>
      <c r="AE917">
        <v>9400</v>
      </c>
    </row>
    <row r="918" spans="25:31">
      <c r="Y918">
        <f t="shared" si="90"/>
        <v>8</v>
      </c>
      <c r="Z918">
        <f t="shared" si="88"/>
        <v>3</v>
      </c>
      <c r="AA918">
        <v>17</v>
      </c>
      <c r="AB918">
        <f t="shared" si="91"/>
        <v>8317</v>
      </c>
      <c r="AC918">
        <f t="shared" si="92"/>
        <v>3834</v>
      </c>
      <c r="AD918">
        <f t="shared" si="93"/>
        <v>65178</v>
      </c>
      <c r="AE918">
        <v>10200</v>
      </c>
    </row>
    <row r="919" spans="25:31">
      <c r="Y919">
        <f t="shared" si="90"/>
        <v>8</v>
      </c>
      <c r="Z919">
        <f t="shared" si="88"/>
        <v>3</v>
      </c>
      <c r="AA919">
        <v>18</v>
      </c>
      <c r="AB919">
        <f t="shared" si="91"/>
        <v>8318</v>
      </c>
      <c r="AC919">
        <f t="shared" si="92"/>
        <v>3834</v>
      </c>
      <c r="AD919">
        <f t="shared" si="93"/>
        <v>69012</v>
      </c>
      <c r="AE919">
        <v>11000</v>
      </c>
    </row>
    <row r="920" spans="25:31">
      <c r="Y920">
        <f t="shared" si="90"/>
        <v>8</v>
      </c>
      <c r="Z920">
        <f t="shared" si="88"/>
        <v>3</v>
      </c>
      <c r="AA920">
        <v>19</v>
      </c>
      <c r="AB920">
        <f t="shared" si="91"/>
        <v>8319</v>
      </c>
      <c r="AC920">
        <f t="shared" si="92"/>
        <v>3834</v>
      </c>
      <c r="AD920">
        <f t="shared" si="93"/>
        <v>72846</v>
      </c>
      <c r="AE920">
        <v>11800</v>
      </c>
    </row>
    <row r="921" spans="25:31">
      <c r="Y921">
        <f t="shared" si="90"/>
        <v>8</v>
      </c>
      <c r="Z921">
        <f t="shared" si="88"/>
        <v>3</v>
      </c>
      <c r="AA921">
        <v>20</v>
      </c>
      <c r="AB921">
        <f t="shared" si="91"/>
        <v>8320</v>
      </c>
      <c r="AC921">
        <f t="shared" si="92"/>
        <v>3834</v>
      </c>
      <c r="AD921">
        <f t="shared" si="93"/>
        <v>76680</v>
      </c>
      <c r="AE921">
        <v>12600</v>
      </c>
    </row>
    <row r="922" spans="25:31">
      <c r="Y922">
        <f t="shared" si="90"/>
        <v>8</v>
      </c>
      <c r="Z922">
        <f t="shared" si="88"/>
        <v>3</v>
      </c>
      <c r="AA922">
        <v>21</v>
      </c>
      <c r="AB922">
        <f t="shared" si="91"/>
        <v>8321</v>
      </c>
      <c r="AC922">
        <f t="shared" si="92"/>
        <v>3834</v>
      </c>
      <c r="AD922">
        <f t="shared" si="93"/>
        <v>80514</v>
      </c>
      <c r="AE922">
        <v>14200</v>
      </c>
    </row>
    <row r="923" spans="25:31">
      <c r="Y923">
        <f t="shared" si="90"/>
        <v>8</v>
      </c>
      <c r="Z923">
        <f t="shared" si="88"/>
        <v>3</v>
      </c>
      <c r="AA923">
        <v>22</v>
      </c>
      <c r="AB923">
        <f t="shared" si="91"/>
        <v>8322</v>
      </c>
      <c r="AC923">
        <f t="shared" si="92"/>
        <v>3834</v>
      </c>
      <c r="AD923">
        <f t="shared" si="93"/>
        <v>84348</v>
      </c>
      <c r="AE923">
        <v>15800</v>
      </c>
    </row>
    <row r="924" spans="25:31">
      <c r="Y924">
        <f t="shared" si="90"/>
        <v>8</v>
      </c>
      <c r="Z924">
        <f t="shared" si="88"/>
        <v>3</v>
      </c>
      <c r="AA924">
        <v>23</v>
      </c>
      <c r="AB924">
        <f t="shared" si="91"/>
        <v>8323</v>
      </c>
      <c r="AC924">
        <f t="shared" si="92"/>
        <v>3834</v>
      </c>
      <c r="AD924">
        <f t="shared" si="93"/>
        <v>88182</v>
      </c>
      <c r="AE924">
        <v>17400</v>
      </c>
    </row>
    <row r="925" spans="25:31">
      <c r="Y925">
        <f t="shared" si="90"/>
        <v>8</v>
      </c>
      <c r="Z925">
        <f t="shared" si="88"/>
        <v>3</v>
      </c>
      <c r="AA925">
        <v>24</v>
      </c>
      <c r="AB925">
        <f t="shared" si="91"/>
        <v>8324</v>
      </c>
      <c r="AC925">
        <f t="shared" si="92"/>
        <v>3834</v>
      </c>
      <c r="AD925">
        <f t="shared" si="93"/>
        <v>92016</v>
      </c>
      <c r="AE925">
        <v>19000</v>
      </c>
    </row>
    <row r="926" spans="25:31">
      <c r="Y926">
        <f t="shared" si="90"/>
        <v>8</v>
      </c>
      <c r="Z926">
        <f t="shared" si="88"/>
        <v>3</v>
      </c>
      <c r="AA926">
        <v>25</v>
      </c>
      <c r="AB926">
        <f t="shared" si="91"/>
        <v>8325</v>
      </c>
      <c r="AC926">
        <f t="shared" si="92"/>
        <v>3834</v>
      </c>
      <c r="AD926">
        <f t="shared" si="93"/>
        <v>95850</v>
      </c>
      <c r="AE926">
        <v>20600</v>
      </c>
    </row>
    <row r="927" spans="25:31">
      <c r="Y927">
        <f t="shared" si="90"/>
        <v>8</v>
      </c>
      <c r="Z927">
        <f t="shared" si="88"/>
        <v>3</v>
      </c>
      <c r="AA927">
        <v>26</v>
      </c>
      <c r="AB927">
        <f t="shared" si="91"/>
        <v>8326</v>
      </c>
      <c r="AC927">
        <f t="shared" si="92"/>
        <v>3834</v>
      </c>
      <c r="AD927">
        <f t="shared" si="93"/>
        <v>99684</v>
      </c>
      <c r="AE927">
        <v>22200</v>
      </c>
    </row>
    <row r="928" spans="25:31">
      <c r="Y928">
        <f t="shared" si="90"/>
        <v>8</v>
      </c>
      <c r="Z928">
        <f t="shared" si="88"/>
        <v>3</v>
      </c>
      <c r="AA928">
        <v>27</v>
      </c>
      <c r="AB928">
        <f t="shared" si="91"/>
        <v>8327</v>
      </c>
      <c r="AC928">
        <f t="shared" si="92"/>
        <v>3834</v>
      </c>
      <c r="AD928">
        <f t="shared" si="93"/>
        <v>103518</v>
      </c>
      <c r="AE928">
        <v>23800</v>
      </c>
    </row>
    <row r="929" spans="25:31">
      <c r="Y929">
        <f t="shared" si="90"/>
        <v>8</v>
      </c>
      <c r="Z929">
        <f t="shared" si="88"/>
        <v>3</v>
      </c>
      <c r="AA929">
        <v>28</v>
      </c>
      <c r="AB929">
        <f t="shared" si="91"/>
        <v>8328</v>
      </c>
      <c r="AC929">
        <f t="shared" si="92"/>
        <v>3834</v>
      </c>
      <c r="AD929">
        <f t="shared" si="93"/>
        <v>107352</v>
      </c>
      <c r="AE929">
        <v>25400</v>
      </c>
    </row>
    <row r="930" spans="25:31">
      <c r="Y930">
        <f t="shared" si="90"/>
        <v>8</v>
      </c>
      <c r="Z930">
        <f t="shared" si="88"/>
        <v>3</v>
      </c>
      <c r="AA930">
        <v>29</v>
      </c>
      <c r="AB930">
        <f t="shared" si="91"/>
        <v>8329</v>
      </c>
      <c r="AC930">
        <f t="shared" si="92"/>
        <v>3834</v>
      </c>
      <c r="AD930">
        <f t="shared" si="93"/>
        <v>111186</v>
      </c>
      <c r="AE930">
        <v>27000</v>
      </c>
    </row>
    <row r="931" spans="25:31">
      <c r="Y931">
        <f t="shared" si="90"/>
        <v>8</v>
      </c>
      <c r="Z931">
        <f t="shared" si="88"/>
        <v>3</v>
      </c>
      <c r="AA931">
        <v>30</v>
      </c>
      <c r="AB931">
        <f t="shared" si="91"/>
        <v>8330</v>
      </c>
      <c r="AC931">
        <f t="shared" si="92"/>
        <v>3834</v>
      </c>
      <c r="AD931">
        <f t="shared" si="93"/>
        <v>115020</v>
      </c>
      <c r="AE931">
        <v>28600</v>
      </c>
    </row>
    <row r="932" spans="25:31">
      <c r="Y932">
        <f t="shared" si="90"/>
        <v>8</v>
      </c>
      <c r="Z932">
        <f t="shared" si="88"/>
        <v>4</v>
      </c>
      <c r="AA932">
        <v>1</v>
      </c>
      <c r="AB932">
        <f t="shared" si="91"/>
        <v>8401</v>
      </c>
      <c r="AC932">
        <f t="shared" si="92"/>
        <v>3834</v>
      </c>
      <c r="AD932">
        <f>AC932</f>
        <v>3834</v>
      </c>
      <c r="AE932">
        <v>1500</v>
      </c>
    </row>
    <row r="933" spans="25:31">
      <c r="Y933">
        <f t="shared" si="90"/>
        <v>8</v>
      </c>
      <c r="Z933">
        <f t="shared" si="88"/>
        <v>4</v>
      </c>
      <c r="AA933">
        <v>2</v>
      </c>
      <c r="AB933">
        <f t="shared" si="91"/>
        <v>8402</v>
      </c>
      <c r="AC933">
        <f t="shared" si="92"/>
        <v>3834</v>
      </c>
      <c r="AD933">
        <f t="shared" ref="AD933:AD961" si="94">AD932+AC933</f>
        <v>7668</v>
      </c>
      <c r="AE933">
        <v>2100</v>
      </c>
    </row>
    <row r="934" spans="25:31">
      <c r="Y934">
        <f t="shared" si="90"/>
        <v>8</v>
      </c>
      <c r="Z934">
        <f t="shared" si="88"/>
        <v>4</v>
      </c>
      <c r="AA934">
        <v>3</v>
      </c>
      <c r="AB934">
        <f t="shared" si="91"/>
        <v>8403</v>
      </c>
      <c r="AC934">
        <f t="shared" si="92"/>
        <v>3834</v>
      </c>
      <c r="AD934">
        <f t="shared" si="94"/>
        <v>11502</v>
      </c>
      <c r="AE934">
        <v>2700</v>
      </c>
    </row>
    <row r="935" spans="25:31">
      <c r="Y935">
        <f t="shared" si="90"/>
        <v>8</v>
      </c>
      <c r="Z935">
        <f t="shared" si="88"/>
        <v>4</v>
      </c>
      <c r="AA935">
        <v>4</v>
      </c>
      <c r="AB935">
        <f t="shared" si="91"/>
        <v>8404</v>
      </c>
      <c r="AC935">
        <f t="shared" si="92"/>
        <v>3834</v>
      </c>
      <c r="AD935">
        <f t="shared" si="94"/>
        <v>15336</v>
      </c>
      <c r="AE935">
        <v>3300</v>
      </c>
    </row>
    <row r="936" spans="25:31">
      <c r="Y936">
        <f t="shared" si="90"/>
        <v>8</v>
      </c>
      <c r="Z936">
        <f t="shared" ref="Z936:Z961" si="95">Z906+1</f>
        <v>4</v>
      </c>
      <c r="AA936">
        <v>5</v>
      </c>
      <c r="AB936">
        <f t="shared" si="91"/>
        <v>8405</v>
      </c>
      <c r="AC936">
        <f t="shared" si="92"/>
        <v>3834</v>
      </c>
      <c r="AD936">
        <f t="shared" si="94"/>
        <v>19170</v>
      </c>
      <c r="AE936">
        <v>3900</v>
      </c>
    </row>
    <row r="937" spans="25:31">
      <c r="Y937">
        <f t="shared" si="90"/>
        <v>8</v>
      </c>
      <c r="Z937">
        <f t="shared" si="95"/>
        <v>4</v>
      </c>
      <c r="AA937">
        <v>6</v>
      </c>
      <c r="AB937">
        <f t="shared" si="91"/>
        <v>8406</v>
      </c>
      <c r="AC937">
        <f t="shared" si="92"/>
        <v>3834</v>
      </c>
      <c r="AD937">
        <f t="shared" si="94"/>
        <v>23004</v>
      </c>
      <c r="AE937">
        <v>4500</v>
      </c>
    </row>
    <row r="938" spans="25:31">
      <c r="Y938">
        <f t="shared" si="90"/>
        <v>8</v>
      </c>
      <c r="Z938">
        <f t="shared" si="95"/>
        <v>4</v>
      </c>
      <c r="AA938">
        <v>7</v>
      </c>
      <c r="AB938">
        <f t="shared" si="91"/>
        <v>8407</v>
      </c>
      <c r="AC938">
        <f t="shared" si="92"/>
        <v>3834</v>
      </c>
      <c r="AD938">
        <f t="shared" si="94"/>
        <v>26838</v>
      </c>
      <c r="AE938">
        <v>5100</v>
      </c>
    </row>
    <row r="939" spans="25:31">
      <c r="Y939">
        <f t="shared" si="90"/>
        <v>8</v>
      </c>
      <c r="Z939">
        <f t="shared" si="95"/>
        <v>4</v>
      </c>
      <c r="AA939">
        <v>8</v>
      </c>
      <c r="AB939">
        <f t="shared" si="91"/>
        <v>8408</v>
      </c>
      <c r="AC939">
        <f t="shared" si="92"/>
        <v>3834</v>
      </c>
      <c r="AD939">
        <f t="shared" si="94"/>
        <v>30672</v>
      </c>
      <c r="AE939">
        <v>5700</v>
      </c>
    </row>
    <row r="940" spans="25:31">
      <c r="Y940">
        <f t="shared" si="90"/>
        <v>8</v>
      </c>
      <c r="Z940">
        <f t="shared" si="95"/>
        <v>4</v>
      </c>
      <c r="AA940">
        <v>9</v>
      </c>
      <c r="AB940">
        <f t="shared" si="91"/>
        <v>8409</v>
      </c>
      <c r="AC940">
        <f t="shared" si="92"/>
        <v>3834</v>
      </c>
      <c r="AD940">
        <f t="shared" si="94"/>
        <v>34506</v>
      </c>
      <c r="AE940">
        <v>6300</v>
      </c>
    </row>
    <row r="941" spans="25:31">
      <c r="Y941">
        <f t="shared" si="90"/>
        <v>8</v>
      </c>
      <c r="Z941">
        <f t="shared" si="95"/>
        <v>4</v>
      </c>
      <c r="AA941">
        <v>10</v>
      </c>
      <c r="AB941">
        <f t="shared" si="91"/>
        <v>8410</v>
      </c>
      <c r="AC941">
        <f t="shared" si="92"/>
        <v>3834</v>
      </c>
      <c r="AD941">
        <f t="shared" si="94"/>
        <v>38340</v>
      </c>
      <c r="AE941">
        <v>6900</v>
      </c>
    </row>
    <row r="942" spans="25:31">
      <c r="Y942">
        <f t="shared" si="90"/>
        <v>8</v>
      </c>
      <c r="Z942">
        <f t="shared" si="95"/>
        <v>4</v>
      </c>
      <c r="AA942">
        <v>11</v>
      </c>
      <c r="AB942">
        <f t="shared" si="91"/>
        <v>8411</v>
      </c>
      <c r="AC942">
        <f t="shared" si="92"/>
        <v>3834</v>
      </c>
      <c r="AD942">
        <f t="shared" si="94"/>
        <v>42174</v>
      </c>
      <c r="AE942">
        <v>8100</v>
      </c>
    </row>
    <row r="943" spans="25:31">
      <c r="Y943">
        <f t="shared" si="90"/>
        <v>8</v>
      </c>
      <c r="Z943">
        <f t="shared" si="95"/>
        <v>4</v>
      </c>
      <c r="AA943">
        <v>12</v>
      </c>
      <c r="AB943">
        <f t="shared" si="91"/>
        <v>8412</v>
      </c>
      <c r="AC943">
        <f t="shared" si="92"/>
        <v>3834</v>
      </c>
      <c r="AD943">
        <f t="shared" si="94"/>
        <v>46008</v>
      </c>
      <c r="AE943">
        <v>9300</v>
      </c>
    </row>
    <row r="944" spans="25:31">
      <c r="Y944">
        <f t="shared" si="90"/>
        <v>8</v>
      </c>
      <c r="Z944">
        <f t="shared" si="95"/>
        <v>4</v>
      </c>
      <c r="AA944">
        <v>13</v>
      </c>
      <c r="AB944">
        <f t="shared" si="91"/>
        <v>8413</v>
      </c>
      <c r="AC944">
        <f t="shared" si="92"/>
        <v>3834</v>
      </c>
      <c r="AD944">
        <f t="shared" si="94"/>
        <v>49842</v>
      </c>
      <c r="AE944">
        <v>10500</v>
      </c>
    </row>
    <row r="945" spans="25:31">
      <c r="Y945">
        <f t="shared" si="90"/>
        <v>8</v>
      </c>
      <c r="Z945">
        <f t="shared" si="95"/>
        <v>4</v>
      </c>
      <c r="AA945">
        <v>14</v>
      </c>
      <c r="AB945">
        <f t="shared" si="91"/>
        <v>8414</v>
      </c>
      <c r="AC945">
        <f t="shared" si="92"/>
        <v>3834</v>
      </c>
      <c r="AD945">
        <f t="shared" si="94"/>
        <v>53676</v>
      </c>
      <c r="AE945">
        <v>11700</v>
      </c>
    </row>
    <row r="946" spans="25:31">
      <c r="Y946">
        <f t="shared" si="90"/>
        <v>8</v>
      </c>
      <c r="Z946">
        <f t="shared" si="95"/>
        <v>4</v>
      </c>
      <c r="AA946">
        <v>15</v>
      </c>
      <c r="AB946">
        <f t="shared" si="91"/>
        <v>8415</v>
      </c>
      <c r="AC946">
        <f t="shared" si="92"/>
        <v>3834</v>
      </c>
      <c r="AD946">
        <f t="shared" si="94"/>
        <v>57510</v>
      </c>
      <c r="AE946">
        <v>12900</v>
      </c>
    </row>
    <row r="947" spans="25:31">
      <c r="Y947">
        <f t="shared" si="90"/>
        <v>8</v>
      </c>
      <c r="Z947">
        <f t="shared" si="95"/>
        <v>4</v>
      </c>
      <c r="AA947">
        <v>16</v>
      </c>
      <c r="AB947">
        <f t="shared" si="91"/>
        <v>8416</v>
      </c>
      <c r="AC947">
        <f t="shared" si="92"/>
        <v>3834</v>
      </c>
      <c r="AD947">
        <f t="shared" si="94"/>
        <v>61344</v>
      </c>
      <c r="AE947">
        <v>14100</v>
      </c>
    </row>
    <row r="948" spans="25:31">
      <c r="Y948">
        <f t="shared" si="90"/>
        <v>8</v>
      </c>
      <c r="Z948">
        <f t="shared" si="95"/>
        <v>4</v>
      </c>
      <c r="AA948">
        <v>17</v>
      </c>
      <c r="AB948">
        <f t="shared" si="91"/>
        <v>8417</v>
      </c>
      <c r="AC948">
        <f t="shared" si="92"/>
        <v>3834</v>
      </c>
      <c r="AD948">
        <f t="shared" si="94"/>
        <v>65178</v>
      </c>
      <c r="AE948">
        <v>15300</v>
      </c>
    </row>
    <row r="949" spans="25:31">
      <c r="Y949">
        <f t="shared" si="90"/>
        <v>8</v>
      </c>
      <c r="Z949">
        <f t="shared" si="95"/>
        <v>4</v>
      </c>
      <c r="AA949">
        <v>18</v>
      </c>
      <c r="AB949">
        <f t="shared" si="91"/>
        <v>8418</v>
      </c>
      <c r="AC949">
        <f t="shared" si="92"/>
        <v>3834</v>
      </c>
      <c r="AD949">
        <f t="shared" si="94"/>
        <v>69012</v>
      </c>
      <c r="AE949">
        <v>16500</v>
      </c>
    </row>
    <row r="950" spans="25:31">
      <c r="Y950">
        <f t="shared" si="90"/>
        <v>8</v>
      </c>
      <c r="Z950">
        <f t="shared" si="95"/>
        <v>4</v>
      </c>
      <c r="AA950">
        <v>19</v>
      </c>
      <c r="AB950">
        <f t="shared" si="91"/>
        <v>8419</v>
      </c>
      <c r="AC950">
        <f t="shared" si="92"/>
        <v>3834</v>
      </c>
      <c r="AD950">
        <f t="shared" si="94"/>
        <v>72846</v>
      </c>
      <c r="AE950">
        <v>17700</v>
      </c>
    </row>
    <row r="951" spans="25:31">
      <c r="Y951">
        <f t="shared" si="90"/>
        <v>8</v>
      </c>
      <c r="Z951">
        <f t="shared" si="95"/>
        <v>4</v>
      </c>
      <c r="AA951">
        <v>20</v>
      </c>
      <c r="AB951">
        <f t="shared" si="91"/>
        <v>8420</v>
      </c>
      <c r="AC951">
        <f t="shared" si="92"/>
        <v>3834</v>
      </c>
      <c r="AD951">
        <f t="shared" si="94"/>
        <v>76680</v>
      </c>
      <c r="AE951">
        <v>18900</v>
      </c>
    </row>
    <row r="952" spans="25:31">
      <c r="Y952">
        <f t="shared" si="90"/>
        <v>8</v>
      </c>
      <c r="Z952">
        <f t="shared" si="95"/>
        <v>4</v>
      </c>
      <c r="AA952">
        <v>21</v>
      </c>
      <c r="AB952">
        <f t="shared" si="91"/>
        <v>8421</v>
      </c>
      <c r="AC952">
        <f t="shared" si="92"/>
        <v>3834</v>
      </c>
      <c r="AD952">
        <f t="shared" si="94"/>
        <v>80514</v>
      </c>
      <c r="AE952">
        <v>21300</v>
      </c>
    </row>
    <row r="953" spans="25:31">
      <c r="Y953">
        <f t="shared" si="90"/>
        <v>8</v>
      </c>
      <c r="Z953">
        <f t="shared" si="95"/>
        <v>4</v>
      </c>
      <c r="AA953">
        <v>22</v>
      </c>
      <c r="AB953">
        <f t="shared" si="91"/>
        <v>8422</v>
      </c>
      <c r="AC953">
        <f t="shared" si="92"/>
        <v>3834</v>
      </c>
      <c r="AD953">
        <f t="shared" si="94"/>
        <v>84348</v>
      </c>
      <c r="AE953">
        <v>23700</v>
      </c>
    </row>
    <row r="954" spans="25:31">
      <c r="Y954">
        <f t="shared" si="90"/>
        <v>8</v>
      </c>
      <c r="Z954">
        <f t="shared" si="95"/>
        <v>4</v>
      </c>
      <c r="AA954">
        <v>23</v>
      </c>
      <c r="AB954">
        <f t="shared" si="91"/>
        <v>8423</v>
      </c>
      <c r="AC954">
        <f t="shared" si="92"/>
        <v>3834</v>
      </c>
      <c r="AD954">
        <f t="shared" si="94"/>
        <v>88182</v>
      </c>
      <c r="AE954">
        <v>26100</v>
      </c>
    </row>
    <row r="955" spans="25:31">
      <c r="Y955">
        <f t="shared" ref="Y955:Y961" si="96">Y835+1</f>
        <v>8</v>
      </c>
      <c r="Z955">
        <f t="shared" si="95"/>
        <v>4</v>
      </c>
      <c r="AA955">
        <v>24</v>
      </c>
      <c r="AB955">
        <f t="shared" si="91"/>
        <v>8424</v>
      </c>
      <c r="AC955">
        <f t="shared" si="92"/>
        <v>3834</v>
      </c>
      <c r="AD955">
        <f t="shared" si="94"/>
        <v>92016</v>
      </c>
      <c r="AE955">
        <v>28500</v>
      </c>
    </row>
    <row r="956" spans="25:31">
      <c r="Y956">
        <f t="shared" si="96"/>
        <v>8</v>
      </c>
      <c r="Z956">
        <f t="shared" si="95"/>
        <v>4</v>
      </c>
      <c r="AA956">
        <v>25</v>
      </c>
      <c r="AB956">
        <f t="shared" si="91"/>
        <v>8425</v>
      </c>
      <c r="AC956">
        <f t="shared" si="92"/>
        <v>3834</v>
      </c>
      <c r="AD956">
        <f t="shared" si="94"/>
        <v>95850</v>
      </c>
      <c r="AE956">
        <v>30900</v>
      </c>
    </row>
    <row r="957" spans="25:31">
      <c r="Y957">
        <f t="shared" si="96"/>
        <v>8</v>
      </c>
      <c r="Z957">
        <f t="shared" si="95"/>
        <v>4</v>
      </c>
      <c r="AA957">
        <v>26</v>
      </c>
      <c r="AB957">
        <f t="shared" si="91"/>
        <v>8426</v>
      </c>
      <c r="AC957">
        <f t="shared" si="92"/>
        <v>3834</v>
      </c>
      <c r="AD957">
        <f t="shared" si="94"/>
        <v>99684</v>
      </c>
      <c r="AE957">
        <v>33300</v>
      </c>
    </row>
    <row r="958" spans="25:31">
      <c r="Y958">
        <f t="shared" si="96"/>
        <v>8</v>
      </c>
      <c r="Z958">
        <f t="shared" si="95"/>
        <v>4</v>
      </c>
      <c r="AA958">
        <v>27</v>
      </c>
      <c r="AB958">
        <f t="shared" si="91"/>
        <v>8427</v>
      </c>
      <c r="AC958">
        <f t="shared" si="92"/>
        <v>3834</v>
      </c>
      <c r="AD958">
        <f t="shared" si="94"/>
        <v>103518</v>
      </c>
      <c r="AE958">
        <v>35700</v>
      </c>
    </row>
    <row r="959" spans="25:31">
      <c r="Y959">
        <f t="shared" si="96"/>
        <v>8</v>
      </c>
      <c r="Z959">
        <f t="shared" si="95"/>
        <v>4</v>
      </c>
      <c r="AA959">
        <v>28</v>
      </c>
      <c r="AB959">
        <f t="shared" si="91"/>
        <v>8428</v>
      </c>
      <c r="AC959">
        <f t="shared" si="92"/>
        <v>3834</v>
      </c>
      <c r="AD959">
        <f t="shared" si="94"/>
        <v>107352</v>
      </c>
      <c r="AE959">
        <v>38100</v>
      </c>
    </row>
    <row r="960" spans="25:31">
      <c r="Y960">
        <f t="shared" si="96"/>
        <v>8</v>
      </c>
      <c r="Z960">
        <f t="shared" si="95"/>
        <v>4</v>
      </c>
      <c r="AA960">
        <v>29</v>
      </c>
      <c r="AB960">
        <f t="shared" si="91"/>
        <v>8429</v>
      </c>
      <c r="AC960">
        <f t="shared" si="92"/>
        <v>3834</v>
      </c>
      <c r="AD960">
        <f t="shared" si="94"/>
        <v>111186</v>
      </c>
      <c r="AE960">
        <v>40500</v>
      </c>
    </row>
    <row r="961" spans="25:31">
      <c r="Y961">
        <f t="shared" si="96"/>
        <v>8</v>
      </c>
      <c r="Z961">
        <f t="shared" si="95"/>
        <v>4</v>
      </c>
      <c r="AA961">
        <v>30</v>
      </c>
      <c r="AB961">
        <f t="shared" si="91"/>
        <v>8430</v>
      </c>
      <c r="AC961">
        <f t="shared" si="92"/>
        <v>3834</v>
      </c>
      <c r="AD961">
        <f t="shared" si="94"/>
        <v>115020</v>
      </c>
      <c r="AE961">
        <v>42900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U8"/>
  <sheetViews>
    <sheetView workbookViewId="0">
      <selection activeCell="P10" sqref="P10"/>
    </sheetView>
  </sheetViews>
  <sheetFormatPr defaultColWidth="9" defaultRowHeight="13.85" outlineLevelRow="7"/>
  <cols>
    <col min="1" max="1" width="15" customWidth="1"/>
    <col min="2" max="2" width="21.3716814159292" style="179" customWidth="1"/>
    <col min="3" max="3" width="18" customWidth="1"/>
    <col min="4" max="4" width="14.3716814159292" customWidth="1"/>
    <col min="11" max="12" width="12.6283185840708"/>
  </cols>
  <sheetData>
    <row r="1" ht="30" spans="1:21">
      <c r="A1" t="s">
        <v>1120</v>
      </c>
      <c r="D1" t="s">
        <v>1121</v>
      </c>
      <c r="E1">
        <v>1</v>
      </c>
      <c r="G1" s="165" t="s">
        <v>997</v>
      </c>
      <c r="H1" s="186" t="s">
        <v>1122</v>
      </c>
      <c r="I1" s="186" t="s">
        <v>1123</v>
      </c>
      <c r="J1" s="186" t="s">
        <v>1124</v>
      </c>
      <c r="K1" s="186" t="s">
        <v>1125</v>
      </c>
      <c r="L1" s="49" t="s">
        <v>1126</v>
      </c>
      <c r="M1" s="186" t="s">
        <v>1127</v>
      </c>
      <c r="N1" s="186" t="s">
        <v>1128</v>
      </c>
      <c r="O1" s="186" t="s">
        <v>1129</v>
      </c>
      <c r="P1" s="186" t="s">
        <v>1130</v>
      </c>
      <c r="T1">
        <v>1</v>
      </c>
      <c r="U1" s="292" t="s">
        <v>1131</v>
      </c>
    </row>
    <row r="2" ht="15" spans="4:21">
      <c r="D2" t="s">
        <v>1132</v>
      </c>
      <c r="E2">
        <v>1.2</v>
      </c>
      <c r="G2" s="165">
        <v>1</v>
      </c>
      <c r="H2" s="165">
        <v>15</v>
      </c>
      <c r="I2" s="165">
        <v>3</v>
      </c>
      <c r="J2" s="165">
        <v>5</v>
      </c>
      <c r="K2" s="165" t="e">
        <f ca="1">OFFSET([2]怪物强度模型!$F$1,MATCH(G2,[2]怪物强度模型!$B:$B,0)-1,0)</f>
        <v>#VALUE!</v>
      </c>
      <c r="L2" s="165" t="e">
        <f ca="1">OFFSET([2]怪物强度模型!$G$1,MATCH(G2,[2]怪物强度模型!$B:$B,0)-1,0)</f>
        <v>#VALUE!</v>
      </c>
      <c r="M2" s="165" t="e">
        <f ca="1">ROUND(K2*L2,2)</f>
        <v>#VALUE!</v>
      </c>
      <c r="N2" s="165" t="e">
        <f ca="1" t="shared" ref="N2:N8" si="0">J2/K2</f>
        <v>#VALUE!</v>
      </c>
      <c r="O2" s="165" t="e">
        <f ca="1">M2*card!$Q$1+card!#REF!*M2*H2</f>
        <v>#VALUE!</v>
      </c>
      <c r="P2" s="165" t="e">
        <f ca="1" t="shared" ref="P2:P8" si="1">ROUND(N2*I2*O2,0)</f>
        <v>#VALUE!</v>
      </c>
      <c r="T2">
        <v>2</v>
      </c>
      <c r="U2" s="292" t="s">
        <v>1133</v>
      </c>
    </row>
    <row r="3" ht="15" spans="1:21">
      <c r="A3" t="s">
        <v>16</v>
      </c>
      <c r="B3" s="179" t="s">
        <v>1134</v>
      </c>
      <c r="D3" t="s">
        <v>1135</v>
      </c>
      <c r="E3">
        <v>1.3</v>
      </c>
      <c r="G3" s="165">
        <v>2</v>
      </c>
      <c r="H3" s="165">
        <v>25</v>
      </c>
      <c r="I3" s="165">
        <v>3</v>
      </c>
      <c r="J3" s="165">
        <v>6</v>
      </c>
      <c r="K3" s="165" t="e">
        <f ca="1">OFFSET([2]怪物强度模型!$F$1,MATCH(G3,[2]怪物强度模型!$B:$B,0)-1,0)</f>
        <v>#VALUE!</v>
      </c>
      <c r="L3" s="165" t="e">
        <f ca="1">OFFSET([2]怪物强度模型!$G$1,MATCH(G3,[2]怪物强度模型!$B:$B,0)-1,0)</f>
        <v>#VALUE!</v>
      </c>
      <c r="M3" s="165" t="e">
        <f ca="1" t="shared" ref="M3:M8" si="2">ROUND(K3*L3,2)</f>
        <v>#VALUE!</v>
      </c>
      <c r="N3" s="165" t="e">
        <f ca="1" t="shared" si="0"/>
        <v>#VALUE!</v>
      </c>
      <c r="O3" s="165" t="e">
        <f ca="1">M3*card!$Q$1+card!#REF!*M3*H3</f>
        <v>#VALUE!</v>
      </c>
      <c r="P3" s="165" t="e">
        <f ca="1" t="shared" si="1"/>
        <v>#VALUE!</v>
      </c>
      <c r="T3">
        <v>3</v>
      </c>
      <c r="U3" s="292" t="s">
        <v>1136</v>
      </c>
    </row>
    <row r="4" ht="15" spans="1:21">
      <c r="A4" t="s">
        <v>1137</v>
      </c>
      <c r="B4" s="179">
        <v>1</v>
      </c>
      <c r="G4" s="165">
        <v>3</v>
      </c>
      <c r="H4" s="165">
        <v>35</v>
      </c>
      <c r="I4" s="165">
        <v>3</v>
      </c>
      <c r="J4" s="165">
        <v>7</v>
      </c>
      <c r="K4" s="165" t="e">
        <f ca="1">OFFSET([2]怪物强度模型!$F$1,MATCH(G4,[2]怪物强度模型!$B:$B,0)-1,0)</f>
        <v>#VALUE!</v>
      </c>
      <c r="L4" s="165" t="e">
        <f ca="1">OFFSET([2]怪物强度模型!$G$1,MATCH(G4,[2]怪物强度模型!$B:$B,0)-1,0)</f>
        <v>#VALUE!</v>
      </c>
      <c r="M4" s="165" t="e">
        <f ca="1" t="shared" si="2"/>
        <v>#VALUE!</v>
      </c>
      <c r="N4" s="165" t="e">
        <f ca="1" t="shared" si="0"/>
        <v>#VALUE!</v>
      </c>
      <c r="O4" s="165" t="e">
        <f ca="1">M4*card!$Q$1+card!#REF!*M4*H4</f>
        <v>#VALUE!</v>
      </c>
      <c r="P4" s="165" t="e">
        <f ca="1" t="shared" si="1"/>
        <v>#VALUE!</v>
      </c>
      <c r="T4">
        <v>4</v>
      </c>
      <c r="U4" s="292" t="s">
        <v>1138</v>
      </c>
    </row>
    <row r="5" ht="41.65" spans="1:21">
      <c r="A5" t="s">
        <v>1139</v>
      </c>
      <c r="B5" s="179" t="s">
        <v>1140</v>
      </c>
      <c r="C5" s="179" t="s">
        <v>1141</v>
      </c>
      <c r="G5" s="165">
        <v>4</v>
      </c>
      <c r="H5" s="165">
        <v>45</v>
      </c>
      <c r="I5" s="165">
        <v>3</v>
      </c>
      <c r="J5" s="165">
        <v>8</v>
      </c>
      <c r="K5" s="165" t="e">
        <f ca="1">OFFSET([2]怪物强度模型!$F$1,MATCH(G5,[2]怪物强度模型!$B:$B,0)-1,0)</f>
        <v>#VALUE!</v>
      </c>
      <c r="L5" s="165" t="e">
        <f ca="1">OFFSET([2]怪物强度模型!$G$1,MATCH(G5,[2]怪物强度模型!$B:$B,0)-1,0)</f>
        <v>#VALUE!</v>
      </c>
      <c r="M5" s="165" t="e">
        <f ca="1" t="shared" si="2"/>
        <v>#VALUE!</v>
      </c>
      <c r="N5" s="165" t="e">
        <f ca="1" t="shared" si="0"/>
        <v>#VALUE!</v>
      </c>
      <c r="O5" s="165" t="e">
        <f ca="1">M5*card!$Q$1+card!#REF!*M5*H5</f>
        <v>#VALUE!</v>
      </c>
      <c r="P5" s="165" t="e">
        <f ca="1" t="shared" si="1"/>
        <v>#VALUE!</v>
      </c>
      <c r="T5">
        <v>5</v>
      </c>
      <c r="U5" s="292" t="s">
        <v>1142</v>
      </c>
    </row>
    <row r="6" ht="15" spans="7:21">
      <c r="G6" s="165">
        <v>5</v>
      </c>
      <c r="H6" s="165">
        <v>55</v>
      </c>
      <c r="I6" s="165">
        <v>3</v>
      </c>
      <c r="J6" s="165">
        <v>9</v>
      </c>
      <c r="K6" s="165" t="e">
        <f ca="1">OFFSET([2]怪物强度模型!$F$1,MATCH(G6,[2]怪物强度模型!$B:$B,0)-1,0)</f>
        <v>#VALUE!</v>
      </c>
      <c r="L6" s="165" t="e">
        <f ca="1">OFFSET([2]怪物强度模型!$G$1,MATCH(G6,[2]怪物强度模型!$B:$B,0)-1,0)</f>
        <v>#VALUE!</v>
      </c>
      <c r="M6" s="165" t="e">
        <f ca="1" t="shared" si="2"/>
        <v>#VALUE!</v>
      </c>
      <c r="N6" s="165" t="e">
        <f ca="1" t="shared" si="0"/>
        <v>#VALUE!</v>
      </c>
      <c r="O6" s="165" t="e">
        <f ca="1">M6*card!$Q$1+card!#REF!*M6*H6</f>
        <v>#VALUE!</v>
      </c>
      <c r="P6" s="165" t="e">
        <f ca="1" t="shared" si="1"/>
        <v>#VALUE!</v>
      </c>
      <c r="T6">
        <v>6</v>
      </c>
      <c r="U6" s="292" t="s">
        <v>1143</v>
      </c>
    </row>
    <row r="7" spans="7:16">
      <c r="G7" s="165">
        <v>6</v>
      </c>
      <c r="H7" s="165">
        <v>65</v>
      </c>
      <c r="I7" s="165">
        <v>3</v>
      </c>
      <c r="J7" s="165">
        <v>10</v>
      </c>
      <c r="K7" s="165" t="e">
        <f ca="1">OFFSET([2]怪物强度模型!$F$1,MATCH(G7,[2]怪物强度模型!$B:$B,0)-1,0)</f>
        <v>#VALUE!</v>
      </c>
      <c r="L7" s="165" t="e">
        <f ca="1">OFFSET([2]怪物强度模型!$G$1,MATCH(G7,[2]怪物强度模型!$B:$B,0)-1,0)</f>
        <v>#VALUE!</v>
      </c>
      <c r="M7" s="165" t="e">
        <f ca="1" t="shared" si="2"/>
        <v>#VALUE!</v>
      </c>
      <c r="N7" s="165" t="e">
        <f ca="1" t="shared" si="0"/>
        <v>#VALUE!</v>
      </c>
      <c r="O7" s="165" t="e">
        <f ca="1">M7*card!$Q$1+card!#REF!*M7*H7</f>
        <v>#VALUE!</v>
      </c>
      <c r="P7" s="165" t="e">
        <f ca="1" t="shared" si="1"/>
        <v>#VALUE!</v>
      </c>
    </row>
    <row r="8" spans="7:16">
      <c r="G8" s="165">
        <v>7</v>
      </c>
      <c r="H8" s="165">
        <v>75</v>
      </c>
      <c r="I8" s="165">
        <v>3</v>
      </c>
      <c r="J8" s="165">
        <v>11</v>
      </c>
      <c r="K8" s="165" t="e">
        <f ca="1">OFFSET([2]怪物强度模型!$F$1,MATCH(G8,[2]怪物强度模型!$B:$B,0)-1,0)</f>
        <v>#VALUE!</v>
      </c>
      <c r="L8" s="165" t="e">
        <f ca="1">OFFSET([2]怪物强度模型!$G$1,MATCH(G8,[2]怪物强度模型!$B:$B,0)-1,0)</f>
        <v>#VALUE!</v>
      </c>
      <c r="M8" s="165" t="e">
        <f ca="1" t="shared" si="2"/>
        <v>#VALUE!</v>
      </c>
      <c r="N8" s="165" t="e">
        <f ca="1" t="shared" si="0"/>
        <v>#VALUE!</v>
      </c>
      <c r="O8" s="165" t="e">
        <f ca="1">M8*card!$Q$1+card!#REF!*M8*H8</f>
        <v>#VALUE!</v>
      </c>
      <c r="P8" s="165" t="e">
        <f ca="1" t="shared" si="1"/>
        <v>#VALUE!</v>
      </c>
    </row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X171"/>
  <sheetViews>
    <sheetView workbookViewId="0">
      <selection activeCell="J2" sqref="J2"/>
    </sheetView>
  </sheetViews>
  <sheetFormatPr defaultColWidth="9" defaultRowHeight="15"/>
  <cols>
    <col min="1" max="1" width="10.3716814159292" style="153" customWidth="1"/>
    <col min="2" max="2" width="12.8761061946903" style="153" customWidth="1"/>
    <col min="3" max="4" width="5.50442477876106" style="79" customWidth="1"/>
    <col min="5" max="5" width="30.5044247787611" style="179" customWidth="1"/>
    <col min="6" max="7" width="9.24778761061947" customWidth="1"/>
    <col min="8" max="8" width="10.3716814159292" customWidth="1"/>
    <col min="9" max="9" width="13.5044247787611" customWidth="1"/>
    <col min="10" max="10" width="14.2477876106195" customWidth="1"/>
    <col min="11" max="11" width="15.8761061946903" customWidth="1"/>
    <col min="12" max="12" width="12.7522123893805" customWidth="1"/>
    <col min="13" max="13" width="9.87610619469027" customWidth="1"/>
    <col min="14" max="14" width="9.24778761061947" customWidth="1"/>
    <col min="15" max="15" width="9.75221238938053" customWidth="1"/>
    <col min="16" max="16" width="9.50442477876106" customWidth="1"/>
    <col min="17" max="17" width="11.1238938053097" customWidth="1"/>
    <col min="18" max="18" width="7" customWidth="1"/>
    <col min="19" max="19" width="12.6283185840708"/>
    <col min="20" max="20" width="5.3716814159292" customWidth="1"/>
    <col min="22" max="22" width="2.3716814159292" customWidth="1"/>
  </cols>
  <sheetData>
    <row r="1" ht="37" customHeight="1" spans="1:24">
      <c r="A1" s="153" t="s">
        <v>1144</v>
      </c>
      <c r="C1" s="153"/>
      <c r="D1" s="153"/>
      <c r="E1" s="3"/>
      <c r="F1" s="153"/>
      <c r="G1" s="153"/>
      <c r="H1" s="153"/>
      <c r="I1" s="153"/>
      <c r="J1" s="153"/>
      <c r="K1" s="286" t="s">
        <v>1145</v>
      </c>
      <c r="L1" s="286" t="s">
        <v>1146</v>
      </c>
      <c r="M1" s="289" t="s">
        <v>1147</v>
      </c>
      <c r="O1" s="169" t="s">
        <v>1126</v>
      </c>
      <c r="P1" s="169">
        <f>[3]资质模型!$Q$7</f>
        <v>6.62</v>
      </c>
      <c r="Q1" s="169" t="s">
        <v>1148</v>
      </c>
      <c r="R1" s="3">
        <f>[3]费用分布!$I$58</f>
        <v>0</v>
      </c>
      <c r="S1" s="3" t="s">
        <v>1149</v>
      </c>
      <c r="T1" s="179">
        <f>P1*R1</f>
        <v>0</v>
      </c>
      <c r="U1" s="179" t="s">
        <v>1150</v>
      </c>
      <c r="V1" s="179"/>
      <c r="W1" t="s">
        <v>1151</v>
      </c>
      <c r="X1">
        <v>40</v>
      </c>
    </row>
    <row r="2" ht="90" spans="1:18">
      <c r="A2" s="153" t="s">
        <v>270</v>
      </c>
      <c r="B2" s="153" t="s">
        <v>1152</v>
      </c>
      <c r="C2" s="153" t="s">
        <v>997</v>
      </c>
      <c r="D2" s="153" t="s">
        <v>998</v>
      </c>
      <c r="E2" s="3" t="s">
        <v>1153</v>
      </c>
      <c r="F2" s="3" t="s">
        <v>1154</v>
      </c>
      <c r="G2" s="206" t="s">
        <v>1155</v>
      </c>
      <c r="H2" s="3" t="s">
        <v>1156</v>
      </c>
      <c r="I2" s="3" t="s">
        <v>1157</v>
      </c>
      <c r="J2" s="3" t="s">
        <v>1158</v>
      </c>
      <c r="K2" s="3" t="s">
        <v>1159</v>
      </c>
      <c r="L2" s="287" t="s">
        <v>1160</v>
      </c>
      <c r="M2" s="288" t="s">
        <v>1161</v>
      </c>
      <c r="N2" s="3" t="s">
        <v>1162</v>
      </c>
      <c r="O2" s="3" t="s">
        <v>1163</v>
      </c>
      <c r="P2" s="3" t="s">
        <v>1164</v>
      </c>
      <c r="Q2" t="s">
        <v>1165</v>
      </c>
      <c r="R2" t="s">
        <v>1166</v>
      </c>
    </row>
    <row r="3" spans="1:16">
      <c r="A3" s="153" t="s">
        <v>109</v>
      </c>
      <c r="C3" s="153"/>
      <c r="D3" s="153"/>
      <c r="E3" s="153" t="s">
        <v>110</v>
      </c>
      <c r="F3" s="153" t="s">
        <v>109</v>
      </c>
      <c r="G3" s="153" t="s">
        <v>109</v>
      </c>
      <c r="H3" s="153" t="s">
        <v>109</v>
      </c>
      <c r="I3" s="153" t="s">
        <v>109</v>
      </c>
      <c r="J3" s="153" t="s">
        <v>109</v>
      </c>
      <c r="K3" s="153" t="s">
        <v>109</v>
      </c>
      <c r="L3" s="153" t="s">
        <v>109</v>
      </c>
      <c r="M3" s="153" t="s">
        <v>109</v>
      </c>
      <c r="N3" s="153" t="s">
        <v>109</v>
      </c>
      <c r="O3" s="153" t="s">
        <v>109</v>
      </c>
      <c r="P3" s="153" t="s">
        <v>109</v>
      </c>
    </row>
    <row r="4" ht="30" spans="1:16">
      <c r="A4" s="153" t="s">
        <v>270</v>
      </c>
      <c r="C4" s="153"/>
      <c r="D4" s="153"/>
      <c r="E4" s="153" t="s">
        <v>1029</v>
      </c>
      <c r="F4" s="3" t="s">
        <v>67</v>
      </c>
      <c r="G4" s="3" t="s">
        <v>1167</v>
      </c>
      <c r="H4" s="3" t="s">
        <v>1168</v>
      </c>
      <c r="I4" s="3" t="s">
        <v>1169</v>
      </c>
      <c r="J4" s="1" t="s">
        <v>1170</v>
      </c>
      <c r="K4" s="3" t="s">
        <v>1171</v>
      </c>
      <c r="L4" s="3" t="s">
        <v>1172</v>
      </c>
      <c r="M4" s="3" t="s">
        <v>1049</v>
      </c>
      <c r="N4" s="3" t="s">
        <v>1173</v>
      </c>
      <c r="O4" s="3" t="s">
        <v>1174</v>
      </c>
      <c r="P4" s="3" t="s">
        <v>1175</v>
      </c>
    </row>
    <row r="5" ht="30" spans="1:17">
      <c r="A5" s="153" t="s">
        <v>270</v>
      </c>
      <c r="C5" s="153"/>
      <c r="D5" s="153"/>
      <c r="E5" s="3"/>
      <c r="F5" s="3" t="s">
        <v>67</v>
      </c>
      <c r="G5" s="3" t="s">
        <v>1167</v>
      </c>
      <c r="H5" s="3" t="s">
        <v>1168</v>
      </c>
      <c r="I5" s="3" t="s">
        <v>1169</v>
      </c>
      <c r="J5" s="1" t="s">
        <v>1170</v>
      </c>
      <c r="K5" s="3" t="s">
        <v>1171</v>
      </c>
      <c r="L5" s="3" t="s">
        <v>1172</v>
      </c>
      <c r="M5" s="3" t="s">
        <v>1049</v>
      </c>
      <c r="N5" s="3" t="s">
        <v>1173</v>
      </c>
      <c r="O5" s="3" t="s">
        <v>1174</v>
      </c>
      <c r="P5" s="3" t="s">
        <v>1175</v>
      </c>
      <c r="Q5" s="3"/>
    </row>
    <row r="6" spans="1:5">
      <c r="A6" s="153">
        <f ca="1">IF(B6=B5,A5+1,OFFSET(card!$A$1,MATCH(B6,card!B:B,0)-1,0)*10+1)</f>
        <v>10010011</v>
      </c>
      <c r="B6" s="91" t="s">
        <v>508</v>
      </c>
      <c r="C6" s="186">
        <f ca="1">OFFSET(card!$J$1,MATCH(skill!B6,card!B:B,0)-1,0)</f>
        <v>1</v>
      </c>
      <c r="D6" s="186">
        <f ca="1">OFFSET(card!$K$1,MATCH(B6,card!B:B,0)-1,0)</f>
        <v>1</v>
      </c>
      <c r="E6" s="298" t="s">
        <v>577</v>
      </c>
    </row>
    <row r="7" spans="1:5">
      <c r="A7" s="153">
        <f ca="1">IF(B7=B6,A6+1,OFFSET(card!$A$1,MATCH(B7,card!B:B,0)-1,0)*10+1)</f>
        <v>10020011</v>
      </c>
      <c r="B7" s="91" t="s">
        <v>471</v>
      </c>
      <c r="C7" s="186">
        <f ca="1">OFFSET(card!$J$1,MATCH(skill!B7,card!B:B,0)-1,0)</f>
        <v>1</v>
      </c>
      <c r="D7" s="186">
        <f ca="1">OFFSET(card!$K$1,MATCH(B7,card!B:B,0)-1,0)</f>
        <v>1</v>
      </c>
      <c r="E7" s="298" t="s">
        <v>577</v>
      </c>
    </row>
    <row r="8" ht="27.75" spans="1:17">
      <c r="A8" s="153">
        <f ca="1">IF(B8=B7,A7+1,OFFSET(card!$A$1,MATCH(B8,card!B:B,0)-1,0)*10+1)</f>
        <v>10030011</v>
      </c>
      <c r="B8" s="91" t="s">
        <v>589</v>
      </c>
      <c r="C8" s="186">
        <f ca="1">OFFSET(card!$J$1,MATCH(skill!B8,card!B:B,0)-1,0)</f>
        <v>1</v>
      </c>
      <c r="D8" s="186">
        <f ca="1">OFFSET(card!$K$1,MATCH(B8,card!B:B,0)-1,0)</f>
        <v>1</v>
      </c>
      <c r="E8" s="298" t="s">
        <v>1176</v>
      </c>
      <c r="F8">
        <v>19</v>
      </c>
      <c r="J8">
        <v>1</v>
      </c>
      <c r="N8">
        <v>2</v>
      </c>
      <c r="O8">
        <v>3000</v>
      </c>
      <c r="Q8">
        <f ca="1">(O8/(10000+O8))*OFFSET(card!$L$1,MATCH(B8,card!B:B,0)-1,0)</f>
        <v>0.461538461538462</v>
      </c>
    </row>
    <row r="9" ht="27.75" spans="1:17">
      <c r="A9" s="153">
        <f ca="1">IF(B9=B8,A8+1,OFFSET(card!$A$1,MATCH(B9,card!B:B,0)-1,0)*10+1)</f>
        <v>10040011</v>
      </c>
      <c r="B9" s="91" t="s">
        <v>500</v>
      </c>
      <c r="C9" s="186">
        <f ca="1">OFFSET(card!$J$1,MATCH(skill!B9,card!B:B,0)-1,0)</f>
        <v>1</v>
      </c>
      <c r="D9" s="186">
        <f ca="1">OFFSET(card!$K$1,MATCH(B9,card!B:B,0)-1,0)</f>
        <v>2</v>
      </c>
      <c r="E9" s="298" t="s">
        <v>1177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>
        <v>1</v>
      </c>
      <c r="L9">
        <v>1</v>
      </c>
      <c r="N9">
        <v>2</v>
      </c>
      <c r="O9" s="1">
        <v>2500</v>
      </c>
      <c r="Q9">
        <f ca="1">(O9/(10000+O9))*OFFSET(card!$L$1,MATCH(B9,card!B:B,0)-1,0)</f>
        <v>0.4</v>
      </c>
    </row>
    <row r="10" ht="27.75" spans="1:17">
      <c r="A10" s="153">
        <f ca="1">IF(B10=B9,A9+1,OFFSET(card!$A$1,MATCH(B10,card!B:B,0)-1,0)*10+1)</f>
        <v>10050011</v>
      </c>
      <c r="B10" s="91" t="s">
        <v>516</v>
      </c>
      <c r="C10" s="186">
        <f ca="1">OFFSET(card!$J$1,MATCH(skill!B10,card!B:B,0)-1,0)</f>
        <v>1</v>
      </c>
      <c r="D10" s="186">
        <f ca="1">OFFSET(card!$K$1,MATCH(B10,card!B:B,0)-1,0)</f>
        <v>2</v>
      </c>
      <c r="E10" s="179" t="s">
        <v>1178</v>
      </c>
      <c r="F10">
        <v>1</v>
      </c>
      <c r="N10">
        <v>2</v>
      </c>
      <c r="O10">
        <v>3500</v>
      </c>
      <c r="Q10">
        <f ca="1">(O10/(10000+O10))*OFFSET(card!$L$1,MATCH(B10,card!B:B,0)-1,0)</f>
        <v>0.518518518518518</v>
      </c>
    </row>
    <row r="11" ht="27.75" spans="1:17">
      <c r="A11" s="153">
        <f ca="1">IF(B11=B10,A10+1,OFFSET(card!$A$1,MATCH(B11,card!B:B,0)-1,0)*10+1)</f>
        <v>10060011</v>
      </c>
      <c r="B11" s="91" t="s">
        <v>496</v>
      </c>
      <c r="C11" s="186">
        <f ca="1">OFFSET(card!$J$1,MATCH(skill!B11,card!B:B,0)-1,0)</f>
        <v>1</v>
      </c>
      <c r="D11" s="186">
        <f ca="1">OFFSET(card!$K$1,MATCH(B11,card!B:B,0)-1,0)</f>
        <v>1</v>
      </c>
      <c r="E11" s="179" t="s">
        <v>1179</v>
      </c>
      <c r="F11">
        <v>19</v>
      </c>
      <c r="J11">
        <v>1</v>
      </c>
      <c r="N11">
        <v>2</v>
      </c>
      <c r="O11">
        <v>3500</v>
      </c>
      <c r="Q11">
        <f ca="1">(O11/(10000+O11))*OFFSET(card!$L$1,MATCH(B11,card!B:B,0)-1,0)</f>
        <v>0.518518518518518</v>
      </c>
    </row>
    <row r="12" ht="27.75" spans="1:18">
      <c r="A12" s="153">
        <f ca="1">IF(B12=B11,A11+1,OFFSET(card!$A$1,MATCH(B12,card!B:B,0)-1,0)*10+1)</f>
        <v>10070011</v>
      </c>
      <c r="B12" s="91" t="s">
        <v>413</v>
      </c>
      <c r="C12" s="186">
        <f ca="1">OFFSET(card!$J$1,MATCH(skill!B12,card!B:B,0)-1,0)</f>
        <v>1</v>
      </c>
      <c r="D12" s="186">
        <f ca="1">OFFSET(card!$K$1,MATCH(B12,card!B:B,0)-1,0)</f>
        <v>2</v>
      </c>
      <c r="E12" s="179" t="s">
        <v>1180</v>
      </c>
      <c r="F12" s="1">
        <v>1</v>
      </c>
      <c r="G12" s="1">
        <v>4</v>
      </c>
      <c r="H12" s="1"/>
      <c r="I12" s="1">
        <v>1</v>
      </c>
      <c r="J12" s="1">
        <v>2</v>
      </c>
      <c r="K12" s="1"/>
      <c r="N12">
        <v>2</v>
      </c>
      <c r="O12" s="1">
        <v>7000</v>
      </c>
      <c r="Q12" t="e">
        <f ca="1">R12*OFFSET(buff的资质计算!$L$1,MATCH(skill!C12,buff的资质计算!G:G,0)-1,0)</f>
        <v>#VALUE!</v>
      </c>
      <c r="R12">
        <v>1</v>
      </c>
    </row>
    <row r="13" ht="27.75" spans="1:17">
      <c r="A13" s="153">
        <f ca="1">IF(B13=B12,A12+1,OFFSET(card!$A$1,MATCH(B13,card!B:B,0)-1,0)*10+1)</f>
        <v>10080011</v>
      </c>
      <c r="B13" s="91" t="s">
        <v>447</v>
      </c>
      <c r="C13" s="186">
        <f ca="1">OFFSET(card!$J$1,MATCH(skill!B13,card!B:B,0)-1,0)</f>
        <v>1</v>
      </c>
      <c r="D13" s="186">
        <f ca="1">OFFSET(card!$K$1,MATCH(B13,card!B:B,0)-1,0)</f>
        <v>2</v>
      </c>
      <c r="E13" s="179" t="s">
        <v>1181</v>
      </c>
      <c r="F13" s="1">
        <v>17</v>
      </c>
      <c r="H13" s="1"/>
      <c r="I13" s="1"/>
      <c r="J13" s="1"/>
      <c r="N13">
        <v>2</v>
      </c>
      <c r="O13" s="1">
        <v>4000</v>
      </c>
      <c r="Q13">
        <f ca="1">(O13/(10000+O13))*OFFSET(card!$L$1,MATCH(B13,card!B:B,0)-1,0)</f>
        <v>0.571428571428571</v>
      </c>
    </row>
    <row r="14" ht="27.75" spans="1:18">
      <c r="A14" s="153">
        <f ca="1">IF(B14=B13,A13+1,OFFSET(card!$A$1,MATCH(B14,card!B:B,0)-1,0)*10+1)</f>
        <v>10090011</v>
      </c>
      <c r="B14" s="91" t="s">
        <v>619</v>
      </c>
      <c r="C14" s="186">
        <f ca="1">OFFSET(card!$J$1,MATCH(skill!B14,card!B:B,0)-1,0)</f>
        <v>1</v>
      </c>
      <c r="D14" s="186">
        <f ca="1">OFFSET(card!$K$1,MATCH(B14,card!B:B,0)-1,0)</f>
        <v>1</v>
      </c>
      <c r="E14" s="179" t="s">
        <v>620</v>
      </c>
      <c r="F14">
        <v>1</v>
      </c>
      <c r="N14">
        <v>2</v>
      </c>
      <c r="O14">
        <v>3000</v>
      </c>
      <c r="Q14">
        <f ca="1">(O14/(10000+O14))*OFFSET(card!$L$1,MATCH(B14,card!B:B,0)-1,0)</f>
        <v>0.461538461538462</v>
      </c>
      <c r="R14">
        <v>1</v>
      </c>
    </row>
    <row r="15" ht="27.75" spans="1:17">
      <c r="A15" s="153">
        <f ca="1">IF(B15=B14,A14+1,OFFSET(card!$A$1,MATCH(B15,card!B:B,0)-1,0)*10+1)</f>
        <v>10100011</v>
      </c>
      <c r="B15" s="91" t="s">
        <v>365</v>
      </c>
      <c r="C15" s="186">
        <f ca="1">OFFSET(card!$J$1,MATCH(skill!B15,card!B:B,0)-1,0)</f>
        <v>1</v>
      </c>
      <c r="D15" s="186">
        <f ca="1">OFFSET(card!$K$1,MATCH(B15,card!B:B,0)-1,0)</f>
        <v>3</v>
      </c>
      <c r="E15" s="179" t="s">
        <v>1182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>
        <v>1</v>
      </c>
      <c r="L15">
        <v>1</v>
      </c>
      <c r="N15">
        <v>2</v>
      </c>
      <c r="O15" s="1">
        <v>3000</v>
      </c>
      <c r="Q15">
        <f ca="1">(O15/(10000+O15))*OFFSET(card!$L$1,MATCH(B15,card!B:B,0)-1,0)</f>
        <v>0.461538461538462</v>
      </c>
    </row>
    <row r="16" spans="1:17">
      <c r="A16" s="153">
        <f ca="1">IF(B16=B15,A15+1,OFFSET(card!$A$1,MATCH(B16,card!B:B,0)-1,0)*10+1)</f>
        <v>10110011</v>
      </c>
      <c r="B16" s="91" t="s">
        <v>363</v>
      </c>
      <c r="C16" s="186">
        <f ca="1">OFFSET(card!$J$1,MATCH(skill!B16,card!B:B,0)-1,0)</f>
        <v>2</v>
      </c>
      <c r="D16" s="186">
        <f ca="1">OFFSET(card!$K$1,MATCH(B16,card!B:B,0)-1,0)</f>
        <v>1</v>
      </c>
      <c r="E16" s="179" t="s">
        <v>628</v>
      </c>
      <c r="F16" s="1">
        <v>2</v>
      </c>
      <c r="G16" s="1"/>
      <c r="H16" s="1"/>
      <c r="I16" s="1"/>
      <c r="J16" s="1">
        <v>1</v>
      </c>
      <c r="K16" s="1"/>
      <c r="L16" s="1"/>
      <c r="M16" s="1">
        <v>101101</v>
      </c>
      <c r="N16">
        <v>1</v>
      </c>
      <c r="O16" s="97">
        <v>1</v>
      </c>
      <c r="Q16" t="e">
        <f ca="1">O16*OFFSET(buff!$AG$1,MATCH(M16,buff!A:A,0)-1,0)</f>
        <v>#VALUE!</v>
      </c>
    </row>
    <row r="17" spans="1:17">
      <c r="A17" s="153">
        <f ca="1">IF(B17=B16,A16+1,OFFSET(card!$A$1,MATCH(B17,card!B:B,0)-1,0)*10+1)</f>
        <v>10110012</v>
      </c>
      <c r="B17" s="91" t="s">
        <v>363</v>
      </c>
      <c r="C17" s="186">
        <f ca="1">OFFSET(card!$J$1,MATCH(skill!B17,card!B:B,0)-1,0)</f>
        <v>2</v>
      </c>
      <c r="D17" s="186">
        <f ca="1">OFFSET(card!$K$1,MATCH(B17,card!B:B,0)-1,0)</f>
        <v>1</v>
      </c>
      <c r="E17" s="179" t="s">
        <v>628</v>
      </c>
      <c r="F17" s="1">
        <v>2</v>
      </c>
      <c r="G17" s="1"/>
      <c r="H17" s="1"/>
      <c r="I17" s="1"/>
      <c r="J17" s="1">
        <v>1</v>
      </c>
      <c r="K17" s="1"/>
      <c r="L17" s="1"/>
      <c r="M17" s="1">
        <v>101102</v>
      </c>
      <c r="N17">
        <v>1</v>
      </c>
      <c r="O17" s="97">
        <v>1</v>
      </c>
      <c r="Q17" t="e">
        <f ca="1">O17*OFFSET(buff!$AG$1,MATCH(M17,buff!A:A,0)-1,0)</f>
        <v>#VALUE!</v>
      </c>
    </row>
    <row r="18" spans="1:17">
      <c r="A18" s="153">
        <f ca="1">IF(B18=B17,A17+1,OFFSET(card!$A$1,MATCH(B18,card!B:B,0)-1,0)*10+1)</f>
        <v>10110013</v>
      </c>
      <c r="B18" s="91" t="s">
        <v>363</v>
      </c>
      <c r="C18" s="186">
        <f ca="1">OFFSET(card!$J$1,MATCH(skill!B18,card!B:B,0)-1,0)</f>
        <v>2</v>
      </c>
      <c r="D18" s="186">
        <f ca="1">OFFSET(card!$K$1,MATCH(B18,card!B:B,0)-1,0)</f>
        <v>1</v>
      </c>
      <c r="E18" s="179" t="s">
        <v>628</v>
      </c>
      <c r="F18" s="1">
        <v>2</v>
      </c>
      <c r="G18" s="1"/>
      <c r="H18" s="1"/>
      <c r="I18" s="1"/>
      <c r="J18" s="1">
        <v>1</v>
      </c>
      <c r="K18" s="1"/>
      <c r="L18" s="1"/>
      <c r="M18" s="1">
        <v>101103</v>
      </c>
      <c r="N18">
        <v>1</v>
      </c>
      <c r="O18" s="97">
        <v>1</v>
      </c>
      <c r="Q18" t="e">
        <f ca="1">O18*OFFSET(buff!$AG$1,MATCH(M18,buff!A:A,0)-1,0)</f>
        <v>#VALUE!</v>
      </c>
    </row>
    <row r="19" spans="1:17">
      <c r="A19" s="153">
        <f ca="1">IF(B19=B18,A18+1,OFFSET(card!$A$1,MATCH(B19,card!B:B,0)-1,0)*10+1)</f>
        <v>10110014</v>
      </c>
      <c r="B19" s="91" t="s">
        <v>363</v>
      </c>
      <c r="C19" s="186">
        <f ca="1">OFFSET(card!$J$1,MATCH(skill!B19,card!B:B,0)-1,0)</f>
        <v>2</v>
      </c>
      <c r="D19" s="186">
        <f ca="1">OFFSET(card!$K$1,MATCH(B19,card!B:B,0)-1,0)</f>
        <v>1</v>
      </c>
      <c r="E19" s="179" t="s">
        <v>628</v>
      </c>
      <c r="F19" s="1">
        <v>2</v>
      </c>
      <c r="G19" s="1"/>
      <c r="H19" s="1"/>
      <c r="I19" s="1"/>
      <c r="J19" s="1">
        <v>1</v>
      </c>
      <c r="K19" s="1"/>
      <c r="L19" s="1"/>
      <c r="M19" s="1">
        <v>101104</v>
      </c>
      <c r="N19">
        <v>1</v>
      </c>
      <c r="O19" s="97">
        <v>1</v>
      </c>
      <c r="Q19" t="e">
        <f ca="1">O19*OFFSET(buff!$AG$1,MATCH(M19,buff!A:A,0)-1,0)</f>
        <v>#VALUE!</v>
      </c>
    </row>
    <row r="20" spans="1:17">
      <c r="A20" s="153">
        <f ca="1">IF(B20=B19,A19+1,OFFSET(card!$A$1,MATCH(B20,card!B:B,0)-1,0)*10+1)</f>
        <v>10110015</v>
      </c>
      <c r="B20" s="91" t="s">
        <v>363</v>
      </c>
      <c r="C20" s="186">
        <f ca="1">OFFSET(card!$J$1,MATCH(skill!B20,card!B:B,0)-1,0)</f>
        <v>2</v>
      </c>
      <c r="D20" s="186">
        <f ca="1">OFFSET(card!$K$1,MATCH(B20,card!B:B,0)-1,0)</f>
        <v>1</v>
      </c>
      <c r="E20" s="179" t="s">
        <v>628</v>
      </c>
      <c r="F20" s="1">
        <v>2</v>
      </c>
      <c r="G20" s="1"/>
      <c r="H20" s="1"/>
      <c r="I20" s="1"/>
      <c r="J20" s="1">
        <v>1</v>
      </c>
      <c r="K20" s="1"/>
      <c r="L20" s="1"/>
      <c r="M20" s="1">
        <v>101105</v>
      </c>
      <c r="N20">
        <v>1</v>
      </c>
      <c r="O20" s="97">
        <v>1</v>
      </c>
      <c r="Q20" t="e">
        <f ca="1">O20*OFFSET(buff!$AG$1,MATCH(M20,buff!A:A,0)-1,0)</f>
        <v>#VALUE!</v>
      </c>
    </row>
    <row r="21" spans="1:17">
      <c r="A21" s="153">
        <f ca="1">IF(B21=B20,A20+1,OFFSET(card!$A$1,MATCH(B21,card!B:B,0)-1,0)*10+1)</f>
        <v>10110016</v>
      </c>
      <c r="B21" s="91" t="s">
        <v>363</v>
      </c>
      <c r="C21" s="186">
        <f ca="1">OFFSET(card!$J$1,MATCH(skill!B21,card!B:B,0)-1,0)</f>
        <v>2</v>
      </c>
      <c r="D21" s="186">
        <f ca="1">OFFSET(card!$K$1,MATCH(B21,card!B:B,0)-1,0)</f>
        <v>1</v>
      </c>
      <c r="E21" s="179" t="s">
        <v>628</v>
      </c>
      <c r="F21" s="1">
        <v>2</v>
      </c>
      <c r="G21" s="1"/>
      <c r="H21" s="1"/>
      <c r="I21" s="1"/>
      <c r="J21" s="1">
        <v>1</v>
      </c>
      <c r="K21" s="1"/>
      <c r="L21" s="1"/>
      <c r="M21" s="1">
        <v>101106</v>
      </c>
      <c r="N21">
        <v>1</v>
      </c>
      <c r="O21" s="97">
        <v>1</v>
      </c>
      <c r="Q21" t="e">
        <f ca="1">O21*OFFSET(buff!$AG$1,MATCH(M21,buff!A:A,0)-1,0)</f>
        <v>#VALUE!</v>
      </c>
    </row>
    <row r="22" spans="1:17">
      <c r="A22" s="153">
        <f ca="1">IF(B22=B21,A21+1,OFFSET(card!$A$1,MATCH(B22,card!B:B,0)-1,0)*10+1)</f>
        <v>10110017</v>
      </c>
      <c r="B22" s="91" t="s">
        <v>363</v>
      </c>
      <c r="C22" s="186">
        <f ca="1">OFFSET(card!$J$1,MATCH(skill!B22,card!B:B,0)-1,0)</f>
        <v>2</v>
      </c>
      <c r="D22" s="186">
        <f ca="1">OFFSET(card!$K$1,MATCH(B22,card!B:B,0)-1,0)</f>
        <v>1</v>
      </c>
      <c r="E22" s="179" t="s">
        <v>628</v>
      </c>
      <c r="F22" s="1">
        <v>2</v>
      </c>
      <c r="G22" s="1"/>
      <c r="H22" s="1"/>
      <c r="I22" s="1"/>
      <c r="J22" s="1">
        <v>1</v>
      </c>
      <c r="K22" s="1"/>
      <c r="L22" s="1"/>
      <c r="M22" s="1">
        <v>101107</v>
      </c>
      <c r="N22">
        <v>1</v>
      </c>
      <c r="O22" s="97">
        <v>1</v>
      </c>
      <c r="Q22" t="e">
        <f ca="1">O22*OFFSET(buff!$AG$1,MATCH(M22,buff!A:A,0)-1,0)</f>
        <v>#VALUE!</v>
      </c>
    </row>
    <row r="23" spans="1:17">
      <c r="A23" s="153">
        <f ca="1">IF(B23=B22,A22+1,OFFSET(card!$A$1,MATCH(B23,card!B:B,0)-1,0)*10+1)</f>
        <v>10110018</v>
      </c>
      <c r="B23" s="91" t="s">
        <v>363</v>
      </c>
      <c r="C23" s="186">
        <f ca="1">OFFSET(card!$J$1,MATCH(skill!B23,card!B:B,0)-1,0)</f>
        <v>2</v>
      </c>
      <c r="D23" s="186">
        <f ca="1">OFFSET(card!$K$1,MATCH(B23,card!B:B,0)-1,0)</f>
        <v>1</v>
      </c>
      <c r="E23" s="179" t="s">
        <v>628</v>
      </c>
      <c r="F23" s="1">
        <v>2</v>
      </c>
      <c r="G23" s="1"/>
      <c r="H23" s="1"/>
      <c r="I23" s="1"/>
      <c r="J23" s="1">
        <v>1</v>
      </c>
      <c r="K23" s="1"/>
      <c r="L23" s="1"/>
      <c r="M23" s="1">
        <v>101108</v>
      </c>
      <c r="N23">
        <v>1</v>
      </c>
      <c r="O23" s="97">
        <v>1</v>
      </c>
      <c r="Q23" t="e">
        <f ca="1">O23*OFFSET(buff!$AG$1,MATCH(M23,buff!A:A,0)-1,0)</f>
        <v>#VALUE!</v>
      </c>
    </row>
    <row r="24" spans="1:17">
      <c r="A24" s="153">
        <f ca="1">IF(B24=B23,A23+1,OFFSET(card!$A$1,MATCH(B24,card!B:B,0)-1,0)*10+1)</f>
        <v>10110019</v>
      </c>
      <c r="B24" s="91" t="s">
        <v>363</v>
      </c>
      <c r="C24" s="186">
        <f ca="1">OFFSET(card!$J$1,MATCH(skill!B24,card!B:B,0)-1,0)</f>
        <v>2</v>
      </c>
      <c r="D24" s="186">
        <f ca="1">OFFSET(card!$K$1,MATCH(B24,card!B:B,0)-1,0)</f>
        <v>1</v>
      </c>
      <c r="E24" s="179" t="s">
        <v>628</v>
      </c>
      <c r="F24" s="1">
        <v>2</v>
      </c>
      <c r="G24" s="1"/>
      <c r="H24" s="1"/>
      <c r="I24" s="1"/>
      <c r="J24" s="1">
        <v>1</v>
      </c>
      <c r="K24" s="1"/>
      <c r="L24" s="1"/>
      <c r="M24" s="1">
        <v>101109</v>
      </c>
      <c r="N24">
        <v>1</v>
      </c>
      <c r="O24" s="97">
        <v>1</v>
      </c>
      <c r="Q24" t="e">
        <f ca="1">O24*OFFSET(buff!$AG$1,MATCH(M24,buff!A:A,0)-1,0)</f>
        <v>#VALUE!</v>
      </c>
    </row>
    <row r="25" spans="1:17">
      <c r="A25" s="153">
        <f ca="1">IF(B25=B24,A24+1,OFFSET(card!$A$1,MATCH(B25,card!B:B,0)-1,0)*10+1)</f>
        <v>10110020</v>
      </c>
      <c r="B25" s="91" t="s">
        <v>363</v>
      </c>
      <c r="C25" s="186">
        <f ca="1">OFFSET(card!$J$1,MATCH(skill!B25,card!B:B,0)-1,0)</f>
        <v>2</v>
      </c>
      <c r="D25" s="186">
        <f ca="1">OFFSET(card!$K$1,MATCH(B25,card!B:B,0)-1,0)</f>
        <v>1</v>
      </c>
      <c r="E25" s="179" t="s">
        <v>628</v>
      </c>
      <c r="F25" s="1">
        <v>2</v>
      </c>
      <c r="G25" s="1"/>
      <c r="H25" s="1"/>
      <c r="I25" s="1"/>
      <c r="J25" s="1">
        <v>1</v>
      </c>
      <c r="K25" s="1"/>
      <c r="L25" s="1"/>
      <c r="M25" s="1">
        <v>101110</v>
      </c>
      <c r="N25">
        <v>1</v>
      </c>
      <c r="O25" s="97">
        <v>1</v>
      </c>
      <c r="Q25" t="e">
        <f ca="1">O25*OFFSET(buff!$AG$1,MATCH(M25,buff!A:A,0)-1,0)</f>
        <v>#VALUE!</v>
      </c>
    </row>
    <row r="26" spans="1:17">
      <c r="A26" s="153">
        <f ca="1">IF(B26=B25,A25+1,OFFSET(card!$A$1,MATCH(B26,card!B:B,0)-1,0)*10+1)</f>
        <v>10110021</v>
      </c>
      <c r="B26" s="91" t="s">
        <v>363</v>
      </c>
      <c r="C26" s="186">
        <f ca="1">OFFSET(card!$J$1,MATCH(skill!B26,card!B:B,0)-1,0)</f>
        <v>2</v>
      </c>
      <c r="D26" s="186">
        <f ca="1">OFFSET(card!$K$1,MATCH(B26,card!B:B,0)-1,0)</f>
        <v>1</v>
      </c>
      <c r="E26" s="179" t="s">
        <v>628</v>
      </c>
      <c r="F26" s="1">
        <v>2</v>
      </c>
      <c r="G26" s="1"/>
      <c r="H26" s="1"/>
      <c r="I26" s="1"/>
      <c r="J26" s="1">
        <v>1</v>
      </c>
      <c r="K26" s="1"/>
      <c r="L26" s="1"/>
      <c r="M26" s="1">
        <v>101111</v>
      </c>
      <c r="N26">
        <v>1</v>
      </c>
      <c r="O26" s="97">
        <v>1</v>
      </c>
      <c r="Q26" t="e">
        <f ca="1">O26*OFFSET(buff!$AG$1,MATCH(M26,buff!A:A,0)-1,0)</f>
        <v>#VALUE!</v>
      </c>
    </row>
    <row r="27" spans="1:17">
      <c r="A27" s="153">
        <f ca="1">IF(B27=B26,A26+1,OFFSET(card!$A$1,MATCH(B27,card!B:B,0)-1,0)*10+1)</f>
        <v>10110022</v>
      </c>
      <c r="B27" s="91" t="s">
        <v>363</v>
      </c>
      <c r="C27" s="186">
        <f ca="1">OFFSET(card!$J$1,MATCH(skill!B27,card!B:B,0)-1,0)</f>
        <v>2</v>
      </c>
      <c r="D27" s="186">
        <f ca="1">OFFSET(card!$K$1,MATCH(B27,card!B:B,0)-1,0)</f>
        <v>1</v>
      </c>
      <c r="E27" s="179" t="s">
        <v>628</v>
      </c>
      <c r="F27" s="1">
        <v>2</v>
      </c>
      <c r="G27" s="1"/>
      <c r="H27" s="1"/>
      <c r="I27" s="1"/>
      <c r="J27" s="1">
        <v>1</v>
      </c>
      <c r="K27" s="1"/>
      <c r="L27" s="1"/>
      <c r="M27" s="1">
        <v>101112</v>
      </c>
      <c r="N27">
        <v>1</v>
      </c>
      <c r="O27" s="97">
        <v>1</v>
      </c>
      <c r="Q27" t="e">
        <f ca="1">O27*OFFSET(buff!$AG$1,MATCH(M27,buff!A:A,0)-1,0)</f>
        <v>#VALUE!</v>
      </c>
    </row>
    <row r="28" spans="1:17">
      <c r="A28" s="153">
        <f ca="1">IF(B28=B27,A27+1,OFFSET(card!$A$1,MATCH(B28,card!B:B,0)-1,0)*10+1)</f>
        <v>10110023</v>
      </c>
      <c r="B28" s="91" t="s">
        <v>363</v>
      </c>
      <c r="C28" s="186">
        <f ca="1">OFFSET(card!$J$1,MATCH(skill!B28,card!B:B,0)-1,0)</f>
        <v>2</v>
      </c>
      <c r="D28" s="186">
        <f ca="1">OFFSET(card!$K$1,MATCH(B28,card!B:B,0)-1,0)</f>
        <v>1</v>
      </c>
      <c r="E28" s="179" t="s">
        <v>628</v>
      </c>
      <c r="F28" s="1">
        <v>2</v>
      </c>
      <c r="G28" s="1"/>
      <c r="H28" s="1"/>
      <c r="I28" s="1"/>
      <c r="J28" s="1">
        <v>1</v>
      </c>
      <c r="K28" s="1"/>
      <c r="L28" s="1"/>
      <c r="M28" s="1">
        <v>101113</v>
      </c>
      <c r="N28">
        <v>1</v>
      </c>
      <c r="O28" s="97">
        <v>1</v>
      </c>
      <c r="Q28" t="e">
        <f ca="1">O28*OFFSET(buff!$AG$1,MATCH(M28,buff!A:A,0)-1,0)</f>
        <v>#VALUE!</v>
      </c>
    </row>
    <row r="29" spans="1:17">
      <c r="A29" s="153">
        <f ca="1">IF(B29=B28,A28+1,OFFSET(card!$A$1,MATCH(B29,card!B:B,0)-1,0)*10+1)</f>
        <v>10110024</v>
      </c>
      <c r="B29" s="91" t="s">
        <v>363</v>
      </c>
      <c r="C29" s="186">
        <f ca="1">OFFSET(card!$J$1,MATCH(skill!B29,card!B:B,0)-1,0)</f>
        <v>2</v>
      </c>
      <c r="D29" s="186">
        <f ca="1">OFFSET(card!$K$1,MATCH(B29,card!B:B,0)-1,0)</f>
        <v>1</v>
      </c>
      <c r="E29" s="179" t="s">
        <v>628</v>
      </c>
      <c r="F29" s="1">
        <v>2</v>
      </c>
      <c r="G29" s="1"/>
      <c r="H29" s="1"/>
      <c r="I29" s="1"/>
      <c r="J29" s="1">
        <v>1</v>
      </c>
      <c r="K29" s="1"/>
      <c r="L29" s="1"/>
      <c r="M29" s="1">
        <v>101114</v>
      </c>
      <c r="N29">
        <v>1</v>
      </c>
      <c r="O29" s="97">
        <v>1</v>
      </c>
      <c r="Q29" t="e">
        <f ca="1">O29*OFFSET(buff!$AG$1,MATCH(M29,buff!A:A,0)-1,0)</f>
        <v>#VALUE!</v>
      </c>
    </row>
    <row r="30" spans="1:17">
      <c r="A30" s="153">
        <f ca="1">IF(B30=B29,A29+1,OFFSET(card!$A$1,MATCH(B30,card!B:B,0)-1,0)*10+1)</f>
        <v>10110025</v>
      </c>
      <c r="B30" s="91" t="s">
        <v>363</v>
      </c>
      <c r="C30" s="186">
        <f ca="1">OFFSET(card!$J$1,MATCH(skill!B30,card!B:B,0)-1,0)</f>
        <v>2</v>
      </c>
      <c r="D30" s="186">
        <f ca="1">OFFSET(card!$K$1,MATCH(B30,card!B:B,0)-1,0)</f>
        <v>1</v>
      </c>
      <c r="E30" s="179" t="s">
        <v>628</v>
      </c>
      <c r="F30" s="1">
        <v>2</v>
      </c>
      <c r="G30" s="1"/>
      <c r="H30" s="1"/>
      <c r="I30" s="1"/>
      <c r="J30" s="1">
        <v>1</v>
      </c>
      <c r="K30" s="1"/>
      <c r="L30" s="1"/>
      <c r="M30" s="1">
        <v>101115</v>
      </c>
      <c r="N30">
        <v>1</v>
      </c>
      <c r="O30" s="97">
        <v>1</v>
      </c>
      <c r="Q30" t="e">
        <f ca="1">O30*OFFSET(buff!$AG$1,MATCH(M30,buff!A:A,0)-1,0)</f>
        <v>#VALUE!</v>
      </c>
    </row>
    <row r="31" spans="1:17">
      <c r="A31" s="153">
        <f ca="1">IF(B31=B30,A30+1,OFFSET(card!$A$1,MATCH(B31,card!B:B,0)-1,0)*10+1)</f>
        <v>10110026</v>
      </c>
      <c r="B31" s="91" t="s">
        <v>363</v>
      </c>
      <c r="C31" s="186">
        <f ca="1">OFFSET(card!$J$1,MATCH(skill!B31,card!B:B,0)-1,0)</f>
        <v>2</v>
      </c>
      <c r="D31" s="186">
        <f ca="1">OFFSET(card!$K$1,MATCH(B31,card!B:B,0)-1,0)</f>
        <v>1</v>
      </c>
      <c r="E31" s="179" t="s">
        <v>628</v>
      </c>
      <c r="F31" s="1">
        <v>2</v>
      </c>
      <c r="G31" s="1"/>
      <c r="H31" s="1"/>
      <c r="I31" s="1"/>
      <c r="J31" s="1">
        <v>1</v>
      </c>
      <c r="K31" s="1"/>
      <c r="L31" s="1"/>
      <c r="M31" s="1">
        <v>101116</v>
      </c>
      <c r="N31">
        <v>1</v>
      </c>
      <c r="O31" s="97">
        <v>1</v>
      </c>
      <c r="Q31" t="e">
        <f ca="1">O31*OFFSET(buff!$AG$1,MATCH(M31,buff!A:A,0)-1,0)</f>
        <v>#VALUE!</v>
      </c>
    </row>
    <row r="32" spans="1:17">
      <c r="A32" s="153">
        <f ca="1">IF(B32=B31,A31+1,OFFSET(card!$A$1,MATCH(B32,card!B:B,0)-1,0)*10+1)</f>
        <v>10110027</v>
      </c>
      <c r="B32" s="91" t="s">
        <v>363</v>
      </c>
      <c r="C32" s="186">
        <f ca="1">OFFSET(card!$J$1,MATCH(skill!B32,card!B:B,0)-1,0)</f>
        <v>2</v>
      </c>
      <c r="D32" s="186">
        <f ca="1">OFFSET(card!$K$1,MATCH(B32,card!B:B,0)-1,0)</f>
        <v>1</v>
      </c>
      <c r="E32" s="179" t="s">
        <v>628</v>
      </c>
      <c r="F32" s="1">
        <v>2</v>
      </c>
      <c r="G32" s="1"/>
      <c r="H32" s="1"/>
      <c r="I32" s="1"/>
      <c r="J32" s="1">
        <v>1</v>
      </c>
      <c r="K32" s="1"/>
      <c r="L32" s="1"/>
      <c r="M32" s="1">
        <v>101117</v>
      </c>
      <c r="N32">
        <v>1</v>
      </c>
      <c r="O32" s="97">
        <v>1</v>
      </c>
      <c r="Q32" t="e">
        <f ca="1">O32*OFFSET(buff!$AG$1,MATCH(M32,buff!A:A,0)-1,0)</f>
        <v>#VALUE!</v>
      </c>
    </row>
    <row r="33" spans="1:17">
      <c r="A33" s="153">
        <f ca="1">IF(B33=B32,A32+1,OFFSET(card!$A$1,MATCH(B33,card!B:B,0)-1,0)*10+1)</f>
        <v>10110028</v>
      </c>
      <c r="B33" s="91" t="s">
        <v>363</v>
      </c>
      <c r="C33" s="186">
        <f ca="1">OFFSET(card!$J$1,MATCH(skill!B33,card!B:B,0)-1,0)</f>
        <v>2</v>
      </c>
      <c r="D33" s="186">
        <f ca="1">OFFSET(card!$K$1,MATCH(B33,card!B:B,0)-1,0)</f>
        <v>1</v>
      </c>
      <c r="E33" s="179" t="s">
        <v>628</v>
      </c>
      <c r="F33" s="1">
        <v>2</v>
      </c>
      <c r="G33" s="1"/>
      <c r="H33" s="1"/>
      <c r="I33" s="1"/>
      <c r="J33" s="1">
        <v>1</v>
      </c>
      <c r="K33" s="1"/>
      <c r="L33" s="1"/>
      <c r="M33" s="1">
        <v>101118</v>
      </c>
      <c r="N33">
        <v>1</v>
      </c>
      <c r="O33" s="97">
        <v>1</v>
      </c>
      <c r="Q33" t="e">
        <f ca="1">O33*OFFSET(buff!$AG$1,MATCH(M33,buff!A:A,0)-1,0)</f>
        <v>#VALUE!</v>
      </c>
    </row>
    <row r="34" spans="1:17">
      <c r="A34" s="153">
        <f ca="1">IF(B34=B33,A33+1,OFFSET(card!$A$1,MATCH(B34,card!B:B,0)-1,0)*10+1)</f>
        <v>10110029</v>
      </c>
      <c r="B34" s="91" t="s">
        <v>363</v>
      </c>
      <c r="C34" s="186">
        <f ca="1">OFFSET(card!$J$1,MATCH(skill!B34,card!B:B,0)-1,0)</f>
        <v>2</v>
      </c>
      <c r="D34" s="186">
        <f ca="1">OFFSET(card!$K$1,MATCH(B34,card!B:B,0)-1,0)</f>
        <v>1</v>
      </c>
      <c r="E34" s="179" t="s">
        <v>628</v>
      </c>
      <c r="F34" s="1">
        <v>2</v>
      </c>
      <c r="G34" s="1"/>
      <c r="H34" s="1"/>
      <c r="I34" s="1"/>
      <c r="J34" s="1">
        <v>1</v>
      </c>
      <c r="K34" s="1"/>
      <c r="L34" s="1"/>
      <c r="M34" s="1">
        <v>101119</v>
      </c>
      <c r="N34">
        <v>1</v>
      </c>
      <c r="O34" s="97">
        <v>1</v>
      </c>
      <c r="Q34" t="e">
        <f ca="1">O34*OFFSET(buff!$AG$1,MATCH(M34,buff!A:A,0)-1,0)</f>
        <v>#VALUE!</v>
      </c>
    </row>
    <row r="35" spans="1:17">
      <c r="A35" s="153">
        <f ca="1">IF(B35=B34,A34+1,OFFSET(card!$A$1,MATCH(B35,card!B:B,0)-1,0)*10+1)</f>
        <v>10110030</v>
      </c>
      <c r="B35" s="91" t="s">
        <v>363</v>
      </c>
      <c r="C35" s="186">
        <f ca="1">OFFSET(card!$J$1,MATCH(skill!B35,card!B:B,0)-1,0)</f>
        <v>2</v>
      </c>
      <c r="D35" s="186">
        <f ca="1">OFFSET(card!$K$1,MATCH(B35,card!B:B,0)-1,0)</f>
        <v>1</v>
      </c>
      <c r="E35" s="179" t="s">
        <v>628</v>
      </c>
      <c r="F35" s="1">
        <v>2</v>
      </c>
      <c r="G35" s="1"/>
      <c r="H35" s="1"/>
      <c r="I35" s="1"/>
      <c r="J35" s="1">
        <v>1</v>
      </c>
      <c r="K35" s="1"/>
      <c r="L35" s="1"/>
      <c r="M35" s="1">
        <v>101120</v>
      </c>
      <c r="N35">
        <v>1</v>
      </c>
      <c r="O35" s="97">
        <v>1</v>
      </c>
      <c r="Q35" t="e">
        <f ca="1">O35*OFFSET(buff!$AG$1,MATCH(M35,buff!A:A,0)-1,0)</f>
        <v>#VALUE!</v>
      </c>
    </row>
    <row r="36" spans="1:17">
      <c r="A36" s="153">
        <f ca="1">IF(B36=B35,A35+1,OFFSET(card!$A$1,MATCH(B36,card!B:B,0)-1,0)*10+1)</f>
        <v>10110031</v>
      </c>
      <c r="B36" s="91" t="s">
        <v>363</v>
      </c>
      <c r="C36" s="186">
        <f ca="1">OFFSET(card!$J$1,MATCH(skill!B36,card!B:B,0)-1,0)</f>
        <v>2</v>
      </c>
      <c r="D36" s="186">
        <f ca="1">OFFSET(card!$K$1,MATCH(B36,card!B:B,0)-1,0)</f>
        <v>1</v>
      </c>
      <c r="E36" s="179" t="s">
        <v>628</v>
      </c>
      <c r="F36" s="1">
        <v>2</v>
      </c>
      <c r="G36" s="1"/>
      <c r="H36" s="1"/>
      <c r="I36" s="1"/>
      <c r="J36" s="1">
        <v>1</v>
      </c>
      <c r="K36" s="1"/>
      <c r="L36" s="1"/>
      <c r="M36" s="1">
        <v>101121</v>
      </c>
      <c r="N36">
        <v>1</v>
      </c>
      <c r="O36" s="97">
        <v>1</v>
      </c>
      <c r="Q36" t="e">
        <f ca="1">O36*OFFSET(buff!$AG$1,MATCH(M36,buff!A:A,0)-1,0)</f>
        <v>#VALUE!</v>
      </c>
    </row>
    <row r="37" spans="1:17">
      <c r="A37" s="153">
        <f ca="1">IF(B37=B36,A36+1,OFFSET(card!$A$1,MATCH(B37,card!B:B,0)-1,0)*10+1)</f>
        <v>10110032</v>
      </c>
      <c r="B37" s="91" t="s">
        <v>363</v>
      </c>
      <c r="C37" s="186">
        <f ca="1">OFFSET(card!$J$1,MATCH(skill!B37,card!B:B,0)-1,0)</f>
        <v>2</v>
      </c>
      <c r="D37" s="186">
        <f ca="1">OFFSET(card!$K$1,MATCH(B37,card!B:B,0)-1,0)</f>
        <v>1</v>
      </c>
      <c r="E37" s="179" t="s">
        <v>628</v>
      </c>
      <c r="F37" s="1">
        <v>2</v>
      </c>
      <c r="G37" s="1"/>
      <c r="H37" s="1"/>
      <c r="I37" s="1"/>
      <c r="J37" s="1">
        <v>1</v>
      </c>
      <c r="K37" s="1"/>
      <c r="L37" s="1"/>
      <c r="M37" s="1">
        <v>101122</v>
      </c>
      <c r="N37">
        <v>1</v>
      </c>
      <c r="O37" s="97">
        <v>1</v>
      </c>
      <c r="Q37" t="e">
        <f ca="1">O37*OFFSET(buff!$AG$1,MATCH(M37,buff!A:A,0)-1,0)</f>
        <v>#VALUE!</v>
      </c>
    </row>
    <row r="38" spans="1:17">
      <c r="A38" s="153">
        <f ca="1">IF(B38=B37,A37+1,OFFSET(card!$A$1,MATCH(B38,card!B:B,0)-1,0)*10+1)</f>
        <v>10110033</v>
      </c>
      <c r="B38" s="91" t="s">
        <v>363</v>
      </c>
      <c r="C38" s="186">
        <f ca="1">OFFSET(card!$J$1,MATCH(skill!B38,card!B:B,0)-1,0)</f>
        <v>2</v>
      </c>
      <c r="D38" s="186">
        <f ca="1">OFFSET(card!$K$1,MATCH(B38,card!B:B,0)-1,0)</f>
        <v>1</v>
      </c>
      <c r="E38" s="179" t="s">
        <v>628</v>
      </c>
      <c r="F38" s="1">
        <v>2</v>
      </c>
      <c r="G38" s="1"/>
      <c r="H38" s="1"/>
      <c r="I38" s="1"/>
      <c r="J38" s="1">
        <v>1</v>
      </c>
      <c r="K38" s="1"/>
      <c r="L38" s="1"/>
      <c r="M38" s="1">
        <v>101123</v>
      </c>
      <c r="N38">
        <v>1</v>
      </c>
      <c r="O38" s="97">
        <v>1</v>
      </c>
      <c r="Q38" t="e">
        <f ca="1">O38*OFFSET(buff!$AG$1,MATCH(M38,buff!A:A,0)-1,0)</f>
        <v>#VALUE!</v>
      </c>
    </row>
    <row r="39" spans="1:17">
      <c r="A39" s="153">
        <f ca="1">IF(B39=B38,A38+1,OFFSET(card!$A$1,MATCH(B39,card!B:B,0)-1,0)*10+1)</f>
        <v>10110034</v>
      </c>
      <c r="B39" s="91" t="s">
        <v>363</v>
      </c>
      <c r="C39" s="186">
        <f ca="1">OFFSET(card!$J$1,MATCH(skill!B39,card!B:B,0)-1,0)</f>
        <v>2</v>
      </c>
      <c r="D39" s="186">
        <f ca="1">OFFSET(card!$K$1,MATCH(B39,card!B:B,0)-1,0)</f>
        <v>1</v>
      </c>
      <c r="E39" s="179" t="s">
        <v>628</v>
      </c>
      <c r="F39" s="1">
        <v>2</v>
      </c>
      <c r="G39" s="1"/>
      <c r="H39" s="1"/>
      <c r="I39" s="1"/>
      <c r="J39" s="1">
        <v>1</v>
      </c>
      <c r="K39" s="1"/>
      <c r="L39" s="1"/>
      <c r="M39" s="1">
        <v>101124</v>
      </c>
      <c r="N39">
        <v>1</v>
      </c>
      <c r="O39" s="97">
        <v>1</v>
      </c>
      <c r="Q39" t="e">
        <f ca="1">O39*OFFSET(buff!$AG$1,MATCH(M39,buff!A:A,0)-1,0)</f>
        <v>#VALUE!</v>
      </c>
    </row>
    <row r="40" spans="1:17">
      <c r="A40" s="153">
        <f ca="1">IF(B40=B39,A39+1,OFFSET(card!$A$1,MATCH(B40,card!B:B,0)-1,0)*10+1)</f>
        <v>10110035</v>
      </c>
      <c r="B40" s="91" t="s">
        <v>363</v>
      </c>
      <c r="C40" s="186">
        <f ca="1">OFFSET(card!$J$1,MATCH(skill!B40,card!B:B,0)-1,0)</f>
        <v>2</v>
      </c>
      <c r="D40" s="186">
        <f ca="1">OFFSET(card!$K$1,MATCH(B40,card!B:B,0)-1,0)</f>
        <v>1</v>
      </c>
      <c r="E40" s="179" t="s">
        <v>628</v>
      </c>
      <c r="F40" s="1">
        <v>2</v>
      </c>
      <c r="G40" s="1"/>
      <c r="H40" s="1"/>
      <c r="I40" s="1"/>
      <c r="J40" s="1">
        <v>1</v>
      </c>
      <c r="K40" s="1"/>
      <c r="L40" s="1"/>
      <c r="M40" s="1">
        <v>101125</v>
      </c>
      <c r="N40">
        <v>1</v>
      </c>
      <c r="O40" s="97">
        <v>1</v>
      </c>
      <c r="Q40" t="e">
        <f ca="1">O40*OFFSET(buff!$AG$1,MATCH(M40,buff!A:A,0)-1,0)</f>
        <v>#VALUE!</v>
      </c>
    </row>
    <row r="41" spans="1:17">
      <c r="A41" s="153">
        <f ca="1">IF(B41=B40,A40+1,OFFSET(card!$A$1,MATCH(B41,card!B:B,0)-1,0)*10+1)</f>
        <v>10110036</v>
      </c>
      <c r="B41" s="91" t="s">
        <v>363</v>
      </c>
      <c r="C41" s="186">
        <f ca="1">OFFSET(card!$J$1,MATCH(skill!B41,card!B:B,0)-1,0)</f>
        <v>2</v>
      </c>
      <c r="D41" s="186">
        <f ca="1">OFFSET(card!$K$1,MATCH(B41,card!B:B,0)-1,0)</f>
        <v>1</v>
      </c>
      <c r="E41" s="179" t="s">
        <v>628</v>
      </c>
      <c r="F41" s="1">
        <v>2</v>
      </c>
      <c r="G41" s="1"/>
      <c r="H41" s="1"/>
      <c r="I41" s="1"/>
      <c r="J41" s="1">
        <v>1</v>
      </c>
      <c r="K41" s="1"/>
      <c r="L41" s="1"/>
      <c r="M41" s="1">
        <v>101126</v>
      </c>
      <c r="N41">
        <v>1</v>
      </c>
      <c r="O41" s="97">
        <v>1</v>
      </c>
      <c r="Q41" t="e">
        <f ca="1">O41*OFFSET(buff!$AG$1,MATCH(M41,buff!A:A,0)-1,0)</f>
        <v>#VALUE!</v>
      </c>
    </row>
    <row r="42" spans="1:17">
      <c r="A42" s="153">
        <f ca="1">IF(B42=B41,A41+1,OFFSET(card!$A$1,MATCH(B42,card!B:B,0)-1,0)*10+1)</f>
        <v>10110037</v>
      </c>
      <c r="B42" s="91" t="s">
        <v>363</v>
      </c>
      <c r="C42" s="186">
        <f ca="1">OFFSET(card!$J$1,MATCH(skill!B42,card!B:B,0)-1,0)</f>
        <v>2</v>
      </c>
      <c r="D42" s="186">
        <f ca="1">OFFSET(card!$K$1,MATCH(B42,card!B:B,0)-1,0)</f>
        <v>1</v>
      </c>
      <c r="E42" s="179" t="s">
        <v>628</v>
      </c>
      <c r="F42" s="1">
        <v>2</v>
      </c>
      <c r="G42" s="1"/>
      <c r="H42" s="1"/>
      <c r="I42" s="1"/>
      <c r="J42" s="1">
        <v>1</v>
      </c>
      <c r="K42" s="1"/>
      <c r="L42" s="1"/>
      <c r="M42" s="1">
        <v>101127</v>
      </c>
      <c r="N42">
        <v>1</v>
      </c>
      <c r="O42" s="97">
        <v>1</v>
      </c>
      <c r="Q42" t="e">
        <f ca="1">O42*OFFSET(buff!$AG$1,MATCH(M42,buff!A:A,0)-1,0)</f>
        <v>#VALUE!</v>
      </c>
    </row>
    <row r="43" spans="1:17">
      <c r="A43" s="153">
        <f ca="1">IF(B43=B42,A42+1,OFFSET(card!$A$1,MATCH(B43,card!B:B,0)-1,0)*10+1)</f>
        <v>10110038</v>
      </c>
      <c r="B43" s="91" t="s">
        <v>363</v>
      </c>
      <c r="C43" s="186">
        <f ca="1">OFFSET(card!$J$1,MATCH(skill!B43,card!B:B,0)-1,0)</f>
        <v>2</v>
      </c>
      <c r="D43" s="186">
        <f ca="1">OFFSET(card!$K$1,MATCH(B43,card!B:B,0)-1,0)</f>
        <v>1</v>
      </c>
      <c r="E43" s="179" t="s">
        <v>628</v>
      </c>
      <c r="F43" s="1">
        <v>2</v>
      </c>
      <c r="G43" s="1"/>
      <c r="H43" s="1"/>
      <c r="I43" s="1"/>
      <c r="J43" s="1">
        <v>1</v>
      </c>
      <c r="K43" s="1"/>
      <c r="L43" s="1"/>
      <c r="M43" s="1">
        <v>101128</v>
      </c>
      <c r="N43">
        <v>1</v>
      </c>
      <c r="O43" s="97">
        <v>1</v>
      </c>
      <c r="Q43" t="e">
        <f ca="1">O43*OFFSET(buff!$AG$1,MATCH(M43,buff!A:A,0)-1,0)</f>
        <v>#VALUE!</v>
      </c>
    </row>
    <row r="44" spans="1:17">
      <c r="A44" s="153">
        <f ca="1">IF(B44=B43,A43+1,OFFSET(card!$A$1,MATCH(B44,card!B:B,0)-1,0)*10+1)</f>
        <v>10110039</v>
      </c>
      <c r="B44" s="91" t="s">
        <v>363</v>
      </c>
      <c r="C44" s="186">
        <f ca="1">OFFSET(card!$J$1,MATCH(skill!B44,card!B:B,0)-1,0)</f>
        <v>2</v>
      </c>
      <c r="D44" s="186">
        <f ca="1">OFFSET(card!$K$1,MATCH(B44,card!B:B,0)-1,0)</f>
        <v>1</v>
      </c>
      <c r="E44" s="179" t="s">
        <v>628</v>
      </c>
      <c r="F44" s="1">
        <v>2</v>
      </c>
      <c r="G44" s="1"/>
      <c r="H44" s="1"/>
      <c r="I44" s="1"/>
      <c r="J44" s="1">
        <v>1</v>
      </c>
      <c r="K44" s="1"/>
      <c r="L44" s="1"/>
      <c r="M44" s="1">
        <v>101129</v>
      </c>
      <c r="N44">
        <v>1</v>
      </c>
      <c r="O44" s="97">
        <v>1</v>
      </c>
      <c r="Q44" t="e">
        <f ca="1">O44*OFFSET(buff!$AG$1,MATCH(M44,buff!A:A,0)-1,0)</f>
        <v>#VALUE!</v>
      </c>
    </row>
    <row r="45" spans="1:17">
      <c r="A45" s="153">
        <f ca="1">IF(B45=B44,A44+1,OFFSET(card!$A$1,MATCH(B45,card!B:B,0)-1,0)*10+1)</f>
        <v>10110040</v>
      </c>
      <c r="B45" s="91" t="s">
        <v>363</v>
      </c>
      <c r="C45" s="186">
        <f ca="1">OFFSET(card!$J$1,MATCH(skill!B45,card!B:B,0)-1,0)</f>
        <v>2</v>
      </c>
      <c r="D45" s="186">
        <f ca="1">OFFSET(card!$K$1,MATCH(B45,card!B:B,0)-1,0)</f>
        <v>1</v>
      </c>
      <c r="E45" s="179" t="s">
        <v>628</v>
      </c>
      <c r="F45" s="1">
        <v>2</v>
      </c>
      <c r="G45" s="1"/>
      <c r="H45" s="1"/>
      <c r="I45" s="1"/>
      <c r="J45" s="1">
        <v>1</v>
      </c>
      <c r="K45" s="1"/>
      <c r="L45" s="1"/>
      <c r="M45" s="1">
        <v>101130</v>
      </c>
      <c r="N45">
        <v>1</v>
      </c>
      <c r="O45" s="97">
        <v>1</v>
      </c>
      <c r="Q45" t="e">
        <f ca="1">O45*OFFSET(buff!$AG$1,MATCH(M45,buff!A:A,0)-1,0)</f>
        <v>#VALUE!</v>
      </c>
    </row>
    <row r="46" spans="1:17">
      <c r="A46" s="153">
        <f ca="1">IF(B46=B16,A16+1,OFFSET(card!$A$1,MATCH(B46,card!B:B,0)-1,0)*10+1)</f>
        <v>10120011</v>
      </c>
      <c r="B46" s="91" t="s">
        <v>633</v>
      </c>
      <c r="C46" s="186">
        <f ca="1">OFFSET(card!$J$1,MATCH(skill!B46,card!B:B,0)-1,0)</f>
        <v>2</v>
      </c>
      <c r="D46" s="186">
        <f ca="1">OFFSET(card!$K$1,MATCH(B46,card!B:B,0)-1,0)</f>
        <v>3</v>
      </c>
      <c r="E46" s="179" t="s">
        <v>634</v>
      </c>
      <c r="F46" s="1">
        <v>1</v>
      </c>
      <c r="G46" s="1"/>
      <c r="H46" s="1"/>
      <c r="I46" s="1"/>
      <c r="J46">
        <v>1</v>
      </c>
      <c r="N46">
        <v>2</v>
      </c>
      <c r="O46">
        <v>0</v>
      </c>
      <c r="P46">
        <v>15000</v>
      </c>
      <c r="Q46">
        <f ca="1">OFFSET(card!$L$1,MATCH(B46,card!B:B,0)-1,0)*(AVERAGE(O46:P46)/(10000+AVERAGE(O46:P46)))</f>
        <v>1.28571428571429</v>
      </c>
    </row>
    <row r="47" ht="27.75" spans="1:17">
      <c r="A47" s="153">
        <f ca="1">IF(B47=B46,A46+1,OFFSET(card!$A$1,MATCH(B47,card!B:B,0)-1,0)*10+1)</f>
        <v>10130011</v>
      </c>
      <c r="B47" s="91" t="s">
        <v>377</v>
      </c>
      <c r="C47" s="186">
        <f ca="1">OFFSET(card!$J$1,MATCH(skill!B47,card!B:B,0)-1,0)</f>
        <v>2</v>
      </c>
      <c r="D47" s="186">
        <f ca="1">OFFSET(card!$K$1,MATCH(B47,card!B:B,0)-1,0)</f>
        <v>2</v>
      </c>
      <c r="E47" s="179" t="s">
        <v>1183</v>
      </c>
      <c r="F47" s="1">
        <v>2</v>
      </c>
      <c r="G47" s="1"/>
      <c r="H47" s="1"/>
      <c r="I47" s="1"/>
      <c r="J47" s="1">
        <v>1</v>
      </c>
      <c r="K47" s="1"/>
      <c r="L47" s="1"/>
      <c r="M47" s="1">
        <v>8</v>
      </c>
      <c r="N47">
        <v>1</v>
      </c>
      <c r="O47" s="97">
        <v>1</v>
      </c>
      <c r="Q47" t="e">
        <f ca="1">O47*OFFSET(buff!$AG$1,MATCH(M47,buff!A:A,0)-1,0)</f>
        <v>#VALUE!</v>
      </c>
    </row>
    <row r="48" ht="27.75" spans="1:15">
      <c r="A48" s="153">
        <f ca="1">IF(B48=B47,A47+1,OFFSET(card!$A$1,MATCH(B48,card!B:B,0)-1,0)*10+1)</f>
        <v>10140011</v>
      </c>
      <c r="B48" s="91" t="s">
        <v>642</v>
      </c>
      <c r="C48" s="186">
        <f ca="1">OFFSET(card!$J$1,MATCH(skill!B48,card!B:B,0)-1,0)</f>
        <v>2</v>
      </c>
      <c r="D48" s="186">
        <f ca="1">OFFSET(card!$K$1,MATCH(B48,card!B:B,0)-1,0)</f>
        <v>1</v>
      </c>
      <c r="E48" s="187" t="s">
        <v>1184</v>
      </c>
      <c r="F48" s="1">
        <v>1</v>
      </c>
      <c r="G48" s="1"/>
      <c r="H48" s="1"/>
      <c r="I48" s="1"/>
      <c r="J48" s="1">
        <v>1</v>
      </c>
      <c r="K48" s="1"/>
      <c r="L48" s="1"/>
      <c r="N48">
        <v>2</v>
      </c>
      <c r="O48" s="1">
        <v>5000</v>
      </c>
    </row>
    <row r="49" ht="27.75" spans="1:17">
      <c r="A49" s="153">
        <f ca="1">IF(B49=B48,A48+1,OFFSET(card!$A$1,MATCH(B49,card!B:B,0)-1,0)*10+1)</f>
        <v>10150011</v>
      </c>
      <c r="B49" s="91" t="s">
        <v>445</v>
      </c>
      <c r="C49" s="186">
        <f ca="1">OFFSET(card!$J$1,MATCH(skill!B49,card!B:B,0)-1,0)</f>
        <v>3</v>
      </c>
      <c r="D49" s="186">
        <f ca="1">OFFSET(card!$K$1,MATCH(B49,card!B:B,0)-1,0)</f>
        <v>1</v>
      </c>
      <c r="E49" s="179" t="s">
        <v>1185</v>
      </c>
      <c r="F49">
        <v>1</v>
      </c>
      <c r="N49">
        <v>2</v>
      </c>
      <c r="O49">
        <v>4000</v>
      </c>
      <c r="Q49">
        <f ca="1">(O49/(10000+O49))*OFFSET(card!$L$1,MATCH(B49,card!B:B,0)-1,0)</f>
        <v>0.571428571428571</v>
      </c>
    </row>
    <row r="50" ht="27.75" spans="1:17">
      <c r="A50" s="153">
        <f ca="1">IF(B50=B49,A49+1,OFFSET(card!$A$1,MATCH(B50,card!B:B,0)-1,0)*10+1)</f>
        <v>10160011</v>
      </c>
      <c r="B50" s="91" t="s">
        <v>652</v>
      </c>
      <c r="C50" s="186">
        <f ca="1">OFFSET(card!$J$1,MATCH(skill!B50,card!B:B,0)-1,0)</f>
        <v>3</v>
      </c>
      <c r="D50" s="186">
        <f ca="1">OFFSET(card!$K$1,MATCH(B50,card!B:B,0)-1,0)</f>
        <v>2</v>
      </c>
      <c r="E50" s="179" t="s">
        <v>653</v>
      </c>
      <c r="F50" s="1">
        <v>2</v>
      </c>
      <c r="G50" s="1"/>
      <c r="H50" s="1"/>
      <c r="I50" s="1"/>
      <c r="J50" s="1">
        <v>1</v>
      </c>
      <c r="K50" s="1"/>
      <c r="L50" s="1"/>
      <c r="M50" s="1">
        <v>10</v>
      </c>
      <c r="N50">
        <v>1</v>
      </c>
      <c r="O50" s="1">
        <v>1</v>
      </c>
      <c r="Q50" t="e">
        <f ca="1">O50*OFFSET(buff!$AG$1,MATCH(M50,buff!A:A,0)-1,0)</f>
        <v>#VALUE!</v>
      </c>
    </row>
    <row r="51" ht="27.75" spans="1:17">
      <c r="A51" s="153">
        <f ca="1">IF(B51=B50,A50+1,OFFSET(card!$A$1,MATCH(B51,card!B:B,0)-1,0)*10+1)</f>
        <v>10170011</v>
      </c>
      <c r="B51" s="91" t="s">
        <v>480</v>
      </c>
      <c r="C51" s="186">
        <f ca="1">OFFSET(card!$J$1,MATCH(skill!B51,card!B:B,0)-1,0)</f>
        <v>3</v>
      </c>
      <c r="D51" s="186">
        <f ca="1">OFFSET(card!$K$1,MATCH(B51,card!B:B,0)-1,0)</f>
        <v>2</v>
      </c>
      <c r="E51" s="179" t="s">
        <v>657</v>
      </c>
      <c r="F51" s="1">
        <v>2</v>
      </c>
      <c r="G51" s="1"/>
      <c r="H51" s="1"/>
      <c r="I51" s="1"/>
      <c r="J51" s="1">
        <v>1</v>
      </c>
      <c r="K51" s="1"/>
      <c r="L51" s="1"/>
      <c r="M51" s="1">
        <v>1</v>
      </c>
      <c r="N51">
        <v>1</v>
      </c>
      <c r="O51" s="1">
        <v>1</v>
      </c>
      <c r="Q51">
        <f ca="1">O51*OFFSET(buff!$AG$1,MATCH(M51,buff!A:A,0)-1,0)</f>
        <v>5</v>
      </c>
    </row>
    <row r="52" ht="27.75" spans="1:17">
      <c r="A52" s="153">
        <f ca="1">IF(B52=B51,A51+1,OFFSET(card!$A$1,MATCH(B52,card!B:B,0)-1,0)*10+1)</f>
        <v>10180011</v>
      </c>
      <c r="B52" s="91" t="s">
        <v>661</v>
      </c>
      <c r="C52" s="186">
        <f ca="1">OFFSET(card!$J$1,MATCH(skill!B52,card!B:B,0)-1,0)</f>
        <v>3</v>
      </c>
      <c r="D52" s="186">
        <f ca="1">OFFSET(card!$K$1,MATCH(B52,card!B:B,0)-1,0)</f>
        <v>3</v>
      </c>
      <c r="E52" s="179" t="s">
        <v>1186</v>
      </c>
      <c r="F52">
        <v>19</v>
      </c>
      <c r="J52">
        <v>1</v>
      </c>
      <c r="N52">
        <v>2</v>
      </c>
      <c r="O52">
        <v>6000</v>
      </c>
      <c r="Q52">
        <f ca="1">(O52/(10000+O52))*OFFSET(card!$L$1,MATCH(B52,card!B:B,0)-1,0)</f>
        <v>0.75</v>
      </c>
    </row>
    <row r="53" ht="27.75" spans="1:18">
      <c r="A53" s="153">
        <f ca="1">IF(B53=B52,A52+1,OFFSET(card!$A$1,MATCH(B53,card!B:B,0)-1,0)*10+1)</f>
        <v>10190011</v>
      </c>
      <c r="B53" s="91" t="s">
        <v>522</v>
      </c>
      <c r="C53" s="186">
        <f ca="1">OFFSET(card!$J$1,MATCH(skill!B53,card!B:B,0)-1,0)</f>
        <v>2</v>
      </c>
      <c r="D53" s="186">
        <f ca="1">OFFSET(card!$K$1,MATCH(B53,card!B:B,0)-1,0)</f>
        <v>4</v>
      </c>
      <c r="E53" s="179" t="s">
        <v>1187</v>
      </c>
      <c r="F53" s="1">
        <v>1</v>
      </c>
      <c r="G53" s="1">
        <v>4</v>
      </c>
      <c r="H53" s="1"/>
      <c r="I53" s="1">
        <v>1</v>
      </c>
      <c r="J53" s="1">
        <v>2</v>
      </c>
      <c r="K53" s="1"/>
      <c r="N53">
        <v>2</v>
      </c>
      <c r="O53" s="1">
        <v>15000</v>
      </c>
      <c r="Q53" t="e">
        <f ca="1">R53*OFFSET(buff的资质计算!$L$1,MATCH(skill!C53,buff的资质计算!G:G,0)-1,0)</f>
        <v>#VALUE!</v>
      </c>
      <c r="R53">
        <v>1.5</v>
      </c>
    </row>
    <row r="54" ht="27.75" spans="1:17">
      <c r="A54" s="153">
        <f ca="1">IF(B54=B53,A53+1,OFFSET(card!$A$1,MATCH(B54,card!B:B,0)-1,0)*10+1)</f>
        <v>10200011</v>
      </c>
      <c r="B54" s="91" t="s">
        <v>461</v>
      </c>
      <c r="C54" s="186">
        <f ca="1">OFFSET(card!$J$1,MATCH(skill!B54,card!B:B,0)-1,0)</f>
        <v>3</v>
      </c>
      <c r="D54" s="186">
        <f ca="1">OFFSET(card!$K$1,MATCH(B54,card!B:B,0)-1,0)</f>
        <v>4</v>
      </c>
      <c r="E54" s="179" t="s">
        <v>615</v>
      </c>
      <c r="F54" s="1">
        <v>17</v>
      </c>
      <c r="H54" s="1"/>
      <c r="I54" s="1"/>
      <c r="J54" s="1"/>
      <c r="N54">
        <v>2</v>
      </c>
      <c r="O54" s="1">
        <v>8000</v>
      </c>
      <c r="Q54">
        <f ca="1">(O54/(10000+O54))*OFFSET(card!$L$1,MATCH(B54,card!B:B,0)-1,0)</f>
        <v>0.888888888888889</v>
      </c>
    </row>
    <row r="55" ht="27.75" spans="1:17">
      <c r="A55" s="153">
        <f ca="1">IF(B55=B54,A54+1,OFFSET(card!$A$1,MATCH(B55,card!B:B,0)-1,0)*10+1)</f>
        <v>14010011</v>
      </c>
      <c r="B55" s="91" t="s">
        <v>306</v>
      </c>
      <c r="C55" s="186">
        <f ca="1">OFFSET(card!$J$1,MATCH(skill!B55,card!B:B,0)-1,0)</f>
        <v>4</v>
      </c>
      <c r="D55" s="186">
        <f ca="1">OFFSET(card!$K$1,MATCH(B55,card!B:B,0)-1,0)</f>
        <v>2</v>
      </c>
      <c r="E55" s="179" t="s">
        <v>1188</v>
      </c>
      <c r="F55">
        <v>1</v>
      </c>
      <c r="N55">
        <v>2</v>
      </c>
      <c r="O55">
        <v>5000</v>
      </c>
      <c r="Q55">
        <f ca="1">(O55/(10000+O55))*OFFSET(card!$L$1,MATCH(B55,card!B:B,0)-1,0)</f>
        <v>0.666666666666667</v>
      </c>
    </row>
    <row r="56" ht="27.75" spans="1:17">
      <c r="A56" s="153">
        <f ca="1">IF(B56=B55,A55+1,OFFSET(card!$A$1,MATCH(B56,card!B:B,0)-1,0)*10+1)</f>
        <v>14020011</v>
      </c>
      <c r="B56" s="91" t="s">
        <v>677</v>
      </c>
      <c r="C56" s="186">
        <f ca="1">OFFSET(card!$J$1,MATCH(skill!B56,card!B:B,0)-1,0)</f>
        <v>4</v>
      </c>
      <c r="D56" s="186">
        <f ca="1">OFFSET(card!$K$1,MATCH(B56,card!B:B,0)-1,0)</f>
        <v>2</v>
      </c>
      <c r="E56" s="179" t="s">
        <v>678</v>
      </c>
      <c r="F56" s="1">
        <v>2</v>
      </c>
      <c r="G56" s="1"/>
      <c r="H56" s="1"/>
      <c r="I56" s="1"/>
      <c r="J56" s="1">
        <v>1</v>
      </c>
      <c r="K56" s="1"/>
      <c r="L56" s="1"/>
      <c r="M56" s="1">
        <v>1</v>
      </c>
      <c r="N56">
        <v>1</v>
      </c>
      <c r="O56" s="1">
        <v>2</v>
      </c>
      <c r="Q56">
        <f ca="1">O56*OFFSET(buff!$AG$1,MATCH(M56,buff!A:A,0)-1,0)</f>
        <v>10</v>
      </c>
    </row>
    <row r="57" ht="27.75" spans="1:17">
      <c r="A57" s="153">
        <f ca="1">IF(B57=B58,A58+1,OFFSET(card!$A$1,MATCH(B57,card!B:B,0)-1,0)*10+1)</f>
        <v>14030011</v>
      </c>
      <c r="B57" s="91" t="s">
        <v>681</v>
      </c>
      <c r="C57" s="186">
        <f ca="1">OFFSET(card!$J$1,MATCH(skill!B57,card!B:B,0)-1,0)</f>
        <v>4</v>
      </c>
      <c r="D57" s="186">
        <f ca="1">OFFSET(card!$K$1,MATCH(B57,card!B:B,0)-1,0)</f>
        <v>2</v>
      </c>
      <c r="E57" s="179" t="s">
        <v>1189</v>
      </c>
      <c r="F57">
        <v>1</v>
      </c>
      <c r="N57">
        <v>2</v>
      </c>
      <c r="O57">
        <v>5000</v>
      </c>
      <c r="Q57">
        <f ca="1">(O57/(10000+O57))*OFFSET(card!$L$1,MATCH(B57,card!B:B,0)-1,0)</f>
        <v>0.666666666666667</v>
      </c>
    </row>
    <row r="58" spans="1:17">
      <c r="A58" s="153">
        <f ca="1">IF(B58=B56,A56+1,OFFSET(card!$A$1,MATCH(B58,card!B:B,0)-1,0)*10+1)</f>
        <v>14040011</v>
      </c>
      <c r="B58" s="91" t="s">
        <v>685</v>
      </c>
      <c r="C58" s="186">
        <f ca="1">OFFSET(card!$J$1,MATCH(skill!B58,card!B:B,0)-1,0)</f>
        <v>4</v>
      </c>
      <c r="D58" s="186">
        <f ca="1">OFFSET(card!$K$1,MATCH(B58,card!B:B,0)-1,0)</f>
        <v>3</v>
      </c>
      <c r="E58" s="179" t="s">
        <v>686</v>
      </c>
      <c r="F58" s="1">
        <v>9</v>
      </c>
      <c r="G58" s="1"/>
      <c r="H58" s="1"/>
      <c r="I58" s="1"/>
      <c r="J58" s="1">
        <v>1</v>
      </c>
      <c r="N58">
        <v>1</v>
      </c>
      <c r="O58">
        <v>0</v>
      </c>
      <c r="P58">
        <v>2</v>
      </c>
      <c r="Q58">
        <f ca="1">OFFSET(card!$L$1,MATCH(B58,card!B:B,0)-1,0)*(AVERAGE(O58:P58))/(AVERAGE(O58:P58)+1)</f>
        <v>1.5</v>
      </c>
    </row>
    <row r="59" spans="1:17">
      <c r="A59" s="153">
        <f ca="1">IF(B59=B60,A60+1,OFFSET(card!$A$1,MATCH(B59,card!B:B,0)-1,0)*10+1)</f>
        <v>14050011</v>
      </c>
      <c r="B59" s="299" t="s">
        <v>689</v>
      </c>
      <c r="C59" s="186">
        <f ca="1">OFFSET(card!$J$1,MATCH(skill!B59,card!B:B,0)-1,0)</f>
        <v>4</v>
      </c>
      <c r="D59" s="186">
        <f ca="1">OFFSET(card!$K$1,MATCH(B59,card!B:B,0)-1,0)</f>
        <v>4</v>
      </c>
      <c r="E59" s="299" t="s">
        <v>690</v>
      </c>
      <c r="F59" s="1">
        <v>19</v>
      </c>
      <c r="G59" s="1">
        <v>1</v>
      </c>
      <c r="H59" s="1"/>
      <c r="I59" s="1"/>
      <c r="J59">
        <v>1</v>
      </c>
      <c r="N59">
        <v>2</v>
      </c>
      <c r="O59">
        <v>5500</v>
      </c>
      <c r="Q59">
        <f ca="1">(O59/(10000+O59))*OFFSET(card!$L$1,MATCH(B59,card!B:B,0)-1,0)</f>
        <v>0.709677419354839</v>
      </c>
    </row>
    <row r="60" ht="27.75" spans="1:15">
      <c r="A60" s="153">
        <f ca="1">IF(B60=B57,A57+1,OFFSET(card!$A$1,MATCH(B60,card!B:B,0)-1,0)*10+1)</f>
        <v>15010011</v>
      </c>
      <c r="B60" s="153" t="s">
        <v>691</v>
      </c>
      <c r="C60" s="186">
        <f ca="1">OFFSET(card!$J$1,MATCH(skill!B60,card!B:B,0)-1,0)</f>
        <v>5</v>
      </c>
      <c r="D60" s="186">
        <f ca="1">OFFSET(card!$K$1,MATCH(B60,card!B:B,0)-1,0)</f>
        <v>2</v>
      </c>
      <c r="E60" s="187" t="s">
        <v>692</v>
      </c>
      <c r="F60" s="1"/>
      <c r="G60" s="1"/>
      <c r="H60" s="1"/>
      <c r="I60" s="1"/>
      <c r="J60" s="1"/>
      <c r="O60" s="1"/>
    </row>
    <row r="61" spans="1:17">
      <c r="A61" s="153">
        <f ca="1">IF(B61=B60,A60+1,OFFSET(card!$A$1,MATCH(B61,card!B:B,0)-1,0)*10+1)</f>
        <v>16040011</v>
      </c>
      <c r="B61" s="300" t="s">
        <v>719</v>
      </c>
      <c r="C61" s="186">
        <f ca="1">OFFSET(card!$J$1,MATCH(skill!B61,card!B:B,0)-1,0)</f>
        <v>6</v>
      </c>
      <c r="D61" s="186">
        <f ca="1">OFFSET(card!$K$1,MATCH(B61,card!B:B,0)-1,0)</f>
        <v>4</v>
      </c>
      <c r="E61" s="187" t="s">
        <v>1190</v>
      </c>
      <c r="F61" s="1">
        <v>2</v>
      </c>
      <c r="G61" s="1"/>
      <c r="H61" s="1"/>
      <c r="I61" s="1"/>
      <c r="J61" s="1">
        <v>1</v>
      </c>
      <c r="M61">
        <v>25</v>
      </c>
      <c r="N61" s="1">
        <v>1</v>
      </c>
      <c r="O61">
        <v>1</v>
      </c>
      <c r="Q61" t="e">
        <f ca="1">O61*OFFSET(buff!$AG$1,MATCH(M61,buff!A:A,0)-1,0)</f>
        <v>#VALUE!</v>
      </c>
    </row>
    <row r="62" ht="27.75" spans="1:18">
      <c r="A62" s="153">
        <f ca="1">IF(B62=B61,A61+1,OFFSET(card!$A$1,MATCH(B62,card!B:B,0)-1,0)*10+1)</f>
        <v>15050011</v>
      </c>
      <c r="B62" s="300" t="s">
        <v>705</v>
      </c>
      <c r="C62" s="186">
        <f ca="1">OFFSET(card!$J$1,MATCH(skill!B62,card!B:B,0)-1,0)</f>
        <v>5</v>
      </c>
      <c r="D62" s="186">
        <f ca="1">OFFSET(card!$K$1,MATCH(B62,card!B:B,0)-1,0)</f>
        <v>4</v>
      </c>
      <c r="E62" s="179" t="s">
        <v>706</v>
      </c>
      <c r="F62" s="1">
        <v>1</v>
      </c>
      <c r="G62" s="1">
        <v>4</v>
      </c>
      <c r="H62" s="1"/>
      <c r="I62" s="1">
        <v>1</v>
      </c>
      <c r="J62" s="1">
        <v>2</v>
      </c>
      <c r="K62" s="1"/>
      <c r="N62">
        <v>2</v>
      </c>
      <c r="O62" s="1">
        <v>20000</v>
      </c>
      <c r="Q62" t="e">
        <f ca="1">R62*OFFSET(buff的资质计算!$L$1,MATCH(skill!C62,buff的资质计算!G:G,0)-1,0)</f>
        <v>#VALUE!</v>
      </c>
      <c r="R62">
        <v>2</v>
      </c>
    </row>
    <row r="63" ht="27.75" spans="1:17">
      <c r="A63" s="153">
        <f ca="1">IF(B63=B62,A62+1,OFFSET(card!$A$1,MATCH(B63,card!B:B,0)-1,0)*10+1)</f>
        <v>16010011</v>
      </c>
      <c r="B63" s="91" t="s">
        <v>707</v>
      </c>
      <c r="C63" s="186">
        <f ca="1">OFFSET(card!$J$1,MATCH(skill!B63,card!B:B,0)-1,0)</f>
        <v>6</v>
      </c>
      <c r="D63" s="186">
        <f ca="1">OFFSET(card!$K$1,MATCH(B63,card!B:B,0)-1,0)</f>
        <v>3</v>
      </c>
      <c r="E63" s="179" t="s">
        <v>1191</v>
      </c>
      <c r="F63">
        <v>1</v>
      </c>
      <c r="N63">
        <v>2</v>
      </c>
      <c r="O63">
        <v>5000</v>
      </c>
      <c r="Q63">
        <f ca="1">(O63/(10000+O63))*OFFSET(card!$L$1,MATCH(B63,card!B:B,0)-1,0)</f>
        <v>1</v>
      </c>
    </row>
    <row r="64" ht="27.75" spans="1:17">
      <c r="A64" s="153">
        <f ca="1">IF(B64=B63,A63+1,OFFSET(card!$A$1,MATCH(B64,card!B:B,0)-1,0)*10+1)</f>
        <v>16020011</v>
      </c>
      <c r="B64" s="153" t="s">
        <v>711</v>
      </c>
      <c r="C64" s="186">
        <f ca="1">OFFSET(card!$J$1,MATCH(skill!B64,card!B:B,0)-1,0)</f>
        <v>6</v>
      </c>
      <c r="D64" s="186">
        <f ca="1">OFFSET(card!$K$1,MATCH(B64,card!B:B,0)-1,0)</f>
        <v>4</v>
      </c>
      <c r="E64" s="179" t="s">
        <v>1192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>
        <v>1</v>
      </c>
      <c r="L64">
        <v>1</v>
      </c>
      <c r="N64">
        <v>2</v>
      </c>
      <c r="O64" s="1">
        <v>3500</v>
      </c>
      <c r="Q64">
        <f ca="1">(O64/(10000+O64))*OFFSET(card!$L$1,MATCH(B64,card!B:B,0)-1,0)</f>
        <v>0.777777777777778</v>
      </c>
    </row>
    <row r="65" spans="1:17">
      <c r="A65" s="153">
        <f ca="1">IF(B65=B64,A64+1,OFFSET(card!$A$1,MATCH(B65,card!B:B,0)-1,0)*10+1)</f>
        <v>16030011</v>
      </c>
      <c r="B65" s="91" t="s">
        <v>715</v>
      </c>
      <c r="C65" s="186">
        <f ca="1">OFFSET(card!$J$1,MATCH(skill!B65,card!B:B,0)-1,0)</f>
        <v>6</v>
      </c>
      <c r="D65" s="186">
        <f ca="1">OFFSET(card!$K$1,MATCH(B65,card!B:B,0)-1,0)</f>
        <v>4</v>
      </c>
      <c r="E65" s="179" t="s">
        <v>716</v>
      </c>
      <c r="F65" s="1">
        <v>1</v>
      </c>
      <c r="G65" s="1"/>
      <c r="H65" s="1"/>
      <c r="I65" s="1"/>
      <c r="J65">
        <v>1</v>
      </c>
      <c r="N65">
        <v>2</v>
      </c>
      <c r="O65">
        <v>0</v>
      </c>
      <c r="P65">
        <v>50000</v>
      </c>
      <c r="Q65">
        <f ca="1">OFFSET(card!$L$1,MATCH(B65,card!B:B,0)-1,0)*(AVERAGE(O65:P65)/(10000+AVERAGE(O65:P65)))</f>
        <v>2.85714285714286</v>
      </c>
    </row>
    <row r="66" spans="1:15">
      <c r="A66" s="153">
        <f ca="1">IF(B66=B65,A65+1,OFFSET(card!$A$1,MATCH(B66,card!B:B,0)-1,0)*10+1)</f>
        <v>20010011</v>
      </c>
      <c r="B66" s="91" t="s">
        <v>403</v>
      </c>
      <c r="C66" s="186">
        <f ca="1">OFFSET(card!$J$1,MATCH(skill!B66,card!B:B,0)-1,0)</f>
        <v>1</v>
      </c>
      <c r="D66" s="186">
        <f ca="1">OFFSET(card!$K$1,MATCH(B66,card!B:B,0)-1,0)</f>
        <v>1</v>
      </c>
      <c r="E66" s="298" t="s">
        <v>721</v>
      </c>
      <c r="F66" s="1"/>
      <c r="G66" s="1"/>
      <c r="H66" s="1"/>
      <c r="I66" s="1"/>
      <c r="J66" s="1"/>
      <c r="K66" s="1"/>
      <c r="L66" s="1"/>
      <c r="O66" s="1"/>
    </row>
    <row r="67" spans="1:17">
      <c r="A67" s="153">
        <f ca="1">IF(B67=B66,A66+1,OFFSET(card!$A$1,MATCH(B67,card!B:B,0)-1,0)*10+1)</f>
        <v>20020011</v>
      </c>
      <c r="B67" s="91" t="s">
        <v>401</v>
      </c>
      <c r="C67" s="186">
        <f ca="1">OFFSET(card!$J$1,MATCH(skill!B67,card!B:B,0)-1,0)</f>
        <v>1</v>
      </c>
      <c r="D67" s="186">
        <f ca="1">OFFSET(card!$K$1,MATCH(B67,card!B:B,0)-1,0)</f>
        <v>1</v>
      </c>
      <c r="E67" s="298" t="s">
        <v>721</v>
      </c>
      <c r="F67" s="1"/>
      <c r="G67" s="1"/>
      <c r="H67" s="1"/>
      <c r="I67" s="1"/>
      <c r="J67" s="1"/>
      <c r="O67" s="1"/>
      <c r="Q67" t="e">
        <f ca="1">R67*OFFSET(buff的资质计算!$L$1,MATCH(skill!C67,buff的资质计算!G:G,0)-1,0)</f>
        <v>#VALUE!</v>
      </c>
    </row>
    <row r="68" ht="27.75" spans="1:18">
      <c r="A68" s="153">
        <f ca="1">IF(B68=B67,A67+1,OFFSET(card!$A$1,MATCH(B68,card!B:B,0)-1,0)*10+1)</f>
        <v>20030011</v>
      </c>
      <c r="B68" s="91" t="s">
        <v>379</v>
      </c>
      <c r="C68" s="186">
        <f ca="1">OFFSET(card!$J$1,MATCH(skill!B68,card!B:B,0)-1,0)</f>
        <v>1</v>
      </c>
      <c r="D68" s="186">
        <f ca="1">OFFSET(card!$K$1,MATCH(B68,card!B:B,0)-1,0)</f>
        <v>2</v>
      </c>
      <c r="E68" s="298" t="s">
        <v>1193</v>
      </c>
      <c r="F68" s="1">
        <v>1</v>
      </c>
      <c r="G68" s="1"/>
      <c r="H68" s="1"/>
      <c r="I68" s="1"/>
      <c r="J68" s="1">
        <v>1</v>
      </c>
      <c r="K68" s="1"/>
      <c r="L68" s="1"/>
      <c r="M68" s="1"/>
      <c r="N68">
        <v>2</v>
      </c>
      <c r="O68" s="1">
        <v>3500</v>
      </c>
      <c r="Q68" t="e">
        <f ca="1">R68*OFFSET(buff的资质计算!$L$1,MATCH(skill!C68,buff的资质计算!G:G,0)-1,0)</f>
        <v>#VALUE!</v>
      </c>
      <c r="R68">
        <v>1</v>
      </c>
    </row>
    <row r="69" ht="27.75" spans="1:18">
      <c r="A69" s="153">
        <f ca="1">IF(B69=B68,A68+1,OFFSET(card!$A$1,MATCH(B69,card!B:B,0)-1,0)*10+1)</f>
        <v>20040011</v>
      </c>
      <c r="B69" s="91" t="s">
        <v>411</v>
      </c>
      <c r="C69" s="186">
        <f ca="1">OFFSET(card!$J$1,MATCH(skill!B69,card!B:B,0)-1,0)</f>
        <v>1</v>
      </c>
      <c r="D69" s="186">
        <f ca="1">OFFSET(card!$K$1,MATCH(B69,card!B:B,0)-1,0)</f>
        <v>1</v>
      </c>
      <c r="E69" s="298" t="s">
        <v>1194</v>
      </c>
      <c r="F69" s="1">
        <v>1</v>
      </c>
      <c r="G69" s="1"/>
      <c r="H69" s="1"/>
      <c r="I69" s="1"/>
      <c r="J69" s="1">
        <v>1</v>
      </c>
      <c r="K69" s="1"/>
      <c r="L69" s="1"/>
      <c r="M69" s="1"/>
      <c r="N69">
        <v>2</v>
      </c>
      <c r="O69" s="1">
        <v>3000</v>
      </c>
      <c r="Q69" t="e">
        <f ca="1">R69*OFFSET(buff的资质计算!$L$1,MATCH(skill!C69,buff的资质计算!G:G,0)-1,0)</f>
        <v>#VALUE!</v>
      </c>
      <c r="R69">
        <v>1</v>
      </c>
    </row>
    <row r="70" ht="27.75" spans="1:17">
      <c r="A70" s="153">
        <f ca="1">IF(B70=B69,A69+1,OFFSET(card!$A$1,MATCH(B70,card!B:B,0)-1,0)*10+1)</f>
        <v>20050011</v>
      </c>
      <c r="B70" s="91" t="s">
        <v>433</v>
      </c>
      <c r="C70" s="186">
        <f ca="1">OFFSET(card!$J$1,MATCH(skill!B70,card!B:B,0)-1,0)</f>
        <v>1</v>
      </c>
      <c r="D70" s="186">
        <f ca="1">OFFSET(card!$K$1,MATCH(B70,card!B:B,0)-1,0)</f>
        <v>2</v>
      </c>
      <c r="E70" s="179" t="s">
        <v>736</v>
      </c>
      <c r="F70">
        <v>1</v>
      </c>
      <c r="N70">
        <v>2</v>
      </c>
      <c r="O70" s="1">
        <v>3500</v>
      </c>
      <c r="Q70">
        <f ca="1">(O70/(10000+O70))*OFFSET(card!$L$1,MATCH(B70,card!B:B,0)-1,0)</f>
        <v>0.518518518518518</v>
      </c>
    </row>
    <row r="71" spans="1:17">
      <c r="A71" s="153">
        <f ca="1">IF(B71=B70,A70+1,OFFSET(card!$A$1,MATCH(B71,card!B:B,0)-1,0)*10+1)</f>
        <v>20060011</v>
      </c>
      <c r="B71" s="91" t="s">
        <v>740</v>
      </c>
      <c r="C71" s="186">
        <f ca="1">OFFSET(card!$J$1,MATCH(skill!B71,card!B:B,0)-1,0)</f>
        <v>1</v>
      </c>
      <c r="D71" s="186">
        <f ca="1">OFFSET(card!$K$1,MATCH(B71,card!B:B,0)-1,0)</f>
        <v>1</v>
      </c>
      <c r="E71" s="179" t="s">
        <v>741</v>
      </c>
      <c r="F71" s="1">
        <v>2</v>
      </c>
      <c r="G71" s="1"/>
      <c r="H71" s="1"/>
      <c r="I71" s="1"/>
      <c r="J71" s="1">
        <v>1</v>
      </c>
      <c r="M71">
        <v>1</v>
      </c>
      <c r="N71">
        <v>1</v>
      </c>
      <c r="O71" s="1">
        <v>1</v>
      </c>
      <c r="Q71">
        <f ca="1">O71*OFFSET(buff!$AG$1,MATCH(M71,buff!A:A,0)-1,0)</f>
        <v>5</v>
      </c>
    </row>
    <row r="72" spans="1:17">
      <c r="A72" s="153">
        <f ca="1">IF(B72=B71,A71+1,OFFSET(card!$A$1,MATCH(B72,card!B:B,0)-1,0)*10+1)</f>
        <v>20070011</v>
      </c>
      <c r="B72" s="91" t="s">
        <v>341</v>
      </c>
      <c r="C72" s="186">
        <f ca="1">OFFSET(card!$J$1,MATCH(skill!B72,card!B:B,0)-1,0)</f>
        <v>1</v>
      </c>
      <c r="D72" s="186">
        <f ca="1">OFFSET(card!$K$1,MATCH(B72,card!B:B,0)-1,0)</f>
        <v>1</v>
      </c>
      <c r="E72" s="179" t="s">
        <v>745</v>
      </c>
      <c r="F72" s="1">
        <v>2</v>
      </c>
      <c r="G72" s="1"/>
      <c r="H72" s="1"/>
      <c r="I72" s="1"/>
      <c r="J72" s="1">
        <v>2</v>
      </c>
      <c r="M72">
        <v>2</v>
      </c>
      <c r="N72">
        <v>1</v>
      </c>
      <c r="O72" s="1">
        <v>1</v>
      </c>
      <c r="Q72">
        <f ca="1">O72*OFFSET(buff!$AG$1,MATCH(M72,buff!A:A,0)-1,0)</f>
        <v>5</v>
      </c>
    </row>
    <row r="73" ht="27.75" spans="1:17">
      <c r="A73" s="153">
        <f ca="1">IF(B73=B72,A72+1,OFFSET(card!$A$1,MATCH(B73,card!B:B,0)-1,0)*10+1)</f>
        <v>20080011</v>
      </c>
      <c r="B73" s="91" t="s">
        <v>353</v>
      </c>
      <c r="C73" s="186">
        <f ca="1">OFFSET(card!$J$1,MATCH(skill!B73,card!B:B,0)-1,0)</f>
        <v>1</v>
      </c>
      <c r="D73" s="186">
        <f ca="1">OFFSET(card!$K$1,MATCH(B73,card!B:B,0)-1,0)</f>
        <v>2</v>
      </c>
      <c r="E73" s="179" t="s">
        <v>749</v>
      </c>
      <c r="F73" s="1">
        <v>9</v>
      </c>
      <c r="G73" s="1"/>
      <c r="H73" s="1"/>
      <c r="I73" s="1"/>
      <c r="J73" s="1">
        <v>1</v>
      </c>
      <c r="N73">
        <v>1</v>
      </c>
      <c r="O73">
        <v>0</v>
      </c>
      <c r="P73">
        <v>1</v>
      </c>
      <c r="Q73">
        <f ca="1">OFFSET(card!$L$1,MATCH(B73,card!B:B,0)-1,0)*(AVERAGE(O73:P73))/(AVERAGE(O73:P73)+1)</f>
        <v>1</v>
      </c>
    </row>
    <row r="74" ht="27.75" spans="1:18">
      <c r="A74" s="153">
        <f ca="1">IF(B74=B73,A73+1,OFFSET(card!$A$1,MATCH(B74,card!B:B,0)-1,0)*10+1)</f>
        <v>20090011</v>
      </c>
      <c r="B74" s="91" t="s">
        <v>295</v>
      </c>
      <c r="C74" s="186">
        <f ca="1">OFFSET(card!$J$1,MATCH(skill!B74,card!B:B,0)-1,0)</f>
        <v>1</v>
      </c>
      <c r="D74" s="186">
        <f ca="1">OFFSET(card!$K$1,MATCH(B74,card!B:B,0)-1,0)</f>
        <v>3</v>
      </c>
      <c r="E74" s="179" t="s">
        <v>753</v>
      </c>
      <c r="F74" s="1">
        <v>5</v>
      </c>
      <c r="G74" s="1"/>
      <c r="H74" s="1"/>
      <c r="I74" s="1"/>
      <c r="J74" s="1">
        <v>1</v>
      </c>
      <c r="K74">
        <v>1</v>
      </c>
      <c r="L74">
        <v>2</v>
      </c>
      <c r="N74">
        <v>1</v>
      </c>
      <c r="O74" s="1">
        <v>1</v>
      </c>
      <c r="Q74" t="e">
        <f ca="1">R74*OFFSET(buff的资质计算!$L$1,MATCH(skill!C74,buff的资质计算!G:G,0)-1,0)</f>
        <v>#VALUE!</v>
      </c>
      <c r="R74">
        <v>2</v>
      </c>
    </row>
    <row r="75" ht="41.65" spans="1:17">
      <c r="A75" s="153">
        <f ca="1">IF(B75=B74,A74+1,OFFSET(card!$A$1,MATCH(B75,card!B:B,0)-1,0)*10+1)</f>
        <v>20100011</v>
      </c>
      <c r="B75" s="91" t="s">
        <v>347</v>
      </c>
      <c r="C75" s="186">
        <f ca="1">OFFSET(card!$J$1,MATCH(skill!B75,card!B:B,0)-1,0)</f>
        <v>1</v>
      </c>
      <c r="D75" s="186">
        <f ca="1">OFFSET(card!$K$1,MATCH(B75,card!B:B,0)-1,0)</f>
        <v>2</v>
      </c>
      <c r="E75" s="179" t="s">
        <v>756</v>
      </c>
      <c r="F75" s="1">
        <v>2</v>
      </c>
      <c r="G75" s="1"/>
      <c r="H75" s="1"/>
      <c r="I75" s="1"/>
      <c r="J75" s="1">
        <v>2</v>
      </c>
      <c r="M75">
        <v>15</v>
      </c>
      <c r="N75">
        <v>1</v>
      </c>
      <c r="O75" s="1">
        <v>1</v>
      </c>
      <c r="Q75" t="e">
        <f ca="1">O75*OFFSET(buff!$AG$1,MATCH(M75,buff!A:A,0)-1,0)</f>
        <v>#VALUE!</v>
      </c>
    </row>
    <row r="76" ht="27.75" spans="1:18">
      <c r="A76" s="153">
        <f ca="1">IF(B76=B75,A75+1,OFFSET(card!$A$1,MATCH(B76,card!B:B,0)-1,0)*10+1)</f>
        <v>20110011</v>
      </c>
      <c r="B76" s="91" t="s">
        <v>760</v>
      </c>
      <c r="C76" s="186">
        <f ca="1">OFFSET(card!$J$1,MATCH(skill!B76,card!B:B,0)-1,0)</f>
        <v>2</v>
      </c>
      <c r="D76" s="186">
        <f ca="1">OFFSET(card!$K$1,MATCH(B76,card!B:B,0)-1,0)</f>
        <v>1</v>
      </c>
      <c r="E76" s="179" t="s">
        <v>1195</v>
      </c>
      <c r="F76" s="1">
        <v>19</v>
      </c>
      <c r="G76" s="1"/>
      <c r="H76" s="1"/>
      <c r="I76" s="1"/>
      <c r="J76" s="1">
        <v>1</v>
      </c>
      <c r="N76">
        <v>2</v>
      </c>
      <c r="O76" s="1">
        <v>4000</v>
      </c>
      <c r="Q76" t="e">
        <f ca="1">R76*OFFSET(buff的资质计算!$L$1,MATCH(skill!C76,buff的资质计算!G:G,0)-1,0)</f>
        <v>#VALUE!</v>
      </c>
      <c r="R76">
        <v>1</v>
      </c>
    </row>
    <row r="77" ht="27.75" spans="1:18">
      <c r="A77" s="153">
        <f ca="1">IF(B77=B76,A76+1,OFFSET(card!$A$1,MATCH(B77,card!B:B,0)-1,0)*10+1)</f>
        <v>20120011</v>
      </c>
      <c r="B77" s="91" t="s">
        <v>486</v>
      </c>
      <c r="C77" s="186">
        <f ca="1">OFFSET(card!$J$1,MATCH(skill!B77,card!B:B,0)-1,0)</f>
        <v>2</v>
      </c>
      <c r="D77" s="186">
        <f ca="1">OFFSET(card!$K$1,MATCH(B77,card!B:B,0)-1,0)</f>
        <v>2</v>
      </c>
      <c r="E77" s="179" t="s">
        <v>1196</v>
      </c>
      <c r="F77" s="1">
        <v>1</v>
      </c>
      <c r="G77" s="1"/>
      <c r="H77" s="1"/>
      <c r="I77" s="1"/>
      <c r="J77" s="1">
        <v>1</v>
      </c>
      <c r="K77" s="1"/>
      <c r="L77" s="1"/>
      <c r="M77" s="1"/>
      <c r="N77">
        <v>2</v>
      </c>
      <c r="O77" s="1">
        <v>4000</v>
      </c>
      <c r="Q77" t="e">
        <f ca="1">R77*OFFSET(buff的资质计算!$L$1,MATCH(skill!C77,buff的资质计算!G:G,0)-1,0)</f>
        <v>#VALUE!</v>
      </c>
      <c r="R77">
        <v>1</v>
      </c>
    </row>
    <row r="78" ht="27.75" spans="1:17">
      <c r="A78" s="153">
        <f ca="1">IF(B78=B77,A77+1,OFFSET(card!$A$1,MATCH(B78,card!B:B,0)-1,0)*10+1)</f>
        <v>20130011</v>
      </c>
      <c r="B78" s="91" t="s">
        <v>768</v>
      </c>
      <c r="C78" s="186">
        <f ca="1">OFFSET(card!$J$1,MATCH(skill!B78,card!B:B,0)-1,0)</f>
        <v>2</v>
      </c>
      <c r="D78" s="186">
        <f ca="1">OFFSET(card!$K$1,MATCH(B78,card!B:B,0)-1,0)</f>
        <v>4</v>
      </c>
      <c r="E78" s="179" t="s">
        <v>1197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>
        <v>1</v>
      </c>
      <c r="L78">
        <v>2</v>
      </c>
      <c r="N78">
        <v>2</v>
      </c>
      <c r="O78" s="1">
        <v>3500</v>
      </c>
      <c r="Q78">
        <f ca="1">(O78/(10000+O78))*OFFSET(card!$L$1,MATCH(B78,card!B:B,0)-1,0)</f>
        <v>0.518518518518518</v>
      </c>
    </row>
    <row r="79" ht="27.75" spans="1:18">
      <c r="A79" s="153">
        <f ca="1">IF(B79=B78,A78+1,OFFSET(card!$A$1,MATCH(B79,card!B:B,0)-1,0)*10+1)</f>
        <v>20140011</v>
      </c>
      <c r="B79" s="91" t="s">
        <v>357</v>
      </c>
      <c r="C79" s="186">
        <f ca="1">OFFSET(card!$J$1,MATCH(skill!B79,card!B:B,0)-1,0)</f>
        <v>2</v>
      </c>
      <c r="D79" s="186">
        <f ca="1">OFFSET(card!$K$1,MATCH(B79,card!B:B,0)-1,0)</f>
        <v>3</v>
      </c>
      <c r="E79" s="179" t="s">
        <v>773</v>
      </c>
      <c r="F79">
        <v>14</v>
      </c>
      <c r="G79">
        <v>4</v>
      </c>
      <c r="I79">
        <v>2</v>
      </c>
      <c r="J79">
        <v>2</v>
      </c>
      <c r="N79">
        <v>2</v>
      </c>
      <c r="O79">
        <v>5000</v>
      </c>
      <c r="Q79" t="e">
        <f ca="1">R79*OFFSET(buff的资质计算!$L$1,MATCH(skill!C79,buff的资质计算!G:G,0)-1,0)</f>
        <v>#VALUE!</v>
      </c>
      <c r="R79">
        <v>1</v>
      </c>
    </row>
    <row r="80" spans="1:17">
      <c r="A80" s="153">
        <f ca="1">IF(B80=B79,A79+1,OFFSET(card!$A$1,MATCH(B80,card!B:B,0)-1,0)*10+1)</f>
        <v>20150011</v>
      </c>
      <c r="B80" s="91" t="s">
        <v>393</v>
      </c>
      <c r="C80" s="186">
        <f ca="1">OFFSET(card!$J$1,MATCH(skill!B80,card!B:B,0)-1,0)</f>
        <v>2</v>
      </c>
      <c r="D80" s="186">
        <f ca="1">OFFSET(card!$K$1,MATCH(B80,card!B:B,0)-1,0)</f>
        <v>1</v>
      </c>
      <c r="E80" s="179" t="s">
        <v>777</v>
      </c>
      <c r="F80" s="1">
        <v>2</v>
      </c>
      <c r="G80" s="1"/>
      <c r="H80" s="1"/>
      <c r="I80" s="1"/>
      <c r="J80" s="1">
        <v>1</v>
      </c>
      <c r="M80">
        <v>201501</v>
      </c>
      <c r="N80">
        <v>1</v>
      </c>
      <c r="O80" s="1">
        <v>1</v>
      </c>
      <c r="Q80" t="e">
        <f ca="1">O80*OFFSET(buff!$AG$1,MATCH(M80,buff!A:A,0)-1,0)</f>
        <v>#VALUE!</v>
      </c>
    </row>
    <row r="81" spans="1:17">
      <c r="A81" s="153">
        <f ca="1">IF(B81=B80,A80+1,OFFSET(card!$A$1,MATCH(B81,card!B:B,0)-1,0)*10+1)</f>
        <v>20150012</v>
      </c>
      <c r="B81" s="91" t="s">
        <v>393</v>
      </c>
      <c r="C81" s="186">
        <f ca="1">OFFSET(card!$J$1,MATCH(skill!B81,card!B:B,0)-1,0)</f>
        <v>2</v>
      </c>
      <c r="D81" s="186">
        <f ca="1">OFFSET(card!$K$1,MATCH(B81,card!B:B,0)-1,0)</f>
        <v>1</v>
      </c>
      <c r="E81" s="179" t="s">
        <v>777</v>
      </c>
      <c r="F81" s="1">
        <v>2</v>
      </c>
      <c r="G81" s="1"/>
      <c r="H81" s="1"/>
      <c r="I81" s="1"/>
      <c r="J81" s="1">
        <v>1</v>
      </c>
      <c r="M81">
        <v>201502</v>
      </c>
      <c r="N81">
        <v>1</v>
      </c>
      <c r="O81" s="1">
        <v>1</v>
      </c>
      <c r="Q81" t="e">
        <f ca="1">O81*OFFSET(buff!$AG$1,MATCH(M81,buff!A:A,0)-1,0)</f>
        <v>#VALUE!</v>
      </c>
    </row>
    <row r="82" spans="1:17">
      <c r="A82" s="153">
        <f ca="1">IF(B82=B81,A81+1,OFFSET(card!$A$1,MATCH(B82,card!B:B,0)-1,0)*10+1)</f>
        <v>20150013</v>
      </c>
      <c r="B82" s="91" t="s">
        <v>393</v>
      </c>
      <c r="C82" s="186">
        <f ca="1">OFFSET(card!$J$1,MATCH(skill!B82,card!B:B,0)-1,0)</f>
        <v>2</v>
      </c>
      <c r="D82" s="186">
        <f ca="1">OFFSET(card!$K$1,MATCH(B82,card!B:B,0)-1,0)</f>
        <v>1</v>
      </c>
      <c r="E82" s="179" t="s">
        <v>777</v>
      </c>
      <c r="F82" s="1">
        <v>2</v>
      </c>
      <c r="G82" s="1"/>
      <c r="H82" s="1"/>
      <c r="I82" s="1"/>
      <c r="J82" s="1">
        <v>1</v>
      </c>
      <c r="M82">
        <v>201503</v>
      </c>
      <c r="N82">
        <v>1</v>
      </c>
      <c r="O82" s="1">
        <v>1</v>
      </c>
      <c r="Q82" t="e">
        <f ca="1">O82*OFFSET(buff!$AG$1,MATCH(M82,buff!A:A,0)-1,0)</f>
        <v>#VALUE!</v>
      </c>
    </row>
    <row r="83" spans="1:17">
      <c r="A83" s="153">
        <f ca="1">IF(B83=B82,A82+1,OFFSET(card!$A$1,MATCH(B83,card!B:B,0)-1,0)*10+1)</f>
        <v>20150014</v>
      </c>
      <c r="B83" s="91" t="s">
        <v>393</v>
      </c>
      <c r="C83" s="186">
        <f ca="1">OFFSET(card!$J$1,MATCH(skill!B83,card!B:B,0)-1,0)</f>
        <v>2</v>
      </c>
      <c r="D83" s="186">
        <f ca="1">OFFSET(card!$K$1,MATCH(B83,card!B:B,0)-1,0)</f>
        <v>1</v>
      </c>
      <c r="E83" s="179" t="s">
        <v>777</v>
      </c>
      <c r="F83" s="1">
        <v>2</v>
      </c>
      <c r="G83" s="1"/>
      <c r="H83" s="1"/>
      <c r="I83" s="1"/>
      <c r="J83" s="1">
        <v>1</v>
      </c>
      <c r="M83">
        <v>201504</v>
      </c>
      <c r="N83">
        <v>1</v>
      </c>
      <c r="O83" s="1">
        <v>1</v>
      </c>
      <c r="Q83" t="e">
        <f ca="1">O83*OFFSET(buff!$AG$1,MATCH(M83,buff!A:A,0)-1,0)</f>
        <v>#VALUE!</v>
      </c>
    </row>
    <row r="84" spans="1:17">
      <c r="A84" s="153">
        <f ca="1">IF(B84=B83,A83+1,OFFSET(card!$A$1,MATCH(B84,card!B:B,0)-1,0)*10+1)</f>
        <v>20150015</v>
      </c>
      <c r="B84" s="91" t="s">
        <v>393</v>
      </c>
      <c r="C84" s="186">
        <f ca="1">OFFSET(card!$J$1,MATCH(skill!B84,card!B:B,0)-1,0)</f>
        <v>2</v>
      </c>
      <c r="D84" s="186">
        <f ca="1">OFFSET(card!$K$1,MATCH(B84,card!B:B,0)-1,0)</f>
        <v>1</v>
      </c>
      <c r="E84" s="179" t="s">
        <v>777</v>
      </c>
      <c r="F84" s="1">
        <v>2</v>
      </c>
      <c r="G84" s="1"/>
      <c r="H84" s="1"/>
      <c r="I84" s="1"/>
      <c r="J84" s="1">
        <v>1</v>
      </c>
      <c r="M84">
        <v>201505</v>
      </c>
      <c r="N84">
        <v>1</v>
      </c>
      <c r="O84" s="1">
        <v>1</v>
      </c>
      <c r="Q84" t="e">
        <f ca="1">O84*OFFSET(buff!$AG$1,MATCH(M84,buff!A:A,0)-1,0)</f>
        <v>#VALUE!</v>
      </c>
    </row>
    <row r="85" spans="1:17">
      <c r="A85" s="153">
        <f ca="1">IF(B85=B84,A84+1,OFFSET(card!$A$1,MATCH(B85,card!B:B,0)-1,0)*10+1)</f>
        <v>20150016</v>
      </c>
      <c r="B85" s="91" t="s">
        <v>393</v>
      </c>
      <c r="C85" s="186">
        <f ca="1">OFFSET(card!$J$1,MATCH(skill!B85,card!B:B,0)-1,0)</f>
        <v>2</v>
      </c>
      <c r="D85" s="186">
        <f ca="1">OFFSET(card!$K$1,MATCH(B85,card!B:B,0)-1,0)</f>
        <v>1</v>
      </c>
      <c r="E85" s="179" t="s">
        <v>777</v>
      </c>
      <c r="F85" s="1">
        <v>2</v>
      </c>
      <c r="G85" s="1"/>
      <c r="H85" s="1"/>
      <c r="I85" s="1"/>
      <c r="J85" s="1">
        <v>1</v>
      </c>
      <c r="M85">
        <v>201506</v>
      </c>
      <c r="N85">
        <v>1</v>
      </c>
      <c r="O85" s="1">
        <v>1</v>
      </c>
      <c r="Q85" t="e">
        <f ca="1">O85*OFFSET(buff!$AG$1,MATCH(M85,buff!A:A,0)-1,0)</f>
        <v>#VALUE!</v>
      </c>
    </row>
    <row r="86" spans="1:17">
      <c r="A86" s="153">
        <f ca="1">IF(B86=B85,A85+1,OFFSET(card!$A$1,MATCH(B86,card!B:B,0)-1,0)*10+1)</f>
        <v>20150017</v>
      </c>
      <c r="B86" s="91" t="s">
        <v>393</v>
      </c>
      <c r="C86" s="186">
        <f ca="1">OFFSET(card!$J$1,MATCH(skill!B86,card!B:B,0)-1,0)</f>
        <v>2</v>
      </c>
      <c r="D86" s="186">
        <f ca="1">OFFSET(card!$K$1,MATCH(B86,card!B:B,0)-1,0)</f>
        <v>1</v>
      </c>
      <c r="E86" s="179" t="s">
        <v>777</v>
      </c>
      <c r="F86" s="1">
        <v>2</v>
      </c>
      <c r="G86" s="1"/>
      <c r="H86" s="1"/>
      <c r="I86" s="1"/>
      <c r="J86" s="1">
        <v>1</v>
      </c>
      <c r="M86">
        <v>201507</v>
      </c>
      <c r="N86">
        <v>1</v>
      </c>
      <c r="O86" s="1">
        <v>1</v>
      </c>
      <c r="Q86" t="e">
        <f ca="1">O86*OFFSET(buff!$AG$1,MATCH(M86,buff!A:A,0)-1,0)</f>
        <v>#VALUE!</v>
      </c>
    </row>
    <row r="87" spans="1:17">
      <c r="A87" s="153">
        <f ca="1">IF(B87=B86,A86+1,OFFSET(card!$A$1,MATCH(B87,card!B:B,0)-1,0)*10+1)</f>
        <v>20150018</v>
      </c>
      <c r="B87" s="91" t="s">
        <v>393</v>
      </c>
      <c r="C87" s="186">
        <f ca="1">OFFSET(card!$J$1,MATCH(skill!B87,card!B:B,0)-1,0)</f>
        <v>2</v>
      </c>
      <c r="D87" s="186">
        <f ca="1">OFFSET(card!$K$1,MATCH(B87,card!B:B,0)-1,0)</f>
        <v>1</v>
      </c>
      <c r="E87" s="179" t="s">
        <v>777</v>
      </c>
      <c r="F87" s="1">
        <v>2</v>
      </c>
      <c r="G87" s="1"/>
      <c r="H87" s="1"/>
      <c r="I87" s="1"/>
      <c r="J87" s="1">
        <v>1</v>
      </c>
      <c r="M87">
        <v>201508</v>
      </c>
      <c r="N87">
        <v>1</v>
      </c>
      <c r="O87" s="1">
        <v>1</v>
      </c>
      <c r="Q87" t="e">
        <f ca="1">O87*OFFSET(buff!$AG$1,MATCH(M87,buff!A:A,0)-1,0)</f>
        <v>#VALUE!</v>
      </c>
    </row>
    <row r="88" spans="1:17">
      <c r="A88" s="153">
        <f ca="1">IF(B88=B87,A87+1,OFFSET(card!$A$1,MATCH(B88,card!B:B,0)-1,0)*10+1)</f>
        <v>20150019</v>
      </c>
      <c r="B88" s="91" t="s">
        <v>393</v>
      </c>
      <c r="C88" s="186">
        <f ca="1">OFFSET(card!$J$1,MATCH(skill!B88,card!B:B,0)-1,0)</f>
        <v>2</v>
      </c>
      <c r="D88" s="186">
        <f ca="1">OFFSET(card!$K$1,MATCH(B88,card!B:B,0)-1,0)</f>
        <v>1</v>
      </c>
      <c r="E88" s="179" t="s">
        <v>777</v>
      </c>
      <c r="F88" s="1">
        <v>2</v>
      </c>
      <c r="G88" s="1"/>
      <c r="H88" s="1"/>
      <c r="I88" s="1"/>
      <c r="J88" s="1">
        <v>1</v>
      </c>
      <c r="M88">
        <v>201509</v>
      </c>
      <c r="N88">
        <v>1</v>
      </c>
      <c r="O88" s="1">
        <v>1</v>
      </c>
      <c r="Q88" t="e">
        <f ca="1">O88*OFFSET(buff!$AG$1,MATCH(M88,buff!A:A,0)-1,0)</f>
        <v>#VALUE!</v>
      </c>
    </row>
    <row r="89" spans="1:17">
      <c r="A89" s="153">
        <f ca="1">IF(B89=B88,A88+1,OFFSET(card!$A$1,MATCH(B89,card!B:B,0)-1,0)*10+1)</f>
        <v>20150020</v>
      </c>
      <c r="B89" s="91" t="s">
        <v>393</v>
      </c>
      <c r="C89" s="186">
        <f ca="1">OFFSET(card!$J$1,MATCH(skill!B89,card!B:B,0)-1,0)</f>
        <v>2</v>
      </c>
      <c r="D89" s="186">
        <f ca="1">OFFSET(card!$K$1,MATCH(B89,card!B:B,0)-1,0)</f>
        <v>1</v>
      </c>
      <c r="E89" s="179" t="s">
        <v>777</v>
      </c>
      <c r="F89" s="1">
        <v>2</v>
      </c>
      <c r="G89" s="1"/>
      <c r="H89" s="1"/>
      <c r="I89" s="1"/>
      <c r="J89" s="1">
        <v>1</v>
      </c>
      <c r="M89">
        <v>201510</v>
      </c>
      <c r="N89">
        <v>1</v>
      </c>
      <c r="O89" s="1">
        <v>1</v>
      </c>
      <c r="Q89" t="e">
        <f ca="1">O89*OFFSET(buff!$AG$1,MATCH(M89,buff!A:A,0)-1,0)</f>
        <v>#VALUE!</v>
      </c>
    </row>
    <row r="90" spans="1:17">
      <c r="A90" s="153">
        <f ca="1">IF(B90=B89,A89+1,OFFSET(card!$A$1,MATCH(B90,card!B:B,0)-1,0)*10+1)</f>
        <v>20150021</v>
      </c>
      <c r="B90" s="91" t="s">
        <v>393</v>
      </c>
      <c r="C90" s="186">
        <f ca="1">OFFSET(card!$J$1,MATCH(skill!B90,card!B:B,0)-1,0)</f>
        <v>2</v>
      </c>
      <c r="D90" s="186">
        <f ca="1">OFFSET(card!$K$1,MATCH(B90,card!B:B,0)-1,0)</f>
        <v>1</v>
      </c>
      <c r="E90" s="179" t="s">
        <v>777</v>
      </c>
      <c r="F90" s="1">
        <v>2</v>
      </c>
      <c r="G90" s="1"/>
      <c r="H90" s="1"/>
      <c r="I90" s="1"/>
      <c r="J90" s="1">
        <v>1</v>
      </c>
      <c r="M90">
        <v>201511</v>
      </c>
      <c r="N90">
        <v>1</v>
      </c>
      <c r="O90" s="1">
        <v>1</v>
      </c>
      <c r="Q90" t="e">
        <f ca="1">O90*OFFSET(buff!$AG$1,MATCH(M90,buff!A:A,0)-1,0)</f>
        <v>#VALUE!</v>
      </c>
    </row>
    <row r="91" spans="1:17">
      <c r="A91" s="153">
        <f ca="1">IF(B91=B90,A90+1,OFFSET(card!$A$1,MATCH(B91,card!B:B,0)-1,0)*10+1)</f>
        <v>20150022</v>
      </c>
      <c r="B91" s="91" t="s">
        <v>393</v>
      </c>
      <c r="C91" s="186">
        <f ca="1">OFFSET(card!$J$1,MATCH(skill!B91,card!B:B,0)-1,0)</f>
        <v>2</v>
      </c>
      <c r="D91" s="186">
        <f ca="1">OFFSET(card!$K$1,MATCH(B91,card!B:B,0)-1,0)</f>
        <v>1</v>
      </c>
      <c r="E91" s="179" t="s">
        <v>777</v>
      </c>
      <c r="F91" s="1">
        <v>2</v>
      </c>
      <c r="G91" s="1"/>
      <c r="H91" s="1"/>
      <c r="I91" s="1"/>
      <c r="J91" s="1">
        <v>1</v>
      </c>
      <c r="M91">
        <v>201512</v>
      </c>
      <c r="N91">
        <v>1</v>
      </c>
      <c r="O91" s="1">
        <v>1</v>
      </c>
      <c r="Q91" t="e">
        <f ca="1">O91*OFFSET(buff!$AG$1,MATCH(M91,buff!A:A,0)-1,0)</f>
        <v>#VALUE!</v>
      </c>
    </row>
    <row r="92" spans="1:17">
      <c r="A92" s="153">
        <f ca="1">IF(B92=B91,A91+1,OFFSET(card!$A$1,MATCH(B92,card!B:B,0)-1,0)*10+1)</f>
        <v>20150023</v>
      </c>
      <c r="B92" s="91" t="s">
        <v>393</v>
      </c>
      <c r="C92" s="186">
        <f ca="1">OFFSET(card!$J$1,MATCH(skill!B92,card!B:B,0)-1,0)</f>
        <v>2</v>
      </c>
      <c r="D92" s="186">
        <f ca="1">OFFSET(card!$K$1,MATCH(B92,card!B:B,0)-1,0)</f>
        <v>1</v>
      </c>
      <c r="E92" s="179" t="s">
        <v>777</v>
      </c>
      <c r="F92" s="1">
        <v>2</v>
      </c>
      <c r="G92" s="1"/>
      <c r="H92" s="1"/>
      <c r="I92" s="1"/>
      <c r="J92" s="1">
        <v>1</v>
      </c>
      <c r="M92">
        <v>201513</v>
      </c>
      <c r="N92">
        <v>1</v>
      </c>
      <c r="O92" s="1">
        <v>1</v>
      </c>
      <c r="Q92" t="e">
        <f ca="1">O92*OFFSET(buff!$AG$1,MATCH(M92,buff!A:A,0)-1,0)</f>
        <v>#VALUE!</v>
      </c>
    </row>
    <row r="93" spans="1:17">
      <c r="A93" s="153">
        <f ca="1">IF(B93=B92,A92+1,OFFSET(card!$A$1,MATCH(B93,card!B:B,0)-1,0)*10+1)</f>
        <v>20150024</v>
      </c>
      <c r="B93" s="91" t="s">
        <v>393</v>
      </c>
      <c r="C93" s="186">
        <f ca="1">OFFSET(card!$J$1,MATCH(skill!B93,card!B:B,0)-1,0)</f>
        <v>2</v>
      </c>
      <c r="D93" s="186">
        <f ca="1">OFFSET(card!$K$1,MATCH(B93,card!B:B,0)-1,0)</f>
        <v>1</v>
      </c>
      <c r="E93" s="179" t="s">
        <v>777</v>
      </c>
      <c r="F93" s="1">
        <v>2</v>
      </c>
      <c r="G93" s="1"/>
      <c r="H93" s="1"/>
      <c r="I93" s="1"/>
      <c r="J93" s="1">
        <v>1</v>
      </c>
      <c r="M93">
        <v>201514</v>
      </c>
      <c r="N93">
        <v>1</v>
      </c>
      <c r="O93" s="1">
        <v>1</v>
      </c>
      <c r="Q93" t="e">
        <f ca="1">O93*OFFSET(buff!$AG$1,MATCH(M93,buff!A:A,0)-1,0)</f>
        <v>#VALUE!</v>
      </c>
    </row>
    <row r="94" spans="1:17">
      <c r="A94" s="153">
        <f ca="1">IF(B94=B93,A93+1,OFFSET(card!$A$1,MATCH(B94,card!B:B,0)-1,0)*10+1)</f>
        <v>20150025</v>
      </c>
      <c r="B94" s="91" t="s">
        <v>393</v>
      </c>
      <c r="C94" s="186">
        <f ca="1">OFFSET(card!$J$1,MATCH(skill!B94,card!B:B,0)-1,0)</f>
        <v>2</v>
      </c>
      <c r="D94" s="186">
        <f ca="1">OFFSET(card!$K$1,MATCH(B94,card!B:B,0)-1,0)</f>
        <v>1</v>
      </c>
      <c r="E94" s="179" t="s">
        <v>777</v>
      </c>
      <c r="F94" s="1">
        <v>2</v>
      </c>
      <c r="G94" s="1"/>
      <c r="H94" s="1"/>
      <c r="I94" s="1"/>
      <c r="J94" s="1">
        <v>1</v>
      </c>
      <c r="M94">
        <v>201515</v>
      </c>
      <c r="N94">
        <v>1</v>
      </c>
      <c r="O94" s="1">
        <v>1</v>
      </c>
      <c r="Q94" t="e">
        <f ca="1">O94*OFFSET(buff!$AG$1,MATCH(M94,buff!A:A,0)-1,0)</f>
        <v>#VALUE!</v>
      </c>
    </row>
    <row r="95" spans="1:17">
      <c r="A95" s="153">
        <f ca="1">IF(B95=B94,A94+1,OFFSET(card!$A$1,MATCH(B95,card!B:B,0)-1,0)*10+1)</f>
        <v>20150026</v>
      </c>
      <c r="B95" s="91" t="s">
        <v>393</v>
      </c>
      <c r="C95" s="186">
        <f ca="1">OFFSET(card!$J$1,MATCH(skill!B95,card!B:B,0)-1,0)</f>
        <v>2</v>
      </c>
      <c r="D95" s="186">
        <f ca="1">OFFSET(card!$K$1,MATCH(B95,card!B:B,0)-1,0)</f>
        <v>1</v>
      </c>
      <c r="E95" s="179" t="s">
        <v>777</v>
      </c>
      <c r="F95" s="1">
        <v>2</v>
      </c>
      <c r="G95" s="1"/>
      <c r="H95" s="1"/>
      <c r="I95" s="1"/>
      <c r="J95" s="1">
        <v>1</v>
      </c>
      <c r="M95">
        <v>201516</v>
      </c>
      <c r="N95">
        <v>1</v>
      </c>
      <c r="O95" s="1">
        <v>1</v>
      </c>
      <c r="Q95" t="e">
        <f ca="1">O95*OFFSET(buff!$AG$1,MATCH(M95,buff!A:A,0)-1,0)</f>
        <v>#VALUE!</v>
      </c>
    </row>
    <row r="96" spans="1:17">
      <c r="A96" s="153">
        <f ca="1">IF(B96=B95,A95+1,OFFSET(card!$A$1,MATCH(B96,card!B:B,0)-1,0)*10+1)</f>
        <v>20150027</v>
      </c>
      <c r="B96" s="91" t="s">
        <v>393</v>
      </c>
      <c r="C96" s="186">
        <f ca="1">OFFSET(card!$J$1,MATCH(skill!B96,card!B:B,0)-1,0)</f>
        <v>2</v>
      </c>
      <c r="D96" s="186">
        <f ca="1">OFFSET(card!$K$1,MATCH(B96,card!B:B,0)-1,0)</f>
        <v>1</v>
      </c>
      <c r="E96" s="179" t="s">
        <v>777</v>
      </c>
      <c r="F96" s="1">
        <v>2</v>
      </c>
      <c r="G96" s="1"/>
      <c r="H96" s="1"/>
      <c r="I96" s="1"/>
      <c r="J96" s="1">
        <v>1</v>
      </c>
      <c r="M96">
        <v>201517</v>
      </c>
      <c r="N96">
        <v>1</v>
      </c>
      <c r="O96" s="1">
        <v>1</v>
      </c>
      <c r="Q96" t="e">
        <f ca="1">O96*OFFSET(buff!$AG$1,MATCH(M96,buff!A:A,0)-1,0)</f>
        <v>#VALUE!</v>
      </c>
    </row>
    <row r="97" spans="1:17">
      <c r="A97" s="153">
        <f ca="1">IF(B97=B96,A96+1,OFFSET(card!$A$1,MATCH(B97,card!B:B,0)-1,0)*10+1)</f>
        <v>20150028</v>
      </c>
      <c r="B97" s="91" t="s">
        <v>393</v>
      </c>
      <c r="C97" s="186">
        <f ca="1">OFFSET(card!$J$1,MATCH(skill!B97,card!B:B,0)-1,0)</f>
        <v>2</v>
      </c>
      <c r="D97" s="186">
        <f ca="1">OFFSET(card!$K$1,MATCH(B97,card!B:B,0)-1,0)</f>
        <v>1</v>
      </c>
      <c r="E97" s="179" t="s">
        <v>777</v>
      </c>
      <c r="F97" s="1">
        <v>2</v>
      </c>
      <c r="G97" s="1"/>
      <c r="H97" s="1"/>
      <c r="I97" s="1"/>
      <c r="J97" s="1">
        <v>1</v>
      </c>
      <c r="M97">
        <v>201518</v>
      </c>
      <c r="N97">
        <v>1</v>
      </c>
      <c r="O97" s="1">
        <v>1</v>
      </c>
      <c r="Q97" t="e">
        <f ca="1">O97*OFFSET(buff!$AG$1,MATCH(M97,buff!A:A,0)-1,0)</f>
        <v>#VALUE!</v>
      </c>
    </row>
    <row r="98" spans="1:17">
      <c r="A98" s="153">
        <f ca="1">IF(B98=B97,A97+1,OFFSET(card!$A$1,MATCH(B98,card!B:B,0)-1,0)*10+1)</f>
        <v>20150029</v>
      </c>
      <c r="B98" s="91" t="s">
        <v>393</v>
      </c>
      <c r="C98" s="186">
        <f ca="1">OFFSET(card!$J$1,MATCH(skill!B98,card!B:B,0)-1,0)</f>
        <v>2</v>
      </c>
      <c r="D98" s="186">
        <f ca="1">OFFSET(card!$K$1,MATCH(B98,card!B:B,0)-1,0)</f>
        <v>1</v>
      </c>
      <c r="E98" s="179" t="s">
        <v>777</v>
      </c>
      <c r="F98" s="1">
        <v>2</v>
      </c>
      <c r="G98" s="1"/>
      <c r="H98" s="1"/>
      <c r="I98" s="1"/>
      <c r="J98" s="1">
        <v>1</v>
      </c>
      <c r="M98">
        <v>201519</v>
      </c>
      <c r="N98">
        <v>1</v>
      </c>
      <c r="O98" s="1">
        <v>1</v>
      </c>
      <c r="Q98" t="e">
        <f ca="1">O98*OFFSET(buff!$AG$1,MATCH(M98,buff!A:A,0)-1,0)</f>
        <v>#VALUE!</v>
      </c>
    </row>
    <row r="99" spans="1:17">
      <c r="A99" s="153">
        <f ca="1">IF(B99=B98,A98+1,OFFSET(card!$A$1,MATCH(B99,card!B:B,0)-1,0)*10+1)</f>
        <v>20150030</v>
      </c>
      <c r="B99" s="91" t="s">
        <v>393</v>
      </c>
      <c r="C99" s="186">
        <f ca="1">OFFSET(card!$J$1,MATCH(skill!B99,card!B:B,0)-1,0)</f>
        <v>2</v>
      </c>
      <c r="D99" s="186">
        <f ca="1">OFFSET(card!$K$1,MATCH(B99,card!B:B,0)-1,0)</f>
        <v>1</v>
      </c>
      <c r="E99" s="179" t="s">
        <v>777</v>
      </c>
      <c r="F99" s="1">
        <v>2</v>
      </c>
      <c r="G99" s="1"/>
      <c r="H99" s="1"/>
      <c r="I99" s="1"/>
      <c r="J99" s="1">
        <v>1</v>
      </c>
      <c r="M99">
        <v>201520</v>
      </c>
      <c r="N99">
        <v>1</v>
      </c>
      <c r="O99" s="1">
        <v>1</v>
      </c>
      <c r="Q99" t="e">
        <f ca="1">O99*OFFSET(buff!$AG$1,MATCH(M99,buff!A:A,0)-1,0)</f>
        <v>#VALUE!</v>
      </c>
    </row>
    <row r="100" spans="1:17">
      <c r="A100" s="153">
        <f ca="1">IF(B100=B99,A99+1,OFFSET(card!$A$1,MATCH(B100,card!B:B,0)-1,0)*10+1)</f>
        <v>20150031</v>
      </c>
      <c r="B100" s="91" t="s">
        <v>393</v>
      </c>
      <c r="C100" s="186">
        <f ca="1">OFFSET(card!$J$1,MATCH(skill!B100,card!B:B,0)-1,0)</f>
        <v>2</v>
      </c>
      <c r="D100" s="186">
        <f ca="1">OFFSET(card!$K$1,MATCH(B100,card!B:B,0)-1,0)</f>
        <v>1</v>
      </c>
      <c r="E100" s="179" t="s">
        <v>777</v>
      </c>
      <c r="F100" s="1">
        <v>2</v>
      </c>
      <c r="G100" s="1"/>
      <c r="H100" s="1"/>
      <c r="I100" s="1"/>
      <c r="J100" s="1">
        <v>1</v>
      </c>
      <c r="M100">
        <v>201521</v>
      </c>
      <c r="N100">
        <v>1</v>
      </c>
      <c r="O100" s="1">
        <v>1</v>
      </c>
      <c r="Q100" t="e">
        <f ca="1">O100*OFFSET(buff!$AG$1,MATCH(M100,buff!A:A,0)-1,0)</f>
        <v>#VALUE!</v>
      </c>
    </row>
    <row r="101" spans="1:17">
      <c r="A101" s="153">
        <f ca="1">IF(B101=B100,A100+1,OFFSET(card!$A$1,MATCH(B101,card!B:B,0)-1,0)*10+1)</f>
        <v>20150032</v>
      </c>
      <c r="B101" s="91" t="s">
        <v>393</v>
      </c>
      <c r="C101" s="186">
        <f ca="1">OFFSET(card!$J$1,MATCH(skill!B101,card!B:B,0)-1,0)</f>
        <v>2</v>
      </c>
      <c r="D101" s="186">
        <f ca="1">OFFSET(card!$K$1,MATCH(B101,card!B:B,0)-1,0)</f>
        <v>1</v>
      </c>
      <c r="E101" s="179" t="s">
        <v>777</v>
      </c>
      <c r="F101" s="1">
        <v>2</v>
      </c>
      <c r="G101" s="1"/>
      <c r="H101" s="1"/>
      <c r="I101" s="1"/>
      <c r="J101" s="1">
        <v>1</v>
      </c>
      <c r="M101">
        <v>201522</v>
      </c>
      <c r="N101">
        <v>1</v>
      </c>
      <c r="O101" s="1">
        <v>1</v>
      </c>
      <c r="Q101" t="e">
        <f ca="1">O101*OFFSET(buff!$AG$1,MATCH(M101,buff!A:A,0)-1,0)</f>
        <v>#VALUE!</v>
      </c>
    </row>
    <row r="102" spans="1:17">
      <c r="A102" s="153">
        <f ca="1">IF(B102=B101,A101+1,OFFSET(card!$A$1,MATCH(B102,card!B:B,0)-1,0)*10+1)</f>
        <v>20150033</v>
      </c>
      <c r="B102" s="91" t="s">
        <v>393</v>
      </c>
      <c r="C102" s="186">
        <f ca="1">OFFSET(card!$J$1,MATCH(skill!B102,card!B:B,0)-1,0)</f>
        <v>2</v>
      </c>
      <c r="D102" s="186">
        <f ca="1">OFFSET(card!$K$1,MATCH(B102,card!B:B,0)-1,0)</f>
        <v>1</v>
      </c>
      <c r="E102" s="179" t="s">
        <v>777</v>
      </c>
      <c r="F102" s="1">
        <v>2</v>
      </c>
      <c r="G102" s="1"/>
      <c r="H102" s="1"/>
      <c r="I102" s="1"/>
      <c r="J102" s="1">
        <v>1</v>
      </c>
      <c r="M102">
        <v>201523</v>
      </c>
      <c r="N102">
        <v>1</v>
      </c>
      <c r="O102" s="1">
        <v>1</v>
      </c>
      <c r="Q102" t="e">
        <f ca="1">O102*OFFSET(buff!$AG$1,MATCH(M102,buff!A:A,0)-1,0)</f>
        <v>#VALUE!</v>
      </c>
    </row>
    <row r="103" spans="1:17">
      <c r="A103" s="153">
        <f ca="1">IF(B103=B102,A102+1,OFFSET(card!$A$1,MATCH(B103,card!B:B,0)-1,0)*10+1)</f>
        <v>20150034</v>
      </c>
      <c r="B103" s="91" t="s">
        <v>393</v>
      </c>
      <c r="C103" s="186">
        <f ca="1">OFFSET(card!$J$1,MATCH(skill!B103,card!B:B,0)-1,0)</f>
        <v>2</v>
      </c>
      <c r="D103" s="186">
        <f ca="1">OFFSET(card!$K$1,MATCH(B103,card!B:B,0)-1,0)</f>
        <v>1</v>
      </c>
      <c r="E103" s="179" t="s">
        <v>777</v>
      </c>
      <c r="F103" s="1">
        <v>2</v>
      </c>
      <c r="G103" s="1"/>
      <c r="H103" s="1"/>
      <c r="I103" s="1"/>
      <c r="J103" s="1">
        <v>1</v>
      </c>
      <c r="M103">
        <v>201524</v>
      </c>
      <c r="N103">
        <v>1</v>
      </c>
      <c r="O103" s="1">
        <v>1</v>
      </c>
      <c r="Q103" t="e">
        <f ca="1">O103*OFFSET(buff!$AG$1,MATCH(M103,buff!A:A,0)-1,0)</f>
        <v>#VALUE!</v>
      </c>
    </row>
    <row r="104" spans="1:17">
      <c r="A104" s="153">
        <f ca="1">IF(B104=B103,A103+1,OFFSET(card!$A$1,MATCH(B104,card!B:B,0)-1,0)*10+1)</f>
        <v>20150035</v>
      </c>
      <c r="B104" s="91" t="s">
        <v>393</v>
      </c>
      <c r="C104" s="186">
        <f ca="1">OFFSET(card!$J$1,MATCH(skill!B104,card!B:B,0)-1,0)</f>
        <v>2</v>
      </c>
      <c r="D104" s="186">
        <f ca="1">OFFSET(card!$K$1,MATCH(B104,card!B:B,0)-1,0)</f>
        <v>1</v>
      </c>
      <c r="E104" s="179" t="s">
        <v>777</v>
      </c>
      <c r="F104" s="1">
        <v>2</v>
      </c>
      <c r="G104" s="1"/>
      <c r="H104" s="1"/>
      <c r="I104" s="1"/>
      <c r="J104" s="1">
        <v>1</v>
      </c>
      <c r="M104">
        <v>201525</v>
      </c>
      <c r="N104">
        <v>1</v>
      </c>
      <c r="O104" s="1">
        <v>1</v>
      </c>
      <c r="Q104" t="e">
        <f ca="1">O104*OFFSET(buff!$AG$1,MATCH(M104,buff!A:A,0)-1,0)</f>
        <v>#VALUE!</v>
      </c>
    </row>
    <row r="105" spans="1:17">
      <c r="A105" s="153">
        <f ca="1">IF(B105=B104,A104+1,OFFSET(card!$A$1,MATCH(B105,card!B:B,0)-1,0)*10+1)</f>
        <v>20150036</v>
      </c>
      <c r="B105" s="91" t="s">
        <v>393</v>
      </c>
      <c r="C105" s="186">
        <f ca="1">OFFSET(card!$J$1,MATCH(skill!B105,card!B:B,0)-1,0)</f>
        <v>2</v>
      </c>
      <c r="D105" s="186">
        <f ca="1">OFFSET(card!$K$1,MATCH(B105,card!B:B,0)-1,0)</f>
        <v>1</v>
      </c>
      <c r="E105" s="179" t="s">
        <v>777</v>
      </c>
      <c r="F105" s="1">
        <v>2</v>
      </c>
      <c r="G105" s="1"/>
      <c r="H105" s="1"/>
      <c r="I105" s="1"/>
      <c r="J105" s="1">
        <v>1</v>
      </c>
      <c r="M105">
        <v>201526</v>
      </c>
      <c r="N105">
        <v>1</v>
      </c>
      <c r="O105" s="1">
        <v>1</v>
      </c>
      <c r="Q105" t="e">
        <f ca="1">O105*OFFSET(buff!$AG$1,MATCH(M105,buff!A:A,0)-1,0)</f>
        <v>#VALUE!</v>
      </c>
    </row>
    <row r="106" spans="1:17">
      <c r="A106" s="153">
        <f ca="1">IF(B106=B105,A105+1,OFFSET(card!$A$1,MATCH(B106,card!B:B,0)-1,0)*10+1)</f>
        <v>20150037</v>
      </c>
      <c r="B106" s="91" t="s">
        <v>393</v>
      </c>
      <c r="C106" s="186">
        <f ca="1">OFFSET(card!$J$1,MATCH(skill!B106,card!B:B,0)-1,0)</f>
        <v>2</v>
      </c>
      <c r="D106" s="186">
        <f ca="1">OFFSET(card!$K$1,MATCH(B106,card!B:B,0)-1,0)</f>
        <v>1</v>
      </c>
      <c r="E106" s="179" t="s">
        <v>777</v>
      </c>
      <c r="F106" s="1">
        <v>2</v>
      </c>
      <c r="G106" s="1"/>
      <c r="H106" s="1"/>
      <c r="I106" s="1"/>
      <c r="J106" s="1">
        <v>1</v>
      </c>
      <c r="M106">
        <v>201527</v>
      </c>
      <c r="N106">
        <v>1</v>
      </c>
      <c r="O106" s="1">
        <v>1</v>
      </c>
      <c r="Q106" t="e">
        <f ca="1">O106*OFFSET(buff!$AG$1,MATCH(M106,buff!A:A,0)-1,0)</f>
        <v>#VALUE!</v>
      </c>
    </row>
    <row r="107" spans="1:17">
      <c r="A107" s="153">
        <f ca="1">IF(B107=B106,A106+1,OFFSET(card!$A$1,MATCH(B107,card!B:B,0)-1,0)*10+1)</f>
        <v>20150038</v>
      </c>
      <c r="B107" s="91" t="s">
        <v>393</v>
      </c>
      <c r="C107" s="186">
        <f ca="1">OFFSET(card!$J$1,MATCH(skill!B107,card!B:B,0)-1,0)</f>
        <v>2</v>
      </c>
      <c r="D107" s="186">
        <f ca="1">OFFSET(card!$K$1,MATCH(B107,card!B:B,0)-1,0)</f>
        <v>1</v>
      </c>
      <c r="E107" s="179" t="s">
        <v>777</v>
      </c>
      <c r="F107" s="1">
        <v>2</v>
      </c>
      <c r="G107" s="1"/>
      <c r="H107" s="1"/>
      <c r="I107" s="1"/>
      <c r="J107" s="1">
        <v>1</v>
      </c>
      <c r="M107">
        <v>201528</v>
      </c>
      <c r="N107">
        <v>1</v>
      </c>
      <c r="O107" s="1">
        <v>1</v>
      </c>
      <c r="Q107" t="e">
        <f ca="1">O107*OFFSET(buff!$AG$1,MATCH(M107,buff!A:A,0)-1,0)</f>
        <v>#VALUE!</v>
      </c>
    </row>
    <row r="108" spans="1:17">
      <c r="A108" s="153">
        <f ca="1">IF(B108=B107,A107+1,OFFSET(card!$A$1,MATCH(B108,card!B:B,0)-1,0)*10+1)</f>
        <v>20150039</v>
      </c>
      <c r="B108" s="91" t="s">
        <v>393</v>
      </c>
      <c r="C108" s="186">
        <f ca="1">OFFSET(card!$J$1,MATCH(skill!B108,card!B:B,0)-1,0)</f>
        <v>2</v>
      </c>
      <c r="D108" s="186">
        <f ca="1">OFFSET(card!$K$1,MATCH(B108,card!B:B,0)-1,0)</f>
        <v>1</v>
      </c>
      <c r="E108" s="179" t="s">
        <v>777</v>
      </c>
      <c r="F108" s="1">
        <v>2</v>
      </c>
      <c r="G108" s="1"/>
      <c r="H108" s="1"/>
      <c r="I108" s="1"/>
      <c r="J108" s="1">
        <v>1</v>
      </c>
      <c r="M108">
        <v>201529</v>
      </c>
      <c r="N108">
        <v>1</v>
      </c>
      <c r="O108" s="1">
        <v>1</v>
      </c>
      <c r="Q108" t="e">
        <f ca="1">O108*OFFSET(buff!$AG$1,MATCH(M108,buff!A:A,0)-1,0)</f>
        <v>#VALUE!</v>
      </c>
    </row>
    <row r="109" spans="1:17">
      <c r="A109" s="153">
        <f ca="1">IF(B109=B108,A108+1,OFFSET(card!$A$1,MATCH(B109,card!B:B,0)-1,0)*10+1)</f>
        <v>20150040</v>
      </c>
      <c r="B109" s="91" t="s">
        <v>393</v>
      </c>
      <c r="C109" s="186">
        <f ca="1">OFFSET(card!$J$1,MATCH(skill!B109,card!B:B,0)-1,0)</f>
        <v>2</v>
      </c>
      <c r="D109" s="186">
        <f ca="1">OFFSET(card!$K$1,MATCH(B109,card!B:B,0)-1,0)</f>
        <v>1</v>
      </c>
      <c r="E109" s="179" t="s">
        <v>777</v>
      </c>
      <c r="F109" s="1">
        <v>2</v>
      </c>
      <c r="G109" s="1"/>
      <c r="H109" s="1"/>
      <c r="I109" s="1"/>
      <c r="J109" s="1">
        <v>1</v>
      </c>
      <c r="M109">
        <v>201530</v>
      </c>
      <c r="N109">
        <v>1</v>
      </c>
      <c r="O109" s="1">
        <v>1</v>
      </c>
      <c r="Q109" t="e">
        <f ca="1">O109*OFFSET(buff!$AG$1,MATCH(M109,buff!A:A,0)-1,0)</f>
        <v>#VALUE!</v>
      </c>
    </row>
    <row r="110" ht="27.75" spans="1:17">
      <c r="A110" s="153">
        <f ca="1">IF(B110=B80,A80+1,OFFSET(card!$A$1,MATCH(B110,card!B:B,0)-1,0)*10+1)</f>
        <v>20160011</v>
      </c>
      <c r="B110" s="91" t="s">
        <v>514</v>
      </c>
      <c r="C110" s="186">
        <f ca="1">OFFSET(card!$J$1,MATCH(skill!B110,card!B:B,0)-1,0)</f>
        <v>3</v>
      </c>
      <c r="D110" s="186">
        <f ca="1">OFFSET(card!$K$1,MATCH(B110,card!B:B,0)-1,0)</f>
        <v>2</v>
      </c>
      <c r="E110" s="179" t="s">
        <v>780</v>
      </c>
      <c r="F110" s="1">
        <v>2</v>
      </c>
      <c r="G110" s="1"/>
      <c r="H110" s="1"/>
      <c r="I110" s="1"/>
      <c r="J110" s="1">
        <v>1</v>
      </c>
      <c r="M110">
        <v>17</v>
      </c>
      <c r="N110">
        <v>1</v>
      </c>
      <c r="O110" s="1">
        <v>1</v>
      </c>
      <c r="Q110" t="e">
        <f ca="1">O110*OFFSET(buff!$AG$1,MATCH(M110,buff!A:A,0)-1,0)</f>
        <v>#VALUE!</v>
      </c>
    </row>
    <row r="111" ht="27.75" spans="1:17">
      <c r="A111" s="153">
        <f ca="1">IF(B111=B110,A110+1,OFFSET(card!$A$1,MATCH(B111,card!B:B,0)-1,0)*10+1)</f>
        <v>20170011</v>
      </c>
      <c r="B111" s="91" t="s">
        <v>291</v>
      </c>
      <c r="C111" s="186">
        <f ca="1">OFFSET(card!$J$1,MATCH(skill!B111,card!B:B,0)-1,0)</f>
        <v>3</v>
      </c>
      <c r="D111" s="186">
        <f ca="1">OFFSET(card!$K$1,MATCH(B111,card!B:B,0)-1,0)</f>
        <v>1</v>
      </c>
      <c r="E111" s="179" t="s">
        <v>784</v>
      </c>
      <c r="F111" s="1">
        <v>2</v>
      </c>
      <c r="G111" s="1"/>
      <c r="H111" s="1"/>
      <c r="I111" s="1"/>
      <c r="J111" s="1">
        <v>1</v>
      </c>
      <c r="K111" s="1"/>
      <c r="L111" s="1"/>
      <c r="M111">
        <v>1</v>
      </c>
      <c r="N111">
        <v>1</v>
      </c>
      <c r="O111" s="1">
        <v>2</v>
      </c>
      <c r="Q111">
        <f ca="1">O111*OFFSET(buff!$AG$1,MATCH(M111,buff!A:A,0)-1,0)</f>
        <v>10</v>
      </c>
    </row>
    <row r="112" ht="27.75" spans="1:17">
      <c r="A112" s="153">
        <f ca="1">IF(B112=B111,A111+1,OFFSET(card!$A$1,MATCH(B112,card!B:B,0)-1,0)*10+1)</f>
        <v>20180011</v>
      </c>
      <c r="B112" s="91" t="s">
        <v>351</v>
      </c>
      <c r="C112" s="186">
        <f ca="1">OFFSET(card!$J$1,MATCH(skill!B112,card!B:B,0)-1,0)</f>
        <v>3</v>
      </c>
      <c r="D112" s="186">
        <f ca="1">OFFSET(card!$K$1,MATCH(B112,card!B:B,0)-1,0)</f>
        <v>2</v>
      </c>
      <c r="E112" s="179" t="s">
        <v>788</v>
      </c>
      <c r="F112">
        <v>1</v>
      </c>
      <c r="N112">
        <v>2</v>
      </c>
      <c r="O112">
        <v>4500</v>
      </c>
      <c r="Q112">
        <f ca="1">(O112/(10000+O112))*OFFSET(card!$L$1,MATCH(B112,card!B:B,0)-1,0)</f>
        <v>0.620689655172414</v>
      </c>
    </row>
    <row r="113" ht="27.75" spans="1:17">
      <c r="A113" s="153">
        <f ca="1">IF(B113=B112,A112+1,OFFSET(card!$A$1,MATCH(B113,card!B:B,0)-1,0)*10+1)</f>
        <v>20190011</v>
      </c>
      <c r="B113" s="91" t="s">
        <v>409</v>
      </c>
      <c r="C113" s="186">
        <f ca="1">OFFSET(card!$J$1,MATCH(skill!B113,card!B:B,0)-1,0)</f>
        <v>3</v>
      </c>
      <c r="D113" s="186">
        <f ca="1">OFFSET(card!$K$1,MATCH(B113,card!B:B,0)-1,0)</f>
        <v>3</v>
      </c>
      <c r="E113" s="179" t="s">
        <v>1198</v>
      </c>
      <c r="F113" s="1">
        <v>17</v>
      </c>
      <c r="H113" s="1"/>
      <c r="I113" s="1"/>
      <c r="J113" s="1"/>
      <c r="N113">
        <v>2</v>
      </c>
      <c r="O113" s="1">
        <v>5500</v>
      </c>
      <c r="Q113">
        <f ca="1">(O113/(10000+O113))*OFFSET(card!$L$1,MATCH(B113,card!B:B,0)-1,0)</f>
        <v>1.06451612903226</v>
      </c>
    </row>
    <row r="114" ht="27.75" spans="1:17">
      <c r="A114" s="153">
        <f ca="1">IF(B114=B113,A113+1,OFFSET(card!$A$1,MATCH(B114,card!B:B,0)-1,0)*10+1)</f>
        <v>20200011</v>
      </c>
      <c r="B114" s="91" t="s">
        <v>796</v>
      </c>
      <c r="C114" s="186">
        <f ca="1">OFFSET(card!$J$1,MATCH(skill!B114,card!B:B,0)-1,0)</f>
        <v>3</v>
      </c>
      <c r="D114" s="186">
        <f ca="1">OFFSET(card!$K$1,MATCH(B114,card!B:B,0)-1,0)</f>
        <v>4</v>
      </c>
      <c r="E114" s="179" t="s">
        <v>1199</v>
      </c>
      <c r="F114">
        <v>1</v>
      </c>
      <c r="N114">
        <v>2</v>
      </c>
      <c r="O114">
        <v>15000</v>
      </c>
      <c r="Q114">
        <f ca="1">(O114/(10000+O114))*OFFSET(card!$L$1,MATCH(B114,card!B:B,0)-1,0)</f>
        <v>3</v>
      </c>
    </row>
    <row r="115" ht="27.75" spans="1:17">
      <c r="A115" s="153">
        <f ca="1">IF(B115=B114,A114+1,OFFSET(card!$A$1,MATCH(B115,card!B:B,0)-1,0)*10+1)</f>
        <v>24040011</v>
      </c>
      <c r="B115" s="91" t="s">
        <v>345</v>
      </c>
      <c r="C115" s="186">
        <f ca="1">OFFSET(card!$J$1,MATCH(skill!B115,card!B:B,0)-1,0)</f>
        <v>4</v>
      </c>
      <c r="D115" s="186">
        <f ca="1">OFFSET(card!$K$1,MATCH(B115,card!B:B,0)-1,0)</f>
        <v>3</v>
      </c>
      <c r="E115" s="179" t="s">
        <v>1200</v>
      </c>
      <c r="F115" s="1">
        <v>9</v>
      </c>
      <c r="G115" s="1"/>
      <c r="H115" s="1"/>
      <c r="I115" s="1"/>
      <c r="J115" s="1">
        <v>1</v>
      </c>
      <c r="N115">
        <v>1</v>
      </c>
      <c r="O115">
        <v>0</v>
      </c>
      <c r="P115">
        <v>2</v>
      </c>
      <c r="Q115">
        <f ca="1">OFFSET(card!$L$1,MATCH(B115,card!B:B,0)-1,0)*(AVERAGE(O115:P115))/(AVERAGE(O115:P115)+1)</f>
        <v>1.5</v>
      </c>
    </row>
    <row r="116" ht="27.75" spans="1:18">
      <c r="A116" s="153">
        <f ca="1">IF(B116=B115,A115+1,OFFSET(card!$A$1,MATCH(B116,card!B:B,0)-1,0)*10+1)</f>
        <v>24050011</v>
      </c>
      <c r="B116" s="91" t="s">
        <v>813</v>
      </c>
      <c r="C116" s="186">
        <f ca="1">OFFSET(card!$J$1,MATCH(skill!B116,card!B:B,0)-1,0)</f>
        <v>4</v>
      </c>
      <c r="D116" s="186">
        <f ca="1">OFFSET(card!$K$1,MATCH(B116,card!B:B,0)-1,0)</f>
        <v>4</v>
      </c>
      <c r="E116" s="179" t="s">
        <v>814</v>
      </c>
      <c r="F116" s="1">
        <v>5</v>
      </c>
      <c r="G116" s="1"/>
      <c r="H116" s="1"/>
      <c r="I116" s="1"/>
      <c r="J116" s="1">
        <v>1</v>
      </c>
      <c r="K116">
        <v>1</v>
      </c>
      <c r="L116">
        <v>2</v>
      </c>
      <c r="N116">
        <v>1</v>
      </c>
      <c r="O116" s="1">
        <v>2</v>
      </c>
      <c r="Q116" t="e">
        <f ca="1">R116*OFFSET(buff的资质计算!$L$1,MATCH(skill!C116,buff的资质计算!G:G,0)-1,0)</f>
        <v>#VALUE!</v>
      </c>
      <c r="R116">
        <v>4</v>
      </c>
    </row>
    <row r="117" ht="27.75" spans="1:17">
      <c r="A117" s="153">
        <f ca="1">IF(B117=B116,A116+1,OFFSET(card!$A$1,MATCH(B117,card!B:B,0)-1,0)*10+1)</f>
        <v>24010011</v>
      </c>
      <c r="B117" s="91" t="s">
        <v>801</v>
      </c>
      <c r="C117" s="186">
        <f ca="1">OFFSET(card!$J$1,MATCH(skill!B117,card!B:B,0)-1,0)</f>
        <v>4</v>
      </c>
      <c r="D117" s="186">
        <f ca="1">OFFSET(card!$K$1,MATCH(B117,card!B:B,0)-1,0)</f>
        <v>2</v>
      </c>
      <c r="E117" s="179" t="s">
        <v>1201</v>
      </c>
      <c r="F117">
        <v>10</v>
      </c>
      <c r="N117">
        <v>2</v>
      </c>
      <c r="O117">
        <v>5000</v>
      </c>
      <c r="Q117">
        <f ca="1">(O117/(10000+O117))*OFFSET(card!$L$1,MATCH(B117,card!B:B,0)-1,0)</f>
        <v>0.666666666666667</v>
      </c>
    </row>
    <row r="118" ht="27.75" spans="1:17">
      <c r="A118" s="153">
        <f ca="1">IF(B118=B117,A117+1,OFFSET(card!$A$1,MATCH(B118,card!B:B,0)-1,0)*10+1)</f>
        <v>24020011</v>
      </c>
      <c r="B118" s="91" t="s">
        <v>385</v>
      </c>
      <c r="C118" s="186">
        <f ca="1">OFFSET(card!$J$1,MATCH(skill!B118,card!B:B,0)-1,0)</f>
        <v>4</v>
      </c>
      <c r="D118" s="186">
        <f ca="1">OFFSET(card!$K$1,MATCH(B118,card!B:B,0)-1,0)</f>
        <v>2</v>
      </c>
      <c r="E118" s="179" t="s">
        <v>805</v>
      </c>
      <c r="F118">
        <v>1</v>
      </c>
      <c r="N118">
        <v>2</v>
      </c>
      <c r="O118">
        <v>5000</v>
      </c>
      <c r="Q118">
        <f ca="1">(O118/(10000+O118))*OFFSET(card!$L$1,MATCH(B118,card!B:B,0)-1,0)</f>
        <v>0.666666666666667</v>
      </c>
    </row>
    <row r="119" ht="27.75" spans="1:15">
      <c r="A119" s="153">
        <f ca="1">IF(B119=B118,A118+1,OFFSET(card!$A$1,MATCH(B119,card!B:B,0)-1,0)*10+1)</f>
        <v>24030011</v>
      </c>
      <c r="B119" s="300" t="s">
        <v>808</v>
      </c>
      <c r="C119" s="186">
        <f ca="1">OFFSET(card!$J$1,MATCH(skill!B119,card!B:B,0)-1,0)</f>
        <v>4</v>
      </c>
      <c r="D119" s="186">
        <f ca="1">OFFSET(card!$K$1,MATCH(B119,card!B:B,0)-1,0)</f>
        <v>2</v>
      </c>
      <c r="E119" s="179" t="s">
        <v>1202</v>
      </c>
      <c r="F119">
        <v>2</v>
      </c>
      <c r="J119">
        <v>2</v>
      </c>
      <c r="M119">
        <v>6</v>
      </c>
      <c r="N119">
        <v>1</v>
      </c>
      <c r="O119">
        <v>1</v>
      </c>
    </row>
    <row r="120" ht="27.75" spans="1:17">
      <c r="A120" s="153">
        <f ca="1">IF(B120=B118,A118+1,OFFSET(card!$A$1,MATCH(B120,card!B:B,0)-1,0)*10+1)</f>
        <v>20250011</v>
      </c>
      <c r="B120" s="91" t="s">
        <v>817</v>
      </c>
      <c r="C120" s="186">
        <f ca="1">OFFSET(card!$J$1,MATCH(skill!B120,card!B:B,0)-1,0)</f>
        <v>5</v>
      </c>
      <c r="D120" s="186">
        <f ca="1">OFFSET(card!$K$1,MATCH(B120,card!B:B,0)-1,0)</f>
        <v>2</v>
      </c>
      <c r="E120" s="179" t="s">
        <v>1203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  <c r="K120">
        <v>1</v>
      </c>
      <c r="L120">
        <v>2</v>
      </c>
      <c r="N120">
        <v>2</v>
      </c>
      <c r="O120" s="1">
        <v>3500</v>
      </c>
      <c r="Q120">
        <f ca="1">(O120/(10000+O120))*OFFSET(card!$L$1,MATCH(B120,card!B:B,0)-1,0)</f>
        <v>0.777777777777778</v>
      </c>
    </row>
    <row r="121" ht="27.75" spans="1:17">
      <c r="A121" s="153">
        <f ca="1">IF(B121=B120,A120+1,OFFSET(card!$A$1,MATCH(B121,card!B:B,0)-1,0)*10+1)</f>
        <v>20260011</v>
      </c>
      <c r="B121" s="91" t="s">
        <v>821</v>
      </c>
      <c r="C121" s="186">
        <f ca="1">OFFSET(card!$J$1,MATCH(skill!B121,card!B:B,0)-1,0)</f>
        <v>5</v>
      </c>
      <c r="D121" s="186">
        <f ca="1">OFFSET(card!$K$1,MATCH(B121,card!B:B,0)-1,0)</f>
        <v>3</v>
      </c>
      <c r="E121" s="179" t="s">
        <v>1204</v>
      </c>
      <c r="F121">
        <v>1</v>
      </c>
      <c r="N121">
        <v>2</v>
      </c>
      <c r="O121">
        <v>10000</v>
      </c>
      <c r="Q121">
        <f ca="1">(O121/(10000+O121))*OFFSET(card!$L$1,MATCH(B121,card!B:B,0)-1,0)</f>
        <v>2</v>
      </c>
    </row>
    <row r="122" ht="27.75" spans="1:17">
      <c r="A122" s="153">
        <f ca="1">IF(B122=B121,A121+1,OFFSET(card!$A$1,MATCH(B122,card!B:B,0)-1,0)*10+1)</f>
        <v>20270011</v>
      </c>
      <c r="B122" s="91" t="s">
        <v>355</v>
      </c>
      <c r="C122" s="186">
        <f ca="1">OFFSET(card!$J$1,MATCH(skill!B122,card!B:B,0)-1,0)</f>
        <v>6</v>
      </c>
      <c r="D122" s="186">
        <f ca="1">OFFSET(card!$K$1,MATCH(B122,card!B:B,0)-1,0)</f>
        <v>2</v>
      </c>
      <c r="E122" s="179" t="s">
        <v>825</v>
      </c>
      <c r="F122" s="1">
        <v>9</v>
      </c>
      <c r="G122" s="1"/>
      <c r="H122" s="1"/>
      <c r="I122" s="1"/>
      <c r="J122" s="1">
        <v>1</v>
      </c>
      <c r="N122">
        <v>1</v>
      </c>
      <c r="O122">
        <v>3</v>
      </c>
      <c r="P122">
        <v>5</v>
      </c>
      <c r="Q122">
        <f ca="1">OFFSET(card!$L$1,MATCH(B122,card!B:B,0)-1,0)*(AVERAGE(O122:P122))/(AVERAGE(O122:P122)+1)</f>
        <v>4</v>
      </c>
    </row>
    <row r="123" ht="27.75" spans="1:18">
      <c r="A123" s="153">
        <f ca="1">IF(B123=B122,A122+1,OFFSET(card!$A$1,MATCH(B123,card!B:B,0)-1,0)*10+1)</f>
        <v>20280011</v>
      </c>
      <c r="B123" s="91" t="s">
        <v>828</v>
      </c>
      <c r="C123" s="186">
        <f ca="1">OFFSET(card!$J$1,MATCH(skill!B123,card!B:B,0)-1,0)</f>
        <v>6</v>
      </c>
      <c r="D123" s="186">
        <f ca="1">OFFSET(card!$K$1,MATCH(B123,card!B:B,0)-1,0)</f>
        <v>4</v>
      </c>
      <c r="E123" s="179" t="s">
        <v>829</v>
      </c>
      <c r="F123" s="1">
        <v>5</v>
      </c>
      <c r="G123" s="1"/>
      <c r="H123" s="1"/>
      <c r="I123" s="1"/>
      <c r="J123" s="1">
        <v>1</v>
      </c>
      <c r="K123">
        <v>1</v>
      </c>
      <c r="L123">
        <v>2</v>
      </c>
      <c r="N123">
        <v>1</v>
      </c>
      <c r="O123" s="1">
        <v>3</v>
      </c>
      <c r="Q123" t="e">
        <f ca="1">R123*OFFSET(buff的资质计算!$L$1,MATCH(skill!C123,buff的资质计算!G:G,0)-1,0)</f>
        <v>#VALUE!</v>
      </c>
      <c r="R123">
        <v>6</v>
      </c>
    </row>
    <row r="124" spans="1:17">
      <c r="A124" s="153">
        <f ca="1">IF(B124=B123,A123+1,OFFSET(card!$A$1,MATCH(B124,card!B:B,0)-1,0)*10+1)</f>
        <v>20290011</v>
      </c>
      <c r="B124" s="91" t="s">
        <v>832</v>
      </c>
      <c r="C124" s="186">
        <f ca="1">OFFSET(card!$J$1,MATCH(skill!B124,card!B:B,0)-1,0)</f>
        <v>6</v>
      </c>
      <c r="D124" s="186">
        <f ca="1">OFFSET(card!$K$1,MATCH(B124,card!B:B,0)-1,0)</f>
        <v>3</v>
      </c>
      <c r="E124" s="179" t="s">
        <v>1205</v>
      </c>
      <c r="F124" s="1">
        <v>2</v>
      </c>
      <c r="G124" s="1"/>
      <c r="H124" s="1"/>
      <c r="I124" s="1"/>
      <c r="J124" s="1">
        <v>1</v>
      </c>
      <c r="K124" s="1"/>
      <c r="L124" s="1"/>
      <c r="M124">
        <v>18</v>
      </c>
      <c r="N124">
        <v>1</v>
      </c>
      <c r="O124" s="1">
        <v>1</v>
      </c>
      <c r="Q124" t="e">
        <f ca="1">O124*OFFSET(buff!$AG$1,MATCH(M124,buff!A:A,0)-1,0)</f>
        <v>#VALUE!</v>
      </c>
    </row>
    <row r="125" ht="27.75" spans="1:18">
      <c r="A125" s="153">
        <f ca="1">IF(B125=B124,A124+1,OFFSET(card!$A$1,MATCH(B125,card!B:B,0)-1,0)*10+1)</f>
        <v>20300011</v>
      </c>
      <c r="B125" s="91" t="s">
        <v>836</v>
      </c>
      <c r="C125" s="186">
        <f ca="1">OFFSET(card!$J$1,MATCH(skill!B125,card!B:B,0)-1,0)</f>
        <v>6</v>
      </c>
      <c r="D125" s="186">
        <f ca="1">OFFSET(card!$K$1,MATCH(B125,card!B:B,0)-1,0)</f>
        <v>4</v>
      </c>
      <c r="E125" s="179" t="s">
        <v>837</v>
      </c>
      <c r="F125" s="1">
        <v>5</v>
      </c>
      <c r="G125" s="1"/>
      <c r="H125" s="1"/>
      <c r="I125" s="1"/>
      <c r="J125" s="1">
        <v>1</v>
      </c>
      <c r="K125">
        <v>1</v>
      </c>
      <c r="L125">
        <v>2</v>
      </c>
      <c r="N125">
        <v>1</v>
      </c>
      <c r="O125" s="1">
        <v>5</v>
      </c>
      <c r="Q125" t="e">
        <f ca="1">R125*OFFSET(buff的资质计算!$L$1,MATCH(skill!C125,buff的资质计算!G:G,0)-1,0)</f>
        <v>#VALUE!</v>
      </c>
      <c r="R125">
        <v>10</v>
      </c>
    </row>
    <row r="126" spans="1:15">
      <c r="A126" s="153">
        <f ca="1">IF(B126=B125,A125+1,OFFSET(card!$A$1,MATCH(B126,card!B:B,0)-1,0)*10+1)</f>
        <v>30010011</v>
      </c>
      <c r="B126" s="153" t="s">
        <v>490</v>
      </c>
      <c r="C126" s="186">
        <f ca="1">OFFSET(card!$J$1,MATCH(skill!B126,card!B:B,0)-1,0)</f>
        <v>1</v>
      </c>
      <c r="D126" s="186">
        <f ca="1">OFFSET(card!$K$1,MATCH(B126,card!B:B,0)-1,0)</f>
        <v>1</v>
      </c>
      <c r="E126" s="298" t="s">
        <v>840</v>
      </c>
      <c r="F126" s="1"/>
      <c r="G126" s="1"/>
      <c r="H126" s="1"/>
      <c r="I126" s="1"/>
      <c r="J126" s="1"/>
      <c r="K126" s="1"/>
      <c r="L126" s="1"/>
      <c r="M126" s="1"/>
      <c r="O126" s="1"/>
    </row>
    <row r="127" spans="1:15">
      <c r="A127" s="153">
        <f ca="1">IF(B127=B126,A126+1,OFFSET(card!$A$1,MATCH(B127,card!B:B,0)-1,0)*10+1)</f>
        <v>30020011</v>
      </c>
      <c r="B127" s="91" t="s">
        <v>494</v>
      </c>
      <c r="C127" s="186">
        <f ca="1">OFFSET(card!$J$1,MATCH(skill!B127,card!B:B,0)-1,0)</f>
        <v>1</v>
      </c>
      <c r="D127" s="186">
        <f ca="1">OFFSET(card!$K$1,MATCH(B127,card!B:B,0)-1,0)</f>
        <v>1</v>
      </c>
      <c r="E127" s="298" t="s">
        <v>840</v>
      </c>
      <c r="F127" s="1"/>
      <c r="G127" s="1"/>
      <c r="H127" s="1"/>
      <c r="I127" s="1"/>
      <c r="O127" s="1"/>
    </row>
    <row r="128" ht="27.75" spans="1:17">
      <c r="A128" s="153">
        <f ca="1">IF(B128=B127,A127+1,OFFSET(card!$A$1,MATCH(B128,card!B:B,0)-1,0)*10+1)</f>
        <v>30030011</v>
      </c>
      <c r="B128" s="91" t="s">
        <v>524</v>
      </c>
      <c r="C128" s="186">
        <f ca="1">OFFSET(card!$J$1,MATCH(skill!B128,card!B:B,0)-1,0)</f>
        <v>1</v>
      </c>
      <c r="D128" s="186">
        <f ca="1">OFFSET(card!$K$1,MATCH(B128,card!B:B,0)-1,0)</f>
        <v>2</v>
      </c>
      <c r="E128" s="298" t="s">
        <v>1206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>
        <v>1</v>
      </c>
      <c r="L128">
        <v>3</v>
      </c>
      <c r="N128">
        <v>2</v>
      </c>
      <c r="O128" s="1">
        <v>2500</v>
      </c>
      <c r="Q128">
        <f ca="1">(O128/(10000+O128))*OFFSET(card!$L$1,MATCH(B128,card!B:B,0)-1,0)</f>
        <v>0.4</v>
      </c>
    </row>
    <row r="129" ht="27.75" spans="1:17">
      <c r="A129" s="153">
        <f ca="1">IF(B129=B128,A128+1,OFFSET(card!$A$1,MATCH(B129,card!B:B,0)-1,0)*10+1)</f>
        <v>30040011</v>
      </c>
      <c r="B129" s="91" t="s">
        <v>851</v>
      </c>
      <c r="C129" s="186">
        <f ca="1">OFFSET(card!$J$1,MATCH(skill!B129,card!B:B,0)-1,0)</f>
        <v>1</v>
      </c>
      <c r="D129" s="186">
        <f ca="1">OFFSET(card!$K$1,MATCH(B129,card!B:B,0)-1,0)</f>
        <v>1</v>
      </c>
      <c r="E129" s="298" t="s">
        <v>852</v>
      </c>
      <c r="F129" s="1">
        <v>2</v>
      </c>
      <c r="G129" s="1"/>
      <c r="H129" s="1"/>
      <c r="I129" s="1"/>
      <c r="J129" s="1">
        <v>1</v>
      </c>
      <c r="K129" s="1"/>
      <c r="L129" s="1"/>
      <c r="M129">
        <v>1</v>
      </c>
      <c r="N129">
        <v>1</v>
      </c>
      <c r="O129" s="1">
        <v>1</v>
      </c>
      <c r="Q129">
        <f ca="1">O129*OFFSET(buff!$AG$1,MATCH(M129,buff!A:A,0)-1,0)</f>
        <v>5</v>
      </c>
    </row>
    <row r="130" ht="27.75" spans="1:17">
      <c r="A130" s="153">
        <f ca="1">IF(B130=B129,A129+1,OFFSET(card!$A$1,MATCH(B130,card!B:B,0)-1,0)*10+1)</f>
        <v>30050011</v>
      </c>
      <c r="B130" s="91" t="s">
        <v>419</v>
      </c>
      <c r="C130" s="186">
        <f ca="1">OFFSET(card!$J$1,MATCH(skill!B130,card!B:B,0)-1,0)</f>
        <v>2</v>
      </c>
      <c r="D130" s="186">
        <f ca="1">OFFSET(card!$K$1,MATCH(B130,card!B:B,0)-1,0)</f>
        <v>2</v>
      </c>
      <c r="E130" s="179" t="s">
        <v>856</v>
      </c>
      <c r="F130" s="1">
        <v>2</v>
      </c>
      <c r="G130" s="1"/>
      <c r="H130" s="1"/>
      <c r="I130" s="1"/>
      <c r="J130" s="1">
        <v>1</v>
      </c>
      <c r="K130" s="1"/>
      <c r="L130" s="1"/>
      <c r="M130">
        <v>1</v>
      </c>
      <c r="N130">
        <v>1</v>
      </c>
      <c r="O130" s="1">
        <v>2</v>
      </c>
      <c r="Q130">
        <f ca="1">O130*OFFSET(buff!$AG$1,MATCH(M130,buff!A:A,0)-1,0)</f>
        <v>10</v>
      </c>
    </row>
    <row r="131" ht="27.75" spans="1:17">
      <c r="A131" s="153">
        <f ca="1">IF(B131=B130,A130+1,OFFSET(card!$A$1,MATCH(B131,card!B:B,0)-1,0)*10+1)</f>
        <v>30060011</v>
      </c>
      <c r="B131" s="91" t="s">
        <v>860</v>
      </c>
      <c r="C131" s="186">
        <f ca="1">OFFSET(card!$J$1,MATCH(skill!B131,card!B:B,0)-1,0)</f>
        <v>6</v>
      </c>
      <c r="D131" s="186">
        <f ca="1">OFFSET(card!$K$1,MATCH(B131,card!B:B,0)-1,0)</f>
        <v>3</v>
      </c>
      <c r="E131" s="179" t="s">
        <v>861</v>
      </c>
      <c r="F131" s="1">
        <v>2</v>
      </c>
      <c r="G131" s="1"/>
      <c r="H131" s="1"/>
      <c r="I131" s="1"/>
      <c r="J131" s="1">
        <v>1</v>
      </c>
      <c r="K131" s="1"/>
      <c r="L131" s="1"/>
      <c r="M131">
        <v>1</v>
      </c>
      <c r="N131">
        <v>1</v>
      </c>
      <c r="O131" s="1">
        <v>3</v>
      </c>
      <c r="Q131">
        <f ca="1">O131*OFFSET(buff!$AG$1,MATCH(M131,buff!A:A,0)-1,0)</f>
        <v>15</v>
      </c>
    </row>
    <row r="132" spans="1:17">
      <c r="A132" s="153">
        <f ca="1">IF(B132=B131,A131+1,OFFSET(card!$A$1,MATCH(B132,card!B:B,0)-1,0)*10+1)</f>
        <v>30070011</v>
      </c>
      <c r="B132" s="91" t="s">
        <v>488</v>
      </c>
      <c r="C132" s="186">
        <f ca="1">OFFSET(card!$J$1,MATCH(skill!B132,card!B:B,0)-1,0)</f>
        <v>3</v>
      </c>
      <c r="D132" s="186">
        <f ca="1">OFFSET(card!$K$1,MATCH(B132,card!B:B,0)-1,0)</f>
        <v>1</v>
      </c>
      <c r="E132" s="179" t="s">
        <v>864</v>
      </c>
      <c r="F132" s="1">
        <v>7</v>
      </c>
      <c r="G132" s="1"/>
      <c r="H132" s="1"/>
      <c r="I132" s="1"/>
      <c r="J132" s="1">
        <v>1</v>
      </c>
      <c r="M132">
        <v>1</v>
      </c>
      <c r="N132">
        <v>1</v>
      </c>
      <c r="O132" s="1">
        <v>2</v>
      </c>
      <c r="Q132">
        <f ca="1">O132*OFFSET(buff!$AG$1,MATCH(M132,buff!A:A,0)-1,0)</f>
        <v>10</v>
      </c>
    </row>
    <row r="133" ht="27.75" spans="1:18">
      <c r="A133" s="153">
        <f ca="1">IF(B133=B132,A132+1,OFFSET(card!$A$1,MATCH(B133,card!B:B,0)-1,0)*10+1)</f>
        <v>30080011</v>
      </c>
      <c r="B133" s="283" t="s">
        <v>298</v>
      </c>
      <c r="C133" s="186">
        <f ca="1">OFFSET(card!$J$1,MATCH(skill!B133,card!B:B,0)-1,0)</f>
        <v>1</v>
      </c>
      <c r="D133" s="186">
        <f ca="1">OFFSET(card!$K$1,MATCH(B133,card!B:B,0)-1,0)</f>
        <v>2</v>
      </c>
      <c r="E133" s="179" t="s">
        <v>868</v>
      </c>
      <c r="F133" s="1">
        <v>13</v>
      </c>
      <c r="G133" s="1">
        <v>5</v>
      </c>
      <c r="H133" s="1"/>
      <c r="I133" s="1">
        <v>1</v>
      </c>
      <c r="J133" s="1">
        <v>1</v>
      </c>
      <c r="M133">
        <v>1</v>
      </c>
      <c r="N133">
        <v>1</v>
      </c>
      <c r="O133" s="1">
        <v>1</v>
      </c>
      <c r="Q133" t="e">
        <f ca="1">R133*OFFSET(buff的资质计算!$L$1,MATCH(skill!C133,buff的资质计算!G:G,0)-1,0)</f>
        <v>#VALUE!</v>
      </c>
      <c r="R133">
        <v>1</v>
      </c>
    </row>
    <row r="134" ht="27.75" spans="1:18">
      <c r="A134" s="153">
        <f ca="1">IF(B134=B133,A133+1,OFFSET(card!$A$1,MATCH(B134,card!B:B,0)-1,0)*10+1)</f>
        <v>30090011</v>
      </c>
      <c r="B134" s="91" t="s">
        <v>502</v>
      </c>
      <c r="C134" s="186">
        <f ca="1">OFFSET(card!$J$1,MATCH(skill!B134,card!B:B,0)-1,0)</f>
        <v>1</v>
      </c>
      <c r="D134" s="186">
        <f ca="1">OFFSET(card!$K$1,MATCH(B134,card!B:B,0)-1,0)</f>
        <v>3</v>
      </c>
      <c r="E134" s="179" t="s">
        <v>1207</v>
      </c>
      <c r="F134" s="1">
        <v>1</v>
      </c>
      <c r="G134" s="1">
        <v>5</v>
      </c>
      <c r="H134" s="1"/>
      <c r="I134" s="1">
        <v>1</v>
      </c>
      <c r="J134" s="1">
        <v>1</v>
      </c>
      <c r="M134">
        <v>1</v>
      </c>
      <c r="N134">
        <v>2</v>
      </c>
      <c r="O134" s="1">
        <v>3000</v>
      </c>
      <c r="Q134">
        <f ca="1">O134*OFFSET(buff!$AG$1,MATCH(M134,buff!A:A,0)-1,0)</f>
        <v>15000</v>
      </c>
      <c r="R134" s="301">
        <v>2</v>
      </c>
    </row>
    <row r="135" ht="27.75" spans="1:19">
      <c r="A135" s="153">
        <f ca="1">IF(B135=B134,A134+1,OFFSET(card!$A$1,MATCH(B135,card!B:B,0)-1,0)*10+1)</f>
        <v>30100011</v>
      </c>
      <c r="B135" s="153" t="s">
        <v>506</v>
      </c>
      <c r="C135" s="186">
        <f ca="1">OFFSET(card!$J$1,MATCH(skill!B135,card!B:B,0)-1,0)</f>
        <v>1</v>
      </c>
      <c r="D135" s="186">
        <f ca="1">OFFSET(card!$K$1,MATCH(B135,card!B:B,0)-1,0)</f>
        <v>2</v>
      </c>
      <c r="E135" s="186" t="s">
        <v>876</v>
      </c>
      <c r="F135" s="1">
        <v>2</v>
      </c>
      <c r="G135" s="1"/>
      <c r="H135" s="1"/>
      <c r="I135" s="1"/>
      <c r="J135" s="1">
        <v>1</v>
      </c>
      <c r="M135">
        <v>23</v>
      </c>
      <c r="N135">
        <v>1</v>
      </c>
      <c r="O135" s="1">
        <v>1</v>
      </c>
      <c r="Q135" t="e">
        <f ca="1">O135*OFFSET(buff!$AG$1,MATCH(M135,buff!A:A,0)-1,0)</f>
        <v>#VALUE!</v>
      </c>
      <c r="R135">
        <v>1</v>
      </c>
      <c r="S135" s="301"/>
    </row>
    <row r="136" ht="27.75" spans="1:18">
      <c r="A136" s="153">
        <f ca="1">IF(B136=B135,A135+1,OFFSET(card!$A$1,MATCH(B136,card!B:B,0)-1,0)*10+1)</f>
        <v>30110011</v>
      </c>
      <c r="B136" s="91" t="s">
        <v>880</v>
      </c>
      <c r="C136" s="186">
        <f ca="1">OFFSET(card!$J$1,MATCH(skill!B136,card!B:B,0)-1,0)</f>
        <v>1</v>
      </c>
      <c r="D136" s="186">
        <f ca="1">OFFSET(card!$K$1,MATCH(B136,card!B:B,0)-1,0)</f>
        <v>1</v>
      </c>
      <c r="E136" s="179" t="s">
        <v>868</v>
      </c>
      <c r="F136" s="1">
        <v>13</v>
      </c>
      <c r="G136" s="1">
        <v>5</v>
      </c>
      <c r="H136" s="1"/>
      <c r="I136" s="1">
        <v>1</v>
      </c>
      <c r="J136" s="1">
        <v>1</v>
      </c>
      <c r="M136">
        <v>1</v>
      </c>
      <c r="N136">
        <v>1</v>
      </c>
      <c r="O136" s="1">
        <v>1</v>
      </c>
      <c r="Q136" t="e">
        <f ca="1">R136*OFFSET(buff的资质计算!$L$1,MATCH(skill!C136,buff的资质计算!G:G,0)-1,0)</f>
        <v>#VALUE!</v>
      </c>
      <c r="R136">
        <v>1</v>
      </c>
    </row>
    <row r="137" spans="1:17">
      <c r="A137" s="153">
        <f ca="1">IF(B137=B136,A136+1,OFFSET(card!$A$1,MATCH(B137,card!B:B,0)-1,0)*10+1)</f>
        <v>34030011</v>
      </c>
      <c r="B137" s="91" t="s">
        <v>914</v>
      </c>
      <c r="C137" s="186">
        <f ca="1">OFFSET(card!$J$1,MATCH(skill!B137,card!B:B,0)-1,0)</f>
        <v>4</v>
      </c>
      <c r="D137" s="186">
        <f ca="1">OFFSET(card!$K$1,MATCH(B137,card!B:B,0)-1,0)</f>
        <v>2</v>
      </c>
      <c r="E137" s="299" t="s">
        <v>915</v>
      </c>
      <c r="F137">
        <v>1</v>
      </c>
      <c r="N137">
        <v>2</v>
      </c>
      <c r="O137">
        <v>5000</v>
      </c>
      <c r="Q137">
        <f ca="1">(O137/(10000+O137))*OFFSET(card!$L$1,MATCH(B137,card!B:B,0)-1,0)</f>
        <v>0.666666666666667</v>
      </c>
    </row>
    <row r="138" ht="27.75" spans="1:17">
      <c r="A138" s="153">
        <f ca="1">IF(B138=B136,A136+1,OFFSET(card!$A$1,MATCH(B138,card!B:B,0)-1,0)*10+1)</f>
        <v>30120011</v>
      </c>
      <c r="B138" s="91" t="s">
        <v>884</v>
      </c>
      <c r="C138" s="186">
        <f ca="1">OFFSET(card!$J$1,MATCH(skill!B138,card!B:B,0)-1,0)</f>
        <v>5</v>
      </c>
      <c r="D138" s="186">
        <f ca="1">OFFSET(card!$K$1,MATCH(B138,card!B:B,0)-1,0)</f>
        <v>4</v>
      </c>
      <c r="E138" s="179" t="s">
        <v>1208</v>
      </c>
      <c r="F138" s="1">
        <v>2</v>
      </c>
      <c r="G138" s="1"/>
      <c r="H138" s="1"/>
      <c r="I138" s="1"/>
      <c r="J138" s="1">
        <v>1</v>
      </c>
      <c r="K138" s="1"/>
      <c r="L138" s="1"/>
      <c r="M138">
        <v>1</v>
      </c>
      <c r="N138">
        <v>1</v>
      </c>
      <c r="O138" s="1">
        <v>3</v>
      </c>
      <c r="Q138">
        <f ca="1">O138*OFFSET(buff!$AG$1,MATCH(M138,buff!A:A,0)-1,0)</f>
        <v>15</v>
      </c>
    </row>
    <row r="139" ht="41.65" spans="1:17">
      <c r="A139" s="153">
        <f ca="1">IF(B139=B138,A138+1,OFFSET(card!$A$1,MATCH(B139,card!B:B,0)-1,0)*10+1)</f>
        <v>30120012</v>
      </c>
      <c r="B139" s="91" t="s">
        <v>884</v>
      </c>
      <c r="C139" s="186">
        <f ca="1">OFFSET(card!$J$1,MATCH(skill!B139,card!B:B,0)-1,0)</f>
        <v>5</v>
      </c>
      <c r="D139" s="186">
        <f ca="1">OFFSET(card!$K$1,MATCH(B139,card!B:B,0)-1,0)</f>
        <v>4</v>
      </c>
      <c r="E139" s="179" t="s">
        <v>1209</v>
      </c>
      <c r="F139" s="1">
        <v>1</v>
      </c>
      <c r="G139" s="1">
        <v>5</v>
      </c>
      <c r="H139" s="1"/>
      <c r="I139" s="1">
        <v>1</v>
      </c>
      <c r="J139" s="1">
        <v>1</v>
      </c>
      <c r="K139">
        <v>1</v>
      </c>
      <c r="L139">
        <v>3</v>
      </c>
      <c r="M139">
        <v>1</v>
      </c>
      <c r="N139">
        <v>2</v>
      </c>
      <c r="O139" s="1">
        <v>4500</v>
      </c>
      <c r="Q139">
        <f ca="1">(O139/(10000+O139))*OFFSET(card!$L$1,MATCH(B140,card!B:B,0)-1,0)</f>
        <v>0.620689655172414</v>
      </c>
    </row>
    <row r="140" ht="27.75" spans="1:17">
      <c r="A140" s="153">
        <f ca="1">IF(B140=B139,A139+1,OFFSET(card!$A$1,MATCH(B140,card!B:B,0)-1,0)*10+1)</f>
        <v>30130011</v>
      </c>
      <c r="B140" s="91" t="s">
        <v>359</v>
      </c>
      <c r="C140" s="186">
        <f ca="1">OFFSET(card!$J$1,MATCH(skill!B140,card!B:B,0)-1,0)</f>
        <v>1</v>
      </c>
      <c r="D140" s="186">
        <f ca="1">OFFSET(card!$K$1,MATCH(B140,card!B:B,0)-1,0)</f>
        <v>1</v>
      </c>
      <c r="E140" s="179" t="s">
        <v>888</v>
      </c>
      <c r="F140" s="1">
        <v>2</v>
      </c>
      <c r="G140" s="1"/>
      <c r="H140" s="1"/>
      <c r="I140" s="1"/>
      <c r="J140" s="1">
        <v>2</v>
      </c>
      <c r="M140">
        <v>2</v>
      </c>
      <c r="N140">
        <v>1</v>
      </c>
      <c r="O140" s="1">
        <v>1</v>
      </c>
      <c r="Q140">
        <f ca="1">O140*OFFSET(buff!$AG$1,MATCH(M140,buff!A:A,0)-1,0)</f>
        <v>5</v>
      </c>
    </row>
    <row r="141" ht="27.75" spans="1:17">
      <c r="A141" s="153">
        <f ca="1">IF(B141=B140,A140+1,OFFSET(card!$A$1,MATCH(B141,card!B:B,0)-1,0)*10+1)</f>
        <v>30140011</v>
      </c>
      <c r="B141" s="91" t="s">
        <v>361</v>
      </c>
      <c r="C141" s="186">
        <f ca="1">OFFSET(card!$J$1,MATCH(skill!B141,card!B:B,0)-1,0)</f>
        <v>1</v>
      </c>
      <c r="D141" s="186">
        <f ca="1">OFFSET(card!$K$1,MATCH(B141,card!B:B,0)-1,0)</f>
        <v>2</v>
      </c>
      <c r="E141" s="179" t="s">
        <v>892</v>
      </c>
      <c r="F141" s="1">
        <v>2</v>
      </c>
      <c r="G141" s="1"/>
      <c r="H141" s="1"/>
      <c r="I141" s="1"/>
      <c r="J141" s="1">
        <v>2</v>
      </c>
      <c r="M141">
        <v>2</v>
      </c>
      <c r="N141">
        <v>1</v>
      </c>
      <c r="O141" s="1">
        <v>2</v>
      </c>
      <c r="Q141">
        <f ca="1">O141*OFFSET(buff!$AG$1,MATCH(M141,buff!A:A,0)-1,0)</f>
        <v>10</v>
      </c>
    </row>
    <row r="142" ht="27.75" spans="1:18">
      <c r="A142" s="153">
        <f ca="1">IF(B142=B141,A141+1,OFFSET(card!$A$1,MATCH(B142,card!B:B,0)-1,0)*10+1)</f>
        <v>30150011</v>
      </c>
      <c r="B142" s="91" t="s">
        <v>367</v>
      </c>
      <c r="C142" s="186">
        <f ca="1">OFFSET(card!$J$1,MATCH(skill!B142,card!B:B,0)-1,0)</f>
        <v>2</v>
      </c>
      <c r="D142" s="186">
        <f ca="1">OFFSET(card!$K$1,MATCH(B142,card!B:B,0)-1,0)</f>
        <v>1</v>
      </c>
      <c r="E142" s="179" t="s">
        <v>896</v>
      </c>
      <c r="F142" s="1">
        <v>13</v>
      </c>
      <c r="G142" s="1">
        <v>5</v>
      </c>
      <c r="H142" s="1"/>
      <c r="I142" s="1">
        <v>2</v>
      </c>
      <c r="J142" s="1">
        <v>1</v>
      </c>
      <c r="M142">
        <v>2</v>
      </c>
      <c r="N142">
        <v>1</v>
      </c>
      <c r="O142" s="1">
        <v>1</v>
      </c>
      <c r="Q142" t="e">
        <f ca="1">R142*OFFSET(buff的资质计算!$L$1,MATCH(skill!C142,buff的资质计算!G:G,0)-1,0)</f>
        <v>#VALUE!</v>
      </c>
      <c r="R142">
        <v>1</v>
      </c>
    </row>
    <row r="143" ht="41.65" spans="1:17">
      <c r="A143" s="153">
        <f ca="1">IF(B143=B142,A142+1,OFFSET(card!$A$1,MATCH(B143,card!B:B,0)-1,0)*10+1)</f>
        <v>30160011</v>
      </c>
      <c r="B143" s="91" t="s">
        <v>369</v>
      </c>
      <c r="C143" s="186">
        <f ca="1">OFFSET(card!$J$1,MATCH(skill!B143,card!B:B,0)-1,0)</f>
        <v>2</v>
      </c>
      <c r="D143" s="186">
        <f ca="1">OFFSET(card!$K$1,MATCH(B143,card!B:B,0)-1,0)</f>
        <v>4</v>
      </c>
      <c r="E143" s="179" t="s">
        <v>1210</v>
      </c>
      <c r="F143" s="1">
        <v>1</v>
      </c>
      <c r="G143" s="1">
        <v>5</v>
      </c>
      <c r="H143" s="1"/>
      <c r="I143" s="1">
        <v>2</v>
      </c>
      <c r="J143" s="1">
        <v>2</v>
      </c>
      <c r="K143">
        <v>1</v>
      </c>
      <c r="L143">
        <v>3</v>
      </c>
      <c r="M143">
        <v>2</v>
      </c>
      <c r="N143">
        <v>2</v>
      </c>
      <c r="O143" s="1">
        <v>3500</v>
      </c>
      <c r="Q143">
        <f ca="1">(O143/(10000+O143))*OFFSET(card!$L$1,MATCH(B144,card!B:B,0)-1,0)</f>
        <v>0.518518518518518</v>
      </c>
    </row>
    <row r="144" ht="27.75" spans="1:17">
      <c r="A144" s="153">
        <f ca="1">IF(B144=B143,A143+1,OFFSET(card!$A$1,MATCH(B144,card!B:B,0)-1,0)*10+1)</f>
        <v>30170011</v>
      </c>
      <c r="B144" s="91" t="s">
        <v>904</v>
      </c>
      <c r="C144" s="186">
        <f ca="1">OFFSET(card!$J$1,MATCH(skill!B144,card!B:B,0)-1,0)</f>
        <v>3</v>
      </c>
      <c r="D144" s="186">
        <f ca="1">OFFSET(card!$K$1,MATCH(B144,card!B:B,0)-1,0)</f>
        <v>3</v>
      </c>
      <c r="E144" s="179" t="s">
        <v>1211</v>
      </c>
      <c r="F144" s="1">
        <v>2</v>
      </c>
      <c r="G144" s="1">
        <v>1</v>
      </c>
      <c r="H144" s="1">
        <v>1</v>
      </c>
      <c r="I144" s="1">
        <v>1</v>
      </c>
      <c r="J144" s="1">
        <v>2</v>
      </c>
      <c r="K144">
        <v>1</v>
      </c>
      <c r="L144">
        <v>3</v>
      </c>
      <c r="M144">
        <v>2</v>
      </c>
      <c r="N144">
        <v>1</v>
      </c>
      <c r="O144" s="1">
        <v>1</v>
      </c>
      <c r="Q144">
        <f ca="1">O144*OFFSET(buff!$AG$1,MATCH(M144,buff!A:A,0)-1,0)*3</f>
        <v>15</v>
      </c>
    </row>
    <row r="145" ht="27.75" spans="1:18">
      <c r="A145" s="153">
        <f ca="1">IF(B145=B144,A144+1,OFFSET(card!$A$1,MATCH(B145,card!B:B,0)-1,0)*10+1)</f>
        <v>34010011</v>
      </c>
      <c r="B145" s="91" t="s">
        <v>909</v>
      </c>
      <c r="C145" s="186">
        <f ca="1">OFFSET(card!$J$1,MATCH(skill!B145,card!B:B,0)-1,0)</f>
        <v>4</v>
      </c>
      <c r="D145" s="186">
        <f ca="1">OFFSET(card!$K$1,MATCH(B145,card!B:B,0)-1,0)</f>
        <v>2</v>
      </c>
      <c r="E145" s="179" t="s">
        <v>896</v>
      </c>
      <c r="F145" s="1">
        <v>13</v>
      </c>
      <c r="G145" s="1">
        <v>5</v>
      </c>
      <c r="H145" s="1"/>
      <c r="I145" s="1">
        <v>1</v>
      </c>
      <c r="J145" s="1">
        <v>1</v>
      </c>
      <c r="M145">
        <v>2</v>
      </c>
      <c r="N145">
        <v>1</v>
      </c>
      <c r="O145" s="1">
        <v>1</v>
      </c>
      <c r="Q145" t="e">
        <f ca="1">R145*OFFSET(buff的资质计算!$L$1,MATCH(skill!C145,buff的资质计算!G:G,0)-1,0)</f>
        <v>#VALUE!</v>
      </c>
      <c r="R145">
        <v>1</v>
      </c>
    </row>
    <row r="146" spans="1:17">
      <c r="A146" s="153">
        <f ca="1">IF(B146=B145,A145+1,OFFSET(card!$A$1,MATCH(B146,card!B:B,0)-1,0)*10+1)</f>
        <v>34020011</v>
      </c>
      <c r="B146" s="299" t="s">
        <v>912</v>
      </c>
      <c r="C146" s="186">
        <f ca="1">OFFSET(card!$J$1,MATCH(skill!B146,card!B:B,0)-1,0)</f>
        <v>4</v>
      </c>
      <c r="D146" s="186">
        <f ca="1">OFFSET(card!$K$1,MATCH(B146,card!B:B,0)-1,0)</f>
        <v>2</v>
      </c>
      <c r="E146" s="299" t="s">
        <v>913</v>
      </c>
      <c r="F146">
        <v>1</v>
      </c>
      <c r="N146">
        <v>2</v>
      </c>
      <c r="O146">
        <v>5000</v>
      </c>
      <c r="Q146">
        <f ca="1">(O146/(10000+O146))*OFFSET(card!$L$1,MATCH(B146,card!B:B,0)-1,0)</f>
        <v>0.666666666666667</v>
      </c>
    </row>
    <row r="147" ht="27.75" spans="1:17">
      <c r="A147" s="153">
        <f ca="1">IF(B147=B145,A145+1,OFFSET(card!$A$1,MATCH(B147,card!B:B,0)-1,0)*10+1)</f>
        <v>30190011</v>
      </c>
      <c r="B147" s="91" t="s">
        <v>405</v>
      </c>
      <c r="C147" s="186">
        <f ca="1">OFFSET(card!$J$1,MATCH(skill!B147,card!B:B,0)-1,0)</f>
        <v>5</v>
      </c>
      <c r="D147" s="186">
        <f ca="1">OFFSET(card!$K$1,MATCH(B147,card!B:B,0)-1,0)</f>
        <v>3</v>
      </c>
      <c r="E147" s="179" t="s">
        <v>916</v>
      </c>
      <c r="F147" s="1">
        <v>2</v>
      </c>
      <c r="G147" s="1"/>
      <c r="H147" s="1"/>
      <c r="I147" s="1"/>
      <c r="J147" s="1">
        <v>2</v>
      </c>
      <c r="K147" s="1"/>
      <c r="L147" s="1"/>
      <c r="M147">
        <v>2</v>
      </c>
      <c r="N147">
        <v>1</v>
      </c>
      <c r="O147" s="1">
        <v>3</v>
      </c>
      <c r="Q147">
        <f ca="1">O147*OFFSET(buff!$AG$1,MATCH(M147,buff!A:A,0)-1,0)</f>
        <v>15</v>
      </c>
    </row>
    <row r="148" ht="27.75" spans="1:17">
      <c r="A148" s="153">
        <f ca="1">IF(B148=B147,A147+1,OFFSET(card!$A$1,MATCH(B148,card!B:B,0)-1,0)*10+1)</f>
        <v>30200011</v>
      </c>
      <c r="B148" s="91" t="s">
        <v>919</v>
      </c>
      <c r="C148" s="186">
        <f ca="1">OFFSET(card!$J$1,MATCH(skill!B148,card!B:B,0)-1,0)</f>
        <v>5</v>
      </c>
      <c r="D148" s="186">
        <f ca="1">OFFSET(card!$K$1,MATCH(B148,card!B:B,0)-1,0)</f>
        <v>2</v>
      </c>
      <c r="E148" s="179" t="s">
        <v>1212</v>
      </c>
      <c r="F148">
        <v>2</v>
      </c>
      <c r="J148">
        <v>1</v>
      </c>
      <c r="M148">
        <v>23</v>
      </c>
      <c r="N148">
        <v>1</v>
      </c>
      <c r="O148">
        <v>1</v>
      </c>
      <c r="Q148" t="e">
        <f ca="1">O148*OFFSET(buff!$AG$1,MATCH(M148,buff!A:A,0)-1,0)</f>
        <v>#VALUE!</v>
      </c>
    </row>
    <row r="149" spans="1:19">
      <c r="A149" s="153">
        <f ca="1">IF(B149=B148,A148+1,OFFSET(card!$A$1,MATCH(B149,card!B:B,0)-1,0)*10+1)</f>
        <v>30210011</v>
      </c>
      <c r="B149" s="91" t="s">
        <v>923</v>
      </c>
      <c r="C149" s="186">
        <f ca="1">OFFSET(card!$J$1,MATCH(skill!B149,card!B:B,0)-1,0)</f>
        <v>6</v>
      </c>
      <c r="D149" s="186">
        <f ca="1">OFFSET(card!$K$1,MATCH(B149,card!B:B,0)-1,0)</f>
        <v>2</v>
      </c>
      <c r="E149" s="179" t="s">
        <v>924</v>
      </c>
      <c r="F149" s="1">
        <v>7</v>
      </c>
      <c r="G149" s="1"/>
      <c r="H149" s="1"/>
      <c r="I149" s="1"/>
      <c r="J149" s="1">
        <v>2</v>
      </c>
      <c r="M149">
        <v>2</v>
      </c>
      <c r="N149">
        <v>1</v>
      </c>
      <c r="O149" s="1">
        <v>2</v>
      </c>
      <c r="Q149" t="e">
        <f ca="1">R149*OFFSET(buff的资质计算!$L$1,MATCH(skill!C149,buff的资质计算!G:G,0)-1,0)</f>
        <v>#VALUE!</v>
      </c>
      <c r="R149">
        <v>1</v>
      </c>
      <c r="S149" s="302"/>
    </row>
    <row r="150" spans="1:17">
      <c r="A150" s="153">
        <f ca="1">IF(B150=B149,A149+1,OFFSET(card!$A$1,MATCH(B150,card!B:B,0)-1,0)*10+1)</f>
        <v>30220011</v>
      </c>
      <c r="B150" s="91" t="s">
        <v>476</v>
      </c>
      <c r="C150" s="186">
        <f ca="1">OFFSET(card!$J$1,MATCH(skill!B150,card!B:B,0)-1,0)</f>
        <v>2</v>
      </c>
      <c r="D150" s="186">
        <f ca="1">OFFSET(card!$K$1,MATCH(B150,card!B:B,0)-1,0)</f>
        <v>1</v>
      </c>
      <c r="E150" s="179" t="s">
        <v>927</v>
      </c>
      <c r="F150">
        <v>2</v>
      </c>
      <c r="J150">
        <v>1</v>
      </c>
      <c r="M150">
        <v>3</v>
      </c>
      <c r="N150">
        <v>1</v>
      </c>
      <c r="O150">
        <v>1</v>
      </c>
      <c r="Q150">
        <f ca="1">O150*OFFSET(buff!$AG$1,MATCH(M150,buff!A:A,0)-1,0)</f>
        <v>3.75</v>
      </c>
    </row>
    <row r="151" spans="1:17">
      <c r="A151" s="153">
        <f ca="1">IF(B151=B150,A150+1,OFFSET(card!$A$1,MATCH(B151,card!B:B,0)-1,0)*10+1)</f>
        <v>30230011</v>
      </c>
      <c r="B151" s="91" t="s">
        <v>451</v>
      </c>
      <c r="C151" s="186">
        <f ca="1">OFFSET(card!$J$1,MATCH(skill!B151,card!B:B,0)-1,0)</f>
        <v>3</v>
      </c>
      <c r="D151" s="186">
        <f ca="1">OFFSET(card!$K$1,MATCH(B151,card!B:B,0)-1,0)</f>
        <v>2</v>
      </c>
      <c r="E151" s="179" t="s">
        <v>931</v>
      </c>
      <c r="F151">
        <v>2</v>
      </c>
      <c r="J151">
        <v>1</v>
      </c>
      <c r="M151">
        <v>3</v>
      </c>
      <c r="N151">
        <v>1</v>
      </c>
      <c r="O151">
        <v>2</v>
      </c>
      <c r="Q151">
        <f ca="1">O151*OFFSET(buff!$AG$1,MATCH(M151,buff!A:A,0)-1,0)</f>
        <v>7.5</v>
      </c>
    </row>
    <row r="152" ht="27.75" spans="1:17">
      <c r="A152" s="153">
        <f ca="1">IF(B152=B151,A151+1,OFFSET(card!$A$1,MATCH(B152,card!B:B,0)-1,0)*10+1)</f>
        <v>30240011</v>
      </c>
      <c r="B152" s="91" t="s">
        <v>453</v>
      </c>
      <c r="C152" s="186">
        <f ca="1">OFFSET(card!$J$1,MATCH(skill!B152,card!B:B,0)-1,0)</f>
        <v>2</v>
      </c>
      <c r="D152" s="186">
        <f ca="1">OFFSET(card!$K$1,MATCH(B152,card!B:B,0)-1,0)</f>
        <v>3</v>
      </c>
      <c r="E152" s="179" t="s">
        <v>935</v>
      </c>
      <c r="F152">
        <v>2</v>
      </c>
      <c r="J152">
        <v>1</v>
      </c>
      <c r="M152">
        <v>3</v>
      </c>
      <c r="N152">
        <v>1</v>
      </c>
      <c r="O152">
        <v>2</v>
      </c>
      <c r="Q152">
        <f ca="1">O152*OFFSET(buff!$AG$1,MATCH(M152,buff!A:A,0)-1,0)</f>
        <v>7.5</v>
      </c>
    </row>
    <row r="153" ht="27.75" spans="1:17">
      <c r="A153" s="153">
        <f ca="1">IF(B153=B152,A152+1,OFFSET(card!$A$1,MATCH(B153,card!B:B,0)-1,0)*10+1)</f>
        <v>30240012</v>
      </c>
      <c r="B153" s="91" t="s">
        <v>453</v>
      </c>
      <c r="C153" s="186">
        <f ca="1">OFFSET(card!$J$1,MATCH(skill!B153,card!B:B,0)-1,0)</f>
        <v>2</v>
      </c>
      <c r="D153" s="186">
        <f ca="1">OFFSET(card!$K$1,MATCH(B153,card!B:B,0)-1,0)</f>
        <v>3</v>
      </c>
      <c r="E153" s="179" t="s">
        <v>935</v>
      </c>
      <c r="F153" s="1">
        <v>13</v>
      </c>
      <c r="G153" s="1">
        <v>5</v>
      </c>
      <c r="H153" s="1"/>
      <c r="I153" s="1">
        <v>1</v>
      </c>
      <c r="J153" s="1">
        <v>1</v>
      </c>
      <c r="M153">
        <v>3</v>
      </c>
      <c r="N153">
        <v>1</v>
      </c>
      <c r="O153" s="1">
        <v>1</v>
      </c>
      <c r="Q153">
        <f ca="1">O153*OFFSET(buff!$AG$1,MATCH(M153,buff!A:A,0)-1,0)</f>
        <v>3.75</v>
      </c>
    </row>
    <row r="154" ht="27.75" spans="1:17">
      <c r="A154" s="153">
        <f ca="1">IF(B154=B152,A152+1,OFFSET(card!$A$1,MATCH(B154,card!B:B,0)-1,0)*10+1)</f>
        <v>30250011</v>
      </c>
      <c r="B154" s="91" t="s">
        <v>435</v>
      </c>
      <c r="C154" s="186">
        <f ca="1">OFFSET(card!$J$1,MATCH(skill!B154,card!B:B,0)-1,0)</f>
        <v>3</v>
      </c>
      <c r="D154" s="186">
        <f ca="1">OFFSET(card!$K$1,MATCH(B154,card!B:B,0)-1,0)</f>
        <v>2</v>
      </c>
      <c r="E154" s="179" t="s">
        <v>1213</v>
      </c>
      <c r="F154" s="1">
        <v>17</v>
      </c>
      <c r="H154" s="1"/>
      <c r="I154" s="1"/>
      <c r="J154" s="1"/>
      <c r="N154">
        <v>2</v>
      </c>
      <c r="O154" s="1">
        <v>5000</v>
      </c>
      <c r="Q154">
        <f ca="1">(O154/(10000+O154))*OFFSET(card!$L$1,MATCH(B154,card!B:B,0)-1,0)</f>
        <v>0.666666666666667</v>
      </c>
    </row>
    <row r="155" ht="27.75" spans="1:17">
      <c r="A155" s="153">
        <f ca="1">IF(B155=B154,A154+1,OFFSET(card!$A$1,MATCH(B155,card!B:B,0)-1,0)*10+1)</f>
        <v>30260011</v>
      </c>
      <c r="B155" s="91" t="s">
        <v>478</v>
      </c>
      <c r="C155" s="186">
        <f ca="1">OFFSET(card!$J$1,MATCH(skill!B155,card!B:B,0)-1,0)</f>
        <v>3</v>
      </c>
      <c r="D155" s="186">
        <f ca="1">OFFSET(card!$K$1,MATCH(B155,card!B:B,0)-1,0)</f>
        <v>4</v>
      </c>
      <c r="E155" s="179" t="s">
        <v>1214</v>
      </c>
      <c r="F155" s="1">
        <v>1</v>
      </c>
      <c r="G155" s="1">
        <v>5</v>
      </c>
      <c r="H155" s="1"/>
      <c r="I155" s="1">
        <v>1</v>
      </c>
      <c r="J155" s="1">
        <v>1</v>
      </c>
      <c r="K155">
        <v>1</v>
      </c>
      <c r="L155">
        <v>2</v>
      </c>
      <c r="M155">
        <v>1</v>
      </c>
      <c r="N155">
        <v>2</v>
      </c>
      <c r="O155" s="1">
        <v>4000</v>
      </c>
      <c r="Q155">
        <f ca="1">(O155/(10000+O155))*OFFSET(card!$L$1,MATCH(B156,card!B:B,0)-1,0)</f>
        <v>0.857142857142857</v>
      </c>
    </row>
    <row r="156" ht="27.75" spans="1:17">
      <c r="A156" s="153">
        <f ca="1">IF(B156=B155,A155+1,OFFSET(card!$A$1,MATCH(B156,card!B:B,0)-1,0)*10+1)</f>
        <v>34050011</v>
      </c>
      <c r="B156" s="91" t="s">
        <v>484</v>
      </c>
      <c r="C156" s="186">
        <f ca="1">OFFSET(card!$J$1,MATCH(skill!B156,card!B:B,0)-1,0)</f>
        <v>4</v>
      </c>
      <c r="D156" s="186">
        <f ca="1">OFFSET(card!$K$1,MATCH(B156,card!B:B,0)-1,0)</f>
        <v>4</v>
      </c>
      <c r="E156" s="179" t="s">
        <v>1215</v>
      </c>
      <c r="F156" s="1">
        <v>4</v>
      </c>
      <c r="G156" s="1"/>
      <c r="H156" s="1"/>
      <c r="I156" s="1"/>
      <c r="J156">
        <v>1</v>
      </c>
      <c r="M156">
        <v>3</v>
      </c>
      <c r="N156">
        <v>1</v>
      </c>
      <c r="O156" s="1">
        <v>5</v>
      </c>
      <c r="Q156">
        <f ca="1">O156*OFFSET(buff!$AG$1,MATCH(M156,buff!A:A,0)-1,0)</f>
        <v>18.75</v>
      </c>
    </row>
    <row r="157" ht="27.75" spans="1:17">
      <c r="A157" s="153">
        <f ca="1">IF(B157=B156,A156+1,OFFSET(card!$A$1,MATCH(B157,card!B:B,0)-1,0)*10+1)</f>
        <v>34050012</v>
      </c>
      <c r="B157" s="91" t="s">
        <v>484</v>
      </c>
      <c r="C157" s="186">
        <f ca="1">OFFSET(card!$J$1,MATCH(skill!B157,card!B:B,0)-1,0)</f>
        <v>4</v>
      </c>
      <c r="D157" s="186">
        <f ca="1">OFFSET(card!$K$1,MATCH(B157,card!B:B,0)-1,0)</f>
        <v>4</v>
      </c>
      <c r="E157" s="179" t="s">
        <v>1215</v>
      </c>
      <c r="F157" s="1">
        <v>1</v>
      </c>
      <c r="G157" s="1">
        <v>9</v>
      </c>
      <c r="H157" s="1"/>
      <c r="I157" s="1">
        <v>1</v>
      </c>
      <c r="J157" s="1">
        <v>1</v>
      </c>
      <c r="K157">
        <v>1</v>
      </c>
      <c r="L157">
        <v>2</v>
      </c>
      <c r="M157">
        <v>1</v>
      </c>
      <c r="N157">
        <v>2</v>
      </c>
      <c r="O157" s="1">
        <v>5000</v>
      </c>
      <c r="Q157">
        <f ca="1">(O157/(10000+O157))*OFFSET(card!$L$1,MATCH(B158,card!B:B,0)-1,0)</f>
        <v>1</v>
      </c>
    </row>
    <row r="158" spans="1:17">
      <c r="A158" s="153">
        <f ca="1">IF(B158=B157,A157+1,OFFSET(card!$A$1,MATCH(B158,card!B:B,0)-1,0)*10+1)</f>
        <v>34040011</v>
      </c>
      <c r="B158" s="91" t="s">
        <v>947</v>
      </c>
      <c r="C158" s="186">
        <f ca="1">OFFSET(card!$J$1,MATCH(skill!B158,card!B:B,0)-1,0)</f>
        <v>4</v>
      </c>
      <c r="D158" s="186">
        <f ca="1">OFFSET(card!$K$1,MATCH(B158,card!B:B,0)-1,0)</f>
        <v>3</v>
      </c>
      <c r="E158" s="179" t="s">
        <v>1079</v>
      </c>
      <c r="F158" s="1">
        <v>4</v>
      </c>
      <c r="G158" s="1"/>
      <c r="H158" s="1"/>
      <c r="I158" s="1"/>
      <c r="J158">
        <v>1</v>
      </c>
      <c r="M158">
        <v>3</v>
      </c>
      <c r="N158">
        <v>1</v>
      </c>
      <c r="O158" s="1">
        <v>3</v>
      </c>
      <c r="Q158">
        <f ca="1">O158*OFFSET(buff!$AG$1,MATCH(M158,buff!A:A,0)-1,0)</f>
        <v>11.25</v>
      </c>
    </row>
    <row r="159" spans="1:17">
      <c r="A159" s="153">
        <f ca="1">IF(B159=B158,A158+1,OFFSET(card!$A$1,MATCH(B159,card!B:B,0)-1,0)*10+1)</f>
        <v>34040012</v>
      </c>
      <c r="B159" s="91" t="s">
        <v>947</v>
      </c>
      <c r="C159" s="186">
        <f ca="1">OFFSET(card!$J$1,MATCH(skill!B159,card!B:B,0)-1,0)</f>
        <v>4</v>
      </c>
      <c r="D159" s="186">
        <f ca="1">OFFSET(card!$K$1,MATCH(B159,card!B:B,0)-1,0)</f>
        <v>3</v>
      </c>
      <c r="E159" s="179" t="s">
        <v>1079</v>
      </c>
      <c r="F159" s="1">
        <v>2</v>
      </c>
      <c r="G159" s="1"/>
      <c r="H159" s="1"/>
      <c r="I159" s="1"/>
      <c r="J159" s="1">
        <v>1</v>
      </c>
      <c r="M159">
        <v>27</v>
      </c>
      <c r="N159">
        <v>1</v>
      </c>
      <c r="O159" s="1">
        <v>1</v>
      </c>
      <c r="Q159" t="e">
        <f ca="1">R159*OFFSET(buff的资质计算!$L$1,MATCH(skill!C159,buff的资质计算!G:G,0)-1,0)</f>
        <v>#VALUE!</v>
      </c>
    </row>
    <row r="160" ht="27.75" spans="1:17">
      <c r="A160" s="153">
        <f ca="1">IF(B160=B159,A159+1,OFFSET(card!$A$1,MATCH(B160,card!B:B,0)-1,0)*10+1)</f>
        <v>30290011</v>
      </c>
      <c r="B160" s="91" t="s">
        <v>954</v>
      </c>
      <c r="C160" s="186">
        <f ca="1">OFFSET(card!$J$1,MATCH(skill!B160,card!B:B,0)-1,0)</f>
        <v>5</v>
      </c>
      <c r="D160" s="186">
        <f ca="1">OFFSET(card!$K$1,MATCH(B160,card!B:B,0)-1,0)</f>
        <v>3</v>
      </c>
      <c r="E160" s="179" t="s">
        <v>955</v>
      </c>
      <c r="F160" s="1"/>
      <c r="G160" s="1"/>
      <c r="H160" s="1"/>
      <c r="I160" s="1"/>
      <c r="J160">
        <v>1</v>
      </c>
      <c r="O160" s="1"/>
      <c r="Q160">
        <v>0</v>
      </c>
    </row>
    <row r="161" ht="27.75" spans="1:17">
      <c r="A161" s="153">
        <f ca="1">IF(B161=B160,A160+1,OFFSET(card!$A$1,MATCH(B161,card!B:B,0)-1,0)*10+1)</f>
        <v>30300011</v>
      </c>
      <c r="B161" s="91" t="s">
        <v>958</v>
      </c>
      <c r="C161" s="186">
        <f ca="1">OFFSET(card!$J$1,MATCH(skill!B161,card!B:B,0)-1,0)</f>
        <v>6</v>
      </c>
      <c r="D161" s="186">
        <f ca="1">OFFSET(card!$K$1,MATCH(B161,card!B:B,0)-1,0)</f>
        <v>3</v>
      </c>
      <c r="E161" s="179" t="s">
        <v>959</v>
      </c>
      <c r="F161" s="1"/>
      <c r="G161" s="1"/>
      <c r="H161" s="1"/>
      <c r="I161" s="1"/>
      <c r="J161" s="1"/>
      <c r="O161" s="1"/>
      <c r="Q161">
        <v>0</v>
      </c>
    </row>
    <row r="162" spans="1:17">
      <c r="A162" s="153">
        <f ca="1">IF(B162=B161,A161+1,OFFSET(card!$A$1,MATCH(B162,card!B:B,0)-1,0)*10+1)</f>
        <v>100010011</v>
      </c>
      <c r="B162" s="153" t="s">
        <v>962</v>
      </c>
      <c r="C162" s="186">
        <f ca="1">OFFSET(card!$J$1,MATCH(skill!B162,card!B:B,0)-1,0)</f>
        <v>1</v>
      </c>
      <c r="D162" s="186">
        <f ca="1">OFFSET(card!$K$1,MATCH(B162,card!B:B,0)-1,0)</f>
        <v>1</v>
      </c>
      <c r="E162" s="186" t="s">
        <v>577</v>
      </c>
      <c r="F162" s="1"/>
      <c r="G162" s="1"/>
      <c r="H162" s="1"/>
      <c r="I162" s="1"/>
      <c r="J162" s="1"/>
      <c r="O162" s="1"/>
      <c r="Q162">
        <v>0</v>
      </c>
    </row>
    <row r="163" spans="1:17">
      <c r="A163" s="153">
        <f ca="1">IF(B163=B162,A162+1,OFFSET(card!$A$1,MATCH(B163,card!B:B,0)-1,0)*10+1)</f>
        <v>100020011</v>
      </c>
      <c r="B163" s="153" t="s">
        <v>439</v>
      </c>
      <c r="C163" s="186">
        <f ca="1">OFFSET(card!$J$1,MATCH(skill!B163,card!B:B,0)-1,0)</f>
        <v>1</v>
      </c>
      <c r="D163" s="186">
        <f ca="1">OFFSET(card!$K$1,MATCH(B163,card!B:B,0)-1,0)</f>
        <v>1</v>
      </c>
      <c r="E163" s="186" t="s">
        <v>686</v>
      </c>
      <c r="F163" s="1">
        <v>9</v>
      </c>
      <c r="G163" s="1"/>
      <c r="H163" s="1"/>
      <c r="I163" s="1"/>
      <c r="J163" s="1">
        <v>1</v>
      </c>
      <c r="N163">
        <v>1</v>
      </c>
      <c r="O163">
        <v>1</v>
      </c>
      <c r="P163">
        <v>4</v>
      </c>
      <c r="Q163">
        <f ca="1">OFFSET(card!$L$1,MATCH(B163,card!B:B,0)-1,0)*(AVERAGE(O163:P163))/(AVERAGE(O163:P163)+1)</f>
        <v>2.14285714285714</v>
      </c>
    </row>
    <row r="164" ht="27.75" spans="1:17">
      <c r="A164" s="153">
        <f ca="1">IF(B164=B163,A163+1,OFFSET(card!$A$1,MATCH(B164,card!B:B,0)-1,0)*10+1)</f>
        <v>100030011</v>
      </c>
      <c r="B164" s="153" t="s">
        <v>455</v>
      </c>
      <c r="C164" s="186">
        <f ca="1">OFFSET(card!$J$1,MATCH(skill!B164,card!B:B,0)-1,0)</f>
        <v>1</v>
      </c>
      <c r="D164" s="186">
        <f ca="1">OFFSET(card!$K$1,MATCH(B164,card!B:B,0)-1,0)</f>
        <v>1</v>
      </c>
      <c r="E164" s="186" t="s">
        <v>1216</v>
      </c>
      <c r="F164" s="1">
        <v>17</v>
      </c>
      <c r="H164" s="1"/>
      <c r="I164" s="1"/>
      <c r="J164" s="1"/>
      <c r="N164">
        <v>2</v>
      </c>
      <c r="O164" s="1">
        <v>3000</v>
      </c>
      <c r="Q164">
        <f ca="1">(O164/(10000+O164))*OFFSET(card!$L$1,MATCH(B164,card!B:B,0)-1,0)</f>
        <v>0.230769230769231</v>
      </c>
    </row>
    <row r="165" ht="27.75" spans="1:18">
      <c r="A165" s="153">
        <f ca="1">IF(B165=B164,A164+1,OFFSET(card!$A$1,MATCH(B165,card!B:B,0)-1,0)*10+1)</f>
        <v>300040011</v>
      </c>
      <c r="B165" s="153" t="s">
        <v>970</v>
      </c>
      <c r="C165" s="186">
        <f ca="1">OFFSET(card!$J$1,MATCH(skill!B165,card!B:B,0)-1,0)</f>
        <v>1</v>
      </c>
      <c r="D165" s="186">
        <f ca="1">OFFSET(card!$K$1,MATCH(B165,card!B:B,0)-1,0)</f>
        <v>1</v>
      </c>
      <c r="E165" s="186" t="s">
        <v>1217</v>
      </c>
      <c r="F165">
        <v>1</v>
      </c>
      <c r="J165">
        <v>1</v>
      </c>
      <c r="N165">
        <v>1</v>
      </c>
      <c r="O165" s="1" t="e">
        <f ca="1">ROUND((card!$S$1*Q165+card!$W$1*OFFSET(buff的资质计算!$H$1,MATCH(C165,buff的资质计算!G:G,0)-1,0)*Q165),0)+$X$1</f>
        <v>#VALUE!</v>
      </c>
      <c r="Q165" t="e">
        <f ca="1">R165*OFFSET(buff的资质计算!$L$1,MATCH(skill!C165,buff的资质计算!G:G,0)-1,0)</f>
        <v>#VALUE!</v>
      </c>
      <c r="R165">
        <v>1</v>
      </c>
    </row>
    <row r="166" spans="1:15">
      <c r="A166" s="153">
        <f ca="1">IF(B166=B165,A165+1,OFFSET(card!$A$1,MATCH(B166,card!B:B,0)-1,0)*10+1)</f>
        <v>300050011</v>
      </c>
      <c r="B166" s="153" t="s">
        <v>974</v>
      </c>
      <c r="C166" s="186">
        <f ca="1">OFFSET(card!$J$1,MATCH(skill!B166,card!B:B,0)-1,0)</f>
        <v>1</v>
      </c>
      <c r="D166" s="186">
        <f ca="1">OFFSET(card!$K$1,MATCH(B166,card!B:B,0)-1,0)</f>
        <v>1</v>
      </c>
      <c r="E166" s="169" t="s">
        <v>1218</v>
      </c>
      <c r="F166">
        <v>2</v>
      </c>
      <c r="J166">
        <v>1</v>
      </c>
      <c r="M166">
        <v>45</v>
      </c>
      <c r="N166">
        <v>1</v>
      </c>
      <c r="O166" s="1">
        <v>1</v>
      </c>
    </row>
    <row r="167" spans="1:5">
      <c r="A167" s="153">
        <f ca="1">IF(B167=B166,A166+1,OFFSET(card!$A$1,MATCH(B167,card!B:B,0)-1,0)*10+1)</f>
        <v>300060011</v>
      </c>
      <c r="B167" s="153" t="s">
        <v>978</v>
      </c>
      <c r="C167" s="186">
        <f ca="1">OFFSET(card!$J$1,MATCH(skill!B167,card!B:B,0)-1,0)</f>
        <v>1</v>
      </c>
      <c r="D167" s="186">
        <f ca="1">OFFSET(card!$K$1,MATCH(B167,card!B:B,0)-1,0)</f>
        <v>1</v>
      </c>
      <c r="E167" s="186" t="s">
        <v>1219</v>
      </c>
    </row>
    <row r="168" spans="1:17">
      <c r="A168" s="153">
        <f ca="1">IF(B168=B167,A167+1,OFFSET(card!$A$1,MATCH(B168,card!B:B,0)-1,0)*10+1)</f>
        <v>300070011</v>
      </c>
      <c r="B168" s="153" t="s">
        <v>982</v>
      </c>
      <c r="C168" s="186">
        <f ca="1">OFFSET(card!$J$1,MATCH(skill!B168,card!B:B,0)-1,0)</f>
        <v>1</v>
      </c>
      <c r="D168" s="186">
        <f ca="1">OFFSET(card!$K$1,MATCH(B168,card!B:B,0)-1,0)</f>
        <v>1</v>
      </c>
      <c r="E168" s="186" t="s">
        <v>1220</v>
      </c>
      <c r="F168" s="1"/>
      <c r="G168" s="1"/>
      <c r="H168" s="1"/>
      <c r="I168" s="1"/>
      <c r="J168" s="1"/>
      <c r="K168" s="1"/>
      <c r="L168" s="1"/>
      <c r="M168" s="1"/>
      <c r="O168" s="1"/>
      <c r="Q168" t="e">
        <f ca="1">R168*OFFSET(buff的资质计算!$L$1,MATCH(skill!C168,buff的资质计算!G:G,0)-1,0)</f>
        <v>#VALUE!</v>
      </c>
    </row>
    <row r="169" spans="1:17">
      <c r="A169" s="153">
        <f ca="1">IF(B169=B168,A168+1,OFFSET(card!$A$1,MATCH(B169,card!B:B,0)-1,0)*10+1)</f>
        <v>100080011</v>
      </c>
      <c r="B169" s="153" t="s">
        <v>459</v>
      </c>
      <c r="C169" s="186">
        <f ca="1">OFFSET(card!$J$1,MATCH(skill!B169,card!B:B,0)-1,0)</f>
        <v>1</v>
      </c>
      <c r="D169" s="186">
        <f ca="1">OFFSET(card!$K$1,MATCH(B169,card!B:B,0)-1,0)</f>
        <v>2</v>
      </c>
      <c r="E169" s="186" t="s">
        <v>1221</v>
      </c>
      <c r="F169" s="1"/>
      <c r="G169" s="1"/>
      <c r="H169" s="1"/>
      <c r="I169" s="1"/>
      <c r="O169" s="1"/>
      <c r="Q169">
        <f ca="1">(1-(10000/(10000+O169)))*OFFSET(card!$L$1,MATCH(B170,card!B:B,0)-1,0)</f>
        <v>0</v>
      </c>
    </row>
    <row r="170" spans="1:5">
      <c r="A170" s="153">
        <f ca="1">IF(B170=B169,A169+1,OFFSET(card!$A$1,MATCH(B170,card!B:B,0)-1,0)*10+1)</f>
        <v>300090011</v>
      </c>
      <c r="B170" s="79" t="s">
        <v>467</v>
      </c>
      <c r="C170" s="186">
        <f ca="1">OFFSET(card!$J$1,MATCH(skill!B170,card!B:B,0)-1,0)</f>
        <v>1</v>
      </c>
      <c r="D170" s="186">
        <f ca="1">OFFSET(card!$K$1,MATCH(B170,card!B:B,0)-1,0)</f>
        <v>2</v>
      </c>
      <c r="E170" s="186" t="s">
        <v>1221</v>
      </c>
    </row>
    <row r="171" spans="1:5">
      <c r="A171" s="153">
        <f ca="1">IF(B171=B170,A170+1,OFFSET(card!$A$1,MATCH(B171,card!B:B,0)-1,0)*10+1)</f>
        <v>300100011</v>
      </c>
      <c r="B171" s="79" t="s">
        <v>469</v>
      </c>
      <c r="C171" s="186">
        <f ca="1">OFFSET(card!$J$1,MATCH(skill!B171,card!B:B,0)-1,0)</f>
        <v>1</v>
      </c>
      <c r="D171" s="186">
        <f ca="1">OFFSET(card!$K$1,MATCH(B171,card!B:B,0)-1,0)</f>
        <v>2</v>
      </c>
      <c r="E171" s="186" t="s">
        <v>1221</v>
      </c>
    </row>
  </sheetData>
  <autoFilter xmlns:etc="http://www.wps.cn/officeDocument/2017/etCustomData" ref="A5:V251" etc:filterBottomFollowUsedRange="0">
    <extLst/>
  </autoFilter>
  <conditionalFormatting sqref="A16">
    <cfRule type="duplicateValues" dxfId="9" priority="31"/>
  </conditionalFormatting>
  <conditionalFormatting sqref="A17">
    <cfRule type="duplicateValues" dxfId="9" priority="30"/>
  </conditionalFormatting>
  <conditionalFormatting sqref="A18">
    <cfRule type="duplicateValues" dxfId="9" priority="29"/>
  </conditionalFormatting>
  <conditionalFormatting sqref="A19">
    <cfRule type="duplicateValues" dxfId="9" priority="28"/>
  </conditionalFormatting>
  <conditionalFormatting sqref="A20">
    <cfRule type="duplicateValues" dxfId="9" priority="27"/>
  </conditionalFormatting>
  <conditionalFormatting sqref="A21">
    <cfRule type="duplicateValues" dxfId="9" priority="26"/>
  </conditionalFormatting>
  <conditionalFormatting sqref="A22">
    <cfRule type="duplicateValues" dxfId="9" priority="25"/>
  </conditionalFormatting>
  <conditionalFormatting sqref="A23">
    <cfRule type="duplicateValues" dxfId="9" priority="24"/>
  </conditionalFormatting>
  <conditionalFormatting sqref="A24">
    <cfRule type="duplicateValues" dxfId="9" priority="23"/>
  </conditionalFormatting>
  <conditionalFormatting sqref="A25">
    <cfRule type="duplicateValues" dxfId="9" priority="22"/>
  </conditionalFormatting>
  <conditionalFormatting sqref="A26">
    <cfRule type="duplicateValues" dxfId="9" priority="21"/>
  </conditionalFormatting>
  <conditionalFormatting sqref="A27">
    <cfRule type="duplicateValues" dxfId="9" priority="20"/>
  </conditionalFormatting>
  <conditionalFormatting sqref="A28">
    <cfRule type="duplicateValues" dxfId="9" priority="19"/>
  </conditionalFormatting>
  <conditionalFormatting sqref="A29">
    <cfRule type="duplicateValues" dxfId="9" priority="18"/>
  </conditionalFormatting>
  <conditionalFormatting sqref="A30">
    <cfRule type="duplicateValues" dxfId="9" priority="17"/>
  </conditionalFormatting>
  <conditionalFormatting sqref="A31">
    <cfRule type="duplicateValues" dxfId="9" priority="16"/>
  </conditionalFormatting>
  <conditionalFormatting sqref="A32">
    <cfRule type="duplicateValues" dxfId="9" priority="15"/>
  </conditionalFormatting>
  <conditionalFormatting sqref="A33">
    <cfRule type="duplicateValues" dxfId="9" priority="14"/>
  </conditionalFormatting>
  <conditionalFormatting sqref="A34">
    <cfRule type="duplicateValues" dxfId="9" priority="13"/>
  </conditionalFormatting>
  <conditionalFormatting sqref="A35">
    <cfRule type="duplicateValues" dxfId="9" priority="12"/>
  </conditionalFormatting>
  <conditionalFormatting sqref="A36">
    <cfRule type="duplicateValues" dxfId="9" priority="11"/>
  </conditionalFormatting>
  <conditionalFormatting sqref="A37">
    <cfRule type="duplicateValues" dxfId="9" priority="10"/>
  </conditionalFormatting>
  <conditionalFormatting sqref="A38">
    <cfRule type="duplicateValues" dxfId="9" priority="9"/>
  </conditionalFormatting>
  <conditionalFormatting sqref="A39">
    <cfRule type="duplicateValues" dxfId="9" priority="8"/>
  </conditionalFormatting>
  <conditionalFormatting sqref="A40">
    <cfRule type="duplicateValues" dxfId="9" priority="7"/>
  </conditionalFormatting>
  <conditionalFormatting sqref="A41">
    <cfRule type="duplicateValues" dxfId="9" priority="6"/>
  </conditionalFormatting>
  <conditionalFormatting sqref="A42">
    <cfRule type="duplicateValues" dxfId="9" priority="5"/>
  </conditionalFormatting>
  <conditionalFormatting sqref="A43">
    <cfRule type="duplicateValues" dxfId="9" priority="4"/>
  </conditionalFormatting>
  <conditionalFormatting sqref="A44">
    <cfRule type="duplicateValues" dxfId="9" priority="3"/>
  </conditionalFormatting>
  <conditionalFormatting sqref="A45">
    <cfRule type="duplicateValues" dxfId="9" priority="2"/>
  </conditionalFormatting>
  <conditionalFormatting sqref="A81">
    <cfRule type="duplicateValues" dxfId="9" priority="60"/>
  </conditionalFormatting>
  <conditionalFormatting sqref="A82">
    <cfRule type="duplicateValues" dxfId="9" priority="59"/>
  </conditionalFormatting>
  <conditionalFormatting sqref="A83">
    <cfRule type="duplicateValues" dxfId="9" priority="58"/>
  </conditionalFormatting>
  <conditionalFormatting sqref="A84">
    <cfRule type="duplicateValues" dxfId="9" priority="57"/>
  </conditionalFormatting>
  <conditionalFormatting sqref="A85">
    <cfRule type="duplicateValues" dxfId="9" priority="56"/>
  </conditionalFormatting>
  <conditionalFormatting sqref="A86">
    <cfRule type="duplicateValues" dxfId="9" priority="55"/>
  </conditionalFormatting>
  <conditionalFormatting sqref="A87">
    <cfRule type="duplicateValues" dxfId="9" priority="54"/>
  </conditionalFormatting>
  <conditionalFormatting sqref="A88">
    <cfRule type="duplicateValues" dxfId="9" priority="53"/>
  </conditionalFormatting>
  <conditionalFormatting sqref="A89">
    <cfRule type="duplicateValues" dxfId="9" priority="52"/>
  </conditionalFormatting>
  <conditionalFormatting sqref="A90">
    <cfRule type="duplicateValues" dxfId="9" priority="51"/>
  </conditionalFormatting>
  <conditionalFormatting sqref="A91">
    <cfRule type="duplicateValues" dxfId="9" priority="50"/>
  </conditionalFormatting>
  <conditionalFormatting sqref="A92">
    <cfRule type="duplicateValues" dxfId="9" priority="49"/>
  </conditionalFormatting>
  <conditionalFormatting sqref="A93">
    <cfRule type="duplicateValues" dxfId="9" priority="48"/>
  </conditionalFormatting>
  <conditionalFormatting sqref="A94">
    <cfRule type="duplicateValues" dxfId="9" priority="47"/>
  </conditionalFormatting>
  <conditionalFormatting sqref="A95">
    <cfRule type="duplicateValues" dxfId="9" priority="46"/>
  </conditionalFormatting>
  <conditionalFormatting sqref="A96">
    <cfRule type="duplicateValues" dxfId="9" priority="45"/>
  </conditionalFormatting>
  <conditionalFormatting sqref="A97">
    <cfRule type="duplicateValues" dxfId="9" priority="44"/>
  </conditionalFormatting>
  <conditionalFormatting sqref="A98">
    <cfRule type="duplicateValues" dxfId="9" priority="43"/>
  </conditionalFormatting>
  <conditionalFormatting sqref="A99">
    <cfRule type="duplicateValues" dxfId="9" priority="42"/>
  </conditionalFormatting>
  <conditionalFormatting sqref="A100">
    <cfRule type="duplicateValues" dxfId="9" priority="41"/>
  </conditionalFormatting>
  <conditionalFormatting sqref="A101">
    <cfRule type="duplicateValues" dxfId="9" priority="40"/>
  </conditionalFormatting>
  <conditionalFormatting sqref="A102">
    <cfRule type="duplicateValues" dxfId="9" priority="39"/>
  </conditionalFormatting>
  <conditionalFormatting sqref="A103">
    <cfRule type="duplicateValues" dxfId="9" priority="38"/>
  </conditionalFormatting>
  <conditionalFormatting sqref="A104">
    <cfRule type="duplicateValues" dxfId="9" priority="37"/>
  </conditionalFormatting>
  <conditionalFormatting sqref="A105">
    <cfRule type="duplicateValues" dxfId="9" priority="36"/>
  </conditionalFormatting>
  <conditionalFormatting sqref="A106">
    <cfRule type="duplicateValues" dxfId="9" priority="35"/>
  </conditionalFormatting>
  <conditionalFormatting sqref="A107">
    <cfRule type="duplicateValues" dxfId="9" priority="34"/>
  </conditionalFormatting>
  <conditionalFormatting sqref="A108">
    <cfRule type="duplicateValues" dxfId="9" priority="33"/>
  </conditionalFormatting>
  <conditionalFormatting sqref="A109">
    <cfRule type="duplicateValues" dxfId="9" priority="32"/>
  </conditionalFormatting>
  <conditionalFormatting sqref="B126">
    <cfRule type="duplicateValues" dxfId="9" priority="61"/>
  </conditionalFormatting>
  <conditionalFormatting sqref="B135">
    <cfRule type="duplicateValues" dxfId="9" priority="62"/>
  </conditionalFormatting>
  <conditionalFormatting sqref="B169">
    <cfRule type="duplicateValues" dxfId="9" priority="64"/>
  </conditionalFormatting>
  <conditionalFormatting sqref="A157:A161">
    <cfRule type="duplicateValues" dxfId="9" priority="1"/>
  </conditionalFormatting>
  <conditionalFormatting sqref="B167:B168">
    <cfRule type="duplicateValues" dxfId="9" priority="65"/>
  </conditionalFormatting>
  <conditionalFormatting sqref="A1:A15 A46:A80 A110:A156 A162:A1048576">
    <cfRule type="duplicateValues" dxfId="9" priority="68"/>
  </conditionalFormatting>
  <conditionalFormatting sqref="B1:B5 B172:B1048576">
    <cfRule type="duplicateValues" dxfId="9" priority="67"/>
  </conditionalFormatting>
  <conditionalFormatting sqref="B64 B60:B61">
    <cfRule type="duplicateValues" dxfId="9" priority="63"/>
  </conditionalFormatting>
  <conditionalFormatting sqref="B166 B163:B164">
    <cfRule type="duplicateValues" dxfId="9" priority="66"/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E15"/>
  <sheetViews>
    <sheetView tabSelected="1" workbookViewId="0">
      <selection activeCell="I24" sqref="I24"/>
    </sheetView>
  </sheetViews>
  <sheetFormatPr defaultColWidth="9" defaultRowHeight="13.85" outlineLevelCol="4"/>
  <cols>
    <col min="3" max="3" width="12.8761061946903" customWidth="1"/>
  </cols>
  <sheetData>
    <row r="1" spans="1:1">
      <c r="A1" t="s">
        <v>1222</v>
      </c>
    </row>
    <row r="2" ht="86.1" customHeight="1" spans="1:5">
      <c r="A2" t="s">
        <v>270</v>
      </c>
      <c r="B2" t="s">
        <v>1223</v>
      </c>
      <c r="C2" t="s">
        <v>1224</v>
      </c>
      <c r="D2" s="179" t="s">
        <v>534</v>
      </c>
      <c r="E2" s="179" t="s">
        <v>1225</v>
      </c>
    </row>
    <row r="3" spans="1:5">
      <c r="A3" t="s">
        <v>109</v>
      </c>
      <c r="B3" t="s">
        <v>109</v>
      </c>
      <c r="D3" t="s">
        <v>109</v>
      </c>
      <c r="E3" t="s">
        <v>109</v>
      </c>
    </row>
    <row r="4" spans="1:5">
      <c r="A4" t="s">
        <v>62</v>
      </c>
      <c r="B4" t="s">
        <v>50</v>
      </c>
      <c r="D4" t="s">
        <v>560</v>
      </c>
      <c r="E4" t="s">
        <v>1049</v>
      </c>
    </row>
    <row r="5" spans="1:5">
      <c r="A5" t="s">
        <v>62</v>
      </c>
      <c r="B5" t="s">
        <v>50</v>
      </c>
      <c r="D5" t="s">
        <v>560</v>
      </c>
      <c r="E5" t="s">
        <v>1049</v>
      </c>
    </row>
    <row r="6" spans="1:5">
      <c r="A6">
        <v>1</v>
      </c>
      <c r="B6">
        <v>1</v>
      </c>
      <c r="C6" t="s">
        <v>1226</v>
      </c>
      <c r="D6">
        <v>1</v>
      </c>
      <c r="E6">
        <v>31001</v>
      </c>
    </row>
    <row r="7" spans="1:5">
      <c r="A7">
        <v>2</v>
      </c>
      <c r="B7">
        <v>1</v>
      </c>
      <c r="C7" t="s">
        <v>1227</v>
      </c>
      <c r="D7">
        <v>2</v>
      </c>
      <c r="E7">
        <v>31002</v>
      </c>
    </row>
    <row r="8" spans="1:5">
      <c r="A8">
        <v>3</v>
      </c>
      <c r="B8">
        <v>1</v>
      </c>
      <c r="C8" t="s">
        <v>1228</v>
      </c>
      <c r="D8">
        <v>3</v>
      </c>
      <c r="E8">
        <v>31003</v>
      </c>
    </row>
    <row r="9" spans="1:5">
      <c r="A9">
        <v>4</v>
      </c>
      <c r="B9">
        <v>1</v>
      </c>
      <c r="C9" t="s">
        <v>1229</v>
      </c>
      <c r="D9">
        <v>4</v>
      </c>
      <c r="E9">
        <v>31004</v>
      </c>
    </row>
    <row r="10" spans="1:5">
      <c r="A10">
        <v>5</v>
      </c>
      <c r="B10">
        <v>1</v>
      </c>
      <c r="C10" t="s">
        <v>1230</v>
      </c>
      <c r="D10">
        <v>5</v>
      </c>
      <c r="E10">
        <v>31005</v>
      </c>
    </row>
    <row r="11" spans="1:5">
      <c r="A11">
        <v>6</v>
      </c>
      <c r="B11">
        <v>2</v>
      </c>
      <c r="C11" t="s">
        <v>1231</v>
      </c>
      <c r="D11">
        <v>1</v>
      </c>
      <c r="E11">
        <v>31006</v>
      </c>
    </row>
    <row r="12" spans="1:5">
      <c r="A12">
        <v>7</v>
      </c>
      <c r="B12">
        <v>2</v>
      </c>
      <c r="C12" t="s">
        <v>1232</v>
      </c>
      <c r="D12">
        <v>2</v>
      </c>
      <c r="E12">
        <v>31007</v>
      </c>
    </row>
    <row r="13" spans="1:5">
      <c r="A13">
        <v>8</v>
      </c>
      <c r="B13">
        <v>2</v>
      </c>
      <c r="C13" t="s">
        <v>1233</v>
      </c>
      <c r="D13">
        <v>3</v>
      </c>
      <c r="E13">
        <v>31008</v>
      </c>
    </row>
    <row r="14" spans="1:5">
      <c r="A14">
        <v>9</v>
      </c>
      <c r="B14">
        <v>2</v>
      </c>
      <c r="C14" t="s">
        <v>1234</v>
      </c>
      <c r="D14">
        <v>4</v>
      </c>
      <c r="E14">
        <v>31009</v>
      </c>
    </row>
    <row r="15" spans="1:5">
      <c r="A15">
        <v>10</v>
      </c>
      <c r="B15">
        <v>2</v>
      </c>
      <c r="C15" t="s">
        <v>1235</v>
      </c>
      <c r="D15">
        <v>5</v>
      </c>
      <c r="E15">
        <v>31010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418"/>
  <sheetViews>
    <sheetView zoomScale="71" zoomScaleNormal="71" workbookViewId="0">
      <pane xSplit="3" ySplit="5" topLeftCell="J14" activePane="bottomRight" state="frozen"/>
      <selection/>
      <selection pane="topRight"/>
      <selection pane="bottomLeft"/>
      <selection pane="bottomRight" activeCell="J2" sqref="J2"/>
    </sheetView>
  </sheetViews>
  <sheetFormatPr defaultColWidth="9" defaultRowHeight="15"/>
  <cols>
    <col min="1" max="1" width="8.3716814159292" style="153" customWidth="1"/>
    <col min="2" max="2" width="10.1238938053097" style="186" customWidth="1"/>
    <col min="3" max="3" width="41.6283185840708" style="179" customWidth="1"/>
    <col min="4" max="4" width="4.3716814159292" customWidth="1"/>
    <col min="5" max="5" width="11.1238938053097" style="179" customWidth="1"/>
    <col min="6" max="6" width="7" style="179" customWidth="1"/>
    <col min="7" max="7" width="7.87610619469027" customWidth="1"/>
    <col min="8" max="10" width="12.2477876106195" customWidth="1"/>
    <col min="11" max="11" width="8.12389380530973" customWidth="1"/>
    <col min="12" max="12" width="9.3716814159292" customWidth="1"/>
    <col min="13" max="13" width="10.6283185840708" customWidth="1"/>
    <col min="14" max="14" width="10.8761061946903" customWidth="1"/>
    <col min="15" max="15" width="11.2477876106195" customWidth="1"/>
    <col min="16" max="16" width="13.7522123893805" customWidth="1"/>
    <col min="17" max="17" width="8.75221238938053" customWidth="1"/>
    <col min="18" max="18" width="11" customWidth="1"/>
    <col min="19" max="19" width="6.87610619469027" customWidth="1"/>
    <col min="20" max="20" width="9.3716814159292" customWidth="1"/>
    <col min="21" max="21" width="7.87610619469027" customWidth="1"/>
    <col min="22" max="22" width="11.1238938053097" customWidth="1"/>
    <col min="23" max="23" width="9.50442477876106" customWidth="1"/>
    <col min="24" max="24" width="8.75221238938053" customWidth="1"/>
    <col min="25" max="25" width="9.75221238938053" style="153" customWidth="1"/>
    <col min="26" max="26" width="8.3716814159292" style="153" customWidth="1"/>
    <col min="27" max="28" width="12.3716814159292" customWidth="1"/>
    <col min="29" max="29" width="15.8761061946903" customWidth="1"/>
    <col min="30" max="30" width="9.24778761061947" customWidth="1"/>
    <col min="31" max="31" width="10.3716814159292" customWidth="1"/>
    <col min="32" max="32" width="8.24778761061947" customWidth="1"/>
    <col min="33" max="33" width="13.2477876106195" customWidth="1"/>
    <col min="34" max="34" width="12.6283185840708"/>
  </cols>
  <sheetData>
    <row r="1" ht="114" customHeight="1" spans="1:35">
      <c r="A1" s="153" t="s">
        <v>16</v>
      </c>
      <c r="C1" s="3"/>
      <c r="D1" s="153"/>
      <c r="E1" s="3"/>
      <c r="F1" s="3"/>
      <c r="G1" s="153"/>
      <c r="H1" s="153"/>
      <c r="I1" s="153"/>
      <c r="J1" s="153"/>
      <c r="K1" s="153"/>
      <c r="M1" s="169"/>
      <c r="N1" s="286" t="s">
        <v>1145</v>
      </c>
      <c r="O1" s="286" t="s">
        <v>1146</v>
      </c>
      <c r="P1" s="286"/>
      <c r="Q1" s="286"/>
      <c r="R1" s="286"/>
      <c r="S1" s="288"/>
      <c r="T1" s="288"/>
      <c r="U1" s="288"/>
      <c r="V1" s="289" t="s">
        <v>1236</v>
      </c>
      <c r="W1" s="1"/>
      <c r="X1" t="s">
        <v>1237</v>
      </c>
      <c r="Y1" s="169">
        <v>1</v>
      </c>
      <c r="AA1" s="169"/>
      <c r="AB1" s="169" t="s">
        <v>1126</v>
      </c>
      <c r="AC1" s="153">
        <v>6</v>
      </c>
      <c r="AD1" s="153" t="s">
        <v>1148</v>
      </c>
      <c r="AE1" s="1">
        <f>[3]费用分布!$R$8</f>
        <v>2.42990654205607</v>
      </c>
      <c r="AF1" s="1" t="s">
        <v>1149</v>
      </c>
      <c r="AG1">
        <f>AC1*AE1</f>
        <v>14.5794392523364</v>
      </c>
      <c r="AH1" t="s">
        <v>1150</v>
      </c>
      <c r="AI1">
        <v>3</v>
      </c>
    </row>
    <row r="2" ht="135" spans="1:34">
      <c r="A2" s="169" t="s">
        <v>270</v>
      </c>
      <c r="B2" s="186" t="s">
        <v>1238</v>
      </c>
      <c r="C2" s="3" t="s">
        <v>1239</v>
      </c>
      <c r="D2" s="3" t="s">
        <v>997</v>
      </c>
      <c r="E2" s="3" t="s">
        <v>1240</v>
      </c>
      <c r="F2" s="3" t="s">
        <v>1241</v>
      </c>
      <c r="G2" s="285" t="s">
        <v>1154</v>
      </c>
      <c r="H2" s="3" t="s">
        <v>1242</v>
      </c>
      <c r="I2" s="206" t="s">
        <v>1243</v>
      </c>
      <c r="J2" s="206" t="s">
        <v>1244</v>
      </c>
      <c r="K2" s="164" t="s">
        <v>1245</v>
      </c>
      <c r="L2" s="3" t="s">
        <v>1246</v>
      </c>
      <c r="M2" s="287" t="s">
        <v>1247</v>
      </c>
      <c r="N2" s="286" t="s">
        <v>1159</v>
      </c>
      <c r="O2" s="287" t="s">
        <v>1160</v>
      </c>
      <c r="P2" s="287" t="s">
        <v>1248</v>
      </c>
      <c r="Q2" s="164" t="s">
        <v>1249</v>
      </c>
      <c r="R2" s="164" t="s">
        <v>1250</v>
      </c>
      <c r="S2" s="285" t="s">
        <v>1155</v>
      </c>
      <c r="T2" s="285" t="s">
        <v>1251</v>
      </c>
      <c r="U2" s="285" t="s">
        <v>1252</v>
      </c>
      <c r="V2" s="288" t="s">
        <v>1253</v>
      </c>
      <c r="W2" s="288" t="s">
        <v>1162</v>
      </c>
      <c r="X2" s="288" t="s">
        <v>1254</v>
      </c>
      <c r="Y2" s="288" t="s">
        <v>1006</v>
      </c>
      <c r="Z2" s="288" t="s">
        <v>1255</v>
      </c>
      <c r="AA2" s="3" t="s">
        <v>1256</v>
      </c>
      <c r="AB2" s="3" t="s">
        <v>1257</v>
      </c>
      <c r="AC2" s="3" t="s">
        <v>1258</v>
      </c>
      <c r="AD2" s="3" t="s">
        <v>1259</v>
      </c>
      <c r="AE2" s="3" t="s">
        <v>550</v>
      </c>
      <c r="AF2" s="3" t="s">
        <v>1260</v>
      </c>
      <c r="AG2" t="s">
        <v>1261</v>
      </c>
      <c r="AH2" t="s">
        <v>1262</v>
      </c>
    </row>
    <row r="3" spans="1:32">
      <c r="A3" s="153" t="s">
        <v>109</v>
      </c>
      <c r="B3" s="186" t="s">
        <v>110</v>
      </c>
      <c r="C3" s="169" t="s">
        <v>110</v>
      </c>
      <c r="D3" s="153"/>
      <c r="E3" s="153" t="s">
        <v>109</v>
      </c>
      <c r="F3" s="153" t="s">
        <v>109</v>
      </c>
      <c r="G3" s="153" t="s">
        <v>109</v>
      </c>
      <c r="H3" s="153" t="s">
        <v>109</v>
      </c>
      <c r="I3" s="173" t="s">
        <v>109</v>
      </c>
      <c r="J3" s="173" t="s">
        <v>109</v>
      </c>
      <c r="K3" s="153" t="s">
        <v>109</v>
      </c>
      <c r="L3" s="153" t="s">
        <v>109</v>
      </c>
      <c r="M3" s="153" t="s">
        <v>109</v>
      </c>
      <c r="N3" s="153" t="s">
        <v>109</v>
      </c>
      <c r="O3" s="153" t="s">
        <v>109</v>
      </c>
      <c r="P3" s="153" t="s">
        <v>109</v>
      </c>
      <c r="Q3" s="290" t="s">
        <v>109</v>
      </c>
      <c r="R3" s="290" t="s">
        <v>109</v>
      </c>
      <c r="S3" s="290" t="s">
        <v>109</v>
      </c>
      <c r="T3" s="290" t="s">
        <v>109</v>
      </c>
      <c r="U3" s="290" t="s">
        <v>109</v>
      </c>
      <c r="V3" s="153" t="s">
        <v>109</v>
      </c>
      <c r="W3" s="153" t="s">
        <v>109</v>
      </c>
      <c r="X3" s="153" t="s">
        <v>109</v>
      </c>
      <c r="Y3" s="153" t="s">
        <v>109</v>
      </c>
      <c r="Z3" s="153" t="s">
        <v>109</v>
      </c>
      <c r="AA3" s="153" t="s">
        <v>109</v>
      </c>
      <c r="AB3" s="153" t="s">
        <v>109</v>
      </c>
      <c r="AC3" s="153" t="s">
        <v>109</v>
      </c>
      <c r="AD3" s="153" t="s">
        <v>109</v>
      </c>
      <c r="AE3" s="153" t="s">
        <v>110</v>
      </c>
      <c r="AF3" s="153" t="s">
        <v>110</v>
      </c>
    </row>
    <row r="4" ht="45" spans="1:32">
      <c r="A4" s="153" t="s">
        <v>270</v>
      </c>
      <c r="B4" s="186" t="s">
        <v>64</v>
      </c>
      <c r="C4" s="3" t="s">
        <v>1029</v>
      </c>
      <c r="D4" s="1"/>
      <c r="E4" s="3" t="s">
        <v>67</v>
      </c>
      <c r="F4" s="3" t="s">
        <v>1263</v>
      </c>
      <c r="G4" s="3" t="s">
        <v>1264</v>
      </c>
      <c r="H4" s="1" t="s">
        <v>1170</v>
      </c>
      <c r="I4" s="97" t="s">
        <v>1265</v>
      </c>
      <c r="J4" s="97" t="s">
        <v>1266</v>
      </c>
      <c r="K4" s="3" t="s">
        <v>1267</v>
      </c>
      <c r="L4" s="1" t="s">
        <v>1268</v>
      </c>
      <c r="M4" s="1" t="s">
        <v>1269</v>
      </c>
      <c r="N4" s="3" t="s">
        <v>1171</v>
      </c>
      <c r="O4" s="3" t="s">
        <v>1172</v>
      </c>
      <c r="P4" s="3" t="s">
        <v>1270</v>
      </c>
      <c r="Q4" s="285" t="s">
        <v>1271</v>
      </c>
      <c r="R4" s="285" t="s">
        <v>1272</v>
      </c>
      <c r="S4" s="285" t="s">
        <v>1167</v>
      </c>
      <c r="T4" s="285" t="s">
        <v>1169</v>
      </c>
      <c r="U4" s="285" t="s">
        <v>1273</v>
      </c>
      <c r="V4" s="3" t="s">
        <v>1049</v>
      </c>
      <c r="W4" s="3" t="s">
        <v>1173</v>
      </c>
      <c r="X4" s="3" t="s">
        <v>1274</v>
      </c>
      <c r="Y4" s="153" t="s">
        <v>1036</v>
      </c>
      <c r="Z4" s="153" t="s">
        <v>1037</v>
      </c>
      <c r="AA4" s="1" t="s">
        <v>1275</v>
      </c>
      <c r="AB4" s="3" t="s">
        <v>1276</v>
      </c>
      <c r="AC4" s="3" t="s">
        <v>1277</v>
      </c>
      <c r="AD4" s="1" t="s">
        <v>1031</v>
      </c>
      <c r="AE4" s="1" t="s">
        <v>571</v>
      </c>
      <c r="AF4" s="1" t="s">
        <v>1278</v>
      </c>
    </row>
    <row r="5" ht="21.95" customHeight="1" spans="1:32">
      <c r="A5" s="153" t="s">
        <v>270</v>
      </c>
      <c r="C5" s="3"/>
      <c r="D5" s="1"/>
      <c r="E5" s="3" t="s">
        <v>67</v>
      </c>
      <c r="F5" s="3" t="s">
        <v>1263</v>
      </c>
      <c r="G5" s="3" t="s">
        <v>1264</v>
      </c>
      <c r="H5" s="1" t="s">
        <v>1170</v>
      </c>
      <c r="I5" s="1"/>
      <c r="J5" s="1"/>
      <c r="K5" s="3" t="s">
        <v>1267</v>
      </c>
      <c r="L5" s="1" t="s">
        <v>1268</v>
      </c>
      <c r="M5" s="1" t="s">
        <v>1269</v>
      </c>
      <c r="N5" s="3" t="s">
        <v>1171</v>
      </c>
      <c r="O5" s="3" t="s">
        <v>1172</v>
      </c>
      <c r="P5" s="3" t="s">
        <v>1270</v>
      </c>
      <c r="Q5" s="285" t="s">
        <v>1271</v>
      </c>
      <c r="R5" s="285" t="s">
        <v>1272</v>
      </c>
      <c r="S5" s="285" t="s">
        <v>1167</v>
      </c>
      <c r="T5" s="285" t="s">
        <v>1169</v>
      </c>
      <c r="U5" s="285" t="s">
        <v>1273</v>
      </c>
      <c r="V5" s="3" t="s">
        <v>1049</v>
      </c>
      <c r="W5" s="3" t="s">
        <v>1173</v>
      </c>
      <c r="X5" s="3" t="s">
        <v>1274</v>
      </c>
      <c r="Y5" s="153" t="s">
        <v>1036</v>
      </c>
      <c r="Z5" s="153" t="s">
        <v>1037</v>
      </c>
      <c r="AA5" s="1" t="s">
        <v>1275</v>
      </c>
      <c r="AB5" s="3" t="s">
        <v>1276</v>
      </c>
      <c r="AC5" s="3" t="s">
        <v>1277</v>
      </c>
      <c r="AD5" s="1" t="s">
        <v>1031</v>
      </c>
      <c r="AE5" s="1"/>
      <c r="AF5" s="1"/>
    </row>
    <row r="6" spans="1:34">
      <c r="A6" s="153">
        <v>1</v>
      </c>
      <c r="B6" s="186" t="s">
        <v>526</v>
      </c>
      <c r="C6" s="3" t="s">
        <v>1279</v>
      </c>
      <c r="D6" s="1">
        <v>1</v>
      </c>
      <c r="E6" s="3">
        <v>1</v>
      </c>
      <c r="F6" s="3">
        <v>2</v>
      </c>
      <c r="G6" s="3">
        <v>7</v>
      </c>
      <c r="H6" s="1">
        <v>1</v>
      </c>
      <c r="I6" s="97">
        <v>25</v>
      </c>
      <c r="J6" s="1">
        <v>18</v>
      </c>
      <c r="K6" s="3">
        <v>4</v>
      </c>
      <c r="L6" s="1">
        <v>1</v>
      </c>
      <c r="M6" s="1">
        <v>0</v>
      </c>
      <c r="N6" s="3">
        <v>2</v>
      </c>
      <c r="O6" s="3">
        <v>4</v>
      </c>
      <c r="P6" s="3"/>
      <c r="Q6" s="3">
        <v>1</v>
      </c>
      <c r="R6" s="3">
        <v>10000</v>
      </c>
      <c r="S6" s="3"/>
      <c r="T6" s="3"/>
      <c r="U6" s="3"/>
      <c r="V6" s="3"/>
      <c r="W6" s="3">
        <v>2</v>
      </c>
      <c r="X6" s="3">
        <v>700</v>
      </c>
      <c r="AA6" s="1">
        <v>9999</v>
      </c>
      <c r="AB6" s="3">
        <v>1</v>
      </c>
      <c r="AC6" s="3">
        <v>2</v>
      </c>
      <c r="AD6" s="1">
        <v>0</v>
      </c>
      <c r="AE6" s="107" t="s">
        <v>1280</v>
      </c>
      <c r="AF6" s="1"/>
      <c r="AG6">
        <v>5</v>
      </c>
      <c r="AH6">
        <v>1</v>
      </c>
    </row>
    <row r="7" ht="30" spans="1:34">
      <c r="A7" s="153">
        <v>2</v>
      </c>
      <c r="B7" s="186" t="s">
        <v>1281</v>
      </c>
      <c r="C7" s="3" t="s">
        <v>1282</v>
      </c>
      <c r="D7" s="1">
        <v>1</v>
      </c>
      <c r="E7" s="3">
        <v>1</v>
      </c>
      <c r="F7" s="3">
        <v>2</v>
      </c>
      <c r="G7" s="3">
        <v>2</v>
      </c>
      <c r="H7" s="1">
        <v>1</v>
      </c>
      <c r="I7" s="169">
        <v>42</v>
      </c>
      <c r="J7" s="1">
        <v>21</v>
      </c>
      <c r="K7" s="3">
        <v>4</v>
      </c>
      <c r="L7" s="1">
        <v>1</v>
      </c>
      <c r="M7" s="1">
        <v>1</v>
      </c>
      <c r="N7" s="3"/>
      <c r="O7" s="3"/>
      <c r="P7" s="3"/>
      <c r="Q7" s="3">
        <v>1</v>
      </c>
      <c r="R7" s="3">
        <v>10000</v>
      </c>
      <c r="S7" s="3"/>
      <c r="T7" s="3"/>
      <c r="U7" s="3"/>
      <c r="V7" s="3"/>
      <c r="W7" s="3">
        <v>2</v>
      </c>
      <c r="X7" s="3">
        <v>1500</v>
      </c>
      <c r="AA7" s="1">
        <v>9999</v>
      </c>
      <c r="AB7" s="3">
        <v>1</v>
      </c>
      <c r="AC7" s="3">
        <v>2</v>
      </c>
      <c r="AD7" s="1">
        <v>3</v>
      </c>
      <c r="AE7" s="107" t="s">
        <v>1283</v>
      </c>
      <c r="AF7" s="1"/>
      <c r="AG7">
        <v>5</v>
      </c>
      <c r="AH7">
        <v>1</v>
      </c>
    </row>
    <row r="8" spans="1:34">
      <c r="A8" s="153">
        <v>3</v>
      </c>
      <c r="B8" s="186" t="s">
        <v>1284</v>
      </c>
      <c r="C8" s="3" t="s">
        <v>1285</v>
      </c>
      <c r="D8" s="1">
        <v>1</v>
      </c>
      <c r="E8" s="3">
        <v>1</v>
      </c>
      <c r="F8" s="3">
        <v>1</v>
      </c>
      <c r="G8" s="3">
        <v>4</v>
      </c>
      <c r="H8" s="1">
        <v>2</v>
      </c>
      <c r="I8" s="97">
        <v>25</v>
      </c>
      <c r="J8" s="1">
        <v>17</v>
      </c>
      <c r="K8" s="3">
        <v>2</v>
      </c>
      <c r="L8" s="1">
        <v>1</v>
      </c>
      <c r="M8" s="1">
        <v>0</v>
      </c>
      <c r="N8" s="3"/>
      <c r="O8" s="3"/>
      <c r="P8" s="3"/>
      <c r="Q8" s="3"/>
      <c r="R8" s="3">
        <v>10000</v>
      </c>
      <c r="S8" s="3"/>
      <c r="T8" s="3"/>
      <c r="U8" s="3"/>
      <c r="V8" s="3"/>
      <c r="W8" s="3">
        <v>1</v>
      </c>
      <c r="X8" s="3">
        <v>20</v>
      </c>
      <c r="Y8" s="153">
        <v>2</v>
      </c>
      <c r="Z8" s="153">
        <v>3</v>
      </c>
      <c r="AA8" s="1">
        <v>9999</v>
      </c>
      <c r="AB8" s="3">
        <v>1</v>
      </c>
      <c r="AC8" s="3">
        <v>2</v>
      </c>
      <c r="AD8" s="1">
        <v>0</v>
      </c>
      <c r="AE8" s="107" t="s">
        <v>1286</v>
      </c>
      <c r="AF8" s="1"/>
      <c r="AG8">
        <f>Z8*$Y$1/AH8</f>
        <v>3.75</v>
      </c>
      <c r="AH8">
        <v>0.8</v>
      </c>
    </row>
    <row r="9" spans="1:31">
      <c r="A9" s="153">
        <v>5</v>
      </c>
      <c r="B9" s="186" t="s">
        <v>1287</v>
      </c>
      <c r="C9" s="186" t="s">
        <v>1288</v>
      </c>
      <c r="D9" s="186">
        <v>2</v>
      </c>
      <c r="E9" s="3">
        <v>1</v>
      </c>
      <c r="F9" s="186">
        <v>1</v>
      </c>
      <c r="G9" s="1">
        <v>5</v>
      </c>
      <c r="H9" s="1">
        <v>2</v>
      </c>
      <c r="I9" s="1"/>
      <c r="J9" s="1"/>
      <c r="K9" s="1">
        <v>3</v>
      </c>
      <c r="L9" s="1">
        <v>2</v>
      </c>
      <c r="M9" s="1">
        <v>1</v>
      </c>
      <c r="N9" s="1"/>
      <c r="O9" s="1"/>
      <c r="P9" s="1"/>
      <c r="Q9" s="1">
        <v>1</v>
      </c>
      <c r="R9" s="3">
        <v>10000</v>
      </c>
      <c r="T9" s="1"/>
      <c r="U9" s="1"/>
      <c r="V9" s="1"/>
      <c r="W9" s="1"/>
      <c r="X9" s="1"/>
      <c r="AA9" s="1">
        <v>1</v>
      </c>
      <c r="AB9" s="3"/>
      <c r="AC9" s="1"/>
      <c r="AD9" s="1"/>
      <c r="AE9" s="107" t="s">
        <v>1289</v>
      </c>
    </row>
    <row r="10" spans="1:31">
      <c r="A10" s="153">
        <v>6</v>
      </c>
      <c r="B10" s="186" t="s">
        <v>1290</v>
      </c>
      <c r="C10" s="186" t="s">
        <v>1291</v>
      </c>
      <c r="D10" s="186">
        <v>2</v>
      </c>
      <c r="E10" s="3">
        <v>1</v>
      </c>
      <c r="F10" s="186">
        <v>2</v>
      </c>
      <c r="G10" s="1">
        <v>24</v>
      </c>
      <c r="H10" s="1">
        <v>1</v>
      </c>
      <c r="I10" s="1"/>
      <c r="J10" s="1"/>
      <c r="K10" s="1">
        <v>1</v>
      </c>
      <c r="L10" s="1">
        <v>1</v>
      </c>
      <c r="M10" s="1">
        <v>1</v>
      </c>
      <c r="N10" s="1"/>
      <c r="O10" s="1"/>
      <c r="P10" s="1"/>
      <c r="Q10" s="1"/>
      <c r="R10" s="3">
        <v>10000</v>
      </c>
      <c r="T10" s="1"/>
      <c r="U10" s="1"/>
      <c r="V10" s="1"/>
      <c r="W10" s="1">
        <v>1</v>
      </c>
      <c r="X10" s="1">
        <v>1</v>
      </c>
      <c r="AA10" s="1">
        <v>1</v>
      </c>
      <c r="AB10" s="3">
        <v>1</v>
      </c>
      <c r="AC10" s="1">
        <v>2</v>
      </c>
      <c r="AD10" s="1"/>
      <c r="AE10" s="107"/>
    </row>
    <row r="11" spans="1:31">
      <c r="A11" s="153">
        <v>7</v>
      </c>
      <c r="B11" s="186" t="s">
        <v>1292</v>
      </c>
      <c r="C11" s="186" t="s">
        <v>1293</v>
      </c>
      <c r="D11" s="186">
        <v>2</v>
      </c>
      <c r="E11" s="3">
        <v>1</v>
      </c>
      <c r="F11" s="186">
        <v>1</v>
      </c>
      <c r="G11" s="1">
        <v>23</v>
      </c>
      <c r="H11" s="1">
        <v>1</v>
      </c>
      <c r="I11" s="1"/>
      <c r="J11" s="1"/>
      <c r="K11" s="1">
        <v>1</v>
      </c>
      <c r="L11" s="1">
        <v>1</v>
      </c>
      <c r="M11" s="1">
        <v>1</v>
      </c>
      <c r="N11" s="1"/>
      <c r="O11" s="1"/>
      <c r="P11" s="1"/>
      <c r="Q11" s="1"/>
      <c r="R11" s="3">
        <v>10000</v>
      </c>
      <c r="T11" s="1"/>
      <c r="U11" s="1"/>
      <c r="V11" s="1"/>
      <c r="W11" s="1">
        <v>1</v>
      </c>
      <c r="X11" s="1">
        <v>1</v>
      </c>
      <c r="AA11" s="1">
        <v>1</v>
      </c>
      <c r="AB11" s="3">
        <v>1</v>
      </c>
      <c r="AC11" s="1">
        <v>2</v>
      </c>
      <c r="AD11" s="1"/>
      <c r="AE11" s="107"/>
    </row>
    <row r="12" spans="1:34">
      <c r="A12" s="153">
        <v>8</v>
      </c>
      <c r="B12" s="186" t="s">
        <v>377</v>
      </c>
      <c r="C12" s="186" t="s">
        <v>1052</v>
      </c>
      <c r="D12" s="186">
        <v>1</v>
      </c>
      <c r="E12" s="3">
        <v>1</v>
      </c>
      <c r="F12" s="186">
        <v>1</v>
      </c>
      <c r="G12" s="1">
        <v>9</v>
      </c>
      <c r="H12" s="1">
        <v>2</v>
      </c>
      <c r="I12" s="1"/>
      <c r="J12" s="1"/>
      <c r="K12" s="1">
        <v>3</v>
      </c>
      <c r="L12" s="1">
        <v>1</v>
      </c>
      <c r="M12" s="1">
        <v>1</v>
      </c>
      <c r="Q12" s="1">
        <v>1</v>
      </c>
      <c r="R12" s="3">
        <v>10000</v>
      </c>
      <c r="S12" s="1"/>
      <c r="T12" s="1"/>
      <c r="U12" s="1"/>
      <c r="W12" s="1">
        <v>2</v>
      </c>
      <c r="X12" s="1">
        <v>1500</v>
      </c>
      <c r="AA12">
        <v>2</v>
      </c>
      <c r="AB12" s="3"/>
      <c r="AC12" s="1"/>
      <c r="AE12" s="107" t="s">
        <v>1294</v>
      </c>
      <c r="AG12" t="e">
        <f ca="1">OFFSET(buff的资质计算!$M$1,MATCH(buff!D12,buff的资质计算!G:G,0)-1,0)*(OFFSET(buff的资质计算!$N$1,MATCH(buff!D12,buff的资质计算!G:G,0)-1,0)*AA12-1)*X12/10000</f>
        <v>#VALUE!</v>
      </c>
      <c r="AH12" t="e">
        <f ca="1">AG12/OFFSET(buff的资质计算!$L$1,MATCH(buff!D12,buff的资质计算!G:G,0)-1,0)</f>
        <v>#VALUE!</v>
      </c>
    </row>
    <row r="13" spans="1:34">
      <c r="A13" s="153">
        <v>10</v>
      </c>
      <c r="B13" s="91" t="s">
        <v>652</v>
      </c>
      <c r="C13" s="186" t="s">
        <v>1295</v>
      </c>
      <c r="D13" s="186">
        <v>2</v>
      </c>
      <c r="E13" s="3">
        <v>1</v>
      </c>
      <c r="F13" s="186">
        <v>1</v>
      </c>
      <c r="G13" s="1">
        <v>6</v>
      </c>
      <c r="H13" s="1">
        <v>1</v>
      </c>
      <c r="I13" s="1"/>
      <c r="J13" s="1"/>
      <c r="K13" s="1">
        <v>1</v>
      </c>
      <c r="L13" s="1">
        <v>1</v>
      </c>
      <c r="M13" s="1">
        <v>1</v>
      </c>
      <c r="N13" s="1"/>
      <c r="O13" s="1"/>
      <c r="P13" s="1"/>
      <c r="Q13" s="1"/>
      <c r="R13" s="3">
        <v>10000</v>
      </c>
      <c r="S13" s="1"/>
      <c r="T13" s="1"/>
      <c r="U13" s="1"/>
      <c r="V13" s="1"/>
      <c r="W13" s="1">
        <v>1</v>
      </c>
      <c r="X13" s="1" t="e">
        <f ca="1">card!$S$1*AG13/AA13*buff的资质计算!$E$2</f>
        <v>#VALUE!</v>
      </c>
      <c r="Y13" s="153">
        <v>2</v>
      </c>
      <c r="Z13" s="153" t="e">
        <f ca="1">AG13*card!$W$1*buff的资质计算!$E$2</f>
        <v>#VALUE!</v>
      </c>
      <c r="AA13" s="1">
        <v>2</v>
      </c>
      <c r="AB13" s="3"/>
      <c r="AC13" s="1"/>
      <c r="AE13" s="107" t="s">
        <v>1296</v>
      </c>
      <c r="AG13" t="e">
        <f ca="1">AH13*OFFSET(buff的资质计算!$L$1,MATCH(buff!D13,buff的资质计算!G:G,0)-1,0)</f>
        <v>#VALUE!</v>
      </c>
      <c r="AH13">
        <v>2</v>
      </c>
    </row>
    <row r="14" spans="1:34">
      <c r="A14" s="153">
        <v>11</v>
      </c>
      <c r="B14" s="186" t="s">
        <v>397</v>
      </c>
      <c r="C14" s="186" t="s">
        <v>1288</v>
      </c>
      <c r="D14" s="186">
        <v>2</v>
      </c>
      <c r="E14" s="3">
        <v>1</v>
      </c>
      <c r="F14" s="186">
        <v>1</v>
      </c>
      <c r="G14" s="1">
        <v>5</v>
      </c>
      <c r="H14" s="1">
        <v>2</v>
      </c>
      <c r="I14" s="1"/>
      <c r="J14" s="1"/>
      <c r="K14" s="1">
        <v>3</v>
      </c>
      <c r="L14" s="1">
        <v>2</v>
      </c>
      <c r="M14" s="1">
        <v>1</v>
      </c>
      <c r="N14" s="1"/>
      <c r="O14" s="1"/>
      <c r="P14" s="1"/>
      <c r="Q14" s="1">
        <v>1</v>
      </c>
      <c r="R14" s="3">
        <v>10000</v>
      </c>
      <c r="S14" s="1"/>
      <c r="T14" s="1"/>
      <c r="U14" s="1"/>
      <c r="V14" s="1"/>
      <c r="W14" s="1"/>
      <c r="X14" s="1"/>
      <c r="AA14" s="1">
        <v>1</v>
      </c>
      <c r="AB14" s="3"/>
      <c r="AC14" s="1"/>
      <c r="AD14" s="1"/>
      <c r="AE14" s="107" t="s">
        <v>1289</v>
      </c>
      <c r="AG14" t="e">
        <f ca="1">AH14*OFFSET(buff的资质计算!$L$1,MATCH(buff!D14,buff的资质计算!G:G,0)-1,0)*AA14</f>
        <v>#VALUE!</v>
      </c>
      <c r="AH14">
        <v>2</v>
      </c>
    </row>
    <row r="15" spans="1:34">
      <c r="A15" s="153">
        <v>12</v>
      </c>
      <c r="B15" s="186" t="s">
        <v>1297</v>
      </c>
      <c r="C15" s="186" t="s">
        <v>1298</v>
      </c>
      <c r="D15" s="186">
        <v>6</v>
      </c>
      <c r="E15" s="3">
        <v>1</v>
      </c>
      <c r="F15" s="186">
        <v>1</v>
      </c>
      <c r="G15" s="1">
        <v>10</v>
      </c>
      <c r="H15">
        <v>1</v>
      </c>
      <c r="K15" s="1">
        <v>1</v>
      </c>
      <c r="L15" s="1">
        <v>1</v>
      </c>
      <c r="M15">
        <v>1</v>
      </c>
      <c r="R15" s="3">
        <v>10000</v>
      </c>
      <c r="W15" s="1">
        <v>1</v>
      </c>
      <c r="X15" s="1">
        <v>2</v>
      </c>
      <c r="AA15" s="1">
        <v>3</v>
      </c>
      <c r="AB15" s="3"/>
      <c r="AC15" s="1"/>
      <c r="AD15" s="1"/>
      <c r="AE15" s="107" t="s">
        <v>1299</v>
      </c>
      <c r="AG15" t="e">
        <f ca="1">AH15*OFFSET(buff的资质计算!$L$1,MATCH(buff!D15,buff的资质计算!G:G,0)-1,0)*AA15</f>
        <v>#VALUE!</v>
      </c>
      <c r="AH15">
        <v>2</v>
      </c>
    </row>
    <row r="16" spans="1:34">
      <c r="A16" s="153">
        <v>13</v>
      </c>
      <c r="B16" s="186" t="s">
        <v>1297</v>
      </c>
      <c r="C16" s="186" t="s">
        <v>1300</v>
      </c>
      <c r="D16" s="186">
        <v>6</v>
      </c>
      <c r="E16" s="3">
        <v>1</v>
      </c>
      <c r="F16" s="186">
        <v>1</v>
      </c>
      <c r="G16" s="1">
        <v>7</v>
      </c>
      <c r="H16" s="1">
        <v>1</v>
      </c>
      <c r="I16" s="1"/>
      <c r="J16" s="1"/>
      <c r="K16" s="1">
        <v>4</v>
      </c>
      <c r="L16" s="1">
        <v>1</v>
      </c>
      <c r="M16" s="1">
        <v>1</v>
      </c>
      <c r="N16" s="1"/>
      <c r="O16" s="1"/>
      <c r="P16" s="1"/>
      <c r="Q16" s="1">
        <v>1</v>
      </c>
      <c r="R16" s="3">
        <v>10000</v>
      </c>
      <c r="S16" s="1"/>
      <c r="T16" s="1"/>
      <c r="U16" s="1"/>
      <c r="W16" s="1">
        <v>2</v>
      </c>
      <c r="X16" s="1" t="e">
        <f ca="1">ROUND(AG16*10000/(OFFSET(buff的资质计算!$M$1,MATCH(buff!D16,buff的资质计算!G:G,0)-1,0)*OFFSET(buff的资质计算!$N$1,MATCH(buff!D16,buff的资质计算!G:G,0)-1,0)*AA16),-2)</f>
        <v>#VALUE!</v>
      </c>
      <c r="AA16" s="1">
        <v>3</v>
      </c>
      <c r="AB16" s="3"/>
      <c r="AC16" s="1"/>
      <c r="AE16" s="107" t="s">
        <v>1299</v>
      </c>
      <c r="AG16" t="e">
        <f ca="1">AH16*OFFSET(buff的资质计算!$L$1,MATCH(buff!D16,buff的资质计算!G:G,0)-1,0)*AA16</f>
        <v>#VALUE!</v>
      </c>
      <c r="AH16">
        <v>3</v>
      </c>
    </row>
    <row r="17" spans="1:34">
      <c r="A17" s="153">
        <v>14</v>
      </c>
      <c r="B17" s="186" t="s">
        <v>1301</v>
      </c>
      <c r="C17" s="186" t="s">
        <v>1302</v>
      </c>
      <c r="D17" s="186">
        <v>6</v>
      </c>
      <c r="E17" s="3">
        <v>1</v>
      </c>
      <c r="F17" s="186">
        <v>1</v>
      </c>
      <c r="G17" s="1">
        <v>14</v>
      </c>
      <c r="H17">
        <v>1</v>
      </c>
      <c r="K17" s="1">
        <v>3</v>
      </c>
      <c r="L17" s="1">
        <v>1</v>
      </c>
      <c r="M17">
        <v>0</v>
      </c>
      <c r="Q17" s="1">
        <v>1</v>
      </c>
      <c r="R17" s="3">
        <v>10000</v>
      </c>
      <c r="S17" s="1"/>
      <c r="T17" s="1"/>
      <c r="U17" s="1"/>
      <c r="W17" s="1">
        <v>2</v>
      </c>
      <c r="X17" s="1">
        <v>1000</v>
      </c>
      <c r="AA17" s="1">
        <v>3</v>
      </c>
      <c r="AB17" s="3"/>
      <c r="AC17" s="1"/>
      <c r="AE17" s="107" t="s">
        <v>1303</v>
      </c>
      <c r="AG17" t="e">
        <f ca="1">OFFSET(buff的资质计算!$M$1,MATCH(buff!D17,buff的资质计算!G:G,0)-1,0)*OFFSET(buff的资质计算!$N$1,MATCH(buff!D17,buff的资质计算!G:G,0)-1,0)*AA17*X17/10000</f>
        <v>#VALUE!</v>
      </c>
      <c r="AH17" t="e">
        <f ca="1">AG17/OFFSET(buff的资质计算!$L$1,MATCH(buff!D17,buff的资质计算!G:G,0)-1,0)</f>
        <v>#VALUE!</v>
      </c>
    </row>
    <row r="18" spans="1:34">
      <c r="A18" s="153">
        <v>15</v>
      </c>
      <c r="B18" s="186" t="s">
        <v>347</v>
      </c>
      <c r="C18" s="186" t="s">
        <v>1304</v>
      </c>
      <c r="D18" s="186">
        <v>1</v>
      </c>
      <c r="E18" s="3">
        <v>1</v>
      </c>
      <c r="F18" s="186">
        <v>2</v>
      </c>
      <c r="G18" s="1">
        <v>8</v>
      </c>
      <c r="H18" s="1">
        <v>1</v>
      </c>
      <c r="I18" s="1"/>
      <c r="J18" s="1"/>
      <c r="K18" s="1">
        <v>3</v>
      </c>
      <c r="L18" s="1">
        <v>1</v>
      </c>
      <c r="M18" s="1">
        <v>1</v>
      </c>
      <c r="N18" s="1"/>
      <c r="O18" s="1"/>
      <c r="P18" s="1"/>
      <c r="Q18" s="1">
        <v>1</v>
      </c>
      <c r="R18" s="3">
        <v>10000</v>
      </c>
      <c r="S18" s="1"/>
      <c r="T18" s="1"/>
      <c r="U18" s="1"/>
      <c r="V18" s="1"/>
      <c r="W18" s="1">
        <v>2</v>
      </c>
      <c r="X18" s="1">
        <v>1500</v>
      </c>
      <c r="AA18" s="1">
        <v>2</v>
      </c>
      <c r="AB18" s="3"/>
      <c r="AC18" s="1"/>
      <c r="AE18" s="107" t="s">
        <v>1305</v>
      </c>
      <c r="AG18" t="e">
        <f ca="1">OFFSET(buff的资质计算!$M$1,MATCH(buff!D18,buff的资质计算!G:G,0)-1,0)*OFFSET(buff的资质计算!$N$1,MATCH(buff!D18,buff的资质计算!G:G,0)-1,0)*AA18*X18/10000</f>
        <v>#VALUE!</v>
      </c>
      <c r="AH18" t="e">
        <f ca="1">AG18/OFFSET(buff的资质计算!$M$1,MATCH(buff!D18,buff的资质计算!G:G,0)-1,0)</f>
        <v>#VALUE!</v>
      </c>
    </row>
    <row r="19" spans="1:34">
      <c r="A19" s="153">
        <v>16</v>
      </c>
      <c r="B19" s="186" t="s">
        <v>1306</v>
      </c>
      <c r="C19" s="186" t="s">
        <v>1307</v>
      </c>
      <c r="D19" s="186">
        <v>4</v>
      </c>
      <c r="E19" s="3">
        <v>1</v>
      </c>
      <c r="F19" s="186">
        <v>1</v>
      </c>
      <c r="G19" s="1">
        <v>7</v>
      </c>
      <c r="H19" s="1">
        <v>1</v>
      </c>
      <c r="I19" s="1"/>
      <c r="J19" s="1"/>
      <c r="K19" s="1">
        <v>4</v>
      </c>
      <c r="L19" s="1">
        <v>2</v>
      </c>
      <c r="M19">
        <v>1</v>
      </c>
      <c r="Q19" s="1">
        <v>1</v>
      </c>
      <c r="R19" s="3">
        <v>10000</v>
      </c>
      <c r="S19" s="1"/>
      <c r="T19" s="1"/>
      <c r="U19" s="1"/>
      <c r="W19" s="1">
        <v>2</v>
      </c>
      <c r="X19" s="1">
        <v>10000</v>
      </c>
      <c r="AA19" s="1">
        <v>1</v>
      </c>
      <c r="AB19" s="3"/>
      <c r="AC19" s="1"/>
      <c r="AE19" s="107" t="s">
        <v>1308</v>
      </c>
      <c r="AG19" t="e">
        <f ca="1">OFFSET(buff的资质计算!$M$1,MATCH(buff!D19,buff的资质计算!G:G,0)-1,0)*AA19*X19/10000</f>
        <v>#VALUE!</v>
      </c>
      <c r="AH19" t="e">
        <f ca="1">AG19/$AC$1</f>
        <v>#VALUE!</v>
      </c>
    </row>
    <row r="20" spans="1:34">
      <c r="A20" s="153">
        <v>17</v>
      </c>
      <c r="B20" s="186" t="s">
        <v>514</v>
      </c>
      <c r="C20" s="186" t="s">
        <v>1309</v>
      </c>
      <c r="D20" s="186">
        <v>4</v>
      </c>
      <c r="E20" s="3">
        <v>1</v>
      </c>
      <c r="F20" s="186">
        <v>1</v>
      </c>
      <c r="G20" s="1">
        <v>5</v>
      </c>
      <c r="H20" s="1">
        <v>2</v>
      </c>
      <c r="I20" s="1"/>
      <c r="J20" s="1"/>
      <c r="K20" s="1">
        <v>3</v>
      </c>
      <c r="L20" s="1">
        <v>2</v>
      </c>
      <c r="M20" s="1">
        <v>1</v>
      </c>
      <c r="N20" s="1"/>
      <c r="O20" s="1"/>
      <c r="P20" s="1"/>
      <c r="Q20" s="1">
        <v>1</v>
      </c>
      <c r="R20" s="3">
        <v>10000</v>
      </c>
      <c r="S20" s="1"/>
      <c r="T20" s="1"/>
      <c r="U20" s="1"/>
      <c r="V20" s="1"/>
      <c r="W20" s="1"/>
      <c r="X20" s="1"/>
      <c r="AA20" s="1">
        <v>1</v>
      </c>
      <c r="AB20" s="3"/>
      <c r="AC20" s="1"/>
      <c r="AD20" s="1"/>
      <c r="AE20" s="107" t="s">
        <v>1289</v>
      </c>
      <c r="AG20" t="e">
        <f ca="1">AH20*OFFSET(buff的资质计算!$L$1,MATCH(buff!D20,buff的资质计算!G:G,0)-1,0)*AA20</f>
        <v>#VALUE!</v>
      </c>
      <c r="AH20">
        <v>2</v>
      </c>
    </row>
    <row r="21" spans="1:34">
      <c r="A21" s="153">
        <v>18</v>
      </c>
      <c r="B21" s="186" t="s">
        <v>832</v>
      </c>
      <c r="C21" s="186" t="s">
        <v>1205</v>
      </c>
      <c r="D21" s="186">
        <v>6</v>
      </c>
      <c r="E21" s="3">
        <v>1</v>
      </c>
      <c r="F21" s="186">
        <v>1</v>
      </c>
      <c r="G21" s="1">
        <v>10</v>
      </c>
      <c r="H21">
        <v>1</v>
      </c>
      <c r="K21" s="1">
        <v>1</v>
      </c>
      <c r="L21" s="1">
        <v>1</v>
      </c>
      <c r="M21">
        <v>1</v>
      </c>
      <c r="N21">
        <v>1</v>
      </c>
      <c r="O21">
        <v>2</v>
      </c>
      <c r="R21" s="3">
        <v>10000</v>
      </c>
      <c r="W21" s="1">
        <v>1</v>
      </c>
      <c r="X21" s="1">
        <v>2</v>
      </c>
      <c r="AA21" s="1">
        <v>3</v>
      </c>
      <c r="AB21" s="3"/>
      <c r="AE21" s="107" t="s">
        <v>1310</v>
      </c>
      <c r="AG21" t="e">
        <f ca="1">AH21*OFFSET(buff的资质计算!$L$1,MATCH(buff!D21,buff的资质计算!G:G,0)-1,0)*AA21</f>
        <v>#VALUE!</v>
      </c>
      <c r="AH21">
        <v>2</v>
      </c>
    </row>
    <row r="22" spans="1:34">
      <c r="A22" s="153">
        <v>21</v>
      </c>
      <c r="B22" s="186" t="s">
        <v>405</v>
      </c>
      <c r="C22" s="186" t="s">
        <v>1311</v>
      </c>
      <c r="D22" s="186">
        <v>3</v>
      </c>
      <c r="E22" s="3">
        <v>1</v>
      </c>
      <c r="F22" s="186">
        <v>1</v>
      </c>
      <c r="G22" s="1">
        <v>11</v>
      </c>
      <c r="H22" s="1">
        <v>2</v>
      </c>
      <c r="I22" s="1"/>
      <c r="J22" s="1"/>
      <c r="K22" s="1">
        <v>4</v>
      </c>
      <c r="L22" s="1">
        <v>1</v>
      </c>
      <c r="M22" s="1">
        <v>0</v>
      </c>
      <c r="N22">
        <v>1</v>
      </c>
      <c r="O22">
        <v>3</v>
      </c>
      <c r="P22">
        <v>1</v>
      </c>
      <c r="Q22" s="1">
        <v>1</v>
      </c>
      <c r="R22" s="3">
        <v>10000</v>
      </c>
      <c r="S22" s="1"/>
      <c r="T22" s="1"/>
      <c r="U22" s="1"/>
      <c r="V22">
        <v>2</v>
      </c>
      <c r="W22" s="1">
        <v>1</v>
      </c>
      <c r="X22" s="1">
        <v>2</v>
      </c>
      <c r="AA22" s="1">
        <v>1</v>
      </c>
      <c r="AB22" s="3"/>
      <c r="AE22" s="107" t="s">
        <v>1312</v>
      </c>
      <c r="AG22" t="e">
        <f ca="1">AH22*OFFSET(buff的资质计算!$L$1,MATCH(buff!D22,buff的资质计算!G:G,0)-1,0)*AA22</f>
        <v>#VALUE!</v>
      </c>
      <c r="AH22">
        <v>4</v>
      </c>
    </row>
    <row r="23" spans="1:34">
      <c r="A23" s="153">
        <v>22</v>
      </c>
      <c r="B23" s="186" t="s">
        <v>919</v>
      </c>
      <c r="C23" s="186" t="s">
        <v>1313</v>
      </c>
      <c r="D23" s="186">
        <v>6</v>
      </c>
      <c r="E23" s="3">
        <v>1</v>
      </c>
      <c r="F23" s="186">
        <v>1</v>
      </c>
      <c r="G23" s="1">
        <v>11</v>
      </c>
      <c r="H23" s="1">
        <v>2</v>
      </c>
      <c r="I23" s="1"/>
      <c r="J23" s="1"/>
      <c r="K23" s="1">
        <v>4</v>
      </c>
      <c r="L23" s="1">
        <v>1</v>
      </c>
      <c r="M23" s="1">
        <v>0</v>
      </c>
      <c r="N23">
        <v>1</v>
      </c>
      <c r="O23">
        <v>3</v>
      </c>
      <c r="P23">
        <v>1</v>
      </c>
      <c r="Q23" s="1">
        <v>1</v>
      </c>
      <c r="R23" s="3">
        <v>10000</v>
      </c>
      <c r="S23" s="1"/>
      <c r="T23" s="1"/>
      <c r="U23" s="1"/>
      <c r="V23">
        <v>2</v>
      </c>
      <c r="W23" s="1">
        <v>1</v>
      </c>
      <c r="X23" s="1">
        <v>1</v>
      </c>
      <c r="AA23" s="1">
        <v>2</v>
      </c>
      <c r="AB23" s="3"/>
      <c r="AE23" s="107" t="s">
        <v>1312</v>
      </c>
      <c r="AG23" t="e">
        <f ca="1">AH23*OFFSET(buff的资质计算!$L$1,MATCH(buff!D23,buff的资质计算!G:G,0)-1,0)*AA23</f>
        <v>#VALUE!</v>
      </c>
      <c r="AH23">
        <v>2</v>
      </c>
    </row>
    <row r="24" spans="1:34">
      <c r="A24" s="153">
        <v>23</v>
      </c>
      <c r="B24" s="153" t="s">
        <v>506</v>
      </c>
      <c r="C24" s="186" t="s">
        <v>876</v>
      </c>
      <c r="D24" s="186">
        <v>2</v>
      </c>
      <c r="E24" s="3">
        <v>1</v>
      </c>
      <c r="F24" s="186">
        <v>1</v>
      </c>
      <c r="G24" s="1">
        <v>11</v>
      </c>
      <c r="H24" s="1">
        <v>1</v>
      </c>
      <c r="I24" s="1"/>
      <c r="J24" s="1"/>
      <c r="K24" s="1">
        <v>4</v>
      </c>
      <c r="L24" s="1">
        <v>1</v>
      </c>
      <c r="M24" s="1">
        <v>0</v>
      </c>
      <c r="N24">
        <v>1</v>
      </c>
      <c r="O24">
        <v>3</v>
      </c>
      <c r="P24">
        <v>1</v>
      </c>
      <c r="Q24" s="1">
        <v>1</v>
      </c>
      <c r="R24" s="3">
        <v>10000</v>
      </c>
      <c r="S24" s="1"/>
      <c r="T24" s="1"/>
      <c r="U24" s="1"/>
      <c r="V24">
        <v>1</v>
      </c>
      <c r="W24" s="1">
        <v>1</v>
      </c>
      <c r="X24" s="1">
        <v>1</v>
      </c>
      <c r="AA24">
        <v>1</v>
      </c>
      <c r="AB24" s="3"/>
      <c r="AE24" s="107" t="s">
        <v>1314</v>
      </c>
      <c r="AG24" t="e">
        <f ca="1">AH24*OFFSET(buff的资质计算!$L$1,MATCH(buff!D24,buff的资质计算!G:G,0)-1,0)*AA24</f>
        <v>#VALUE!</v>
      </c>
      <c r="AH24">
        <v>2</v>
      </c>
    </row>
    <row r="25" ht="27.75" spans="1:34">
      <c r="A25" s="153">
        <v>25</v>
      </c>
      <c r="B25" s="186" t="s">
        <v>1315</v>
      </c>
      <c r="C25" s="186" t="s">
        <v>1316</v>
      </c>
      <c r="D25" s="186">
        <v>5</v>
      </c>
      <c r="E25" s="3">
        <v>1</v>
      </c>
      <c r="F25" s="186">
        <v>1</v>
      </c>
      <c r="G25" s="1">
        <v>12</v>
      </c>
      <c r="H25">
        <v>1</v>
      </c>
      <c r="K25" s="1">
        <v>1</v>
      </c>
      <c r="L25" s="1">
        <v>1</v>
      </c>
      <c r="M25" s="1">
        <v>0</v>
      </c>
      <c r="R25" s="3">
        <v>10000</v>
      </c>
      <c r="AA25">
        <v>1</v>
      </c>
      <c r="AB25" s="3"/>
      <c r="AE25" s="107" t="s">
        <v>1317</v>
      </c>
      <c r="AG25" t="e">
        <f ca="1">AH25*OFFSET(buff的资质计算!$L$1,MATCH(buff!D25,buff的资质计算!G:G,0)-1,0)*AA25</f>
        <v>#VALUE!</v>
      </c>
      <c r="AH25">
        <v>3</v>
      </c>
    </row>
    <row r="26" spans="1:34">
      <c r="A26" s="153">
        <v>26</v>
      </c>
      <c r="B26" s="186" t="s">
        <v>1318</v>
      </c>
      <c r="C26" s="186" t="s">
        <v>1319</v>
      </c>
      <c r="D26" s="186">
        <v>6</v>
      </c>
      <c r="E26" s="3">
        <v>1</v>
      </c>
      <c r="F26" s="186">
        <v>1</v>
      </c>
      <c r="G26" s="1">
        <v>11</v>
      </c>
      <c r="H26" s="1">
        <v>1</v>
      </c>
      <c r="I26" s="1"/>
      <c r="J26" s="1"/>
      <c r="K26" s="1">
        <v>4</v>
      </c>
      <c r="L26" s="1">
        <v>1</v>
      </c>
      <c r="M26" s="1">
        <v>0</v>
      </c>
      <c r="Q26" s="1">
        <v>1</v>
      </c>
      <c r="R26" s="3">
        <v>10000</v>
      </c>
      <c r="S26" s="1"/>
      <c r="T26" s="1"/>
      <c r="U26" s="1"/>
      <c r="V26">
        <v>3</v>
      </c>
      <c r="W26" s="1">
        <v>1</v>
      </c>
      <c r="X26" s="1">
        <v>1</v>
      </c>
      <c r="AA26" s="1">
        <v>3</v>
      </c>
      <c r="AB26" s="3"/>
      <c r="AE26" s="107" t="s">
        <v>1314</v>
      </c>
      <c r="AG26" t="e">
        <f ca="1">AH26*OFFSET(buff的资质计算!$L$1,MATCH(buff!D26,buff的资质计算!G:G,0)-1,0)*AA26</f>
        <v>#VALUE!</v>
      </c>
      <c r="AH26">
        <v>2</v>
      </c>
    </row>
    <row r="27" spans="1:34">
      <c r="A27" s="153">
        <v>27</v>
      </c>
      <c r="B27" s="91" t="s">
        <v>947</v>
      </c>
      <c r="C27" s="186" t="s">
        <v>1320</v>
      </c>
      <c r="D27" s="186">
        <v>4</v>
      </c>
      <c r="E27" s="3">
        <v>1</v>
      </c>
      <c r="F27" s="186">
        <v>1</v>
      </c>
      <c r="G27" s="1">
        <v>5</v>
      </c>
      <c r="H27" s="1">
        <v>2</v>
      </c>
      <c r="I27" s="1"/>
      <c r="J27" s="1"/>
      <c r="K27" s="1">
        <v>3</v>
      </c>
      <c r="L27" s="1">
        <v>2</v>
      </c>
      <c r="M27" s="1">
        <v>1</v>
      </c>
      <c r="N27" s="1"/>
      <c r="O27" s="1"/>
      <c r="P27" s="1"/>
      <c r="Q27" s="1">
        <v>1</v>
      </c>
      <c r="R27" s="3">
        <v>10000</v>
      </c>
      <c r="S27" s="1"/>
      <c r="T27" s="1"/>
      <c r="U27" s="1"/>
      <c r="V27" s="1"/>
      <c r="W27" s="1"/>
      <c r="X27" s="1"/>
      <c r="AA27" s="1">
        <v>2</v>
      </c>
      <c r="AB27" s="3"/>
      <c r="AC27" s="1"/>
      <c r="AD27" s="1"/>
      <c r="AE27" s="107" t="s">
        <v>1289</v>
      </c>
      <c r="AG27" t="e">
        <f ca="1">AH27*OFFSET(buff的资质计算!$L$1,MATCH(buff!D27,buff的资质计算!G:G,0)-1,0)*AA27</f>
        <v>#VALUE!</v>
      </c>
      <c r="AH27">
        <v>2</v>
      </c>
    </row>
    <row r="28" spans="1:34">
      <c r="A28" s="153">
        <v>28</v>
      </c>
      <c r="B28" s="186" t="s">
        <v>1321</v>
      </c>
      <c r="C28" s="186" t="s">
        <v>1322</v>
      </c>
      <c r="D28" s="186">
        <v>6</v>
      </c>
      <c r="E28" s="3">
        <v>1</v>
      </c>
      <c r="F28" s="186">
        <v>1</v>
      </c>
      <c r="G28" s="1">
        <v>13</v>
      </c>
      <c r="H28">
        <v>1</v>
      </c>
      <c r="K28" s="1">
        <v>1</v>
      </c>
      <c r="L28" s="1">
        <v>1</v>
      </c>
      <c r="M28" s="1">
        <v>1</v>
      </c>
      <c r="R28" s="3">
        <v>10000</v>
      </c>
      <c r="V28">
        <v>4</v>
      </c>
      <c r="W28" s="1">
        <v>1</v>
      </c>
      <c r="X28" s="1">
        <v>2</v>
      </c>
      <c r="AA28" s="1">
        <v>3</v>
      </c>
      <c r="AB28" s="3"/>
      <c r="AE28" s="107" t="s">
        <v>1323</v>
      </c>
      <c r="AH28">
        <f>X28*AA28</f>
        <v>6</v>
      </c>
    </row>
    <row r="29" ht="21" customHeight="1" spans="1:34">
      <c r="A29" s="153">
        <v>29</v>
      </c>
      <c r="B29" s="186" t="s">
        <v>389</v>
      </c>
      <c r="C29" s="186" t="s">
        <v>1324</v>
      </c>
      <c r="D29" s="186">
        <v>2</v>
      </c>
      <c r="E29" s="3">
        <v>1</v>
      </c>
      <c r="F29" s="186">
        <v>1</v>
      </c>
      <c r="G29" s="1">
        <v>6</v>
      </c>
      <c r="H29" s="1">
        <v>1</v>
      </c>
      <c r="I29" s="1">
        <v>72</v>
      </c>
      <c r="J29" s="1">
        <v>16</v>
      </c>
      <c r="K29" s="1">
        <v>1</v>
      </c>
      <c r="L29" s="1">
        <v>1</v>
      </c>
      <c r="M29" s="1">
        <v>1</v>
      </c>
      <c r="N29" s="1"/>
      <c r="O29" s="1"/>
      <c r="P29" s="1"/>
      <c r="Q29" s="1"/>
      <c r="R29" s="3">
        <v>10000</v>
      </c>
      <c r="S29" s="1"/>
      <c r="T29" s="1"/>
      <c r="U29" s="1"/>
      <c r="V29" s="1"/>
      <c r="W29" s="1">
        <v>1</v>
      </c>
      <c r="X29" s="1" t="e">
        <f ca="1">card!$S$1*AG29/AA29*buff的资质计算!$E$2+40</f>
        <v>#VALUE!</v>
      </c>
      <c r="Y29" s="153">
        <v>1</v>
      </c>
      <c r="Z29" s="153" t="e">
        <f ca="1">AG29*card!$W$1*buff的资质计算!$E$2</f>
        <v>#VALUE!</v>
      </c>
      <c r="AA29" s="1">
        <v>2</v>
      </c>
      <c r="AB29" s="3"/>
      <c r="AC29" s="1"/>
      <c r="AD29" s="1"/>
      <c r="AE29" s="107" t="s">
        <v>1296</v>
      </c>
      <c r="AG29" t="e">
        <f ca="1">AH29*OFFSET(buff的资质计算!$L$1,MATCH(buff!D29,buff的资质计算!G:G,0)-1,0)</f>
        <v>#VALUE!</v>
      </c>
      <c r="AH29">
        <v>2</v>
      </c>
    </row>
    <row r="30" ht="21" customHeight="1" spans="1:33">
      <c r="A30" s="153">
        <v>100</v>
      </c>
      <c r="B30" s="186" t="s">
        <v>1325</v>
      </c>
      <c r="C30" s="186" t="str">
        <f t="shared" ref="C30:C40" si="0">"剑阵已成！下一招剑法伤害增加"&amp;X30/100&amp;"%！"</f>
        <v>剑阵已成！下一招剑法伤害增加150%！</v>
      </c>
      <c r="D30" s="186">
        <v>2</v>
      </c>
      <c r="E30" s="3">
        <v>1</v>
      </c>
      <c r="F30" s="186">
        <v>1</v>
      </c>
      <c r="G30" s="1">
        <v>7</v>
      </c>
      <c r="H30" s="1">
        <v>1</v>
      </c>
      <c r="I30" s="1"/>
      <c r="J30" s="1"/>
      <c r="K30" s="1">
        <v>4</v>
      </c>
      <c r="L30" s="1">
        <v>2</v>
      </c>
      <c r="M30">
        <v>1</v>
      </c>
      <c r="Q30" s="1">
        <v>1</v>
      </c>
      <c r="R30" s="3">
        <v>10000</v>
      </c>
      <c r="S30" s="1"/>
      <c r="T30" s="1"/>
      <c r="U30" s="1"/>
      <c r="W30" s="1">
        <v>2</v>
      </c>
      <c r="X30" s="1">
        <v>15000</v>
      </c>
      <c r="AA30" s="1">
        <v>1</v>
      </c>
      <c r="AB30" s="3"/>
      <c r="AC30" s="1"/>
      <c r="AD30" s="1"/>
      <c r="AE30" s="107" t="s">
        <v>1326</v>
      </c>
      <c r="AG30" t="e">
        <f ca="1">OFFSET(buff的资质计算!$M$1,MATCH(buff!D30,buff的资质计算!G:G,0)-1,0)*AA30*X30/10000</f>
        <v>#VALUE!</v>
      </c>
    </row>
    <row r="31" ht="21" customHeight="1" spans="1:33">
      <c r="A31" s="153">
        <v>101</v>
      </c>
      <c r="B31" s="186" t="s">
        <v>1325</v>
      </c>
      <c r="C31" s="186" t="str">
        <f t="shared" si="0"/>
        <v>剑阵已成！下一招剑法伤害增加170%！</v>
      </c>
      <c r="D31" s="186">
        <v>2</v>
      </c>
      <c r="E31" s="3">
        <v>1</v>
      </c>
      <c r="F31" s="186">
        <v>1</v>
      </c>
      <c r="G31" s="1">
        <v>7</v>
      </c>
      <c r="H31" s="1">
        <v>1</v>
      </c>
      <c r="I31" s="1"/>
      <c r="J31" s="1"/>
      <c r="K31" s="1">
        <v>4</v>
      </c>
      <c r="L31" s="1">
        <v>2</v>
      </c>
      <c r="M31">
        <v>1</v>
      </c>
      <c r="Q31" s="1">
        <v>1</v>
      </c>
      <c r="R31" s="3">
        <v>10000</v>
      </c>
      <c r="S31" s="1"/>
      <c r="T31" s="1"/>
      <c r="U31" s="1"/>
      <c r="W31" s="1">
        <v>2</v>
      </c>
      <c r="X31" s="1">
        <v>17000</v>
      </c>
      <c r="AA31" s="1">
        <v>1</v>
      </c>
      <c r="AB31" s="3"/>
      <c r="AC31" s="1"/>
      <c r="AD31" s="1"/>
      <c r="AE31" s="107" t="s">
        <v>1326</v>
      </c>
      <c r="AG31" t="e">
        <f ca="1">OFFSET(buff的资质计算!$M$1,MATCH(buff!D31,buff的资质计算!G:G,0)-1,0)*AA31*X31/10000</f>
        <v>#VALUE!</v>
      </c>
    </row>
    <row r="32" ht="21" customHeight="1" spans="1:33">
      <c r="A32" s="153">
        <v>102</v>
      </c>
      <c r="B32" s="186" t="s">
        <v>1325</v>
      </c>
      <c r="C32" s="186" t="str">
        <f t="shared" si="0"/>
        <v>剑阵已成！下一招剑法伤害增加190%！</v>
      </c>
      <c r="D32" s="186">
        <v>2</v>
      </c>
      <c r="E32" s="3">
        <v>1</v>
      </c>
      <c r="F32" s="186">
        <v>1</v>
      </c>
      <c r="G32" s="1">
        <v>7</v>
      </c>
      <c r="H32" s="1">
        <v>1</v>
      </c>
      <c r="I32" s="1"/>
      <c r="J32" s="1"/>
      <c r="K32" s="1">
        <v>4</v>
      </c>
      <c r="L32" s="1">
        <v>2</v>
      </c>
      <c r="M32">
        <v>1</v>
      </c>
      <c r="Q32" s="1">
        <v>1</v>
      </c>
      <c r="R32" s="3">
        <v>10000</v>
      </c>
      <c r="S32" s="1"/>
      <c r="T32" s="1"/>
      <c r="U32" s="1"/>
      <c r="W32" s="1">
        <v>2</v>
      </c>
      <c r="X32" s="1">
        <v>19000</v>
      </c>
      <c r="AA32" s="1">
        <v>1</v>
      </c>
      <c r="AB32" s="3"/>
      <c r="AC32" s="1"/>
      <c r="AD32" s="1"/>
      <c r="AE32" s="107" t="s">
        <v>1326</v>
      </c>
      <c r="AG32" t="e">
        <f ca="1">OFFSET(buff的资质计算!$M$1,MATCH(buff!D32,buff的资质计算!G:G,0)-1,0)*AA32*X32/10000</f>
        <v>#VALUE!</v>
      </c>
    </row>
    <row r="33" ht="21" customHeight="1" spans="1:33">
      <c r="A33" s="153">
        <v>103</v>
      </c>
      <c r="B33" s="186" t="s">
        <v>1325</v>
      </c>
      <c r="C33" s="186" t="str">
        <f t="shared" si="0"/>
        <v>剑阵已成！下一招剑法伤害增加210%！</v>
      </c>
      <c r="D33" s="186">
        <v>2</v>
      </c>
      <c r="E33" s="3">
        <v>1</v>
      </c>
      <c r="F33" s="186">
        <v>1</v>
      </c>
      <c r="G33" s="1">
        <v>7</v>
      </c>
      <c r="H33" s="1">
        <v>1</v>
      </c>
      <c r="I33" s="1"/>
      <c r="J33" s="1"/>
      <c r="K33" s="1">
        <v>4</v>
      </c>
      <c r="L33" s="1">
        <v>2</v>
      </c>
      <c r="M33">
        <v>1</v>
      </c>
      <c r="Q33" s="1">
        <v>1</v>
      </c>
      <c r="R33" s="3">
        <v>10000</v>
      </c>
      <c r="S33" s="1"/>
      <c r="T33" s="1"/>
      <c r="U33" s="1"/>
      <c r="W33" s="1">
        <v>2</v>
      </c>
      <c r="X33" s="1">
        <v>21000</v>
      </c>
      <c r="AA33" s="1">
        <v>1</v>
      </c>
      <c r="AB33" s="3"/>
      <c r="AC33" s="1"/>
      <c r="AD33" s="1"/>
      <c r="AE33" s="107" t="s">
        <v>1326</v>
      </c>
      <c r="AG33" t="e">
        <f ca="1">OFFSET(buff的资质计算!$M$1,MATCH(buff!D33,buff的资质计算!G:G,0)-1,0)*AA33*X33/10000</f>
        <v>#VALUE!</v>
      </c>
    </row>
    <row r="34" ht="21" customHeight="1" spans="1:33">
      <c r="A34" s="153">
        <v>104</v>
      </c>
      <c r="B34" s="186" t="s">
        <v>1325</v>
      </c>
      <c r="C34" s="186" t="str">
        <f t="shared" si="0"/>
        <v>剑阵已成！下一招剑法伤害增加230%！</v>
      </c>
      <c r="D34" s="186">
        <v>2</v>
      </c>
      <c r="E34" s="3">
        <v>1</v>
      </c>
      <c r="F34" s="186">
        <v>1</v>
      </c>
      <c r="G34" s="1">
        <v>7</v>
      </c>
      <c r="H34" s="1">
        <v>1</v>
      </c>
      <c r="I34" s="1"/>
      <c r="J34" s="1"/>
      <c r="K34" s="1">
        <v>4</v>
      </c>
      <c r="L34" s="1">
        <v>2</v>
      </c>
      <c r="M34">
        <v>1</v>
      </c>
      <c r="Q34" s="1">
        <v>1</v>
      </c>
      <c r="R34" s="3">
        <v>10000</v>
      </c>
      <c r="S34" s="1"/>
      <c r="T34" s="1"/>
      <c r="U34" s="1"/>
      <c r="W34" s="1">
        <v>2</v>
      </c>
      <c r="X34" s="1">
        <v>23000</v>
      </c>
      <c r="AA34" s="1">
        <v>1</v>
      </c>
      <c r="AB34" s="3"/>
      <c r="AC34" s="1"/>
      <c r="AD34" s="1"/>
      <c r="AE34" s="107" t="s">
        <v>1326</v>
      </c>
      <c r="AG34" t="e">
        <f ca="1">OFFSET(buff的资质计算!$M$1,MATCH(buff!D34,buff的资质计算!G:G,0)-1,0)*AA34*X34/10000</f>
        <v>#VALUE!</v>
      </c>
    </row>
    <row r="35" ht="21" customHeight="1" spans="1:33">
      <c r="A35" s="153">
        <v>105</v>
      </c>
      <c r="B35" s="186" t="s">
        <v>1325</v>
      </c>
      <c r="C35" s="186" t="str">
        <f t="shared" si="0"/>
        <v>剑阵已成！下一招剑法伤害增加250%！</v>
      </c>
      <c r="D35" s="186">
        <v>2</v>
      </c>
      <c r="E35" s="3">
        <v>1</v>
      </c>
      <c r="F35" s="186">
        <v>1</v>
      </c>
      <c r="G35" s="1">
        <v>7</v>
      </c>
      <c r="H35" s="1">
        <v>1</v>
      </c>
      <c r="I35" s="1"/>
      <c r="J35" s="1"/>
      <c r="K35" s="1">
        <v>4</v>
      </c>
      <c r="L35" s="1">
        <v>2</v>
      </c>
      <c r="M35">
        <v>1</v>
      </c>
      <c r="Q35" s="1">
        <v>1</v>
      </c>
      <c r="R35" s="3">
        <v>10000</v>
      </c>
      <c r="S35" s="1"/>
      <c r="T35" s="1"/>
      <c r="U35" s="1"/>
      <c r="W35" s="1">
        <v>2</v>
      </c>
      <c r="X35" s="1">
        <v>25000</v>
      </c>
      <c r="AA35" s="1">
        <v>1</v>
      </c>
      <c r="AB35" s="3"/>
      <c r="AC35" s="1"/>
      <c r="AD35" s="1"/>
      <c r="AE35" s="107" t="s">
        <v>1326</v>
      </c>
      <c r="AG35" t="e">
        <f ca="1">OFFSET(buff的资质计算!$M$1,MATCH(buff!D35,buff的资质计算!G:G,0)-1,0)*AA35*X35/10000</f>
        <v>#VALUE!</v>
      </c>
    </row>
    <row r="36" ht="21" customHeight="1" spans="1:33">
      <c r="A36" s="153">
        <v>106</v>
      </c>
      <c r="B36" s="186" t="s">
        <v>1325</v>
      </c>
      <c r="C36" s="186" t="str">
        <f t="shared" si="0"/>
        <v>剑阵已成！下一招剑法伤害增加280%！</v>
      </c>
      <c r="D36" s="186">
        <v>2</v>
      </c>
      <c r="E36" s="3">
        <v>1</v>
      </c>
      <c r="F36" s="186">
        <v>1</v>
      </c>
      <c r="G36" s="1">
        <v>7</v>
      </c>
      <c r="H36" s="1">
        <v>1</v>
      </c>
      <c r="I36" s="1"/>
      <c r="J36" s="1"/>
      <c r="K36" s="1">
        <v>4</v>
      </c>
      <c r="L36" s="1">
        <v>2</v>
      </c>
      <c r="M36">
        <v>1</v>
      </c>
      <c r="Q36" s="1">
        <v>1</v>
      </c>
      <c r="R36" s="3">
        <v>10000</v>
      </c>
      <c r="S36" s="1"/>
      <c r="T36" s="1"/>
      <c r="U36" s="1"/>
      <c r="W36" s="1">
        <v>2</v>
      </c>
      <c r="X36" s="1">
        <v>28000</v>
      </c>
      <c r="AA36" s="1">
        <v>1</v>
      </c>
      <c r="AB36" s="3"/>
      <c r="AC36" s="1"/>
      <c r="AD36" s="1"/>
      <c r="AE36" s="107" t="s">
        <v>1326</v>
      </c>
      <c r="AG36" t="e">
        <f ca="1">OFFSET(buff的资质计算!$M$1,MATCH(buff!D36,buff的资质计算!G:G,0)-1,0)*AA36*X36/10000</f>
        <v>#VALUE!</v>
      </c>
    </row>
    <row r="37" ht="21" customHeight="1" spans="1:33">
      <c r="A37" s="153">
        <v>107</v>
      </c>
      <c r="B37" s="186" t="s">
        <v>1325</v>
      </c>
      <c r="C37" s="186" t="str">
        <f t="shared" si="0"/>
        <v>剑阵已成！下一招剑法伤害增加310%！</v>
      </c>
      <c r="D37" s="186">
        <v>2</v>
      </c>
      <c r="E37" s="3">
        <v>1</v>
      </c>
      <c r="F37" s="186">
        <v>1</v>
      </c>
      <c r="G37" s="1">
        <v>7</v>
      </c>
      <c r="H37" s="1">
        <v>1</v>
      </c>
      <c r="I37" s="1"/>
      <c r="J37" s="1"/>
      <c r="K37" s="1">
        <v>4</v>
      </c>
      <c r="L37" s="1">
        <v>2</v>
      </c>
      <c r="M37">
        <v>1</v>
      </c>
      <c r="Q37" s="1">
        <v>1</v>
      </c>
      <c r="R37" s="3">
        <v>10000</v>
      </c>
      <c r="S37" s="1"/>
      <c r="T37" s="1"/>
      <c r="U37" s="1"/>
      <c r="W37" s="1">
        <v>2</v>
      </c>
      <c r="X37" s="1">
        <v>31000</v>
      </c>
      <c r="AA37" s="1">
        <v>1</v>
      </c>
      <c r="AB37" s="3"/>
      <c r="AC37" s="1"/>
      <c r="AD37" s="1"/>
      <c r="AE37" s="107" t="s">
        <v>1326</v>
      </c>
      <c r="AG37" t="e">
        <f ca="1">OFFSET(buff的资质计算!$M$1,MATCH(buff!D37,buff的资质计算!G:G,0)-1,0)*AA37*X37/10000</f>
        <v>#VALUE!</v>
      </c>
    </row>
    <row r="38" ht="21" customHeight="1" spans="1:33">
      <c r="A38" s="153">
        <v>108</v>
      </c>
      <c r="B38" s="186" t="s">
        <v>1325</v>
      </c>
      <c r="C38" s="186" t="str">
        <f t="shared" si="0"/>
        <v>剑阵已成！下一招剑法伤害增加340%！</v>
      </c>
      <c r="D38" s="186">
        <v>2</v>
      </c>
      <c r="E38" s="3">
        <v>1</v>
      </c>
      <c r="F38" s="186">
        <v>1</v>
      </c>
      <c r="G38" s="1">
        <v>7</v>
      </c>
      <c r="H38" s="1">
        <v>1</v>
      </c>
      <c r="I38" s="1"/>
      <c r="J38" s="1"/>
      <c r="K38" s="1">
        <v>4</v>
      </c>
      <c r="L38" s="1">
        <v>2</v>
      </c>
      <c r="M38">
        <v>1</v>
      </c>
      <c r="Q38" s="1">
        <v>1</v>
      </c>
      <c r="R38" s="3">
        <v>10000</v>
      </c>
      <c r="S38" s="1"/>
      <c r="T38" s="1"/>
      <c r="U38" s="1"/>
      <c r="W38" s="1">
        <v>2</v>
      </c>
      <c r="X38" s="1">
        <v>34000</v>
      </c>
      <c r="AA38" s="1">
        <v>1</v>
      </c>
      <c r="AB38" s="3"/>
      <c r="AC38" s="1"/>
      <c r="AD38" s="1"/>
      <c r="AE38" s="107" t="s">
        <v>1326</v>
      </c>
      <c r="AG38" t="e">
        <f ca="1">OFFSET(buff的资质计算!$M$1,MATCH(buff!D38,buff的资质计算!G:G,0)-1,0)*AA38*X38/10000</f>
        <v>#VALUE!</v>
      </c>
    </row>
    <row r="39" ht="21" customHeight="1" spans="1:33">
      <c r="A39" s="153">
        <v>109</v>
      </c>
      <c r="B39" s="186" t="s">
        <v>1325</v>
      </c>
      <c r="C39" s="186" t="str">
        <f t="shared" si="0"/>
        <v>剑阵已成！下一招剑法伤害增加370%！</v>
      </c>
      <c r="D39" s="186">
        <v>2</v>
      </c>
      <c r="E39" s="3">
        <v>1</v>
      </c>
      <c r="F39" s="186">
        <v>1</v>
      </c>
      <c r="G39" s="1">
        <v>7</v>
      </c>
      <c r="H39" s="1">
        <v>1</v>
      </c>
      <c r="I39" s="1"/>
      <c r="J39" s="1"/>
      <c r="K39" s="1">
        <v>4</v>
      </c>
      <c r="L39" s="1">
        <v>2</v>
      </c>
      <c r="M39">
        <v>1</v>
      </c>
      <c r="Q39" s="1">
        <v>1</v>
      </c>
      <c r="R39" s="3">
        <v>10000</v>
      </c>
      <c r="S39" s="1"/>
      <c r="T39" s="1"/>
      <c r="U39" s="1"/>
      <c r="W39" s="1">
        <v>2</v>
      </c>
      <c r="X39" s="1">
        <v>37000</v>
      </c>
      <c r="AA39" s="1">
        <v>1</v>
      </c>
      <c r="AB39" s="3"/>
      <c r="AC39" s="1"/>
      <c r="AD39" s="1"/>
      <c r="AE39" s="107" t="s">
        <v>1326</v>
      </c>
      <c r="AG39" t="e">
        <f ca="1">OFFSET(buff的资质计算!$M$1,MATCH(buff!D39,buff的资质计算!G:G,0)-1,0)*AA39*X39/10000</f>
        <v>#VALUE!</v>
      </c>
    </row>
    <row r="40" ht="21" customHeight="1" spans="1:33">
      <c r="A40" s="153">
        <v>110</v>
      </c>
      <c r="B40" s="186" t="s">
        <v>1325</v>
      </c>
      <c r="C40" s="186" t="str">
        <f t="shared" si="0"/>
        <v>剑阵已成！下一招剑法伤害增加400%！</v>
      </c>
      <c r="D40" s="186">
        <v>2</v>
      </c>
      <c r="E40" s="3">
        <v>1</v>
      </c>
      <c r="F40" s="186">
        <v>1</v>
      </c>
      <c r="G40" s="1">
        <v>7</v>
      </c>
      <c r="H40" s="1">
        <v>1</v>
      </c>
      <c r="I40" s="1"/>
      <c r="J40" s="1"/>
      <c r="K40" s="1">
        <v>4</v>
      </c>
      <c r="L40" s="1">
        <v>2</v>
      </c>
      <c r="M40">
        <v>1</v>
      </c>
      <c r="Q40" s="1">
        <v>1</v>
      </c>
      <c r="R40" s="3">
        <v>10000</v>
      </c>
      <c r="S40" s="1"/>
      <c r="T40" s="1"/>
      <c r="U40" s="1"/>
      <c r="W40" s="1">
        <v>2</v>
      </c>
      <c r="X40" s="1">
        <v>40000</v>
      </c>
      <c r="AA40" s="1">
        <v>1</v>
      </c>
      <c r="AB40" s="3"/>
      <c r="AC40" s="1"/>
      <c r="AD40" s="1"/>
      <c r="AE40" s="107" t="s">
        <v>1326</v>
      </c>
      <c r="AG40" t="e">
        <f ca="1">OFFSET(buff的资质计算!$M$1,MATCH(buff!D40,buff的资质计算!G:G,0)-1,0)*AA40*X40/10000</f>
        <v>#VALUE!</v>
      </c>
    </row>
    <row r="41" ht="21" customHeight="1" spans="1:34">
      <c r="A41" s="153">
        <v>101101</v>
      </c>
      <c r="B41" s="186" t="s">
        <v>1327</v>
      </c>
      <c r="C41" s="186" t="str">
        <f t="shared" ref="C41:C70" si="1">"使下1招伤害增加"&amp;X41/100&amp;"%"</f>
        <v>使下1招伤害增加70%</v>
      </c>
      <c r="D41" s="186">
        <v>1</v>
      </c>
      <c r="E41" s="3">
        <v>1</v>
      </c>
      <c r="F41" s="186">
        <v>1</v>
      </c>
      <c r="G41" s="1">
        <v>7</v>
      </c>
      <c r="H41" s="1">
        <v>1</v>
      </c>
      <c r="I41" s="1"/>
      <c r="J41" s="1"/>
      <c r="K41" s="1">
        <v>4</v>
      </c>
      <c r="L41" s="1">
        <v>2</v>
      </c>
      <c r="M41">
        <v>1</v>
      </c>
      <c r="Q41" s="1">
        <v>1</v>
      </c>
      <c r="R41" s="3">
        <v>10000</v>
      </c>
      <c r="S41" s="1"/>
      <c r="T41" s="1"/>
      <c r="U41" s="1"/>
      <c r="W41" s="1">
        <v>2</v>
      </c>
      <c r="X41" s="1">
        <v>7000</v>
      </c>
      <c r="AA41" s="1">
        <v>1</v>
      </c>
      <c r="AB41" s="3"/>
      <c r="AC41" s="1"/>
      <c r="AD41" s="1"/>
      <c r="AE41" s="107" t="s">
        <v>1308</v>
      </c>
      <c r="AG41" t="e">
        <f ca="1">OFFSET(buff的资质计算!$M$1,MATCH(buff!D41,buff的资质计算!G:G,0)-1,0)*AA41*X41/10000</f>
        <v>#VALUE!</v>
      </c>
      <c r="AH41" t="e">
        <f ca="1">AG41/OFFSET(buff的资质计算!$M$1,MATCH(buff!D41,buff的资质计算!G:G,0)-1,0)</f>
        <v>#VALUE!</v>
      </c>
    </row>
    <row r="42" spans="1:34">
      <c r="A42" s="153">
        <f t="shared" ref="A42:A70" si="2">A41+1</f>
        <v>101102</v>
      </c>
      <c r="B42" s="186" t="s">
        <v>1328</v>
      </c>
      <c r="C42" s="186" t="str">
        <f t="shared" si="1"/>
        <v>使下1招伤害增加72%</v>
      </c>
      <c r="D42" s="186">
        <v>1</v>
      </c>
      <c r="E42" s="3">
        <v>1</v>
      </c>
      <c r="F42" s="186">
        <v>1</v>
      </c>
      <c r="G42" s="1">
        <v>7</v>
      </c>
      <c r="H42" s="1">
        <v>1</v>
      </c>
      <c r="I42" s="1"/>
      <c r="J42" s="1"/>
      <c r="K42" s="1">
        <v>4</v>
      </c>
      <c r="L42" s="1">
        <v>2</v>
      </c>
      <c r="M42">
        <v>1</v>
      </c>
      <c r="Q42" s="1">
        <v>1</v>
      </c>
      <c r="R42" s="3">
        <v>10000</v>
      </c>
      <c r="S42" s="1"/>
      <c r="T42" s="1"/>
      <c r="U42" s="1"/>
      <c r="W42" s="1">
        <v>2</v>
      </c>
      <c r="X42" s="1">
        <v>7200</v>
      </c>
      <c r="AA42" s="1">
        <v>1</v>
      </c>
      <c r="AB42" s="3"/>
      <c r="AC42" s="1"/>
      <c r="AD42" s="1"/>
      <c r="AE42" s="107" t="s">
        <v>1308</v>
      </c>
      <c r="AG42" t="e">
        <f ca="1">OFFSET(buff的资质计算!$M$1,MATCH(buff!D42,buff的资质计算!G:G,0)-1,0)*AA42*X42/10000</f>
        <v>#VALUE!</v>
      </c>
      <c r="AH42" t="e">
        <f ca="1">AG42/OFFSET(buff的资质计算!$M$1,MATCH(buff!D42,buff的资质计算!G:G,0)-1,0)</f>
        <v>#VALUE!</v>
      </c>
    </row>
    <row r="43" ht="21" customHeight="1" spans="1:34">
      <c r="A43" s="153">
        <f t="shared" si="2"/>
        <v>101103</v>
      </c>
      <c r="B43" s="186" t="s">
        <v>1329</v>
      </c>
      <c r="C43" s="186" t="str">
        <f t="shared" si="1"/>
        <v>使下1招伤害增加74%</v>
      </c>
      <c r="D43" s="186">
        <v>1</v>
      </c>
      <c r="E43" s="3">
        <v>1</v>
      </c>
      <c r="F43" s="186">
        <v>1</v>
      </c>
      <c r="G43" s="1">
        <v>7</v>
      </c>
      <c r="H43" s="1">
        <v>1</v>
      </c>
      <c r="I43" s="1"/>
      <c r="J43" s="1"/>
      <c r="K43" s="1">
        <v>4</v>
      </c>
      <c r="L43" s="1">
        <v>2</v>
      </c>
      <c r="M43">
        <v>1</v>
      </c>
      <c r="Q43" s="1">
        <v>1</v>
      </c>
      <c r="R43" s="3">
        <v>10000</v>
      </c>
      <c r="S43" s="1"/>
      <c r="T43" s="1"/>
      <c r="U43" s="1"/>
      <c r="W43" s="1">
        <v>2</v>
      </c>
      <c r="X43" s="1">
        <v>7400</v>
      </c>
      <c r="AA43" s="1">
        <v>1</v>
      </c>
      <c r="AB43" s="3"/>
      <c r="AC43" s="1"/>
      <c r="AD43" s="1"/>
      <c r="AE43" s="107" t="s">
        <v>1308</v>
      </c>
      <c r="AG43" t="e">
        <f ca="1">OFFSET(buff的资质计算!$M$1,MATCH(buff!D43,buff的资质计算!G:G,0)-1,0)*AA43*X43/10000</f>
        <v>#VALUE!</v>
      </c>
      <c r="AH43" t="e">
        <f ca="1">AG43/OFFSET(buff的资质计算!$M$1,MATCH(buff!D43,buff的资质计算!G:G,0)-1,0)</f>
        <v>#VALUE!</v>
      </c>
    </row>
    <row r="44" ht="21" customHeight="1" spans="1:34">
      <c r="A44" s="153">
        <f t="shared" si="2"/>
        <v>101104</v>
      </c>
      <c r="B44" s="186" t="s">
        <v>1330</v>
      </c>
      <c r="C44" s="186" t="str">
        <f t="shared" si="1"/>
        <v>使下1招伤害增加76%</v>
      </c>
      <c r="D44" s="186">
        <v>1</v>
      </c>
      <c r="E44" s="3">
        <v>1</v>
      </c>
      <c r="F44" s="186">
        <v>1</v>
      </c>
      <c r="G44" s="1">
        <v>7</v>
      </c>
      <c r="H44" s="1">
        <v>1</v>
      </c>
      <c r="I44" s="1"/>
      <c r="J44" s="1"/>
      <c r="K44" s="1">
        <v>4</v>
      </c>
      <c r="L44" s="1">
        <v>2</v>
      </c>
      <c r="M44">
        <v>1</v>
      </c>
      <c r="Q44" s="1">
        <v>1</v>
      </c>
      <c r="R44" s="3">
        <v>10000</v>
      </c>
      <c r="S44" s="1"/>
      <c r="T44" s="1"/>
      <c r="U44" s="1"/>
      <c r="W44" s="1">
        <v>2</v>
      </c>
      <c r="X44" s="1">
        <v>7600</v>
      </c>
      <c r="AA44" s="1">
        <v>1</v>
      </c>
      <c r="AB44" s="3"/>
      <c r="AC44" s="1"/>
      <c r="AD44" s="1"/>
      <c r="AE44" s="107" t="s">
        <v>1308</v>
      </c>
      <c r="AG44" t="e">
        <f ca="1">OFFSET(buff的资质计算!$M$1,MATCH(buff!D44,buff的资质计算!G:G,0)-1,0)*AA44*X44/10000</f>
        <v>#VALUE!</v>
      </c>
      <c r="AH44" t="e">
        <f ca="1">AG44/OFFSET(buff的资质计算!$M$1,MATCH(buff!D44,buff的资质计算!G:G,0)-1,0)</f>
        <v>#VALUE!</v>
      </c>
    </row>
    <row r="45" ht="21" customHeight="1" spans="1:34">
      <c r="A45" s="153">
        <f t="shared" si="2"/>
        <v>101105</v>
      </c>
      <c r="B45" s="186" t="s">
        <v>1331</v>
      </c>
      <c r="C45" s="186" t="str">
        <f t="shared" si="1"/>
        <v>使下1招伤害增加78%</v>
      </c>
      <c r="D45" s="186">
        <v>1</v>
      </c>
      <c r="E45" s="3">
        <v>1</v>
      </c>
      <c r="F45" s="186">
        <v>1</v>
      </c>
      <c r="G45" s="1">
        <v>7</v>
      </c>
      <c r="H45" s="1">
        <v>1</v>
      </c>
      <c r="I45" s="1"/>
      <c r="J45" s="1"/>
      <c r="K45" s="1">
        <v>4</v>
      </c>
      <c r="L45" s="1">
        <v>2</v>
      </c>
      <c r="M45">
        <v>1</v>
      </c>
      <c r="Q45" s="1">
        <v>1</v>
      </c>
      <c r="R45" s="3">
        <v>10000</v>
      </c>
      <c r="S45" s="1"/>
      <c r="T45" s="1"/>
      <c r="U45" s="1"/>
      <c r="W45" s="1">
        <v>2</v>
      </c>
      <c r="X45" s="1">
        <v>7800</v>
      </c>
      <c r="AA45" s="1">
        <v>1</v>
      </c>
      <c r="AB45" s="3"/>
      <c r="AC45" s="1"/>
      <c r="AD45" s="1"/>
      <c r="AE45" s="107" t="s">
        <v>1308</v>
      </c>
      <c r="AG45" t="e">
        <f ca="1">OFFSET(buff的资质计算!$M$1,MATCH(buff!D45,buff的资质计算!G:G,0)-1,0)*AA45*X45/10000</f>
        <v>#VALUE!</v>
      </c>
      <c r="AH45" t="e">
        <f ca="1">AG45/OFFSET(buff的资质计算!$M$1,MATCH(buff!D45,buff的资质计算!G:G,0)-1,0)</f>
        <v>#VALUE!</v>
      </c>
    </row>
    <row r="46" ht="21" customHeight="1" spans="1:34">
      <c r="A46" s="153">
        <f t="shared" si="2"/>
        <v>101106</v>
      </c>
      <c r="B46" s="186" t="s">
        <v>1332</v>
      </c>
      <c r="C46" s="186" t="str">
        <f t="shared" si="1"/>
        <v>使下1招伤害增加80%</v>
      </c>
      <c r="D46" s="186">
        <v>1</v>
      </c>
      <c r="E46" s="3">
        <v>1</v>
      </c>
      <c r="F46" s="186">
        <v>1</v>
      </c>
      <c r="G46" s="1">
        <v>7</v>
      </c>
      <c r="H46" s="1">
        <v>1</v>
      </c>
      <c r="I46" s="1"/>
      <c r="J46" s="1"/>
      <c r="K46" s="1">
        <v>4</v>
      </c>
      <c r="L46" s="1">
        <v>2</v>
      </c>
      <c r="M46">
        <v>1</v>
      </c>
      <c r="Q46" s="1">
        <v>1</v>
      </c>
      <c r="R46" s="3">
        <v>10000</v>
      </c>
      <c r="S46" s="1"/>
      <c r="T46" s="1"/>
      <c r="U46" s="1"/>
      <c r="W46" s="1">
        <v>2</v>
      </c>
      <c r="X46" s="1">
        <v>8000</v>
      </c>
      <c r="AA46" s="1">
        <v>1</v>
      </c>
      <c r="AB46" s="3"/>
      <c r="AC46" s="1"/>
      <c r="AD46" s="1"/>
      <c r="AE46" s="107" t="s">
        <v>1308</v>
      </c>
      <c r="AG46" t="e">
        <f ca="1">OFFSET(buff的资质计算!$M$1,MATCH(buff!D46,buff的资质计算!G:G,0)-1,0)*AA46*X46/10000</f>
        <v>#VALUE!</v>
      </c>
      <c r="AH46" t="e">
        <f ca="1">AG46/OFFSET(buff的资质计算!$M$1,MATCH(buff!D46,buff的资质计算!G:G,0)-1,0)</f>
        <v>#VALUE!</v>
      </c>
    </row>
    <row r="47" ht="21" customHeight="1" spans="1:34">
      <c r="A47" s="153">
        <f t="shared" si="2"/>
        <v>101107</v>
      </c>
      <c r="B47" s="186" t="s">
        <v>1333</v>
      </c>
      <c r="C47" s="186" t="str">
        <f t="shared" si="1"/>
        <v>使下1招伤害增加82%</v>
      </c>
      <c r="D47" s="186">
        <v>1</v>
      </c>
      <c r="E47" s="3">
        <v>1</v>
      </c>
      <c r="F47" s="186">
        <v>1</v>
      </c>
      <c r="G47" s="1">
        <v>7</v>
      </c>
      <c r="H47" s="1">
        <v>1</v>
      </c>
      <c r="I47" s="1"/>
      <c r="J47" s="1"/>
      <c r="K47" s="1">
        <v>4</v>
      </c>
      <c r="L47" s="1">
        <v>2</v>
      </c>
      <c r="M47">
        <v>1</v>
      </c>
      <c r="Q47" s="1">
        <v>1</v>
      </c>
      <c r="R47" s="3">
        <v>10000</v>
      </c>
      <c r="S47" s="1"/>
      <c r="T47" s="1"/>
      <c r="U47" s="1"/>
      <c r="W47" s="1">
        <v>2</v>
      </c>
      <c r="X47" s="1">
        <v>8200</v>
      </c>
      <c r="AA47" s="1">
        <v>1</v>
      </c>
      <c r="AB47" s="3"/>
      <c r="AC47" s="1"/>
      <c r="AD47" s="1"/>
      <c r="AE47" s="107" t="s">
        <v>1308</v>
      </c>
      <c r="AG47" t="e">
        <f ca="1">OFFSET(buff的资质计算!$M$1,MATCH(buff!D47,buff的资质计算!G:G,0)-1,0)*AA47*X47/10000</f>
        <v>#VALUE!</v>
      </c>
      <c r="AH47" t="e">
        <f ca="1">AG47/OFFSET(buff的资质计算!$M$1,MATCH(buff!D47,buff的资质计算!G:G,0)-1,0)</f>
        <v>#VALUE!</v>
      </c>
    </row>
    <row r="48" ht="21" customHeight="1" spans="1:34">
      <c r="A48" s="153">
        <f t="shared" si="2"/>
        <v>101108</v>
      </c>
      <c r="B48" s="186" t="s">
        <v>1334</v>
      </c>
      <c r="C48" s="186" t="str">
        <f t="shared" si="1"/>
        <v>使下1招伤害增加84%</v>
      </c>
      <c r="D48" s="186">
        <v>1</v>
      </c>
      <c r="E48" s="3">
        <v>1</v>
      </c>
      <c r="F48" s="186">
        <v>1</v>
      </c>
      <c r="G48" s="1">
        <v>7</v>
      </c>
      <c r="H48" s="1">
        <v>1</v>
      </c>
      <c r="I48" s="1"/>
      <c r="J48" s="1"/>
      <c r="K48" s="1">
        <v>4</v>
      </c>
      <c r="L48" s="1">
        <v>2</v>
      </c>
      <c r="M48">
        <v>1</v>
      </c>
      <c r="Q48" s="1">
        <v>1</v>
      </c>
      <c r="R48" s="3">
        <v>10000</v>
      </c>
      <c r="S48" s="1"/>
      <c r="T48" s="1"/>
      <c r="U48" s="1"/>
      <c r="W48" s="1">
        <v>2</v>
      </c>
      <c r="X48" s="1">
        <v>8400</v>
      </c>
      <c r="AA48" s="1">
        <v>1</v>
      </c>
      <c r="AB48" s="3"/>
      <c r="AC48" s="1"/>
      <c r="AD48" s="1"/>
      <c r="AE48" s="107" t="s">
        <v>1308</v>
      </c>
      <c r="AG48" t="e">
        <f ca="1">OFFSET(buff的资质计算!$M$1,MATCH(buff!D48,buff的资质计算!G:G,0)-1,0)*AA48*X48/10000</f>
        <v>#VALUE!</v>
      </c>
      <c r="AH48" t="e">
        <f ca="1">AG48/OFFSET(buff的资质计算!$M$1,MATCH(buff!D48,buff的资质计算!G:G,0)-1,0)</f>
        <v>#VALUE!</v>
      </c>
    </row>
    <row r="49" ht="21" customHeight="1" spans="1:34">
      <c r="A49" s="153">
        <f t="shared" si="2"/>
        <v>101109</v>
      </c>
      <c r="B49" s="186" t="s">
        <v>1335</v>
      </c>
      <c r="C49" s="186" t="str">
        <f t="shared" si="1"/>
        <v>使下1招伤害增加86%</v>
      </c>
      <c r="D49" s="186">
        <v>1</v>
      </c>
      <c r="E49" s="3">
        <v>1</v>
      </c>
      <c r="F49" s="186">
        <v>1</v>
      </c>
      <c r="G49" s="1">
        <v>7</v>
      </c>
      <c r="H49" s="1">
        <v>1</v>
      </c>
      <c r="I49" s="1"/>
      <c r="J49" s="1"/>
      <c r="K49" s="1">
        <v>4</v>
      </c>
      <c r="L49" s="1">
        <v>2</v>
      </c>
      <c r="M49">
        <v>1</v>
      </c>
      <c r="Q49" s="1">
        <v>1</v>
      </c>
      <c r="R49" s="3">
        <v>10000</v>
      </c>
      <c r="S49" s="1"/>
      <c r="T49" s="1"/>
      <c r="U49" s="1"/>
      <c r="W49" s="1">
        <v>2</v>
      </c>
      <c r="X49" s="1">
        <v>8600</v>
      </c>
      <c r="AA49" s="1">
        <v>1</v>
      </c>
      <c r="AB49" s="3"/>
      <c r="AC49" s="1"/>
      <c r="AD49" s="1"/>
      <c r="AE49" s="107" t="s">
        <v>1308</v>
      </c>
      <c r="AG49" t="e">
        <f ca="1">OFFSET(buff的资质计算!$M$1,MATCH(buff!D49,buff的资质计算!G:G,0)-1,0)*AA49*X49/10000</f>
        <v>#VALUE!</v>
      </c>
      <c r="AH49" t="e">
        <f ca="1">AG49/OFFSET(buff的资质计算!$M$1,MATCH(buff!D49,buff的资质计算!G:G,0)-1,0)</f>
        <v>#VALUE!</v>
      </c>
    </row>
    <row r="50" ht="21" customHeight="1" spans="1:34">
      <c r="A50" s="153">
        <f t="shared" si="2"/>
        <v>101110</v>
      </c>
      <c r="B50" s="186" t="s">
        <v>1336</v>
      </c>
      <c r="C50" s="186" t="str">
        <f t="shared" si="1"/>
        <v>使下1招伤害增加88%</v>
      </c>
      <c r="D50" s="186">
        <v>1</v>
      </c>
      <c r="E50" s="3">
        <v>1</v>
      </c>
      <c r="F50" s="186">
        <v>1</v>
      </c>
      <c r="G50" s="1">
        <v>7</v>
      </c>
      <c r="H50" s="1">
        <v>1</v>
      </c>
      <c r="I50" s="1"/>
      <c r="J50" s="1"/>
      <c r="K50" s="1">
        <v>4</v>
      </c>
      <c r="L50" s="1">
        <v>2</v>
      </c>
      <c r="M50">
        <v>1</v>
      </c>
      <c r="Q50" s="1">
        <v>1</v>
      </c>
      <c r="R50" s="3">
        <v>10000</v>
      </c>
      <c r="S50" s="1"/>
      <c r="T50" s="1"/>
      <c r="U50" s="1"/>
      <c r="W50" s="1">
        <v>2</v>
      </c>
      <c r="X50" s="1">
        <v>8800</v>
      </c>
      <c r="AA50" s="1">
        <v>1</v>
      </c>
      <c r="AB50" s="3"/>
      <c r="AC50" s="1"/>
      <c r="AD50" s="1"/>
      <c r="AE50" s="107" t="s">
        <v>1308</v>
      </c>
      <c r="AG50" t="e">
        <f ca="1">OFFSET(buff的资质计算!$M$1,MATCH(buff!D50,buff的资质计算!G:G,0)-1,0)*AA50*X50/10000</f>
        <v>#VALUE!</v>
      </c>
      <c r="AH50" t="e">
        <f ca="1">AG50/OFFSET(buff的资质计算!$M$1,MATCH(buff!D50,buff的资质计算!G:G,0)-1,0)</f>
        <v>#VALUE!</v>
      </c>
    </row>
    <row r="51" ht="21" customHeight="1" spans="1:34">
      <c r="A51" s="153">
        <f t="shared" si="2"/>
        <v>101111</v>
      </c>
      <c r="B51" s="186" t="s">
        <v>1337</v>
      </c>
      <c r="C51" s="186" t="str">
        <f t="shared" si="1"/>
        <v>使下1招伤害增加90%</v>
      </c>
      <c r="D51" s="186">
        <v>1</v>
      </c>
      <c r="E51" s="3">
        <v>1</v>
      </c>
      <c r="F51" s="186">
        <v>1</v>
      </c>
      <c r="G51" s="1">
        <v>7</v>
      </c>
      <c r="H51" s="1">
        <v>1</v>
      </c>
      <c r="I51" s="1"/>
      <c r="J51" s="1"/>
      <c r="K51" s="1">
        <v>4</v>
      </c>
      <c r="L51" s="1">
        <v>2</v>
      </c>
      <c r="M51">
        <v>1</v>
      </c>
      <c r="Q51" s="1">
        <v>1</v>
      </c>
      <c r="R51" s="3">
        <v>10000</v>
      </c>
      <c r="S51" s="1"/>
      <c r="T51" s="1"/>
      <c r="U51" s="1"/>
      <c r="W51" s="1">
        <v>2</v>
      </c>
      <c r="X51" s="1">
        <v>9000</v>
      </c>
      <c r="AA51" s="1">
        <v>1</v>
      </c>
      <c r="AB51" s="3"/>
      <c r="AC51" s="1"/>
      <c r="AD51" s="1"/>
      <c r="AE51" s="107" t="s">
        <v>1308</v>
      </c>
      <c r="AG51" t="e">
        <f ca="1">OFFSET(buff的资质计算!$M$1,MATCH(buff!D51,buff的资质计算!G:G,0)-1,0)*AA51*X51/10000</f>
        <v>#VALUE!</v>
      </c>
      <c r="AH51" t="e">
        <f ca="1">AG51/OFFSET(buff的资质计算!$M$1,MATCH(buff!D51,buff的资质计算!G:G,0)-1,0)</f>
        <v>#VALUE!</v>
      </c>
    </row>
    <row r="52" ht="21" customHeight="1" spans="1:34">
      <c r="A52" s="153">
        <f t="shared" si="2"/>
        <v>101112</v>
      </c>
      <c r="B52" s="186" t="s">
        <v>1338</v>
      </c>
      <c r="C52" s="186" t="str">
        <f t="shared" si="1"/>
        <v>使下1招伤害增加92%</v>
      </c>
      <c r="D52" s="186">
        <v>1</v>
      </c>
      <c r="E52" s="3">
        <v>1</v>
      </c>
      <c r="F52" s="186">
        <v>1</v>
      </c>
      <c r="G52" s="1">
        <v>7</v>
      </c>
      <c r="H52" s="1">
        <v>1</v>
      </c>
      <c r="I52" s="1"/>
      <c r="J52" s="1"/>
      <c r="K52" s="1">
        <v>4</v>
      </c>
      <c r="L52" s="1">
        <v>2</v>
      </c>
      <c r="M52">
        <v>1</v>
      </c>
      <c r="Q52" s="1">
        <v>1</v>
      </c>
      <c r="R52" s="3">
        <v>10000</v>
      </c>
      <c r="S52" s="1"/>
      <c r="T52" s="1"/>
      <c r="U52" s="1"/>
      <c r="W52" s="1">
        <v>2</v>
      </c>
      <c r="X52" s="1">
        <v>9200</v>
      </c>
      <c r="AA52" s="1">
        <v>1</v>
      </c>
      <c r="AB52" s="3"/>
      <c r="AC52" s="1"/>
      <c r="AD52" s="1"/>
      <c r="AE52" s="107" t="s">
        <v>1308</v>
      </c>
      <c r="AG52" t="e">
        <f ca="1">OFFSET(buff的资质计算!$M$1,MATCH(buff!D52,buff的资质计算!G:G,0)-1,0)*AA52*X52/10000</f>
        <v>#VALUE!</v>
      </c>
      <c r="AH52" t="e">
        <f ca="1">AG52/OFFSET(buff的资质计算!$M$1,MATCH(buff!D52,buff的资质计算!G:G,0)-1,0)</f>
        <v>#VALUE!</v>
      </c>
    </row>
    <row r="53" ht="21" customHeight="1" spans="1:34">
      <c r="A53" s="153">
        <f t="shared" si="2"/>
        <v>101113</v>
      </c>
      <c r="B53" s="186" t="s">
        <v>1339</v>
      </c>
      <c r="C53" s="186" t="str">
        <f t="shared" si="1"/>
        <v>使下1招伤害增加94%</v>
      </c>
      <c r="D53" s="186">
        <v>1</v>
      </c>
      <c r="E53" s="3">
        <v>1</v>
      </c>
      <c r="F53" s="186">
        <v>1</v>
      </c>
      <c r="G53" s="1">
        <v>7</v>
      </c>
      <c r="H53" s="1">
        <v>1</v>
      </c>
      <c r="I53" s="1"/>
      <c r="J53" s="1"/>
      <c r="K53" s="1">
        <v>4</v>
      </c>
      <c r="L53" s="1">
        <v>2</v>
      </c>
      <c r="M53">
        <v>1</v>
      </c>
      <c r="Q53" s="1">
        <v>1</v>
      </c>
      <c r="R53" s="3">
        <v>10000</v>
      </c>
      <c r="S53" s="1"/>
      <c r="T53" s="1"/>
      <c r="U53" s="1"/>
      <c r="W53" s="1">
        <v>2</v>
      </c>
      <c r="X53" s="1">
        <v>9400</v>
      </c>
      <c r="AA53" s="1">
        <v>1</v>
      </c>
      <c r="AB53" s="3"/>
      <c r="AC53" s="1"/>
      <c r="AD53" s="1"/>
      <c r="AE53" s="107" t="s">
        <v>1308</v>
      </c>
      <c r="AG53" t="e">
        <f ca="1">OFFSET(buff的资质计算!$M$1,MATCH(buff!D53,buff的资质计算!G:G,0)-1,0)*AA53*X53/10000</f>
        <v>#VALUE!</v>
      </c>
      <c r="AH53" t="e">
        <f ca="1">AG53/OFFSET(buff的资质计算!$M$1,MATCH(buff!D53,buff的资质计算!G:G,0)-1,0)</f>
        <v>#VALUE!</v>
      </c>
    </row>
    <row r="54" ht="21" customHeight="1" spans="1:34">
      <c r="A54" s="153">
        <f t="shared" si="2"/>
        <v>101114</v>
      </c>
      <c r="B54" s="186" t="s">
        <v>1340</v>
      </c>
      <c r="C54" s="186" t="str">
        <f t="shared" si="1"/>
        <v>使下1招伤害增加96%</v>
      </c>
      <c r="D54" s="186">
        <v>1</v>
      </c>
      <c r="E54" s="3">
        <v>1</v>
      </c>
      <c r="F54" s="186">
        <v>1</v>
      </c>
      <c r="G54" s="1">
        <v>7</v>
      </c>
      <c r="H54" s="1">
        <v>1</v>
      </c>
      <c r="I54" s="1"/>
      <c r="J54" s="1"/>
      <c r="K54" s="1">
        <v>4</v>
      </c>
      <c r="L54" s="1">
        <v>2</v>
      </c>
      <c r="M54">
        <v>1</v>
      </c>
      <c r="Q54" s="1">
        <v>1</v>
      </c>
      <c r="R54" s="3">
        <v>10000</v>
      </c>
      <c r="S54" s="1"/>
      <c r="T54" s="1"/>
      <c r="U54" s="1"/>
      <c r="W54" s="1">
        <v>2</v>
      </c>
      <c r="X54" s="1">
        <v>9600</v>
      </c>
      <c r="AA54" s="1">
        <v>1</v>
      </c>
      <c r="AB54" s="3"/>
      <c r="AC54" s="1"/>
      <c r="AD54" s="1"/>
      <c r="AE54" s="107" t="s">
        <v>1308</v>
      </c>
      <c r="AG54" t="e">
        <f ca="1">OFFSET(buff的资质计算!$M$1,MATCH(buff!D54,buff的资质计算!G:G,0)-1,0)*AA54*X54/10000</f>
        <v>#VALUE!</v>
      </c>
      <c r="AH54" t="e">
        <f ca="1">AG54/OFFSET(buff的资质计算!$M$1,MATCH(buff!D54,buff的资质计算!G:G,0)-1,0)</f>
        <v>#VALUE!</v>
      </c>
    </row>
    <row r="55" ht="21" customHeight="1" spans="1:34">
      <c r="A55" s="153">
        <f t="shared" si="2"/>
        <v>101115</v>
      </c>
      <c r="B55" s="186" t="s">
        <v>1341</v>
      </c>
      <c r="C55" s="186" t="str">
        <f t="shared" si="1"/>
        <v>使下1招伤害增加98%</v>
      </c>
      <c r="D55" s="186">
        <v>1</v>
      </c>
      <c r="E55" s="3">
        <v>1</v>
      </c>
      <c r="F55" s="186">
        <v>1</v>
      </c>
      <c r="G55" s="1">
        <v>7</v>
      </c>
      <c r="H55" s="1">
        <v>1</v>
      </c>
      <c r="I55" s="1"/>
      <c r="J55" s="1"/>
      <c r="K55" s="1">
        <v>4</v>
      </c>
      <c r="L55" s="1">
        <v>2</v>
      </c>
      <c r="M55">
        <v>1</v>
      </c>
      <c r="Q55" s="1">
        <v>1</v>
      </c>
      <c r="R55" s="3">
        <v>10000</v>
      </c>
      <c r="S55" s="1"/>
      <c r="T55" s="1"/>
      <c r="U55" s="1"/>
      <c r="W55" s="1">
        <v>2</v>
      </c>
      <c r="X55" s="1">
        <v>9800</v>
      </c>
      <c r="AA55" s="1">
        <v>1</v>
      </c>
      <c r="AB55" s="3"/>
      <c r="AC55" s="1"/>
      <c r="AD55" s="1"/>
      <c r="AE55" s="107" t="s">
        <v>1308</v>
      </c>
      <c r="AG55" t="e">
        <f ca="1">OFFSET(buff的资质计算!$M$1,MATCH(buff!D55,buff的资质计算!G:G,0)-1,0)*AA55*X55/10000</f>
        <v>#VALUE!</v>
      </c>
      <c r="AH55" t="e">
        <f ca="1">AG55/OFFSET(buff的资质计算!$M$1,MATCH(buff!D55,buff的资质计算!G:G,0)-1,0)</f>
        <v>#VALUE!</v>
      </c>
    </row>
    <row r="56" ht="21" customHeight="1" spans="1:34">
      <c r="A56" s="153">
        <f t="shared" si="2"/>
        <v>101116</v>
      </c>
      <c r="B56" s="186" t="s">
        <v>1342</v>
      </c>
      <c r="C56" s="186" t="str">
        <f t="shared" si="1"/>
        <v>使下1招伤害增加100%</v>
      </c>
      <c r="D56" s="186">
        <v>1</v>
      </c>
      <c r="E56" s="3">
        <v>1</v>
      </c>
      <c r="F56" s="186">
        <v>1</v>
      </c>
      <c r="G56" s="1">
        <v>7</v>
      </c>
      <c r="H56" s="1">
        <v>1</v>
      </c>
      <c r="I56" s="1"/>
      <c r="J56" s="1"/>
      <c r="K56" s="1">
        <v>4</v>
      </c>
      <c r="L56" s="1">
        <v>2</v>
      </c>
      <c r="M56">
        <v>1</v>
      </c>
      <c r="Q56" s="1">
        <v>1</v>
      </c>
      <c r="R56" s="3">
        <v>10000</v>
      </c>
      <c r="S56" s="1"/>
      <c r="T56" s="1"/>
      <c r="U56" s="1"/>
      <c r="W56" s="1">
        <v>2</v>
      </c>
      <c r="X56" s="1">
        <v>10000</v>
      </c>
      <c r="AA56" s="1">
        <v>1</v>
      </c>
      <c r="AB56" s="3"/>
      <c r="AC56" s="1"/>
      <c r="AD56" s="1"/>
      <c r="AE56" s="107" t="s">
        <v>1308</v>
      </c>
      <c r="AG56" t="e">
        <f ca="1">OFFSET(buff的资质计算!$M$1,MATCH(buff!D56,buff的资质计算!G:G,0)-1,0)*AA56*X56/10000</f>
        <v>#VALUE!</v>
      </c>
      <c r="AH56" t="e">
        <f ca="1">AG56/OFFSET(buff的资质计算!$M$1,MATCH(buff!D56,buff的资质计算!G:G,0)-1,0)</f>
        <v>#VALUE!</v>
      </c>
    </row>
    <row r="57" ht="21" customHeight="1" spans="1:34">
      <c r="A57" s="153">
        <f t="shared" si="2"/>
        <v>101117</v>
      </c>
      <c r="B57" s="186" t="s">
        <v>1343</v>
      </c>
      <c r="C57" s="186" t="str">
        <f t="shared" si="1"/>
        <v>使下1招伤害增加102%</v>
      </c>
      <c r="D57" s="186">
        <v>1</v>
      </c>
      <c r="E57" s="3">
        <v>1</v>
      </c>
      <c r="F57" s="186">
        <v>1</v>
      </c>
      <c r="G57" s="1">
        <v>7</v>
      </c>
      <c r="H57" s="1">
        <v>1</v>
      </c>
      <c r="I57" s="1"/>
      <c r="J57" s="1"/>
      <c r="K57" s="1">
        <v>4</v>
      </c>
      <c r="L57" s="1">
        <v>2</v>
      </c>
      <c r="M57">
        <v>1</v>
      </c>
      <c r="Q57" s="1">
        <v>1</v>
      </c>
      <c r="R57" s="3">
        <v>10000</v>
      </c>
      <c r="S57" s="1"/>
      <c r="T57" s="1"/>
      <c r="U57" s="1"/>
      <c r="W57" s="1">
        <v>2</v>
      </c>
      <c r="X57" s="1">
        <v>10200</v>
      </c>
      <c r="AA57" s="1">
        <v>1</v>
      </c>
      <c r="AB57" s="3"/>
      <c r="AC57" s="1"/>
      <c r="AD57" s="1"/>
      <c r="AE57" s="107" t="s">
        <v>1308</v>
      </c>
      <c r="AG57" t="e">
        <f ca="1">OFFSET(buff的资质计算!$M$1,MATCH(buff!D57,buff的资质计算!G:G,0)-1,0)*AA57*X57/10000</f>
        <v>#VALUE!</v>
      </c>
      <c r="AH57" t="e">
        <f ca="1">AG57/OFFSET(buff的资质计算!$M$1,MATCH(buff!D57,buff的资质计算!G:G,0)-1,0)</f>
        <v>#VALUE!</v>
      </c>
    </row>
    <row r="58" ht="21" customHeight="1" spans="1:34">
      <c r="A58" s="153">
        <f t="shared" si="2"/>
        <v>101118</v>
      </c>
      <c r="B58" s="186" t="s">
        <v>1344</v>
      </c>
      <c r="C58" s="186" t="str">
        <f t="shared" si="1"/>
        <v>使下1招伤害增加104%</v>
      </c>
      <c r="D58" s="186">
        <v>1</v>
      </c>
      <c r="E58" s="3">
        <v>1</v>
      </c>
      <c r="F58" s="186">
        <v>1</v>
      </c>
      <c r="G58" s="1">
        <v>7</v>
      </c>
      <c r="H58" s="1">
        <v>1</v>
      </c>
      <c r="I58" s="1"/>
      <c r="J58" s="1"/>
      <c r="K58" s="1">
        <v>4</v>
      </c>
      <c r="L58" s="1">
        <v>2</v>
      </c>
      <c r="M58">
        <v>1</v>
      </c>
      <c r="Q58" s="1">
        <v>1</v>
      </c>
      <c r="R58" s="3">
        <v>10000</v>
      </c>
      <c r="S58" s="1"/>
      <c r="T58" s="1"/>
      <c r="U58" s="1"/>
      <c r="W58" s="1">
        <v>2</v>
      </c>
      <c r="X58" s="1">
        <v>10400</v>
      </c>
      <c r="AA58" s="1">
        <v>1</v>
      </c>
      <c r="AB58" s="3"/>
      <c r="AC58" s="1"/>
      <c r="AD58" s="1"/>
      <c r="AE58" s="107" t="s">
        <v>1308</v>
      </c>
      <c r="AG58" t="e">
        <f ca="1">OFFSET(buff的资质计算!$M$1,MATCH(buff!D58,buff的资质计算!G:G,0)-1,0)*AA58*X58/10000</f>
        <v>#VALUE!</v>
      </c>
      <c r="AH58" t="e">
        <f ca="1">AG58/OFFSET(buff的资质计算!$M$1,MATCH(buff!D58,buff的资质计算!G:G,0)-1,0)</f>
        <v>#VALUE!</v>
      </c>
    </row>
    <row r="59" ht="21" customHeight="1" spans="1:34">
      <c r="A59" s="153">
        <f t="shared" si="2"/>
        <v>101119</v>
      </c>
      <c r="B59" s="186" t="s">
        <v>1345</v>
      </c>
      <c r="C59" s="186" t="str">
        <f t="shared" si="1"/>
        <v>使下1招伤害增加106%</v>
      </c>
      <c r="D59" s="186">
        <v>1</v>
      </c>
      <c r="E59" s="3">
        <v>1</v>
      </c>
      <c r="F59" s="186">
        <v>1</v>
      </c>
      <c r="G59" s="1">
        <v>7</v>
      </c>
      <c r="H59" s="1">
        <v>1</v>
      </c>
      <c r="I59" s="1"/>
      <c r="J59" s="1"/>
      <c r="K59" s="1">
        <v>4</v>
      </c>
      <c r="L59" s="1">
        <v>2</v>
      </c>
      <c r="M59">
        <v>1</v>
      </c>
      <c r="Q59" s="1">
        <v>1</v>
      </c>
      <c r="R59" s="3">
        <v>10000</v>
      </c>
      <c r="S59" s="1"/>
      <c r="T59" s="1"/>
      <c r="U59" s="1"/>
      <c r="W59" s="1">
        <v>2</v>
      </c>
      <c r="X59" s="1">
        <v>10600</v>
      </c>
      <c r="AA59" s="1">
        <v>1</v>
      </c>
      <c r="AB59" s="3"/>
      <c r="AC59" s="1"/>
      <c r="AD59" s="1"/>
      <c r="AE59" s="107" t="s">
        <v>1308</v>
      </c>
      <c r="AG59" t="e">
        <f ca="1">OFFSET(buff的资质计算!$M$1,MATCH(buff!D59,buff的资质计算!G:G,0)-1,0)*AA59*X59/10000</f>
        <v>#VALUE!</v>
      </c>
      <c r="AH59" t="e">
        <f ca="1">AG59/OFFSET(buff的资质计算!$M$1,MATCH(buff!D59,buff的资质计算!G:G,0)-1,0)</f>
        <v>#VALUE!</v>
      </c>
    </row>
    <row r="60" ht="21" customHeight="1" spans="1:34">
      <c r="A60" s="153">
        <f t="shared" si="2"/>
        <v>101120</v>
      </c>
      <c r="B60" s="186" t="s">
        <v>1346</v>
      </c>
      <c r="C60" s="186" t="str">
        <f t="shared" si="1"/>
        <v>使下1招伤害增加108%</v>
      </c>
      <c r="D60" s="186">
        <v>1</v>
      </c>
      <c r="E60" s="3">
        <v>1</v>
      </c>
      <c r="F60" s="186">
        <v>1</v>
      </c>
      <c r="G60" s="1">
        <v>7</v>
      </c>
      <c r="H60" s="1">
        <v>1</v>
      </c>
      <c r="I60" s="1"/>
      <c r="J60" s="1"/>
      <c r="K60" s="1">
        <v>4</v>
      </c>
      <c r="L60" s="1">
        <v>2</v>
      </c>
      <c r="M60">
        <v>1</v>
      </c>
      <c r="Q60" s="1">
        <v>1</v>
      </c>
      <c r="R60" s="3">
        <v>10000</v>
      </c>
      <c r="S60" s="1"/>
      <c r="T60" s="1"/>
      <c r="U60" s="1"/>
      <c r="W60" s="1">
        <v>2</v>
      </c>
      <c r="X60" s="1">
        <v>10800</v>
      </c>
      <c r="AA60" s="1">
        <v>1</v>
      </c>
      <c r="AB60" s="3"/>
      <c r="AC60" s="1"/>
      <c r="AD60" s="1"/>
      <c r="AE60" s="107" t="s">
        <v>1308</v>
      </c>
      <c r="AG60" t="e">
        <f ca="1">OFFSET(buff的资质计算!$M$1,MATCH(buff!D60,buff的资质计算!G:G,0)-1,0)*AA60*X60/10000</f>
        <v>#VALUE!</v>
      </c>
      <c r="AH60" t="e">
        <f ca="1">AG60/OFFSET(buff的资质计算!$M$1,MATCH(buff!D60,buff的资质计算!G:G,0)-1,0)</f>
        <v>#VALUE!</v>
      </c>
    </row>
    <row r="61" ht="21" customHeight="1" spans="1:34">
      <c r="A61" s="153">
        <f t="shared" si="2"/>
        <v>101121</v>
      </c>
      <c r="B61" s="186" t="s">
        <v>1347</v>
      </c>
      <c r="C61" s="186" t="str">
        <f t="shared" si="1"/>
        <v>使下1招伤害增加110%</v>
      </c>
      <c r="D61" s="186">
        <v>1</v>
      </c>
      <c r="E61" s="3">
        <v>1</v>
      </c>
      <c r="F61" s="186">
        <v>1</v>
      </c>
      <c r="G61" s="1">
        <v>7</v>
      </c>
      <c r="H61" s="1">
        <v>1</v>
      </c>
      <c r="I61" s="1"/>
      <c r="J61" s="1"/>
      <c r="K61" s="1">
        <v>4</v>
      </c>
      <c r="L61" s="1">
        <v>2</v>
      </c>
      <c r="M61">
        <v>1</v>
      </c>
      <c r="Q61" s="1">
        <v>1</v>
      </c>
      <c r="R61" s="3">
        <v>10000</v>
      </c>
      <c r="S61" s="1"/>
      <c r="T61" s="1"/>
      <c r="U61" s="1"/>
      <c r="W61" s="1">
        <v>2</v>
      </c>
      <c r="X61" s="1">
        <v>11000</v>
      </c>
      <c r="AA61" s="1">
        <v>1</v>
      </c>
      <c r="AB61" s="3"/>
      <c r="AC61" s="1"/>
      <c r="AD61" s="1"/>
      <c r="AE61" s="107" t="s">
        <v>1308</v>
      </c>
      <c r="AG61" t="e">
        <f ca="1">OFFSET(buff的资质计算!$M$1,MATCH(buff!D61,buff的资质计算!G:G,0)-1,0)*AA61*X61/10000</f>
        <v>#VALUE!</v>
      </c>
      <c r="AH61" t="e">
        <f ca="1">AG61/OFFSET(buff的资质计算!$M$1,MATCH(buff!D61,buff的资质计算!G:G,0)-1,0)</f>
        <v>#VALUE!</v>
      </c>
    </row>
    <row r="62" ht="21" customHeight="1" spans="1:34">
      <c r="A62" s="153">
        <f t="shared" si="2"/>
        <v>101122</v>
      </c>
      <c r="B62" s="186" t="s">
        <v>1348</v>
      </c>
      <c r="C62" s="186" t="str">
        <f t="shared" si="1"/>
        <v>使下1招伤害增加112%</v>
      </c>
      <c r="D62" s="186">
        <v>1</v>
      </c>
      <c r="E62" s="3">
        <v>1</v>
      </c>
      <c r="F62" s="186">
        <v>1</v>
      </c>
      <c r="G62" s="1">
        <v>7</v>
      </c>
      <c r="H62" s="1">
        <v>1</v>
      </c>
      <c r="I62" s="1"/>
      <c r="J62" s="1"/>
      <c r="K62" s="1">
        <v>4</v>
      </c>
      <c r="L62" s="1">
        <v>2</v>
      </c>
      <c r="M62">
        <v>1</v>
      </c>
      <c r="Q62" s="1">
        <v>1</v>
      </c>
      <c r="R62" s="3">
        <v>10000</v>
      </c>
      <c r="S62" s="1"/>
      <c r="T62" s="1"/>
      <c r="U62" s="1"/>
      <c r="W62" s="1">
        <v>2</v>
      </c>
      <c r="X62" s="1">
        <v>11200</v>
      </c>
      <c r="AA62" s="1">
        <v>1</v>
      </c>
      <c r="AB62" s="3"/>
      <c r="AC62" s="1"/>
      <c r="AD62" s="1"/>
      <c r="AE62" s="107" t="s">
        <v>1308</v>
      </c>
      <c r="AG62" t="e">
        <f ca="1">OFFSET(buff的资质计算!$M$1,MATCH(buff!D62,buff的资质计算!G:G,0)-1,0)*AA62*X62/10000</f>
        <v>#VALUE!</v>
      </c>
      <c r="AH62" t="e">
        <f ca="1">AG62/OFFSET(buff的资质计算!$M$1,MATCH(buff!D62,buff的资质计算!G:G,0)-1,0)</f>
        <v>#VALUE!</v>
      </c>
    </row>
    <row r="63" ht="21" customHeight="1" spans="1:34">
      <c r="A63" s="153">
        <f t="shared" si="2"/>
        <v>101123</v>
      </c>
      <c r="B63" s="186" t="s">
        <v>1349</v>
      </c>
      <c r="C63" s="186" t="str">
        <f t="shared" si="1"/>
        <v>使下1招伤害增加114%</v>
      </c>
      <c r="D63" s="186">
        <v>1</v>
      </c>
      <c r="E63" s="3">
        <v>1</v>
      </c>
      <c r="F63" s="186">
        <v>1</v>
      </c>
      <c r="G63" s="1">
        <v>7</v>
      </c>
      <c r="H63" s="1">
        <v>1</v>
      </c>
      <c r="I63" s="1"/>
      <c r="J63" s="1"/>
      <c r="K63" s="1">
        <v>4</v>
      </c>
      <c r="L63" s="1">
        <v>2</v>
      </c>
      <c r="M63">
        <v>1</v>
      </c>
      <c r="Q63" s="1">
        <v>1</v>
      </c>
      <c r="R63" s="3">
        <v>10000</v>
      </c>
      <c r="S63" s="1"/>
      <c r="T63" s="1"/>
      <c r="U63" s="1"/>
      <c r="W63" s="1">
        <v>2</v>
      </c>
      <c r="X63" s="1">
        <v>11400</v>
      </c>
      <c r="AA63" s="1">
        <v>1</v>
      </c>
      <c r="AB63" s="3"/>
      <c r="AC63" s="1"/>
      <c r="AD63" s="1"/>
      <c r="AE63" s="107" t="s">
        <v>1308</v>
      </c>
      <c r="AG63" t="e">
        <f ca="1">OFFSET(buff的资质计算!$M$1,MATCH(buff!D63,buff的资质计算!G:G,0)-1,0)*AA63*X63/10000</f>
        <v>#VALUE!</v>
      </c>
      <c r="AH63" t="e">
        <f ca="1">AG63/OFFSET(buff的资质计算!$M$1,MATCH(buff!D63,buff的资质计算!G:G,0)-1,0)</f>
        <v>#VALUE!</v>
      </c>
    </row>
    <row r="64" ht="21" customHeight="1" spans="1:34">
      <c r="A64" s="153">
        <f t="shared" si="2"/>
        <v>101124</v>
      </c>
      <c r="B64" s="186" t="s">
        <v>1350</v>
      </c>
      <c r="C64" s="186" t="str">
        <f t="shared" si="1"/>
        <v>使下1招伤害增加116%</v>
      </c>
      <c r="D64" s="186">
        <v>1</v>
      </c>
      <c r="E64" s="3">
        <v>1</v>
      </c>
      <c r="F64" s="186">
        <v>1</v>
      </c>
      <c r="G64" s="1">
        <v>7</v>
      </c>
      <c r="H64" s="1">
        <v>1</v>
      </c>
      <c r="I64" s="1"/>
      <c r="J64" s="1"/>
      <c r="K64" s="1">
        <v>4</v>
      </c>
      <c r="L64" s="1">
        <v>2</v>
      </c>
      <c r="M64">
        <v>1</v>
      </c>
      <c r="Q64" s="1">
        <v>1</v>
      </c>
      <c r="R64" s="3">
        <v>10000</v>
      </c>
      <c r="S64" s="1"/>
      <c r="T64" s="1"/>
      <c r="U64" s="1"/>
      <c r="W64" s="1">
        <v>2</v>
      </c>
      <c r="X64" s="1">
        <v>11600</v>
      </c>
      <c r="AA64" s="1">
        <v>1</v>
      </c>
      <c r="AB64" s="3"/>
      <c r="AC64" s="1"/>
      <c r="AD64" s="1"/>
      <c r="AE64" s="107" t="s">
        <v>1308</v>
      </c>
      <c r="AG64" t="e">
        <f ca="1">OFFSET(buff的资质计算!$M$1,MATCH(buff!D64,buff的资质计算!G:G,0)-1,0)*AA64*X64/10000</f>
        <v>#VALUE!</v>
      </c>
      <c r="AH64" t="e">
        <f ca="1">AG64/OFFSET(buff的资质计算!$M$1,MATCH(buff!D64,buff的资质计算!G:G,0)-1,0)</f>
        <v>#VALUE!</v>
      </c>
    </row>
    <row r="65" ht="21" customHeight="1" spans="1:34">
      <c r="A65" s="153">
        <f t="shared" si="2"/>
        <v>101125</v>
      </c>
      <c r="B65" s="186" t="s">
        <v>1351</v>
      </c>
      <c r="C65" s="186" t="str">
        <f t="shared" si="1"/>
        <v>使下1招伤害增加118%</v>
      </c>
      <c r="D65" s="186">
        <v>1</v>
      </c>
      <c r="E65" s="3">
        <v>1</v>
      </c>
      <c r="F65" s="186">
        <v>1</v>
      </c>
      <c r="G65" s="1">
        <v>7</v>
      </c>
      <c r="H65" s="1">
        <v>1</v>
      </c>
      <c r="I65" s="1"/>
      <c r="J65" s="1"/>
      <c r="K65" s="1">
        <v>4</v>
      </c>
      <c r="L65" s="1">
        <v>2</v>
      </c>
      <c r="M65">
        <v>1</v>
      </c>
      <c r="Q65" s="1">
        <v>1</v>
      </c>
      <c r="R65" s="3">
        <v>10000</v>
      </c>
      <c r="S65" s="1"/>
      <c r="T65" s="1"/>
      <c r="U65" s="1"/>
      <c r="W65" s="1">
        <v>2</v>
      </c>
      <c r="X65" s="1">
        <v>11800</v>
      </c>
      <c r="AA65" s="1">
        <v>1</v>
      </c>
      <c r="AB65" s="3"/>
      <c r="AC65" s="1"/>
      <c r="AD65" s="1"/>
      <c r="AE65" s="107" t="s">
        <v>1308</v>
      </c>
      <c r="AG65" t="e">
        <f ca="1">OFFSET(buff的资质计算!$M$1,MATCH(buff!D65,buff的资质计算!G:G,0)-1,0)*AA65*X65/10000</f>
        <v>#VALUE!</v>
      </c>
      <c r="AH65" t="e">
        <f ca="1">AG65/OFFSET(buff的资质计算!$M$1,MATCH(buff!D65,buff的资质计算!G:G,0)-1,0)</f>
        <v>#VALUE!</v>
      </c>
    </row>
    <row r="66" ht="21" customHeight="1" spans="1:34">
      <c r="A66" s="153">
        <f t="shared" si="2"/>
        <v>101126</v>
      </c>
      <c r="B66" s="186" t="s">
        <v>1352</v>
      </c>
      <c r="C66" s="186" t="str">
        <f t="shared" si="1"/>
        <v>使下1招伤害增加120%</v>
      </c>
      <c r="D66" s="186">
        <v>1</v>
      </c>
      <c r="E66" s="3">
        <v>1</v>
      </c>
      <c r="F66" s="186">
        <v>1</v>
      </c>
      <c r="G66" s="1">
        <v>7</v>
      </c>
      <c r="H66" s="1">
        <v>1</v>
      </c>
      <c r="I66" s="1"/>
      <c r="J66" s="1"/>
      <c r="K66" s="1">
        <v>4</v>
      </c>
      <c r="L66" s="1">
        <v>2</v>
      </c>
      <c r="M66">
        <v>1</v>
      </c>
      <c r="Q66" s="1">
        <v>1</v>
      </c>
      <c r="R66" s="3">
        <v>10000</v>
      </c>
      <c r="S66" s="1"/>
      <c r="T66" s="1"/>
      <c r="U66" s="1"/>
      <c r="W66" s="1">
        <v>2</v>
      </c>
      <c r="X66" s="1">
        <v>12000</v>
      </c>
      <c r="AA66" s="1">
        <v>1</v>
      </c>
      <c r="AB66" s="3"/>
      <c r="AC66" s="1"/>
      <c r="AD66" s="1"/>
      <c r="AE66" s="107" t="s">
        <v>1308</v>
      </c>
      <c r="AG66" t="e">
        <f ca="1">OFFSET(buff的资质计算!$M$1,MATCH(buff!D66,buff的资质计算!G:G,0)-1,0)*AA66*X66/10000</f>
        <v>#VALUE!</v>
      </c>
      <c r="AH66" t="e">
        <f ca="1">AG66/OFFSET(buff的资质计算!$M$1,MATCH(buff!D66,buff的资质计算!G:G,0)-1,0)</f>
        <v>#VALUE!</v>
      </c>
    </row>
    <row r="67" ht="21" customHeight="1" spans="1:34">
      <c r="A67" s="153">
        <f t="shared" si="2"/>
        <v>101127</v>
      </c>
      <c r="B67" s="186" t="s">
        <v>1353</v>
      </c>
      <c r="C67" s="186" t="str">
        <f t="shared" si="1"/>
        <v>使下1招伤害增加122%</v>
      </c>
      <c r="D67" s="186">
        <v>1</v>
      </c>
      <c r="E67" s="3">
        <v>1</v>
      </c>
      <c r="F67" s="186">
        <v>1</v>
      </c>
      <c r="G67" s="1">
        <v>7</v>
      </c>
      <c r="H67" s="1">
        <v>1</v>
      </c>
      <c r="I67" s="1"/>
      <c r="J67" s="1"/>
      <c r="K67" s="1">
        <v>4</v>
      </c>
      <c r="L67" s="1">
        <v>2</v>
      </c>
      <c r="M67">
        <v>1</v>
      </c>
      <c r="Q67" s="1">
        <v>1</v>
      </c>
      <c r="R67" s="3">
        <v>10000</v>
      </c>
      <c r="S67" s="1"/>
      <c r="T67" s="1"/>
      <c r="U67" s="1"/>
      <c r="W67" s="1">
        <v>2</v>
      </c>
      <c r="X67" s="1">
        <v>12200</v>
      </c>
      <c r="AA67" s="1">
        <v>1</v>
      </c>
      <c r="AB67" s="3"/>
      <c r="AC67" s="1"/>
      <c r="AD67" s="1"/>
      <c r="AE67" s="107" t="s">
        <v>1308</v>
      </c>
      <c r="AG67" t="e">
        <f ca="1">OFFSET(buff的资质计算!$M$1,MATCH(buff!D67,buff的资质计算!G:G,0)-1,0)*AA67*X67/10000</f>
        <v>#VALUE!</v>
      </c>
      <c r="AH67" t="e">
        <f ca="1">AG67/OFFSET(buff的资质计算!$M$1,MATCH(buff!D67,buff的资质计算!G:G,0)-1,0)</f>
        <v>#VALUE!</v>
      </c>
    </row>
    <row r="68" ht="21" customHeight="1" spans="1:34">
      <c r="A68" s="153">
        <f t="shared" si="2"/>
        <v>101128</v>
      </c>
      <c r="B68" s="186" t="s">
        <v>1354</v>
      </c>
      <c r="C68" s="186" t="str">
        <f t="shared" si="1"/>
        <v>使下1招伤害增加124%</v>
      </c>
      <c r="D68" s="186">
        <v>1</v>
      </c>
      <c r="E68" s="3">
        <v>1</v>
      </c>
      <c r="F68" s="186">
        <v>1</v>
      </c>
      <c r="G68" s="1">
        <v>7</v>
      </c>
      <c r="H68" s="1">
        <v>1</v>
      </c>
      <c r="I68" s="1"/>
      <c r="J68" s="1"/>
      <c r="K68" s="1">
        <v>4</v>
      </c>
      <c r="L68" s="1">
        <v>2</v>
      </c>
      <c r="M68">
        <v>1</v>
      </c>
      <c r="Q68" s="1">
        <v>1</v>
      </c>
      <c r="R68" s="3">
        <v>10000</v>
      </c>
      <c r="S68" s="1"/>
      <c r="T68" s="1"/>
      <c r="U68" s="1"/>
      <c r="W68" s="1">
        <v>2</v>
      </c>
      <c r="X68" s="1">
        <v>12400</v>
      </c>
      <c r="AA68" s="1">
        <v>1</v>
      </c>
      <c r="AB68" s="3"/>
      <c r="AC68" s="1"/>
      <c r="AD68" s="1"/>
      <c r="AE68" s="107" t="s">
        <v>1308</v>
      </c>
      <c r="AG68" t="e">
        <f ca="1">OFFSET(buff的资质计算!$M$1,MATCH(buff!D68,buff的资质计算!G:G,0)-1,0)*AA68*X68/10000</f>
        <v>#VALUE!</v>
      </c>
      <c r="AH68" t="e">
        <f ca="1">AG68/OFFSET(buff的资质计算!$M$1,MATCH(buff!D68,buff的资质计算!G:G,0)-1,0)</f>
        <v>#VALUE!</v>
      </c>
    </row>
    <row r="69" ht="21" customHeight="1" spans="1:34">
      <c r="A69" s="153">
        <f t="shared" si="2"/>
        <v>101129</v>
      </c>
      <c r="B69" s="186" t="s">
        <v>1355</v>
      </c>
      <c r="C69" s="186" t="str">
        <f t="shared" si="1"/>
        <v>使下1招伤害增加126%</v>
      </c>
      <c r="D69" s="186">
        <v>1</v>
      </c>
      <c r="E69" s="3">
        <v>1</v>
      </c>
      <c r="F69" s="186">
        <v>1</v>
      </c>
      <c r="G69" s="1">
        <v>7</v>
      </c>
      <c r="H69" s="1">
        <v>1</v>
      </c>
      <c r="I69" s="1"/>
      <c r="J69" s="1"/>
      <c r="K69" s="1">
        <v>4</v>
      </c>
      <c r="L69" s="1">
        <v>2</v>
      </c>
      <c r="M69">
        <v>1</v>
      </c>
      <c r="Q69" s="1">
        <v>1</v>
      </c>
      <c r="R69" s="3">
        <v>10000</v>
      </c>
      <c r="S69" s="1"/>
      <c r="T69" s="1"/>
      <c r="U69" s="1"/>
      <c r="W69" s="1">
        <v>2</v>
      </c>
      <c r="X69" s="1">
        <v>12600</v>
      </c>
      <c r="AA69" s="1">
        <v>1</v>
      </c>
      <c r="AB69" s="3"/>
      <c r="AC69" s="1"/>
      <c r="AD69" s="1"/>
      <c r="AE69" s="107" t="s">
        <v>1308</v>
      </c>
      <c r="AG69" t="e">
        <f ca="1">OFFSET(buff的资质计算!$M$1,MATCH(buff!D69,buff的资质计算!G:G,0)-1,0)*AA69*X69/10000</f>
        <v>#VALUE!</v>
      </c>
      <c r="AH69" t="e">
        <f ca="1">AG69/OFFSET(buff的资质计算!$M$1,MATCH(buff!D69,buff的资质计算!G:G,0)-1,0)</f>
        <v>#VALUE!</v>
      </c>
    </row>
    <row r="70" ht="21" customHeight="1" spans="1:34">
      <c r="A70" s="153">
        <f t="shared" si="2"/>
        <v>101130</v>
      </c>
      <c r="B70" s="186" t="s">
        <v>1356</v>
      </c>
      <c r="C70" s="186" t="str">
        <f t="shared" si="1"/>
        <v>使下1招伤害增加130%</v>
      </c>
      <c r="D70" s="186">
        <v>1</v>
      </c>
      <c r="E70" s="3">
        <v>1</v>
      </c>
      <c r="F70" s="186">
        <v>1</v>
      </c>
      <c r="G70" s="1">
        <v>7</v>
      </c>
      <c r="H70" s="1">
        <v>1</v>
      </c>
      <c r="I70" s="1"/>
      <c r="J70" s="1"/>
      <c r="K70" s="1">
        <v>4</v>
      </c>
      <c r="L70" s="1">
        <v>2</v>
      </c>
      <c r="M70">
        <v>1</v>
      </c>
      <c r="Q70" s="1">
        <v>1</v>
      </c>
      <c r="R70" s="3">
        <v>10000</v>
      </c>
      <c r="S70" s="1"/>
      <c r="T70" s="1"/>
      <c r="U70" s="1"/>
      <c r="W70" s="1">
        <v>2</v>
      </c>
      <c r="X70" s="1">
        <v>13000</v>
      </c>
      <c r="AA70" s="1">
        <v>1</v>
      </c>
      <c r="AB70" s="3"/>
      <c r="AC70" s="1"/>
      <c r="AD70" s="1"/>
      <c r="AE70" s="107" t="s">
        <v>1308</v>
      </c>
      <c r="AG70" t="e">
        <f ca="1">OFFSET(buff的资质计算!$M$1,MATCH(buff!D70,buff的资质计算!G:G,0)-1,0)*AA70*X70/10000</f>
        <v>#VALUE!</v>
      </c>
      <c r="AH70" t="e">
        <f ca="1">AG70/OFFSET(buff的资质计算!$M$1,MATCH(buff!D70,buff的资质计算!G:G,0)-1,0)</f>
        <v>#VALUE!</v>
      </c>
    </row>
    <row r="71" ht="21" customHeight="1" spans="1:34">
      <c r="A71" s="153">
        <v>201501</v>
      </c>
      <c r="B71" s="186" t="s">
        <v>1357</v>
      </c>
      <c r="C71" s="186" t="str">
        <f t="shared" ref="C71:C100" si="3">"增加剑法伤害"&amp;X71/100&amp;"%，持续"&amp;AA71&amp;"回合"</f>
        <v>增加剑法伤害15%，持续2回合</v>
      </c>
      <c r="D71" s="186">
        <v>1</v>
      </c>
      <c r="E71" s="3">
        <v>1</v>
      </c>
      <c r="F71" s="186">
        <v>1</v>
      </c>
      <c r="G71" s="1">
        <v>7</v>
      </c>
      <c r="H71" s="1">
        <v>1</v>
      </c>
      <c r="I71" s="1"/>
      <c r="J71" s="1"/>
      <c r="K71" s="1">
        <v>4</v>
      </c>
      <c r="L71" s="1">
        <v>1</v>
      </c>
      <c r="M71" s="1">
        <v>0</v>
      </c>
      <c r="N71" s="1">
        <v>1</v>
      </c>
      <c r="O71" s="1">
        <v>2</v>
      </c>
      <c r="P71" s="1"/>
      <c r="Q71" s="1">
        <v>1</v>
      </c>
      <c r="R71" s="3">
        <v>10000</v>
      </c>
      <c r="S71" s="1"/>
      <c r="T71" s="1"/>
      <c r="U71" s="1"/>
      <c r="W71" s="1">
        <v>2</v>
      </c>
      <c r="X71" s="1">
        <v>1500</v>
      </c>
      <c r="AA71" s="1">
        <v>2</v>
      </c>
      <c r="AB71" s="3"/>
      <c r="AC71" s="1"/>
      <c r="AD71" s="1"/>
      <c r="AE71" s="107" t="s">
        <v>1358</v>
      </c>
      <c r="AG71" t="e">
        <f ca="1">OFFSET(buff的资质计算!$M$1,MATCH(buff!D71,buff的资质计算!G:G,0)-1,0)*OFFSET(buff的资质计算!$N$1,MATCH(buff!D71,buff的资质计算!G:G,0)-1,0)*AA71*X71/10000</f>
        <v>#VALUE!</v>
      </c>
      <c r="AH71">
        <v>1.8</v>
      </c>
    </row>
    <row r="72" ht="21" customHeight="1" spans="1:34">
      <c r="A72" s="153">
        <v>201502</v>
      </c>
      <c r="B72" s="186" t="s">
        <v>1359</v>
      </c>
      <c r="C72" s="186" t="str">
        <f t="shared" si="3"/>
        <v>增加剑法伤害15.5%，持续2回合</v>
      </c>
      <c r="D72" s="186">
        <v>1</v>
      </c>
      <c r="E72" s="3">
        <v>1</v>
      </c>
      <c r="F72" s="186">
        <v>1</v>
      </c>
      <c r="G72" s="1">
        <v>7</v>
      </c>
      <c r="H72" s="1">
        <v>1</v>
      </c>
      <c r="I72" s="1"/>
      <c r="J72" s="1"/>
      <c r="K72" s="1">
        <v>4</v>
      </c>
      <c r="L72" s="1">
        <v>1</v>
      </c>
      <c r="M72" s="1">
        <v>0</v>
      </c>
      <c r="N72" s="1">
        <v>1</v>
      </c>
      <c r="O72" s="1">
        <v>2</v>
      </c>
      <c r="P72" s="1"/>
      <c r="Q72" s="1">
        <v>1</v>
      </c>
      <c r="R72" s="3">
        <v>10000</v>
      </c>
      <c r="S72" s="1"/>
      <c r="T72" s="1"/>
      <c r="U72" s="1"/>
      <c r="W72" s="1">
        <v>2</v>
      </c>
      <c r="X72" s="1">
        <v>1550</v>
      </c>
      <c r="AA72" s="1">
        <v>2</v>
      </c>
      <c r="AB72" s="3"/>
      <c r="AC72" s="1"/>
      <c r="AD72" s="1"/>
      <c r="AE72" s="107" t="s">
        <v>1358</v>
      </c>
      <c r="AG72" t="e">
        <f ca="1">OFFSET(buff的资质计算!$M$1,MATCH(buff!D72,buff的资质计算!G:G,0)-1,0)*OFFSET(buff的资质计算!$N$1,MATCH(buff!D72,buff的资质计算!G:G,0)-1,0)*AA72*X72/10000</f>
        <v>#VALUE!</v>
      </c>
      <c r="AH72">
        <v>1.8</v>
      </c>
    </row>
    <row r="73" ht="21" customHeight="1" spans="1:34">
      <c r="A73" s="153">
        <v>201503</v>
      </c>
      <c r="B73" s="186" t="s">
        <v>1360</v>
      </c>
      <c r="C73" s="186" t="str">
        <f t="shared" si="3"/>
        <v>增加剑法伤害16%，持续2回合</v>
      </c>
      <c r="D73" s="186">
        <v>1</v>
      </c>
      <c r="E73" s="3">
        <v>1</v>
      </c>
      <c r="F73" s="186">
        <v>1</v>
      </c>
      <c r="G73" s="1">
        <v>7</v>
      </c>
      <c r="H73" s="1">
        <v>1</v>
      </c>
      <c r="I73" s="1"/>
      <c r="J73" s="1"/>
      <c r="K73" s="1">
        <v>4</v>
      </c>
      <c r="L73" s="1">
        <v>1</v>
      </c>
      <c r="M73" s="1">
        <v>0</v>
      </c>
      <c r="N73" s="1">
        <v>1</v>
      </c>
      <c r="O73" s="1">
        <v>2</v>
      </c>
      <c r="P73" s="1"/>
      <c r="Q73" s="1">
        <v>1</v>
      </c>
      <c r="R73" s="3">
        <v>10000</v>
      </c>
      <c r="S73" s="1"/>
      <c r="T73" s="1"/>
      <c r="U73" s="1"/>
      <c r="W73" s="1">
        <v>2</v>
      </c>
      <c r="X73" s="1">
        <v>1600</v>
      </c>
      <c r="AA73" s="1">
        <v>2</v>
      </c>
      <c r="AB73" s="3"/>
      <c r="AC73" s="1"/>
      <c r="AD73" s="1"/>
      <c r="AE73" s="107" t="s">
        <v>1358</v>
      </c>
      <c r="AG73" t="e">
        <f ca="1">OFFSET(buff的资质计算!$M$1,MATCH(buff!D73,buff的资质计算!G:G,0)-1,0)*OFFSET(buff的资质计算!$N$1,MATCH(buff!D73,buff的资质计算!G:G,0)-1,0)*AA73*X73/10000</f>
        <v>#VALUE!</v>
      </c>
      <c r="AH73">
        <v>1.8</v>
      </c>
    </row>
    <row r="74" ht="21" customHeight="1" spans="1:34">
      <c r="A74" s="153">
        <v>201504</v>
      </c>
      <c r="B74" s="186" t="s">
        <v>1361</v>
      </c>
      <c r="C74" s="186" t="str">
        <f t="shared" si="3"/>
        <v>增加剑法伤害16.5%，持续2回合</v>
      </c>
      <c r="D74" s="186">
        <v>1</v>
      </c>
      <c r="E74" s="3">
        <v>1</v>
      </c>
      <c r="F74" s="186">
        <v>1</v>
      </c>
      <c r="G74" s="1">
        <v>7</v>
      </c>
      <c r="H74" s="1">
        <v>1</v>
      </c>
      <c r="I74" s="1"/>
      <c r="J74" s="1"/>
      <c r="K74" s="1">
        <v>4</v>
      </c>
      <c r="L74" s="1">
        <v>1</v>
      </c>
      <c r="M74" s="1">
        <v>0</v>
      </c>
      <c r="N74" s="1">
        <v>1</v>
      </c>
      <c r="O74" s="1">
        <v>2</v>
      </c>
      <c r="P74" s="1"/>
      <c r="Q74" s="1">
        <v>1</v>
      </c>
      <c r="R74" s="3">
        <v>10000</v>
      </c>
      <c r="S74" s="1"/>
      <c r="T74" s="1"/>
      <c r="U74" s="1"/>
      <c r="W74" s="1">
        <v>2</v>
      </c>
      <c r="X74" s="1">
        <v>1650</v>
      </c>
      <c r="AA74" s="1">
        <v>2</v>
      </c>
      <c r="AB74" s="3"/>
      <c r="AC74" s="1"/>
      <c r="AD74" s="1"/>
      <c r="AE74" s="107" t="s">
        <v>1358</v>
      </c>
      <c r="AG74" t="e">
        <f ca="1">OFFSET(buff的资质计算!$M$1,MATCH(buff!D74,buff的资质计算!G:G,0)-1,0)*OFFSET(buff的资质计算!$N$1,MATCH(buff!D74,buff的资质计算!G:G,0)-1,0)*AA74*X74/10000</f>
        <v>#VALUE!</v>
      </c>
      <c r="AH74">
        <v>1.8</v>
      </c>
    </row>
    <row r="75" ht="21" customHeight="1" spans="1:34">
      <c r="A75" s="153">
        <v>201505</v>
      </c>
      <c r="B75" s="186" t="s">
        <v>1362</v>
      </c>
      <c r="C75" s="186" t="str">
        <f t="shared" si="3"/>
        <v>增加剑法伤害17%，持续2回合</v>
      </c>
      <c r="D75" s="186">
        <v>1</v>
      </c>
      <c r="E75" s="3">
        <v>1</v>
      </c>
      <c r="F75" s="186">
        <v>1</v>
      </c>
      <c r="G75" s="1">
        <v>7</v>
      </c>
      <c r="H75" s="1">
        <v>1</v>
      </c>
      <c r="I75" s="1"/>
      <c r="J75" s="1"/>
      <c r="K75" s="1">
        <v>4</v>
      </c>
      <c r="L75" s="1">
        <v>1</v>
      </c>
      <c r="M75" s="1">
        <v>0</v>
      </c>
      <c r="N75" s="1">
        <v>1</v>
      </c>
      <c r="O75" s="1">
        <v>2</v>
      </c>
      <c r="P75" s="1"/>
      <c r="Q75" s="1">
        <v>1</v>
      </c>
      <c r="R75" s="3">
        <v>10000</v>
      </c>
      <c r="S75" s="1"/>
      <c r="T75" s="1"/>
      <c r="U75" s="1"/>
      <c r="W75" s="1">
        <v>2</v>
      </c>
      <c r="X75" s="1">
        <v>1700</v>
      </c>
      <c r="AA75" s="1">
        <v>2</v>
      </c>
      <c r="AB75" s="3"/>
      <c r="AC75" s="1"/>
      <c r="AD75" s="1"/>
      <c r="AE75" s="107" t="s">
        <v>1358</v>
      </c>
      <c r="AG75" t="e">
        <f ca="1">OFFSET(buff的资质计算!$M$1,MATCH(buff!D75,buff的资质计算!G:G,0)-1,0)*OFFSET(buff的资质计算!$N$1,MATCH(buff!D75,buff的资质计算!G:G,0)-1,0)*AA75*X75/10000</f>
        <v>#VALUE!</v>
      </c>
      <c r="AH75">
        <v>1.8</v>
      </c>
    </row>
    <row r="76" ht="21" customHeight="1" spans="1:34">
      <c r="A76" s="153">
        <v>201506</v>
      </c>
      <c r="B76" s="186" t="s">
        <v>1363</v>
      </c>
      <c r="C76" s="186" t="str">
        <f t="shared" si="3"/>
        <v>增加剑法伤害17.5%，持续2回合</v>
      </c>
      <c r="D76" s="186">
        <v>1</v>
      </c>
      <c r="E76" s="3">
        <v>1</v>
      </c>
      <c r="F76" s="186">
        <v>1</v>
      </c>
      <c r="G76" s="1">
        <v>7</v>
      </c>
      <c r="H76" s="1">
        <v>1</v>
      </c>
      <c r="I76" s="1"/>
      <c r="J76" s="1"/>
      <c r="K76" s="1">
        <v>4</v>
      </c>
      <c r="L76" s="1">
        <v>1</v>
      </c>
      <c r="M76" s="1">
        <v>0</v>
      </c>
      <c r="N76" s="1">
        <v>1</v>
      </c>
      <c r="O76" s="1">
        <v>2</v>
      </c>
      <c r="P76" s="1"/>
      <c r="Q76" s="1">
        <v>1</v>
      </c>
      <c r="R76" s="3">
        <v>10000</v>
      </c>
      <c r="S76" s="1"/>
      <c r="T76" s="1"/>
      <c r="U76" s="1"/>
      <c r="W76" s="1">
        <v>2</v>
      </c>
      <c r="X76" s="1">
        <v>1750</v>
      </c>
      <c r="AA76" s="1">
        <v>2</v>
      </c>
      <c r="AB76" s="3"/>
      <c r="AC76" s="1"/>
      <c r="AD76" s="1"/>
      <c r="AE76" s="107" t="s">
        <v>1358</v>
      </c>
      <c r="AG76" t="e">
        <f ca="1">OFFSET(buff的资质计算!$M$1,MATCH(buff!D76,buff的资质计算!G:G,0)-1,0)*OFFSET(buff的资质计算!$N$1,MATCH(buff!D76,buff的资质计算!G:G,0)-1,0)*AA76*X76/10000</f>
        <v>#VALUE!</v>
      </c>
      <c r="AH76">
        <v>1.8</v>
      </c>
    </row>
    <row r="77" ht="21" customHeight="1" spans="1:34">
      <c r="A77" s="153">
        <v>201507</v>
      </c>
      <c r="B77" s="186" t="s">
        <v>1364</v>
      </c>
      <c r="C77" s="186" t="str">
        <f t="shared" si="3"/>
        <v>增加剑法伤害18%，持续2回合</v>
      </c>
      <c r="D77" s="186">
        <v>1</v>
      </c>
      <c r="E77" s="3">
        <v>1</v>
      </c>
      <c r="F77" s="186">
        <v>1</v>
      </c>
      <c r="G77" s="1">
        <v>7</v>
      </c>
      <c r="H77" s="1">
        <v>1</v>
      </c>
      <c r="I77" s="1"/>
      <c r="J77" s="1"/>
      <c r="K77" s="1">
        <v>4</v>
      </c>
      <c r="L77" s="1">
        <v>1</v>
      </c>
      <c r="M77" s="1">
        <v>0</v>
      </c>
      <c r="N77" s="1">
        <v>1</v>
      </c>
      <c r="O77" s="1">
        <v>2</v>
      </c>
      <c r="P77" s="1"/>
      <c r="Q77" s="1">
        <v>1</v>
      </c>
      <c r="R77" s="3">
        <v>10000</v>
      </c>
      <c r="S77" s="1"/>
      <c r="T77" s="1"/>
      <c r="U77" s="1"/>
      <c r="W77" s="1">
        <v>2</v>
      </c>
      <c r="X77" s="1">
        <v>1800</v>
      </c>
      <c r="AA77" s="1">
        <v>2</v>
      </c>
      <c r="AB77" s="3"/>
      <c r="AC77" s="1"/>
      <c r="AD77" s="1"/>
      <c r="AE77" s="107" t="s">
        <v>1358</v>
      </c>
      <c r="AG77" t="e">
        <f ca="1">OFFSET(buff的资质计算!$M$1,MATCH(buff!D77,buff的资质计算!G:G,0)-1,0)*OFFSET(buff的资质计算!$N$1,MATCH(buff!D77,buff的资质计算!G:G,0)-1,0)*AA77*X77/10000</f>
        <v>#VALUE!</v>
      </c>
      <c r="AH77">
        <v>1.8</v>
      </c>
    </row>
    <row r="78" ht="21" customHeight="1" spans="1:34">
      <c r="A78" s="153">
        <v>201508</v>
      </c>
      <c r="B78" s="186" t="s">
        <v>1365</v>
      </c>
      <c r="C78" s="186" t="str">
        <f t="shared" si="3"/>
        <v>增加剑法伤害18.5%，持续2回合</v>
      </c>
      <c r="D78" s="186">
        <v>1</v>
      </c>
      <c r="E78" s="3">
        <v>1</v>
      </c>
      <c r="F78" s="186">
        <v>1</v>
      </c>
      <c r="G78" s="1">
        <v>7</v>
      </c>
      <c r="H78" s="1">
        <v>1</v>
      </c>
      <c r="I78" s="1"/>
      <c r="J78" s="1"/>
      <c r="K78" s="1">
        <v>4</v>
      </c>
      <c r="L78" s="1">
        <v>1</v>
      </c>
      <c r="M78" s="1">
        <v>0</v>
      </c>
      <c r="N78" s="1">
        <v>1</v>
      </c>
      <c r="O78" s="1">
        <v>2</v>
      </c>
      <c r="P78" s="1"/>
      <c r="Q78" s="1">
        <v>1</v>
      </c>
      <c r="R78" s="3">
        <v>10000</v>
      </c>
      <c r="S78" s="1"/>
      <c r="T78" s="1"/>
      <c r="U78" s="1"/>
      <c r="W78" s="1">
        <v>2</v>
      </c>
      <c r="X78" s="1">
        <v>1850</v>
      </c>
      <c r="AA78" s="1">
        <v>2</v>
      </c>
      <c r="AB78" s="3"/>
      <c r="AC78" s="1"/>
      <c r="AD78" s="1"/>
      <c r="AE78" s="107" t="s">
        <v>1358</v>
      </c>
      <c r="AG78" t="e">
        <f ca="1">OFFSET(buff的资质计算!$M$1,MATCH(buff!D78,buff的资质计算!G:G,0)-1,0)*OFFSET(buff的资质计算!$N$1,MATCH(buff!D78,buff的资质计算!G:G,0)-1,0)*AA78*X78/10000</f>
        <v>#VALUE!</v>
      </c>
      <c r="AH78">
        <v>1.8</v>
      </c>
    </row>
    <row r="79" ht="21" customHeight="1" spans="1:34">
      <c r="A79" s="153">
        <v>201509</v>
      </c>
      <c r="B79" s="186" t="s">
        <v>1366</v>
      </c>
      <c r="C79" s="186" t="str">
        <f t="shared" si="3"/>
        <v>增加剑法伤害19%，持续2回合</v>
      </c>
      <c r="D79" s="186">
        <v>1</v>
      </c>
      <c r="E79" s="3">
        <v>1</v>
      </c>
      <c r="F79" s="186">
        <v>1</v>
      </c>
      <c r="G79" s="1">
        <v>7</v>
      </c>
      <c r="H79" s="1">
        <v>1</v>
      </c>
      <c r="I79" s="1"/>
      <c r="J79" s="1"/>
      <c r="K79" s="1">
        <v>4</v>
      </c>
      <c r="L79" s="1">
        <v>1</v>
      </c>
      <c r="M79" s="1">
        <v>0</v>
      </c>
      <c r="N79" s="1">
        <v>1</v>
      </c>
      <c r="O79" s="1">
        <v>2</v>
      </c>
      <c r="P79" s="1"/>
      <c r="Q79" s="1">
        <v>1</v>
      </c>
      <c r="R79" s="3">
        <v>10000</v>
      </c>
      <c r="S79" s="1"/>
      <c r="T79" s="1"/>
      <c r="U79" s="1"/>
      <c r="W79" s="1">
        <v>2</v>
      </c>
      <c r="X79" s="1">
        <v>1900</v>
      </c>
      <c r="AA79" s="1">
        <v>2</v>
      </c>
      <c r="AB79" s="3"/>
      <c r="AC79" s="1"/>
      <c r="AD79" s="1"/>
      <c r="AE79" s="107" t="s">
        <v>1358</v>
      </c>
      <c r="AG79" t="e">
        <f ca="1">OFFSET(buff的资质计算!$M$1,MATCH(buff!D79,buff的资质计算!G:G,0)-1,0)*OFFSET(buff的资质计算!$N$1,MATCH(buff!D79,buff的资质计算!G:G,0)-1,0)*AA79*X79/10000</f>
        <v>#VALUE!</v>
      </c>
      <c r="AH79">
        <v>1.8</v>
      </c>
    </row>
    <row r="80" ht="21" customHeight="1" spans="1:34">
      <c r="A80" s="153">
        <v>201510</v>
      </c>
      <c r="B80" s="186" t="s">
        <v>1367</v>
      </c>
      <c r="C80" s="186" t="str">
        <f t="shared" si="3"/>
        <v>增加剑法伤害19.5%，持续2回合</v>
      </c>
      <c r="D80" s="186">
        <v>1</v>
      </c>
      <c r="E80" s="3">
        <v>1</v>
      </c>
      <c r="F80" s="186">
        <v>1</v>
      </c>
      <c r="G80" s="1">
        <v>7</v>
      </c>
      <c r="H80" s="1">
        <v>1</v>
      </c>
      <c r="I80" s="1"/>
      <c r="J80" s="1"/>
      <c r="K80" s="1">
        <v>4</v>
      </c>
      <c r="L80" s="1">
        <v>1</v>
      </c>
      <c r="M80" s="1">
        <v>0</v>
      </c>
      <c r="N80" s="1">
        <v>1</v>
      </c>
      <c r="O80" s="1">
        <v>2</v>
      </c>
      <c r="P80" s="1"/>
      <c r="Q80" s="1">
        <v>1</v>
      </c>
      <c r="R80" s="3">
        <v>10000</v>
      </c>
      <c r="S80" s="1"/>
      <c r="T80" s="1"/>
      <c r="U80" s="1"/>
      <c r="W80" s="1">
        <v>2</v>
      </c>
      <c r="X80" s="1">
        <v>1950</v>
      </c>
      <c r="AA80" s="1">
        <v>2</v>
      </c>
      <c r="AB80" s="3"/>
      <c r="AC80" s="1"/>
      <c r="AD80" s="1"/>
      <c r="AE80" s="107" t="s">
        <v>1358</v>
      </c>
      <c r="AG80" t="e">
        <f ca="1">OFFSET(buff的资质计算!$M$1,MATCH(buff!D80,buff的资质计算!G:G,0)-1,0)*OFFSET(buff的资质计算!$N$1,MATCH(buff!D80,buff的资质计算!G:G,0)-1,0)*AA80*X80/10000</f>
        <v>#VALUE!</v>
      </c>
      <c r="AH80">
        <v>1.8</v>
      </c>
    </row>
    <row r="81" ht="21" customHeight="1" spans="1:34">
      <c r="A81" s="153">
        <v>201511</v>
      </c>
      <c r="B81" s="186" t="s">
        <v>1368</v>
      </c>
      <c r="C81" s="186" t="str">
        <f t="shared" si="3"/>
        <v>增加剑法伤害20%，持续2回合</v>
      </c>
      <c r="D81" s="186">
        <v>1</v>
      </c>
      <c r="E81" s="3">
        <v>1</v>
      </c>
      <c r="F81" s="186">
        <v>1</v>
      </c>
      <c r="G81" s="1">
        <v>7</v>
      </c>
      <c r="H81" s="1">
        <v>1</v>
      </c>
      <c r="I81" s="1"/>
      <c r="J81" s="1"/>
      <c r="K81" s="1">
        <v>4</v>
      </c>
      <c r="L81" s="1">
        <v>1</v>
      </c>
      <c r="M81" s="1">
        <v>0</v>
      </c>
      <c r="N81" s="1">
        <v>1</v>
      </c>
      <c r="O81" s="1">
        <v>2</v>
      </c>
      <c r="P81" s="1"/>
      <c r="Q81" s="1">
        <v>1</v>
      </c>
      <c r="R81" s="3">
        <v>10000</v>
      </c>
      <c r="S81" s="1"/>
      <c r="T81" s="1"/>
      <c r="U81" s="1"/>
      <c r="W81" s="1">
        <v>2</v>
      </c>
      <c r="X81" s="1">
        <v>2000</v>
      </c>
      <c r="AA81" s="1">
        <v>2</v>
      </c>
      <c r="AB81" s="3"/>
      <c r="AC81" s="1"/>
      <c r="AD81" s="1"/>
      <c r="AE81" s="107" t="s">
        <v>1358</v>
      </c>
      <c r="AG81" t="e">
        <f ca="1">OFFSET(buff的资质计算!$M$1,MATCH(buff!D81,buff的资质计算!G:G,0)-1,0)*OFFSET(buff的资质计算!$N$1,MATCH(buff!D81,buff的资质计算!G:G,0)-1,0)*AA81*X81/10000</f>
        <v>#VALUE!</v>
      </c>
      <c r="AH81">
        <v>1.8</v>
      </c>
    </row>
    <row r="82" ht="21" customHeight="1" spans="1:34">
      <c r="A82" s="153">
        <v>201512</v>
      </c>
      <c r="B82" s="186" t="s">
        <v>1369</v>
      </c>
      <c r="C82" s="186" t="str">
        <f t="shared" si="3"/>
        <v>增加剑法伤害20.5%，持续2回合</v>
      </c>
      <c r="D82" s="186">
        <v>1</v>
      </c>
      <c r="E82" s="3">
        <v>1</v>
      </c>
      <c r="F82" s="186">
        <v>1</v>
      </c>
      <c r="G82" s="1">
        <v>7</v>
      </c>
      <c r="H82" s="1">
        <v>1</v>
      </c>
      <c r="I82" s="1"/>
      <c r="J82" s="1"/>
      <c r="K82" s="1">
        <v>4</v>
      </c>
      <c r="L82" s="1">
        <v>1</v>
      </c>
      <c r="M82" s="1">
        <v>0</v>
      </c>
      <c r="N82" s="1">
        <v>1</v>
      </c>
      <c r="O82" s="1">
        <v>2</v>
      </c>
      <c r="P82" s="1"/>
      <c r="Q82" s="1">
        <v>1</v>
      </c>
      <c r="R82" s="3">
        <v>10000</v>
      </c>
      <c r="S82" s="1"/>
      <c r="T82" s="1"/>
      <c r="U82" s="1"/>
      <c r="W82" s="1">
        <v>2</v>
      </c>
      <c r="X82" s="1">
        <v>2050</v>
      </c>
      <c r="AA82" s="1">
        <v>2</v>
      </c>
      <c r="AB82" s="3"/>
      <c r="AC82" s="1"/>
      <c r="AD82" s="1"/>
      <c r="AE82" s="107" t="s">
        <v>1358</v>
      </c>
      <c r="AG82" t="e">
        <f ca="1">OFFSET(buff的资质计算!$M$1,MATCH(buff!D82,buff的资质计算!G:G,0)-1,0)*OFFSET(buff的资质计算!$N$1,MATCH(buff!D82,buff的资质计算!G:G,0)-1,0)*AA82*X82/10000</f>
        <v>#VALUE!</v>
      </c>
      <c r="AH82">
        <v>1.8</v>
      </c>
    </row>
    <row r="83" ht="21" customHeight="1" spans="1:34">
      <c r="A83" s="153">
        <v>201513</v>
      </c>
      <c r="B83" s="186" t="s">
        <v>1370</v>
      </c>
      <c r="C83" s="186" t="str">
        <f t="shared" si="3"/>
        <v>增加剑法伤害21%，持续2回合</v>
      </c>
      <c r="D83" s="186">
        <v>1</v>
      </c>
      <c r="E83" s="3">
        <v>1</v>
      </c>
      <c r="F83" s="186">
        <v>1</v>
      </c>
      <c r="G83" s="1">
        <v>7</v>
      </c>
      <c r="H83" s="1">
        <v>1</v>
      </c>
      <c r="I83" s="1"/>
      <c r="J83" s="1"/>
      <c r="K83" s="1">
        <v>4</v>
      </c>
      <c r="L83" s="1">
        <v>1</v>
      </c>
      <c r="M83" s="1">
        <v>0</v>
      </c>
      <c r="N83" s="1">
        <v>1</v>
      </c>
      <c r="O83" s="1">
        <v>2</v>
      </c>
      <c r="P83" s="1"/>
      <c r="Q83" s="1">
        <v>1</v>
      </c>
      <c r="R83" s="3">
        <v>10000</v>
      </c>
      <c r="S83" s="1"/>
      <c r="T83" s="1"/>
      <c r="U83" s="1"/>
      <c r="W83" s="1">
        <v>2</v>
      </c>
      <c r="X83" s="1">
        <v>2100</v>
      </c>
      <c r="AA83" s="1">
        <v>2</v>
      </c>
      <c r="AB83" s="3"/>
      <c r="AC83" s="1"/>
      <c r="AD83" s="1"/>
      <c r="AE83" s="107" t="s">
        <v>1358</v>
      </c>
      <c r="AG83" t="e">
        <f ca="1">OFFSET(buff的资质计算!$M$1,MATCH(buff!D83,buff的资质计算!G:G,0)-1,0)*OFFSET(buff的资质计算!$N$1,MATCH(buff!D83,buff的资质计算!G:G,0)-1,0)*AA83*X83/10000</f>
        <v>#VALUE!</v>
      </c>
      <c r="AH83">
        <v>1.8</v>
      </c>
    </row>
    <row r="84" ht="21" customHeight="1" spans="1:34">
      <c r="A84" s="153">
        <v>201514</v>
      </c>
      <c r="B84" s="186" t="s">
        <v>1371</v>
      </c>
      <c r="C84" s="186" t="str">
        <f t="shared" si="3"/>
        <v>增加剑法伤害21.5%，持续2回合</v>
      </c>
      <c r="D84" s="186">
        <v>1</v>
      </c>
      <c r="E84" s="3">
        <v>1</v>
      </c>
      <c r="F84" s="186">
        <v>1</v>
      </c>
      <c r="G84" s="1">
        <v>7</v>
      </c>
      <c r="H84" s="1">
        <v>1</v>
      </c>
      <c r="I84" s="1"/>
      <c r="J84" s="1"/>
      <c r="K84" s="1">
        <v>4</v>
      </c>
      <c r="L84" s="1">
        <v>1</v>
      </c>
      <c r="M84" s="1">
        <v>0</v>
      </c>
      <c r="N84" s="1">
        <v>1</v>
      </c>
      <c r="O84" s="1">
        <v>2</v>
      </c>
      <c r="P84" s="1"/>
      <c r="Q84" s="1">
        <v>1</v>
      </c>
      <c r="R84" s="3">
        <v>10000</v>
      </c>
      <c r="S84" s="1"/>
      <c r="T84" s="1"/>
      <c r="U84" s="1"/>
      <c r="W84" s="1">
        <v>2</v>
      </c>
      <c r="X84" s="1">
        <v>2150</v>
      </c>
      <c r="AA84" s="1">
        <v>2</v>
      </c>
      <c r="AB84" s="3"/>
      <c r="AC84" s="1"/>
      <c r="AD84" s="1"/>
      <c r="AE84" s="107" t="s">
        <v>1358</v>
      </c>
      <c r="AG84" t="e">
        <f ca="1">OFFSET(buff的资质计算!$M$1,MATCH(buff!D84,buff的资质计算!G:G,0)-1,0)*OFFSET(buff的资质计算!$N$1,MATCH(buff!D84,buff的资质计算!G:G,0)-1,0)*AA84*X84/10000</f>
        <v>#VALUE!</v>
      </c>
      <c r="AH84">
        <v>1.8</v>
      </c>
    </row>
    <row r="85" ht="21" customHeight="1" spans="1:34">
      <c r="A85" s="153">
        <v>201515</v>
      </c>
      <c r="B85" s="186" t="s">
        <v>1372</v>
      </c>
      <c r="C85" s="186" t="str">
        <f t="shared" si="3"/>
        <v>增加剑法伤害22%，持续2回合</v>
      </c>
      <c r="D85" s="186">
        <v>1</v>
      </c>
      <c r="E85" s="3">
        <v>1</v>
      </c>
      <c r="F85" s="186">
        <v>1</v>
      </c>
      <c r="G85" s="1">
        <v>7</v>
      </c>
      <c r="H85" s="1">
        <v>1</v>
      </c>
      <c r="I85" s="1"/>
      <c r="J85" s="1"/>
      <c r="K85" s="1">
        <v>4</v>
      </c>
      <c r="L85" s="1">
        <v>1</v>
      </c>
      <c r="M85" s="1">
        <v>0</v>
      </c>
      <c r="N85" s="1">
        <v>1</v>
      </c>
      <c r="O85" s="1">
        <v>2</v>
      </c>
      <c r="P85" s="1"/>
      <c r="Q85" s="1">
        <v>1</v>
      </c>
      <c r="R85" s="3">
        <v>10000</v>
      </c>
      <c r="S85" s="1"/>
      <c r="T85" s="1"/>
      <c r="U85" s="1"/>
      <c r="W85" s="1">
        <v>2</v>
      </c>
      <c r="X85" s="1">
        <v>2200</v>
      </c>
      <c r="AA85" s="1">
        <v>2</v>
      </c>
      <c r="AB85" s="3"/>
      <c r="AC85" s="1"/>
      <c r="AD85" s="1"/>
      <c r="AE85" s="107" t="s">
        <v>1358</v>
      </c>
      <c r="AG85" t="e">
        <f ca="1">OFFSET(buff的资质计算!$M$1,MATCH(buff!D85,buff的资质计算!G:G,0)-1,0)*OFFSET(buff的资质计算!$N$1,MATCH(buff!D85,buff的资质计算!G:G,0)-1,0)*AA85*X85/10000</f>
        <v>#VALUE!</v>
      </c>
      <c r="AH85">
        <v>1.8</v>
      </c>
    </row>
    <row r="86" ht="21" customHeight="1" spans="1:34">
      <c r="A86" s="153">
        <v>201516</v>
      </c>
      <c r="B86" s="186" t="s">
        <v>1373</v>
      </c>
      <c r="C86" s="186" t="str">
        <f t="shared" si="3"/>
        <v>增加剑法伤害22.5%，持续2回合</v>
      </c>
      <c r="D86" s="186">
        <v>1</v>
      </c>
      <c r="E86" s="3">
        <v>1</v>
      </c>
      <c r="F86" s="186">
        <v>1</v>
      </c>
      <c r="G86" s="1">
        <v>7</v>
      </c>
      <c r="H86" s="1">
        <v>1</v>
      </c>
      <c r="I86" s="1"/>
      <c r="J86" s="1"/>
      <c r="K86" s="1">
        <v>4</v>
      </c>
      <c r="L86" s="1">
        <v>1</v>
      </c>
      <c r="M86" s="1">
        <v>0</v>
      </c>
      <c r="N86" s="1">
        <v>1</v>
      </c>
      <c r="O86" s="1">
        <v>2</v>
      </c>
      <c r="P86" s="1"/>
      <c r="Q86" s="1">
        <v>1</v>
      </c>
      <c r="R86" s="3">
        <v>10000</v>
      </c>
      <c r="S86" s="1"/>
      <c r="T86" s="1"/>
      <c r="U86" s="1"/>
      <c r="W86" s="1">
        <v>2</v>
      </c>
      <c r="X86" s="1">
        <v>2250</v>
      </c>
      <c r="AA86" s="1">
        <v>2</v>
      </c>
      <c r="AB86" s="3"/>
      <c r="AC86" s="1"/>
      <c r="AD86" s="1"/>
      <c r="AE86" s="107" t="s">
        <v>1358</v>
      </c>
      <c r="AG86" t="e">
        <f ca="1">OFFSET(buff的资质计算!$M$1,MATCH(buff!D86,buff的资质计算!G:G,0)-1,0)*OFFSET(buff的资质计算!$N$1,MATCH(buff!D86,buff的资质计算!G:G,0)-1,0)*AA86*X86/10000</f>
        <v>#VALUE!</v>
      </c>
      <c r="AH86">
        <v>1.8</v>
      </c>
    </row>
    <row r="87" ht="21" customHeight="1" spans="1:34">
      <c r="A87" s="153">
        <v>201517</v>
      </c>
      <c r="B87" s="186" t="s">
        <v>1374</v>
      </c>
      <c r="C87" s="186" t="str">
        <f t="shared" si="3"/>
        <v>增加剑法伤害23%，持续2回合</v>
      </c>
      <c r="D87" s="186">
        <v>1</v>
      </c>
      <c r="E87" s="3">
        <v>1</v>
      </c>
      <c r="F87" s="186">
        <v>1</v>
      </c>
      <c r="G87" s="1">
        <v>7</v>
      </c>
      <c r="H87" s="1">
        <v>1</v>
      </c>
      <c r="I87" s="1"/>
      <c r="J87" s="1"/>
      <c r="K87" s="1">
        <v>4</v>
      </c>
      <c r="L87" s="1">
        <v>1</v>
      </c>
      <c r="M87" s="1">
        <v>0</v>
      </c>
      <c r="N87" s="1">
        <v>1</v>
      </c>
      <c r="O87" s="1">
        <v>2</v>
      </c>
      <c r="P87" s="1"/>
      <c r="Q87" s="1">
        <v>1</v>
      </c>
      <c r="R87" s="3">
        <v>10000</v>
      </c>
      <c r="S87" s="1"/>
      <c r="T87" s="1"/>
      <c r="U87" s="1"/>
      <c r="W87" s="1">
        <v>2</v>
      </c>
      <c r="X87" s="1">
        <v>2300</v>
      </c>
      <c r="AA87" s="1">
        <v>2</v>
      </c>
      <c r="AB87" s="3"/>
      <c r="AC87" s="1"/>
      <c r="AD87" s="1"/>
      <c r="AE87" s="107" t="s">
        <v>1358</v>
      </c>
      <c r="AG87" t="e">
        <f ca="1">OFFSET(buff的资质计算!$M$1,MATCH(buff!D87,buff的资质计算!G:G,0)-1,0)*OFFSET(buff的资质计算!$N$1,MATCH(buff!D87,buff的资质计算!G:G,0)-1,0)*AA87*X87/10000</f>
        <v>#VALUE!</v>
      </c>
      <c r="AH87">
        <v>1.8</v>
      </c>
    </row>
    <row r="88" ht="21" customHeight="1" spans="1:34">
      <c r="A88" s="153">
        <v>201518</v>
      </c>
      <c r="B88" s="186" t="s">
        <v>1375</v>
      </c>
      <c r="C88" s="186" t="str">
        <f t="shared" si="3"/>
        <v>增加剑法伤害23.5%，持续2回合</v>
      </c>
      <c r="D88" s="186">
        <v>1</v>
      </c>
      <c r="E88" s="3">
        <v>1</v>
      </c>
      <c r="F88" s="186">
        <v>1</v>
      </c>
      <c r="G88" s="1">
        <v>7</v>
      </c>
      <c r="H88" s="1">
        <v>1</v>
      </c>
      <c r="I88" s="1"/>
      <c r="J88" s="1"/>
      <c r="K88" s="1">
        <v>4</v>
      </c>
      <c r="L88" s="1">
        <v>1</v>
      </c>
      <c r="M88" s="1">
        <v>0</v>
      </c>
      <c r="N88" s="1">
        <v>1</v>
      </c>
      <c r="O88" s="1">
        <v>2</v>
      </c>
      <c r="P88" s="1"/>
      <c r="Q88" s="1">
        <v>1</v>
      </c>
      <c r="R88" s="3">
        <v>10000</v>
      </c>
      <c r="S88" s="1"/>
      <c r="T88" s="1"/>
      <c r="U88" s="1"/>
      <c r="W88" s="1">
        <v>2</v>
      </c>
      <c r="X88" s="1">
        <v>2350</v>
      </c>
      <c r="AA88" s="1">
        <v>2</v>
      </c>
      <c r="AB88" s="3"/>
      <c r="AC88" s="1"/>
      <c r="AD88" s="1"/>
      <c r="AE88" s="107" t="s">
        <v>1358</v>
      </c>
      <c r="AG88" t="e">
        <f ca="1">OFFSET(buff的资质计算!$M$1,MATCH(buff!D88,buff的资质计算!G:G,0)-1,0)*OFFSET(buff的资质计算!$N$1,MATCH(buff!D88,buff的资质计算!G:G,0)-1,0)*AA88*X88/10000</f>
        <v>#VALUE!</v>
      </c>
      <c r="AH88">
        <v>1.8</v>
      </c>
    </row>
    <row r="89" ht="21" customHeight="1" spans="1:34">
      <c r="A89" s="153">
        <v>201519</v>
      </c>
      <c r="B89" s="186" t="s">
        <v>1376</v>
      </c>
      <c r="C89" s="186" t="str">
        <f t="shared" si="3"/>
        <v>增加剑法伤害24%，持续2回合</v>
      </c>
      <c r="D89" s="186">
        <v>1</v>
      </c>
      <c r="E89" s="3">
        <v>1</v>
      </c>
      <c r="F89" s="186">
        <v>1</v>
      </c>
      <c r="G89" s="1">
        <v>7</v>
      </c>
      <c r="H89" s="1">
        <v>1</v>
      </c>
      <c r="I89" s="1"/>
      <c r="J89" s="1"/>
      <c r="K89" s="1">
        <v>4</v>
      </c>
      <c r="L89" s="1">
        <v>1</v>
      </c>
      <c r="M89" s="1">
        <v>0</v>
      </c>
      <c r="N89" s="1">
        <v>1</v>
      </c>
      <c r="O89" s="1">
        <v>2</v>
      </c>
      <c r="P89" s="1"/>
      <c r="Q89" s="1">
        <v>1</v>
      </c>
      <c r="R89" s="3">
        <v>10000</v>
      </c>
      <c r="S89" s="1"/>
      <c r="T89" s="1"/>
      <c r="U89" s="1"/>
      <c r="W89" s="1">
        <v>2</v>
      </c>
      <c r="X89" s="1">
        <v>2400</v>
      </c>
      <c r="AA89" s="1">
        <v>2</v>
      </c>
      <c r="AB89" s="3"/>
      <c r="AC89" s="1"/>
      <c r="AD89" s="1"/>
      <c r="AE89" s="107" t="s">
        <v>1358</v>
      </c>
      <c r="AG89" t="e">
        <f ca="1">OFFSET(buff的资质计算!$M$1,MATCH(buff!D89,buff的资质计算!G:G,0)-1,0)*OFFSET(buff的资质计算!$N$1,MATCH(buff!D89,buff的资质计算!G:G,0)-1,0)*AA89*X89/10000</f>
        <v>#VALUE!</v>
      </c>
      <c r="AH89">
        <v>1.8</v>
      </c>
    </row>
    <row r="90" ht="21" customHeight="1" spans="1:34">
      <c r="A90" s="153">
        <v>201520</v>
      </c>
      <c r="B90" s="186" t="s">
        <v>1377</v>
      </c>
      <c r="C90" s="186" t="str">
        <f t="shared" si="3"/>
        <v>增加剑法伤害24.5%，持续2回合</v>
      </c>
      <c r="D90" s="186">
        <v>1</v>
      </c>
      <c r="E90" s="3">
        <v>1</v>
      </c>
      <c r="F90" s="186">
        <v>1</v>
      </c>
      <c r="G90" s="1">
        <v>7</v>
      </c>
      <c r="H90" s="1">
        <v>1</v>
      </c>
      <c r="I90" s="1"/>
      <c r="J90" s="1"/>
      <c r="K90" s="1">
        <v>4</v>
      </c>
      <c r="L90" s="1">
        <v>1</v>
      </c>
      <c r="M90" s="1">
        <v>0</v>
      </c>
      <c r="N90" s="1">
        <v>1</v>
      </c>
      <c r="O90" s="1">
        <v>2</v>
      </c>
      <c r="P90" s="1"/>
      <c r="Q90" s="1">
        <v>1</v>
      </c>
      <c r="R90" s="3">
        <v>10000</v>
      </c>
      <c r="S90" s="1"/>
      <c r="T90" s="1"/>
      <c r="U90" s="1"/>
      <c r="W90" s="1">
        <v>2</v>
      </c>
      <c r="X90" s="1">
        <v>2450</v>
      </c>
      <c r="AA90" s="1">
        <v>2</v>
      </c>
      <c r="AB90" s="3"/>
      <c r="AC90" s="1"/>
      <c r="AD90" s="1"/>
      <c r="AE90" s="107" t="s">
        <v>1358</v>
      </c>
      <c r="AG90" t="e">
        <f ca="1">OFFSET(buff的资质计算!$M$1,MATCH(buff!D90,buff的资质计算!G:G,0)-1,0)*OFFSET(buff的资质计算!$N$1,MATCH(buff!D90,buff的资质计算!G:G,0)-1,0)*AA90*X90/10000</f>
        <v>#VALUE!</v>
      </c>
      <c r="AH90">
        <v>1.8</v>
      </c>
    </row>
    <row r="91" ht="21" customHeight="1" spans="1:34">
      <c r="A91" s="153">
        <v>201521</v>
      </c>
      <c r="B91" s="186" t="s">
        <v>1378</v>
      </c>
      <c r="C91" s="186" t="str">
        <f t="shared" si="3"/>
        <v>增加剑法伤害25%，持续2回合</v>
      </c>
      <c r="D91" s="186">
        <v>1</v>
      </c>
      <c r="E91" s="3">
        <v>1</v>
      </c>
      <c r="F91" s="186">
        <v>1</v>
      </c>
      <c r="G91" s="1">
        <v>7</v>
      </c>
      <c r="H91" s="1">
        <v>1</v>
      </c>
      <c r="I91" s="1"/>
      <c r="J91" s="1"/>
      <c r="K91" s="1">
        <v>4</v>
      </c>
      <c r="L91" s="1">
        <v>1</v>
      </c>
      <c r="M91" s="1">
        <v>0</v>
      </c>
      <c r="N91" s="1">
        <v>1</v>
      </c>
      <c r="O91" s="1">
        <v>2</v>
      </c>
      <c r="P91" s="1"/>
      <c r="Q91" s="1">
        <v>1</v>
      </c>
      <c r="R91" s="3">
        <v>10000</v>
      </c>
      <c r="S91" s="1"/>
      <c r="T91" s="1"/>
      <c r="U91" s="1"/>
      <c r="W91" s="1">
        <v>2</v>
      </c>
      <c r="X91" s="1">
        <v>2500</v>
      </c>
      <c r="AA91" s="1">
        <v>2</v>
      </c>
      <c r="AB91" s="3"/>
      <c r="AC91" s="1"/>
      <c r="AD91" s="1"/>
      <c r="AE91" s="107" t="s">
        <v>1358</v>
      </c>
      <c r="AG91" t="e">
        <f ca="1">OFFSET(buff的资质计算!$M$1,MATCH(buff!D91,buff的资质计算!G:G,0)-1,0)*OFFSET(buff的资质计算!$N$1,MATCH(buff!D91,buff的资质计算!G:G,0)-1,0)*AA91*X91/10000</f>
        <v>#VALUE!</v>
      </c>
      <c r="AH91">
        <v>1.8</v>
      </c>
    </row>
    <row r="92" ht="21" customHeight="1" spans="1:34">
      <c r="A92" s="153">
        <v>201522</v>
      </c>
      <c r="B92" s="186" t="s">
        <v>1379</v>
      </c>
      <c r="C92" s="186" t="str">
        <f t="shared" si="3"/>
        <v>增加剑法伤害25.5%，持续2回合</v>
      </c>
      <c r="D92" s="186">
        <v>1</v>
      </c>
      <c r="E92" s="3">
        <v>1</v>
      </c>
      <c r="F92" s="186">
        <v>1</v>
      </c>
      <c r="G92" s="1">
        <v>7</v>
      </c>
      <c r="H92" s="1">
        <v>1</v>
      </c>
      <c r="I92" s="1"/>
      <c r="J92" s="1"/>
      <c r="K92" s="1">
        <v>4</v>
      </c>
      <c r="L92" s="1">
        <v>1</v>
      </c>
      <c r="M92" s="1">
        <v>0</v>
      </c>
      <c r="N92" s="1">
        <v>1</v>
      </c>
      <c r="O92" s="1">
        <v>2</v>
      </c>
      <c r="P92" s="1"/>
      <c r="Q92" s="1">
        <v>1</v>
      </c>
      <c r="R92" s="3">
        <v>10000</v>
      </c>
      <c r="S92" s="1"/>
      <c r="T92" s="1"/>
      <c r="U92" s="1"/>
      <c r="W92" s="1">
        <v>2</v>
      </c>
      <c r="X92" s="1">
        <v>2550</v>
      </c>
      <c r="AA92" s="1">
        <v>2</v>
      </c>
      <c r="AB92" s="3"/>
      <c r="AC92" s="1"/>
      <c r="AD92" s="1"/>
      <c r="AE92" s="107" t="s">
        <v>1358</v>
      </c>
      <c r="AG92" t="e">
        <f ca="1">OFFSET(buff的资质计算!$M$1,MATCH(buff!D92,buff的资质计算!G:G,0)-1,0)*OFFSET(buff的资质计算!$N$1,MATCH(buff!D92,buff的资质计算!G:G,0)-1,0)*AA92*X92/10000</f>
        <v>#VALUE!</v>
      </c>
      <c r="AH92">
        <v>1.8</v>
      </c>
    </row>
    <row r="93" ht="21" customHeight="1" spans="1:34">
      <c r="A93" s="153">
        <v>201523</v>
      </c>
      <c r="B93" s="186" t="s">
        <v>1380</v>
      </c>
      <c r="C93" s="186" t="str">
        <f t="shared" si="3"/>
        <v>增加剑法伤害26%，持续2回合</v>
      </c>
      <c r="D93" s="186">
        <v>1</v>
      </c>
      <c r="E93" s="3">
        <v>1</v>
      </c>
      <c r="F93" s="186">
        <v>1</v>
      </c>
      <c r="G93" s="1">
        <v>7</v>
      </c>
      <c r="H93" s="1">
        <v>1</v>
      </c>
      <c r="I93" s="1"/>
      <c r="J93" s="1"/>
      <c r="K93" s="1">
        <v>4</v>
      </c>
      <c r="L93" s="1">
        <v>1</v>
      </c>
      <c r="M93" s="1">
        <v>0</v>
      </c>
      <c r="N93" s="1">
        <v>1</v>
      </c>
      <c r="O93" s="1">
        <v>2</v>
      </c>
      <c r="P93" s="1"/>
      <c r="Q93" s="1">
        <v>1</v>
      </c>
      <c r="R93" s="3">
        <v>10000</v>
      </c>
      <c r="S93" s="1"/>
      <c r="T93" s="1"/>
      <c r="U93" s="1"/>
      <c r="W93" s="1">
        <v>2</v>
      </c>
      <c r="X93" s="1">
        <v>2600</v>
      </c>
      <c r="AA93" s="1">
        <v>2</v>
      </c>
      <c r="AB93" s="3"/>
      <c r="AC93" s="1"/>
      <c r="AD93" s="1"/>
      <c r="AE93" s="107" t="s">
        <v>1358</v>
      </c>
      <c r="AG93" t="e">
        <f ca="1">OFFSET(buff的资质计算!$M$1,MATCH(buff!D93,buff的资质计算!G:G,0)-1,0)*OFFSET(buff的资质计算!$N$1,MATCH(buff!D93,buff的资质计算!G:G,0)-1,0)*AA93*X93/10000</f>
        <v>#VALUE!</v>
      </c>
      <c r="AH93">
        <v>1.8</v>
      </c>
    </row>
    <row r="94" ht="21" customHeight="1" spans="1:34">
      <c r="A94" s="153">
        <v>201524</v>
      </c>
      <c r="B94" s="186" t="s">
        <v>1381</v>
      </c>
      <c r="C94" s="186" t="str">
        <f t="shared" si="3"/>
        <v>增加剑法伤害26.5%，持续2回合</v>
      </c>
      <c r="D94" s="186">
        <v>1</v>
      </c>
      <c r="E94" s="3">
        <v>1</v>
      </c>
      <c r="F94" s="186">
        <v>1</v>
      </c>
      <c r="G94" s="1">
        <v>7</v>
      </c>
      <c r="H94" s="1">
        <v>1</v>
      </c>
      <c r="I94" s="1"/>
      <c r="J94" s="1"/>
      <c r="K94" s="1">
        <v>4</v>
      </c>
      <c r="L94" s="1">
        <v>1</v>
      </c>
      <c r="M94" s="1">
        <v>0</v>
      </c>
      <c r="N94" s="1">
        <v>1</v>
      </c>
      <c r="O94" s="1">
        <v>2</v>
      </c>
      <c r="P94" s="1"/>
      <c r="Q94" s="1">
        <v>1</v>
      </c>
      <c r="R94" s="3">
        <v>10000</v>
      </c>
      <c r="S94" s="1"/>
      <c r="T94" s="1"/>
      <c r="U94" s="1"/>
      <c r="W94" s="1">
        <v>2</v>
      </c>
      <c r="X94" s="1">
        <v>2650</v>
      </c>
      <c r="AA94" s="1">
        <v>2</v>
      </c>
      <c r="AB94" s="3"/>
      <c r="AC94" s="1"/>
      <c r="AD94" s="1"/>
      <c r="AE94" s="107" t="s">
        <v>1358</v>
      </c>
      <c r="AG94" t="e">
        <f ca="1">OFFSET(buff的资质计算!$M$1,MATCH(buff!D94,buff的资质计算!G:G,0)-1,0)*OFFSET(buff的资质计算!$N$1,MATCH(buff!D94,buff的资质计算!G:G,0)-1,0)*AA94*X94/10000</f>
        <v>#VALUE!</v>
      </c>
      <c r="AH94">
        <v>1.8</v>
      </c>
    </row>
    <row r="95" ht="21" customHeight="1" spans="1:34">
      <c r="A95" s="153">
        <v>201525</v>
      </c>
      <c r="B95" s="186" t="s">
        <v>1382</v>
      </c>
      <c r="C95" s="186" t="str">
        <f t="shared" si="3"/>
        <v>增加剑法伤害27%，持续2回合</v>
      </c>
      <c r="D95" s="186">
        <v>1</v>
      </c>
      <c r="E95" s="3">
        <v>1</v>
      </c>
      <c r="F95" s="186">
        <v>1</v>
      </c>
      <c r="G95" s="1">
        <v>7</v>
      </c>
      <c r="H95" s="1">
        <v>1</v>
      </c>
      <c r="I95" s="1"/>
      <c r="J95" s="1"/>
      <c r="K95" s="1">
        <v>4</v>
      </c>
      <c r="L95" s="1">
        <v>1</v>
      </c>
      <c r="M95" s="1">
        <v>0</v>
      </c>
      <c r="N95" s="1">
        <v>1</v>
      </c>
      <c r="O95" s="1">
        <v>2</v>
      </c>
      <c r="P95" s="1"/>
      <c r="Q95" s="1">
        <v>1</v>
      </c>
      <c r="R95" s="3">
        <v>10000</v>
      </c>
      <c r="S95" s="1"/>
      <c r="T95" s="1"/>
      <c r="U95" s="1"/>
      <c r="W95" s="1">
        <v>2</v>
      </c>
      <c r="X95" s="1">
        <v>2700</v>
      </c>
      <c r="AA95" s="1">
        <v>2</v>
      </c>
      <c r="AB95" s="3"/>
      <c r="AC95" s="1"/>
      <c r="AD95" s="1"/>
      <c r="AE95" s="107" t="s">
        <v>1358</v>
      </c>
      <c r="AG95" t="e">
        <f ca="1">OFFSET(buff的资质计算!$M$1,MATCH(buff!D95,buff的资质计算!G:G,0)-1,0)*OFFSET(buff的资质计算!$N$1,MATCH(buff!D95,buff的资质计算!G:G,0)-1,0)*AA95*X95/10000</f>
        <v>#VALUE!</v>
      </c>
      <c r="AH95">
        <v>1.8</v>
      </c>
    </row>
    <row r="96" ht="21" customHeight="1" spans="1:34">
      <c r="A96" s="153">
        <v>201526</v>
      </c>
      <c r="B96" s="186" t="s">
        <v>1383</v>
      </c>
      <c r="C96" s="186" t="str">
        <f t="shared" si="3"/>
        <v>增加剑法伤害27.5%，持续2回合</v>
      </c>
      <c r="D96" s="186">
        <v>1</v>
      </c>
      <c r="E96" s="3">
        <v>1</v>
      </c>
      <c r="F96" s="186">
        <v>1</v>
      </c>
      <c r="G96" s="1">
        <v>7</v>
      </c>
      <c r="H96" s="1">
        <v>1</v>
      </c>
      <c r="I96" s="1"/>
      <c r="J96" s="1"/>
      <c r="K96" s="1">
        <v>4</v>
      </c>
      <c r="L96" s="1">
        <v>1</v>
      </c>
      <c r="M96" s="1">
        <v>0</v>
      </c>
      <c r="N96" s="1">
        <v>1</v>
      </c>
      <c r="O96" s="1">
        <v>2</v>
      </c>
      <c r="P96" s="1"/>
      <c r="Q96" s="1">
        <v>1</v>
      </c>
      <c r="R96" s="3">
        <v>10000</v>
      </c>
      <c r="S96" s="1"/>
      <c r="T96" s="1"/>
      <c r="U96" s="1"/>
      <c r="W96" s="1">
        <v>2</v>
      </c>
      <c r="X96" s="1">
        <v>2750</v>
      </c>
      <c r="AA96" s="1">
        <v>2</v>
      </c>
      <c r="AB96" s="3"/>
      <c r="AC96" s="1"/>
      <c r="AD96" s="1"/>
      <c r="AE96" s="107" t="s">
        <v>1358</v>
      </c>
      <c r="AG96" t="e">
        <f ca="1">OFFSET(buff的资质计算!$M$1,MATCH(buff!D96,buff的资质计算!G:G,0)-1,0)*OFFSET(buff的资质计算!$N$1,MATCH(buff!D96,buff的资质计算!G:G,0)-1,0)*AA96*X96/10000</f>
        <v>#VALUE!</v>
      </c>
      <c r="AH96">
        <v>1.8</v>
      </c>
    </row>
    <row r="97" ht="21" customHeight="1" spans="1:34">
      <c r="A97" s="153">
        <v>201527</v>
      </c>
      <c r="B97" s="186" t="s">
        <v>1384</v>
      </c>
      <c r="C97" s="186" t="str">
        <f t="shared" si="3"/>
        <v>增加剑法伤害28%，持续2回合</v>
      </c>
      <c r="D97" s="186">
        <v>1</v>
      </c>
      <c r="E97" s="3">
        <v>1</v>
      </c>
      <c r="F97" s="186">
        <v>1</v>
      </c>
      <c r="G97" s="1">
        <v>7</v>
      </c>
      <c r="H97" s="1">
        <v>1</v>
      </c>
      <c r="I97" s="1"/>
      <c r="J97" s="1"/>
      <c r="K97" s="1">
        <v>4</v>
      </c>
      <c r="L97" s="1">
        <v>1</v>
      </c>
      <c r="M97" s="1">
        <v>0</v>
      </c>
      <c r="N97" s="1">
        <v>1</v>
      </c>
      <c r="O97" s="1">
        <v>2</v>
      </c>
      <c r="P97" s="1"/>
      <c r="Q97" s="1">
        <v>1</v>
      </c>
      <c r="R97" s="3">
        <v>10000</v>
      </c>
      <c r="S97" s="1"/>
      <c r="T97" s="1"/>
      <c r="U97" s="1"/>
      <c r="W97" s="1">
        <v>2</v>
      </c>
      <c r="X97" s="1">
        <v>2800</v>
      </c>
      <c r="AA97" s="1">
        <v>2</v>
      </c>
      <c r="AB97" s="3"/>
      <c r="AC97" s="1"/>
      <c r="AD97" s="1"/>
      <c r="AE97" s="107" t="s">
        <v>1358</v>
      </c>
      <c r="AG97" t="e">
        <f ca="1">OFFSET(buff的资质计算!$M$1,MATCH(buff!D97,buff的资质计算!G:G,0)-1,0)*OFFSET(buff的资质计算!$N$1,MATCH(buff!D97,buff的资质计算!G:G,0)-1,0)*AA97*X97/10000</f>
        <v>#VALUE!</v>
      </c>
      <c r="AH97">
        <v>1.8</v>
      </c>
    </row>
    <row r="98" ht="21" customHeight="1" spans="1:34">
      <c r="A98" s="153">
        <v>201528</v>
      </c>
      <c r="B98" s="186" t="s">
        <v>1385</v>
      </c>
      <c r="C98" s="186" t="str">
        <f t="shared" si="3"/>
        <v>增加剑法伤害28.5%，持续2回合</v>
      </c>
      <c r="D98" s="186">
        <v>1</v>
      </c>
      <c r="E98" s="3">
        <v>1</v>
      </c>
      <c r="F98" s="186">
        <v>1</v>
      </c>
      <c r="G98" s="1">
        <v>7</v>
      </c>
      <c r="H98" s="1">
        <v>1</v>
      </c>
      <c r="I98" s="1"/>
      <c r="J98" s="1"/>
      <c r="K98" s="1">
        <v>4</v>
      </c>
      <c r="L98" s="1">
        <v>1</v>
      </c>
      <c r="M98" s="1">
        <v>0</v>
      </c>
      <c r="N98" s="1">
        <v>1</v>
      </c>
      <c r="O98" s="1">
        <v>2</v>
      </c>
      <c r="P98" s="1"/>
      <c r="Q98" s="1">
        <v>1</v>
      </c>
      <c r="R98" s="3">
        <v>10000</v>
      </c>
      <c r="S98" s="1"/>
      <c r="T98" s="1"/>
      <c r="U98" s="1"/>
      <c r="W98" s="1">
        <v>2</v>
      </c>
      <c r="X98" s="1">
        <v>2850</v>
      </c>
      <c r="AA98" s="1">
        <v>2</v>
      </c>
      <c r="AB98" s="3"/>
      <c r="AC98" s="1"/>
      <c r="AD98" s="1"/>
      <c r="AE98" s="107" t="s">
        <v>1358</v>
      </c>
      <c r="AG98" t="e">
        <f ca="1">OFFSET(buff的资质计算!$M$1,MATCH(buff!D98,buff的资质计算!G:G,0)-1,0)*OFFSET(buff的资质计算!$N$1,MATCH(buff!D98,buff的资质计算!G:G,0)-1,0)*AA98*X98/10000</f>
        <v>#VALUE!</v>
      </c>
      <c r="AH98">
        <v>1.8</v>
      </c>
    </row>
    <row r="99" ht="21" customHeight="1" spans="1:34">
      <c r="A99" s="153">
        <v>201529</v>
      </c>
      <c r="B99" s="186" t="s">
        <v>1386</v>
      </c>
      <c r="C99" s="186" t="str">
        <f t="shared" si="3"/>
        <v>增加剑法伤害29%，持续2回合</v>
      </c>
      <c r="D99" s="186">
        <v>1</v>
      </c>
      <c r="E99" s="3">
        <v>1</v>
      </c>
      <c r="F99" s="186">
        <v>1</v>
      </c>
      <c r="G99" s="1">
        <v>7</v>
      </c>
      <c r="H99" s="1">
        <v>1</v>
      </c>
      <c r="I99" s="1"/>
      <c r="J99" s="1"/>
      <c r="K99" s="1">
        <v>4</v>
      </c>
      <c r="L99" s="1">
        <v>1</v>
      </c>
      <c r="M99" s="1">
        <v>0</v>
      </c>
      <c r="N99" s="1">
        <v>1</v>
      </c>
      <c r="O99" s="1">
        <v>2</v>
      </c>
      <c r="P99" s="1"/>
      <c r="Q99" s="1">
        <v>1</v>
      </c>
      <c r="R99" s="3">
        <v>10000</v>
      </c>
      <c r="S99" s="1"/>
      <c r="T99" s="1"/>
      <c r="U99" s="1"/>
      <c r="W99" s="1">
        <v>2</v>
      </c>
      <c r="X99" s="1">
        <v>2900</v>
      </c>
      <c r="AA99" s="1">
        <v>2</v>
      </c>
      <c r="AB99" s="3"/>
      <c r="AC99" s="1"/>
      <c r="AD99" s="1"/>
      <c r="AE99" s="107" t="s">
        <v>1358</v>
      </c>
      <c r="AG99" t="e">
        <f ca="1">OFFSET(buff的资质计算!$M$1,MATCH(buff!D99,buff的资质计算!G:G,0)-1,0)*OFFSET(buff的资质计算!$N$1,MATCH(buff!D99,buff的资质计算!G:G,0)-1,0)*AA99*X99/10000</f>
        <v>#VALUE!</v>
      </c>
      <c r="AH99">
        <v>1.8</v>
      </c>
    </row>
    <row r="100" ht="21" customHeight="1" spans="1:34">
      <c r="A100" s="153">
        <v>201530</v>
      </c>
      <c r="B100" s="186" t="s">
        <v>1387</v>
      </c>
      <c r="C100" s="186" t="str">
        <f t="shared" si="3"/>
        <v>增加剑法伤害30%，持续2回合</v>
      </c>
      <c r="D100" s="186">
        <v>1</v>
      </c>
      <c r="E100" s="3">
        <v>1</v>
      </c>
      <c r="F100" s="186">
        <v>1</v>
      </c>
      <c r="G100" s="1">
        <v>7</v>
      </c>
      <c r="H100" s="1">
        <v>1</v>
      </c>
      <c r="I100" s="1"/>
      <c r="J100" s="1"/>
      <c r="K100" s="1">
        <v>4</v>
      </c>
      <c r="L100" s="1">
        <v>1</v>
      </c>
      <c r="M100" s="1">
        <v>0</v>
      </c>
      <c r="N100" s="1">
        <v>1</v>
      </c>
      <c r="O100" s="1">
        <v>2</v>
      </c>
      <c r="P100" s="1"/>
      <c r="Q100" s="1">
        <v>1</v>
      </c>
      <c r="R100" s="3">
        <v>10000</v>
      </c>
      <c r="S100" s="1"/>
      <c r="T100" s="1"/>
      <c r="U100" s="1"/>
      <c r="W100" s="1">
        <v>2</v>
      </c>
      <c r="X100" s="1">
        <v>3000</v>
      </c>
      <c r="AA100" s="1">
        <v>2</v>
      </c>
      <c r="AB100" s="3"/>
      <c r="AC100" s="1"/>
      <c r="AD100" s="1"/>
      <c r="AE100" s="107" t="s">
        <v>1358</v>
      </c>
      <c r="AG100" t="e">
        <f ca="1">OFFSET(buff的资质计算!$M$1,MATCH(buff!D100,buff的资质计算!G:G,0)-1,0)*OFFSET(buff的资质计算!$N$1,MATCH(buff!D100,buff的资质计算!G:G,0)-1,0)*AA100*X100/10000</f>
        <v>#VALUE!</v>
      </c>
      <c r="AH100">
        <v>1.8</v>
      </c>
    </row>
    <row r="101" ht="21" customHeight="1" spans="1:31">
      <c r="A101" s="153">
        <v>31001</v>
      </c>
      <c r="B101" s="186" t="s">
        <v>1226</v>
      </c>
      <c r="C101" s="291" t="str">
        <f>"增加金系功法伤害"&amp;X101/100&amp;"%"</f>
        <v>增加金系功法伤害5%</v>
      </c>
      <c r="D101" s="186"/>
      <c r="E101" s="179">
        <v>3</v>
      </c>
      <c r="F101" s="187">
        <v>3</v>
      </c>
      <c r="G101" s="1">
        <v>7</v>
      </c>
      <c r="H101" s="1">
        <v>1</v>
      </c>
      <c r="I101" s="1"/>
      <c r="J101" s="1"/>
      <c r="K101" s="1">
        <v>4</v>
      </c>
      <c r="L101" s="1">
        <v>1</v>
      </c>
      <c r="M101" s="1"/>
      <c r="N101" s="1">
        <v>2</v>
      </c>
      <c r="O101" s="1">
        <v>1</v>
      </c>
      <c r="P101" s="1"/>
      <c r="Q101" s="1">
        <v>1</v>
      </c>
      <c r="R101" s="3">
        <v>10000</v>
      </c>
      <c r="S101" s="1"/>
      <c r="T101" s="1"/>
      <c r="U101" s="1"/>
      <c r="V101" s="1"/>
      <c r="W101" s="1">
        <v>2</v>
      </c>
      <c r="X101" s="1">
        <v>500</v>
      </c>
      <c r="AA101" s="1">
        <v>9999</v>
      </c>
      <c r="AB101" s="3"/>
      <c r="AC101" s="1"/>
      <c r="AD101" s="1"/>
      <c r="AE101" s="107" t="s">
        <v>1388</v>
      </c>
    </row>
    <row r="102" ht="21" customHeight="1" spans="1:31">
      <c r="A102" s="153">
        <v>31002</v>
      </c>
      <c r="B102" s="186" t="s">
        <v>1227</v>
      </c>
      <c r="C102" s="291" t="str">
        <f>"增加木系功法伤害"&amp;X102/100&amp;"%"</f>
        <v>增加木系功法伤害5%</v>
      </c>
      <c r="D102" s="186"/>
      <c r="E102" s="179">
        <v>3</v>
      </c>
      <c r="F102" s="187">
        <v>3</v>
      </c>
      <c r="G102" s="1">
        <v>7</v>
      </c>
      <c r="H102" s="1">
        <v>1</v>
      </c>
      <c r="I102" s="1"/>
      <c r="J102" s="1"/>
      <c r="K102" s="1">
        <v>4</v>
      </c>
      <c r="L102" s="1">
        <v>1</v>
      </c>
      <c r="M102" s="1"/>
      <c r="N102" s="1">
        <v>2</v>
      </c>
      <c r="O102" s="1">
        <v>2</v>
      </c>
      <c r="P102" s="1"/>
      <c r="Q102" s="1">
        <v>1</v>
      </c>
      <c r="R102" s="3">
        <v>10000</v>
      </c>
      <c r="S102" s="1"/>
      <c r="T102" s="1"/>
      <c r="U102" s="1"/>
      <c r="V102" s="1"/>
      <c r="W102" s="1">
        <v>2</v>
      </c>
      <c r="X102" s="1">
        <v>500</v>
      </c>
      <c r="AA102" s="1">
        <v>9999</v>
      </c>
      <c r="AB102" s="3"/>
      <c r="AC102" s="1"/>
      <c r="AD102" s="1"/>
      <c r="AE102" s="107" t="s">
        <v>1389</v>
      </c>
    </row>
    <row r="103" ht="21" customHeight="1" spans="1:31">
      <c r="A103" s="153">
        <v>31003</v>
      </c>
      <c r="B103" s="186" t="s">
        <v>1228</v>
      </c>
      <c r="C103" s="291" t="str">
        <f>"增加水系功法伤害"&amp;X103/100&amp;"%"</f>
        <v>增加水系功法伤害5%</v>
      </c>
      <c r="D103" s="186"/>
      <c r="E103" s="179">
        <v>3</v>
      </c>
      <c r="F103" s="187">
        <v>3</v>
      </c>
      <c r="G103" s="1">
        <v>7</v>
      </c>
      <c r="H103" s="1">
        <v>1</v>
      </c>
      <c r="I103" s="1"/>
      <c r="J103" s="1"/>
      <c r="K103" s="1">
        <v>4</v>
      </c>
      <c r="L103" s="1">
        <v>1</v>
      </c>
      <c r="M103" s="1"/>
      <c r="N103" s="1">
        <v>2</v>
      </c>
      <c r="O103" s="1">
        <v>3</v>
      </c>
      <c r="P103" s="1"/>
      <c r="Q103" s="1">
        <v>1</v>
      </c>
      <c r="R103" s="3">
        <v>10000</v>
      </c>
      <c r="S103" s="1"/>
      <c r="T103" s="1"/>
      <c r="U103" s="1"/>
      <c r="V103" s="1"/>
      <c r="W103" s="1">
        <v>2</v>
      </c>
      <c r="X103" s="1">
        <v>500</v>
      </c>
      <c r="AA103" s="1">
        <v>9999</v>
      </c>
      <c r="AB103" s="3"/>
      <c r="AC103" s="1"/>
      <c r="AD103" s="1"/>
      <c r="AE103" s="107" t="s">
        <v>1390</v>
      </c>
    </row>
    <row r="104" ht="21" customHeight="1" spans="1:31">
      <c r="A104" s="153">
        <v>31004</v>
      </c>
      <c r="B104" s="186" t="s">
        <v>1229</v>
      </c>
      <c r="C104" s="291" t="str">
        <f>"增加火系功法伤害"&amp;X104/100&amp;"%"</f>
        <v>增加火系功法伤害5%</v>
      </c>
      <c r="D104" s="186"/>
      <c r="E104" s="179">
        <v>3</v>
      </c>
      <c r="F104" s="187">
        <v>3</v>
      </c>
      <c r="G104" s="1">
        <v>7</v>
      </c>
      <c r="H104" s="1">
        <v>1</v>
      </c>
      <c r="I104" s="1"/>
      <c r="J104" s="1"/>
      <c r="K104" s="1">
        <v>4</v>
      </c>
      <c r="L104" s="1">
        <v>1</v>
      </c>
      <c r="M104" s="1"/>
      <c r="N104" s="1">
        <v>2</v>
      </c>
      <c r="O104" s="1">
        <v>4</v>
      </c>
      <c r="P104" s="1"/>
      <c r="Q104" s="1">
        <v>1</v>
      </c>
      <c r="R104" s="3">
        <v>10000</v>
      </c>
      <c r="S104" s="1"/>
      <c r="T104" s="1"/>
      <c r="U104" s="1"/>
      <c r="V104" s="1"/>
      <c r="W104" s="1">
        <v>2</v>
      </c>
      <c r="X104" s="1">
        <v>500</v>
      </c>
      <c r="AA104" s="1">
        <v>9999</v>
      </c>
      <c r="AB104" s="3"/>
      <c r="AC104" s="1"/>
      <c r="AD104" s="1"/>
      <c r="AE104" s="107" t="s">
        <v>1391</v>
      </c>
    </row>
    <row r="105" ht="21" customHeight="1" spans="1:31">
      <c r="A105" s="153">
        <v>31005</v>
      </c>
      <c r="B105" s="186" t="s">
        <v>1230</v>
      </c>
      <c r="C105" s="291" t="str">
        <f>"增加土系功法伤害"&amp;X105/100&amp;"%"</f>
        <v>增加土系功法伤害5%</v>
      </c>
      <c r="D105" s="186"/>
      <c r="E105" s="179">
        <v>3</v>
      </c>
      <c r="F105" s="187">
        <v>3</v>
      </c>
      <c r="G105" s="1">
        <v>7</v>
      </c>
      <c r="H105" s="1">
        <v>1</v>
      </c>
      <c r="I105" s="1"/>
      <c r="J105" s="1"/>
      <c r="K105" s="1">
        <v>4</v>
      </c>
      <c r="L105" s="1">
        <v>1</v>
      </c>
      <c r="M105" s="1"/>
      <c r="N105" s="1">
        <v>2</v>
      </c>
      <c r="O105" s="1">
        <v>5</v>
      </c>
      <c r="P105" s="1"/>
      <c r="Q105" s="1">
        <v>1</v>
      </c>
      <c r="R105" s="3">
        <v>10000</v>
      </c>
      <c r="S105" s="1"/>
      <c r="T105" s="1"/>
      <c r="U105" s="1"/>
      <c r="V105" s="1"/>
      <c r="W105" s="1">
        <v>2</v>
      </c>
      <c r="X105" s="1">
        <v>500</v>
      </c>
      <c r="AA105" s="1">
        <v>9999</v>
      </c>
      <c r="AB105" s="3"/>
      <c r="AC105" s="1"/>
      <c r="AD105" s="1"/>
      <c r="AE105" s="107" t="s">
        <v>1392</v>
      </c>
    </row>
    <row r="106" ht="21" customHeight="1" spans="1:31">
      <c r="A106" s="153">
        <v>31006</v>
      </c>
      <c r="B106" s="186" t="s">
        <v>1231</v>
      </c>
      <c r="C106" s="291" t="str">
        <f>"增加金系功法伤害"&amp;X106/100&amp;"%"</f>
        <v>增加金系功法伤害10%</v>
      </c>
      <c r="D106" s="186"/>
      <c r="E106" s="179">
        <v>3</v>
      </c>
      <c r="F106" s="187">
        <v>3</v>
      </c>
      <c r="G106" s="1">
        <v>7</v>
      </c>
      <c r="H106" s="1">
        <v>1</v>
      </c>
      <c r="I106" s="1"/>
      <c r="J106" s="1"/>
      <c r="K106" s="1">
        <v>4</v>
      </c>
      <c r="L106" s="1">
        <v>1</v>
      </c>
      <c r="M106" s="1"/>
      <c r="N106" s="1">
        <v>2</v>
      </c>
      <c r="O106" s="1">
        <v>1</v>
      </c>
      <c r="P106" s="1"/>
      <c r="Q106" s="1">
        <v>1</v>
      </c>
      <c r="R106" s="3">
        <v>10000</v>
      </c>
      <c r="S106" s="1"/>
      <c r="T106" s="1"/>
      <c r="U106" s="1"/>
      <c r="V106" s="1"/>
      <c r="W106" s="1">
        <v>2</v>
      </c>
      <c r="X106" s="1">
        <v>1000</v>
      </c>
      <c r="AA106" s="1">
        <v>9999</v>
      </c>
      <c r="AB106" s="3"/>
      <c r="AC106" s="1"/>
      <c r="AD106" s="1"/>
      <c r="AE106" s="107" t="s">
        <v>1393</v>
      </c>
    </row>
    <row r="107" ht="21" customHeight="1" spans="1:31">
      <c r="A107" s="153">
        <v>31007</v>
      </c>
      <c r="B107" s="186" t="s">
        <v>1232</v>
      </c>
      <c r="C107" s="291" t="str">
        <f>"增加木系功法伤害"&amp;X107/100&amp;"%"</f>
        <v>增加木系功法伤害10%</v>
      </c>
      <c r="D107" s="186"/>
      <c r="E107" s="179">
        <v>3</v>
      </c>
      <c r="F107" s="187">
        <v>3</v>
      </c>
      <c r="G107" s="1">
        <v>7</v>
      </c>
      <c r="H107" s="1">
        <v>1</v>
      </c>
      <c r="I107" s="1"/>
      <c r="J107" s="1"/>
      <c r="K107" s="1">
        <v>4</v>
      </c>
      <c r="L107" s="1">
        <v>1</v>
      </c>
      <c r="M107" s="1"/>
      <c r="N107" s="1">
        <v>2</v>
      </c>
      <c r="O107" s="1">
        <v>2</v>
      </c>
      <c r="P107" s="1"/>
      <c r="Q107" s="1">
        <v>1</v>
      </c>
      <c r="R107" s="3">
        <v>10000</v>
      </c>
      <c r="S107" s="1"/>
      <c r="T107" s="1"/>
      <c r="U107" s="1"/>
      <c r="V107" s="1"/>
      <c r="W107" s="1">
        <v>2</v>
      </c>
      <c r="X107" s="1">
        <v>1000</v>
      </c>
      <c r="AA107" s="1">
        <v>9999</v>
      </c>
      <c r="AB107" s="3"/>
      <c r="AC107" s="1"/>
      <c r="AD107" s="1"/>
      <c r="AE107" s="107" t="s">
        <v>1394</v>
      </c>
    </row>
    <row r="108" ht="21" customHeight="1" spans="1:31">
      <c r="A108" s="153">
        <v>31008</v>
      </c>
      <c r="B108" s="186" t="s">
        <v>1233</v>
      </c>
      <c r="C108" s="291" t="str">
        <f>"增加水系功法伤害"&amp;X108/100&amp;"%"</f>
        <v>增加水系功法伤害10%</v>
      </c>
      <c r="D108" s="186"/>
      <c r="E108" s="179">
        <v>3</v>
      </c>
      <c r="F108" s="187">
        <v>3</v>
      </c>
      <c r="G108" s="1">
        <v>7</v>
      </c>
      <c r="H108" s="1">
        <v>1</v>
      </c>
      <c r="I108" s="1"/>
      <c r="J108" s="1"/>
      <c r="K108" s="1">
        <v>4</v>
      </c>
      <c r="L108" s="1">
        <v>1</v>
      </c>
      <c r="M108" s="1"/>
      <c r="N108" s="1">
        <v>2</v>
      </c>
      <c r="O108" s="1">
        <v>3</v>
      </c>
      <c r="P108" s="1"/>
      <c r="Q108" s="1">
        <v>1</v>
      </c>
      <c r="R108" s="3">
        <v>10000</v>
      </c>
      <c r="S108" s="1"/>
      <c r="T108" s="1"/>
      <c r="U108" s="1"/>
      <c r="V108" s="1"/>
      <c r="W108" s="1">
        <v>2</v>
      </c>
      <c r="X108" s="1">
        <v>1000</v>
      </c>
      <c r="AA108" s="1">
        <v>9999</v>
      </c>
      <c r="AB108" s="3"/>
      <c r="AC108" s="1"/>
      <c r="AD108" s="1"/>
      <c r="AE108" s="107" t="s">
        <v>1395</v>
      </c>
    </row>
    <row r="109" ht="21" customHeight="1" spans="1:31">
      <c r="A109" s="153">
        <v>31009</v>
      </c>
      <c r="B109" s="186" t="s">
        <v>1234</v>
      </c>
      <c r="C109" s="291" t="str">
        <f>"增加火系功法伤害"&amp;X109/100&amp;"%"</f>
        <v>增加火系功法伤害10%</v>
      </c>
      <c r="D109" s="186"/>
      <c r="E109" s="179">
        <v>3</v>
      </c>
      <c r="F109" s="187">
        <v>3</v>
      </c>
      <c r="G109" s="1">
        <v>7</v>
      </c>
      <c r="H109" s="1">
        <v>1</v>
      </c>
      <c r="I109" s="1"/>
      <c r="J109" s="1"/>
      <c r="K109" s="1">
        <v>4</v>
      </c>
      <c r="L109" s="1">
        <v>1</v>
      </c>
      <c r="M109" s="1"/>
      <c r="N109" s="1">
        <v>2</v>
      </c>
      <c r="O109" s="1">
        <v>4</v>
      </c>
      <c r="P109" s="1"/>
      <c r="Q109" s="1">
        <v>1</v>
      </c>
      <c r="R109" s="3">
        <v>10000</v>
      </c>
      <c r="S109" s="1"/>
      <c r="T109" s="1"/>
      <c r="U109" s="1"/>
      <c r="V109" s="1"/>
      <c r="W109" s="1">
        <v>2</v>
      </c>
      <c r="X109" s="1">
        <v>1000</v>
      </c>
      <c r="AA109" s="1">
        <v>9999</v>
      </c>
      <c r="AB109" s="3"/>
      <c r="AC109" s="1"/>
      <c r="AD109" s="1"/>
      <c r="AE109" s="107" t="s">
        <v>1396</v>
      </c>
    </row>
    <row r="110" ht="21" customHeight="1" spans="1:31">
      <c r="A110" s="153">
        <v>31010</v>
      </c>
      <c r="B110" s="186" t="s">
        <v>1235</v>
      </c>
      <c r="C110" s="291" t="str">
        <f>"增加土系功法伤害"&amp;X110/100&amp;"%"</f>
        <v>增加土系功法伤害10%</v>
      </c>
      <c r="D110" s="186"/>
      <c r="E110" s="179">
        <v>3</v>
      </c>
      <c r="F110" s="187">
        <v>3</v>
      </c>
      <c r="G110" s="1">
        <v>7</v>
      </c>
      <c r="H110" s="1">
        <v>1</v>
      </c>
      <c r="I110" s="1"/>
      <c r="J110" s="1"/>
      <c r="K110" s="1">
        <v>4</v>
      </c>
      <c r="L110" s="1">
        <v>1</v>
      </c>
      <c r="M110" s="1"/>
      <c r="N110" s="1">
        <v>2</v>
      </c>
      <c r="O110" s="1">
        <v>5</v>
      </c>
      <c r="P110" s="1"/>
      <c r="Q110" s="1">
        <v>1</v>
      </c>
      <c r="R110" s="3">
        <v>10000</v>
      </c>
      <c r="S110" s="1"/>
      <c r="T110" s="1"/>
      <c r="U110" s="1"/>
      <c r="V110" s="1"/>
      <c r="W110" s="1">
        <v>2</v>
      </c>
      <c r="X110" s="1">
        <v>1000</v>
      </c>
      <c r="AA110" s="1">
        <v>9999</v>
      </c>
      <c r="AB110" s="3"/>
      <c r="AC110" s="1"/>
      <c r="AD110" s="1"/>
      <c r="AE110" s="107" t="s">
        <v>1397</v>
      </c>
    </row>
    <row r="111" ht="21" customHeight="1" spans="1:34">
      <c r="A111" s="153">
        <v>40001</v>
      </c>
      <c r="B111" s="292" t="s">
        <v>1398</v>
      </c>
      <c r="C111" s="293" t="s">
        <v>1399</v>
      </c>
      <c r="D111" s="186"/>
      <c r="E111" s="179">
        <v>3</v>
      </c>
      <c r="F111" s="187">
        <v>3</v>
      </c>
      <c r="G111" s="1">
        <v>7</v>
      </c>
      <c r="H111" s="1">
        <v>1</v>
      </c>
      <c r="I111" s="1"/>
      <c r="J111" s="1"/>
      <c r="K111" s="1">
        <v>4</v>
      </c>
      <c r="L111" s="1">
        <v>1</v>
      </c>
      <c r="M111" s="1">
        <v>0</v>
      </c>
      <c r="N111" s="1">
        <v>0</v>
      </c>
      <c r="O111" s="1">
        <v>0</v>
      </c>
      <c r="P111" s="1">
        <v>1</v>
      </c>
      <c r="Q111" s="1">
        <v>1</v>
      </c>
      <c r="R111" s="3">
        <v>10000</v>
      </c>
      <c r="S111" s="1"/>
      <c r="T111" s="1"/>
      <c r="U111" s="1"/>
      <c r="W111" s="1">
        <v>2</v>
      </c>
      <c r="X111" s="1">
        <v>500</v>
      </c>
      <c r="AA111" s="1">
        <v>9999</v>
      </c>
      <c r="AB111" s="3"/>
      <c r="AC111" s="1"/>
      <c r="AD111" s="1"/>
      <c r="AE111" s="183" t="s">
        <v>1305</v>
      </c>
      <c r="AG111" t="e">
        <f ca="1">OFFSET(buff的资质计算!$M$1,MATCH(buff!D111,buff的资质计算!G:G,0)-1,0)*X111/10000</f>
        <v>#N/A</v>
      </c>
      <c r="AH111" t="e">
        <f ca="1">AG111/OFFSET(buff的资质计算!$L$1,MATCH(buff!D111,buff的资质计算!G:G,0)-1,0)</f>
        <v>#N/A</v>
      </c>
    </row>
    <row r="112" ht="21" customHeight="1" spans="1:34">
      <c r="A112" s="153">
        <v>40002</v>
      </c>
      <c r="B112" s="292" t="s">
        <v>1400</v>
      </c>
      <c r="C112" s="293" t="s">
        <v>1401</v>
      </c>
      <c r="D112" s="186"/>
      <c r="E112" s="179">
        <v>3</v>
      </c>
      <c r="F112" s="187">
        <v>3</v>
      </c>
      <c r="G112" s="1">
        <v>14</v>
      </c>
      <c r="H112" s="1">
        <v>1</v>
      </c>
      <c r="I112" s="1"/>
      <c r="J112" s="1"/>
      <c r="K112" s="1">
        <v>3</v>
      </c>
      <c r="L112" s="1">
        <v>1</v>
      </c>
      <c r="M112" s="1">
        <v>0</v>
      </c>
      <c r="N112" s="1">
        <v>0</v>
      </c>
      <c r="O112" s="1">
        <v>0</v>
      </c>
      <c r="P112" s="1">
        <v>1</v>
      </c>
      <c r="Q112" s="1">
        <v>1</v>
      </c>
      <c r="R112" s="3">
        <v>10000</v>
      </c>
      <c r="S112" s="1"/>
      <c r="T112" s="1"/>
      <c r="U112" s="1"/>
      <c r="W112" s="1">
        <v>2</v>
      </c>
      <c r="X112" s="1">
        <v>500</v>
      </c>
      <c r="AA112" s="1">
        <v>9999</v>
      </c>
      <c r="AB112" s="3"/>
      <c r="AC112" s="1"/>
      <c r="AD112" s="1"/>
      <c r="AE112" s="183" t="s">
        <v>1294</v>
      </c>
      <c r="AG112" t="e">
        <f ca="1">OFFSET(buff的资质计算!$M$1,MATCH(buff!D112,buff的资质计算!G:G,0)-1,0)*X112/10000</f>
        <v>#N/A</v>
      </c>
      <c r="AH112" t="e">
        <f ca="1">AG112/OFFSET(buff的资质计算!$L$1,MATCH(buff!D112,buff的资质计算!G:G,0)-1,0)</f>
        <v>#N/A</v>
      </c>
    </row>
    <row r="113" ht="21" customHeight="1" spans="1:34">
      <c r="A113" s="153">
        <v>40003</v>
      </c>
      <c r="B113" s="292" t="s">
        <v>1402</v>
      </c>
      <c r="C113" s="291" t="str">
        <f>"增加剑法伤害"&amp;X113/100&amp;"%"</f>
        <v>增加剑法伤害10%</v>
      </c>
      <c r="D113">
        <v>2</v>
      </c>
      <c r="E113" s="179">
        <v>3</v>
      </c>
      <c r="F113" s="179">
        <v>3</v>
      </c>
      <c r="G113" s="1">
        <v>7</v>
      </c>
      <c r="H113" s="1">
        <v>1</v>
      </c>
      <c r="I113" s="1"/>
      <c r="J113" s="1"/>
      <c r="K113" s="1">
        <v>4</v>
      </c>
      <c r="L113" s="1">
        <v>1</v>
      </c>
      <c r="M113" s="1">
        <v>0</v>
      </c>
      <c r="N113" s="1">
        <v>1</v>
      </c>
      <c r="O113" s="1">
        <v>2</v>
      </c>
      <c r="P113" s="1">
        <v>1</v>
      </c>
      <c r="Q113" s="1">
        <v>1</v>
      </c>
      <c r="R113" s="3">
        <v>10000</v>
      </c>
      <c r="S113" s="1"/>
      <c r="T113" s="1"/>
      <c r="U113" s="1"/>
      <c r="W113" s="1">
        <v>2</v>
      </c>
      <c r="X113" s="1">
        <v>1000</v>
      </c>
      <c r="AA113" s="1">
        <v>9999</v>
      </c>
      <c r="AB113" s="3"/>
      <c r="AC113" s="1"/>
      <c r="AD113" s="1"/>
      <c r="AE113" s="183" t="s">
        <v>1310</v>
      </c>
      <c r="AG113" t="e">
        <f ca="1">OFFSET(buff的资质计算!$M$1,MATCH(buff!D113,buff的资质计算!G:G,0)-1,0)*X113/10000</f>
        <v>#VALUE!</v>
      </c>
      <c r="AH113" t="e">
        <f ca="1">AG113/OFFSET(buff的资质计算!$L$1,MATCH(buff!D113,buff的资质计算!G:G,0)-1,0)</f>
        <v>#VALUE!</v>
      </c>
    </row>
    <row r="114" ht="21" customHeight="1" spans="1:34">
      <c r="A114" s="153">
        <v>40004</v>
      </c>
      <c r="B114" s="292" t="s">
        <v>1403</v>
      </c>
      <c r="C114" s="291" t="str">
        <f>"增加法术伤害"&amp;X114/100&amp;"%"</f>
        <v>增加法术伤害10%</v>
      </c>
      <c r="D114">
        <v>2</v>
      </c>
      <c r="E114" s="179">
        <v>3</v>
      </c>
      <c r="F114" s="179">
        <v>3</v>
      </c>
      <c r="G114" s="1">
        <v>7</v>
      </c>
      <c r="H114" s="1">
        <v>1</v>
      </c>
      <c r="I114" s="1"/>
      <c r="J114" s="1"/>
      <c r="K114" s="1">
        <v>4</v>
      </c>
      <c r="L114" s="1">
        <v>1</v>
      </c>
      <c r="M114" s="1">
        <v>0</v>
      </c>
      <c r="N114" s="1">
        <v>1</v>
      </c>
      <c r="O114" s="1">
        <v>3</v>
      </c>
      <c r="P114" s="1">
        <v>1</v>
      </c>
      <c r="Q114" s="1">
        <v>1</v>
      </c>
      <c r="R114" s="3">
        <v>10000</v>
      </c>
      <c r="S114" s="1"/>
      <c r="T114" s="1"/>
      <c r="U114" s="1"/>
      <c r="W114" s="1">
        <v>2</v>
      </c>
      <c r="X114" s="1">
        <v>1000</v>
      </c>
      <c r="AA114" s="1">
        <v>9999</v>
      </c>
      <c r="AB114" s="3"/>
      <c r="AC114" s="1"/>
      <c r="AD114" s="1"/>
      <c r="AE114" s="183" t="s">
        <v>1299</v>
      </c>
      <c r="AG114" t="e">
        <f ca="1">OFFSET(buff的资质计算!$M$1,MATCH(buff!D114,buff的资质计算!G:G,0)-1,0)*X114/10000</f>
        <v>#VALUE!</v>
      </c>
      <c r="AH114" t="e">
        <f ca="1">AG114/OFFSET(buff的资质计算!$L$1,MATCH(buff!D114,buff的资质计算!G:G,0)-1,0)</f>
        <v>#VALUE!</v>
      </c>
    </row>
    <row r="115" ht="21" customHeight="1" spans="1:34">
      <c r="A115" s="153">
        <v>40005</v>
      </c>
      <c r="B115" s="11" t="s">
        <v>1404</v>
      </c>
      <c r="C115" s="291" t="str">
        <f>"增加拳法伤害"&amp;X115/100&amp;"%"</f>
        <v>增加拳法伤害10%</v>
      </c>
      <c r="D115">
        <v>2</v>
      </c>
      <c r="E115" s="179">
        <v>3</v>
      </c>
      <c r="F115" s="179">
        <v>3</v>
      </c>
      <c r="G115" s="1">
        <v>7</v>
      </c>
      <c r="H115" s="1">
        <v>1</v>
      </c>
      <c r="I115" s="1"/>
      <c r="J115" s="1"/>
      <c r="K115" s="1">
        <v>4</v>
      </c>
      <c r="L115" s="1">
        <v>1</v>
      </c>
      <c r="M115" s="1">
        <v>0</v>
      </c>
      <c r="N115" s="1">
        <v>1</v>
      </c>
      <c r="O115" s="1">
        <v>1</v>
      </c>
      <c r="P115" s="1">
        <v>1</v>
      </c>
      <c r="Q115" s="1">
        <v>1</v>
      </c>
      <c r="R115" s="3">
        <v>10000</v>
      </c>
      <c r="S115" s="1"/>
      <c r="T115" s="1"/>
      <c r="U115" s="1"/>
      <c r="W115" s="1">
        <v>2</v>
      </c>
      <c r="X115" s="1">
        <v>1000</v>
      </c>
      <c r="AA115" s="1">
        <v>9999</v>
      </c>
      <c r="AB115" s="3"/>
      <c r="AC115" s="1"/>
      <c r="AD115" s="1"/>
      <c r="AE115" s="183" t="s">
        <v>1303</v>
      </c>
      <c r="AG115" t="e">
        <f ca="1">OFFSET(buff的资质计算!$M$1,MATCH(buff!D115,buff的资质计算!G:G,0)-1,0)*X115/10000</f>
        <v>#VALUE!</v>
      </c>
      <c r="AH115" t="e">
        <f ca="1">AG115/OFFSET(buff的资质计算!$L$1,MATCH(buff!D115,buff的资质计算!G:G,0)-1,0)</f>
        <v>#VALUE!</v>
      </c>
    </row>
    <row r="116" ht="15.75" spans="1:34">
      <c r="A116" s="153">
        <f ca="1">passive!W6</f>
        <v>110100</v>
      </c>
      <c r="B116" s="186" t="str">
        <f>passive!B6</f>
        <v>太玄拳法</v>
      </c>
      <c r="C116" s="165" t="s">
        <v>1405</v>
      </c>
      <c r="D116" s="186">
        <v>1</v>
      </c>
      <c r="E116" s="179">
        <v>2</v>
      </c>
      <c r="F116" s="179">
        <v>3</v>
      </c>
      <c r="G116" s="1">
        <v>3</v>
      </c>
      <c r="H116" s="1">
        <v>1</v>
      </c>
      <c r="I116" s="157">
        <v>21</v>
      </c>
      <c r="J116" s="294">
        <v>22</v>
      </c>
      <c r="K116" s="1">
        <v>4</v>
      </c>
      <c r="L116" s="1">
        <v>1</v>
      </c>
      <c r="M116" s="1">
        <v>0</v>
      </c>
      <c r="N116">
        <v>1</v>
      </c>
      <c r="O116">
        <v>1</v>
      </c>
      <c r="P116">
        <v>1</v>
      </c>
      <c r="Q116" s="1">
        <v>2</v>
      </c>
      <c r="R116" s="3">
        <v>10000</v>
      </c>
      <c r="S116" s="1"/>
      <c r="T116" s="1"/>
      <c r="U116" s="1"/>
      <c r="W116" s="1">
        <v>1</v>
      </c>
      <c r="X116" s="1">
        <f>AG116*card!$S$1*buff的资质计算!$E$3*Q116</f>
        <v>30.42</v>
      </c>
      <c r="Y116" s="153">
        <v>1</v>
      </c>
      <c r="Z116" s="153">
        <f>AG116*card!$W$1*buff的资质计算!$E$3*Q116</f>
        <v>3.042</v>
      </c>
      <c r="AA116" s="1">
        <v>9999</v>
      </c>
      <c r="AE116" s="183" t="s">
        <v>1406</v>
      </c>
      <c r="AG116">
        <f t="shared" ref="AG116:AG126" si="4">AH116*1.3</f>
        <v>3.9</v>
      </c>
      <c r="AH116">
        <v>3</v>
      </c>
    </row>
    <row r="117" ht="15.75" spans="1:34">
      <c r="A117" s="153">
        <f ca="1">passive!W7</f>
        <v>110101</v>
      </c>
      <c r="B117" s="186" t="str">
        <f>passive!B7</f>
        <v>太玄拳法</v>
      </c>
      <c r="C117" s="165" t="s">
        <v>1405</v>
      </c>
      <c r="D117" s="186">
        <v>1</v>
      </c>
      <c r="E117" s="179">
        <v>2</v>
      </c>
      <c r="F117" s="179">
        <v>3</v>
      </c>
      <c r="G117" s="1">
        <v>3</v>
      </c>
      <c r="H117" s="1">
        <v>1</v>
      </c>
      <c r="I117" s="157">
        <v>21</v>
      </c>
      <c r="J117" s="294">
        <v>22</v>
      </c>
      <c r="K117" s="1">
        <v>4</v>
      </c>
      <c r="L117" s="1">
        <v>1</v>
      </c>
      <c r="M117" s="1">
        <v>0</v>
      </c>
      <c r="N117">
        <v>1</v>
      </c>
      <c r="O117">
        <v>1</v>
      </c>
      <c r="P117">
        <v>1</v>
      </c>
      <c r="Q117" s="1">
        <v>2</v>
      </c>
      <c r="R117" s="3">
        <v>10000</v>
      </c>
      <c r="S117" s="1"/>
      <c r="T117" s="1"/>
      <c r="U117" s="1"/>
      <c r="W117" s="1">
        <v>1</v>
      </c>
      <c r="X117" s="1">
        <f>AG117*card!$S$1*buff的资质计算!$E$3*Q117</f>
        <v>33.462</v>
      </c>
      <c r="Y117" s="153">
        <v>1</v>
      </c>
      <c r="Z117" s="153">
        <f>AG117*card!$W$1*buff的资质计算!$E$3*Q117</f>
        <v>3.3462</v>
      </c>
      <c r="AA117" s="1">
        <v>9999</v>
      </c>
      <c r="AE117" s="183" t="s">
        <v>1406</v>
      </c>
      <c r="AG117">
        <f t="shared" si="4"/>
        <v>4.29</v>
      </c>
      <c r="AH117">
        <v>3.3</v>
      </c>
    </row>
    <row r="118" ht="15.75" spans="1:34">
      <c r="A118" s="153">
        <f ca="1">passive!W8</f>
        <v>110102</v>
      </c>
      <c r="B118" s="186" t="str">
        <f>passive!B8</f>
        <v>太玄拳法</v>
      </c>
      <c r="C118" s="165" t="s">
        <v>1405</v>
      </c>
      <c r="D118" s="186">
        <v>1</v>
      </c>
      <c r="E118" s="179">
        <v>2</v>
      </c>
      <c r="F118" s="179">
        <v>3</v>
      </c>
      <c r="G118" s="1">
        <v>3</v>
      </c>
      <c r="H118" s="1">
        <v>1</v>
      </c>
      <c r="I118" s="157">
        <v>21</v>
      </c>
      <c r="J118" s="294">
        <v>22</v>
      </c>
      <c r="K118" s="1">
        <v>4</v>
      </c>
      <c r="L118" s="1">
        <v>1</v>
      </c>
      <c r="M118" s="1">
        <v>0</v>
      </c>
      <c r="N118">
        <v>1</v>
      </c>
      <c r="O118">
        <v>1</v>
      </c>
      <c r="P118">
        <v>1</v>
      </c>
      <c r="Q118" s="1">
        <v>2</v>
      </c>
      <c r="R118" s="3">
        <v>10000</v>
      </c>
      <c r="S118" s="1"/>
      <c r="T118" s="1"/>
      <c r="U118" s="1"/>
      <c r="W118" s="1">
        <v>1</v>
      </c>
      <c r="X118" s="1">
        <f>AG118*card!$S$1*buff的资质计算!$E$3*Q118</f>
        <v>36.504</v>
      </c>
      <c r="Y118" s="153">
        <v>1</v>
      </c>
      <c r="Z118" s="153">
        <f>AG118*card!$W$1*buff的资质计算!$E$3*Q118</f>
        <v>3.6504</v>
      </c>
      <c r="AA118" s="1">
        <v>9999</v>
      </c>
      <c r="AE118" s="183" t="s">
        <v>1406</v>
      </c>
      <c r="AG118">
        <f t="shared" si="4"/>
        <v>4.68</v>
      </c>
      <c r="AH118">
        <v>3.6</v>
      </c>
    </row>
    <row r="119" ht="15.75" spans="1:34">
      <c r="A119" s="153">
        <f ca="1">passive!W9</f>
        <v>110103</v>
      </c>
      <c r="B119" s="186" t="str">
        <f>passive!B9</f>
        <v>太玄拳法</v>
      </c>
      <c r="C119" s="165" t="s">
        <v>1405</v>
      </c>
      <c r="D119" s="186">
        <v>1</v>
      </c>
      <c r="E119" s="179">
        <v>2</v>
      </c>
      <c r="F119" s="179">
        <v>3</v>
      </c>
      <c r="G119" s="1">
        <v>3</v>
      </c>
      <c r="H119" s="1">
        <v>1</v>
      </c>
      <c r="I119" s="157">
        <v>21</v>
      </c>
      <c r="J119" s="294">
        <v>22</v>
      </c>
      <c r="K119" s="1">
        <v>4</v>
      </c>
      <c r="L119" s="1">
        <v>1</v>
      </c>
      <c r="M119" s="1">
        <v>0</v>
      </c>
      <c r="N119">
        <v>1</v>
      </c>
      <c r="O119">
        <v>1</v>
      </c>
      <c r="P119">
        <v>1</v>
      </c>
      <c r="Q119" s="1">
        <v>2</v>
      </c>
      <c r="R119" s="3">
        <v>10000</v>
      </c>
      <c r="S119" s="1"/>
      <c r="T119" s="1"/>
      <c r="U119" s="1"/>
      <c r="W119" s="1">
        <v>1</v>
      </c>
      <c r="X119" s="1">
        <f>AG119*card!$S$1*buff的资质计算!$E$3*Q119</f>
        <v>39.546</v>
      </c>
      <c r="Y119" s="153">
        <v>1</v>
      </c>
      <c r="Z119" s="153">
        <f>AG119*card!$W$1*buff的资质计算!$E$3*Q119</f>
        <v>3.9546</v>
      </c>
      <c r="AA119" s="1">
        <v>9999</v>
      </c>
      <c r="AE119" s="183" t="s">
        <v>1406</v>
      </c>
      <c r="AG119">
        <f t="shared" si="4"/>
        <v>5.07</v>
      </c>
      <c r="AH119">
        <v>3.9</v>
      </c>
    </row>
    <row r="120" ht="15.75" spans="1:34">
      <c r="A120" s="153">
        <f ca="1">passive!W10</f>
        <v>110104</v>
      </c>
      <c r="B120" s="186" t="str">
        <f>passive!B10</f>
        <v>太玄拳法</v>
      </c>
      <c r="C120" s="165" t="s">
        <v>1405</v>
      </c>
      <c r="D120" s="186">
        <v>1</v>
      </c>
      <c r="E120" s="179">
        <v>2</v>
      </c>
      <c r="F120" s="179">
        <v>3</v>
      </c>
      <c r="G120" s="1">
        <v>3</v>
      </c>
      <c r="H120" s="1">
        <v>1</v>
      </c>
      <c r="I120" s="157">
        <v>21</v>
      </c>
      <c r="J120" s="294">
        <v>22</v>
      </c>
      <c r="K120" s="1">
        <v>4</v>
      </c>
      <c r="L120" s="1">
        <v>1</v>
      </c>
      <c r="M120" s="1">
        <v>0</v>
      </c>
      <c r="N120">
        <v>1</v>
      </c>
      <c r="O120">
        <v>1</v>
      </c>
      <c r="P120">
        <v>1</v>
      </c>
      <c r="Q120" s="1">
        <v>2</v>
      </c>
      <c r="R120" s="3">
        <v>10000</v>
      </c>
      <c r="S120" s="1"/>
      <c r="T120" s="1"/>
      <c r="U120" s="1"/>
      <c r="W120" s="1">
        <v>1</v>
      </c>
      <c r="X120" s="1">
        <f>AG120*card!$S$1*buff的资质计算!$E$3*Q120</f>
        <v>42.588</v>
      </c>
      <c r="Y120" s="153">
        <v>1</v>
      </c>
      <c r="Z120" s="153">
        <f>AG120*card!$W$1*buff的资质计算!$E$3*Q120</f>
        <v>4.2588</v>
      </c>
      <c r="AA120" s="1">
        <v>9999</v>
      </c>
      <c r="AE120" s="183" t="s">
        <v>1406</v>
      </c>
      <c r="AG120">
        <f t="shared" si="4"/>
        <v>5.46</v>
      </c>
      <c r="AH120">
        <v>4.2</v>
      </c>
    </row>
    <row r="121" ht="15.75" spans="1:34">
      <c r="A121" s="153">
        <f ca="1">passive!W11</f>
        <v>110105</v>
      </c>
      <c r="B121" s="186" t="str">
        <f>passive!B11</f>
        <v>太玄拳法</v>
      </c>
      <c r="C121" s="165" t="s">
        <v>1405</v>
      </c>
      <c r="D121" s="186">
        <v>1</v>
      </c>
      <c r="E121" s="179">
        <v>2</v>
      </c>
      <c r="F121" s="179">
        <v>3</v>
      </c>
      <c r="G121" s="1">
        <v>3</v>
      </c>
      <c r="H121" s="1">
        <v>1</v>
      </c>
      <c r="I121" s="157">
        <v>21</v>
      </c>
      <c r="J121" s="294">
        <v>22</v>
      </c>
      <c r="K121" s="1">
        <v>4</v>
      </c>
      <c r="L121" s="1">
        <v>1</v>
      </c>
      <c r="M121" s="1">
        <v>0</v>
      </c>
      <c r="N121">
        <v>1</v>
      </c>
      <c r="O121">
        <v>1</v>
      </c>
      <c r="P121">
        <v>1</v>
      </c>
      <c r="Q121" s="1">
        <v>2</v>
      </c>
      <c r="R121" s="3">
        <v>10000</v>
      </c>
      <c r="S121" s="1"/>
      <c r="T121" s="1"/>
      <c r="U121" s="1"/>
      <c r="W121" s="1">
        <v>1</v>
      </c>
      <c r="X121" s="1">
        <f>AG121*card!$S$1*buff的资质计算!$E$3*Q121</f>
        <v>45.63</v>
      </c>
      <c r="Y121" s="153">
        <v>1</v>
      </c>
      <c r="Z121" s="153">
        <f>AG121*card!$W$1*buff的资质计算!$E$3*Q121</f>
        <v>4.563</v>
      </c>
      <c r="AA121" s="1">
        <v>9999</v>
      </c>
      <c r="AE121" s="183" t="s">
        <v>1406</v>
      </c>
      <c r="AG121">
        <f t="shared" si="4"/>
        <v>5.85</v>
      </c>
      <c r="AH121">
        <v>4.5</v>
      </c>
    </row>
    <row r="122" ht="15.75" spans="1:34">
      <c r="A122" s="153">
        <f ca="1">passive!W12</f>
        <v>110106</v>
      </c>
      <c r="B122" s="186" t="str">
        <f>passive!B12</f>
        <v>太玄拳法</v>
      </c>
      <c r="C122" s="165" t="s">
        <v>1405</v>
      </c>
      <c r="D122" s="186">
        <v>1</v>
      </c>
      <c r="E122" s="179">
        <v>2</v>
      </c>
      <c r="F122" s="179">
        <v>3</v>
      </c>
      <c r="G122" s="1">
        <v>3</v>
      </c>
      <c r="H122" s="1">
        <v>1</v>
      </c>
      <c r="I122" s="157">
        <v>21</v>
      </c>
      <c r="J122" s="294">
        <v>22</v>
      </c>
      <c r="K122" s="1">
        <v>4</v>
      </c>
      <c r="L122" s="1">
        <v>1</v>
      </c>
      <c r="M122" s="1">
        <v>0</v>
      </c>
      <c r="N122">
        <v>1</v>
      </c>
      <c r="O122">
        <v>1</v>
      </c>
      <c r="P122">
        <v>1</v>
      </c>
      <c r="Q122" s="1">
        <v>2</v>
      </c>
      <c r="R122" s="3">
        <v>10000</v>
      </c>
      <c r="S122" s="1"/>
      <c r="T122" s="1"/>
      <c r="U122" s="1"/>
      <c r="W122" s="1">
        <v>1</v>
      </c>
      <c r="X122" s="1">
        <f>AG122*card!$S$1*buff的资质计算!$E$3*Q122</f>
        <v>48.672</v>
      </c>
      <c r="Y122" s="153">
        <v>1</v>
      </c>
      <c r="Z122" s="153">
        <f>AG122*card!$W$1*buff的资质计算!$E$3*Q122</f>
        <v>4.8672</v>
      </c>
      <c r="AA122" s="1">
        <v>9999</v>
      </c>
      <c r="AE122" s="183" t="s">
        <v>1406</v>
      </c>
      <c r="AG122">
        <f t="shared" si="4"/>
        <v>6.24</v>
      </c>
      <c r="AH122">
        <v>4.8</v>
      </c>
    </row>
    <row r="123" ht="15.75" spans="1:34">
      <c r="A123" s="153">
        <f ca="1">passive!W13</f>
        <v>110107</v>
      </c>
      <c r="B123" s="186" t="str">
        <f>passive!B13</f>
        <v>太玄拳法</v>
      </c>
      <c r="C123" s="165" t="s">
        <v>1405</v>
      </c>
      <c r="D123" s="186">
        <v>1</v>
      </c>
      <c r="E123" s="179">
        <v>2</v>
      </c>
      <c r="F123" s="179">
        <v>3</v>
      </c>
      <c r="G123" s="1">
        <v>3</v>
      </c>
      <c r="H123" s="1">
        <v>1</v>
      </c>
      <c r="I123" s="157">
        <v>21</v>
      </c>
      <c r="J123" s="294">
        <v>22</v>
      </c>
      <c r="K123" s="1">
        <v>4</v>
      </c>
      <c r="L123" s="1">
        <v>1</v>
      </c>
      <c r="M123" s="1">
        <v>0</v>
      </c>
      <c r="N123">
        <v>1</v>
      </c>
      <c r="O123">
        <v>1</v>
      </c>
      <c r="P123">
        <v>1</v>
      </c>
      <c r="Q123" s="1">
        <v>2</v>
      </c>
      <c r="R123" s="3">
        <v>10000</v>
      </c>
      <c r="S123" s="1"/>
      <c r="T123" s="1"/>
      <c r="U123" s="1"/>
      <c r="W123" s="1">
        <v>1</v>
      </c>
      <c r="X123" s="1">
        <f>AG123*card!$S$1*buff的资质计算!$E$3*Q123</f>
        <v>51.714</v>
      </c>
      <c r="Y123" s="153">
        <v>1</v>
      </c>
      <c r="Z123" s="153">
        <f>AG123*card!$W$1*buff的资质计算!$E$3*Q123</f>
        <v>5.1714</v>
      </c>
      <c r="AA123" s="1">
        <v>9999</v>
      </c>
      <c r="AE123" s="183" t="s">
        <v>1406</v>
      </c>
      <c r="AG123">
        <f t="shared" si="4"/>
        <v>6.63</v>
      </c>
      <c r="AH123">
        <v>5.1</v>
      </c>
    </row>
    <row r="124" ht="15.75" spans="1:34">
      <c r="A124" s="153">
        <f ca="1">passive!W14</f>
        <v>110108</v>
      </c>
      <c r="B124" s="186" t="str">
        <f>passive!B14</f>
        <v>太玄拳法</v>
      </c>
      <c r="C124" s="165" t="s">
        <v>1405</v>
      </c>
      <c r="D124" s="186">
        <v>1</v>
      </c>
      <c r="E124" s="179">
        <v>2</v>
      </c>
      <c r="F124" s="179">
        <v>3</v>
      </c>
      <c r="G124" s="1">
        <v>3</v>
      </c>
      <c r="H124" s="1">
        <v>1</v>
      </c>
      <c r="I124" s="157">
        <v>21</v>
      </c>
      <c r="J124" s="294">
        <v>22</v>
      </c>
      <c r="K124" s="1">
        <v>4</v>
      </c>
      <c r="L124" s="1">
        <v>1</v>
      </c>
      <c r="M124" s="1">
        <v>0</v>
      </c>
      <c r="N124">
        <v>1</v>
      </c>
      <c r="O124">
        <v>1</v>
      </c>
      <c r="P124">
        <v>1</v>
      </c>
      <c r="Q124" s="1">
        <v>2</v>
      </c>
      <c r="R124" s="3">
        <v>10000</v>
      </c>
      <c r="S124" s="1"/>
      <c r="T124" s="1"/>
      <c r="U124" s="1"/>
      <c r="W124" s="1">
        <v>1</v>
      </c>
      <c r="X124" s="1">
        <f>AG124*card!$S$1*buff的资质计算!$E$3*Q124</f>
        <v>54.756</v>
      </c>
      <c r="Y124" s="153">
        <v>1</v>
      </c>
      <c r="Z124" s="153">
        <f>AG124*card!$W$1*buff的资质计算!$E$3*Q124</f>
        <v>5.4756</v>
      </c>
      <c r="AA124" s="1">
        <v>9999</v>
      </c>
      <c r="AE124" s="183" t="s">
        <v>1406</v>
      </c>
      <c r="AG124">
        <f t="shared" si="4"/>
        <v>7.02</v>
      </c>
      <c r="AH124">
        <v>5.4</v>
      </c>
    </row>
    <row r="125" ht="15.75" spans="1:34">
      <c r="A125" s="153">
        <f ca="1">passive!W15</f>
        <v>110109</v>
      </c>
      <c r="B125" s="186" t="str">
        <f>passive!B15</f>
        <v>太玄拳法</v>
      </c>
      <c r="C125" s="165" t="s">
        <v>1405</v>
      </c>
      <c r="D125" s="186">
        <v>1</v>
      </c>
      <c r="E125" s="179">
        <v>2</v>
      </c>
      <c r="F125" s="179">
        <v>3</v>
      </c>
      <c r="G125" s="1">
        <v>3</v>
      </c>
      <c r="H125" s="1">
        <v>1</v>
      </c>
      <c r="I125" s="157">
        <v>21</v>
      </c>
      <c r="J125" s="294">
        <v>22</v>
      </c>
      <c r="K125" s="1">
        <v>4</v>
      </c>
      <c r="L125" s="1">
        <v>1</v>
      </c>
      <c r="M125" s="1">
        <v>0</v>
      </c>
      <c r="N125">
        <v>1</v>
      </c>
      <c r="O125">
        <v>1</v>
      </c>
      <c r="P125">
        <v>1</v>
      </c>
      <c r="Q125" s="1">
        <v>2</v>
      </c>
      <c r="R125" s="3">
        <v>10000</v>
      </c>
      <c r="S125" s="1"/>
      <c r="T125" s="1"/>
      <c r="U125" s="1"/>
      <c r="W125" s="1">
        <v>1</v>
      </c>
      <c r="X125" s="1">
        <f>AG125*card!$S$1*buff的资质计算!$E$3*Q125</f>
        <v>57.798</v>
      </c>
      <c r="Y125" s="153">
        <v>1</v>
      </c>
      <c r="Z125" s="153">
        <f>AG125*card!$W$1*buff的资质计算!$E$3*Q125</f>
        <v>5.7798</v>
      </c>
      <c r="AA125" s="1">
        <v>9999</v>
      </c>
      <c r="AE125" s="183" t="s">
        <v>1406</v>
      </c>
      <c r="AG125">
        <f t="shared" si="4"/>
        <v>7.41</v>
      </c>
      <c r="AH125">
        <v>5.7</v>
      </c>
    </row>
    <row r="126" ht="15.75" spans="1:34">
      <c r="A126" s="153">
        <f ca="1">passive!W16</f>
        <v>110110</v>
      </c>
      <c r="B126" s="186" t="str">
        <f>passive!B16</f>
        <v>太玄拳法</v>
      </c>
      <c r="C126" s="165" t="s">
        <v>1405</v>
      </c>
      <c r="D126" s="186">
        <v>1</v>
      </c>
      <c r="E126" s="179">
        <v>2</v>
      </c>
      <c r="F126" s="179">
        <v>3</v>
      </c>
      <c r="G126" s="1">
        <v>3</v>
      </c>
      <c r="H126" s="1">
        <v>1</v>
      </c>
      <c r="I126" s="157">
        <v>21</v>
      </c>
      <c r="J126" s="294">
        <v>22</v>
      </c>
      <c r="K126" s="1">
        <v>4</v>
      </c>
      <c r="L126" s="1">
        <v>1</v>
      </c>
      <c r="M126" s="1">
        <v>0</v>
      </c>
      <c r="N126">
        <v>1</v>
      </c>
      <c r="O126">
        <v>1</v>
      </c>
      <c r="P126">
        <v>1</v>
      </c>
      <c r="Q126" s="1">
        <v>2</v>
      </c>
      <c r="R126" s="3">
        <v>10000</v>
      </c>
      <c r="S126" s="1"/>
      <c r="T126" s="1"/>
      <c r="U126" s="1"/>
      <c r="W126" s="1">
        <v>1</v>
      </c>
      <c r="X126" s="1">
        <f>AG126*card!$S$1*buff的资质计算!$E$3*Q126</f>
        <v>60.84</v>
      </c>
      <c r="Y126" s="153">
        <v>1</v>
      </c>
      <c r="Z126" s="153">
        <f>AG126*card!$W$1*buff的资质计算!$E$3*Q126</f>
        <v>6.084</v>
      </c>
      <c r="AA126" s="1">
        <v>9999</v>
      </c>
      <c r="AE126" s="183" t="s">
        <v>1406</v>
      </c>
      <c r="AG126">
        <f t="shared" si="4"/>
        <v>7.8</v>
      </c>
      <c r="AH126">
        <v>6</v>
      </c>
    </row>
    <row r="127" ht="15.75" spans="1:34">
      <c r="A127" s="153">
        <f ca="1">passive!W17</f>
        <v>110200</v>
      </c>
      <c r="B127" s="186" t="str">
        <f>passive!B17</f>
        <v>魔拳真录</v>
      </c>
      <c r="C127" s="291" t="str">
        <f t="shared" ref="C127:C137" si="5">"增加拳法伤害"&amp;X127/100&amp;"%"</f>
        <v>增加拳法伤害10%</v>
      </c>
      <c r="D127">
        <v>2</v>
      </c>
      <c r="E127" s="179">
        <v>2</v>
      </c>
      <c r="F127" s="179">
        <v>3</v>
      </c>
      <c r="G127" s="1">
        <v>7</v>
      </c>
      <c r="H127" s="1">
        <v>1</v>
      </c>
      <c r="I127" s="1"/>
      <c r="J127" s="1"/>
      <c r="K127" s="1">
        <v>4</v>
      </c>
      <c r="L127" s="1">
        <v>1</v>
      </c>
      <c r="M127" s="1">
        <v>0</v>
      </c>
      <c r="N127" s="1">
        <v>1</v>
      </c>
      <c r="O127" s="1">
        <v>1</v>
      </c>
      <c r="P127" s="1">
        <v>1</v>
      </c>
      <c r="Q127" s="1">
        <v>1</v>
      </c>
      <c r="R127" s="3">
        <v>10000</v>
      </c>
      <c r="S127" s="1"/>
      <c r="T127" s="1"/>
      <c r="U127" s="1"/>
      <c r="W127" s="1">
        <v>2</v>
      </c>
      <c r="X127" s="1">
        <v>1000</v>
      </c>
      <c r="AA127" s="1">
        <v>9999</v>
      </c>
      <c r="AB127" s="3"/>
      <c r="AC127" s="1"/>
      <c r="AD127" s="1"/>
      <c r="AE127" s="183" t="s">
        <v>1407</v>
      </c>
      <c r="AG127" t="e">
        <f ca="1">OFFSET(buff的资质计算!$M$1,MATCH(buff!D127,buff的资质计算!G:G,0)-1,0)*X127/10000</f>
        <v>#VALUE!</v>
      </c>
      <c r="AH127" t="e">
        <f ca="1">AG127/OFFSET(buff的资质计算!$L$1,MATCH(buff!D127,buff的资质计算!G:G,0)-1,0)</f>
        <v>#VALUE!</v>
      </c>
    </row>
    <row r="128" ht="15.75" spans="1:34">
      <c r="A128" s="153">
        <f ca="1">passive!W18</f>
        <v>110201</v>
      </c>
      <c r="B128" s="186" t="str">
        <f>passive!B18</f>
        <v>魔拳真录</v>
      </c>
      <c r="C128" s="291" t="str">
        <f t="shared" si="5"/>
        <v>增加拳法伤害12%</v>
      </c>
      <c r="D128">
        <v>2</v>
      </c>
      <c r="E128" s="179">
        <v>2</v>
      </c>
      <c r="F128" s="179">
        <v>3</v>
      </c>
      <c r="G128" s="1">
        <v>7</v>
      </c>
      <c r="H128" s="1">
        <v>1</v>
      </c>
      <c r="I128" s="1"/>
      <c r="J128" s="1"/>
      <c r="K128" s="1">
        <v>4</v>
      </c>
      <c r="L128" s="1">
        <v>1</v>
      </c>
      <c r="M128" s="1">
        <v>0</v>
      </c>
      <c r="N128" s="1">
        <v>1</v>
      </c>
      <c r="O128" s="1">
        <v>1</v>
      </c>
      <c r="P128" s="1">
        <v>1</v>
      </c>
      <c r="Q128" s="1">
        <v>1</v>
      </c>
      <c r="R128" s="3">
        <v>10000</v>
      </c>
      <c r="S128" s="1"/>
      <c r="T128" s="1"/>
      <c r="U128" s="1"/>
      <c r="W128" s="1">
        <v>2</v>
      </c>
      <c r="X128" s="1">
        <v>1200</v>
      </c>
      <c r="AA128" s="1">
        <v>9999</v>
      </c>
      <c r="AB128" s="3"/>
      <c r="AC128" s="1"/>
      <c r="AD128" s="1"/>
      <c r="AE128" s="183" t="s">
        <v>1407</v>
      </c>
      <c r="AG128" t="e">
        <f ca="1">OFFSET(buff的资质计算!$M$1,MATCH(buff!D128,buff的资质计算!G:G,0)-1,0)*X128/10000</f>
        <v>#VALUE!</v>
      </c>
      <c r="AH128" t="e">
        <f ca="1">AG128/OFFSET(buff的资质计算!$L$1,MATCH(buff!D128,buff的资质计算!G:G,0)-1,0)</f>
        <v>#VALUE!</v>
      </c>
    </row>
    <row r="129" ht="15.75" spans="1:34">
      <c r="A129" s="153">
        <f ca="1">passive!W19</f>
        <v>110202</v>
      </c>
      <c r="B129" s="186" t="str">
        <f>passive!B19</f>
        <v>魔拳真录</v>
      </c>
      <c r="C129" s="291" t="str">
        <f t="shared" si="5"/>
        <v>增加拳法伤害14%</v>
      </c>
      <c r="D129">
        <v>2</v>
      </c>
      <c r="E129" s="179">
        <v>2</v>
      </c>
      <c r="F129" s="179">
        <v>3</v>
      </c>
      <c r="G129" s="1">
        <v>7</v>
      </c>
      <c r="H129" s="1">
        <v>1</v>
      </c>
      <c r="I129" s="1"/>
      <c r="J129" s="1"/>
      <c r="K129" s="1">
        <v>4</v>
      </c>
      <c r="L129" s="1">
        <v>1</v>
      </c>
      <c r="M129" s="1">
        <v>0</v>
      </c>
      <c r="N129" s="1">
        <v>1</v>
      </c>
      <c r="O129" s="1">
        <v>1</v>
      </c>
      <c r="P129" s="1">
        <v>1</v>
      </c>
      <c r="Q129" s="1">
        <v>1</v>
      </c>
      <c r="R129" s="3">
        <v>10000</v>
      </c>
      <c r="S129" s="1"/>
      <c r="T129" s="1"/>
      <c r="U129" s="1"/>
      <c r="W129" s="1">
        <v>2</v>
      </c>
      <c r="X129" s="1">
        <v>1400</v>
      </c>
      <c r="AA129" s="1">
        <v>9999</v>
      </c>
      <c r="AB129" s="3"/>
      <c r="AC129" s="1"/>
      <c r="AD129" s="1"/>
      <c r="AE129" s="183" t="s">
        <v>1407</v>
      </c>
      <c r="AG129" t="e">
        <f ca="1">OFFSET(buff的资质计算!$M$1,MATCH(buff!D129,buff的资质计算!G:G,0)-1,0)*X129/10000</f>
        <v>#VALUE!</v>
      </c>
      <c r="AH129" t="e">
        <f ca="1">AG129/OFFSET(buff的资质计算!$L$1,MATCH(buff!D129,buff的资质计算!G:G,0)-1,0)</f>
        <v>#VALUE!</v>
      </c>
    </row>
    <row r="130" ht="15.75" spans="1:34">
      <c r="A130" s="153">
        <f ca="1">passive!W20</f>
        <v>110203</v>
      </c>
      <c r="B130" s="186" t="str">
        <f>passive!B20</f>
        <v>魔拳真录</v>
      </c>
      <c r="C130" s="291" t="str">
        <f t="shared" si="5"/>
        <v>增加拳法伤害16%</v>
      </c>
      <c r="D130">
        <v>2</v>
      </c>
      <c r="E130" s="179">
        <v>2</v>
      </c>
      <c r="F130" s="179">
        <v>3</v>
      </c>
      <c r="G130" s="1">
        <v>7</v>
      </c>
      <c r="H130" s="1">
        <v>1</v>
      </c>
      <c r="I130" s="1"/>
      <c r="J130" s="1"/>
      <c r="K130" s="1">
        <v>4</v>
      </c>
      <c r="L130" s="1">
        <v>1</v>
      </c>
      <c r="M130" s="1">
        <v>0</v>
      </c>
      <c r="N130" s="1">
        <v>1</v>
      </c>
      <c r="O130" s="1">
        <v>1</v>
      </c>
      <c r="P130" s="1">
        <v>1</v>
      </c>
      <c r="Q130" s="1">
        <v>1</v>
      </c>
      <c r="R130" s="3">
        <v>10000</v>
      </c>
      <c r="S130" s="1"/>
      <c r="T130" s="1"/>
      <c r="U130" s="1"/>
      <c r="W130" s="1">
        <v>2</v>
      </c>
      <c r="X130" s="1">
        <v>1600</v>
      </c>
      <c r="AA130" s="1">
        <v>9999</v>
      </c>
      <c r="AB130" s="3"/>
      <c r="AC130" s="1"/>
      <c r="AD130" s="1"/>
      <c r="AE130" s="183" t="s">
        <v>1407</v>
      </c>
      <c r="AG130" t="e">
        <f ca="1">OFFSET(buff的资质计算!$M$1,MATCH(buff!D130,buff的资质计算!G:G,0)-1,0)*X130/10000</f>
        <v>#VALUE!</v>
      </c>
      <c r="AH130" t="e">
        <f ca="1">AG130/OFFSET(buff的资质计算!$L$1,MATCH(buff!D130,buff的资质计算!G:G,0)-1,0)</f>
        <v>#VALUE!</v>
      </c>
    </row>
    <row r="131" ht="15.75" spans="1:34">
      <c r="A131" s="153">
        <f ca="1">passive!W21</f>
        <v>110204</v>
      </c>
      <c r="B131" s="186" t="str">
        <f>passive!B21</f>
        <v>魔拳真录</v>
      </c>
      <c r="C131" s="291" t="str">
        <f t="shared" si="5"/>
        <v>增加拳法伤害18%</v>
      </c>
      <c r="D131">
        <v>2</v>
      </c>
      <c r="E131" s="179">
        <v>2</v>
      </c>
      <c r="F131" s="179">
        <v>3</v>
      </c>
      <c r="G131" s="1">
        <v>7</v>
      </c>
      <c r="H131" s="1">
        <v>1</v>
      </c>
      <c r="I131" s="1"/>
      <c r="J131" s="1"/>
      <c r="K131" s="1">
        <v>4</v>
      </c>
      <c r="L131" s="1">
        <v>1</v>
      </c>
      <c r="M131" s="1">
        <v>0</v>
      </c>
      <c r="N131" s="1">
        <v>1</v>
      </c>
      <c r="O131" s="1">
        <v>1</v>
      </c>
      <c r="P131" s="1">
        <v>1</v>
      </c>
      <c r="Q131" s="1">
        <v>1</v>
      </c>
      <c r="R131" s="3">
        <v>10000</v>
      </c>
      <c r="S131" s="1"/>
      <c r="T131" s="1"/>
      <c r="U131" s="1"/>
      <c r="W131" s="1">
        <v>2</v>
      </c>
      <c r="X131" s="1">
        <v>1800</v>
      </c>
      <c r="AA131" s="1">
        <v>9999</v>
      </c>
      <c r="AB131" s="3"/>
      <c r="AC131" s="1"/>
      <c r="AD131" s="1"/>
      <c r="AE131" s="183" t="s">
        <v>1407</v>
      </c>
      <c r="AG131" t="e">
        <f ca="1">OFFSET(buff的资质计算!$M$1,MATCH(buff!D131,buff的资质计算!G:G,0)-1,0)*X131/10000</f>
        <v>#VALUE!</v>
      </c>
      <c r="AH131" t="e">
        <f ca="1">AG131/OFFSET(buff的资质计算!$L$1,MATCH(buff!D131,buff的资质计算!G:G,0)-1,0)</f>
        <v>#VALUE!</v>
      </c>
    </row>
    <row r="132" ht="15.75" spans="1:34">
      <c r="A132" s="153">
        <f ca="1">passive!W22</f>
        <v>110205</v>
      </c>
      <c r="B132" s="186" t="str">
        <f>passive!B22</f>
        <v>魔拳真录</v>
      </c>
      <c r="C132" s="291" t="str">
        <f t="shared" si="5"/>
        <v>增加拳法伤害20%</v>
      </c>
      <c r="D132">
        <v>2</v>
      </c>
      <c r="E132" s="179">
        <v>2</v>
      </c>
      <c r="F132" s="179">
        <v>3</v>
      </c>
      <c r="G132" s="1">
        <v>7</v>
      </c>
      <c r="H132" s="1">
        <v>1</v>
      </c>
      <c r="I132" s="1"/>
      <c r="J132" s="1"/>
      <c r="K132" s="1">
        <v>4</v>
      </c>
      <c r="L132" s="1">
        <v>1</v>
      </c>
      <c r="M132" s="1">
        <v>0</v>
      </c>
      <c r="N132" s="1">
        <v>1</v>
      </c>
      <c r="O132" s="1">
        <v>1</v>
      </c>
      <c r="P132" s="1">
        <v>1</v>
      </c>
      <c r="Q132" s="1">
        <v>1</v>
      </c>
      <c r="R132" s="3">
        <v>10000</v>
      </c>
      <c r="S132" s="1"/>
      <c r="T132" s="1"/>
      <c r="U132" s="1"/>
      <c r="W132" s="1">
        <v>2</v>
      </c>
      <c r="X132" s="1">
        <v>2000</v>
      </c>
      <c r="AA132" s="1">
        <v>9999</v>
      </c>
      <c r="AB132" s="3"/>
      <c r="AC132" s="1"/>
      <c r="AD132" s="1"/>
      <c r="AE132" s="183" t="s">
        <v>1407</v>
      </c>
      <c r="AG132" t="e">
        <f ca="1">OFFSET(buff的资质计算!$M$1,MATCH(buff!D132,buff的资质计算!G:G,0)-1,0)*X132/10000</f>
        <v>#VALUE!</v>
      </c>
      <c r="AH132" t="e">
        <f ca="1">AG132/OFFSET(buff的资质计算!$L$1,MATCH(buff!D132,buff的资质计算!G:G,0)-1,0)</f>
        <v>#VALUE!</v>
      </c>
    </row>
    <row r="133" ht="15.75" spans="1:34">
      <c r="A133" s="153">
        <f ca="1">passive!W23</f>
        <v>110206</v>
      </c>
      <c r="B133" s="186" t="str">
        <f>passive!B23</f>
        <v>魔拳真录</v>
      </c>
      <c r="C133" s="291" t="str">
        <f t="shared" si="5"/>
        <v>增加拳法伤害22%</v>
      </c>
      <c r="D133">
        <v>2</v>
      </c>
      <c r="E133" s="179">
        <v>2</v>
      </c>
      <c r="F133" s="179">
        <v>3</v>
      </c>
      <c r="G133" s="1">
        <v>7</v>
      </c>
      <c r="H133" s="1">
        <v>1</v>
      </c>
      <c r="I133" s="1"/>
      <c r="J133" s="1"/>
      <c r="K133" s="1">
        <v>4</v>
      </c>
      <c r="L133" s="1">
        <v>1</v>
      </c>
      <c r="M133" s="1">
        <v>0</v>
      </c>
      <c r="N133" s="1">
        <v>1</v>
      </c>
      <c r="O133" s="1">
        <v>1</v>
      </c>
      <c r="P133" s="1">
        <v>1</v>
      </c>
      <c r="Q133" s="1">
        <v>1</v>
      </c>
      <c r="R133" s="3">
        <v>10000</v>
      </c>
      <c r="S133" s="1"/>
      <c r="T133" s="1"/>
      <c r="U133" s="1"/>
      <c r="W133" s="1">
        <v>2</v>
      </c>
      <c r="X133" s="1">
        <v>2200</v>
      </c>
      <c r="AA133" s="1">
        <v>9999</v>
      </c>
      <c r="AB133" s="3"/>
      <c r="AC133" s="1"/>
      <c r="AD133" s="1"/>
      <c r="AE133" s="183" t="s">
        <v>1407</v>
      </c>
      <c r="AG133" t="e">
        <f ca="1">OFFSET(buff的资质计算!$M$1,MATCH(buff!D133,buff的资质计算!G:G,0)-1,0)*X133/10000</f>
        <v>#VALUE!</v>
      </c>
      <c r="AH133" t="e">
        <f ca="1">AG133/OFFSET(buff的资质计算!$L$1,MATCH(buff!D133,buff的资质计算!G:G,0)-1,0)</f>
        <v>#VALUE!</v>
      </c>
    </row>
    <row r="134" ht="15.75" spans="1:34">
      <c r="A134" s="153">
        <f ca="1">passive!W24</f>
        <v>110207</v>
      </c>
      <c r="B134" s="186" t="str">
        <f>passive!B24</f>
        <v>魔拳真录</v>
      </c>
      <c r="C134" s="291" t="str">
        <f t="shared" si="5"/>
        <v>增加拳法伤害24%</v>
      </c>
      <c r="D134">
        <v>2</v>
      </c>
      <c r="E134" s="179">
        <v>2</v>
      </c>
      <c r="F134" s="179">
        <v>3</v>
      </c>
      <c r="G134" s="1">
        <v>7</v>
      </c>
      <c r="H134" s="1">
        <v>1</v>
      </c>
      <c r="I134" s="1"/>
      <c r="J134" s="1"/>
      <c r="K134" s="1">
        <v>4</v>
      </c>
      <c r="L134" s="1">
        <v>1</v>
      </c>
      <c r="M134" s="1">
        <v>0</v>
      </c>
      <c r="N134" s="1">
        <v>1</v>
      </c>
      <c r="O134" s="1">
        <v>1</v>
      </c>
      <c r="P134" s="1">
        <v>1</v>
      </c>
      <c r="Q134" s="1">
        <v>1</v>
      </c>
      <c r="R134" s="3">
        <v>10000</v>
      </c>
      <c r="S134" s="1"/>
      <c r="T134" s="1"/>
      <c r="U134" s="1"/>
      <c r="W134" s="1">
        <v>2</v>
      </c>
      <c r="X134" s="1">
        <v>2400</v>
      </c>
      <c r="AA134" s="1">
        <v>9999</v>
      </c>
      <c r="AB134" s="3"/>
      <c r="AC134" s="1"/>
      <c r="AD134" s="1"/>
      <c r="AE134" s="183" t="s">
        <v>1407</v>
      </c>
      <c r="AG134" t="e">
        <f ca="1">OFFSET(buff的资质计算!$M$1,MATCH(buff!D134,buff的资质计算!G:G,0)-1,0)*X134/10000</f>
        <v>#VALUE!</v>
      </c>
      <c r="AH134" t="e">
        <f ca="1">AG134/OFFSET(buff的资质计算!$L$1,MATCH(buff!D134,buff的资质计算!G:G,0)-1,0)</f>
        <v>#VALUE!</v>
      </c>
    </row>
    <row r="135" ht="15.75" spans="1:34">
      <c r="A135" s="153">
        <f ca="1">passive!W25</f>
        <v>110208</v>
      </c>
      <c r="B135" s="186" t="str">
        <f>passive!B25</f>
        <v>魔拳真录</v>
      </c>
      <c r="C135" s="291" t="str">
        <f t="shared" si="5"/>
        <v>增加拳法伤害26%</v>
      </c>
      <c r="D135">
        <v>2</v>
      </c>
      <c r="E135" s="179">
        <v>2</v>
      </c>
      <c r="F135" s="179">
        <v>3</v>
      </c>
      <c r="G135" s="1">
        <v>7</v>
      </c>
      <c r="H135" s="1">
        <v>1</v>
      </c>
      <c r="I135" s="1"/>
      <c r="J135" s="1"/>
      <c r="K135" s="1">
        <v>4</v>
      </c>
      <c r="L135" s="1">
        <v>1</v>
      </c>
      <c r="M135" s="1">
        <v>0</v>
      </c>
      <c r="N135" s="1">
        <v>1</v>
      </c>
      <c r="O135" s="1">
        <v>1</v>
      </c>
      <c r="P135" s="1">
        <v>1</v>
      </c>
      <c r="Q135" s="1">
        <v>1</v>
      </c>
      <c r="R135" s="3">
        <v>10000</v>
      </c>
      <c r="S135" s="1"/>
      <c r="T135" s="1"/>
      <c r="U135" s="1"/>
      <c r="W135" s="1">
        <v>2</v>
      </c>
      <c r="X135" s="1">
        <v>2600</v>
      </c>
      <c r="AA135" s="1">
        <v>9999</v>
      </c>
      <c r="AB135" s="3"/>
      <c r="AC135" s="1"/>
      <c r="AD135" s="1"/>
      <c r="AE135" s="183" t="s">
        <v>1407</v>
      </c>
      <c r="AG135" t="e">
        <f ca="1">OFFSET(buff的资质计算!$M$1,MATCH(buff!D135,buff的资质计算!G:G,0)-1,0)*X135/10000</f>
        <v>#VALUE!</v>
      </c>
      <c r="AH135" t="e">
        <f ca="1">AG135/OFFSET(buff的资质计算!$L$1,MATCH(buff!D135,buff的资质计算!G:G,0)-1,0)</f>
        <v>#VALUE!</v>
      </c>
    </row>
    <row r="136" ht="15.75" spans="1:34">
      <c r="A136" s="153">
        <f ca="1">passive!W26</f>
        <v>110209</v>
      </c>
      <c r="B136" s="186" t="str">
        <f>passive!B26</f>
        <v>魔拳真录</v>
      </c>
      <c r="C136" s="291" t="str">
        <f t="shared" si="5"/>
        <v>增加拳法伤害28%</v>
      </c>
      <c r="D136">
        <v>2</v>
      </c>
      <c r="E136" s="179">
        <v>2</v>
      </c>
      <c r="F136" s="179">
        <v>3</v>
      </c>
      <c r="G136" s="1">
        <v>7</v>
      </c>
      <c r="H136" s="1">
        <v>1</v>
      </c>
      <c r="I136" s="1"/>
      <c r="J136" s="1"/>
      <c r="K136" s="1">
        <v>4</v>
      </c>
      <c r="L136" s="1">
        <v>1</v>
      </c>
      <c r="M136" s="1">
        <v>0</v>
      </c>
      <c r="N136" s="1">
        <v>1</v>
      </c>
      <c r="O136" s="1">
        <v>1</v>
      </c>
      <c r="P136" s="1">
        <v>1</v>
      </c>
      <c r="Q136" s="1">
        <v>1</v>
      </c>
      <c r="R136" s="3">
        <v>10000</v>
      </c>
      <c r="S136" s="1"/>
      <c r="T136" s="1"/>
      <c r="U136" s="1"/>
      <c r="W136" s="1">
        <v>2</v>
      </c>
      <c r="X136" s="1">
        <v>2800</v>
      </c>
      <c r="AA136" s="1">
        <v>9999</v>
      </c>
      <c r="AB136" s="3"/>
      <c r="AC136" s="1"/>
      <c r="AD136" s="1"/>
      <c r="AE136" s="183" t="s">
        <v>1407</v>
      </c>
      <c r="AG136" t="e">
        <f ca="1">OFFSET(buff的资质计算!$M$1,MATCH(buff!D136,buff的资质计算!G:G,0)-1,0)*X136/10000</f>
        <v>#VALUE!</v>
      </c>
      <c r="AH136" t="e">
        <f ca="1">AG136/OFFSET(buff的资质计算!$L$1,MATCH(buff!D136,buff的资质计算!G:G,0)-1,0)</f>
        <v>#VALUE!</v>
      </c>
    </row>
    <row r="137" ht="15.75" spans="1:34">
      <c r="A137" s="153">
        <f ca="1">passive!W27</f>
        <v>110210</v>
      </c>
      <c r="B137" s="186" t="str">
        <f>passive!B27</f>
        <v>魔拳真录</v>
      </c>
      <c r="C137" s="291" t="str">
        <f t="shared" si="5"/>
        <v>增加拳法伤害30%</v>
      </c>
      <c r="D137">
        <v>2</v>
      </c>
      <c r="E137" s="179">
        <v>2</v>
      </c>
      <c r="F137" s="179">
        <v>3</v>
      </c>
      <c r="G137" s="1">
        <v>7</v>
      </c>
      <c r="H137" s="1">
        <v>1</v>
      </c>
      <c r="I137" s="1"/>
      <c r="J137" s="1"/>
      <c r="K137" s="1">
        <v>4</v>
      </c>
      <c r="L137" s="1">
        <v>1</v>
      </c>
      <c r="M137" s="1">
        <v>0</v>
      </c>
      <c r="N137" s="1">
        <v>1</v>
      </c>
      <c r="O137" s="1">
        <v>1</v>
      </c>
      <c r="P137" s="1">
        <v>1</v>
      </c>
      <c r="Q137" s="1">
        <v>1</v>
      </c>
      <c r="R137" s="3">
        <v>10000</v>
      </c>
      <c r="S137" s="1"/>
      <c r="T137" s="1"/>
      <c r="U137" s="1"/>
      <c r="W137" s="1">
        <v>2</v>
      </c>
      <c r="X137" s="1">
        <v>3000</v>
      </c>
      <c r="AA137" s="1">
        <v>9999</v>
      </c>
      <c r="AB137" s="3"/>
      <c r="AC137" s="1"/>
      <c r="AD137" s="1"/>
      <c r="AE137" s="183" t="s">
        <v>1407</v>
      </c>
      <c r="AG137" t="e">
        <f ca="1">OFFSET(buff的资质计算!$M$1,MATCH(buff!D137,buff的资质计算!G:G,0)-1,0)*X137/10000</f>
        <v>#VALUE!</v>
      </c>
      <c r="AH137" t="e">
        <f ca="1">AG137/OFFSET(buff的资质计算!$L$1,MATCH(buff!D137,buff的资质计算!G:G,0)-1,0)</f>
        <v>#VALUE!</v>
      </c>
    </row>
    <row r="138" ht="15.75" spans="1:34">
      <c r="A138" s="153">
        <f ca="1">passive!W28</f>
        <v>110300</v>
      </c>
      <c r="B138" s="186" t="str">
        <f>passive!B28</f>
        <v>巫祖玄功</v>
      </c>
      <c r="C138" s="291" t="str">
        <f t="shared" ref="C138:C148" si="6">"反弹"&amp;X138/100&amp;"%受到的伤害"</f>
        <v>反弹10%受到的伤害</v>
      </c>
      <c r="D138">
        <v>2</v>
      </c>
      <c r="E138" s="179">
        <v>2</v>
      </c>
      <c r="F138" s="179">
        <v>3</v>
      </c>
      <c r="G138" s="1">
        <v>9</v>
      </c>
      <c r="H138" s="1">
        <v>2</v>
      </c>
      <c r="I138" s="1"/>
      <c r="J138" s="1"/>
      <c r="K138" s="1">
        <v>3</v>
      </c>
      <c r="L138" s="1">
        <v>1</v>
      </c>
      <c r="M138" s="1">
        <v>1</v>
      </c>
      <c r="Q138" s="1">
        <v>1</v>
      </c>
      <c r="R138" s="3">
        <v>10000</v>
      </c>
      <c r="S138" s="1"/>
      <c r="T138" s="1"/>
      <c r="U138" s="1"/>
      <c r="W138" s="1">
        <v>2</v>
      </c>
      <c r="X138" s="1">
        <v>1000</v>
      </c>
      <c r="AA138" s="1">
        <v>9999</v>
      </c>
      <c r="AB138" s="3"/>
      <c r="AC138" s="1"/>
      <c r="AE138" s="183" t="s">
        <v>1408</v>
      </c>
      <c r="AG138" t="e">
        <f ca="1">OFFSET(buff的资质计算!$M$1,MATCH(buff!D138,buff的资质计算!G:G,0)-1,0)*X138/10000</f>
        <v>#VALUE!</v>
      </c>
      <c r="AH138" t="e">
        <f ca="1">AG138/OFFSET(buff的资质计算!$L$1,MATCH(buff!D138,buff的资质计算!G:G,0)-1,0)</f>
        <v>#VALUE!</v>
      </c>
    </row>
    <row r="139" ht="15.75" spans="1:34">
      <c r="A139" s="153">
        <f ca="1">passive!W29</f>
        <v>110301</v>
      </c>
      <c r="B139" s="186" t="str">
        <f>passive!B29</f>
        <v>巫祖玄功</v>
      </c>
      <c r="C139" s="291" t="str">
        <f t="shared" si="6"/>
        <v>反弹12%受到的伤害</v>
      </c>
      <c r="D139">
        <v>2</v>
      </c>
      <c r="E139" s="179">
        <v>2</v>
      </c>
      <c r="F139" s="179">
        <v>3</v>
      </c>
      <c r="G139" s="1">
        <v>9</v>
      </c>
      <c r="H139" s="1">
        <v>2</v>
      </c>
      <c r="I139" s="1"/>
      <c r="J139" s="1"/>
      <c r="K139" s="1">
        <v>3</v>
      </c>
      <c r="L139" s="1">
        <v>1</v>
      </c>
      <c r="M139" s="1">
        <v>1</v>
      </c>
      <c r="Q139" s="1">
        <v>1</v>
      </c>
      <c r="R139" s="3">
        <v>10000</v>
      </c>
      <c r="S139" s="1"/>
      <c r="T139" s="1"/>
      <c r="U139" s="1"/>
      <c r="W139" s="1">
        <v>2</v>
      </c>
      <c r="X139" s="1">
        <v>1200</v>
      </c>
      <c r="AA139" s="1">
        <v>9999</v>
      </c>
      <c r="AB139" s="3"/>
      <c r="AC139" s="1"/>
      <c r="AE139" s="183" t="s">
        <v>1408</v>
      </c>
      <c r="AG139" t="e">
        <f ca="1">OFFSET(buff的资质计算!$M$1,MATCH(buff!D139,buff的资质计算!G:G,0)-1,0)*X139/10000</f>
        <v>#VALUE!</v>
      </c>
      <c r="AH139" t="e">
        <f ca="1">AG139/OFFSET(buff的资质计算!$L$1,MATCH(buff!D139,buff的资质计算!G:G,0)-1,0)</f>
        <v>#VALUE!</v>
      </c>
    </row>
    <row r="140" ht="15.75" spans="1:34">
      <c r="A140" s="153">
        <f ca="1">passive!W30</f>
        <v>110302</v>
      </c>
      <c r="B140" s="186" t="str">
        <f>passive!B30</f>
        <v>巫祖玄功</v>
      </c>
      <c r="C140" s="291" t="str">
        <f t="shared" si="6"/>
        <v>反弹14%受到的伤害</v>
      </c>
      <c r="D140">
        <v>2</v>
      </c>
      <c r="E140" s="179">
        <v>2</v>
      </c>
      <c r="F140" s="179">
        <v>3</v>
      </c>
      <c r="G140" s="1">
        <v>9</v>
      </c>
      <c r="H140" s="1">
        <v>2</v>
      </c>
      <c r="I140" s="1"/>
      <c r="J140" s="1"/>
      <c r="K140" s="1">
        <v>3</v>
      </c>
      <c r="L140" s="1">
        <v>1</v>
      </c>
      <c r="M140" s="1">
        <v>1</v>
      </c>
      <c r="Q140" s="1">
        <v>1</v>
      </c>
      <c r="R140" s="3">
        <v>10000</v>
      </c>
      <c r="S140" s="1"/>
      <c r="T140" s="1"/>
      <c r="U140" s="1"/>
      <c r="W140" s="1">
        <v>2</v>
      </c>
      <c r="X140" s="1">
        <v>1400</v>
      </c>
      <c r="AA140" s="1">
        <v>9999</v>
      </c>
      <c r="AB140" s="3"/>
      <c r="AC140" s="1"/>
      <c r="AE140" s="183" t="s">
        <v>1408</v>
      </c>
      <c r="AG140" t="e">
        <f ca="1">OFFSET(buff的资质计算!$M$1,MATCH(buff!D140,buff的资质计算!G:G,0)-1,0)*X140/10000</f>
        <v>#VALUE!</v>
      </c>
      <c r="AH140" t="e">
        <f ca="1">AG140/OFFSET(buff的资质计算!$L$1,MATCH(buff!D140,buff的资质计算!G:G,0)-1,0)</f>
        <v>#VALUE!</v>
      </c>
    </row>
    <row r="141" ht="15.75" spans="1:34">
      <c r="A141" s="153">
        <f ca="1">passive!W31</f>
        <v>110303</v>
      </c>
      <c r="B141" s="186" t="str">
        <f>passive!B31</f>
        <v>巫祖玄功</v>
      </c>
      <c r="C141" s="291" t="str">
        <f t="shared" si="6"/>
        <v>反弹16%受到的伤害</v>
      </c>
      <c r="D141">
        <v>2</v>
      </c>
      <c r="E141" s="179">
        <v>2</v>
      </c>
      <c r="F141" s="179">
        <v>3</v>
      </c>
      <c r="G141" s="1">
        <v>9</v>
      </c>
      <c r="H141" s="1">
        <v>2</v>
      </c>
      <c r="I141" s="1"/>
      <c r="J141" s="1"/>
      <c r="K141" s="1">
        <v>3</v>
      </c>
      <c r="L141" s="1">
        <v>1</v>
      </c>
      <c r="M141" s="1">
        <v>1</v>
      </c>
      <c r="Q141" s="1">
        <v>1</v>
      </c>
      <c r="R141" s="3">
        <v>10000</v>
      </c>
      <c r="S141" s="1"/>
      <c r="T141" s="1"/>
      <c r="U141" s="1"/>
      <c r="W141" s="1">
        <v>2</v>
      </c>
      <c r="X141" s="1">
        <v>1600</v>
      </c>
      <c r="AA141" s="1">
        <v>9999</v>
      </c>
      <c r="AB141" s="3"/>
      <c r="AC141" s="1"/>
      <c r="AE141" s="183" t="s">
        <v>1408</v>
      </c>
      <c r="AG141" t="e">
        <f ca="1">OFFSET(buff的资质计算!$M$1,MATCH(buff!D141,buff的资质计算!G:G,0)-1,0)*X141/10000</f>
        <v>#VALUE!</v>
      </c>
      <c r="AH141" t="e">
        <f ca="1">AG141/OFFSET(buff的资质计算!$L$1,MATCH(buff!D141,buff的资质计算!G:G,0)-1,0)</f>
        <v>#VALUE!</v>
      </c>
    </row>
    <row r="142" ht="15.75" spans="1:34">
      <c r="A142" s="153">
        <f ca="1">passive!W32</f>
        <v>110304</v>
      </c>
      <c r="B142" s="186" t="str">
        <f>passive!B32</f>
        <v>巫祖玄功</v>
      </c>
      <c r="C142" s="291" t="str">
        <f t="shared" si="6"/>
        <v>反弹18%受到的伤害</v>
      </c>
      <c r="D142">
        <v>2</v>
      </c>
      <c r="E142" s="179">
        <v>2</v>
      </c>
      <c r="F142" s="179">
        <v>3</v>
      </c>
      <c r="G142" s="1">
        <v>9</v>
      </c>
      <c r="H142" s="1">
        <v>2</v>
      </c>
      <c r="I142" s="1"/>
      <c r="J142" s="1"/>
      <c r="K142" s="1">
        <v>3</v>
      </c>
      <c r="L142" s="1">
        <v>1</v>
      </c>
      <c r="M142" s="1">
        <v>1</v>
      </c>
      <c r="Q142" s="1">
        <v>1</v>
      </c>
      <c r="R142" s="3">
        <v>10000</v>
      </c>
      <c r="S142" s="1"/>
      <c r="T142" s="1"/>
      <c r="U142" s="1"/>
      <c r="W142" s="1">
        <v>2</v>
      </c>
      <c r="X142" s="1">
        <v>1800</v>
      </c>
      <c r="AA142" s="1">
        <v>9999</v>
      </c>
      <c r="AB142" s="3"/>
      <c r="AC142" s="1"/>
      <c r="AE142" s="183" t="s">
        <v>1408</v>
      </c>
      <c r="AG142" t="e">
        <f ca="1">OFFSET(buff的资质计算!$M$1,MATCH(buff!D142,buff的资质计算!G:G,0)-1,0)*X142/10000</f>
        <v>#VALUE!</v>
      </c>
      <c r="AH142" t="e">
        <f ca="1">AG142/OFFSET(buff的资质计算!$L$1,MATCH(buff!D142,buff的资质计算!G:G,0)-1,0)</f>
        <v>#VALUE!</v>
      </c>
    </row>
    <row r="143" ht="15.75" spans="1:34">
      <c r="A143" s="153">
        <f ca="1">passive!W33</f>
        <v>110305</v>
      </c>
      <c r="B143" s="186" t="str">
        <f>passive!B33</f>
        <v>巫祖玄功</v>
      </c>
      <c r="C143" s="291" t="str">
        <f t="shared" si="6"/>
        <v>反弹20%受到的伤害</v>
      </c>
      <c r="D143">
        <v>2</v>
      </c>
      <c r="E143" s="179">
        <v>2</v>
      </c>
      <c r="F143" s="179">
        <v>3</v>
      </c>
      <c r="G143" s="1">
        <v>9</v>
      </c>
      <c r="H143" s="1">
        <v>2</v>
      </c>
      <c r="I143" s="1"/>
      <c r="J143" s="1"/>
      <c r="K143" s="1">
        <v>3</v>
      </c>
      <c r="L143" s="1">
        <v>1</v>
      </c>
      <c r="M143" s="1">
        <v>1</v>
      </c>
      <c r="Q143" s="1">
        <v>1</v>
      </c>
      <c r="R143" s="3">
        <v>10000</v>
      </c>
      <c r="S143" s="1"/>
      <c r="T143" s="1"/>
      <c r="U143" s="1"/>
      <c r="W143" s="1">
        <v>2</v>
      </c>
      <c r="X143" s="1">
        <v>2000</v>
      </c>
      <c r="AA143" s="1">
        <v>9999</v>
      </c>
      <c r="AB143" s="3"/>
      <c r="AC143" s="1"/>
      <c r="AE143" s="183" t="s">
        <v>1408</v>
      </c>
      <c r="AG143" t="e">
        <f ca="1">OFFSET(buff的资质计算!$M$1,MATCH(buff!D143,buff的资质计算!G:G,0)-1,0)*X143/10000</f>
        <v>#VALUE!</v>
      </c>
      <c r="AH143" t="e">
        <f ca="1">AG143/OFFSET(buff的资质计算!$L$1,MATCH(buff!D143,buff的资质计算!G:G,0)-1,0)</f>
        <v>#VALUE!</v>
      </c>
    </row>
    <row r="144" ht="15.75" spans="1:34">
      <c r="A144" s="153">
        <f ca="1">passive!W34</f>
        <v>110306</v>
      </c>
      <c r="B144" s="186" t="str">
        <f>passive!B34</f>
        <v>巫祖玄功</v>
      </c>
      <c r="C144" s="291" t="str">
        <f t="shared" si="6"/>
        <v>反弹22%受到的伤害</v>
      </c>
      <c r="D144">
        <v>2</v>
      </c>
      <c r="E144" s="179">
        <v>2</v>
      </c>
      <c r="F144" s="179">
        <v>3</v>
      </c>
      <c r="G144" s="1">
        <v>9</v>
      </c>
      <c r="H144" s="1">
        <v>2</v>
      </c>
      <c r="I144" s="1"/>
      <c r="J144" s="1"/>
      <c r="K144" s="1">
        <v>3</v>
      </c>
      <c r="L144" s="1">
        <v>1</v>
      </c>
      <c r="M144" s="1">
        <v>1</v>
      </c>
      <c r="Q144" s="1">
        <v>1</v>
      </c>
      <c r="R144" s="3">
        <v>10000</v>
      </c>
      <c r="S144" s="1"/>
      <c r="T144" s="1"/>
      <c r="U144" s="1"/>
      <c r="W144" s="1">
        <v>2</v>
      </c>
      <c r="X144" s="1">
        <v>2200</v>
      </c>
      <c r="AA144" s="1">
        <v>9999</v>
      </c>
      <c r="AB144" s="3"/>
      <c r="AC144" s="1"/>
      <c r="AE144" s="183" t="s">
        <v>1408</v>
      </c>
      <c r="AG144" t="e">
        <f ca="1">OFFSET(buff的资质计算!$M$1,MATCH(buff!D144,buff的资质计算!G:G,0)-1,0)*X144/10000</f>
        <v>#VALUE!</v>
      </c>
      <c r="AH144" t="e">
        <f ca="1">AG144/OFFSET(buff的资质计算!$L$1,MATCH(buff!D144,buff的资质计算!G:G,0)-1,0)</f>
        <v>#VALUE!</v>
      </c>
    </row>
    <row r="145" ht="15.75" spans="1:34">
      <c r="A145" s="153">
        <f ca="1">passive!W35</f>
        <v>110307</v>
      </c>
      <c r="B145" s="186" t="str">
        <f>passive!B35</f>
        <v>巫祖玄功</v>
      </c>
      <c r="C145" s="291" t="str">
        <f t="shared" si="6"/>
        <v>反弹24%受到的伤害</v>
      </c>
      <c r="D145">
        <v>2</v>
      </c>
      <c r="E145" s="179">
        <v>2</v>
      </c>
      <c r="F145" s="179">
        <v>3</v>
      </c>
      <c r="G145" s="1">
        <v>9</v>
      </c>
      <c r="H145" s="1">
        <v>2</v>
      </c>
      <c r="I145" s="1"/>
      <c r="J145" s="1"/>
      <c r="K145" s="1">
        <v>3</v>
      </c>
      <c r="L145" s="1">
        <v>1</v>
      </c>
      <c r="M145" s="1">
        <v>1</v>
      </c>
      <c r="Q145" s="1">
        <v>1</v>
      </c>
      <c r="R145" s="3">
        <v>10000</v>
      </c>
      <c r="S145" s="1"/>
      <c r="T145" s="1"/>
      <c r="U145" s="1"/>
      <c r="W145" s="1">
        <v>2</v>
      </c>
      <c r="X145" s="1">
        <v>2400</v>
      </c>
      <c r="AA145" s="1">
        <v>9999</v>
      </c>
      <c r="AB145" s="3"/>
      <c r="AC145" s="1"/>
      <c r="AE145" s="183" t="s">
        <v>1408</v>
      </c>
      <c r="AG145" t="e">
        <f ca="1">OFFSET(buff的资质计算!$M$1,MATCH(buff!D145,buff的资质计算!G:G,0)-1,0)*X145/10000</f>
        <v>#VALUE!</v>
      </c>
      <c r="AH145" t="e">
        <f ca="1">AG145/OFFSET(buff的资质计算!$L$1,MATCH(buff!D145,buff的资质计算!G:G,0)-1,0)</f>
        <v>#VALUE!</v>
      </c>
    </row>
    <row r="146" ht="15.75" spans="1:34">
      <c r="A146" s="153">
        <f ca="1">passive!W36</f>
        <v>110308</v>
      </c>
      <c r="B146" s="186" t="str">
        <f>passive!B36</f>
        <v>巫祖玄功</v>
      </c>
      <c r="C146" s="291" t="str">
        <f t="shared" si="6"/>
        <v>反弹26%受到的伤害</v>
      </c>
      <c r="D146">
        <v>2</v>
      </c>
      <c r="E146" s="179">
        <v>2</v>
      </c>
      <c r="F146" s="179">
        <v>3</v>
      </c>
      <c r="G146" s="1">
        <v>9</v>
      </c>
      <c r="H146" s="1">
        <v>2</v>
      </c>
      <c r="I146" s="1"/>
      <c r="J146" s="1"/>
      <c r="K146" s="1">
        <v>3</v>
      </c>
      <c r="L146" s="1">
        <v>1</v>
      </c>
      <c r="M146" s="1">
        <v>1</v>
      </c>
      <c r="Q146" s="1">
        <v>1</v>
      </c>
      <c r="R146" s="3">
        <v>10000</v>
      </c>
      <c r="S146" s="1"/>
      <c r="T146" s="1"/>
      <c r="U146" s="1"/>
      <c r="W146" s="1">
        <v>2</v>
      </c>
      <c r="X146" s="1">
        <v>2600</v>
      </c>
      <c r="AA146" s="1">
        <v>9999</v>
      </c>
      <c r="AB146" s="3"/>
      <c r="AC146" s="1"/>
      <c r="AE146" s="183" t="s">
        <v>1408</v>
      </c>
      <c r="AG146" t="e">
        <f ca="1">OFFSET(buff的资质计算!$M$1,MATCH(buff!D146,buff的资质计算!G:G,0)-1,0)*X146/10000</f>
        <v>#VALUE!</v>
      </c>
      <c r="AH146" t="e">
        <f ca="1">AG146/OFFSET(buff的资质计算!$L$1,MATCH(buff!D146,buff的资质计算!G:G,0)-1,0)</f>
        <v>#VALUE!</v>
      </c>
    </row>
    <row r="147" ht="15.75" spans="1:34">
      <c r="A147" s="153">
        <f ca="1">passive!W37</f>
        <v>110309</v>
      </c>
      <c r="B147" s="186" t="str">
        <f>passive!B37</f>
        <v>巫祖玄功</v>
      </c>
      <c r="C147" s="291" t="str">
        <f t="shared" si="6"/>
        <v>反弹28%受到的伤害</v>
      </c>
      <c r="D147">
        <v>2</v>
      </c>
      <c r="E147" s="179">
        <v>2</v>
      </c>
      <c r="F147" s="179">
        <v>3</v>
      </c>
      <c r="G147" s="1">
        <v>9</v>
      </c>
      <c r="H147" s="1">
        <v>2</v>
      </c>
      <c r="I147" s="1"/>
      <c r="J147" s="1"/>
      <c r="K147" s="1">
        <v>3</v>
      </c>
      <c r="L147" s="1">
        <v>1</v>
      </c>
      <c r="M147" s="1">
        <v>1</v>
      </c>
      <c r="Q147" s="1">
        <v>1</v>
      </c>
      <c r="R147" s="3">
        <v>10000</v>
      </c>
      <c r="S147" s="1"/>
      <c r="T147" s="1"/>
      <c r="U147" s="1"/>
      <c r="W147" s="1">
        <v>2</v>
      </c>
      <c r="X147" s="1">
        <v>2800</v>
      </c>
      <c r="AA147" s="1">
        <v>9999</v>
      </c>
      <c r="AB147" s="3"/>
      <c r="AC147" s="1"/>
      <c r="AE147" s="183" t="s">
        <v>1408</v>
      </c>
      <c r="AG147" t="e">
        <f ca="1">OFFSET(buff的资质计算!$M$1,MATCH(buff!D147,buff的资质计算!G:G,0)-1,0)*X147/10000</f>
        <v>#VALUE!</v>
      </c>
      <c r="AH147" t="e">
        <f ca="1">AG147/OFFSET(buff的资质计算!$L$1,MATCH(buff!D147,buff的资质计算!G:G,0)-1,0)</f>
        <v>#VALUE!</v>
      </c>
    </row>
    <row r="148" ht="15.75" spans="1:34">
      <c r="A148" s="153">
        <f ca="1">passive!W38</f>
        <v>110310</v>
      </c>
      <c r="B148" s="186" t="str">
        <f>passive!B38</f>
        <v>巫祖玄功</v>
      </c>
      <c r="C148" s="291" t="str">
        <f t="shared" si="6"/>
        <v>反弹30%受到的伤害</v>
      </c>
      <c r="D148">
        <v>2</v>
      </c>
      <c r="E148" s="179">
        <v>2</v>
      </c>
      <c r="F148" s="179">
        <v>3</v>
      </c>
      <c r="G148" s="1">
        <v>9</v>
      </c>
      <c r="H148" s="1">
        <v>2</v>
      </c>
      <c r="I148" s="1"/>
      <c r="J148" s="1"/>
      <c r="K148" s="1">
        <v>3</v>
      </c>
      <c r="L148" s="1">
        <v>1</v>
      </c>
      <c r="M148" s="1">
        <v>1</v>
      </c>
      <c r="Q148" s="1">
        <v>1</v>
      </c>
      <c r="R148" s="3">
        <v>10000</v>
      </c>
      <c r="S148" s="1"/>
      <c r="T148" s="1"/>
      <c r="U148" s="1"/>
      <c r="W148" s="1">
        <v>2</v>
      </c>
      <c r="X148" s="1">
        <v>3000</v>
      </c>
      <c r="AA148" s="1">
        <v>9999</v>
      </c>
      <c r="AB148" s="3"/>
      <c r="AC148" s="1"/>
      <c r="AE148" s="183" t="s">
        <v>1408</v>
      </c>
      <c r="AG148" t="e">
        <f ca="1">OFFSET(buff的资质计算!$M$1,MATCH(buff!D148,buff的资质计算!G:G,0)-1,0)*X148/10000</f>
        <v>#VALUE!</v>
      </c>
      <c r="AH148" t="e">
        <f ca="1">AG148/OFFSET(buff的资质计算!$L$1,MATCH(buff!D148,buff的资质计算!G:G,0)-1,0)</f>
        <v>#VALUE!</v>
      </c>
    </row>
    <row r="149" ht="15.75" spans="1:34">
      <c r="A149" s="153">
        <f ca="1">passive!W39</f>
        <v>110400</v>
      </c>
      <c r="B149" s="186" t="str">
        <f>passive!B39</f>
        <v>回天幻本</v>
      </c>
      <c r="C149" s="291" t="str">
        <f>"制造幻象，每回合有"&amp;passive!V39/100&amp;"%概率使敌人1招无效"</f>
        <v>制造幻象，每回合有25%概率使敌人1招无效</v>
      </c>
      <c r="D149">
        <v>2</v>
      </c>
      <c r="E149" s="179">
        <v>2</v>
      </c>
      <c r="F149" s="179">
        <v>3</v>
      </c>
      <c r="G149">
        <v>13</v>
      </c>
      <c r="H149">
        <v>1</v>
      </c>
      <c r="K149">
        <v>1</v>
      </c>
      <c r="L149">
        <v>1</v>
      </c>
      <c r="M149">
        <v>0</v>
      </c>
      <c r="R149" s="3">
        <v>10000</v>
      </c>
      <c r="V149">
        <v>5</v>
      </c>
      <c r="W149">
        <v>1</v>
      </c>
      <c r="X149">
        <v>1</v>
      </c>
      <c r="AA149" s="1">
        <v>9999</v>
      </c>
      <c r="AE149" s="183" t="s">
        <v>1409</v>
      </c>
      <c r="AG149" t="e">
        <f ca="1">OFFSET(buff的资质计算!$M$1,MATCH(buff!D149,buff的资质计算!G:G,0)-1,0)*R149/10000</f>
        <v>#VALUE!</v>
      </c>
      <c r="AH149" t="e">
        <f ca="1">AG149/OFFSET(buff的资质计算!$L$1,MATCH(buff!D149,buff的资质计算!G:G,0)-1,0)</f>
        <v>#VALUE!</v>
      </c>
    </row>
    <row r="150" ht="15.75" spans="1:34">
      <c r="A150" s="153">
        <f ca="1">passive!W40</f>
        <v>110401</v>
      </c>
      <c r="B150" s="186" t="str">
        <f>passive!B40</f>
        <v>回天幻本</v>
      </c>
      <c r="C150" s="291" t="str">
        <f>"制造幻象，每回合有"&amp;passive!V40/100&amp;"%概率使敌人1招无效"</f>
        <v>制造幻象，每回合有26%概率使敌人1招无效</v>
      </c>
      <c r="D150">
        <v>2</v>
      </c>
      <c r="E150" s="179">
        <v>2</v>
      </c>
      <c r="F150" s="179">
        <v>3</v>
      </c>
      <c r="G150">
        <v>13</v>
      </c>
      <c r="H150">
        <v>1</v>
      </c>
      <c r="K150">
        <v>1</v>
      </c>
      <c r="L150">
        <v>1</v>
      </c>
      <c r="M150">
        <v>0</v>
      </c>
      <c r="R150" s="3">
        <v>10000</v>
      </c>
      <c r="V150">
        <v>5</v>
      </c>
      <c r="W150">
        <v>1</v>
      </c>
      <c r="X150">
        <v>1</v>
      </c>
      <c r="AA150" s="1">
        <v>9999</v>
      </c>
      <c r="AE150" s="183" t="s">
        <v>1409</v>
      </c>
      <c r="AG150" t="e">
        <f ca="1">OFFSET(buff的资质计算!$M$1,MATCH(buff!D150,buff的资质计算!G:G,0)-1,0)*R150/10000</f>
        <v>#VALUE!</v>
      </c>
      <c r="AH150" t="e">
        <f ca="1">AG150/OFFSET(buff的资质计算!$L$1,MATCH(buff!D150,buff的资质计算!G:G,0)-1,0)</f>
        <v>#VALUE!</v>
      </c>
    </row>
    <row r="151" ht="15.75" spans="1:34">
      <c r="A151" s="153">
        <f ca="1">passive!W41</f>
        <v>110402</v>
      </c>
      <c r="B151" s="186" t="str">
        <f>passive!B41</f>
        <v>回天幻本</v>
      </c>
      <c r="C151" s="291" t="str">
        <f>"制造幻象，每回合有"&amp;passive!V41/100&amp;"%概率使敌人1招无效"</f>
        <v>制造幻象，每回合有27%概率使敌人1招无效</v>
      </c>
      <c r="D151">
        <v>2</v>
      </c>
      <c r="E151" s="179">
        <v>2</v>
      </c>
      <c r="F151" s="179">
        <v>3</v>
      </c>
      <c r="G151">
        <v>13</v>
      </c>
      <c r="H151">
        <v>1</v>
      </c>
      <c r="K151">
        <v>1</v>
      </c>
      <c r="L151">
        <v>1</v>
      </c>
      <c r="M151">
        <v>0</v>
      </c>
      <c r="R151" s="3">
        <v>10000</v>
      </c>
      <c r="V151">
        <v>5</v>
      </c>
      <c r="W151">
        <v>1</v>
      </c>
      <c r="X151">
        <v>1</v>
      </c>
      <c r="AA151" s="1">
        <v>9999</v>
      </c>
      <c r="AE151" s="183" t="s">
        <v>1409</v>
      </c>
      <c r="AG151" t="e">
        <f ca="1">OFFSET(buff的资质计算!$M$1,MATCH(buff!D151,buff的资质计算!G:G,0)-1,0)*R151/10000</f>
        <v>#VALUE!</v>
      </c>
      <c r="AH151" t="e">
        <f ca="1">AG151/OFFSET(buff的资质计算!$L$1,MATCH(buff!D151,buff的资质计算!G:G,0)-1,0)</f>
        <v>#VALUE!</v>
      </c>
    </row>
    <row r="152" ht="15.75" spans="1:34">
      <c r="A152" s="153">
        <f ca="1">passive!W42</f>
        <v>110403</v>
      </c>
      <c r="B152" s="186" t="str">
        <f>passive!B42</f>
        <v>回天幻本</v>
      </c>
      <c r="C152" s="291" t="str">
        <f>"制造幻象，每回合有"&amp;passive!V42/100&amp;"%概率使敌人1招无效"</f>
        <v>制造幻象，每回合有28%概率使敌人1招无效</v>
      </c>
      <c r="D152">
        <v>2</v>
      </c>
      <c r="E152" s="179">
        <v>2</v>
      </c>
      <c r="F152" s="179">
        <v>3</v>
      </c>
      <c r="G152">
        <v>13</v>
      </c>
      <c r="H152">
        <v>1</v>
      </c>
      <c r="K152">
        <v>1</v>
      </c>
      <c r="L152">
        <v>1</v>
      </c>
      <c r="M152">
        <v>0</v>
      </c>
      <c r="R152" s="3">
        <v>10000</v>
      </c>
      <c r="V152">
        <v>5</v>
      </c>
      <c r="W152">
        <v>1</v>
      </c>
      <c r="X152">
        <v>1</v>
      </c>
      <c r="AA152" s="1">
        <v>9999</v>
      </c>
      <c r="AE152" s="183" t="s">
        <v>1409</v>
      </c>
      <c r="AG152" t="e">
        <f ca="1">OFFSET(buff的资质计算!$M$1,MATCH(buff!D152,buff的资质计算!G:G,0)-1,0)*R152/10000</f>
        <v>#VALUE!</v>
      </c>
      <c r="AH152" t="e">
        <f ca="1">AG152/OFFSET(buff的资质计算!$L$1,MATCH(buff!D152,buff的资质计算!G:G,0)-1,0)</f>
        <v>#VALUE!</v>
      </c>
    </row>
    <row r="153" ht="15.75" spans="1:34">
      <c r="A153" s="153">
        <f ca="1">passive!W43</f>
        <v>110404</v>
      </c>
      <c r="B153" s="186" t="str">
        <f>passive!B43</f>
        <v>回天幻本</v>
      </c>
      <c r="C153" s="291" t="str">
        <f>"制造幻象，每回合有"&amp;passive!V43/100&amp;"%概率使敌人1招无效"</f>
        <v>制造幻象，每回合有29%概率使敌人1招无效</v>
      </c>
      <c r="D153">
        <v>2</v>
      </c>
      <c r="E153" s="179">
        <v>2</v>
      </c>
      <c r="F153" s="179">
        <v>3</v>
      </c>
      <c r="G153">
        <v>13</v>
      </c>
      <c r="H153">
        <v>1</v>
      </c>
      <c r="K153">
        <v>1</v>
      </c>
      <c r="L153">
        <v>1</v>
      </c>
      <c r="M153">
        <v>0</v>
      </c>
      <c r="R153" s="3">
        <v>10000</v>
      </c>
      <c r="V153">
        <v>5</v>
      </c>
      <c r="W153">
        <v>1</v>
      </c>
      <c r="X153">
        <v>1</v>
      </c>
      <c r="AA153" s="1">
        <v>9999</v>
      </c>
      <c r="AE153" s="183" t="s">
        <v>1409</v>
      </c>
      <c r="AG153" t="e">
        <f ca="1">OFFSET(buff的资质计算!$M$1,MATCH(buff!D153,buff的资质计算!G:G,0)-1,0)*R153/10000</f>
        <v>#VALUE!</v>
      </c>
      <c r="AH153" t="e">
        <f ca="1">AG153/OFFSET(buff的资质计算!$L$1,MATCH(buff!D153,buff的资质计算!G:G,0)-1,0)</f>
        <v>#VALUE!</v>
      </c>
    </row>
    <row r="154" ht="15.75" spans="1:34">
      <c r="A154" s="153">
        <f ca="1">passive!W44</f>
        <v>110405</v>
      </c>
      <c r="B154" s="186" t="str">
        <f>passive!B44</f>
        <v>回天幻本</v>
      </c>
      <c r="C154" s="291" t="str">
        <f>"制造幻象，每回合有"&amp;passive!V44/100&amp;"%概率使敌人1招无效"</f>
        <v>制造幻象，每回合有30%概率使敌人1招无效</v>
      </c>
      <c r="D154">
        <v>2</v>
      </c>
      <c r="E154" s="179">
        <v>2</v>
      </c>
      <c r="F154" s="179">
        <v>3</v>
      </c>
      <c r="G154">
        <v>13</v>
      </c>
      <c r="H154">
        <v>1</v>
      </c>
      <c r="K154">
        <v>1</v>
      </c>
      <c r="L154">
        <v>1</v>
      </c>
      <c r="M154">
        <v>0</v>
      </c>
      <c r="R154" s="3">
        <v>10000</v>
      </c>
      <c r="V154">
        <v>5</v>
      </c>
      <c r="W154">
        <v>1</v>
      </c>
      <c r="X154">
        <v>1</v>
      </c>
      <c r="AA154" s="1">
        <v>9999</v>
      </c>
      <c r="AE154" s="183" t="s">
        <v>1409</v>
      </c>
      <c r="AG154" t="e">
        <f ca="1">OFFSET(buff的资质计算!$M$1,MATCH(buff!D154,buff的资质计算!G:G,0)-1,0)*R154/10000</f>
        <v>#VALUE!</v>
      </c>
      <c r="AH154" t="e">
        <f ca="1">AG154/OFFSET(buff的资质计算!$L$1,MATCH(buff!D154,buff的资质计算!G:G,0)-1,0)</f>
        <v>#VALUE!</v>
      </c>
    </row>
    <row r="155" ht="15.75" spans="1:34">
      <c r="A155" s="153">
        <f ca="1">passive!W45</f>
        <v>110406</v>
      </c>
      <c r="B155" s="186" t="str">
        <f>passive!B45</f>
        <v>回天幻本</v>
      </c>
      <c r="C155" s="291" t="str">
        <f>"制造幻象，每回合有"&amp;passive!V45/100&amp;"%概率使敌人1招无效"</f>
        <v>制造幻象，每回合有31%概率使敌人1招无效</v>
      </c>
      <c r="D155">
        <v>2</v>
      </c>
      <c r="E155" s="179">
        <v>2</v>
      </c>
      <c r="F155" s="179">
        <v>3</v>
      </c>
      <c r="G155">
        <v>13</v>
      </c>
      <c r="H155">
        <v>1</v>
      </c>
      <c r="K155">
        <v>1</v>
      </c>
      <c r="L155">
        <v>1</v>
      </c>
      <c r="M155">
        <v>0</v>
      </c>
      <c r="R155" s="3">
        <v>10000</v>
      </c>
      <c r="V155">
        <v>5</v>
      </c>
      <c r="W155">
        <v>1</v>
      </c>
      <c r="X155">
        <v>1</v>
      </c>
      <c r="AA155" s="1">
        <v>9999</v>
      </c>
      <c r="AE155" s="183" t="s">
        <v>1409</v>
      </c>
      <c r="AG155" t="e">
        <f ca="1">OFFSET(buff的资质计算!$M$1,MATCH(buff!D155,buff的资质计算!G:G,0)-1,0)*R155/10000</f>
        <v>#VALUE!</v>
      </c>
      <c r="AH155" t="e">
        <f ca="1">AG155/OFFSET(buff的资质计算!$L$1,MATCH(buff!D155,buff的资质计算!G:G,0)-1,0)</f>
        <v>#VALUE!</v>
      </c>
    </row>
    <row r="156" ht="15.75" spans="1:34">
      <c r="A156" s="153">
        <f ca="1">passive!W46</f>
        <v>110407</v>
      </c>
      <c r="B156" s="186" t="str">
        <f>passive!B46</f>
        <v>回天幻本</v>
      </c>
      <c r="C156" s="291" t="str">
        <f>"制造幻象，每回合有"&amp;passive!V46/100&amp;"%概率使敌人1招无效"</f>
        <v>制造幻象，每回合有32%概率使敌人1招无效</v>
      </c>
      <c r="D156">
        <v>2</v>
      </c>
      <c r="E156" s="179">
        <v>2</v>
      </c>
      <c r="F156" s="179">
        <v>3</v>
      </c>
      <c r="G156">
        <v>13</v>
      </c>
      <c r="H156">
        <v>1</v>
      </c>
      <c r="K156">
        <v>1</v>
      </c>
      <c r="L156">
        <v>1</v>
      </c>
      <c r="M156">
        <v>0</v>
      </c>
      <c r="R156" s="3">
        <v>10000</v>
      </c>
      <c r="V156">
        <v>5</v>
      </c>
      <c r="W156">
        <v>1</v>
      </c>
      <c r="X156">
        <v>1</v>
      </c>
      <c r="AA156" s="1">
        <v>9999</v>
      </c>
      <c r="AE156" s="183" t="s">
        <v>1409</v>
      </c>
      <c r="AG156" t="e">
        <f ca="1">OFFSET(buff的资质计算!$M$1,MATCH(buff!D156,buff的资质计算!G:G,0)-1,0)*R156/10000</f>
        <v>#VALUE!</v>
      </c>
      <c r="AH156" t="e">
        <f ca="1">AG156/OFFSET(buff的资质计算!$L$1,MATCH(buff!D156,buff的资质计算!G:G,0)-1,0)</f>
        <v>#VALUE!</v>
      </c>
    </row>
    <row r="157" ht="15.75" spans="1:34">
      <c r="A157" s="153">
        <f ca="1">passive!W47</f>
        <v>110408</v>
      </c>
      <c r="B157" s="186" t="str">
        <f>passive!B47</f>
        <v>回天幻本</v>
      </c>
      <c r="C157" s="291" t="str">
        <f>"制造幻象，每回合有"&amp;passive!V47/100&amp;"%概率使敌人1招无效"</f>
        <v>制造幻象，每回合有33%概率使敌人1招无效</v>
      </c>
      <c r="D157">
        <v>2</v>
      </c>
      <c r="E157" s="179">
        <v>2</v>
      </c>
      <c r="F157" s="179">
        <v>3</v>
      </c>
      <c r="G157">
        <v>13</v>
      </c>
      <c r="H157">
        <v>1</v>
      </c>
      <c r="K157">
        <v>1</v>
      </c>
      <c r="L157">
        <v>1</v>
      </c>
      <c r="M157">
        <v>0</v>
      </c>
      <c r="R157" s="3">
        <v>10000</v>
      </c>
      <c r="V157">
        <v>5</v>
      </c>
      <c r="W157">
        <v>1</v>
      </c>
      <c r="X157">
        <v>1</v>
      </c>
      <c r="AA157" s="1">
        <v>9999</v>
      </c>
      <c r="AE157" s="183" t="s">
        <v>1409</v>
      </c>
      <c r="AG157" t="e">
        <f ca="1">OFFSET(buff的资质计算!$M$1,MATCH(buff!D157,buff的资质计算!G:G,0)-1,0)*R157/10000</f>
        <v>#VALUE!</v>
      </c>
      <c r="AH157" t="e">
        <f ca="1">AG157/OFFSET(buff的资质计算!$L$1,MATCH(buff!D157,buff的资质计算!G:G,0)-1,0)</f>
        <v>#VALUE!</v>
      </c>
    </row>
    <row r="158" ht="15.75" spans="1:34">
      <c r="A158" s="153">
        <f ca="1">passive!W48</f>
        <v>110409</v>
      </c>
      <c r="B158" s="186" t="str">
        <f>passive!B48</f>
        <v>回天幻本</v>
      </c>
      <c r="C158" s="291" t="str">
        <f>"制造幻象，每回合有"&amp;passive!V48/100&amp;"%概率使敌人1招无效"</f>
        <v>制造幻象，每回合有34%概率使敌人1招无效</v>
      </c>
      <c r="D158">
        <v>2</v>
      </c>
      <c r="E158" s="179">
        <v>2</v>
      </c>
      <c r="F158" s="179">
        <v>3</v>
      </c>
      <c r="G158">
        <v>13</v>
      </c>
      <c r="H158">
        <v>1</v>
      </c>
      <c r="K158">
        <v>1</v>
      </c>
      <c r="L158">
        <v>1</v>
      </c>
      <c r="M158">
        <v>0</v>
      </c>
      <c r="R158" s="3">
        <v>10000</v>
      </c>
      <c r="V158">
        <v>5</v>
      </c>
      <c r="W158">
        <v>1</v>
      </c>
      <c r="X158">
        <v>1</v>
      </c>
      <c r="AA158" s="1">
        <v>9999</v>
      </c>
      <c r="AE158" s="183" t="s">
        <v>1409</v>
      </c>
      <c r="AG158" t="e">
        <f ca="1">OFFSET(buff的资质计算!$M$1,MATCH(buff!D158,buff的资质计算!G:G,0)-1,0)*R158/10000</f>
        <v>#VALUE!</v>
      </c>
      <c r="AH158" t="e">
        <f ca="1">AG158/OFFSET(buff的资质计算!$L$1,MATCH(buff!D158,buff的资质计算!G:G,0)-1,0)</f>
        <v>#VALUE!</v>
      </c>
    </row>
    <row r="159" ht="15.75" spans="1:34">
      <c r="A159" s="153">
        <f ca="1">passive!W49</f>
        <v>110410</v>
      </c>
      <c r="B159" s="186" t="str">
        <f>passive!B49</f>
        <v>回天幻本</v>
      </c>
      <c r="C159" s="291" t="str">
        <f>"制造幻象，每回合有"&amp;passive!V49/100&amp;"%概率使敌人1招无效"</f>
        <v>制造幻象，每回合有35%概率使敌人1招无效</v>
      </c>
      <c r="D159">
        <v>2</v>
      </c>
      <c r="E159" s="179">
        <v>2</v>
      </c>
      <c r="F159" s="179">
        <v>3</v>
      </c>
      <c r="G159">
        <v>13</v>
      </c>
      <c r="H159">
        <v>1</v>
      </c>
      <c r="K159">
        <v>1</v>
      </c>
      <c r="L159">
        <v>1</v>
      </c>
      <c r="M159">
        <v>0</v>
      </c>
      <c r="R159" s="3">
        <v>10000</v>
      </c>
      <c r="V159">
        <v>5</v>
      </c>
      <c r="W159">
        <v>1</v>
      </c>
      <c r="X159">
        <v>1</v>
      </c>
      <c r="AA159" s="1">
        <v>9999</v>
      </c>
      <c r="AE159" s="183" t="s">
        <v>1409</v>
      </c>
      <c r="AG159" t="e">
        <f ca="1">OFFSET(buff的资质计算!$M$1,MATCH(buff!D159,buff的资质计算!G:G,0)-1,0)*R159/10000</f>
        <v>#VALUE!</v>
      </c>
      <c r="AH159" t="e">
        <f ca="1">AG159/OFFSET(buff的资质计算!$L$1,MATCH(buff!D159,buff的资质计算!G:G,0)-1,0)</f>
        <v>#VALUE!</v>
      </c>
    </row>
    <row r="160" ht="15.75" spans="1:34">
      <c r="A160" s="153">
        <f ca="1">passive!W50</f>
        <v>110500</v>
      </c>
      <c r="B160" s="186" t="str">
        <f>passive!B50</f>
        <v>炁体源流</v>
      </c>
      <c r="C160" s="291" t="str">
        <f t="shared" ref="C160:C170" si="7">"使用拳法时，附加当前护甲"&amp;X160/100&amp;"%的伤害"</f>
        <v>使用拳法时，附加当前护甲10%的伤害</v>
      </c>
      <c r="E160" s="179">
        <v>2</v>
      </c>
      <c r="F160" s="179">
        <v>3</v>
      </c>
      <c r="G160">
        <v>7</v>
      </c>
      <c r="H160">
        <v>1</v>
      </c>
      <c r="K160" s="1">
        <v>4</v>
      </c>
      <c r="L160" s="1">
        <v>1</v>
      </c>
      <c r="M160" s="1">
        <v>0</v>
      </c>
      <c r="N160" s="1">
        <v>1</v>
      </c>
      <c r="O160" s="1">
        <v>1</v>
      </c>
      <c r="P160" s="1">
        <v>1</v>
      </c>
      <c r="Q160" s="1">
        <v>1</v>
      </c>
      <c r="R160" s="3">
        <v>10000</v>
      </c>
      <c r="S160" s="1">
        <v>4</v>
      </c>
      <c r="T160" s="1">
        <v>1</v>
      </c>
      <c r="U160" s="1"/>
      <c r="W160" s="1">
        <v>2</v>
      </c>
      <c r="X160" s="1">
        <v>1000</v>
      </c>
      <c r="AA160" s="1">
        <v>9999</v>
      </c>
      <c r="AB160" s="3"/>
      <c r="AC160" s="1"/>
      <c r="AD160" s="1"/>
      <c r="AE160" s="183" t="s">
        <v>1407</v>
      </c>
      <c r="AG160" t="e">
        <f ca="1">OFFSET(buff的资质计算!$M$1,MATCH(buff!D160,buff的资质计算!G:G,0)-1,0)*X160/10000</f>
        <v>#N/A</v>
      </c>
      <c r="AH160" t="e">
        <f ca="1">AG160/OFFSET(buff的资质计算!$L$1,MATCH(buff!D160,buff的资质计算!G:G,0)-1,0)</f>
        <v>#N/A</v>
      </c>
    </row>
    <row r="161" ht="15.75" spans="1:34">
      <c r="A161" s="153">
        <f ca="1">passive!W51</f>
        <v>110501</v>
      </c>
      <c r="B161" s="186" t="str">
        <f>passive!B51</f>
        <v>炁体源流</v>
      </c>
      <c r="C161" s="291" t="str">
        <f t="shared" si="7"/>
        <v>使用拳法时，附加当前护甲12%的伤害</v>
      </c>
      <c r="E161" s="179">
        <v>2</v>
      </c>
      <c r="F161" s="179">
        <v>3</v>
      </c>
      <c r="G161">
        <v>7</v>
      </c>
      <c r="H161">
        <v>1</v>
      </c>
      <c r="K161" s="1">
        <v>4</v>
      </c>
      <c r="L161" s="1">
        <v>1</v>
      </c>
      <c r="M161" s="1">
        <v>0</v>
      </c>
      <c r="N161" s="1">
        <v>1</v>
      </c>
      <c r="O161" s="1">
        <v>1</v>
      </c>
      <c r="P161" s="1">
        <v>1</v>
      </c>
      <c r="Q161" s="1">
        <v>1</v>
      </c>
      <c r="R161" s="3">
        <v>10000</v>
      </c>
      <c r="S161" s="1">
        <v>4</v>
      </c>
      <c r="T161" s="1">
        <v>1</v>
      </c>
      <c r="U161" s="1"/>
      <c r="W161" s="1">
        <v>2</v>
      </c>
      <c r="X161" s="1">
        <v>1200</v>
      </c>
      <c r="AA161" s="1">
        <v>9999</v>
      </c>
      <c r="AB161" s="3"/>
      <c r="AC161" s="1"/>
      <c r="AD161" s="1"/>
      <c r="AE161" s="183" t="s">
        <v>1407</v>
      </c>
      <c r="AG161" t="e">
        <f ca="1">OFFSET(buff的资质计算!$M$1,MATCH(buff!D161,buff的资质计算!G:G,0)-1,0)*X161/10000</f>
        <v>#N/A</v>
      </c>
      <c r="AH161" t="e">
        <f ca="1">AG161/OFFSET(buff的资质计算!$L$1,MATCH(buff!D161,buff的资质计算!G:G,0)-1,0)</f>
        <v>#N/A</v>
      </c>
    </row>
    <row r="162" ht="15.75" spans="1:34">
      <c r="A162" s="153">
        <f ca="1">passive!W52</f>
        <v>110502</v>
      </c>
      <c r="B162" s="186" t="str">
        <f>passive!B52</f>
        <v>炁体源流</v>
      </c>
      <c r="C162" s="291" t="str">
        <f t="shared" si="7"/>
        <v>使用拳法时，附加当前护甲14%的伤害</v>
      </c>
      <c r="E162" s="179">
        <v>2</v>
      </c>
      <c r="F162" s="179">
        <v>3</v>
      </c>
      <c r="G162">
        <v>7</v>
      </c>
      <c r="H162">
        <v>1</v>
      </c>
      <c r="K162" s="1">
        <v>4</v>
      </c>
      <c r="L162" s="1">
        <v>1</v>
      </c>
      <c r="M162" s="1">
        <v>0</v>
      </c>
      <c r="N162" s="1">
        <v>1</v>
      </c>
      <c r="O162" s="1">
        <v>1</v>
      </c>
      <c r="P162" s="1">
        <v>1</v>
      </c>
      <c r="Q162" s="1">
        <v>1</v>
      </c>
      <c r="R162" s="3">
        <v>10000</v>
      </c>
      <c r="S162" s="1">
        <v>4</v>
      </c>
      <c r="T162" s="1">
        <v>1</v>
      </c>
      <c r="U162" s="1"/>
      <c r="W162" s="1">
        <v>2</v>
      </c>
      <c r="X162" s="1">
        <v>1400</v>
      </c>
      <c r="AA162" s="1">
        <v>9999</v>
      </c>
      <c r="AB162" s="3"/>
      <c r="AC162" s="1"/>
      <c r="AD162" s="1"/>
      <c r="AE162" s="183" t="s">
        <v>1407</v>
      </c>
      <c r="AG162" t="e">
        <f ca="1">OFFSET(buff的资质计算!$M$1,MATCH(buff!D162,buff的资质计算!G:G,0)-1,0)*X162/10000</f>
        <v>#N/A</v>
      </c>
      <c r="AH162" t="e">
        <f ca="1">AG162/OFFSET(buff的资质计算!$L$1,MATCH(buff!D162,buff的资质计算!G:G,0)-1,0)</f>
        <v>#N/A</v>
      </c>
    </row>
    <row r="163" ht="15.75" spans="1:34">
      <c r="A163" s="153">
        <f ca="1">passive!W53</f>
        <v>110503</v>
      </c>
      <c r="B163" s="186" t="str">
        <f>passive!B53</f>
        <v>炁体源流</v>
      </c>
      <c r="C163" s="291" t="str">
        <f t="shared" si="7"/>
        <v>使用拳法时，附加当前护甲16%的伤害</v>
      </c>
      <c r="E163" s="179">
        <v>2</v>
      </c>
      <c r="F163" s="179">
        <v>3</v>
      </c>
      <c r="G163">
        <v>7</v>
      </c>
      <c r="H163">
        <v>1</v>
      </c>
      <c r="K163" s="1">
        <v>4</v>
      </c>
      <c r="L163" s="1">
        <v>1</v>
      </c>
      <c r="M163" s="1">
        <v>0</v>
      </c>
      <c r="N163" s="1">
        <v>1</v>
      </c>
      <c r="O163" s="1">
        <v>1</v>
      </c>
      <c r="P163" s="1">
        <v>1</v>
      </c>
      <c r="Q163" s="1">
        <v>1</v>
      </c>
      <c r="R163" s="3">
        <v>10000</v>
      </c>
      <c r="S163" s="1">
        <v>4</v>
      </c>
      <c r="T163" s="1">
        <v>1</v>
      </c>
      <c r="U163" s="1"/>
      <c r="W163" s="1">
        <v>2</v>
      </c>
      <c r="X163" s="1">
        <v>1600</v>
      </c>
      <c r="AA163" s="1">
        <v>9999</v>
      </c>
      <c r="AB163" s="3"/>
      <c r="AC163" s="1"/>
      <c r="AD163" s="1"/>
      <c r="AE163" s="183" t="s">
        <v>1407</v>
      </c>
      <c r="AG163" t="e">
        <f ca="1">OFFSET(buff的资质计算!$M$1,MATCH(buff!D163,buff的资质计算!G:G,0)-1,0)*X163/10000</f>
        <v>#N/A</v>
      </c>
      <c r="AH163" t="e">
        <f ca="1">AG163/OFFSET(buff的资质计算!$L$1,MATCH(buff!D163,buff的资质计算!G:G,0)-1,0)</f>
        <v>#N/A</v>
      </c>
    </row>
    <row r="164" ht="15.75" spans="1:34">
      <c r="A164" s="153">
        <f ca="1">passive!W54</f>
        <v>110504</v>
      </c>
      <c r="B164" s="186" t="str">
        <f>passive!B54</f>
        <v>炁体源流</v>
      </c>
      <c r="C164" s="291" t="str">
        <f t="shared" si="7"/>
        <v>使用拳法时，附加当前护甲18%的伤害</v>
      </c>
      <c r="E164" s="179">
        <v>2</v>
      </c>
      <c r="F164" s="179">
        <v>3</v>
      </c>
      <c r="G164">
        <v>7</v>
      </c>
      <c r="H164">
        <v>1</v>
      </c>
      <c r="K164" s="1">
        <v>4</v>
      </c>
      <c r="L164" s="1">
        <v>1</v>
      </c>
      <c r="M164" s="1">
        <v>0</v>
      </c>
      <c r="N164" s="1">
        <v>1</v>
      </c>
      <c r="O164" s="1">
        <v>1</v>
      </c>
      <c r="P164" s="1">
        <v>1</v>
      </c>
      <c r="Q164" s="1">
        <v>1</v>
      </c>
      <c r="R164" s="3">
        <v>10000</v>
      </c>
      <c r="S164" s="1">
        <v>4</v>
      </c>
      <c r="T164" s="1">
        <v>1</v>
      </c>
      <c r="U164" s="1"/>
      <c r="W164" s="1">
        <v>2</v>
      </c>
      <c r="X164" s="1">
        <v>1800</v>
      </c>
      <c r="AA164" s="1">
        <v>9999</v>
      </c>
      <c r="AB164" s="3"/>
      <c r="AC164" s="1"/>
      <c r="AD164" s="1"/>
      <c r="AE164" s="183" t="s">
        <v>1407</v>
      </c>
      <c r="AG164" t="e">
        <f ca="1">OFFSET(buff的资质计算!$M$1,MATCH(buff!D164,buff的资质计算!G:G,0)-1,0)*X164/10000</f>
        <v>#N/A</v>
      </c>
      <c r="AH164" t="e">
        <f ca="1">AG164/OFFSET(buff的资质计算!$L$1,MATCH(buff!D164,buff的资质计算!G:G,0)-1,0)</f>
        <v>#N/A</v>
      </c>
    </row>
    <row r="165" ht="15.75" spans="1:34">
      <c r="A165" s="153">
        <f ca="1">passive!W55</f>
        <v>110505</v>
      </c>
      <c r="B165" s="186" t="str">
        <f>passive!B55</f>
        <v>炁体源流</v>
      </c>
      <c r="C165" s="291" t="str">
        <f t="shared" si="7"/>
        <v>使用拳法时，附加当前护甲20%的伤害</v>
      </c>
      <c r="E165" s="179">
        <v>2</v>
      </c>
      <c r="F165" s="179">
        <v>3</v>
      </c>
      <c r="G165">
        <v>7</v>
      </c>
      <c r="H165">
        <v>1</v>
      </c>
      <c r="K165" s="1">
        <v>4</v>
      </c>
      <c r="L165" s="1">
        <v>1</v>
      </c>
      <c r="M165" s="1">
        <v>0</v>
      </c>
      <c r="N165" s="1">
        <v>1</v>
      </c>
      <c r="O165" s="1">
        <v>1</v>
      </c>
      <c r="P165" s="1">
        <v>1</v>
      </c>
      <c r="Q165" s="1">
        <v>1</v>
      </c>
      <c r="R165" s="3">
        <v>10000</v>
      </c>
      <c r="S165" s="1">
        <v>4</v>
      </c>
      <c r="T165" s="1">
        <v>1</v>
      </c>
      <c r="U165" s="1"/>
      <c r="W165" s="1">
        <v>2</v>
      </c>
      <c r="X165" s="1">
        <v>2000</v>
      </c>
      <c r="AA165" s="1">
        <v>9999</v>
      </c>
      <c r="AB165" s="3"/>
      <c r="AC165" s="1"/>
      <c r="AD165" s="1"/>
      <c r="AE165" s="183" t="s">
        <v>1407</v>
      </c>
      <c r="AG165" t="e">
        <f ca="1">OFFSET(buff的资质计算!$M$1,MATCH(buff!D165,buff的资质计算!G:G,0)-1,0)*X165/10000</f>
        <v>#N/A</v>
      </c>
      <c r="AH165" t="e">
        <f ca="1">AG165/OFFSET(buff的资质计算!$L$1,MATCH(buff!D165,buff的资质计算!G:G,0)-1,0)</f>
        <v>#N/A</v>
      </c>
    </row>
    <row r="166" ht="15.75" spans="1:34">
      <c r="A166" s="153">
        <f ca="1">passive!W56</f>
        <v>110506</v>
      </c>
      <c r="B166" s="186" t="str">
        <f>passive!B56</f>
        <v>炁体源流</v>
      </c>
      <c r="C166" s="291" t="str">
        <f t="shared" si="7"/>
        <v>使用拳法时，附加当前护甲22%的伤害</v>
      </c>
      <c r="E166" s="179">
        <v>2</v>
      </c>
      <c r="F166" s="179">
        <v>3</v>
      </c>
      <c r="G166">
        <v>7</v>
      </c>
      <c r="H166">
        <v>1</v>
      </c>
      <c r="K166" s="1">
        <v>4</v>
      </c>
      <c r="L166" s="1">
        <v>1</v>
      </c>
      <c r="M166" s="1">
        <v>0</v>
      </c>
      <c r="N166" s="1">
        <v>1</v>
      </c>
      <c r="O166" s="1">
        <v>1</v>
      </c>
      <c r="P166" s="1">
        <v>1</v>
      </c>
      <c r="Q166" s="1">
        <v>1</v>
      </c>
      <c r="R166" s="3">
        <v>10000</v>
      </c>
      <c r="S166" s="1">
        <v>4</v>
      </c>
      <c r="T166" s="1">
        <v>1</v>
      </c>
      <c r="U166" s="1"/>
      <c r="W166" s="1">
        <v>2</v>
      </c>
      <c r="X166" s="1">
        <v>2200</v>
      </c>
      <c r="AA166" s="1">
        <v>9999</v>
      </c>
      <c r="AB166" s="3"/>
      <c r="AC166" s="1"/>
      <c r="AD166" s="1"/>
      <c r="AE166" s="183" t="s">
        <v>1407</v>
      </c>
      <c r="AG166" t="e">
        <f ca="1">OFFSET(buff的资质计算!$M$1,MATCH(buff!D166,buff的资质计算!G:G,0)-1,0)*X166/10000</f>
        <v>#N/A</v>
      </c>
      <c r="AH166" t="e">
        <f ca="1">AG166/OFFSET(buff的资质计算!$L$1,MATCH(buff!D166,buff的资质计算!G:G,0)-1,0)</f>
        <v>#N/A</v>
      </c>
    </row>
    <row r="167" ht="15.75" spans="1:34">
      <c r="A167" s="153">
        <f ca="1">passive!W57</f>
        <v>110507</v>
      </c>
      <c r="B167" s="186" t="str">
        <f>passive!B57</f>
        <v>炁体源流</v>
      </c>
      <c r="C167" s="291" t="str">
        <f t="shared" si="7"/>
        <v>使用拳法时，附加当前护甲24%的伤害</v>
      </c>
      <c r="E167" s="179">
        <v>2</v>
      </c>
      <c r="F167" s="179">
        <v>3</v>
      </c>
      <c r="G167">
        <v>7</v>
      </c>
      <c r="H167">
        <v>1</v>
      </c>
      <c r="K167" s="1">
        <v>4</v>
      </c>
      <c r="L167" s="1">
        <v>1</v>
      </c>
      <c r="M167" s="1">
        <v>0</v>
      </c>
      <c r="N167" s="1">
        <v>1</v>
      </c>
      <c r="O167" s="1">
        <v>1</v>
      </c>
      <c r="P167" s="1">
        <v>1</v>
      </c>
      <c r="Q167" s="1">
        <v>1</v>
      </c>
      <c r="R167" s="3">
        <v>10000</v>
      </c>
      <c r="S167" s="1">
        <v>4</v>
      </c>
      <c r="T167" s="1">
        <v>1</v>
      </c>
      <c r="U167" s="1"/>
      <c r="W167" s="1">
        <v>2</v>
      </c>
      <c r="X167" s="1">
        <v>2400</v>
      </c>
      <c r="AA167" s="1">
        <v>9999</v>
      </c>
      <c r="AB167" s="3"/>
      <c r="AC167" s="1"/>
      <c r="AD167" s="1"/>
      <c r="AE167" s="183" t="s">
        <v>1407</v>
      </c>
      <c r="AG167" t="e">
        <f ca="1">OFFSET(buff的资质计算!$M$1,MATCH(buff!D167,buff的资质计算!G:G,0)-1,0)*X167/10000</f>
        <v>#N/A</v>
      </c>
      <c r="AH167" t="e">
        <f ca="1">AG167/OFFSET(buff的资质计算!$L$1,MATCH(buff!D167,buff的资质计算!G:G,0)-1,0)</f>
        <v>#N/A</v>
      </c>
    </row>
    <row r="168" ht="15.75" spans="1:34">
      <c r="A168" s="153">
        <f ca="1">passive!W58</f>
        <v>110508</v>
      </c>
      <c r="B168" s="186" t="str">
        <f>passive!B58</f>
        <v>炁体源流</v>
      </c>
      <c r="C168" s="291" t="str">
        <f t="shared" si="7"/>
        <v>使用拳法时，附加当前护甲26%的伤害</v>
      </c>
      <c r="E168" s="179">
        <v>2</v>
      </c>
      <c r="F168" s="179">
        <v>3</v>
      </c>
      <c r="G168">
        <v>7</v>
      </c>
      <c r="H168">
        <v>1</v>
      </c>
      <c r="K168" s="1">
        <v>4</v>
      </c>
      <c r="L168" s="1">
        <v>1</v>
      </c>
      <c r="M168" s="1">
        <v>0</v>
      </c>
      <c r="N168" s="1">
        <v>1</v>
      </c>
      <c r="O168" s="1">
        <v>1</v>
      </c>
      <c r="P168" s="1">
        <v>1</v>
      </c>
      <c r="Q168" s="1">
        <v>1</v>
      </c>
      <c r="R168" s="3">
        <v>10000</v>
      </c>
      <c r="S168" s="1">
        <v>4</v>
      </c>
      <c r="T168" s="1">
        <v>1</v>
      </c>
      <c r="U168" s="1"/>
      <c r="W168" s="1">
        <v>2</v>
      </c>
      <c r="X168" s="1">
        <v>2600</v>
      </c>
      <c r="AA168" s="1">
        <v>9999</v>
      </c>
      <c r="AB168" s="3"/>
      <c r="AC168" s="1"/>
      <c r="AD168" s="1"/>
      <c r="AE168" s="183" t="s">
        <v>1407</v>
      </c>
      <c r="AG168" t="e">
        <f ca="1">OFFSET(buff的资质计算!$M$1,MATCH(buff!D168,buff的资质计算!G:G,0)-1,0)*X168/10000</f>
        <v>#N/A</v>
      </c>
      <c r="AH168" t="e">
        <f ca="1">AG168/OFFSET(buff的资质计算!$L$1,MATCH(buff!D168,buff的资质计算!G:G,0)-1,0)</f>
        <v>#N/A</v>
      </c>
    </row>
    <row r="169" ht="15.75" spans="1:34">
      <c r="A169" s="153">
        <f ca="1">passive!W59</f>
        <v>110509</v>
      </c>
      <c r="B169" s="186" t="str">
        <f>passive!B59</f>
        <v>炁体源流</v>
      </c>
      <c r="C169" s="291" t="str">
        <f t="shared" si="7"/>
        <v>使用拳法时，附加当前护甲28%的伤害</v>
      </c>
      <c r="E169" s="179">
        <v>2</v>
      </c>
      <c r="F169" s="179">
        <v>3</v>
      </c>
      <c r="G169">
        <v>7</v>
      </c>
      <c r="H169">
        <v>1</v>
      </c>
      <c r="K169" s="1">
        <v>4</v>
      </c>
      <c r="L169" s="1">
        <v>1</v>
      </c>
      <c r="M169" s="1">
        <v>0</v>
      </c>
      <c r="N169" s="1">
        <v>1</v>
      </c>
      <c r="O169" s="1">
        <v>1</v>
      </c>
      <c r="P169" s="1">
        <v>1</v>
      </c>
      <c r="Q169" s="1">
        <v>1</v>
      </c>
      <c r="R169" s="3">
        <v>10000</v>
      </c>
      <c r="S169" s="1">
        <v>4</v>
      </c>
      <c r="T169" s="1">
        <v>1</v>
      </c>
      <c r="U169" s="1"/>
      <c r="W169" s="1">
        <v>2</v>
      </c>
      <c r="X169" s="1">
        <v>2800</v>
      </c>
      <c r="AA169" s="1">
        <v>9999</v>
      </c>
      <c r="AB169" s="3"/>
      <c r="AC169" s="1"/>
      <c r="AD169" s="1"/>
      <c r="AE169" s="183" t="s">
        <v>1407</v>
      </c>
      <c r="AG169" t="e">
        <f ca="1">OFFSET(buff的资质计算!$M$1,MATCH(buff!D169,buff的资质计算!G:G,0)-1,0)*X169/10000</f>
        <v>#N/A</v>
      </c>
      <c r="AH169" t="e">
        <f ca="1">AG169/OFFSET(buff的资质计算!$L$1,MATCH(buff!D169,buff的资质计算!G:G,0)-1,0)</f>
        <v>#N/A</v>
      </c>
    </row>
    <row r="170" ht="15.75" spans="1:34">
      <c r="A170" s="153">
        <f ca="1">passive!W60</f>
        <v>110510</v>
      </c>
      <c r="B170" s="186" t="str">
        <f>passive!B60</f>
        <v>炁体源流</v>
      </c>
      <c r="C170" s="291" t="str">
        <f t="shared" si="7"/>
        <v>使用拳法时，附加当前护甲30%的伤害</v>
      </c>
      <c r="E170" s="179">
        <v>2</v>
      </c>
      <c r="F170" s="179">
        <v>3</v>
      </c>
      <c r="G170">
        <v>7</v>
      </c>
      <c r="H170">
        <v>1</v>
      </c>
      <c r="K170" s="1">
        <v>4</v>
      </c>
      <c r="L170" s="1">
        <v>1</v>
      </c>
      <c r="M170" s="1">
        <v>0</v>
      </c>
      <c r="N170" s="1">
        <v>1</v>
      </c>
      <c r="O170" s="1">
        <v>1</v>
      </c>
      <c r="P170" s="1">
        <v>1</v>
      </c>
      <c r="Q170" s="1">
        <v>1</v>
      </c>
      <c r="R170" s="3">
        <v>10000</v>
      </c>
      <c r="S170" s="1">
        <v>4</v>
      </c>
      <c r="T170" s="1">
        <v>1</v>
      </c>
      <c r="U170" s="1"/>
      <c r="W170" s="1">
        <v>2</v>
      </c>
      <c r="X170" s="1">
        <v>3000</v>
      </c>
      <c r="AA170" s="1">
        <v>9999</v>
      </c>
      <c r="AB170" s="3"/>
      <c r="AC170" s="1"/>
      <c r="AD170" s="1"/>
      <c r="AE170" s="183" t="s">
        <v>1407</v>
      </c>
      <c r="AG170" t="e">
        <f ca="1">OFFSET(buff的资质计算!$M$1,MATCH(buff!D170,buff的资质计算!G:G,0)-1,0)*X170/10000</f>
        <v>#N/A</v>
      </c>
      <c r="AH170" t="e">
        <f ca="1">AG170/OFFSET(buff的资质计算!$L$1,MATCH(buff!D170,buff的资质计算!G:G,0)-1,0)</f>
        <v>#N/A</v>
      </c>
    </row>
    <row r="171" ht="27.75" spans="1:31">
      <c r="A171" s="153">
        <f ca="1">passive!W61</f>
        <v>120100</v>
      </c>
      <c r="B171" s="186" t="str">
        <f>passive!B61</f>
        <v>乾元燃血功</v>
      </c>
      <c r="C171" s="179" t="str">
        <f t="shared" ref="C171:C181" si="8">"血量每降低"&amp;U171/100&amp;"%，增加"&amp;X171/100&amp;"%伤害减免"</f>
        <v>血量每降低10%，增加3%伤害减免</v>
      </c>
      <c r="D171" s="186">
        <v>2</v>
      </c>
      <c r="E171" s="179">
        <v>2</v>
      </c>
      <c r="F171" s="179">
        <v>3</v>
      </c>
      <c r="G171" s="1">
        <v>14</v>
      </c>
      <c r="H171" s="1">
        <v>1</v>
      </c>
      <c r="I171" s="1"/>
      <c r="J171" s="1"/>
      <c r="K171" s="1">
        <v>5</v>
      </c>
      <c r="M171">
        <v>0</v>
      </c>
      <c r="R171" s="1">
        <v>10000</v>
      </c>
      <c r="S171">
        <v>6</v>
      </c>
      <c r="T171">
        <v>1</v>
      </c>
      <c r="U171">
        <v>1000</v>
      </c>
      <c r="W171" s="1">
        <v>2</v>
      </c>
      <c r="X171">
        <v>300</v>
      </c>
      <c r="AA171" s="1">
        <v>9999</v>
      </c>
      <c r="AE171" s="183" t="s">
        <v>1410</v>
      </c>
    </row>
    <row r="172" ht="27.75" spans="1:31">
      <c r="A172" s="153">
        <f ca="1">passive!W62</f>
        <v>120101</v>
      </c>
      <c r="B172" s="186" t="str">
        <f>passive!B62</f>
        <v>乾元燃血功</v>
      </c>
      <c r="C172" s="179" t="str">
        <f t="shared" si="8"/>
        <v>血量每降低10%，增加3.5%伤害减免</v>
      </c>
      <c r="D172" s="186">
        <v>2</v>
      </c>
      <c r="E172" s="179">
        <v>2</v>
      </c>
      <c r="F172" s="179">
        <v>3</v>
      </c>
      <c r="G172" s="1">
        <v>14</v>
      </c>
      <c r="H172" s="1">
        <v>1</v>
      </c>
      <c r="I172" s="1"/>
      <c r="J172" s="1"/>
      <c r="K172" s="1">
        <v>5</v>
      </c>
      <c r="M172">
        <v>0</v>
      </c>
      <c r="R172" s="1">
        <v>10000</v>
      </c>
      <c r="S172">
        <v>6</v>
      </c>
      <c r="T172">
        <v>1</v>
      </c>
      <c r="U172">
        <v>1000</v>
      </c>
      <c r="W172" s="1">
        <v>2</v>
      </c>
      <c r="X172">
        <v>350</v>
      </c>
      <c r="AA172" s="1">
        <v>9999</v>
      </c>
      <c r="AE172" s="183" t="s">
        <v>1410</v>
      </c>
    </row>
    <row r="173" ht="27.75" spans="1:31">
      <c r="A173" s="153">
        <f ca="1">passive!W63</f>
        <v>120102</v>
      </c>
      <c r="B173" s="186" t="str">
        <f>passive!B63</f>
        <v>乾元燃血功</v>
      </c>
      <c r="C173" s="179" t="str">
        <f t="shared" si="8"/>
        <v>血量每降低10%，增加4%伤害减免</v>
      </c>
      <c r="D173" s="186">
        <v>2</v>
      </c>
      <c r="E173" s="179">
        <v>2</v>
      </c>
      <c r="F173" s="179">
        <v>3</v>
      </c>
      <c r="G173" s="1">
        <v>14</v>
      </c>
      <c r="H173" s="1">
        <v>1</v>
      </c>
      <c r="I173" s="1"/>
      <c r="J173" s="1"/>
      <c r="K173" s="1">
        <v>5</v>
      </c>
      <c r="M173">
        <v>0</v>
      </c>
      <c r="R173" s="1">
        <v>10000</v>
      </c>
      <c r="S173">
        <v>6</v>
      </c>
      <c r="T173">
        <v>1</v>
      </c>
      <c r="U173">
        <v>1000</v>
      </c>
      <c r="W173" s="1">
        <v>2</v>
      </c>
      <c r="X173">
        <v>400</v>
      </c>
      <c r="AA173" s="1">
        <v>9999</v>
      </c>
      <c r="AE173" s="183" t="s">
        <v>1410</v>
      </c>
    </row>
    <row r="174" ht="27.75" spans="1:31">
      <c r="A174" s="153">
        <f ca="1">passive!W64</f>
        <v>120103</v>
      </c>
      <c r="B174" s="186" t="str">
        <f>passive!B64</f>
        <v>乾元燃血功</v>
      </c>
      <c r="C174" s="179" t="str">
        <f t="shared" si="8"/>
        <v>血量每降低10%，增加4.5%伤害减免</v>
      </c>
      <c r="D174" s="186">
        <v>2</v>
      </c>
      <c r="E174" s="179">
        <v>2</v>
      </c>
      <c r="F174" s="179">
        <v>3</v>
      </c>
      <c r="G174" s="1">
        <v>14</v>
      </c>
      <c r="H174" s="1">
        <v>1</v>
      </c>
      <c r="I174" s="1"/>
      <c r="J174" s="1"/>
      <c r="K174" s="1">
        <v>5</v>
      </c>
      <c r="M174">
        <v>0</v>
      </c>
      <c r="R174" s="1">
        <v>10000</v>
      </c>
      <c r="S174">
        <v>6</v>
      </c>
      <c r="T174">
        <v>1</v>
      </c>
      <c r="U174">
        <v>1000</v>
      </c>
      <c r="W174" s="1">
        <v>2</v>
      </c>
      <c r="X174">
        <v>450</v>
      </c>
      <c r="AA174" s="1">
        <v>9999</v>
      </c>
      <c r="AE174" s="183" t="s">
        <v>1410</v>
      </c>
    </row>
    <row r="175" ht="27.75" spans="1:31">
      <c r="A175" s="153">
        <f ca="1">passive!W65</f>
        <v>120104</v>
      </c>
      <c r="B175" s="186" t="str">
        <f>passive!B65</f>
        <v>乾元燃血功</v>
      </c>
      <c r="C175" s="179" t="str">
        <f t="shared" si="8"/>
        <v>血量每降低10%，增加5%伤害减免</v>
      </c>
      <c r="D175" s="186">
        <v>2</v>
      </c>
      <c r="E175" s="179">
        <v>2</v>
      </c>
      <c r="F175" s="179">
        <v>3</v>
      </c>
      <c r="G175" s="1">
        <v>14</v>
      </c>
      <c r="H175" s="1">
        <v>1</v>
      </c>
      <c r="I175" s="1"/>
      <c r="J175" s="1"/>
      <c r="K175" s="1">
        <v>5</v>
      </c>
      <c r="M175">
        <v>0</v>
      </c>
      <c r="R175" s="1">
        <v>10000</v>
      </c>
      <c r="S175">
        <v>6</v>
      </c>
      <c r="T175">
        <v>1</v>
      </c>
      <c r="U175">
        <v>1000</v>
      </c>
      <c r="W175" s="1">
        <v>2</v>
      </c>
      <c r="X175">
        <v>500</v>
      </c>
      <c r="AA175" s="1">
        <v>9999</v>
      </c>
      <c r="AE175" s="183" t="s">
        <v>1410</v>
      </c>
    </row>
    <row r="176" ht="27.75" spans="1:31">
      <c r="A176" s="153">
        <f ca="1">passive!W66</f>
        <v>120105</v>
      </c>
      <c r="B176" s="186" t="str">
        <f>passive!B66</f>
        <v>乾元燃血功</v>
      </c>
      <c r="C176" s="179" t="str">
        <f t="shared" si="8"/>
        <v>血量每降低10%，增加5.5%伤害减免</v>
      </c>
      <c r="D176" s="186">
        <v>2</v>
      </c>
      <c r="E176" s="179">
        <v>2</v>
      </c>
      <c r="F176" s="179">
        <v>3</v>
      </c>
      <c r="G176" s="1">
        <v>14</v>
      </c>
      <c r="H176" s="1">
        <v>1</v>
      </c>
      <c r="I176" s="1"/>
      <c r="J176" s="1"/>
      <c r="K176" s="1">
        <v>5</v>
      </c>
      <c r="M176">
        <v>0</v>
      </c>
      <c r="R176" s="1">
        <v>10000</v>
      </c>
      <c r="S176">
        <v>6</v>
      </c>
      <c r="T176">
        <v>1</v>
      </c>
      <c r="U176">
        <v>1000</v>
      </c>
      <c r="W176" s="1">
        <v>2</v>
      </c>
      <c r="X176">
        <v>550</v>
      </c>
      <c r="AA176" s="1">
        <v>9999</v>
      </c>
      <c r="AE176" s="183" t="s">
        <v>1410</v>
      </c>
    </row>
    <row r="177" ht="27.75" spans="1:31">
      <c r="A177" s="153">
        <f ca="1">passive!W67</f>
        <v>120106</v>
      </c>
      <c r="B177" s="186" t="str">
        <f>passive!B67</f>
        <v>乾元燃血功</v>
      </c>
      <c r="C177" s="179" t="str">
        <f t="shared" si="8"/>
        <v>血量每降低10%，增加6%伤害减免</v>
      </c>
      <c r="D177" s="186">
        <v>2</v>
      </c>
      <c r="E177" s="179">
        <v>2</v>
      </c>
      <c r="F177" s="179">
        <v>3</v>
      </c>
      <c r="G177" s="1">
        <v>14</v>
      </c>
      <c r="H177" s="1">
        <v>1</v>
      </c>
      <c r="I177" s="1"/>
      <c r="J177" s="1"/>
      <c r="K177" s="1">
        <v>5</v>
      </c>
      <c r="M177">
        <v>0</v>
      </c>
      <c r="R177" s="1">
        <v>10000</v>
      </c>
      <c r="S177">
        <v>6</v>
      </c>
      <c r="T177">
        <v>1</v>
      </c>
      <c r="U177">
        <v>1000</v>
      </c>
      <c r="W177" s="1">
        <v>2</v>
      </c>
      <c r="X177">
        <v>600</v>
      </c>
      <c r="AA177" s="1">
        <v>9999</v>
      </c>
      <c r="AE177" s="183" t="s">
        <v>1410</v>
      </c>
    </row>
    <row r="178" ht="27.75" spans="1:31">
      <c r="A178" s="153">
        <f ca="1">passive!W68</f>
        <v>120107</v>
      </c>
      <c r="B178" s="186" t="str">
        <f>passive!B68</f>
        <v>乾元燃血功</v>
      </c>
      <c r="C178" s="179" t="str">
        <f t="shared" si="8"/>
        <v>血量每降低10%，增加6.5%伤害减免</v>
      </c>
      <c r="D178" s="186">
        <v>2</v>
      </c>
      <c r="E178" s="179">
        <v>2</v>
      </c>
      <c r="F178" s="179">
        <v>3</v>
      </c>
      <c r="G178" s="1">
        <v>14</v>
      </c>
      <c r="H178" s="1">
        <v>1</v>
      </c>
      <c r="I178" s="1"/>
      <c r="J178" s="1"/>
      <c r="K178" s="1">
        <v>5</v>
      </c>
      <c r="M178">
        <v>0</v>
      </c>
      <c r="R178" s="1">
        <v>10000</v>
      </c>
      <c r="S178">
        <v>6</v>
      </c>
      <c r="T178">
        <v>1</v>
      </c>
      <c r="U178">
        <v>1000</v>
      </c>
      <c r="W178" s="1">
        <v>2</v>
      </c>
      <c r="X178">
        <v>650</v>
      </c>
      <c r="AA178" s="1">
        <v>9999</v>
      </c>
      <c r="AE178" s="183" t="s">
        <v>1410</v>
      </c>
    </row>
    <row r="179" ht="27.75" spans="1:31">
      <c r="A179" s="153">
        <f ca="1">passive!W69</f>
        <v>120108</v>
      </c>
      <c r="B179" s="186" t="str">
        <f>passive!B69</f>
        <v>乾元燃血功</v>
      </c>
      <c r="C179" s="179" t="str">
        <f t="shared" si="8"/>
        <v>血量每降低10%，增加7%伤害减免</v>
      </c>
      <c r="D179" s="186">
        <v>2</v>
      </c>
      <c r="E179" s="179">
        <v>2</v>
      </c>
      <c r="F179" s="179">
        <v>3</v>
      </c>
      <c r="G179" s="1">
        <v>14</v>
      </c>
      <c r="H179" s="1">
        <v>1</v>
      </c>
      <c r="I179" s="1"/>
      <c r="J179" s="1"/>
      <c r="K179" s="1">
        <v>5</v>
      </c>
      <c r="M179">
        <v>0</v>
      </c>
      <c r="R179" s="1">
        <v>10000</v>
      </c>
      <c r="S179">
        <v>6</v>
      </c>
      <c r="T179">
        <v>1</v>
      </c>
      <c r="U179">
        <v>1000</v>
      </c>
      <c r="W179" s="1">
        <v>2</v>
      </c>
      <c r="X179">
        <v>700</v>
      </c>
      <c r="AA179" s="1">
        <v>9999</v>
      </c>
      <c r="AE179" s="183" t="s">
        <v>1410</v>
      </c>
    </row>
    <row r="180" ht="27.75" spans="1:31">
      <c r="A180" s="153">
        <f ca="1">passive!W70</f>
        <v>120109</v>
      </c>
      <c r="B180" s="186" t="str">
        <f>passive!B70</f>
        <v>乾元燃血功</v>
      </c>
      <c r="C180" s="179" t="str">
        <f t="shared" si="8"/>
        <v>血量每降低10%，增加7.5%伤害减免</v>
      </c>
      <c r="D180" s="186">
        <v>2</v>
      </c>
      <c r="E180" s="179">
        <v>2</v>
      </c>
      <c r="F180" s="179">
        <v>3</v>
      </c>
      <c r="G180" s="1">
        <v>14</v>
      </c>
      <c r="H180" s="1">
        <v>1</v>
      </c>
      <c r="I180" s="1"/>
      <c r="J180" s="1"/>
      <c r="K180" s="1">
        <v>5</v>
      </c>
      <c r="M180">
        <v>0</v>
      </c>
      <c r="R180" s="1">
        <v>10000</v>
      </c>
      <c r="S180">
        <v>6</v>
      </c>
      <c r="T180">
        <v>1</v>
      </c>
      <c r="U180">
        <v>1000</v>
      </c>
      <c r="W180" s="1">
        <v>2</v>
      </c>
      <c r="X180">
        <v>750</v>
      </c>
      <c r="AA180" s="1">
        <v>9999</v>
      </c>
      <c r="AE180" s="183" t="s">
        <v>1410</v>
      </c>
    </row>
    <row r="181" ht="27.75" spans="1:31">
      <c r="A181" s="153">
        <f ca="1">passive!W71</f>
        <v>120110</v>
      </c>
      <c r="B181" s="186" t="str">
        <f>passive!B71</f>
        <v>乾元燃血功</v>
      </c>
      <c r="C181" s="179" t="str">
        <f t="shared" si="8"/>
        <v>血量每降低10%，增加8%伤害减免</v>
      </c>
      <c r="D181" s="186">
        <v>2</v>
      </c>
      <c r="E181" s="179">
        <v>2</v>
      </c>
      <c r="F181" s="179">
        <v>3</v>
      </c>
      <c r="G181" s="1">
        <v>14</v>
      </c>
      <c r="H181" s="1">
        <v>1</v>
      </c>
      <c r="I181" s="1"/>
      <c r="J181" s="1"/>
      <c r="K181" s="1">
        <v>5</v>
      </c>
      <c r="M181">
        <v>0</v>
      </c>
      <c r="R181" s="1">
        <v>10000</v>
      </c>
      <c r="S181">
        <v>6</v>
      </c>
      <c r="T181">
        <v>1</v>
      </c>
      <c r="U181">
        <v>1000</v>
      </c>
      <c r="W181" s="1">
        <v>2</v>
      </c>
      <c r="X181">
        <v>800</v>
      </c>
      <c r="AA181" s="1">
        <v>9999</v>
      </c>
      <c r="AE181" s="183" t="s">
        <v>1410</v>
      </c>
    </row>
    <row r="182" ht="27.75" spans="1:34">
      <c r="A182" s="153">
        <f ca="1">passive!W72</f>
        <v>120200</v>
      </c>
      <c r="B182" s="186" t="str">
        <f>passive!B72</f>
        <v>万妖淬体决</v>
      </c>
      <c r="C182" s="291" t="s">
        <v>1411</v>
      </c>
      <c r="D182" s="186">
        <v>1</v>
      </c>
      <c r="E182" s="179">
        <v>2</v>
      </c>
      <c r="F182" s="179">
        <v>3</v>
      </c>
      <c r="G182" s="1">
        <v>3</v>
      </c>
      <c r="H182" s="1">
        <v>1</v>
      </c>
      <c r="I182" s="157"/>
      <c r="J182" s="294"/>
      <c r="K182" s="1">
        <v>1</v>
      </c>
      <c r="L182" s="1">
        <v>1</v>
      </c>
      <c r="M182" s="1">
        <v>0</v>
      </c>
      <c r="Q182" s="1"/>
      <c r="R182" s="1">
        <v>10000</v>
      </c>
      <c r="W182" s="3">
        <v>1</v>
      </c>
      <c r="X182" s="1">
        <f>AG182*card!$S$1*buff的资质计算!$E$3*$AI$1</f>
        <v>45.63</v>
      </c>
      <c r="Y182" s="153">
        <v>1</v>
      </c>
      <c r="Z182" s="153">
        <f>AG182*card!$W$1*buff的资质计算!$E$3*$AI$1</f>
        <v>4.563</v>
      </c>
      <c r="AA182" s="1">
        <v>9999</v>
      </c>
      <c r="AE182" s="183" t="s">
        <v>1412</v>
      </c>
      <c r="AG182">
        <f t="shared" ref="AG182:AG192" si="9">AH182*1.3</f>
        <v>3.9</v>
      </c>
      <c r="AH182">
        <v>3</v>
      </c>
    </row>
    <row r="183" ht="27.75" spans="1:34">
      <c r="A183" s="153">
        <f ca="1">passive!W73</f>
        <v>120201</v>
      </c>
      <c r="B183" s="186" t="str">
        <f>passive!B73</f>
        <v>万妖淬体决</v>
      </c>
      <c r="C183" s="291" t="s">
        <v>1411</v>
      </c>
      <c r="D183" s="186">
        <v>1</v>
      </c>
      <c r="E183" s="179">
        <v>2</v>
      </c>
      <c r="F183" s="179">
        <v>3</v>
      </c>
      <c r="G183" s="1">
        <v>3</v>
      </c>
      <c r="H183" s="1">
        <v>1</v>
      </c>
      <c r="I183" s="157"/>
      <c r="J183" s="294"/>
      <c r="K183" s="1">
        <v>1</v>
      </c>
      <c r="L183" s="1">
        <v>1</v>
      </c>
      <c r="M183" s="1">
        <v>0</v>
      </c>
      <c r="Q183" s="1"/>
      <c r="R183" s="1">
        <v>10000</v>
      </c>
      <c r="W183" s="3">
        <v>1</v>
      </c>
      <c r="X183" s="1">
        <f>AG183*card!$S$1*buff的资质计算!$E$3*$AI$1</f>
        <v>50.193</v>
      </c>
      <c r="Y183" s="153">
        <v>1</v>
      </c>
      <c r="Z183" s="153">
        <f>AG183*card!$W$1*buff的资质计算!$E$3*$AI$1</f>
        <v>5.0193</v>
      </c>
      <c r="AA183" s="1">
        <v>9999</v>
      </c>
      <c r="AE183" s="183" t="s">
        <v>1412</v>
      </c>
      <c r="AG183">
        <f t="shared" si="9"/>
        <v>4.29</v>
      </c>
      <c r="AH183">
        <v>3.3</v>
      </c>
    </row>
    <row r="184" ht="27.75" spans="1:34">
      <c r="A184" s="153">
        <f ca="1">passive!W74</f>
        <v>120202</v>
      </c>
      <c r="B184" s="186" t="str">
        <f>passive!B74</f>
        <v>万妖淬体决</v>
      </c>
      <c r="C184" s="291" t="s">
        <v>1411</v>
      </c>
      <c r="D184" s="186">
        <v>1</v>
      </c>
      <c r="E184" s="179">
        <v>2</v>
      </c>
      <c r="F184" s="179">
        <v>3</v>
      </c>
      <c r="G184" s="1">
        <v>3</v>
      </c>
      <c r="H184" s="1">
        <v>1</v>
      </c>
      <c r="I184" s="157"/>
      <c r="J184" s="294"/>
      <c r="K184" s="1">
        <v>1</v>
      </c>
      <c r="L184" s="1">
        <v>1</v>
      </c>
      <c r="M184" s="1">
        <v>0</v>
      </c>
      <c r="Q184" s="1"/>
      <c r="R184" s="1">
        <v>10000</v>
      </c>
      <c r="W184" s="3">
        <v>1</v>
      </c>
      <c r="X184" s="1">
        <f>AG184*card!$S$1*buff的资质计算!$E$3*$AI$1</f>
        <v>54.756</v>
      </c>
      <c r="Y184" s="153">
        <v>1</v>
      </c>
      <c r="Z184" s="153">
        <f>AG184*card!$W$1*buff的资质计算!$E$3*$AI$1</f>
        <v>5.4756</v>
      </c>
      <c r="AA184" s="1">
        <v>9999</v>
      </c>
      <c r="AE184" s="183" t="s">
        <v>1412</v>
      </c>
      <c r="AG184">
        <f t="shared" si="9"/>
        <v>4.68</v>
      </c>
      <c r="AH184">
        <v>3.6</v>
      </c>
    </row>
    <row r="185" ht="27.75" spans="1:34">
      <c r="A185" s="153">
        <f ca="1">passive!W75</f>
        <v>120203</v>
      </c>
      <c r="B185" s="186" t="str">
        <f>passive!B75</f>
        <v>万妖淬体决</v>
      </c>
      <c r="C185" s="291" t="s">
        <v>1411</v>
      </c>
      <c r="D185" s="186">
        <v>1</v>
      </c>
      <c r="E185" s="179">
        <v>2</v>
      </c>
      <c r="F185" s="179">
        <v>3</v>
      </c>
      <c r="G185" s="1">
        <v>3</v>
      </c>
      <c r="H185" s="1">
        <v>1</v>
      </c>
      <c r="I185" s="157"/>
      <c r="J185" s="294"/>
      <c r="K185" s="1">
        <v>1</v>
      </c>
      <c r="L185" s="1">
        <v>1</v>
      </c>
      <c r="M185" s="1">
        <v>0</v>
      </c>
      <c r="Q185" s="1"/>
      <c r="R185" s="1">
        <v>10000</v>
      </c>
      <c r="W185" s="3">
        <v>1</v>
      </c>
      <c r="X185" s="1">
        <f>AG185*card!$S$1*buff的资质计算!$E$3*$AI$1</f>
        <v>59.319</v>
      </c>
      <c r="Y185" s="153">
        <v>1</v>
      </c>
      <c r="Z185" s="153">
        <f>AG185*card!$W$1*buff的资质计算!$E$3*$AI$1</f>
        <v>5.9319</v>
      </c>
      <c r="AA185" s="1">
        <v>9999</v>
      </c>
      <c r="AE185" s="183" t="s">
        <v>1412</v>
      </c>
      <c r="AG185">
        <f t="shared" si="9"/>
        <v>5.07</v>
      </c>
      <c r="AH185">
        <v>3.9</v>
      </c>
    </row>
    <row r="186" ht="27.75" spans="1:34">
      <c r="A186" s="153">
        <f ca="1">passive!W76</f>
        <v>120204</v>
      </c>
      <c r="B186" s="186" t="str">
        <f>passive!B76</f>
        <v>万妖淬体决</v>
      </c>
      <c r="C186" s="291" t="s">
        <v>1411</v>
      </c>
      <c r="D186" s="186">
        <v>1</v>
      </c>
      <c r="E186" s="179">
        <v>2</v>
      </c>
      <c r="F186" s="179">
        <v>3</v>
      </c>
      <c r="G186" s="1">
        <v>3</v>
      </c>
      <c r="H186" s="1">
        <v>1</v>
      </c>
      <c r="I186" s="157"/>
      <c r="J186" s="294"/>
      <c r="K186" s="1">
        <v>1</v>
      </c>
      <c r="L186" s="1">
        <v>1</v>
      </c>
      <c r="M186" s="1">
        <v>0</v>
      </c>
      <c r="Q186" s="1"/>
      <c r="R186" s="1">
        <v>10000</v>
      </c>
      <c r="W186" s="3">
        <v>1</v>
      </c>
      <c r="X186" s="1">
        <f>AG186*card!$S$1*buff的资质计算!$E$3*$AI$1</f>
        <v>63.882</v>
      </c>
      <c r="Y186" s="153">
        <v>1</v>
      </c>
      <c r="Z186" s="153">
        <f>AG186*card!$W$1*buff的资质计算!$E$3*$AI$1</f>
        <v>6.3882</v>
      </c>
      <c r="AA186" s="1">
        <v>9999</v>
      </c>
      <c r="AE186" s="183" t="s">
        <v>1412</v>
      </c>
      <c r="AG186">
        <f t="shared" si="9"/>
        <v>5.46</v>
      </c>
      <c r="AH186">
        <v>4.2</v>
      </c>
    </row>
    <row r="187" ht="27.75" spans="1:34">
      <c r="A187" s="153">
        <f ca="1">passive!W77</f>
        <v>120205</v>
      </c>
      <c r="B187" s="186" t="str">
        <f>passive!B77</f>
        <v>万妖淬体决</v>
      </c>
      <c r="C187" s="291" t="s">
        <v>1411</v>
      </c>
      <c r="D187" s="186">
        <v>1</v>
      </c>
      <c r="E187" s="179">
        <v>2</v>
      </c>
      <c r="F187" s="179">
        <v>3</v>
      </c>
      <c r="G187" s="1">
        <v>3</v>
      </c>
      <c r="H187" s="1">
        <v>1</v>
      </c>
      <c r="I187" s="157"/>
      <c r="J187" s="294"/>
      <c r="K187" s="1">
        <v>1</v>
      </c>
      <c r="L187" s="1">
        <v>1</v>
      </c>
      <c r="M187" s="1">
        <v>0</v>
      </c>
      <c r="Q187" s="1"/>
      <c r="R187" s="1">
        <v>10000</v>
      </c>
      <c r="W187" s="3">
        <v>1</v>
      </c>
      <c r="X187" s="1">
        <f>AG187*card!$S$1*buff的资质计算!$E$3*$AI$1</f>
        <v>68.445</v>
      </c>
      <c r="Y187" s="153">
        <v>1</v>
      </c>
      <c r="Z187" s="153">
        <f>AG187*card!$W$1*buff的资质计算!$E$3*$AI$1</f>
        <v>6.8445</v>
      </c>
      <c r="AA187" s="1">
        <v>9999</v>
      </c>
      <c r="AE187" s="183" t="s">
        <v>1412</v>
      </c>
      <c r="AG187">
        <f t="shared" si="9"/>
        <v>5.85</v>
      </c>
      <c r="AH187">
        <v>4.5</v>
      </c>
    </row>
    <row r="188" ht="27.75" spans="1:34">
      <c r="A188" s="153">
        <f ca="1">passive!W78</f>
        <v>120206</v>
      </c>
      <c r="B188" s="186" t="str">
        <f>passive!B78</f>
        <v>万妖淬体决</v>
      </c>
      <c r="C188" s="291" t="s">
        <v>1411</v>
      </c>
      <c r="D188" s="186">
        <v>1</v>
      </c>
      <c r="E188" s="179">
        <v>2</v>
      </c>
      <c r="F188" s="179">
        <v>3</v>
      </c>
      <c r="G188" s="1">
        <v>3</v>
      </c>
      <c r="H188" s="1">
        <v>1</v>
      </c>
      <c r="I188" s="157"/>
      <c r="J188" s="294"/>
      <c r="K188" s="1">
        <v>1</v>
      </c>
      <c r="L188" s="1">
        <v>1</v>
      </c>
      <c r="M188" s="1">
        <v>0</v>
      </c>
      <c r="Q188" s="1"/>
      <c r="R188" s="1">
        <v>10000</v>
      </c>
      <c r="W188" s="3">
        <v>1</v>
      </c>
      <c r="X188" s="1">
        <f>AG188*card!$S$1*buff的资质计算!$E$3*$AI$1</f>
        <v>73.008</v>
      </c>
      <c r="Y188" s="153">
        <v>1</v>
      </c>
      <c r="Z188" s="153">
        <f>AG188*card!$W$1*buff的资质计算!$E$3*$AI$1</f>
        <v>7.3008</v>
      </c>
      <c r="AA188" s="1">
        <v>9999</v>
      </c>
      <c r="AE188" s="183" t="s">
        <v>1412</v>
      </c>
      <c r="AG188">
        <f t="shared" si="9"/>
        <v>6.24</v>
      </c>
      <c r="AH188">
        <v>4.8</v>
      </c>
    </row>
    <row r="189" ht="27.75" spans="1:34">
      <c r="A189" s="153">
        <f ca="1">passive!W79</f>
        <v>120207</v>
      </c>
      <c r="B189" s="186" t="str">
        <f>passive!B79</f>
        <v>万妖淬体决</v>
      </c>
      <c r="C189" s="291" t="s">
        <v>1411</v>
      </c>
      <c r="D189" s="186">
        <v>1</v>
      </c>
      <c r="E189" s="179">
        <v>2</v>
      </c>
      <c r="F189" s="179">
        <v>3</v>
      </c>
      <c r="G189" s="1">
        <v>3</v>
      </c>
      <c r="H189" s="1">
        <v>1</v>
      </c>
      <c r="I189" s="157"/>
      <c r="J189" s="294"/>
      <c r="K189" s="1">
        <v>1</v>
      </c>
      <c r="L189" s="1">
        <v>1</v>
      </c>
      <c r="M189" s="1">
        <v>0</v>
      </c>
      <c r="Q189" s="1"/>
      <c r="R189" s="1">
        <v>10000</v>
      </c>
      <c r="W189" s="3">
        <v>1</v>
      </c>
      <c r="X189" s="1">
        <f>AG189*card!$S$1*buff的资质计算!$E$3*$AI$1</f>
        <v>77.571</v>
      </c>
      <c r="Y189" s="153">
        <v>1</v>
      </c>
      <c r="Z189" s="153">
        <f>AG189*card!$W$1*buff的资质计算!$E$3*$AI$1</f>
        <v>7.7571</v>
      </c>
      <c r="AA189" s="1">
        <v>9999</v>
      </c>
      <c r="AE189" s="183" t="s">
        <v>1412</v>
      </c>
      <c r="AG189">
        <f t="shared" si="9"/>
        <v>6.63</v>
      </c>
      <c r="AH189">
        <v>5.1</v>
      </c>
    </row>
    <row r="190" ht="27.75" spans="1:34">
      <c r="A190" s="153">
        <f ca="1">passive!W80</f>
        <v>120208</v>
      </c>
      <c r="B190" s="186" t="str">
        <f>passive!B80</f>
        <v>万妖淬体决</v>
      </c>
      <c r="C190" s="291" t="s">
        <v>1411</v>
      </c>
      <c r="D190" s="186">
        <v>1</v>
      </c>
      <c r="E190" s="179">
        <v>2</v>
      </c>
      <c r="F190" s="179">
        <v>3</v>
      </c>
      <c r="G190" s="1">
        <v>3</v>
      </c>
      <c r="H190" s="1">
        <v>1</v>
      </c>
      <c r="I190" s="157"/>
      <c r="J190" s="294"/>
      <c r="K190" s="1">
        <v>1</v>
      </c>
      <c r="L190" s="1">
        <v>1</v>
      </c>
      <c r="M190" s="1">
        <v>0</v>
      </c>
      <c r="Q190" s="1"/>
      <c r="R190" s="1">
        <v>10000</v>
      </c>
      <c r="W190" s="3">
        <v>1</v>
      </c>
      <c r="X190" s="1">
        <f>AG190*card!$S$1*buff的资质计算!$E$3*$AI$1</f>
        <v>82.134</v>
      </c>
      <c r="Y190" s="153">
        <v>1</v>
      </c>
      <c r="Z190" s="153">
        <f>AG190*card!$W$1*buff的资质计算!$E$3*$AI$1</f>
        <v>8.2134</v>
      </c>
      <c r="AA190" s="1">
        <v>9999</v>
      </c>
      <c r="AE190" s="183" t="s">
        <v>1412</v>
      </c>
      <c r="AG190">
        <f t="shared" si="9"/>
        <v>7.02</v>
      </c>
      <c r="AH190">
        <v>5.4</v>
      </c>
    </row>
    <row r="191" ht="27.75" spans="1:34">
      <c r="A191" s="153">
        <f ca="1">passive!W81</f>
        <v>120209</v>
      </c>
      <c r="B191" s="186" t="str">
        <f>passive!B81</f>
        <v>万妖淬体决</v>
      </c>
      <c r="C191" s="291" t="s">
        <v>1411</v>
      </c>
      <c r="D191" s="186">
        <v>1</v>
      </c>
      <c r="E191" s="179">
        <v>2</v>
      </c>
      <c r="F191" s="179">
        <v>3</v>
      </c>
      <c r="G191" s="1">
        <v>3</v>
      </c>
      <c r="H191" s="1">
        <v>1</v>
      </c>
      <c r="I191" s="157"/>
      <c r="J191" s="294"/>
      <c r="K191" s="1">
        <v>1</v>
      </c>
      <c r="L191" s="1">
        <v>1</v>
      </c>
      <c r="M191" s="1">
        <v>0</v>
      </c>
      <c r="Q191" s="1"/>
      <c r="R191" s="1">
        <v>10000</v>
      </c>
      <c r="W191" s="3">
        <v>1</v>
      </c>
      <c r="X191" s="1">
        <f>AG191*card!$S$1*buff的资质计算!$E$3*$AI$1</f>
        <v>86.697</v>
      </c>
      <c r="Y191" s="153">
        <v>1</v>
      </c>
      <c r="Z191" s="153">
        <f>AG191*card!$W$1*buff的资质计算!$E$3*$AI$1</f>
        <v>8.6697</v>
      </c>
      <c r="AA191" s="1">
        <v>9999</v>
      </c>
      <c r="AE191" s="183" t="s">
        <v>1412</v>
      </c>
      <c r="AG191">
        <f t="shared" si="9"/>
        <v>7.41</v>
      </c>
      <c r="AH191">
        <v>5.7</v>
      </c>
    </row>
    <row r="192" ht="27.75" spans="1:34">
      <c r="A192" s="153">
        <f ca="1">passive!W82</f>
        <v>120210</v>
      </c>
      <c r="B192" s="186" t="str">
        <f>passive!B82</f>
        <v>万妖淬体决</v>
      </c>
      <c r="C192" s="291" t="s">
        <v>1411</v>
      </c>
      <c r="D192" s="186">
        <v>1</v>
      </c>
      <c r="E192" s="179">
        <v>2</v>
      </c>
      <c r="F192" s="179">
        <v>3</v>
      </c>
      <c r="G192" s="1">
        <v>3</v>
      </c>
      <c r="H192" s="1">
        <v>1</v>
      </c>
      <c r="I192" s="157"/>
      <c r="J192" s="294"/>
      <c r="K192" s="1">
        <v>1</v>
      </c>
      <c r="L192" s="1">
        <v>1</v>
      </c>
      <c r="M192" s="1">
        <v>0</v>
      </c>
      <c r="Q192" s="1"/>
      <c r="R192" s="1">
        <v>10000</v>
      </c>
      <c r="W192" s="3">
        <v>1</v>
      </c>
      <c r="X192" s="1">
        <f>AG192*card!$S$1*buff的资质计算!$E$3*$AI$1</f>
        <v>91.26</v>
      </c>
      <c r="Y192" s="153">
        <v>1</v>
      </c>
      <c r="Z192" s="153">
        <f>AG192*card!$W$1*buff的资质计算!$E$3*$AI$1</f>
        <v>9.126</v>
      </c>
      <c r="AA192" s="1">
        <v>9999</v>
      </c>
      <c r="AE192" s="183" t="s">
        <v>1412</v>
      </c>
      <c r="AG192">
        <f t="shared" si="9"/>
        <v>7.8</v>
      </c>
      <c r="AH192">
        <v>6</v>
      </c>
    </row>
    <row r="193" ht="27.75" spans="1:31">
      <c r="A193" s="153">
        <f ca="1">passive!W83</f>
        <v>120300</v>
      </c>
      <c r="B193" s="186" t="str">
        <f>passive!B83</f>
        <v>血魔化心录</v>
      </c>
      <c r="C193" s="295" t="str">
        <f t="shared" ref="C193:C203" si="10">"使拳法招式附带"&amp;X193/100&amp;"%吸血效果"</f>
        <v>使拳法招式附带5%吸血效果</v>
      </c>
      <c r="D193">
        <v>2</v>
      </c>
      <c r="E193" s="179">
        <v>2</v>
      </c>
      <c r="F193" s="179">
        <v>3</v>
      </c>
      <c r="G193" s="1">
        <v>16</v>
      </c>
      <c r="H193">
        <v>1</v>
      </c>
      <c r="K193">
        <v>4</v>
      </c>
      <c r="L193">
        <v>1</v>
      </c>
      <c r="R193" s="1">
        <v>10000</v>
      </c>
      <c r="W193">
        <v>2</v>
      </c>
      <c r="X193">
        <v>500</v>
      </c>
      <c r="AA193" s="1">
        <v>9999</v>
      </c>
      <c r="AE193" t="s">
        <v>1413</v>
      </c>
    </row>
    <row r="194" ht="27.75" spans="1:31">
      <c r="A194" s="153">
        <f ca="1">passive!W84</f>
        <v>120301</v>
      </c>
      <c r="B194" s="186" t="str">
        <f>passive!B84</f>
        <v>血魔化心录</v>
      </c>
      <c r="C194" s="295" t="str">
        <f t="shared" si="10"/>
        <v>使拳法招式附带7%吸血效果</v>
      </c>
      <c r="D194">
        <v>2</v>
      </c>
      <c r="E194" s="179">
        <v>2</v>
      </c>
      <c r="F194" s="179">
        <v>3</v>
      </c>
      <c r="G194" s="1">
        <v>16</v>
      </c>
      <c r="H194">
        <v>1</v>
      </c>
      <c r="K194">
        <v>4</v>
      </c>
      <c r="L194">
        <v>1</v>
      </c>
      <c r="R194" s="1">
        <v>10000</v>
      </c>
      <c r="W194">
        <v>2</v>
      </c>
      <c r="X194">
        <v>700</v>
      </c>
      <c r="AA194" s="1">
        <v>9999</v>
      </c>
      <c r="AE194" t="s">
        <v>1413</v>
      </c>
    </row>
    <row r="195" ht="27.75" spans="1:31">
      <c r="A195" s="153">
        <f ca="1">passive!W85</f>
        <v>120302</v>
      </c>
      <c r="B195" s="186" t="str">
        <f>passive!B85</f>
        <v>血魔化心录</v>
      </c>
      <c r="C195" s="295" t="str">
        <f t="shared" si="10"/>
        <v>使拳法招式附带9%吸血效果</v>
      </c>
      <c r="D195">
        <v>2</v>
      </c>
      <c r="E195" s="179">
        <v>2</v>
      </c>
      <c r="F195" s="179">
        <v>3</v>
      </c>
      <c r="G195" s="1">
        <v>16</v>
      </c>
      <c r="H195">
        <v>1</v>
      </c>
      <c r="K195">
        <v>4</v>
      </c>
      <c r="L195">
        <v>1</v>
      </c>
      <c r="R195" s="1">
        <v>10000</v>
      </c>
      <c r="W195">
        <v>2</v>
      </c>
      <c r="X195">
        <v>900</v>
      </c>
      <c r="AA195" s="1">
        <v>9999</v>
      </c>
      <c r="AE195" t="s">
        <v>1413</v>
      </c>
    </row>
    <row r="196" ht="27.75" spans="1:31">
      <c r="A196" s="153">
        <f ca="1">passive!W86</f>
        <v>120303</v>
      </c>
      <c r="B196" s="186" t="str">
        <f>passive!B86</f>
        <v>血魔化心录</v>
      </c>
      <c r="C196" s="295" t="str">
        <f t="shared" si="10"/>
        <v>使拳法招式附带11%吸血效果</v>
      </c>
      <c r="D196">
        <v>2</v>
      </c>
      <c r="E196" s="179">
        <v>2</v>
      </c>
      <c r="F196" s="179">
        <v>3</v>
      </c>
      <c r="G196" s="1">
        <v>16</v>
      </c>
      <c r="H196">
        <v>1</v>
      </c>
      <c r="K196">
        <v>4</v>
      </c>
      <c r="L196">
        <v>1</v>
      </c>
      <c r="R196" s="1">
        <v>10000</v>
      </c>
      <c r="W196">
        <v>2</v>
      </c>
      <c r="X196">
        <v>1100</v>
      </c>
      <c r="AA196" s="1">
        <v>9999</v>
      </c>
      <c r="AE196" t="s">
        <v>1413</v>
      </c>
    </row>
    <row r="197" ht="27.75" spans="1:31">
      <c r="A197" s="153">
        <f ca="1">passive!W87</f>
        <v>120304</v>
      </c>
      <c r="B197" s="186" t="str">
        <f>passive!B87</f>
        <v>血魔化心录</v>
      </c>
      <c r="C197" s="295" t="str">
        <f t="shared" si="10"/>
        <v>使拳法招式附带13%吸血效果</v>
      </c>
      <c r="D197">
        <v>2</v>
      </c>
      <c r="E197" s="179">
        <v>2</v>
      </c>
      <c r="F197" s="179">
        <v>3</v>
      </c>
      <c r="G197" s="1">
        <v>16</v>
      </c>
      <c r="H197">
        <v>1</v>
      </c>
      <c r="K197">
        <v>4</v>
      </c>
      <c r="L197">
        <v>1</v>
      </c>
      <c r="R197" s="1">
        <v>10000</v>
      </c>
      <c r="W197">
        <v>2</v>
      </c>
      <c r="X197">
        <v>1300</v>
      </c>
      <c r="AA197" s="1">
        <v>9999</v>
      </c>
      <c r="AE197" t="s">
        <v>1413</v>
      </c>
    </row>
    <row r="198" ht="27.75" spans="1:31">
      <c r="A198" s="153">
        <f ca="1">passive!W88</f>
        <v>120305</v>
      </c>
      <c r="B198" s="186" t="str">
        <f>passive!B88</f>
        <v>血魔化心录</v>
      </c>
      <c r="C198" s="295" t="str">
        <f t="shared" si="10"/>
        <v>使拳法招式附带15%吸血效果</v>
      </c>
      <c r="D198">
        <v>2</v>
      </c>
      <c r="E198" s="179">
        <v>2</v>
      </c>
      <c r="F198" s="179">
        <v>3</v>
      </c>
      <c r="G198" s="1">
        <v>16</v>
      </c>
      <c r="H198">
        <v>1</v>
      </c>
      <c r="K198">
        <v>4</v>
      </c>
      <c r="L198">
        <v>1</v>
      </c>
      <c r="R198" s="1">
        <v>10000</v>
      </c>
      <c r="W198">
        <v>2</v>
      </c>
      <c r="X198">
        <v>1500</v>
      </c>
      <c r="AA198" s="1">
        <v>9999</v>
      </c>
      <c r="AE198" t="s">
        <v>1413</v>
      </c>
    </row>
    <row r="199" ht="27.75" spans="1:31">
      <c r="A199" s="153">
        <f ca="1">passive!W89</f>
        <v>120306</v>
      </c>
      <c r="B199" s="186" t="str">
        <f>passive!B89</f>
        <v>血魔化心录</v>
      </c>
      <c r="C199" s="295" t="str">
        <f t="shared" si="10"/>
        <v>使拳法招式附带18%吸血效果</v>
      </c>
      <c r="D199">
        <v>2</v>
      </c>
      <c r="E199" s="179">
        <v>2</v>
      </c>
      <c r="F199" s="179">
        <v>3</v>
      </c>
      <c r="G199" s="1">
        <v>16</v>
      </c>
      <c r="H199">
        <v>1</v>
      </c>
      <c r="K199">
        <v>4</v>
      </c>
      <c r="L199">
        <v>1</v>
      </c>
      <c r="R199" s="1">
        <v>10000</v>
      </c>
      <c r="W199">
        <v>2</v>
      </c>
      <c r="X199">
        <v>1800</v>
      </c>
      <c r="AA199" s="1">
        <v>9999</v>
      </c>
      <c r="AE199" t="s">
        <v>1413</v>
      </c>
    </row>
    <row r="200" ht="27.75" spans="1:31">
      <c r="A200" s="153">
        <f ca="1">passive!W90</f>
        <v>120307</v>
      </c>
      <c r="B200" s="186" t="str">
        <f>passive!B90</f>
        <v>血魔化心录</v>
      </c>
      <c r="C200" s="295" t="str">
        <f t="shared" si="10"/>
        <v>使拳法招式附带21%吸血效果</v>
      </c>
      <c r="D200">
        <v>2</v>
      </c>
      <c r="E200" s="179">
        <v>2</v>
      </c>
      <c r="F200" s="179">
        <v>3</v>
      </c>
      <c r="G200" s="1">
        <v>16</v>
      </c>
      <c r="H200">
        <v>1</v>
      </c>
      <c r="K200">
        <v>4</v>
      </c>
      <c r="L200">
        <v>1</v>
      </c>
      <c r="R200" s="1">
        <v>10000</v>
      </c>
      <c r="W200">
        <v>2</v>
      </c>
      <c r="X200">
        <v>2100</v>
      </c>
      <c r="AA200" s="1">
        <v>9999</v>
      </c>
      <c r="AE200" t="s">
        <v>1413</v>
      </c>
    </row>
    <row r="201" ht="27.75" spans="1:31">
      <c r="A201" s="153">
        <f ca="1">passive!W91</f>
        <v>120308</v>
      </c>
      <c r="B201" s="186" t="str">
        <f>passive!B91</f>
        <v>血魔化心录</v>
      </c>
      <c r="C201" s="295" t="str">
        <f t="shared" si="10"/>
        <v>使拳法招式附带24%吸血效果</v>
      </c>
      <c r="D201">
        <v>2</v>
      </c>
      <c r="E201" s="179">
        <v>2</v>
      </c>
      <c r="F201" s="179">
        <v>3</v>
      </c>
      <c r="G201" s="1">
        <v>16</v>
      </c>
      <c r="H201">
        <v>1</v>
      </c>
      <c r="K201">
        <v>4</v>
      </c>
      <c r="L201">
        <v>1</v>
      </c>
      <c r="R201" s="1">
        <v>10000</v>
      </c>
      <c r="W201">
        <v>2</v>
      </c>
      <c r="X201">
        <v>2400</v>
      </c>
      <c r="AA201" s="1">
        <v>9999</v>
      </c>
      <c r="AE201" t="s">
        <v>1413</v>
      </c>
    </row>
    <row r="202" ht="27.75" spans="1:31">
      <c r="A202" s="153">
        <f ca="1">passive!W92</f>
        <v>120309</v>
      </c>
      <c r="B202" s="186" t="str">
        <f>passive!B92</f>
        <v>血魔化心录</v>
      </c>
      <c r="C202" s="295" t="str">
        <f t="shared" si="10"/>
        <v>使拳法招式附带27%吸血效果</v>
      </c>
      <c r="D202">
        <v>2</v>
      </c>
      <c r="E202" s="179">
        <v>2</v>
      </c>
      <c r="F202" s="179">
        <v>3</v>
      </c>
      <c r="G202" s="1">
        <v>16</v>
      </c>
      <c r="H202">
        <v>1</v>
      </c>
      <c r="K202">
        <v>4</v>
      </c>
      <c r="L202">
        <v>1</v>
      </c>
      <c r="R202" s="1">
        <v>10000</v>
      </c>
      <c r="W202">
        <v>2</v>
      </c>
      <c r="X202">
        <v>2700</v>
      </c>
      <c r="AA202" s="1">
        <v>9999</v>
      </c>
      <c r="AE202" t="s">
        <v>1413</v>
      </c>
    </row>
    <row r="203" ht="27.75" spans="1:31">
      <c r="A203" s="153">
        <f ca="1">passive!W93</f>
        <v>120310</v>
      </c>
      <c r="B203" s="186" t="str">
        <f>passive!B93</f>
        <v>血魔化心录</v>
      </c>
      <c r="C203" s="295" t="str">
        <f t="shared" si="10"/>
        <v>使拳法招式附带30%吸血效果</v>
      </c>
      <c r="D203">
        <v>2</v>
      </c>
      <c r="E203" s="179">
        <v>2</v>
      </c>
      <c r="F203" s="179">
        <v>3</v>
      </c>
      <c r="G203" s="1">
        <v>16</v>
      </c>
      <c r="H203">
        <v>1</v>
      </c>
      <c r="K203">
        <v>4</v>
      </c>
      <c r="L203">
        <v>1</v>
      </c>
      <c r="R203" s="1">
        <v>10000</v>
      </c>
      <c r="W203">
        <v>2</v>
      </c>
      <c r="X203">
        <v>3000</v>
      </c>
      <c r="AA203" s="1">
        <v>9999</v>
      </c>
      <c r="AE203" t="s">
        <v>1413</v>
      </c>
    </row>
    <row r="204" ht="15.75" spans="1:34">
      <c r="A204" s="153">
        <f ca="1">passive!W94</f>
        <v>210100</v>
      </c>
      <c r="B204" s="186" t="str">
        <f>passive!B94</f>
        <v>剑气典</v>
      </c>
      <c r="C204" s="291" t="s">
        <v>1414</v>
      </c>
      <c r="D204" s="186">
        <v>1</v>
      </c>
      <c r="E204" s="179">
        <v>2</v>
      </c>
      <c r="F204" s="179">
        <v>3</v>
      </c>
      <c r="G204" s="1">
        <v>1</v>
      </c>
      <c r="H204" s="1">
        <v>2</v>
      </c>
      <c r="I204" s="157">
        <v>25</v>
      </c>
      <c r="J204" s="294">
        <v>31</v>
      </c>
      <c r="K204" s="1">
        <v>4</v>
      </c>
      <c r="L204" s="1">
        <v>1</v>
      </c>
      <c r="M204" s="1">
        <v>0</v>
      </c>
      <c r="N204">
        <v>1</v>
      </c>
      <c r="O204">
        <v>2</v>
      </c>
      <c r="P204">
        <v>1</v>
      </c>
      <c r="Q204" s="1">
        <v>2</v>
      </c>
      <c r="R204" s="3">
        <v>10000</v>
      </c>
      <c r="W204" s="1">
        <v>1</v>
      </c>
      <c r="X204" s="1">
        <f>AG204*card!$S$1*buff的资质计算!$E$3*Q204</f>
        <v>23.4</v>
      </c>
      <c r="Y204" s="153">
        <v>4</v>
      </c>
      <c r="Z204" s="153">
        <f>AG204*card!$W$1*buff的资质计算!$E$2*Q204</f>
        <v>2.16</v>
      </c>
      <c r="AA204" s="1">
        <v>9999</v>
      </c>
      <c r="AE204" s="183" t="s">
        <v>1415</v>
      </c>
      <c r="AG204">
        <f t="shared" ref="AG204:AG214" si="11">AH204*1</f>
        <v>3</v>
      </c>
      <c r="AH204">
        <v>3</v>
      </c>
    </row>
    <row r="205" ht="15.75" spans="1:34">
      <c r="A205" s="153">
        <f ca="1">passive!W95</f>
        <v>210101</v>
      </c>
      <c r="B205" s="186" t="str">
        <f>passive!B95</f>
        <v>剑气典</v>
      </c>
      <c r="C205" s="291" t="s">
        <v>1414</v>
      </c>
      <c r="D205" s="186">
        <v>1</v>
      </c>
      <c r="E205" s="179">
        <v>2</v>
      </c>
      <c r="F205" s="179">
        <v>3</v>
      </c>
      <c r="G205" s="1">
        <v>1</v>
      </c>
      <c r="H205" s="1">
        <v>2</v>
      </c>
      <c r="I205" s="157">
        <v>25</v>
      </c>
      <c r="J205" s="294">
        <v>31</v>
      </c>
      <c r="K205" s="1">
        <v>4</v>
      </c>
      <c r="L205" s="1">
        <v>1</v>
      </c>
      <c r="M205" s="1">
        <v>0</v>
      </c>
      <c r="N205">
        <v>1</v>
      </c>
      <c r="O205">
        <v>2</v>
      </c>
      <c r="P205">
        <v>1</v>
      </c>
      <c r="Q205" s="1">
        <v>2</v>
      </c>
      <c r="R205" s="3">
        <v>10000</v>
      </c>
      <c r="W205" s="1">
        <v>1</v>
      </c>
      <c r="X205" s="1">
        <f>AG205*card!$S$1*buff的资质计算!$E$3*Q205</f>
        <v>25.74</v>
      </c>
      <c r="Y205" s="153">
        <v>4</v>
      </c>
      <c r="Z205" s="153">
        <f>AG205*card!$W$1*buff的资质计算!$E$2*Q205</f>
        <v>2.376</v>
      </c>
      <c r="AA205" s="1">
        <v>9999</v>
      </c>
      <c r="AE205" s="183" t="s">
        <v>1415</v>
      </c>
      <c r="AG205">
        <f t="shared" si="11"/>
        <v>3.3</v>
      </c>
      <c r="AH205">
        <v>3.3</v>
      </c>
    </row>
    <row r="206" ht="15.75" spans="1:34">
      <c r="A206" s="153">
        <f ca="1">passive!W96</f>
        <v>210102</v>
      </c>
      <c r="B206" s="186" t="str">
        <f>passive!B96</f>
        <v>剑气典</v>
      </c>
      <c r="C206" s="291" t="s">
        <v>1414</v>
      </c>
      <c r="D206" s="186">
        <v>1</v>
      </c>
      <c r="E206" s="179">
        <v>2</v>
      </c>
      <c r="F206" s="179">
        <v>3</v>
      </c>
      <c r="G206" s="1">
        <v>1</v>
      </c>
      <c r="H206" s="1">
        <v>2</v>
      </c>
      <c r="I206" s="157">
        <v>25</v>
      </c>
      <c r="J206" s="294">
        <v>31</v>
      </c>
      <c r="K206" s="1">
        <v>4</v>
      </c>
      <c r="L206" s="1">
        <v>1</v>
      </c>
      <c r="M206" s="1">
        <v>0</v>
      </c>
      <c r="N206">
        <v>1</v>
      </c>
      <c r="O206">
        <v>2</v>
      </c>
      <c r="P206">
        <v>1</v>
      </c>
      <c r="Q206" s="1">
        <v>2</v>
      </c>
      <c r="R206" s="3">
        <v>10000</v>
      </c>
      <c r="W206" s="1">
        <v>1</v>
      </c>
      <c r="X206" s="1">
        <f>AG206*card!$S$1*buff的资质计算!$E$3*Q206</f>
        <v>28.08</v>
      </c>
      <c r="Y206" s="153">
        <v>4</v>
      </c>
      <c r="Z206" s="153">
        <f>AG206*card!$W$1*buff的资质计算!$E$2*Q206</f>
        <v>2.592</v>
      </c>
      <c r="AA206" s="1">
        <v>9999</v>
      </c>
      <c r="AE206" s="183" t="s">
        <v>1415</v>
      </c>
      <c r="AG206">
        <f t="shared" si="11"/>
        <v>3.6</v>
      </c>
      <c r="AH206">
        <v>3.6</v>
      </c>
    </row>
    <row r="207" ht="15.75" spans="1:34">
      <c r="A207" s="153">
        <f ca="1">passive!W97</f>
        <v>210103</v>
      </c>
      <c r="B207" s="186" t="str">
        <f>passive!B97</f>
        <v>剑气典</v>
      </c>
      <c r="C207" s="291" t="s">
        <v>1414</v>
      </c>
      <c r="D207" s="186">
        <v>1</v>
      </c>
      <c r="E207" s="179">
        <v>2</v>
      </c>
      <c r="F207" s="179">
        <v>3</v>
      </c>
      <c r="G207" s="1">
        <v>1</v>
      </c>
      <c r="H207" s="1">
        <v>2</v>
      </c>
      <c r="I207" s="157">
        <v>25</v>
      </c>
      <c r="J207" s="294">
        <v>31</v>
      </c>
      <c r="K207" s="1">
        <v>4</v>
      </c>
      <c r="L207" s="1">
        <v>1</v>
      </c>
      <c r="M207" s="1">
        <v>0</v>
      </c>
      <c r="N207">
        <v>1</v>
      </c>
      <c r="O207">
        <v>2</v>
      </c>
      <c r="P207">
        <v>1</v>
      </c>
      <c r="Q207" s="1">
        <v>2</v>
      </c>
      <c r="R207" s="3">
        <v>10000</v>
      </c>
      <c r="W207" s="1">
        <v>1</v>
      </c>
      <c r="X207" s="1">
        <f>AG207*card!$S$1*buff的资质计算!$E$3*Q207</f>
        <v>30.42</v>
      </c>
      <c r="Y207" s="153">
        <v>4</v>
      </c>
      <c r="Z207" s="153">
        <f>AG207*card!$W$1*buff的资质计算!$E$2*Q207</f>
        <v>2.808</v>
      </c>
      <c r="AA207" s="1">
        <v>9999</v>
      </c>
      <c r="AE207" s="183" t="s">
        <v>1415</v>
      </c>
      <c r="AG207">
        <f t="shared" si="11"/>
        <v>3.9</v>
      </c>
      <c r="AH207">
        <v>3.9</v>
      </c>
    </row>
    <row r="208" ht="15.75" spans="1:34">
      <c r="A208" s="153">
        <f ca="1">passive!W98</f>
        <v>210104</v>
      </c>
      <c r="B208" s="186" t="str">
        <f>passive!B98</f>
        <v>剑气典</v>
      </c>
      <c r="C208" s="291" t="s">
        <v>1414</v>
      </c>
      <c r="D208" s="186">
        <v>1</v>
      </c>
      <c r="E208" s="179">
        <v>2</v>
      </c>
      <c r="F208" s="179">
        <v>3</v>
      </c>
      <c r="G208" s="1">
        <v>1</v>
      </c>
      <c r="H208" s="1">
        <v>2</v>
      </c>
      <c r="I208" s="157">
        <v>25</v>
      </c>
      <c r="J208" s="294">
        <v>31</v>
      </c>
      <c r="K208" s="1">
        <v>4</v>
      </c>
      <c r="L208" s="1">
        <v>1</v>
      </c>
      <c r="M208" s="1">
        <v>0</v>
      </c>
      <c r="N208">
        <v>1</v>
      </c>
      <c r="O208">
        <v>2</v>
      </c>
      <c r="P208">
        <v>1</v>
      </c>
      <c r="Q208" s="1">
        <v>2</v>
      </c>
      <c r="R208" s="3">
        <v>10000</v>
      </c>
      <c r="W208" s="1">
        <v>1</v>
      </c>
      <c r="X208" s="1">
        <f>AG208*card!$S$1*buff的资质计算!$E$3*Q208</f>
        <v>32.76</v>
      </c>
      <c r="Y208" s="153">
        <v>4</v>
      </c>
      <c r="Z208" s="153">
        <f>AG208*card!$W$1*buff的资质计算!$E$2*Q208</f>
        <v>3.024</v>
      </c>
      <c r="AA208" s="1">
        <v>9999</v>
      </c>
      <c r="AE208" s="183" t="s">
        <v>1415</v>
      </c>
      <c r="AG208">
        <f t="shared" si="11"/>
        <v>4.2</v>
      </c>
      <c r="AH208">
        <v>4.2</v>
      </c>
    </row>
    <row r="209" ht="15.75" spans="1:34">
      <c r="A209" s="153">
        <f ca="1">passive!W99</f>
        <v>210105</v>
      </c>
      <c r="B209" s="186" t="str">
        <f>passive!B99</f>
        <v>剑气典</v>
      </c>
      <c r="C209" s="291" t="s">
        <v>1414</v>
      </c>
      <c r="D209" s="186">
        <v>1</v>
      </c>
      <c r="E209" s="179">
        <v>2</v>
      </c>
      <c r="F209" s="179">
        <v>3</v>
      </c>
      <c r="G209" s="1">
        <v>1</v>
      </c>
      <c r="H209" s="1">
        <v>2</v>
      </c>
      <c r="I209" s="157">
        <v>25</v>
      </c>
      <c r="J209" s="294">
        <v>31</v>
      </c>
      <c r="K209" s="1">
        <v>4</v>
      </c>
      <c r="L209" s="1">
        <v>1</v>
      </c>
      <c r="M209" s="1">
        <v>0</v>
      </c>
      <c r="N209">
        <v>1</v>
      </c>
      <c r="O209">
        <v>2</v>
      </c>
      <c r="P209">
        <v>1</v>
      </c>
      <c r="Q209" s="1">
        <v>2</v>
      </c>
      <c r="R209" s="3">
        <v>10000</v>
      </c>
      <c r="W209" s="1">
        <v>1</v>
      </c>
      <c r="X209" s="1">
        <f>AG209*card!$S$1*buff的资质计算!$E$3*Q209</f>
        <v>35.1</v>
      </c>
      <c r="Y209" s="153">
        <v>4</v>
      </c>
      <c r="Z209" s="153">
        <f>AG209*card!$W$1*buff的资质计算!$E$2*Q209</f>
        <v>3.24</v>
      </c>
      <c r="AA209" s="1">
        <v>9999</v>
      </c>
      <c r="AE209" s="183" t="s">
        <v>1415</v>
      </c>
      <c r="AG209">
        <f t="shared" si="11"/>
        <v>4.5</v>
      </c>
      <c r="AH209">
        <v>4.5</v>
      </c>
    </row>
    <row r="210" ht="15.75" spans="1:34">
      <c r="A210" s="153">
        <f ca="1">passive!W100</f>
        <v>210106</v>
      </c>
      <c r="B210" s="186" t="str">
        <f>passive!B100</f>
        <v>剑气典</v>
      </c>
      <c r="C210" s="291" t="s">
        <v>1414</v>
      </c>
      <c r="D210" s="186">
        <v>1</v>
      </c>
      <c r="E210" s="179">
        <v>2</v>
      </c>
      <c r="F210" s="179">
        <v>3</v>
      </c>
      <c r="G210" s="1">
        <v>1</v>
      </c>
      <c r="H210" s="1">
        <v>2</v>
      </c>
      <c r="I210" s="157">
        <v>25</v>
      </c>
      <c r="J210" s="294">
        <v>31</v>
      </c>
      <c r="K210" s="1">
        <v>4</v>
      </c>
      <c r="L210" s="1">
        <v>1</v>
      </c>
      <c r="M210" s="1">
        <v>0</v>
      </c>
      <c r="N210">
        <v>1</v>
      </c>
      <c r="O210">
        <v>2</v>
      </c>
      <c r="P210">
        <v>1</v>
      </c>
      <c r="Q210" s="1">
        <v>2</v>
      </c>
      <c r="R210" s="3">
        <v>10000</v>
      </c>
      <c r="W210" s="1">
        <v>1</v>
      </c>
      <c r="X210" s="1">
        <f>AG210*card!$S$1*buff的资质计算!$E$3*Q210</f>
        <v>37.44</v>
      </c>
      <c r="Y210" s="153">
        <v>4</v>
      </c>
      <c r="Z210" s="153">
        <f>AG210*card!$W$1*buff的资质计算!$E$2*Q210</f>
        <v>3.456</v>
      </c>
      <c r="AA210" s="1">
        <v>9999</v>
      </c>
      <c r="AE210" s="183" t="s">
        <v>1415</v>
      </c>
      <c r="AG210">
        <f t="shared" si="11"/>
        <v>4.8</v>
      </c>
      <c r="AH210">
        <v>4.8</v>
      </c>
    </row>
    <row r="211" ht="15.75" spans="1:34">
      <c r="A211" s="153">
        <f ca="1">passive!W101</f>
        <v>210107</v>
      </c>
      <c r="B211" s="186" t="str">
        <f>passive!B101</f>
        <v>剑气典</v>
      </c>
      <c r="C211" s="291" t="s">
        <v>1414</v>
      </c>
      <c r="D211" s="186">
        <v>1</v>
      </c>
      <c r="E211" s="179">
        <v>2</v>
      </c>
      <c r="F211" s="179">
        <v>3</v>
      </c>
      <c r="G211" s="1">
        <v>1</v>
      </c>
      <c r="H211" s="1">
        <v>2</v>
      </c>
      <c r="I211" s="157">
        <v>25</v>
      </c>
      <c r="J211" s="294">
        <v>31</v>
      </c>
      <c r="K211" s="1">
        <v>4</v>
      </c>
      <c r="L211" s="1">
        <v>1</v>
      </c>
      <c r="M211" s="1">
        <v>0</v>
      </c>
      <c r="N211">
        <v>1</v>
      </c>
      <c r="O211">
        <v>2</v>
      </c>
      <c r="P211">
        <v>1</v>
      </c>
      <c r="Q211" s="1">
        <v>2</v>
      </c>
      <c r="R211" s="3">
        <v>10000</v>
      </c>
      <c r="W211" s="1">
        <v>1</v>
      </c>
      <c r="X211" s="1">
        <f>AG211*card!$S$1*buff的资质计算!$E$3*Q211</f>
        <v>39.78</v>
      </c>
      <c r="Y211" s="153">
        <v>4</v>
      </c>
      <c r="Z211" s="153">
        <f>AG211*card!$W$1*buff的资质计算!$E$2*Q211</f>
        <v>3.672</v>
      </c>
      <c r="AA211" s="1">
        <v>9999</v>
      </c>
      <c r="AE211" s="183" t="s">
        <v>1415</v>
      </c>
      <c r="AG211">
        <f t="shared" si="11"/>
        <v>5.1</v>
      </c>
      <c r="AH211">
        <v>5.1</v>
      </c>
    </row>
    <row r="212" ht="15.75" spans="1:34">
      <c r="A212" s="153">
        <f ca="1">passive!W102</f>
        <v>210108</v>
      </c>
      <c r="B212" s="186" t="str">
        <f>passive!B102</f>
        <v>剑气典</v>
      </c>
      <c r="C212" s="291" t="s">
        <v>1414</v>
      </c>
      <c r="D212" s="186">
        <v>1</v>
      </c>
      <c r="E212" s="179">
        <v>2</v>
      </c>
      <c r="F212" s="179">
        <v>3</v>
      </c>
      <c r="G212" s="1">
        <v>1</v>
      </c>
      <c r="H212" s="1">
        <v>2</v>
      </c>
      <c r="I212" s="157">
        <v>25</v>
      </c>
      <c r="J212" s="294">
        <v>31</v>
      </c>
      <c r="K212" s="1">
        <v>4</v>
      </c>
      <c r="L212" s="1">
        <v>1</v>
      </c>
      <c r="M212" s="1">
        <v>0</v>
      </c>
      <c r="N212">
        <v>1</v>
      </c>
      <c r="O212">
        <v>2</v>
      </c>
      <c r="P212">
        <v>1</v>
      </c>
      <c r="Q212" s="1">
        <v>2</v>
      </c>
      <c r="R212" s="3">
        <v>10000</v>
      </c>
      <c r="W212" s="1">
        <v>1</v>
      </c>
      <c r="X212" s="1">
        <f>AG212*card!$S$1*buff的资质计算!$E$3*Q212</f>
        <v>42.12</v>
      </c>
      <c r="Y212" s="153">
        <v>4</v>
      </c>
      <c r="Z212" s="153">
        <f>AG212*card!$W$1*buff的资质计算!$E$2*Q212</f>
        <v>3.888</v>
      </c>
      <c r="AA212" s="1">
        <v>9999</v>
      </c>
      <c r="AE212" s="183" t="s">
        <v>1415</v>
      </c>
      <c r="AG212">
        <f t="shared" si="11"/>
        <v>5.4</v>
      </c>
      <c r="AH212">
        <v>5.4</v>
      </c>
    </row>
    <row r="213" ht="15.75" spans="1:34">
      <c r="A213" s="153">
        <f ca="1">passive!W103</f>
        <v>210109</v>
      </c>
      <c r="B213" s="186" t="str">
        <f>passive!B103</f>
        <v>剑气典</v>
      </c>
      <c r="C213" s="291" t="s">
        <v>1414</v>
      </c>
      <c r="D213" s="186">
        <v>1</v>
      </c>
      <c r="E213" s="179">
        <v>2</v>
      </c>
      <c r="F213" s="179">
        <v>3</v>
      </c>
      <c r="G213" s="1">
        <v>1</v>
      </c>
      <c r="H213" s="1">
        <v>2</v>
      </c>
      <c r="I213" s="157">
        <v>25</v>
      </c>
      <c r="J213" s="294">
        <v>31</v>
      </c>
      <c r="K213" s="1">
        <v>4</v>
      </c>
      <c r="L213" s="1">
        <v>1</v>
      </c>
      <c r="M213" s="1">
        <v>0</v>
      </c>
      <c r="N213">
        <v>1</v>
      </c>
      <c r="O213">
        <v>2</v>
      </c>
      <c r="P213">
        <v>1</v>
      </c>
      <c r="Q213" s="1">
        <v>2</v>
      </c>
      <c r="R213" s="3">
        <v>10000</v>
      </c>
      <c r="W213" s="1">
        <v>1</v>
      </c>
      <c r="X213" s="1">
        <f>AG213*card!$S$1*buff的资质计算!$E$3*Q213</f>
        <v>44.46</v>
      </c>
      <c r="Y213" s="153">
        <v>4</v>
      </c>
      <c r="Z213" s="153">
        <f>AG213*card!$W$1*buff的资质计算!$E$2*Q213</f>
        <v>4.104</v>
      </c>
      <c r="AA213" s="1">
        <v>9999</v>
      </c>
      <c r="AE213" s="183" t="s">
        <v>1415</v>
      </c>
      <c r="AG213">
        <f t="shared" si="11"/>
        <v>5.7</v>
      </c>
      <c r="AH213">
        <v>5.7</v>
      </c>
    </row>
    <row r="214" ht="15.75" spans="1:34">
      <c r="A214" s="153">
        <f ca="1">passive!W104</f>
        <v>210110</v>
      </c>
      <c r="B214" s="186" t="str">
        <f>passive!B104</f>
        <v>剑气典</v>
      </c>
      <c r="C214" s="291" t="s">
        <v>1414</v>
      </c>
      <c r="D214" s="186">
        <v>1</v>
      </c>
      <c r="E214" s="179">
        <v>2</v>
      </c>
      <c r="F214" s="179">
        <v>3</v>
      </c>
      <c r="G214" s="1">
        <v>1</v>
      </c>
      <c r="H214" s="1">
        <v>2</v>
      </c>
      <c r="I214" s="157">
        <v>25</v>
      </c>
      <c r="J214" s="294">
        <v>31</v>
      </c>
      <c r="K214" s="1">
        <v>4</v>
      </c>
      <c r="L214" s="1">
        <v>1</v>
      </c>
      <c r="M214" s="1">
        <v>0</v>
      </c>
      <c r="N214">
        <v>1</v>
      </c>
      <c r="O214">
        <v>2</v>
      </c>
      <c r="P214">
        <v>1</v>
      </c>
      <c r="Q214" s="1">
        <v>2</v>
      </c>
      <c r="R214" s="3">
        <v>10000</v>
      </c>
      <c r="W214" s="1">
        <v>1</v>
      </c>
      <c r="X214" s="1">
        <f>AG214*card!$S$1*buff的资质计算!$E$3*Q214</f>
        <v>46.8</v>
      </c>
      <c r="Y214" s="153">
        <v>4</v>
      </c>
      <c r="Z214" s="153">
        <f>AG214*card!$W$1*buff的资质计算!$E$2*Q214</f>
        <v>4.32</v>
      </c>
      <c r="AA214" s="1">
        <v>9999</v>
      </c>
      <c r="AE214" s="183" t="s">
        <v>1415</v>
      </c>
      <c r="AG214">
        <f t="shared" si="11"/>
        <v>6</v>
      </c>
      <c r="AH214">
        <v>6</v>
      </c>
    </row>
    <row r="215" ht="15.75" spans="1:34">
      <c r="A215" s="153">
        <f ca="1">passive!W105</f>
        <v>210200</v>
      </c>
      <c r="B215" s="186" t="str">
        <f>passive!B105</f>
        <v>蜀山剑经</v>
      </c>
      <c r="C215" s="291" t="str">
        <f t="shared" ref="C215:C225" si="12">"增加剑法伤害"&amp;X215/100&amp;"%"</f>
        <v>增加剑法伤害10%</v>
      </c>
      <c r="D215">
        <v>2</v>
      </c>
      <c r="E215" s="179">
        <v>2</v>
      </c>
      <c r="F215" s="179">
        <v>3</v>
      </c>
      <c r="G215" s="1">
        <v>7</v>
      </c>
      <c r="H215" s="1">
        <v>1</v>
      </c>
      <c r="I215" s="1"/>
      <c r="J215" s="1"/>
      <c r="K215" s="1">
        <v>4</v>
      </c>
      <c r="L215" s="1">
        <v>1</v>
      </c>
      <c r="M215" s="1">
        <v>0</v>
      </c>
      <c r="N215" s="1">
        <v>1</v>
      </c>
      <c r="O215" s="1">
        <v>2</v>
      </c>
      <c r="P215" s="1">
        <v>1</v>
      </c>
      <c r="Q215" s="1">
        <v>1</v>
      </c>
      <c r="R215" s="3">
        <v>10000</v>
      </c>
      <c r="S215" s="1"/>
      <c r="T215" s="1"/>
      <c r="U215" s="1"/>
      <c r="W215" s="1">
        <v>2</v>
      </c>
      <c r="X215" s="1">
        <v>1000</v>
      </c>
      <c r="AA215" s="1">
        <v>9999</v>
      </c>
      <c r="AB215" s="3"/>
      <c r="AC215" s="1"/>
      <c r="AD215" s="1"/>
      <c r="AE215" s="183" t="s">
        <v>1416</v>
      </c>
      <c r="AG215" t="e">
        <f ca="1">OFFSET(buff的资质计算!$M$1,MATCH(buff!D215,buff的资质计算!G:G,0)-1,0)*X215/10000</f>
        <v>#VALUE!</v>
      </c>
      <c r="AH215" t="e">
        <f ca="1">AG215/OFFSET(buff的资质计算!$L$1,MATCH(buff!D215,buff的资质计算!G:G,0)-1,0)</f>
        <v>#VALUE!</v>
      </c>
    </row>
    <row r="216" ht="15.75" spans="1:34">
      <c r="A216" s="153">
        <f ca="1">passive!W106</f>
        <v>210201</v>
      </c>
      <c r="B216" s="186" t="str">
        <f>passive!B106</f>
        <v>蜀山剑经</v>
      </c>
      <c r="C216" s="291" t="str">
        <f t="shared" si="12"/>
        <v>增加剑法伤害11%</v>
      </c>
      <c r="D216">
        <v>2</v>
      </c>
      <c r="E216" s="179">
        <v>2</v>
      </c>
      <c r="F216" s="179">
        <v>3</v>
      </c>
      <c r="G216" s="1">
        <v>7</v>
      </c>
      <c r="H216" s="1">
        <v>1</v>
      </c>
      <c r="I216" s="1"/>
      <c r="J216" s="1"/>
      <c r="K216" s="1">
        <v>4</v>
      </c>
      <c r="L216" s="1">
        <v>1</v>
      </c>
      <c r="M216" s="1">
        <v>0</v>
      </c>
      <c r="N216" s="1">
        <v>1</v>
      </c>
      <c r="O216" s="1">
        <v>2</v>
      </c>
      <c r="P216" s="1">
        <v>1</v>
      </c>
      <c r="Q216" s="1">
        <v>1</v>
      </c>
      <c r="R216" s="3">
        <v>10000</v>
      </c>
      <c r="S216" s="1"/>
      <c r="T216" s="1"/>
      <c r="U216" s="1"/>
      <c r="W216" s="1">
        <v>2</v>
      </c>
      <c r="X216" s="1">
        <v>1100</v>
      </c>
      <c r="AA216" s="1">
        <v>9999</v>
      </c>
      <c r="AB216" s="3"/>
      <c r="AC216" s="1"/>
      <c r="AD216" s="1"/>
      <c r="AE216" s="183" t="s">
        <v>1416</v>
      </c>
      <c r="AG216" t="e">
        <f ca="1">OFFSET(buff的资质计算!$M$1,MATCH(buff!D216,buff的资质计算!G:G,0)-1,0)*X216/10000</f>
        <v>#VALUE!</v>
      </c>
      <c r="AH216" t="e">
        <f ca="1">AG216/OFFSET(buff的资质计算!$L$1,MATCH(buff!D216,buff的资质计算!G:G,0)-1,0)</f>
        <v>#VALUE!</v>
      </c>
    </row>
    <row r="217" ht="15.75" spans="1:34">
      <c r="A217" s="153">
        <f ca="1">passive!W107</f>
        <v>210202</v>
      </c>
      <c r="B217" s="186" t="str">
        <f>passive!B107</f>
        <v>蜀山剑经</v>
      </c>
      <c r="C217" s="291" t="str">
        <f t="shared" si="12"/>
        <v>增加剑法伤害12%</v>
      </c>
      <c r="D217">
        <v>2</v>
      </c>
      <c r="E217" s="179">
        <v>2</v>
      </c>
      <c r="F217" s="179">
        <v>3</v>
      </c>
      <c r="G217" s="1">
        <v>7</v>
      </c>
      <c r="H217" s="1">
        <v>1</v>
      </c>
      <c r="I217" s="1"/>
      <c r="J217" s="1"/>
      <c r="K217" s="1">
        <v>4</v>
      </c>
      <c r="L217" s="1">
        <v>1</v>
      </c>
      <c r="M217" s="1">
        <v>0</v>
      </c>
      <c r="N217" s="1">
        <v>1</v>
      </c>
      <c r="O217" s="1">
        <v>2</v>
      </c>
      <c r="P217" s="1">
        <v>1</v>
      </c>
      <c r="Q217" s="1">
        <v>1</v>
      </c>
      <c r="R217" s="3">
        <v>10000</v>
      </c>
      <c r="S217" s="1"/>
      <c r="T217" s="1"/>
      <c r="U217" s="1"/>
      <c r="W217" s="1">
        <v>2</v>
      </c>
      <c r="X217" s="1">
        <v>1200</v>
      </c>
      <c r="AA217" s="1">
        <v>9999</v>
      </c>
      <c r="AB217" s="3"/>
      <c r="AC217" s="1"/>
      <c r="AD217" s="1"/>
      <c r="AE217" s="183" t="s">
        <v>1416</v>
      </c>
      <c r="AG217" t="e">
        <f ca="1">OFFSET(buff的资质计算!$M$1,MATCH(buff!D217,buff的资质计算!G:G,0)-1,0)*X217/10000</f>
        <v>#VALUE!</v>
      </c>
      <c r="AH217" t="e">
        <f ca="1">AG217/OFFSET(buff的资质计算!$L$1,MATCH(buff!D217,buff的资质计算!G:G,0)-1,0)</f>
        <v>#VALUE!</v>
      </c>
    </row>
    <row r="218" ht="15.75" spans="1:34">
      <c r="A218" s="153">
        <f ca="1">passive!W108</f>
        <v>210203</v>
      </c>
      <c r="B218" s="186" t="str">
        <f>passive!B108</f>
        <v>蜀山剑经</v>
      </c>
      <c r="C218" s="291" t="str">
        <f t="shared" si="12"/>
        <v>增加剑法伤害13%</v>
      </c>
      <c r="D218">
        <v>2</v>
      </c>
      <c r="E218" s="179">
        <v>2</v>
      </c>
      <c r="F218" s="179">
        <v>3</v>
      </c>
      <c r="G218" s="1">
        <v>7</v>
      </c>
      <c r="H218" s="1">
        <v>1</v>
      </c>
      <c r="I218" s="1"/>
      <c r="J218" s="1"/>
      <c r="K218" s="1">
        <v>4</v>
      </c>
      <c r="L218" s="1">
        <v>1</v>
      </c>
      <c r="M218" s="1">
        <v>0</v>
      </c>
      <c r="N218" s="1">
        <v>1</v>
      </c>
      <c r="O218" s="1">
        <v>2</v>
      </c>
      <c r="P218" s="1">
        <v>1</v>
      </c>
      <c r="Q218" s="1">
        <v>1</v>
      </c>
      <c r="R218" s="3">
        <v>10000</v>
      </c>
      <c r="S218" s="1"/>
      <c r="T218" s="1"/>
      <c r="U218" s="1"/>
      <c r="W218" s="1">
        <v>2</v>
      </c>
      <c r="X218" s="1">
        <v>1300</v>
      </c>
      <c r="AA218" s="1">
        <v>9999</v>
      </c>
      <c r="AB218" s="3"/>
      <c r="AC218" s="1"/>
      <c r="AD218" s="1"/>
      <c r="AE218" s="183" t="s">
        <v>1416</v>
      </c>
      <c r="AG218" t="e">
        <f ca="1">OFFSET(buff的资质计算!$M$1,MATCH(buff!D218,buff的资质计算!G:G,0)-1,0)*X218/10000</f>
        <v>#VALUE!</v>
      </c>
      <c r="AH218" t="e">
        <f ca="1">AG218/OFFSET(buff的资质计算!$L$1,MATCH(buff!D218,buff的资质计算!G:G,0)-1,0)</f>
        <v>#VALUE!</v>
      </c>
    </row>
    <row r="219" ht="15.75" spans="1:34">
      <c r="A219" s="153">
        <f ca="1">passive!W109</f>
        <v>210204</v>
      </c>
      <c r="B219" s="186" t="str">
        <f>passive!B109</f>
        <v>蜀山剑经</v>
      </c>
      <c r="C219" s="291" t="str">
        <f t="shared" si="12"/>
        <v>增加剑法伤害14%</v>
      </c>
      <c r="D219">
        <v>2</v>
      </c>
      <c r="E219" s="179">
        <v>2</v>
      </c>
      <c r="F219" s="179">
        <v>3</v>
      </c>
      <c r="G219" s="1">
        <v>7</v>
      </c>
      <c r="H219" s="1">
        <v>1</v>
      </c>
      <c r="I219" s="1"/>
      <c r="J219" s="1"/>
      <c r="K219" s="1">
        <v>4</v>
      </c>
      <c r="L219" s="1">
        <v>1</v>
      </c>
      <c r="M219" s="1">
        <v>0</v>
      </c>
      <c r="N219" s="1">
        <v>1</v>
      </c>
      <c r="O219" s="1">
        <v>2</v>
      </c>
      <c r="P219" s="1">
        <v>1</v>
      </c>
      <c r="Q219" s="1">
        <v>1</v>
      </c>
      <c r="R219" s="3">
        <v>10000</v>
      </c>
      <c r="S219" s="1"/>
      <c r="T219" s="1"/>
      <c r="U219" s="1"/>
      <c r="W219" s="1">
        <v>2</v>
      </c>
      <c r="X219" s="1">
        <v>1400</v>
      </c>
      <c r="AA219" s="1">
        <v>9999</v>
      </c>
      <c r="AB219" s="3"/>
      <c r="AC219" s="1"/>
      <c r="AD219" s="1"/>
      <c r="AE219" s="183" t="s">
        <v>1416</v>
      </c>
      <c r="AG219" t="e">
        <f ca="1">OFFSET(buff的资质计算!$M$1,MATCH(buff!D219,buff的资质计算!G:G,0)-1,0)*X219/10000</f>
        <v>#VALUE!</v>
      </c>
      <c r="AH219" t="e">
        <f ca="1">AG219/OFFSET(buff的资质计算!$L$1,MATCH(buff!D219,buff的资质计算!G:G,0)-1,0)</f>
        <v>#VALUE!</v>
      </c>
    </row>
    <row r="220" ht="15.75" spans="1:34">
      <c r="A220" s="153">
        <f ca="1">passive!W110</f>
        <v>210205</v>
      </c>
      <c r="B220" s="186" t="str">
        <f>passive!B110</f>
        <v>蜀山剑经</v>
      </c>
      <c r="C220" s="291" t="str">
        <f t="shared" si="12"/>
        <v>增加剑法伤害15%</v>
      </c>
      <c r="D220">
        <v>2</v>
      </c>
      <c r="E220" s="179">
        <v>2</v>
      </c>
      <c r="F220" s="179">
        <v>3</v>
      </c>
      <c r="G220" s="1">
        <v>7</v>
      </c>
      <c r="H220" s="1">
        <v>1</v>
      </c>
      <c r="I220" s="1"/>
      <c r="J220" s="1"/>
      <c r="K220" s="1">
        <v>4</v>
      </c>
      <c r="L220" s="1">
        <v>1</v>
      </c>
      <c r="M220" s="1">
        <v>0</v>
      </c>
      <c r="N220" s="1">
        <v>1</v>
      </c>
      <c r="O220" s="1">
        <v>2</v>
      </c>
      <c r="P220" s="1">
        <v>1</v>
      </c>
      <c r="Q220" s="1">
        <v>1</v>
      </c>
      <c r="R220" s="3">
        <v>10000</v>
      </c>
      <c r="S220" s="1"/>
      <c r="T220" s="1"/>
      <c r="U220" s="1"/>
      <c r="W220" s="1">
        <v>2</v>
      </c>
      <c r="X220" s="1">
        <v>1500</v>
      </c>
      <c r="AA220" s="1">
        <v>9999</v>
      </c>
      <c r="AB220" s="3"/>
      <c r="AC220" s="1"/>
      <c r="AD220" s="1"/>
      <c r="AE220" s="183" t="s">
        <v>1416</v>
      </c>
      <c r="AG220" t="e">
        <f ca="1">OFFSET(buff的资质计算!$M$1,MATCH(buff!D220,buff的资质计算!G:G,0)-1,0)*X220/10000</f>
        <v>#VALUE!</v>
      </c>
      <c r="AH220" t="e">
        <f ca="1">AG220/OFFSET(buff的资质计算!$L$1,MATCH(buff!D220,buff的资质计算!G:G,0)-1,0)</f>
        <v>#VALUE!</v>
      </c>
    </row>
    <row r="221" ht="15.75" spans="1:34">
      <c r="A221" s="153">
        <f ca="1">passive!W111</f>
        <v>210206</v>
      </c>
      <c r="B221" s="186" t="str">
        <f>passive!B111</f>
        <v>蜀山剑经</v>
      </c>
      <c r="C221" s="291" t="str">
        <f t="shared" si="12"/>
        <v>增加剑法伤害16%</v>
      </c>
      <c r="D221">
        <v>2</v>
      </c>
      <c r="E221" s="179">
        <v>2</v>
      </c>
      <c r="F221" s="179">
        <v>3</v>
      </c>
      <c r="G221" s="1">
        <v>7</v>
      </c>
      <c r="H221" s="1">
        <v>1</v>
      </c>
      <c r="I221" s="1"/>
      <c r="J221" s="1"/>
      <c r="K221" s="1">
        <v>4</v>
      </c>
      <c r="L221" s="1">
        <v>1</v>
      </c>
      <c r="M221" s="1">
        <v>0</v>
      </c>
      <c r="N221" s="1">
        <v>1</v>
      </c>
      <c r="O221" s="1">
        <v>2</v>
      </c>
      <c r="P221" s="1">
        <v>1</v>
      </c>
      <c r="Q221" s="1">
        <v>1</v>
      </c>
      <c r="R221" s="3">
        <v>10000</v>
      </c>
      <c r="S221" s="1"/>
      <c r="T221" s="1"/>
      <c r="U221" s="1"/>
      <c r="W221" s="1">
        <v>2</v>
      </c>
      <c r="X221" s="1">
        <v>1600</v>
      </c>
      <c r="AA221" s="1">
        <v>9999</v>
      </c>
      <c r="AB221" s="3"/>
      <c r="AC221" s="1"/>
      <c r="AD221" s="1"/>
      <c r="AE221" s="183" t="s">
        <v>1416</v>
      </c>
      <c r="AG221" t="e">
        <f ca="1">OFFSET(buff的资质计算!$M$1,MATCH(buff!D221,buff的资质计算!G:G,0)-1,0)*X221/10000</f>
        <v>#VALUE!</v>
      </c>
      <c r="AH221" t="e">
        <f ca="1">AG221/OFFSET(buff的资质计算!$L$1,MATCH(buff!D221,buff的资质计算!G:G,0)-1,0)</f>
        <v>#VALUE!</v>
      </c>
    </row>
    <row r="222" ht="15.75" spans="1:34">
      <c r="A222" s="153">
        <f ca="1">passive!W112</f>
        <v>210207</v>
      </c>
      <c r="B222" s="186" t="str">
        <f>passive!B112</f>
        <v>蜀山剑经</v>
      </c>
      <c r="C222" s="291" t="str">
        <f t="shared" si="12"/>
        <v>增加剑法伤害17%</v>
      </c>
      <c r="D222">
        <v>2</v>
      </c>
      <c r="E222" s="179">
        <v>2</v>
      </c>
      <c r="F222" s="179">
        <v>3</v>
      </c>
      <c r="G222" s="1">
        <v>7</v>
      </c>
      <c r="H222" s="1">
        <v>1</v>
      </c>
      <c r="I222" s="1"/>
      <c r="J222" s="1"/>
      <c r="K222" s="1">
        <v>4</v>
      </c>
      <c r="L222" s="1">
        <v>1</v>
      </c>
      <c r="M222" s="1">
        <v>0</v>
      </c>
      <c r="N222" s="1">
        <v>1</v>
      </c>
      <c r="O222" s="1">
        <v>2</v>
      </c>
      <c r="P222" s="1">
        <v>1</v>
      </c>
      <c r="Q222" s="1">
        <v>1</v>
      </c>
      <c r="R222" s="3">
        <v>10000</v>
      </c>
      <c r="S222" s="1"/>
      <c r="T222" s="1"/>
      <c r="U222" s="1"/>
      <c r="W222" s="1">
        <v>2</v>
      </c>
      <c r="X222" s="1">
        <v>1700</v>
      </c>
      <c r="AA222" s="1">
        <v>9999</v>
      </c>
      <c r="AB222" s="3"/>
      <c r="AC222" s="1"/>
      <c r="AD222" s="1"/>
      <c r="AE222" s="183" t="s">
        <v>1416</v>
      </c>
      <c r="AG222" t="e">
        <f ca="1">OFFSET(buff的资质计算!$M$1,MATCH(buff!D222,buff的资质计算!G:G,0)-1,0)*X222/10000</f>
        <v>#VALUE!</v>
      </c>
      <c r="AH222" t="e">
        <f ca="1">AG222/OFFSET(buff的资质计算!$L$1,MATCH(buff!D222,buff的资质计算!G:G,0)-1,0)</f>
        <v>#VALUE!</v>
      </c>
    </row>
    <row r="223" ht="15.75" spans="1:34">
      <c r="A223" s="153">
        <f ca="1">passive!W113</f>
        <v>210208</v>
      </c>
      <c r="B223" s="186" t="str">
        <f>passive!B113</f>
        <v>蜀山剑经</v>
      </c>
      <c r="C223" s="291" t="str">
        <f t="shared" si="12"/>
        <v>增加剑法伤害18%</v>
      </c>
      <c r="D223">
        <v>2</v>
      </c>
      <c r="E223" s="179">
        <v>2</v>
      </c>
      <c r="F223" s="179">
        <v>3</v>
      </c>
      <c r="G223" s="1">
        <v>7</v>
      </c>
      <c r="H223" s="1">
        <v>1</v>
      </c>
      <c r="I223" s="1"/>
      <c r="J223" s="1"/>
      <c r="K223" s="1">
        <v>4</v>
      </c>
      <c r="L223" s="1">
        <v>1</v>
      </c>
      <c r="M223" s="1">
        <v>0</v>
      </c>
      <c r="N223" s="1">
        <v>1</v>
      </c>
      <c r="O223" s="1">
        <v>2</v>
      </c>
      <c r="P223" s="1">
        <v>1</v>
      </c>
      <c r="Q223" s="1">
        <v>1</v>
      </c>
      <c r="R223" s="3">
        <v>10000</v>
      </c>
      <c r="S223" s="1"/>
      <c r="T223" s="1"/>
      <c r="U223" s="1"/>
      <c r="W223" s="1">
        <v>2</v>
      </c>
      <c r="X223" s="1">
        <v>1800</v>
      </c>
      <c r="AA223" s="1">
        <v>9999</v>
      </c>
      <c r="AB223" s="3"/>
      <c r="AC223" s="1"/>
      <c r="AD223" s="1"/>
      <c r="AE223" s="183" t="s">
        <v>1416</v>
      </c>
      <c r="AG223" t="e">
        <f ca="1">OFFSET(buff的资质计算!$M$1,MATCH(buff!D223,buff的资质计算!G:G,0)-1,0)*X223/10000</f>
        <v>#VALUE!</v>
      </c>
      <c r="AH223" t="e">
        <f ca="1">AG223/OFFSET(buff的资质计算!$L$1,MATCH(buff!D223,buff的资质计算!G:G,0)-1,0)</f>
        <v>#VALUE!</v>
      </c>
    </row>
    <row r="224" ht="15.75" spans="1:34">
      <c r="A224" s="153">
        <f ca="1">passive!W114</f>
        <v>210209</v>
      </c>
      <c r="B224" s="186" t="str">
        <f>passive!B114</f>
        <v>蜀山剑经</v>
      </c>
      <c r="C224" s="291" t="str">
        <f t="shared" si="12"/>
        <v>增加剑法伤害19%</v>
      </c>
      <c r="D224">
        <v>2</v>
      </c>
      <c r="E224" s="179">
        <v>2</v>
      </c>
      <c r="F224" s="179">
        <v>3</v>
      </c>
      <c r="G224" s="1">
        <v>7</v>
      </c>
      <c r="H224" s="1">
        <v>1</v>
      </c>
      <c r="I224" s="1"/>
      <c r="J224" s="1"/>
      <c r="K224" s="1">
        <v>4</v>
      </c>
      <c r="L224" s="1">
        <v>1</v>
      </c>
      <c r="M224" s="1">
        <v>0</v>
      </c>
      <c r="N224" s="1">
        <v>1</v>
      </c>
      <c r="O224" s="1">
        <v>2</v>
      </c>
      <c r="P224" s="1">
        <v>1</v>
      </c>
      <c r="Q224" s="1">
        <v>1</v>
      </c>
      <c r="R224" s="3">
        <v>10000</v>
      </c>
      <c r="S224" s="1"/>
      <c r="T224" s="1"/>
      <c r="U224" s="1"/>
      <c r="W224" s="1">
        <v>2</v>
      </c>
      <c r="X224" s="1">
        <v>1900</v>
      </c>
      <c r="AA224" s="1">
        <v>9999</v>
      </c>
      <c r="AB224" s="3"/>
      <c r="AC224" s="1"/>
      <c r="AD224" s="1"/>
      <c r="AE224" s="183" t="s">
        <v>1416</v>
      </c>
      <c r="AG224" t="e">
        <f ca="1">OFFSET(buff的资质计算!$M$1,MATCH(buff!D224,buff的资质计算!G:G,0)-1,0)*X224/10000</f>
        <v>#VALUE!</v>
      </c>
      <c r="AH224" t="e">
        <f ca="1">AG224/OFFSET(buff的资质计算!$L$1,MATCH(buff!D224,buff的资质计算!G:G,0)-1,0)</f>
        <v>#VALUE!</v>
      </c>
    </row>
    <row r="225" ht="15.75" spans="1:34">
      <c r="A225" s="153">
        <f ca="1">passive!W115</f>
        <v>210210</v>
      </c>
      <c r="B225" s="186" t="str">
        <f>passive!B115</f>
        <v>蜀山剑经</v>
      </c>
      <c r="C225" s="291" t="str">
        <f t="shared" si="12"/>
        <v>增加剑法伤害20%</v>
      </c>
      <c r="D225">
        <v>2</v>
      </c>
      <c r="E225" s="179">
        <v>2</v>
      </c>
      <c r="F225" s="179">
        <v>3</v>
      </c>
      <c r="G225" s="1">
        <v>7</v>
      </c>
      <c r="H225" s="1">
        <v>1</v>
      </c>
      <c r="I225" s="1"/>
      <c r="J225" s="1"/>
      <c r="K225" s="1">
        <v>4</v>
      </c>
      <c r="L225" s="1">
        <v>1</v>
      </c>
      <c r="M225" s="1">
        <v>0</v>
      </c>
      <c r="N225" s="1">
        <v>1</v>
      </c>
      <c r="O225" s="1">
        <v>2</v>
      </c>
      <c r="P225" s="1">
        <v>1</v>
      </c>
      <c r="Q225" s="1">
        <v>1</v>
      </c>
      <c r="R225" s="3">
        <v>10000</v>
      </c>
      <c r="S225" s="1"/>
      <c r="T225" s="1"/>
      <c r="U225" s="1"/>
      <c r="W225" s="1">
        <v>2</v>
      </c>
      <c r="X225" s="1">
        <v>2000</v>
      </c>
      <c r="AA225" s="1">
        <v>9999</v>
      </c>
      <c r="AB225" s="3"/>
      <c r="AC225" s="1"/>
      <c r="AD225" s="1"/>
      <c r="AE225" s="183" t="s">
        <v>1416</v>
      </c>
      <c r="AG225" t="e">
        <f ca="1">OFFSET(buff的资质计算!$M$1,MATCH(buff!D225,buff的资质计算!G:G,0)-1,0)*X225/10000</f>
        <v>#VALUE!</v>
      </c>
      <c r="AH225" t="e">
        <f ca="1">AG225/OFFSET(buff的资质计算!$L$1,MATCH(buff!D225,buff的资质计算!G:G,0)-1,0)</f>
        <v>#VALUE!</v>
      </c>
    </row>
    <row r="226" spans="1:34">
      <c r="A226" s="153">
        <f ca="1">passive!W116</f>
        <v>210300</v>
      </c>
      <c r="B226" s="186" t="str">
        <f>passive!B116</f>
        <v>大衍剑抄</v>
      </c>
      <c r="C226" s="291" t="str">
        <f t="shared" ref="C226:C236" si="13">"回合开始时，"&amp;R226/100&amp;"%概率额外抽取"&amp;X226&amp;"招剑法"</f>
        <v>回合开始时，30%概率额外抽取1招剑法</v>
      </c>
      <c r="D226" s="186">
        <v>2</v>
      </c>
      <c r="E226" s="179">
        <v>2</v>
      </c>
      <c r="F226" s="186">
        <v>1</v>
      </c>
      <c r="G226" s="1">
        <v>10</v>
      </c>
      <c r="H226">
        <v>1</v>
      </c>
      <c r="K226" s="1">
        <v>1</v>
      </c>
      <c r="L226" s="1">
        <v>1</v>
      </c>
      <c r="M226">
        <v>1</v>
      </c>
      <c r="N226">
        <v>1</v>
      </c>
      <c r="O226">
        <v>2</v>
      </c>
      <c r="R226" s="3">
        <v>3000</v>
      </c>
      <c r="W226" s="1">
        <v>1</v>
      </c>
      <c r="X226" s="1">
        <v>1</v>
      </c>
      <c r="AA226" s="1">
        <v>9999</v>
      </c>
      <c r="AB226" s="3"/>
      <c r="AC226" s="1"/>
      <c r="AD226" s="1"/>
      <c r="AE226" s="107" t="s">
        <v>1417</v>
      </c>
      <c r="AG226" t="e">
        <f ca="1">OFFSET(buff的资质计算!$M$1,MATCH(buff!D226,buff的资质计算!G:G,0)-1,0)*R226*X226/10000</f>
        <v>#VALUE!</v>
      </c>
      <c r="AH226" t="e">
        <f ca="1">AG226/OFFSET(buff的资质计算!$L$1,MATCH(buff!D226,buff的资质计算!G:G,0)-1,0)</f>
        <v>#VALUE!</v>
      </c>
    </row>
    <row r="227" spans="1:34">
      <c r="A227" s="153">
        <f ca="1">passive!W117</f>
        <v>210301</v>
      </c>
      <c r="B227" s="186" t="str">
        <f>passive!B117</f>
        <v>大衍剑抄</v>
      </c>
      <c r="C227" s="291" t="str">
        <f t="shared" si="13"/>
        <v>回合开始时，32%概率额外抽取1招剑法</v>
      </c>
      <c r="D227" s="186">
        <v>2</v>
      </c>
      <c r="E227" s="179">
        <v>2</v>
      </c>
      <c r="F227" s="186">
        <v>1</v>
      </c>
      <c r="G227" s="1">
        <v>10</v>
      </c>
      <c r="H227">
        <v>1</v>
      </c>
      <c r="K227" s="1">
        <v>1</v>
      </c>
      <c r="L227" s="1">
        <v>1</v>
      </c>
      <c r="M227">
        <v>1</v>
      </c>
      <c r="N227">
        <v>1</v>
      </c>
      <c r="O227">
        <v>2</v>
      </c>
      <c r="R227" s="3">
        <v>3200</v>
      </c>
      <c r="W227" s="1">
        <v>1</v>
      </c>
      <c r="X227" s="1">
        <v>1</v>
      </c>
      <c r="AA227" s="1">
        <v>9999</v>
      </c>
      <c r="AB227" s="3"/>
      <c r="AC227" s="1"/>
      <c r="AD227" s="1"/>
      <c r="AE227" s="107" t="s">
        <v>1417</v>
      </c>
      <c r="AG227" t="e">
        <f ca="1">OFFSET(buff的资质计算!$M$1,MATCH(buff!D227,buff的资质计算!G:G,0)-1,0)*R227*X227/10000</f>
        <v>#VALUE!</v>
      </c>
      <c r="AH227" t="e">
        <f ca="1">AG227/OFFSET(buff的资质计算!$L$1,MATCH(buff!D227,buff的资质计算!G:G,0)-1,0)</f>
        <v>#VALUE!</v>
      </c>
    </row>
    <row r="228" spans="1:34">
      <c r="A228" s="153">
        <f ca="1">passive!W118</f>
        <v>210302</v>
      </c>
      <c r="B228" s="186" t="str">
        <f>passive!B118</f>
        <v>大衍剑抄</v>
      </c>
      <c r="C228" s="291" t="str">
        <f t="shared" si="13"/>
        <v>回合开始时，34%概率额外抽取1招剑法</v>
      </c>
      <c r="D228" s="186">
        <v>2</v>
      </c>
      <c r="E228" s="179">
        <v>2</v>
      </c>
      <c r="F228" s="186">
        <v>1</v>
      </c>
      <c r="G228" s="1">
        <v>10</v>
      </c>
      <c r="H228">
        <v>1</v>
      </c>
      <c r="K228" s="1">
        <v>1</v>
      </c>
      <c r="L228" s="1">
        <v>1</v>
      </c>
      <c r="M228">
        <v>1</v>
      </c>
      <c r="N228">
        <v>1</v>
      </c>
      <c r="O228">
        <v>2</v>
      </c>
      <c r="R228" s="3">
        <v>3400</v>
      </c>
      <c r="W228" s="1">
        <v>1</v>
      </c>
      <c r="X228" s="1">
        <v>1</v>
      </c>
      <c r="AA228" s="1">
        <v>9999</v>
      </c>
      <c r="AB228" s="3"/>
      <c r="AC228" s="1"/>
      <c r="AD228" s="1"/>
      <c r="AE228" s="107" t="s">
        <v>1417</v>
      </c>
      <c r="AG228" t="e">
        <f ca="1">OFFSET(buff的资质计算!$M$1,MATCH(buff!D228,buff的资质计算!G:G,0)-1,0)*R228*X228/10000</f>
        <v>#VALUE!</v>
      </c>
      <c r="AH228" t="e">
        <f ca="1">AG228/OFFSET(buff的资质计算!$L$1,MATCH(buff!D228,buff的资质计算!G:G,0)-1,0)</f>
        <v>#VALUE!</v>
      </c>
    </row>
    <row r="229" spans="1:34">
      <c r="A229" s="153">
        <f ca="1">passive!W119</f>
        <v>210303</v>
      </c>
      <c r="B229" s="186" t="str">
        <f>passive!B119</f>
        <v>大衍剑抄</v>
      </c>
      <c r="C229" s="291" t="str">
        <f t="shared" si="13"/>
        <v>回合开始时，36%概率额外抽取1招剑法</v>
      </c>
      <c r="D229" s="186">
        <v>2</v>
      </c>
      <c r="E229" s="179">
        <v>2</v>
      </c>
      <c r="F229" s="186">
        <v>1</v>
      </c>
      <c r="G229" s="1">
        <v>10</v>
      </c>
      <c r="H229">
        <v>1</v>
      </c>
      <c r="K229" s="1">
        <v>1</v>
      </c>
      <c r="L229" s="1">
        <v>1</v>
      </c>
      <c r="M229">
        <v>1</v>
      </c>
      <c r="N229">
        <v>1</v>
      </c>
      <c r="O229">
        <v>2</v>
      </c>
      <c r="R229" s="3">
        <v>3600</v>
      </c>
      <c r="W229" s="1">
        <v>1</v>
      </c>
      <c r="X229" s="1">
        <v>1</v>
      </c>
      <c r="AA229" s="1">
        <v>9999</v>
      </c>
      <c r="AB229" s="3"/>
      <c r="AC229" s="1"/>
      <c r="AD229" s="1"/>
      <c r="AE229" s="107" t="s">
        <v>1417</v>
      </c>
      <c r="AG229" t="e">
        <f ca="1">OFFSET(buff的资质计算!$M$1,MATCH(buff!D229,buff的资质计算!G:G,0)-1,0)*R229*X229/10000</f>
        <v>#VALUE!</v>
      </c>
      <c r="AH229" t="e">
        <f ca="1">AG229/OFFSET(buff的资质计算!$L$1,MATCH(buff!D229,buff的资质计算!G:G,0)-1,0)</f>
        <v>#VALUE!</v>
      </c>
    </row>
    <row r="230" spans="1:34">
      <c r="A230" s="153">
        <f ca="1">passive!W120</f>
        <v>210304</v>
      </c>
      <c r="B230" s="186" t="str">
        <f>passive!B120</f>
        <v>大衍剑抄</v>
      </c>
      <c r="C230" s="291" t="str">
        <f t="shared" si="13"/>
        <v>回合开始时，38%概率额外抽取1招剑法</v>
      </c>
      <c r="D230" s="186">
        <v>2</v>
      </c>
      <c r="E230" s="179">
        <v>2</v>
      </c>
      <c r="F230" s="186">
        <v>1</v>
      </c>
      <c r="G230" s="1">
        <v>10</v>
      </c>
      <c r="H230">
        <v>1</v>
      </c>
      <c r="K230" s="1">
        <v>1</v>
      </c>
      <c r="L230" s="1">
        <v>1</v>
      </c>
      <c r="M230">
        <v>1</v>
      </c>
      <c r="N230">
        <v>1</v>
      </c>
      <c r="O230">
        <v>2</v>
      </c>
      <c r="R230" s="3">
        <v>3800</v>
      </c>
      <c r="W230" s="1">
        <v>1</v>
      </c>
      <c r="X230" s="1">
        <v>1</v>
      </c>
      <c r="AA230" s="1">
        <v>9999</v>
      </c>
      <c r="AB230" s="3"/>
      <c r="AC230" s="1"/>
      <c r="AD230" s="1"/>
      <c r="AE230" s="107" t="s">
        <v>1417</v>
      </c>
      <c r="AG230" t="e">
        <f ca="1">OFFSET(buff的资质计算!$M$1,MATCH(buff!D230,buff的资质计算!G:G,0)-1,0)*R230*X230/10000</f>
        <v>#VALUE!</v>
      </c>
      <c r="AH230" t="e">
        <f ca="1">AG230/OFFSET(buff的资质计算!$L$1,MATCH(buff!D230,buff的资质计算!G:G,0)-1,0)</f>
        <v>#VALUE!</v>
      </c>
    </row>
    <row r="231" spans="1:34">
      <c r="A231" s="153">
        <f ca="1">passive!W121</f>
        <v>210305</v>
      </c>
      <c r="B231" s="186" t="str">
        <f>passive!B121</f>
        <v>大衍剑抄</v>
      </c>
      <c r="C231" s="291" t="str">
        <f t="shared" si="13"/>
        <v>回合开始时，40%概率额外抽取2招剑法</v>
      </c>
      <c r="D231" s="186">
        <v>2</v>
      </c>
      <c r="E231" s="179">
        <v>2</v>
      </c>
      <c r="F231" s="186">
        <v>1</v>
      </c>
      <c r="G231" s="1">
        <v>10</v>
      </c>
      <c r="H231">
        <v>1</v>
      </c>
      <c r="K231" s="1">
        <v>1</v>
      </c>
      <c r="L231" s="1">
        <v>1</v>
      </c>
      <c r="M231">
        <v>1</v>
      </c>
      <c r="N231">
        <v>1</v>
      </c>
      <c r="O231">
        <v>2</v>
      </c>
      <c r="R231" s="3">
        <v>4000</v>
      </c>
      <c r="W231" s="1">
        <v>1</v>
      </c>
      <c r="X231" s="1">
        <v>2</v>
      </c>
      <c r="AA231" s="1">
        <v>9999</v>
      </c>
      <c r="AB231" s="3"/>
      <c r="AC231" s="1"/>
      <c r="AD231" s="1"/>
      <c r="AE231" s="107" t="s">
        <v>1417</v>
      </c>
      <c r="AG231" t="e">
        <f ca="1">OFFSET(buff的资质计算!$M$1,MATCH(buff!D231,buff的资质计算!G:G,0)-1,0)*R231*X231/10000</f>
        <v>#VALUE!</v>
      </c>
      <c r="AH231" t="e">
        <f ca="1">AG231/OFFSET(buff的资质计算!$L$1,MATCH(buff!D231,buff的资质计算!G:G,0)-1,0)</f>
        <v>#VALUE!</v>
      </c>
    </row>
    <row r="232" spans="1:34">
      <c r="A232" s="153">
        <f ca="1">passive!W122</f>
        <v>210306</v>
      </c>
      <c r="B232" s="186" t="str">
        <f>passive!B122</f>
        <v>大衍剑抄</v>
      </c>
      <c r="C232" s="291" t="str">
        <f t="shared" si="13"/>
        <v>回合开始时，42%概率额外抽取2招剑法</v>
      </c>
      <c r="D232" s="186">
        <v>2</v>
      </c>
      <c r="E232" s="179">
        <v>2</v>
      </c>
      <c r="F232" s="186">
        <v>1</v>
      </c>
      <c r="G232" s="1">
        <v>10</v>
      </c>
      <c r="H232">
        <v>1</v>
      </c>
      <c r="K232" s="1">
        <v>1</v>
      </c>
      <c r="L232" s="1">
        <v>1</v>
      </c>
      <c r="M232">
        <v>1</v>
      </c>
      <c r="N232">
        <v>1</v>
      </c>
      <c r="O232">
        <v>2</v>
      </c>
      <c r="R232" s="3">
        <v>4200</v>
      </c>
      <c r="W232" s="1">
        <v>1</v>
      </c>
      <c r="X232" s="1">
        <v>2</v>
      </c>
      <c r="AA232" s="1">
        <v>9999</v>
      </c>
      <c r="AB232" s="3"/>
      <c r="AC232" s="1"/>
      <c r="AD232" s="1"/>
      <c r="AE232" s="107" t="s">
        <v>1417</v>
      </c>
      <c r="AG232" t="e">
        <f ca="1">OFFSET(buff的资质计算!$M$1,MATCH(buff!D232,buff的资质计算!G:G,0)-1,0)*R232*X232/10000</f>
        <v>#VALUE!</v>
      </c>
      <c r="AH232" t="e">
        <f ca="1">AG232/OFFSET(buff的资质计算!$L$1,MATCH(buff!D232,buff的资质计算!G:G,0)-1,0)</f>
        <v>#VALUE!</v>
      </c>
    </row>
    <row r="233" spans="1:34">
      <c r="A233" s="153">
        <f ca="1">passive!W123</f>
        <v>210307</v>
      </c>
      <c r="B233" s="186" t="str">
        <f>passive!B123</f>
        <v>大衍剑抄</v>
      </c>
      <c r="C233" s="291" t="str">
        <f t="shared" si="13"/>
        <v>回合开始时，44%概率额外抽取2招剑法</v>
      </c>
      <c r="D233" s="186">
        <v>2</v>
      </c>
      <c r="E233" s="179">
        <v>2</v>
      </c>
      <c r="F233" s="186">
        <v>1</v>
      </c>
      <c r="G233" s="1">
        <v>10</v>
      </c>
      <c r="H233">
        <v>1</v>
      </c>
      <c r="K233" s="1">
        <v>1</v>
      </c>
      <c r="L233" s="1">
        <v>1</v>
      </c>
      <c r="M233">
        <v>1</v>
      </c>
      <c r="N233">
        <v>1</v>
      </c>
      <c r="O233">
        <v>2</v>
      </c>
      <c r="R233" s="3">
        <v>4400</v>
      </c>
      <c r="W233" s="1">
        <v>1</v>
      </c>
      <c r="X233" s="1">
        <v>2</v>
      </c>
      <c r="AA233" s="1">
        <v>9999</v>
      </c>
      <c r="AB233" s="3"/>
      <c r="AC233" s="1"/>
      <c r="AD233" s="1"/>
      <c r="AE233" s="107" t="s">
        <v>1417</v>
      </c>
      <c r="AG233" t="e">
        <f ca="1">OFFSET(buff的资质计算!$M$1,MATCH(buff!D233,buff的资质计算!G:G,0)-1,0)*R233*X233/10000</f>
        <v>#VALUE!</v>
      </c>
      <c r="AH233" t="e">
        <f ca="1">AG233/OFFSET(buff的资质计算!$L$1,MATCH(buff!D233,buff的资质计算!G:G,0)-1,0)</f>
        <v>#VALUE!</v>
      </c>
    </row>
    <row r="234" spans="1:34">
      <c r="A234" s="153">
        <f ca="1">passive!W124</f>
        <v>210308</v>
      </c>
      <c r="B234" s="186" t="str">
        <f>passive!B124</f>
        <v>大衍剑抄</v>
      </c>
      <c r="C234" s="291" t="str">
        <f t="shared" si="13"/>
        <v>回合开始时，46%概率额外抽取2招剑法</v>
      </c>
      <c r="D234" s="186">
        <v>2</v>
      </c>
      <c r="E234" s="179">
        <v>2</v>
      </c>
      <c r="F234" s="186">
        <v>1</v>
      </c>
      <c r="G234" s="1">
        <v>10</v>
      </c>
      <c r="H234">
        <v>1</v>
      </c>
      <c r="K234" s="1">
        <v>1</v>
      </c>
      <c r="L234" s="1">
        <v>1</v>
      </c>
      <c r="M234">
        <v>1</v>
      </c>
      <c r="N234">
        <v>1</v>
      </c>
      <c r="O234">
        <v>2</v>
      </c>
      <c r="R234" s="3">
        <v>4600</v>
      </c>
      <c r="W234" s="1">
        <v>1</v>
      </c>
      <c r="X234" s="1">
        <v>2</v>
      </c>
      <c r="AA234" s="1">
        <v>9999</v>
      </c>
      <c r="AB234" s="3"/>
      <c r="AC234" s="1"/>
      <c r="AD234" s="1"/>
      <c r="AE234" s="107" t="s">
        <v>1417</v>
      </c>
      <c r="AG234" t="e">
        <f ca="1">OFFSET(buff的资质计算!$M$1,MATCH(buff!D234,buff的资质计算!G:G,0)-1,0)*R234*X234/10000</f>
        <v>#VALUE!</v>
      </c>
      <c r="AH234" t="e">
        <f ca="1">AG234/OFFSET(buff的资质计算!$L$1,MATCH(buff!D234,buff的资质计算!G:G,0)-1,0)</f>
        <v>#VALUE!</v>
      </c>
    </row>
    <row r="235" spans="1:34">
      <c r="A235" s="153">
        <f ca="1">passive!W125</f>
        <v>210309</v>
      </c>
      <c r="B235" s="186" t="str">
        <f>passive!B125</f>
        <v>大衍剑抄</v>
      </c>
      <c r="C235" s="291" t="str">
        <f t="shared" si="13"/>
        <v>回合开始时，48%概率额外抽取2招剑法</v>
      </c>
      <c r="D235" s="186">
        <v>2</v>
      </c>
      <c r="E235" s="179">
        <v>2</v>
      </c>
      <c r="F235" s="186">
        <v>1</v>
      </c>
      <c r="G235" s="1">
        <v>10</v>
      </c>
      <c r="H235">
        <v>1</v>
      </c>
      <c r="K235" s="1">
        <v>1</v>
      </c>
      <c r="L235" s="1">
        <v>1</v>
      </c>
      <c r="M235">
        <v>1</v>
      </c>
      <c r="N235">
        <v>1</v>
      </c>
      <c r="O235">
        <v>2</v>
      </c>
      <c r="R235" s="3">
        <v>4800</v>
      </c>
      <c r="W235" s="1">
        <v>1</v>
      </c>
      <c r="X235" s="1">
        <v>2</v>
      </c>
      <c r="AA235" s="1">
        <v>9999</v>
      </c>
      <c r="AB235" s="3"/>
      <c r="AC235" s="1"/>
      <c r="AD235" s="1"/>
      <c r="AE235" s="107" t="s">
        <v>1417</v>
      </c>
      <c r="AG235" t="e">
        <f ca="1">OFFSET(buff的资质计算!$M$1,MATCH(buff!D235,buff的资质计算!G:G,0)-1,0)*R235*X235/10000</f>
        <v>#VALUE!</v>
      </c>
      <c r="AH235" t="e">
        <f ca="1">AG235/OFFSET(buff的资质计算!$L$1,MATCH(buff!D235,buff的资质计算!G:G,0)-1,0)</f>
        <v>#VALUE!</v>
      </c>
    </row>
    <row r="236" spans="1:34">
      <c r="A236" s="153">
        <f ca="1">passive!W126</f>
        <v>210310</v>
      </c>
      <c r="B236" s="186" t="str">
        <f>passive!B126</f>
        <v>大衍剑抄</v>
      </c>
      <c r="C236" s="291" t="str">
        <f t="shared" si="13"/>
        <v>回合开始时，50%概率额外抽取3招剑法</v>
      </c>
      <c r="D236" s="186">
        <v>2</v>
      </c>
      <c r="E236" s="179">
        <v>2</v>
      </c>
      <c r="F236" s="186">
        <v>1</v>
      </c>
      <c r="G236" s="1">
        <v>10</v>
      </c>
      <c r="H236">
        <v>1</v>
      </c>
      <c r="K236" s="1">
        <v>1</v>
      </c>
      <c r="L236" s="1">
        <v>1</v>
      </c>
      <c r="M236">
        <v>1</v>
      </c>
      <c r="N236">
        <v>1</v>
      </c>
      <c r="O236">
        <v>2</v>
      </c>
      <c r="R236" s="3">
        <v>5000</v>
      </c>
      <c r="W236" s="1">
        <v>1</v>
      </c>
      <c r="X236" s="1">
        <v>3</v>
      </c>
      <c r="AA236" s="1">
        <v>9999</v>
      </c>
      <c r="AB236" s="3"/>
      <c r="AC236" s="1"/>
      <c r="AD236" s="1"/>
      <c r="AE236" s="107" t="s">
        <v>1417</v>
      </c>
      <c r="AG236" t="e">
        <f ca="1">OFFSET(buff的资质计算!$M$1,MATCH(buff!D236,buff的资质计算!G:G,0)-1,0)*R236*X236/10000</f>
        <v>#VALUE!</v>
      </c>
      <c r="AH236" t="e">
        <f ca="1">AG236/OFFSET(buff的资质计算!$L$1,MATCH(buff!D236,buff的资质计算!G:G,0)-1,0)</f>
        <v>#VALUE!</v>
      </c>
    </row>
    <row r="237" ht="27.75" spans="1:34">
      <c r="A237" s="153">
        <f ca="1">passive!W127</f>
        <v>210400</v>
      </c>
      <c r="B237" s="186" t="str">
        <f>passive!B127</f>
        <v>冲定仙诀</v>
      </c>
      <c r="C237" s="186" t="str">
        <f>"每回合有"&amp;passive!V127/100&amp;"%概率，使前"&amp;X237&amp;"张打出的剑法招式消耗减少1点"</f>
        <v>每回合有30%概率，使前1张打出的剑法招式消耗减少1点</v>
      </c>
      <c r="D237" s="186">
        <v>2</v>
      </c>
      <c r="E237" s="179">
        <v>2</v>
      </c>
      <c r="F237" s="179">
        <v>3</v>
      </c>
      <c r="G237" s="1">
        <v>19</v>
      </c>
      <c r="H237" s="1">
        <v>1</v>
      </c>
      <c r="I237" s="1"/>
      <c r="J237" s="1"/>
      <c r="K237" s="1">
        <v>6</v>
      </c>
      <c r="M237">
        <v>0</v>
      </c>
      <c r="N237" s="1">
        <v>2</v>
      </c>
      <c r="O237">
        <v>2</v>
      </c>
      <c r="Q237" s="1">
        <v>1</v>
      </c>
      <c r="R237" s="3">
        <v>10000</v>
      </c>
      <c r="W237" s="1">
        <v>1</v>
      </c>
      <c r="X237" s="1">
        <v>1</v>
      </c>
      <c r="AA237" s="1">
        <v>9999</v>
      </c>
      <c r="AE237" s="183" t="s">
        <v>1418</v>
      </c>
      <c r="AG237" t="e">
        <f ca="1">OFFSET(buff的资质计算!$M$1,MATCH(buff!D237,buff的资质计算!G:G,0)-1,0)*R237*X237/10000</f>
        <v>#VALUE!</v>
      </c>
      <c r="AH237" t="e">
        <f ca="1">AG237/OFFSET(buff的资质计算!$L$1,MATCH(buff!D237,buff的资质计算!G:G,0)-1,0)</f>
        <v>#VALUE!</v>
      </c>
    </row>
    <row r="238" ht="27.75" spans="1:34">
      <c r="A238" s="153">
        <f ca="1">passive!W128</f>
        <v>210401</v>
      </c>
      <c r="B238" s="186" t="str">
        <f>passive!B128</f>
        <v>冲定仙诀</v>
      </c>
      <c r="C238" s="186" t="str">
        <f>"每回合有"&amp;passive!V128/100&amp;"%概率，使前"&amp;X238&amp;"张打出的剑法招式消耗减少1点"</f>
        <v>每回合有32%概率，使前1张打出的剑法招式消耗减少1点</v>
      </c>
      <c r="D238" s="186">
        <v>2</v>
      </c>
      <c r="E238" s="179">
        <v>2</v>
      </c>
      <c r="F238" s="179">
        <v>3</v>
      </c>
      <c r="G238" s="1">
        <v>19</v>
      </c>
      <c r="H238" s="1">
        <v>1</v>
      </c>
      <c r="I238" s="1"/>
      <c r="J238" s="1"/>
      <c r="K238" s="1">
        <v>6</v>
      </c>
      <c r="M238">
        <v>0</v>
      </c>
      <c r="N238" s="1">
        <v>2</v>
      </c>
      <c r="O238">
        <v>2</v>
      </c>
      <c r="Q238" s="1">
        <v>1</v>
      </c>
      <c r="R238" s="3">
        <v>10000</v>
      </c>
      <c r="W238" s="1">
        <v>1</v>
      </c>
      <c r="X238" s="1">
        <v>1</v>
      </c>
      <c r="AA238" s="1">
        <v>9999</v>
      </c>
      <c r="AE238" s="183" t="s">
        <v>1418</v>
      </c>
      <c r="AG238" t="e">
        <f ca="1">OFFSET(buff的资质计算!$M$1,MATCH(buff!D238,buff的资质计算!G:G,0)-1,0)*R238*X238/10000</f>
        <v>#VALUE!</v>
      </c>
      <c r="AH238" t="e">
        <f ca="1">AG238/OFFSET(buff的资质计算!$L$1,MATCH(buff!D238,buff的资质计算!G:G,0)-1,0)</f>
        <v>#VALUE!</v>
      </c>
    </row>
    <row r="239" ht="27.75" spans="1:34">
      <c r="A239" s="153">
        <f ca="1">passive!W129</f>
        <v>210402</v>
      </c>
      <c r="B239" s="186" t="str">
        <f>passive!B129</f>
        <v>冲定仙诀</v>
      </c>
      <c r="C239" s="186" t="str">
        <f>"每回合有"&amp;passive!V129/100&amp;"%概率，使前"&amp;X239&amp;"张打出的剑法招式消耗减少1点"</f>
        <v>每回合有34%概率，使前1张打出的剑法招式消耗减少1点</v>
      </c>
      <c r="D239" s="186">
        <v>2</v>
      </c>
      <c r="E239" s="179">
        <v>2</v>
      </c>
      <c r="F239" s="179">
        <v>3</v>
      </c>
      <c r="G239" s="1">
        <v>19</v>
      </c>
      <c r="H239" s="1">
        <v>1</v>
      </c>
      <c r="I239" s="1"/>
      <c r="J239" s="1"/>
      <c r="K239" s="1">
        <v>6</v>
      </c>
      <c r="M239">
        <v>0</v>
      </c>
      <c r="N239" s="1">
        <v>2</v>
      </c>
      <c r="O239">
        <v>2</v>
      </c>
      <c r="Q239" s="1">
        <v>1</v>
      </c>
      <c r="R239" s="3">
        <v>10000</v>
      </c>
      <c r="W239" s="1">
        <v>1</v>
      </c>
      <c r="X239" s="1">
        <v>1</v>
      </c>
      <c r="AA239" s="1">
        <v>9999</v>
      </c>
      <c r="AE239" s="183" t="s">
        <v>1418</v>
      </c>
      <c r="AG239" t="e">
        <f ca="1">OFFSET(buff的资质计算!$M$1,MATCH(buff!D239,buff的资质计算!G:G,0)-1,0)*R239*X239/10000</f>
        <v>#VALUE!</v>
      </c>
      <c r="AH239" t="e">
        <f ca="1">AG239/OFFSET(buff的资质计算!$L$1,MATCH(buff!D239,buff的资质计算!G:G,0)-1,0)</f>
        <v>#VALUE!</v>
      </c>
    </row>
    <row r="240" ht="27.75" spans="1:34">
      <c r="A240" s="153">
        <f ca="1">passive!W130</f>
        <v>210403</v>
      </c>
      <c r="B240" s="186" t="str">
        <f>passive!B130</f>
        <v>冲定仙诀</v>
      </c>
      <c r="C240" s="186" t="str">
        <f>"每回合有"&amp;passive!V130/100&amp;"%概率，使前"&amp;X240&amp;"张打出的剑法招式消耗减少1点"</f>
        <v>每回合有36%概率，使前1张打出的剑法招式消耗减少1点</v>
      </c>
      <c r="D240" s="186">
        <v>2</v>
      </c>
      <c r="E240" s="179">
        <v>2</v>
      </c>
      <c r="F240" s="179">
        <v>3</v>
      </c>
      <c r="G240" s="1">
        <v>19</v>
      </c>
      <c r="H240" s="1">
        <v>1</v>
      </c>
      <c r="I240" s="1"/>
      <c r="J240" s="1"/>
      <c r="K240" s="1">
        <v>6</v>
      </c>
      <c r="M240">
        <v>0</v>
      </c>
      <c r="N240" s="1">
        <v>2</v>
      </c>
      <c r="O240">
        <v>2</v>
      </c>
      <c r="Q240" s="1">
        <v>1</v>
      </c>
      <c r="R240" s="3">
        <v>10000</v>
      </c>
      <c r="W240" s="1">
        <v>1</v>
      </c>
      <c r="X240" s="1">
        <v>1</v>
      </c>
      <c r="AA240" s="1">
        <v>9999</v>
      </c>
      <c r="AE240" s="183" t="s">
        <v>1418</v>
      </c>
      <c r="AG240" t="e">
        <f ca="1">OFFSET(buff的资质计算!$M$1,MATCH(buff!D240,buff的资质计算!G:G,0)-1,0)*R240*X240/10000</f>
        <v>#VALUE!</v>
      </c>
      <c r="AH240" t="e">
        <f ca="1">AG240/OFFSET(buff的资质计算!$L$1,MATCH(buff!D240,buff的资质计算!G:G,0)-1,0)</f>
        <v>#VALUE!</v>
      </c>
    </row>
    <row r="241" ht="27.75" spans="1:34">
      <c r="A241" s="153">
        <f ca="1">passive!W131</f>
        <v>210404</v>
      </c>
      <c r="B241" s="186" t="str">
        <f>passive!B131</f>
        <v>冲定仙诀</v>
      </c>
      <c r="C241" s="186" t="str">
        <f>"每回合有"&amp;passive!V131/100&amp;"%概率，使前"&amp;X241&amp;"张打出的剑法招式消耗减少1点"</f>
        <v>每回合有38%概率，使前1张打出的剑法招式消耗减少1点</v>
      </c>
      <c r="D241" s="186">
        <v>2</v>
      </c>
      <c r="E241" s="179">
        <v>2</v>
      </c>
      <c r="F241" s="179">
        <v>3</v>
      </c>
      <c r="G241" s="1">
        <v>19</v>
      </c>
      <c r="H241" s="1">
        <v>1</v>
      </c>
      <c r="I241" s="1"/>
      <c r="J241" s="1"/>
      <c r="K241" s="1">
        <v>6</v>
      </c>
      <c r="M241">
        <v>0</v>
      </c>
      <c r="N241" s="1">
        <v>2</v>
      </c>
      <c r="O241">
        <v>2</v>
      </c>
      <c r="Q241" s="1">
        <v>1</v>
      </c>
      <c r="R241" s="3">
        <v>10000</v>
      </c>
      <c r="W241" s="1">
        <v>1</v>
      </c>
      <c r="X241" s="1">
        <v>1</v>
      </c>
      <c r="AA241" s="1">
        <v>9999</v>
      </c>
      <c r="AE241" s="183" t="s">
        <v>1418</v>
      </c>
      <c r="AG241" t="e">
        <f ca="1">OFFSET(buff的资质计算!$M$1,MATCH(buff!D241,buff的资质计算!G:G,0)-1,0)*R241*X241/10000</f>
        <v>#VALUE!</v>
      </c>
      <c r="AH241" t="e">
        <f ca="1">AG241/OFFSET(buff的资质计算!$L$1,MATCH(buff!D241,buff的资质计算!G:G,0)-1,0)</f>
        <v>#VALUE!</v>
      </c>
    </row>
    <row r="242" ht="27.75" spans="1:34">
      <c r="A242" s="153">
        <f ca="1">passive!W132</f>
        <v>210405</v>
      </c>
      <c r="B242" s="186" t="str">
        <f>passive!B132</f>
        <v>冲定仙诀</v>
      </c>
      <c r="C242" s="186" t="str">
        <f>"每回合有"&amp;passive!V132/100&amp;"%概率，使前"&amp;X242&amp;"张打出的剑法招式消耗减少1点"</f>
        <v>每回合有40%概率，使前2张打出的剑法招式消耗减少1点</v>
      </c>
      <c r="D242" s="186">
        <v>2</v>
      </c>
      <c r="E242" s="179">
        <v>2</v>
      </c>
      <c r="F242" s="179">
        <v>3</v>
      </c>
      <c r="G242" s="1">
        <v>19</v>
      </c>
      <c r="H242" s="1">
        <v>1</v>
      </c>
      <c r="I242" s="1"/>
      <c r="J242" s="1"/>
      <c r="K242" s="1">
        <v>6</v>
      </c>
      <c r="M242">
        <v>0</v>
      </c>
      <c r="N242" s="1">
        <v>2</v>
      </c>
      <c r="O242">
        <v>2</v>
      </c>
      <c r="Q242" s="1">
        <v>1</v>
      </c>
      <c r="R242" s="3">
        <v>10000</v>
      </c>
      <c r="W242" s="1">
        <v>1</v>
      </c>
      <c r="X242" s="1">
        <v>2</v>
      </c>
      <c r="AA242" s="1">
        <v>9999</v>
      </c>
      <c r="AE242" s="183" t="s">
        <v>1418</v>
      </c>
      <c r="AG242" t="e">
        <f ca="1">OFFSET(buff的资质计算!$M$1,MATCH(buff!D242,buff的资质计算!G:G,0)-1,0)*R242*X242/10000</f>
        <v>#VALUE!</v>
      </c>
      <c r="AH242" t="e">
        <f ca="1">AG242/OFFSET(buff的资质计算!$L$1,MATCH(buff!D242,buff的资质计算!G:G,0)-1,0)</f>
        <v>#VALUE!</v>
      </c>
    </row>
    <row r="243" ht="27.75" spans="1:34">
      <c r="A243" s="153">
        <f ca="1">passive!W133</f>
        <v>210406</v>
      </c>
      <c r="B243" s="186" t="str">
        <f>passive!B133</f>
        <v>冲定仙诀</v>
      </c>
      <c r="C243" s="186" t="str">
        <f>"每回合有"&amp;passive!V133/100&amp;"%概率，使前"&amp;X243&amp;"张打出的剑法招式消耗减少1点"</f>
        <v>每回合有42%概率，使前2张打出的剑法招式消耗减少1点</v>
      </c>
      <c r="D243" s="186">
        <v>2</v>
      </c>
      <c r="E243" s="179">
        <v>2</v>
      </c>
      <c r="F243" s="179">
        <v>3</v>
      </c>
      <c r="G243" s="1">
        <v>19</v>
      </c>
      <c r="H243" s="1">
        <v>1</v>
      </c>
      <c r="I243" s="1"/>
      <c r="J243" s="1"/>
      <c r="K243" s="1">
        <v>6</v>
      </c>
      <c r="M243">
        <v>0</v>
      </c>
      <c r="N243" s="1">
        <v>2</v>
      </c>
      <c r="O243">
        <v>2</v>
      </c>
      <c r="Q243" s="1">
        <v>1</v>
      </c>
      <c r="R243" s="3">
        <v>10000</v>
      </c>
      <c r="W243" s="1">
        <v>1</v>
      </c>
      <c r="X243" s="1">
        <v>2</v>
      </c>
      <c r="AA243" s="1">
        <v>9999</v>
      </c>
      <c r="AE243" s="183" t="s">
        <v>1418</v>
      </c>
      <c r="AG243" t="e">
        <f ca="1">OFFSET(buff的资质计算!$M$1,MATCH(buff!D243,buff的资质计算!G:G,0)-1,0)*R243*X243/10000</f>
        <v>#VALUE!</v>
      </c>
      <c r="AH243" t="e">
        <f ca="1">AG243/OFFSET(buff的资质计算!$L$1,MATCH(buff!D243,buff的资质计算!G:G,0)-1,0)</f>
        <v>#VALUE!</v>
      </c>
    </row>
    <row r="244" ht="27.75" spans="1:34">
      <c r="A244" s="153">
        <f ca="1">passive!W134</f>
        <v>210407</v>
      </c>
      <c r="B244" s="186" t="str">
        <f>passive!B134</f>
        <v>冲定仙诀</v>
      </c>
      <c r="C244" s="186" t="str">
        <f>"每回合有"&amp;passive!V134/100&amp;"%概率，使前"&amp;X244&amp;"张打出的剑法招式消耗减少1点"</f>
        <v>每回合有44%概率，使前2张打出的剑法招式消耗减少1点</v>
      </c>
      <c r="D244" s="186">
        <v>2</v>
      </c>
      <c r="E244" s="179">
        <v>2</v>
      </c>
      <c r="F244" s="179">
        <v>3</v>
      </c>
      <c r="G244" s="1">
        <v>19</v>
      </c>
      <c r="H244" s="1">
        <v>1</v>
      </c>
      <c r="I244" s="1"/>
      <c r="J244" s="1"/>
      <c r="K244" s="1">
        <v>6</v>
      </c>
      <c r="M244">
        <v>0</v>
      </c>
      <c r="N244" s="1">
        <v>2</v>
      </c>
      <c r="O244">
        <v>2</v>
      </c>
      <c r="Q244" s="1">
        <v>1</v>
      </c>
      <c r="R244" s="3">
        <v>10000</v>
      </c>
      <c r="W244" s="1">
        <v>1</v>
      </c>
      <c r="X244" s="1">
        <v>2</v>
      </c>
      <c r="AA244" s="1">
        <v>9999</v>
      </c>
      <c r="AE244" s="183" t="s">
        <v>1418</v>
      </c>
      <c r="AG244" t="e">
        <f ca="1">OFFSET(buff的资质计算!$M$1,MATCH(buff!D244,buff的资质计算!G:G,0)-1,0)*R244*X244/10000</f>
        <v>#VALUE!</v>
      </c>
      <c r="AH244" t="e">
        <f ca="1">AG244/OFFSET(buff的资质计算!$L$1,MATCH(buff!D244,buff的资质计算!G:G,0)-1,0)</f>
        <v>#VALUE!</v>
      </c>
    </row>
    <row r="245" ht="27.75" spans="1:34">
      <c r="A245" s="153">
        <f ca="1">passive!W135</f>
        <v>210408</v>
      </c>
      <c r="B245" s="186" t="str">
        <f>passive!B135</f>
        <v>冲定仙诀</v>
      </c>
      <c r="C245" s="186" t="str">
        <f>"每回合有"&amp;passive!V135/100&amp;"%概率，使前"&amp;X245&amp;"张打出的剑法招式消耗减少1点"</f>
        <v>每回合有46%概率，使前2张打出的剑法招式消耗减少1点</v>
      </c>
      <c r="D245" s="186">
        <v>2</v>
      </c>
      <c r="E245" s="179">
        <v>2</v>
      </c>
      <c r="F245" s="179">
        <v>3</v>
      </c>
      <c r="G245" s="1">
        <v>19</v>
      </c>
      <c r="H245" s="1">
        <v>1</v>
      </c>
      <c r="I245" s="1"/>
      <c r="J245" s="1"/>
      <c r="K245" s="1">
        <v>6</v>
      </c>
      <c r="M245">
        <v>0</v>
      </c>
      <c r="N245" s="1">
        <v>2</v>
      </c>
      <c r="O245">
        <v>2</v>
      </c>
      <c r="Q245" s="1">
        <v>1</v>
      </c>
      <c r="R245" s="3">
        <v>10000</v>
      </c>
      <c r="W245" s="1">
        <v>1</v>
      </c>
      <c r="X245" s="1">
        <v>2</v>
      </c>
      <c r="AA245" s="1">
        <v>9999</v>
      </c>
      <c r="AE245" s="183" t="s">
        <v>1418</v>
      </c>
      <c r="AG245" t="e">
        <f ca="1">OFFSET(buff的资质计算!$M$1,MATCH(buff!D245,buff的资质计算!G:G,0)-1,0)*R245*X245/10000</f>
        <v>#VALUE!</v>
      </c>
      <c r="AH245" t="e">
        <f ca="1">AG245/OFFSET(buff的资质计算!$L$1,MATCH(buff!D245,buff的资质计算!G:G,0)-1,0)</f>
        <v>#VALUE!</v>
      </c>
    </row>
    <row r="246" ht="27.75" spans="1:34">
      <c r="A246" s="153">
        <f ca="1">passive!W136</f>
        <v>210409</v>
      </c>
      <c r="B246" s="186" t="str">
        <f>passive!B136</f>
        <v>冲定仙诀</v>
      </c>
      <c r="C246" s="186" t="str">
        <f>"每回合有"&amp;passive!V136/100&amp;"%概率，使前"&amp;X246&amp;"张打出的剑法招式消耗减少1点"</f>
        <v>每回合有48%概率，使前2张打出的剑法招式消耗减少1点</v>
      </c>
      <c r="D246" s="186">
        <v>2</v>
      </c>
      <c r="E246" s="179">
        <v>2</v>
      </c>
      <c r="F246" s="179">
        <v>3</v>
      </c>
      <c r="G246" s="1">
        <v>19</v>
      </c>
      <c r="H246" s="1">
        <v>1</v>
      </c>
      <c r="I246" s="1"/>
      <c r="J246" s="1"/>
      <c r="K246" s="1">
        <v>6</v>
      </c>
      <c r="M246">
        <v>0</v>
      </c>
      <c r="N246" s="1">
        <v>2</v>
      </c>
      <c r="O246">
        <v>2</v>
      </c>
      <c r="Q246" s="1">
        <v>1</v>
      </c>
      <c r="R246" s="3">
        <v>10000</v>
      </c>
      <c r="W246" s="1">
        <v>1</v>
      </c>
      <c r="X246" s="1">
        <v>2</v>
      </c>
      <c r="AA246" s="1">
        <v>9999</v>
      </c>
      <c r="AE246" s="183" t="s">
        <v>1418</v>
      </c>
      <c r="AG246" t="e">
        <f ca="1">OFFSET(buff的资质计算!$M$1,MATCH(buff!D246,buff的资质计算!G:G,0)-1,0)*R246*X246/10000</f>
        <v>#VALUE!</v>
      </c>
      <c r="AH246" t="e">
        <f ca="1">AG246/OFFSET(buff的资质计算!$L$1,MATCH(buff!D246,buff的资质计算!G:G,0)-1,0)</f>
        <v>#VALUE!</v>
      </c>
    </row>
    <row r="247" ht="27.75" spans="1:34">
      <c r="A247" s="153">
        <f ca="1">passive!W137</f>
        <v>210410</v>
      </c>
      <c r="B247" s="186" t="str">
        <f>passive!B137</f>
        <v>冲定仙诀</v>
      </c>
      <c r="C247" s="186" t="str">
        <f>"每回合有"&amp;passive!V137/100&amp;"%概率，使前"&amp;X247&amp;"张打出的剑法招式消耗减少1点"</f>
        <v>每回合有50%概率，使前3张打出的剑法招式消耗减少1点</v>
      </c>
      <c r="D247" s="186">
        <v>2</v>
      </c>
      <c r="E247" s="179">
        <v>2</v>
      </c>
      <c r="F247" s="179">
        <v>3</v>
      </c>
      <c r="G247" s="1">
        <v>19</v>
      </c>
      <c r="H247" s="1">
        <v>1</v>
      </c>
      <c r="I247" s="1"/>
      <c r="J247" s="1"/>
      <c r="K247" s="1">
        <v>6</v>
      </c>
      <c r="M247">
        <v>0</v>
      </c>
      <c r="N247" s="1">
        <v>2</v>
      </c>
      <c r="O247">
        <v>2</v>
      </c>
      <c r="Q247" s="1">
        <v>1</v>
      </c>
      <c r="R247" s="3">
        <v>10000</v>
      </c>
      <c r="W247" s="1">
        <v>1</v>
      </c>
      <c r="X247" s="1">
        <v>3</v>
      </c>
      <c r="AA247" s="1">
        <v>9999</v>
      </c>
      <c r="AE247" s="183" t="s">
        <v>1418</v>
      </c>
      <c r="AG247" t="e">
        <f ca="1">OFFSET(buff的资质计算!$M$1,MATCH(buff!D247,buff的资质计算!G:G,0)-1,0)*R247*X247/10000</f>
        <v>#VALUE!</v>
      </c>
      <c r="AH247" t="e">
        <f ca="1">AG247/OFFSET(buff的资质计算!$L$1,MATCH(buff!D247,buff的资质计算!G:G,0)-1,0)</f>
        <v>#VALUE!</v>
      </c>
    </row>
    <row r="248" ht="15.75" spans="1:34">
      <c r="A248" s="153">
        <f ca="1">passive!W138</f>
        <v>220400</v>
      </c>
      <c r="B248" s="177" t="s">
        <v>1419</v>
      </c>
      <c r="C248" s="291" t="s">
        <v>1420</v>
      </c>
      <c r="D248" s="186">
        <v>4</v>
      </c>
      <c r="E248" s="179">
        <v>2</v>
      </c>
      <c r="F248" s="179">
        <v>3</v>
      </c>
      <c r="G248" s="1">
        <v>1</v>
      </c>
      <c r="H248" s="1">
        <v>2</v>
      </c>
      <c r="I248" s="157">
        <v>25</v>
      </c>
      <c r="J248" s="294">
        <v>31</v>
      </c>
      <c r="K248" s="1">
        <v>1</v>
      </c>
      <c r="L248" s="1">
        <v>1</v>
      </c>
      <c r="M248" s="1">
        <v>0</v>
      </c>
      <c r="Q248" s="1"/>
      <c r="R248" s="3">
        <v>10000</v>
      </c>
      <c r="W248" s="1">
        <v>1</v>
      </c>
      <c r="X248" s="1">
        <f>AG248*card!$S$1*buff的资质计算!$E$3*$AI$1</f>
        <v>70.2</v>
      </c>
      <c r="Y248" s="153">
        <v>4</v>
      </c>
      <c r="Z248" s="153">
        <f>AG248*card!$W$1*buff的资质计算!$E$2*$AI$1</f>
        <v>6.48</v>
      </c>
      <c r="AA248" s="1">
        <v>9999</v>
      </c>
      <c r="AE248" s="183" t="s">
        <v>1415</v>
      </c>
      <c r="AG248">
        <f t="shared" ref="AG248:AG258" si="14">AH248*1</f>
        <v>6</v>
      </c>
      <c r="AH248">
        <v>6</v>
      </c>
    </row>
    <row r="249" ht="15.75" spans="1:34">
      <c r="A249" s="153">
        <f ca="1">passive!W139</f>
        <v>220401</v>
      </c>
      <c r="B249" s="177" t="s">
        <v>1419</v>
      </c>
      <c r="C249" s="291" t="s">
        <v>1420</v>
      </c>
      <c r="D249" s="186">
        <v>4</v>
      </c>
      <c r="E249" s="179">
        <v>2</v>
      </c>
      <c r="F249" s="179">
        <v>3</v>
      </c>
      <c r="G249" s="1">
        <v>1</v>
      </c>
      <c r="H249" s="1">
        <v>2</v>
      </c>
      <c r="I249" s="157">
        <v>25</v>
      </c>
      <c r="J249" s="294">
        <v>31</v>
      </c>
      <c r="K249" s="1">
        <v>1</v>
      </c>
      <c r="L249" s="1">
        <v>1</v>
      </c>
      <c r="M249" s="1">
        <v>0</v>
      </c>
      <c r="Q249" s="1"/>
      <c r="R249" s="3">
        <v>10000</v>
      </c>
      <c r="W249" s="1">
        <v>1</v>
      </c>
      <c r="X249" s="1">
        <f>AG249*card!$S$1*buff的资质计算!$E$3*$AI$1</f>
        <v>77.22</v>
      </c>
      <c r="Y249" s="153">
        <v>4</v>
      </c>
      <c r="Z249" s="153">
        <f>AG249*card!$W$1*buff的资质计算!$E$2*$AI$1</f>
        <v>7.128</v>
      </c>
      <c r="AA249" s="1">
        <v>9999</v>
      </c>
      <c r="AE249" s="183" t="s">
        <v>1415</v>
      </c>
      <c r="AG249">
        <f t="shared" si="14"/>
        <v>6.6</v>
      </c>
      <c r="AH249">
        <v>6.6</v>
      </c>
    </row>
    <row r="250" ht="15.75" spans="1:34">
      <c r="A250" s="153">
        <f ca="1">passive!W140</f>
        <v>220402</v>
      </c>
      <c r="B250" s="177" t="s">
        <v>1419</v>
      </c>
      <c r="C250" s="291" t="s">
        <v>1420</v>
      </c>
      <c r="D250" s="186">
        <v>4</v>
      </c>
      <c r="E250" s="179">
        <v>2</v>
      </c>
      <c r="F250" s="179">
        <v>3</v>
      </c>
      <c r="G250" s="1">
        <v>1</v>
      </c>
      <c r="H250" s="1">
        <v>2</v>
      </c>
      <c r="I250" s="157">
        <v>25</v>
      </c>
      <c r="J250" s="294">
        <v>31</v>
      </c>
      <c r="K250" s="1">
        <v>1</v>
      </c>
      <c r="L250" s="1">
        <v>1</v>
      </c>
      <c r="M250" s="1">
        <v>0</v>
      </c>
      <c r="Q250" s="1"/>
      <c r="R250" s="3">
        <v>10000</v>
      </c>
      <c r="W250" s="1">
        <v>1</v>
      </c>
      <c r="X250" s="1">
        <f>AG250*card!$S$1*buff的资质计算!$E$3*$AI$1</f>
        <v>84.24</v>
      </c>
      <c r="Y250" s="153">
        <v>4</v>
      </c>
      <c r="Z250" s="153">
        <f>AG250*card!$W$1*buff的资质计算!$E$2*$AI$1</f>
        <v>7.776</v>
      </c>
      <c r="AA250" s="1">
        <v>9999</v>
      </c>
      <c r="AE250" s="183" t="s">
        <v>1415</v>
      </c>
      <c r="AG250">
        <f t="shared" si="14"/>
        <v>7.2</v>
      </c>
      <c r="AH250">
        <v>7.2</v>
      </c>
    </row>
    <row r="251" ht="15.75" spans="1:34">
      <c r="A251" s="153">
        <f ca="1">passive!W141</f>
        <v>220403</v>
      </c>
      <c r="B251" s="177" t="s">
        <v>1419</v>
      </c>
      <c r="C251" s="291" t="s">
        <v>1420</v>
      </c>
      <c r="D251" s="186">
        <v>4</v>
      </c>
      <c r="E251" s="179">
        <v>2</v>
      </c>
      <c r="F251" s="179">
        <v>3</v>
      </c>
      <c r="G251" s="1">
        <v>1</v>
      </c>
      <c r="H251" s="1">
        <v>2</v>
      </c>
      <c r="I251" s="157">
        <v>25</v>
      </c>
      <c r="J251" s="294">
        <v>31</v>
      </c>
      <c r="K251" s="1">
        <v>1</v>
      </c>
      <c r="L251" s="1">
        <v>1</v>
      </c>
      <c r="M251" s="1">
        <v>0</v>
      </c>
      <c r="Q251" s="1"/>
      <c r="R251" s="3">
        <v>10000</v>
      </c>
      <c r="W251" s="1">
        <v>1</v>
      </c>
      <c r="X251" s="1">
        <f>AG251*card!$S$1*buff的资质计算!$E$3*$AI$1</f>
        <v>91.26</v>
      </c>
      <c r="Y251" s="153">
        <v>4</v>
      </c>
      <c r="Z251" s="153">
        <f>AG251*card!$W$1*buff的资质计算!$E$2*$AI$1</f>
        <v>8.424</v>
      </c>
      <c r="AA251" s="1">
        <v>9999</v>
      </c>
      <c r="AE251" s="183" t="s">
        <v>1415</v>
      </c>
      <c r="AG251">
        <f t="shared" si="14"/>
        <v>7.8</v>
      </c>
      <c r="AH251">
        <v>7.8</v>
      </c>
    </row>
    <row r="252" ht="15.75" spans="1:34">
      <c r="A252" s="153">
        <f ca="1">passive!W142</f>
        <v>220404</v>
      </c>
      <c r="B252" s="177" t="s">
        <v>1419</v>
      </c>
      <c r="C252" s="291" t="s">
        <v>1420</v>
      </c>
      <c r="D252" s="186">
        <v>4</v>
      </c>
      <c r="E252" s="179">
        <v>2</v>
      </c>
      <c r="F252" s="179">
        <v>3</v>
      </c>
      <c r="G252" s="1">
        <v>1</v>
      </c>
      <c r="H252" s="1">
        <v>2</v>
      </c>
      <c r="I252" s="157">
        <v>25</v>
      </c>
      <c r="J252" s="294">
        <v>31</v>
      </c>
      <c r="K252" s="1">
        <v>1</v>
      </c>
      <c r="L252" s="1">
        <v>1</v>
      </c>
      <c r="M252" s="1">
        <v>0</v>
      </c>
      <c r="Q252" s="1"/>
      <c r="R252" s="3">
        <v>10000</v>
      </c>
      <c r="W252" s="1">
        <v>1</v>
      </c>
      <c r="X252" s="1">
        <f>AG252*card!$S$1*buff的资质计算!$E$3*$AI$1</f>
        <v>98.28</v>
      </c>
      <c r="Y252" s="153">
        <v>4</v>
      </c>
      <c r="Z252" s="153">
        <f>AG252*card!$W$1*buff的资质计算!$E$2*$AI$1</f>
        <v>9.072</v>
      </c>
      <c r="AA252" s="1">
        <v>9999</v>
      </c>
      <c r="AE252" s="183" t="s">
        <v>1415</v>
      </c>
      <c r="AG252">
        <f t="shared" si="14"/>
        <v>8.4</v>
      </c>
      <c r="AH252">
        <v>8.4</v>
      </c>
    </row>
    <row r="253" ht="15.75" spans="1:34">
      <c r="A253" s="153">
        <f ca="1">passive!W143</f>
        <v>220405</v>
      </c>
      <c r="B253" s="177" t="s">
        <v>1419</v>
      </c>
      <c r="C253" s="291" t="s">
        <v>1420</v>
      </c>
      <c r="D253" s="186">
        <v>4</v>
      </c>
      <c r="E253" s="179">
        <v>2</v>
      </c>
      <c r="F253" s="179">
        <v>3</v>
      </c>
      <c r="G253" s="1">
        <v>1</v>
      </c>
      <c r="H253" s="1">
        <v>2</v>
      </c>
      <c r="I253" s="157">
        <v>25</v>
      </c>
      <c r="J253" s="294">
        <v>31</v>
      </c>
      <c r="K253" s="1">
        <v>1</v>
      </c>
      <c r="L253" s="1">
        <v>1</v>
      </c>
      <c r="M253" s="1">
        <v>0</v>
      </c>
      <c r="Q253" s="1"/>
      <c r="R253" s="3">
        <v>10000</v>
      </c>
      <c r="W253" s="1">
        <v>1</v>
      </c>
      <c r="X253" s="1">
        <f>AG253*card!$S$1*buff的资质计算!$E$3*$AI$1</f>
        <v>105.3</v>
      </c>
      <c r="Y253" s="153">
        <v>4</v>
      </c>
      <c r="Z253" s="153">
        <f>AG253*card!$W$1*buff的资质计算!$E$2*$AI$1</f>
        <v>9.72</v>
      </c>
      <c r="AA253" s="1">
        <v>9999</v>
      </c>
      <c r="AE253" s="183" t="s">
        <v>1415</v>
      </c>
      <c r="AG253">
        <f t="shared" si="14"/>
        <v>9</v>
      </c>
      <c r="AH253">
        <v>9</v>
      </c>
    </row>
    <row r="254" ht="15.75" spans="1:34">
      <c r="A254" s="153">
        <f ca="1">passive!W144</f>
        <v>220406</v>
      </c>
      <c r="B254" s="177" t="s">
        <v>1419</v>
      </c>
      <c r="C254" s="291" t="s">
        <v>1420</v>
      </c>
      <c r="D254" s="186">
        <v>4</v>
      </c>
      <c r="E254" s="179">
        <v>2</v>
      </c>
      <c r="F254" s="179">
        <v>3</v>
      </c>
      <c r="G254" s="1">
        <v>1</v>
      </c>
      <c r="H254" s="1">
        <v>2</v>
      </c>
      <c r="I254" s="157">
        <v>25</v>
      </c>
      <c r="J254" s="294">
        <v>31</v>
      </c>
      <c r="K254" s="1">
        <v>1</v>
      </c>
      <c r="L254" s="1">
        <v>1</v>
      </c>
      <c r="M254" s="1">
        <v>0</v>
      </c>
      <c r="Q254" s="1"/>
      <c r="R254" s="3">
        <v>10000</v>
      </c>
      <c r="W254" s="1">
        <v>1</v>
      </c>
      <c r="X254" s="1">
        <f>AG254*card!$S$1*buff的资质计算!$E$3*$AI$1</f>
        <v>112.32</v>
      </c>
      <c r="Y254" s="153">
        <v>4</v>
      </c>
      <c r="Z254" s="153">
        <f>AG254*card!$W$1*buff的资质计算!$E$2*$AI$1</f>
        <v>10.368</v>
      </c>
      <c r="AA254" s="1">
        <v>9999</v>
      </c>
      <c r="AE254" s="183" t="s">
        <v>1415</v>
      </c>
      <c r="AG254">
        <f t="shared" si="14"/>
        <v>9.6</v>
      </c>
      <c r="AH254">
        <v>9.6</v>
      </c>
    </row>
    <row r="255" ht="15.75" spans="1:34">
      <c r="A255" s="153">
        <f ca="1">passive!W145</f>
        <v>220407</v>
      </c>
      <c r="B255" s="177" t="s">
        <v>1419</v>
      </c>
      <c r="C255" s="291" t="s">
        <v>1420</v>
      </c>
      <c r="D255" s="186">
        <v>4</v>
      </c>
      <c r="E255" s="179">
        <v>2</v>
      </c>
      <c r="F255" s="179">
        <v>3</v>
      </c>
      <c r="G255" s="1">
        <v>1</v>
      </c>
      <c r="H255" s="1">
        <v>2</v>
      </c>
      <c r="I255" s="157">
        <v>25</v>
      </c>
      <c r="J255" s="294">
        <v>31</v>
      </c>
      <c r="K255" s="1">
        <v>1</v>
      </c>
      <c r="L255" s="1">
        <v>1</v>
      </c>
      <c r="M255" s="1">
        <v>0</v>
      </c>
      <c r="Q255" s="1"/>
      <c r="R255" s="3">
        <v>10000</v>
      </c>
      <c r="W255" s="1">
        <v>1</v>
      </c>
      <c r="X255" s="1">
        <f>AG255*card!$S$1*buff的资质计算!$E$3*$AI$1</f>
        <v>119.34</v>
      </c>
      <c r="Y255" s="153">
        <v>4</v>
      </c>
      <c r="Z255" s="153">
        <f>AG255*card!$W$1*buff的资质计算!$E$2*$AI$1</f>
        <v>11.016</v>
      </c>
      <c r="AA255" s="1">
        <v>9999</v>
      </c>
      <c r="AE255" s="183" t="s">
        <v>1415</v>
      </c>
      <c r="AG255">
        <f t="shared" si="14"/>
        <v>10.2</v>
      </c>
      <c r="AH255">
        <v>10.2</v>
      </c>
    </row>
    <row r="256" ht="15.75" spans="1:34">
      <c r="A256" s="153">
        <f ca="1">passive!W146</f>
        <v>220408</v>
      </c>
      <c r="B256" s="177" t="s">
        <v>1419</v>
      </c>
      <c r="C256" s="291" t="s">
        <v>1420</v>
      </c>
      <c r="D256" s="186">
        <v>4</v>
      </c>
      <c r="E256" s="179">
        <v>2</v>
      </c>
      <c r="F256" s="179">
        <v>3</v>
      </c>
      <c r="G256" s="1">
        <v>1</v>
      </c>
      <c r="H256" s="1">
        <v>2</v>
      </c>
      <c r="I256" s="157">
        <v>25</v>
      </c>
      <c r="J256" s="294">
        <v>31</v>
      </c>
      <c r="K256" s="1">
        <v>1</v>
      </c>
      <c r="L256" s="1">
        <v>1</v>
      </c>
      <c r="M256" s="1">
        <v>0</v>
      </c>
      <c r="Q256" s="1"/>
      <c r="R256" s="3">
        <v>10000</v>
      </c>
      <c r="W256" s="1">
        <v>1</v>
      </c>
      <c r="X256" s="1">
        <f>AG256*card!$S$1*buff的资质计算!$E$3*$AI$1</f>
        <v>126.36</v>
      </c>
      <c r="Y256" s="153">
        <v>4</v>
      </c>
      <c r="Z256" s="153">
        <f>AG256*card!$W$1*buff的资质计算!$E$2*$AI$1</f>
        <v>11.664</v>
      </c>
      <c r="AA256" s="1">
        <v>9999</v>
      </c>
      <c r="AE256" s="183" t="s">
        <v>1415</v>
      </c>
      <c r="AG256">
        <f t="shared" si="14"/>
        <v>10.8</v>
      </c>
      <c r="AH256">
        <v>10.8</v>
      </c>
    </row>
    <row r="257" ht="15.75" spans="1:34">
      <c r="A257" s="153">
        <f ca="1">passive!W147</f>
        <v>220409</v>
      </c>
      <c r="B257" s="177" t="s">
        <v>1419</v>
      </c>
      <c r="C257" s="291" t="s">
        <v>1420</v>
      </c>
      <c r="D257" s="186">
        <v>4</v>
      </c>
      <c r="E257" s="179">
        <v>2</v>
      </c>
      <c r="F257" s="179">
        <v>3</v>
      </c>
      <c r="G257" s="1">
        <v>1</v>
      </c>
      <c r="H257" s="1">
        <v>2</v>
      </c>
      <c r="I257" s="157">
        <v>25</v>
      </c>
      <c r="J257" s="294">
        <v>31</v>
      </c>
      <c r="K257" s="1">
        <v>1</v>
      </c>
      <c r="L257" s="1">
        <v>1</v>
      </c>
      <c r="M257" s="1">
        <v>0</v>
      </c>
      <c r="Q257" s="1"/>
      <c r="R257" s="3">
        <v>10000</v>
      </c>
      <c r="W257" s="1">
        <v>1</v>
      </c>
      <c r="X257" s="1">
        <f>AG257*card!$S$1*buff的资质计算!$E$3*$AI$1</f>
        <v>133.38</v>
      </c>
      <c r="Y257" s="153">
        <v>4</v>
      </c>
      <c r="Z257" s="153">
        <f>AG257*card!$W$1*buff的资质计算!$E$2*$AI$1</f>
        <v>12.312</v>
      </c>
      <c r="AA257" s="1">
        <v>9999</v>
      </c>
      <c r="AE257" s="183" t="s">
        <v>1415</v>
      </c>
      <c r="AG257">
        <f t="shared" si="14"/>
        <v>11.4</v>
      </c>
      <c r="AH257">
        <v>11.4</v>
      </c>
    </row>
    <row r="258" ht="15.75" spans="1:34">
      <c r="A258" s="153">
        <f ca="1">passive!W148</f>
        <v>220410</v>
      </c>
      <c r="B258" s="177" t="s">
        <v>1419</v>
      </c>
      <c r="C258" s="291" t="s">
        <v>1420</v>
      </c>
      <c r="D258" s="186">
        <v>4</v>
      </c>
      <c r="E258" s="179">
        <v>2</v>
      </c>
      <c r="F258" s="179">
        <v>3</v>
      </c>
      <c r="G258" s="1">
        <v>1</v>
      </c>
      <c r="H258" s="1">
        <v>2</v>
      </c>
      <c r="I258" s="157">
        <v>25</v>
      </c>
      <c r="J258" s="294">
        <v>31</v>
      </c>
      <c r="K258" s="1">
        <v>1</v>
      </c>
      <c r="L258" s="1">
        <v>1</v>
      </c>
      <c r="M258" s="1">
        <v>0</v>
      </c>
      <c r="Q258" s="1"/>
      <c r="R258" s="3">
        <v>10000</v>
      </c>
      <c r="W258" s="1">
        <v>1</v>
      </c>
      <c r="X258" s="1">
        <f>AG258*card!$S$1*buff的资质计算!$E$3*$AI$1</f>
        <v>140.4</v>
      </c>
      <c r="Y258" s="153">
        <v>4</v>
      </c>
      <c r="Z258" s="153">
        <f>AG258*card!$W$1*buff的资质计算!$E$2*$AI$1</f>
        <v>12.96</v>
      </c>
      <c r="AA258" s="1">
        <v>9999</v>
      </c>
      <c r="AE258" s="183" t="s">
        <v>1415</v>
      </c>
      <c r="AG258">
        <f t="shared" si="14"/>
        <v>12</v>
      </c>
      <c r="AH258">
        <v>12</v>
      </c>
    </row>
    <row r="259" ht="27.75" spans="1:33">
      <c r="A259" s="153">
        <f ca="1">passive!W149</f>
        <v>210500</v>
      </c>
      <c r="B259" s="186" t="str">
        <f>passive!B149</f>
        <v>剑神真法</v>
      </c>
      <c r="C259" s="179" t="str">
        <f t="shared" ref="C259:C269" si="15">"使用剑法时，"&amp;R259/100&amp;"%概率从牌库中抽取1招剑法并且打出"</f>
        <v>使用剑法时，15%概率从牌库中抽取1招剑法并且打出</v>
      </c>
      <c r="D259" s="186">
        <v>6</v>
      </c>
      <c r="E259" s="179">
        <v>2</v>
      </c>
      <c r="F259" s="179">
        <v>3</v>
      </c>
      <c r="G259" s="1">
        <v>15</v>
      </c>
      <c r="H259" s="1">
        <v>1</v>
      </c>
      <c r="I259" s="1"/>
      <c r="J259" s="1"/>
      <c r="K259" s="1">
        <v>4</v>
      </c>
      <c r="L259" s="1">
        <v>1</v>
      </c>
      <c r="M259">
        <v>0</v>
      </c>
      <c r="N259" s="1">
        <v>1</v>
      </c>
      <c r="O259" s="1">
        <v>2</v>
      </c>
      <c r="P259" s="1">
        <v>1</v>
      </c>
      <c r="Q259" s="1">
        <v>1</v>
      </c>
      <c r="R259">
        <v>1500</v>
      </c>
      <c r="W259" s="1">
        <v>1</v>
      </c>
      <c r="X259">
        <v>1</v>
      </c>
      <c r="AA259" s="1">
        <v>9999</v>
      </c>
      <c r="AE259" s="183" t="s">
        <v>1421</v>
      </c>
      <c r="AG259">
        <v>6</v>
      </c>
    </row>
    <row r="260" ht="27.75" spans="1:33">
      <c r="A260" s="153">
        <f ca="1">passive!W150</f>
        <v>210501</v>
      </c>
      <c r="B260" s="186" t="str">
        <f>passive!B150</f>
        <v>剑神真法</v>
      </c>
      <c r="C260" s="179" t="str">
        <f t="shared" si="15"/>
        <v>使用剑法时，16%概率从牌库中抽取1招剑法并且打出</v>
      </c>
      <c r="D260" s="186">
        <v>6</v>
      </c>
      <c r="E260" s="179">
        <v>2</v>
      </c>
      <c r="F260" s="179">
        <v>3</v>
      </c>
      <c r="G260" s="1">
        <v>15</v>
      </c>
      <c r="H260" s="1">
        <v>1</v>
      </c>
      <c r="I260" s="1"/>
      <c r="J260" s="1"/>
      <c r="K260" s="1">
        <v>4</v>
      </c>
      <c r="L260" s="1">
        <v>1</v>
      </c>
      <c r="M260">
        <v>0</v>
      </c>
      <c r="N260" s="1">
        <v>1</v>
      </c>
      <c r="O260" s="1">
        <v>2</v>
      </c>
      <c r="P260" s="1">
        <v>1</v>
      </c>
      <c r="Q260" s="1">
        <v>1</v>
      </c>
      <c r="R260">
        <v>1600</v>
      </c>
      <c r="W260" s="1">
        <v>1</v>
      </c>
      <c r="X260">
        <v>1</v>
      </c>
      <c r="AA260" s="1">
        <v>9999</v>
      </c>
      <c r="AE260" s="183" t="s">
        <v>1421</v>
      </c>
      <c r="AG260">
        <v>6</v>
      </c>
    </row>
    <row r="261" ht="27.75" spans="1:33">
      <c r="A261" s="153">
        <f ca="1">passive!W151</f>
        <v>210502</v>
      </c>
      <c r="B261" s="186" t="str">
        <f>passive!B151</f>
        <v>剑神真法</v>
      </c>
      <c r="C261" s="179" t="str">
        <f t="shared" si="15"/>
        <v>使用剑法时，17%概率从牌库中抽取1招剑法并且打出</v>
      </c>
      <c r="D261" s="186">
        <v>6</v>
      </c>
      <c r="E261" s="179">
        <v>2</v>
      </c>
      <c r="F261" s="179">
        <v>3</v>
      </c>
      <c r="G261" s="1">
        <v>15</v>
      </c>
      <c r="H261" s="1">
        <v>1</v>
      </c>
      <c r="I261" s="1"/>
      <c r="J261" s="1"/>
      <c r="K261" s="1">
        <v>4</v>
      </c>
      <c r="L261" s="1">
        <v>1</v>
      </c>
      <c r="M261">
        <v>0</v>
      </c>
      <c r="N261" s="1">
        <v>1</v>
      </c>
      <c r="O261" s="1">
        <v>2</v>
      </c>
      <c r="P261" s="1">
        <v>1</v>
      </c>
      <c r="Q261" s="1">
        <v>1</v>
      </c>
      <c r="R261">
        <v>1700</v>
      </c>
      <c r="W261" s="1">
        <v>1</v>
      </c>
      <c r="X261">
        <v>1</v>
      </c>
      <c r="AA261" s="1">
        <v>9999</v>
      </c>
      <c r="AE261" s="183" t="s">
        <v>1421</v>
      </c>
      <c r="AG261">
        <v>6</v>
      </c>
    </row>
    <row r="262" ht="27.75" spans="1:33">
      <c r="A262" s="153">
        <f ca="1">passive!W152</f>
        <v>210503</v>
      </c>
      <c r="B262" s="186" t="str">
        <f>passive!B152</f>
        <v>剑神真法</v>
      </c>
      <c r="C262" s="179" t="str">
        <f t="shared" si="15"/>
        <v>使用剑法时，18%概率从牌库中抽取1招剑法并且打出</v>
      </c>
      <c r="D262" s="186">
        <v>6</v>
      </c>
      <c r="E262" s="179">
        <v>2</v>
      </c>
      <c r="F262" s="179">
        <v>3</v>
      </c>
      <c r="G262" s="1">
        <v>15</v>
      </c>
      <c r="H262" s="1">
        <v>1</v>
      </c>
      <c r="I262" s="1"/>
      <c r="J262" s="1"/>
      <c r="K262" s="1">
        <v>4</v>
      </c>
      <c r="L262" s="1">
        <v>1</v>
      </c>
      <c r="M262">
        <v>0</v>
      </c>
      <c r="N262" s="1">
        <v>1</v>
      </c>
      <c r="O262" s="1">
        <v>2</v>
      </c>
      <c r="P262" s="1">
        <v>1</v>
      </c>
      <c r="Q262" s="1">
        <v>1</v>
      </c>
      <c r="R262">
        <v>1800</v>
      </c>
      <c r="W262" s="1">
        <v>1</v>
      </c>
      <c r="X262">
        <v>1</v>
      </c>
      <c r="AA262" s="1">
        <v>9999</v>
      </c>
      <c r="AE262" s="183" t="s">
        <v>1421</v>
      </c>
      <c r="AG262">
        <v>6</v>
      </c>
    </row>
    <row r="263" ht="27.75" spans="1:33">
      <c r="A263" s="153">
        <f ca="1">passive!W153</f>
        <v>210504</v>
      </c>
      <c r="B263" s="186" t="str">
        <f>passive!B153</f>
        <v>剑神真法</v>
      </c>
      <c r="C263" s="179" t="str">
        <f t="shared" si="15"/>
        <v>使用剑法时，19%概率从牌库中抽取1招剑法并且打出</v>
      </c>
      <c r="D263" s="186">
        <v>6</v>
      </c>
      <c r="E263" s="179">
        <v>2</v>
      </c>
      <c r="F263" s="179">
        <v>3</v>
      </c>
      <c r="G263" s="1">
        <v>15</v>
      </c>
      <c r="H263" s="1">
        <v>1</v>
      </c>
      <c r="I263" s="1"/>
      <c r="J263" s="1"/>
      <c r="K263" s="1">
        <v>4</v>
      </c>
      <c r="L263" s="1">
        <v>1</v>
      </c>
      <c r="M263">
        <v>0</v>
      </c>
      <c r="N263" s="1">
        <v>1</v>
      </c>
      <c r="O263" s="1">
        <v>2</v>
      </c>
      <c r="P263" s="1">
        <v>1</v>
      </c>
      <c r="Q263" s="1">
        <v>1</v>
      </c>
      <c r="R263">
        <v>1900</v>
      </c>
      <c r="W263" s="1">
        <v>1</v>
      </c>
      <c r="X263">
        <v>1</v>
      </c>
      <c r="AA263" s="1">
        <v>9999</v>
      </c>
      <c r="AE263" s="183" t="s">
        <v>1421</v>
      </c>
      <c r="AG263">
        <v>6</v>
      </c>
    </row>
    <row r="264" ht="27.75" spans="1:33">
      <c r="A264" s="153">
        <f ca="1">passive!W154</f>
        <v>210505</v>
      </c>
      <c r="B264" s="186" t="str">
        <f>passive!B154</f>
        <v>剑神真法</v>
      </c>
      <c r="C264" s="179" t="str">
        <f t="shared" si="15"/>
        <v>使用剑法时，20%概率从牌库中抽取1招剑法并且打出</v>
      </c>
      <c r="D264" s="186">
        <v>6</v>
      </c>
      <c r="E264" s="179">
        <v>2</v>
      </c>
      <c r="F264" s="179">
        <v>3</v>
      </c>
      <c r="G264" s="1">
        <v>15</v>
      </c>
      <c r="H264" s="1">
        <v>1</v>
      </c>
      <c r="I264" s="1"/>
      <c r="J264" s="1"/>
      <c r="K264" s="1">
        <v>4</v>
      </c>
      <c r="L264" s="1">
        <v>1</v>
      </c>
      <c r="M264">
        <v>0</v>
      </c>
      <c r="N264" s="1">
        <v>1</v>
      </c>
      <c r="O264" s="1">
        <v>2</v>
      </c>
      <c r="P264" s="1">
        <v>1</v>
      </c>
      <c r="Q264" s="1">
        <v>1</v>
      </c>
      <c r="R264">
        <v>2000</v>
      </c>
      <c r="W264" s="1">
        <v>1</v>
      </c>
      <c r="X264">
        <v>1</v>
      </c>
      <c r="AA264" s="1">
        <v>9999</v>
      </c>
      <c r="AE264" s="183" t="s">
        <v>1421</v>
      </c>
      <c r="AG264">
        <v>6</v>
      </c>
    </row>
    <row r="265" ht="27.75" spans="1:33">
      <c r="A265" s="153">
        <f ca="1">passive!W155</f>
        <v>210506</v>
      </c>
      <c r="B265" s="186" t="str">
        <f>passive!B155</f>
        <v>剑神真法</v>
      </c>
      <c r="C265" s="179" t="str">
        <f t="shared" si="15"/>
        <v>使用剑法时，21%概率从牌库中抽取1招剑法并且打出</v>
      </c>
      <c r="D265" s="186">
        <v>6</v>
      </c>
      <c r="E265" s="179">
        <v>2</v>
      </c>
      <c r="F265" s="179">
        <v>3</v>
      </c>
      <c r="G265" s="1">
        <v>15</v>
      </c>
      <c r="H265" s="1">
        <v>1</v>
      </c>
      <c r="I265" s="1"/>
      <c r="J265" s="1"/>
      <c r="K265" s="1">
        <v>4</v>
      </c>
      <c r="L265" s="1">
        <v>1</v>
      </c>
      <c r="M265">
        <v>0</v>
      </c>
      <c r="N265" s="1">
        <v>1</v>
      </c>
      <c r="O265" s="1">
        <v>2</v>
      </c>
      <c r="P265" s="1">
        <v>1</v>
      </c>
      <c r="Q265" s="1">
        <v>1</v>
      </c>
      <c r="R265">
        <v>2100</v>
      </c>
      <c r="W265" s="1">
        <v>1</v>
      </c>
      <c r="X265">
        <v>1</v>
      </c>
      <c r="AA265" s="1">
        <v>9999</v>
      </c>
      <c r="AE265" s="183" t="s">
        <v>1421</v>
      </c>
      <c r="AG265">
        <v>6</v>
      </c>
    </row>
    <row r="266" ht="27.75" spans="1:33">
      <c r="A266" s="153">
        <f ca="1">passive!W156</f>
        <v>210507</v>
      </c>
      <c r="B266" s="186" t="str">
        <f>passive!B156</f>
        <v>剑神真法</v>
      </c>
      <c r="C266" s="179" t="str">
        <f t="shared" si="15"/>
        <v>使用剑法时，22%概率从牌库中抽取1招剑法并且打出</v>
      </c>
      <c r="D266" s="186">
        <v>6</v>
      </c>
      <c r="E266" s="179">
        <v>2</v>
      </c>
      <c r="F266" s="179">
        <v>3</v>
      </c>
      <c r="G266" s="1">
        <v>15</v>
      </c>
      <c r="H266" s="1">
        <v>1</v>
      </c>
      <c r="I266" s="1"/>
      <c r="J266" s="1"/>
      <c r="K266" s="1">
        <v>4</v>
      </c>
      <c r="L266" s="1">
        <v>1</v>
      </c>
      <c r="M266">
        <v>0</v>
      </c>
      <c r="N266" s="1">
        <v>1</v>
      </c>
      <c r="O266" s="1">
        <v>2</v>
      </c>
      <c r="P266" s="1">
        <v>1</v>
      </c>
      <c r="Q266" s="1">
        <v>1</v>
      </c>
      <c r="R266">
        <v>2200</v>
      </c>
      <c r="W266" s="1">
        <v>1</v>
      </c>
      <c r="X266">
        <v>1</v>
      </c>
      <c r="AA266" s="1">
        <v>9999</v>
      </c>
      <c r="AE266" s="183" t="s">
        <v>1421</v>
      </c>
      <c r="AG266">
        <v>6</v>
      </c>
    </row>
    <row r="267" ht="27.75" spans="1:33">
      <c r="A267" s="153">
        <f ca="1">passive!W157</f>
        <v>210508</v>
      </c>
      <c r="B267" s="186" t="str">
        <f>passive!B157</f>
        <v>剑神真法</v>
      </c>
      <c r="C267" s="179" t="str">
        <f t="shared" si="15"/>
        <v>使用剑法时，23%概率从牌库中抽取1招剑法并且打出</v>
      </c>
      <c r="D267" s="186">
        <v>6</v>
      </c>
      <c r="E267" s="179">
        <v>2</v>
      </c>
      <c r="F267" s="179">
        <v>3</v>
      </c>
      <c r="G267" s="1">
        <v>15</v>
      </c>
      <c r="H267" s="1">
        <v>1</v>
      </c>
      <c r="I267" s="1"/>
      <c r="J267" s="1"/>
      <c r="K267" s="1">
        <v>4</v>
      </c>
      <c r="L267" s="1">
        <v>1</v>
      </c>
      <c r="M267">
        <v>0</v>
      </c>
      <c r="N267" s="1">
        <v>1</v>
      </c>
      <c r="O267" s="1">
        <v>2</v>
      </c>
      <c r="P267" s="1">
        <v>1</v>
      </c>
      <c r="Q267" s="1">
        <v>1</v>
      </c>
      <c r="R267">
        <v>2300</v>
      </c>
      <c r="W267" s="1">
        <v>1</v>
      </c>
      <c r="X267">
        <v>1</v>
      </c>
      <c r="AA267" s="1">
        <v>9999</v>
      </c>
      <c r="AE267" s="183" t="s">
        <v>1421</v>
      </c>
      <c r="AG267">
        <v>6</v>
      </c>
    </row>
    <row r="268" ht="27.75" spans="1:33">
      <c r="A268" s="153">
        <f ca="1">passive!W158</f>
        <v>210509</v>
      </c>
      <c r="B268" s="186" t="str">
        <f>passive!B158</f>
        <v>剑神真法</v>
      </c>
      <c r="C268" s="179" t="str">
        <f t="shared" si="15"/>
        <v>使用剑法时，24%概率从牌库中抽取1招剑法并且打出</v>
      </c>
      <c r="D268" s="186">
        <v>6</v>
      </c>
      <c r="E268" s="179">
        <v>2</v>
      </c>
      <c r="F268" s="179">
        <v>3</v>
      </c>
      <c r="G268" s="1">
        <v>15</v>
      </c>
      <c r="H268" s="1">
        <v>1</v>
      </c>
      <c r="I268" s="1"/>
      <c r="J268" s="1"/>
      <c r="K268" s="1">
        <v>4</v>
      </c>
      <c r="L268" s="1">
        <v>1</v>
      </c>
      <c r="M268">
        <v>0</v>
      </c>
      <c r="N268" s="1">
        <v>1</v>
      </c>
      <c r="O268" s="1">
        <v>2</v>
      </c>
      <c r="P268" s="1">
        <v>1</v>
      </c>
      <c r="Q268" s="1">
        <v>1</v>
      </c>
      <c r="R268">
        <v>2400</v>
      </c>
      <c r="W268" s="1">
        <v>1</v>
      </c>
      <c r="X268">
        <v>1</v>
      </c>
      <c r="AA268" s="1">
        <v>9999</v>
      </c>
      <c r="AE268" s="183" t="s">
        <v>1421</v>
      </c>
      <c r="AG268">
        <v>6</v>
      </c>
    </row>
    <row r="269" ht="27.75" spans="1:33">
      <c r="A269" s="153">
        <f ca="1">passive!W159</f>
        <v>210510</v>
      </c>
      <c r="B269" s="186" t="str">
        <f>passive!B159</f>
        <v>剑神真法</v>
      </c>
      <c r="C269" s="179" t="str">
        <f t="shared" si="15"/>
        <v>使用剑法时，25%概率从牌库中抽取1招剑法并且打出</v>
      </c>
      <c r="D269" s="186">
        <v>6</v>
      </c>
      <c r="E269" s="179">
        <v>2</v>
      </c>
      <c r="F269" s="179">
        <v>3</v>
      </c>
      <c r="G269" s="1">
        <v>15</v>
      </c>
      <c r="H269" s="1">
        <v>1</v>
      </c>
      <c r="I269" s="1"/>
      <c r="J269" s="1"/>
      <c r="K269" s="1">
        <v>4</v>
      </c>
      <c r="L269" s="1">
        <v>1</v>
      </c>
      <c r="M269">
        <v>0</v>
      </c>
      <c r="N269" s="1">
        <v>1</v>
      </c>
      <c r="O269" s="1">
        <v>2</v>
      </c>
      <c r="P269" s="1">
        <v>1</v>
      </c>
      <c r="Q269" s="1">
        <v>1</v>
      </c>
      <c r="R269">
        <v>2500</v>
      </c>
      <c r="W269" s="1">
        <v>1</v>
      </c>
      <c r="X269">
        <v>1</v>
      </c>
      <c r="AA269" s="1">
        <v>9999</v>
      </c>
      <c r="AE269" s="183" t="s">
        <v>1421</v>
      </c>
      <c r="AG269">
        <v>6</v>
      </c>
    </row>
    <row r="270" ht="27.75" spans="1:31">
      <c r="A270" s="153">
        <f ca="1">passive!W160</f>
        <v>220100</v>
      </c>
      <c r="B270" s="186" t="str">
        <f>passive!B160</f>
        <v>飞灵台奇卷</v>
      </c>
      <c r="C270" s="179" t="str">
        <f>"每回合有"&amp;passive!V160/100&amp;"%概率使第1次使用的剑法生效2次"</f>
        <v>每回合有30%概率使第1次使用的剑法生效2次</v>
      </c>
      <c r="E270" s="179">
        <v>2</v>
      </c>
      <c r="F270" s="179">
        <v>3</v>
      </c>
      <c r="G270">
        <v>22</v>
      </c>
      <c r="H270" s="1">
        <v>1</v>
      </c>
      <c r="K270">
        <v>1</v>
      </c>
      <c r="L270" s="1">
        <v>1</v>
      </c>
      <c r="M270">
        <v>0</v>
      </c>
      <c r="N270" s="1">
        <v>1</v>
      </c>
      <c r="O270" s="1">
        <v>2</v>
      </c>
      <c r="P270" s="1">
        <v>1</v>
      </c>
      <c r="Q270" s="1">
        <v>1</v>
      </c>
      <c r="R270" s="3">
        <v>10000</v>
      </c>
      <c r="W270" s="1">
        <v>1</v>
      </c>
      <c r="X270">
        <v>2</v>
      </c>
      <c r="AE270" t="s">
        <v>1422</v>
      </c>
    </row>
    <row r="271" ht="27.75" spans="1:31">
      <c r="A271" s="153">
        <f ca="1">passive!W161</f>
        <v>220101</v>
      </c>
      <c r="B271" s="186" t="str">
        <f>passive!B161</f>
        <v>飞灵台奇卷</v>
      </c>
      <c r="C271" s="179" t="str">
        <f>"每回合有"&amp;passive!V161/100&amp;"%概率使第1次使用的剑法生效2次"</f>
        <v>每回合有32%概率使第1次使用的剑法生效2次</v>
      </c>
      <c r="E271" s="179">
        <v>2</v>
      </c>
      <c r="F271" s="179">
        <v>3</v>
      </c>
      <c r="G271">
        <v>22</v>
      </c>
      <c r="H271" s="1">
        <v>1</v>
      </c>
      <c r="K271">
        <v>1</v>
      </c>
      <c r="L271" s="1">
        <v>1</v>
      </c>
      <c r="M271">
        <v>0</v>
      </c>
      <c r="N271" s="1">
        <v>1</v>
      </c>
      <c r="O271" s="1">
        <v>2</v>
      </c>
      <c r="P271" s="1">
        <v>1</v>
      </c>
      <c r="Q271" s="1">
        <v>1</v>
      </c>
      <c r="R271" s="3">
        <v>10000</v>
      </c>
      <c r="W271" s="1">
        <v>1</v>
      </c>
      <c r="X271">
        <v>2</v>
      </c>
      <c r="AE271" t="s">
        <v>1422</v>
      </c>
    </row>
    <row r="272" ht="27.75" spans="1:31">
      <c r="A272" s="153">
        <f ca="1">passive!W162</f>
        <v>220102</v>
      </c>
      <c r="B272" s="186" t="str">
        <f>passive!B162</f>
        <v>飞灵台奇卷</v>
      </c>
      <c r="C272" s="179" t="str">
        <f>"每回合有"&amp;passive!V162/100&amp;"%概率使第1次使用的剑法生效2次"</f>
        <v>每回合有34%概率使第1次使用的剑法生效2次</v>
      </c>
      <c r="E272" s="179">
        <v>2</v>
      </c>
      <c r="F272" s="179">
        <v>3</v>
      </c>
      <c r="G272">
        <v>22</v>
      </c>
      <c r="H272" s="1">
        <v>1</v>
      </c>
      <c r="K272">
        <v>1</v>
      </c>
      <c r="L272" s="1">
        <v>1</v>
      </c>
      <c r="M272">
        <v>0</v>
      </c>
      <c r="N272" s="1">
        <v>1</v>
      </c>
      <c r="O272" s="1">
        <v>2</v>
      </c>
      <c r="P272" s="1">
        <v>1</v>
      </c>
      <c r="Q272" s="1">
        <v>1</v>
      </c>
      <c r="R272" s="3">
        <v>10000</v>
      </c>
      <c r="W272" s="1">
        <v>1</v>
      </c>
      <c r="X272">
        <v>2</v>
      </c>
      <c r="AE272" t="s">
        <v>1422</v>
      </c>
    </row>
    <row r="273" ht="27.75" spans="1:31">
      <c r="A273" s="153">
        <f ca="1">passive!W163</f>
        <v>220103</v>
      </c>
      <c r="B273" s="186" t="str">
        <f>passive!B163</f>
        <v>飞灵台奇卷</v>
      </c>
      <c r="C273" s="179" t="str">
        <f>"每回合有"&amp;passive!V163/100&amp;"%概率使第1次使用的剑法生效2次"</f>
        <v>每回合有36%概率使第1次使用的剑法生效2次</v>
      </c>
      <c r="E273" s="179">
        <v>2</v>
      </c>
      <c r="F273" s="179">
        <v>3</v>
      </c>
      <c r="G273">
        <v>22</v>
      </c>
      <c r="H273" s="1">
        <v>1</v>
      </c>
      <c r="K273">
        <v>1</v>
      </c>
      <c r="L273" s="1">
        <v>1</v>
      </c>
      <c r="M273">
        <v>0</v>
      </c>
      <c r="N273" s="1">
        <v>1</v>
      </c>
      <c r="O273" s="1">
        <v>2</v>
      </c>
      <c r="P273" s="1">
        <v>1</v>
      </c>
      <c r="Q273" s="1">
        <v>1</v>
      </c>
      <c r="R273" s="3">
        <v>10000</v>
      </c>
      <c r="W273" s="1">
        <v>1</v>
      </c>
      <c r="X273">
        <v>2</v>
      </c>
      <c r="AE273" t="s">
        <v>1422</v>
      </c>
    </row>
    <row r="274" ht="27.75" spans="1:31">
      <c r="A274" s="153">
        <f ca="1">passive!W164</f>
        <v>220104</v>
      </c>
      <c r="B274" s="186" t="str">
        <f>passive!B164</f>
        <v>飞灵台奇卷</v>
      </c>
      <c r="C274" s="179" t="str">
        <f>"每回合有"&amp;passive!V164/100&amp;"%概率使第1次使用的剑法生效2次"</f>
        <v>每回合有38%概率使第1次使用的剑法生效2次</v>
      </c>
      <c r="E274" s="179">
        <v>2</v>
      </c>
      <c r="F274" s="179">
        <v>3</v>
      </c>
      <c r="G274">
        <v>22</v>
      </c>
      <c r="H274" s="1">
        <v>1</v>
      </c>
      <c r="K274">
        <v>1</v>
      </c>
      <c r="L274" s="1">
        <v>1</v>
      </c>
      <c r="M274">
        <v>0</v>
      </c>
      <c r="N274" s="1">
        <v>1</v>
      </c>
      <c r="O274" s="1">
        <v>2</v>
      </c>
      <c r="P274" s="1">
        <v>1</v>
      </c>
      <c r="Q274" s="1">
        <v>1</v>
      </c>
      <c r="R274" s="3">
        <v>10000</v>
      </c>
      <c r="W274" s="1">
        <v>1</v>
      </c>
      <c r="X274">
        <v>2</v>
      </c>
      <c r="AE274" t="s">
        <v>1422</v>
      </c>
    </row>
    <row r="275" ht="27.75" spans="1:31">
      <c r="A275" s="153">
        <f ca="1">passive!W165</f>
        <v>220105</v>
      </c>
      <c r="B275" s="186" t="str">
        <f>passive!B165</f>
        <v>飞灵台奇卷</v>
      </c>
      <c r="C275" s="179" t="str">
        <f>"每回合有"&amp;passive!V165/100&amp;"%概率使第1次使用的剑法生效2次"</f>
        <v>每回合有40%概率使第1次使用的剑法生效2次</v>
      </c>
      <c r="E275" s="179">
        <v>2</v>
      </c>
      <c r="F275" s="179">
        <v>3</v>
      </c>
      <c r="G275">
        <v>22</v>
      </c>
      <c r="H275" s="1">
        <v>1</v>
      </c>
      <c r="K275">
        <v>1</v>
      </c>
      <c r="L275" s="1">
        <v>1</v>
      </c>
      <c r="M275">
        <v>0</v>
      </c>
      <c r="N275" s="1">
        <v>1</v>
      </c>
      <c r="O275" s="1">
        <v>2</v>
      </c>
      <c r="P275" s="1">
        <v>1</v>
      </c>
      <c r="Q275" s="1">
        <v>1</v>
      </c>
      <c r="R275" s="3">
        <v>10000</v>
      </c>
      <c r="W275" s="1">
        <v>1</v>
      </c>
      <c r="X275">
        <v>2</v>
      </c>
      <c r="AE275" t="s">
        <v>1422</v>
      </c>
    </row>
    <row r="276" ht="27.75" spans="1:31">
      <c r="A276" s="153">
        <f ca="1">passive!W166</f>
        <v>220106</v>
      </c>
      <c r="B276" s="186" t="str">
        <f>passive!B166</f>
        <v>飞灵台奇卷</v>
      </c>
      <c r="C276" s="179" t="str">
        <f>"每回合有"&amp;passive!V166/100&amp;"%概率使第1次使用的剑法生效2次"</f>
        <v>每回合有42%概率使第1次使用的剑法生效2次</v>
      </c>
      <c r="E276" s="179">
        <v>2</v>
      </c>
      <c r="F276" s="179">
        <v>3</v>
      </c>
      <c r="G276">
        <v>22</v>
      </c>
      <c r="H276" s="1">
        <v>1</v>
      </c>
      <c r="K276">
        <v>1</v>
      </c>
      <c r="L276" s="1">
        <v>1</v>
      </c>
      <c r="M276">
        <v>0</v>
      </c>
      <c r="N276" s="1">
        <v>1</v>
      </c>
      <c r="O276" s="1">
        <v>2</v>
      </c>
      <c r="P276" s="1">
        <v>1</v>
      </c>
      <c r="Q276" s="1">
        <v>1</v>
      </c>
      <c r="R276" s="3">
        <v>10000</v>
      </c>
      <c r="W276" s="1">
        <v>1</v>
      </c>
      <c r="X276">
        <v>2</v>
      </c>
      <c r="AE276" t="s">
        <v>1422</v>
      </c>
    </row>
    <row r="277" ht="27.75" spans="1:31">
      <c r="A277" s="153">
        <f ca="1">passive!W167</f>
        <v>220107</v>
      </c>
      <c r="B277" s="186" t="str">
        <f>passive!B167</f>
        <v>飞灵台奇卷</v>
      </c>
      <c r="C277" s="179" t="str">
        <f>"每回合有"&amp;passive!V167/100&amp;"%概率使第1次使用的剑法生效2次"</f>
        <v>每回合有44%概率使第1次使用的剑法生效2次</v>
      </c>
      <c r="E277" s="179">
        <v>2</v>
      </c>
      <c r="F277" s="179">
        <v>3</v>
      </c>
      <c r="G277">
        <v>22</v>
      </c>
      <c r="H277" s="1">
        <v>1</v>
      </c>
      <c r="K277">
        <v>1</v>
      </c>
      <c r="L277" s="1">
        <v>1</v>
      </c>
      <c r="M277">
        <v>0</v>
      </c>
      <c r="N277" s="1">
        <v>1</v>
      </c>
      <c r="O277" s="1">
        <v>2</v>
      </c>
      <c r="P277" s="1">
        <v>1</v>
      </c>
      <c r="Q277" s="1">
        <v>1</v>
      </c>
      <c r="R277" s="3">
        <v>10000</v>
      </c>
      <c r="W277" s="1">
        <v>1</v>
      </c>
      <c r="X277">
        <v>2</v>
      </c>
      <c r="AE277" t="s">
        <v>1422</v>
      </c>
    </row>
    <row r="278" ht="27.75" spans="1:31">
      <c r="A278" s="153">
        <f ca="1">passive!W168</f>
        <v>220108</v>
      </c>
      <c r="B278" s="186" t="str">
        <f>passive!B168</f>
        <v>飞灵台奇卷</v>
      </c>
      <c r="C278" s="179" t="str">
        <f>"每回合有"&amp;passive!V168/100&amp;"%概率使第1次使用的剑法生效2次"</f>
        <v>每回合有46%概率使第1次使用的剑法生效2次</v>
      </c>
      <c r="E278" s="179">
        <v>2</v>
      </c>
      <c r="F278" s="179">
        <v>3</v>
      </c>
      <c r="G278">
        <v>22</v>
      </c>
      <c r="H278" s="1">
        <v>1</v>
      </c>
      <c r="K278">
        <v>1</v>
      </c>
      <c r="L278" s="1">
        <v>1</v>
      </c>
      <c r="M278">
        <v>0</v>
      </c>
      <c r="N278" s="1">
        <v>1</v>
      </c>
      <c r="O278" s="1">
        <v>2</v>
      </c>
      <c r="P278" s="1">
        <v>1</v>
      </c>
      <c r="Q278" s="1">
        <v>1</v>
      </c>
      <c r="R278" s="3">
        <v>10000</v>
      </c>
      <c r="W278" s="1">
        <v>1</v>
      </c>
      <c r="X278">
        <v>2</v>
      </c>
      <c r="AE278" t="s">
        <v>1422</v>
      </c>
    </row>
    <row r="279" ht="27.75" spans="1:31">
      <c r="A279" s="153">
        <f ca="1">passive!W169</f>
        <v>220109</v>
      </c>
      <c r="B279" s="186" t="str">
        <f>passive!B169</f>
        <v>飞灵台奇卷</v>
      </c>
      <c r="C279" s="179" t="str">
        <f>"每回合有"&amp;passive!V169/100&amp;"%概率使第1次使用的剑法生效2次"</f>
        <v>每回合有48%概率使第1次使用的剑法生效2次</v>
      </c>
      <c r="E279" s="179">
        <v>2</v>
      </c>
      <c r="F279" s="179">
        <v>3</v>
      </c>
      <c r="G279">
        <v>22</v>
      </c>
      <c r="H279" s="1">
        <v>1</v>
      </c>
      <c r="K279">
        <v>1</v>
      </c>
      <c r="L279" s="1">
        <v>1</v>
      </c>
      <c r="M279">
        <v>0</v>
      </c>
      <c r="N279" s="1">
        <v>1</v>
      </c>
      <c r="O279" s="1">
        <v>2</v>
      </c>
      <c r="P279" s="1">
        <v>1</v>
      </c>
      <c r="Q279" s="1">
        <v>1</v>
      </c>
      <c r="R279" s="3">
        <v>10000</v>
      </c>
      <c r="W279" s="1">
        <v>1</v>
      </c>
      <c r="X279">
        <v>2</v>
      </c>
      <c r="AE279" t="s">
        <v>1422</v>
      </c>
    </row>
    <row r="280" ht="27.75" spans="1:31">
      <c r="A280" s="153">
        <f ca="1">passive!W170</f>
        <v>220110</v>
      </c>
      <c r="B280" s="186" t="str">
        <f>passive!B170</f>
        <v>飞灵台奇卷</v>
      </c>
      <c r="C280" s="179" t="str">
        <f>"每回合有"&amp;passive!V170/100&amp;"%概率使第1次使用的剑法生效2次"</f>
        <v>每回合有50%概率使第1次使用的剑法生效2次</v>
      </c>
      <c r="E280" s="179">
        <v>2</v>
      </c>
      <c r="F280" s="179">
        <v>3</v>
      </c>
      <c r="G280">
        <v>22</v>
      </c>
      <c r="H280" s="1">
        <v>1</v>
      </c>
      <c r="K280">
        <v>1</v>
      </c>
      <c r="L280" s="1">
        <v>1</v>
      </c>
      <c r="M280">
        <v>0</v>
      </c>
      <c r="N280" s="1">
        <v>1</v>
      </c>
      <c r="O280" s="1">
        <v>2</v>
      </c>
      <c r="P280" s="1">
        <v>1</v>
      </c>
      <c r="Q280" s="1">
        <v>1</v>
      </c>
      <c r="R280" s="3">
        <v>10000</v>
      </c>
      <c r="W280" s="1">
        <v>1</v>
      </c>
      <c r="X280">
        <v>2</v>
      </c>
      <c r="AE280" t="s">
        <v>1422</v>
      </c>
    </row>
    <row r="281" ht="15.75" spans="1:34">
      <c r="A281" s="153">
        <f ca="1">passive!W171</f>
        <v>220200</v>
      </c>
      <c r="B281" s="186" t="str">
        <f>passive!B171</f>
        <v>杀心剑法</v>
      </c>
      <c r="C281" s="295" t="str">
        <f t="shared" ref="C281:C291" si="16">"每使用2招，造成敌人当前血量"&amp;X281/100&amp;"%的伤害"</f>
        <v>每使用2招，造成敌人当前血量5%的伤害</v>
      </c>
      <c r="D281" s="186">
        <v>2</v>
      </c>
      <c r="E281" s="179">
        <v>2</v>
      </c>
      <c r="F281" s="179">
        <v>3</v>
      </c>
      <c r="G281" s="1">
        <v>1</v>
      </c>
      <c r="H281" s="1">
        <v>2</v>
      </c>
      <c r="I281" s="157">
        <v>25</v>
      </c>
      <c r="J281" s="294">
        <v>31</v>
      </c>
      <c r="K281" s="1">
        <v>4</v>
      </c>
      <c r="L281" s="1">
        <v>1</v>
      </c>
      <c r="M281" s="1">
        <v>0</v>
      </c>
      <c r="N281">
        <v>1</v>
      </c>
      <c r="O281">
        <v>2</v>
      </c>
      <c r="P281">
        <v>1</v>
      </c>
      <c r="Q281" s="1">
        <v>2</v>
      </c>
      <c r="R281" s="3">
        <v>10000</v>
      </c>
      <c r="S281">
        <v>8</v>
      </c>
      <c r="T281">
        <v>2</v>
      </c>
      <c r="W281" s="1">
        <v>2</v>
      </c>
      <c r="X281" s="1">
        <v>500</v>
      </c>
      <c r="AA281" s="1">
        <v>9999</v>
      </c>
      <c r="AE281" s="183" t="s">
        <v>1423</v>
      </c>
      <c r="AG281" t="e">
        <f ca="1">OFFSET(buff的资质计算!$M$1,MATCH(buff!D281,buff的资质计算!G:G,0)-1,0)*X281/10000</f>
        <v>#VALUE!</v>
      </c>
      <c r="AH281" t="e">
        <f ca="1">AG281/OFFSET(buff的资质计算!$L$1,MATCH(buff!D281,buff的资质计算!G:G,0)-1,0)</f>
        <v>#VALUE!</v>
      </c>
    </row>
    <row r="282" ht="15.75" spans="1:34">
      <c r="A282" s="153">
        <f ca="1">passive!W172</f>
        <v>220201</v>
      </c>
      <c r="B282" s="186" t="str">
        <f>passive!B172</f>
        <v>杀心剑法</v>
      </c>
      <c r="C282" s="295" t="str">
        <f t="shared" si="16"/>
        <v>每使用2招，造成敌人当前血量5.5%的伤害</v>
      </c>
      <c r="D282" s="186">
        <v>2</v>
      </c>
      <c r="E282" s="179">
        <v>2</v>
      </c>
      <c r="F282" s="179">
        <v>3</v>
      </c>
      <c r="G282" s="1">
        <v>1</v>
      </c>
      <c r="H282" s="1">
        <v>2</v>
      </c>
      <c r="I282" s="157">
        <v>25</v>
      </c>
      <c r="J282" s="294">
        <v>31</v>
      </c>
      <c r="K282" s="1">
        <v>4</v>
      </c>
      <c r="L282" s="1">
        <v>1</v>
      </c>
      <c r="M282" s="1">
        <v>0</v>
      </c>
      <c r="N282">
        <v>1</v>
      </c>
      <c r="O282">
        <v>2</v>
      </c>
      <c r="P282">
        <v>1</v>
      </c>
      <c r="Q282" s="1">
        <v>2</v>
      </c>
      <c r="R282" s="3">
        <v>10000</v>
      </c>
      <c r="S282">
        <v>8</v>
      </c>
      <c r="T282">
        <v>2</v>
      </c>
      <c r="W282" s="1">
        <v>2</v>
      </c>
      <c r="X282" s="1">
        <v>550</v>
      </c>
      <c r="AA282" s="1">
        <v>9999</v>
      </c>
      <c r="AE282" s="183" t="s">
        <v>1423</v>
      </c>
      <c r="AG282" t="e">
        <f ca="1">OFFSET(buff的资质计算!$M$1,MATCH(buff!D282,buff的资质计算!G:G,0)-1,0)*X282/10000</f>
        <v>#VALUE!</v>
      </c>
      <c r="AH282" t="e">
        <f ca="1">AG282/OFFSET(buff的资质计算!$L$1,MATCH(buff!D282,buff的资质计算!G:G,0)-1,0)</f>
        <v>#VALUE!</v>
      </c>
    </row>
    <row r="283" ht="15.75" spans="1:34">
      <c r="A283" s="153">
        <f ca="1">passive!W173</f>
        <v>220202</v>
      </c>
      <c r="B283" s="186" t="str">
        <f>passive!B173</f>
        <v>杀心剑法</v>
      </c>
      <c r="C283" s="295" t="str">
        <f t="shared" si="16"/>
        <v>每使用2招，造成敌人当前血量6%的伤害</v>
      </c>
      <c r="D283" s="186">
        <v>2</v>
      </c>
      <c r="E283" s="179">
        <v>2</v>
      </c>
      <c r="F283" s="179">
        <v>3</v>
      </c>
      <c r="G283" s="1">
        <v>1</v>
      </c>
      <c r="H283" s="1">
        <v>2</v>
      </c>
      <c r="I283" s="157">
        <v>25</v>
      </c>
      <c r="J283" s="294">
        <v>31</v>
      </c>
      <c r="K283" s="1">
        <v>4</v>
      </c>
      <c r="L283" s="1">
        <v>1</v>
      </c>
      <c r="M283" s="1">
        <v>0</v>
      </c>
      <c r="N283">
        <v>1</v>
      </c>
      <c r="O283">
        <v>2</v>
      </c>
      <c r="P283">
        <v>1</v>
      </c>
      <c r="Q283" s="1">
        <v>2</v>
      </c>
      <c r="R283" s="3">
        <v>10000</v>
      </c>
      <c r="S283">
        <v>8</v>
      </c>
      <c r="T283">
        <v>2</v>
      </c>
      <c r="W283" s="1">
        <v>2</v>
      </c>
      <c r="X283" s="1">
        <v>600</v>
      </c>
      <c r="AA283" s="1">
        <v>9999</v>
      </c>
      <c r="AE283" s="183" t="s">
        <v>1423</v>
      </c>
      <c r="AG283" t="e">
        <f ca="1">OFFSET(buff的资质计算!$M$1,MATCH(buff!D283,buff的资质计算!G:G,0)-1,0)*X283/10000</f>
        <v>#VALUE!</v>
      </c>
      <c r="AH283" t="e">
        <f ca="1">AG283/OFFSET(buff的资质计算!$L$1,MATCH(buff!D283,buff的资质计算!G:G,0)-1,0)</f>
        <v>#VALUE!</v>
      </c>
    </row>
    <row r="284" ht="15.75" spans="1:34">
      <c r="A284" s="153">
        <f ca="1">passive!W174</f>
        <v>220203</v>
      </c>
      <c r="B284" s="186" t="str">
        <f>passive!B174</f>
        <v>杀心剑法</v>
      </c>
      <c r="C284" s="295" t="str">
        <f t="shared" si="16"/>
        <v>每使用2招，造成敌人当前血量6.5%的伤害</v>
      </c>
      <c r="D284" s="186">
        <v>2</v>
      </c>
      <c r="E284" s="179">
        <v>2</v>
      </c>
      <c r="F284" s="179">
        <v>3</v>
      </c>
      <c r="G284" s="1">
        <v>1</v>
      </c>
      <c r="H284" s="1">
        <v>2</v>
      </c>
      <c r="I284" s="157">
        <v>25</v>
      </c>
      <c r="J284" s="294">
        <v>31</v>
      </c>
      <c r="K284" s="1">
        <v>4</v>
      </c>
      <c r="L284" s="1">
        <v>1</v>
      </c>
      <c r="M284" s="1">
        <v>0</v>
      </c>
      <c r="N284">
        <v>1</v>
      </c>
      <c r="O284">
        <v>2</v>
      </c>
      <c r="P284">
        <v>1</v>
      </c>
      <c r="Q284" s="1">
        <v>2</v>
      </c>
      <c r="R284" s="3">
        <v>10000</v>
      </c>
      <c r="S284">
        <v>8</v>
      </c>
      <c r="T284">
        <v>2</v>
      </c>
      <c r="W284" s="1">
        <v>2</v>
      </c>
      <c r="X284" s="1">
        <v>650</v>
      </c>
      <c r="AA284" s="1">
        <v>9999</v>
      </c>
      <c r="AE284" s="183" t="s">
        <v>1423</v>
      </c>
      <c r="AG284" t="e">
        <f ca="1">OFFSET(buff的资质计算!$M$1,MATCH(buff!D284,buff的资质计算!G:G,0)-1,0)*X284/10000</f>
        <v>#VALUE!</v>
      </c>
      <c r="AH284" t="e">
        <f ca="1">AG284/OFFSET(buff的资质计算!$L$1,MATCH(buff!D284,buff的资质计算!G:G,0)-1,0)</f>
        <v>#VALUE!</v>
      </c>
    </row>
    <row r="285" ht="15.75" spans="1:34">
      <c r="A285" s="153">
        <f ca="1">passive!W175</f>
        <v>220204</v>
      </c>
      <c r="B285" s="186" t="str">
        <f>passive!B175</f>
        <v>杀心剑法</v>
      </c>
      <c r="C285" s="295" t="str">
        <f t="shared" si="16"/>
        <v>每使用2招，造成敌人当前血量7%的伤害</v>
      </c>
      <c r="D285" s="186">
        <v>2</v>
      </c>
      <c r="E285" s="179">
        <v>2</v>
      </c>
      <c r="F285" s="179">
        <v>3</v>
      </c>
      <c r="G285" s="1">
        <v>1</v>
      </c>
      <c r="H285" s="1">
        <v>2</v>
      </c>
      <c r="I285" s="157">
        <v>25</v>
      </c>
      <c r="J285" s="294">
        <v>31</v>
      </c>
      <c r="K285" s="1">
        <v>4</v>
      </c>
      <c r="L285" s="1">
        <v>1</v>
      </c>
      <c r="M285" s="1">
        <v>0</v>
      </c>
      <c r="N285">
        <v>1</v>
      </c>
      <c r="O285">
        <v>2</v>
      </c>
      <c r="P285">
        <v>1</v>
      </c>
      <c r="Q285" s="1">
        <v>2</v>
      </c>
      <c r="R285" s="3">
        <v>10000</v>
      </c>
      <c r="S285">
        <v>8</v>
      </c>
      <c r="T285">
        <v>2</v>
      </c>
      <c r="W285" s="1">
        <v>2</v>
      </c>
      <c r="X285" s="1">
        <v>700</v>
      </c>
      <c r="AA285" s="1">
        <v>9999</v>
      </c>
      <c r="AE285" s="183" t="s">
        <v>1423</v>
      </c>
      <c r="AG285" t="e">
        <f ca="1">OFFSET(buff的资质计算!$M$1,MATCH(buff!D285,buff的资质计算!G:G,0)-1,0)*X285/10000</f>
        <v>#VALUE!</v>
      </c>
      <c r="AH285" t="e">
        <f ca="1">AG285/OFFSET(buff的资质计算!$L$1,MATCH(buff!D285,buff的资质计算!G:G,0)-1,0)</f>
        <v>#VALUE!</v>
      </c>
    </row>
    <row r="286" ht="15.75" spans="1:34">
      <c r="A286" s="153">
        <f ca="1">passive!W176</f>
        <v>220205</v>
      </c>
      <c r="B286" s="186" t="str">
        <f>passive!B176</f>
        <v>杀心剑法</v>
      </c>
      <c r="C286" s="295" t="str">
        <f t="shared" si="16"/>
        <v>每使用2招，造成敌人当前血量7.5%的伤害</v>
      </c>
      <c r="D286" s="186">
        <v>2</v>
      </c>
      <c r="E286" s="179">
        <v>2</v>
      </c>
      <c r="F286" s="179">
        <v>3</v>
      </c>
      <c r="G286" s="1">
        <v>1</v>
      </c>
      <c r="H286" s="1">
        <v>2</v>
      </c>
      <c r="I286" s="157">
        <v>25</v>
      </c>
      <c r="J286" s="294">
        <v>31</v>
      </c>
      <c r="K286" s="1">
        <v>4</v>
      </c>
      <c r="L286" s="1">
        <v>1</v>
      </c>
      <c r="M286" s="1">
        <v>0</v>
      </c>
      <c r="N286">
        <v>1</v>
      </c>
      <c r="O286">
        <v>2</v>
      </c>
      <c r="P286">
        <v>1</v>
      </c>
      <c r="Q286" s="1">
        <v>2</v>
      </c>
      <c r="R286" s="3">
        <v>10000</v>
      </c>
      <c r="S286">
        <v>8</v>
      </c>
      <c r="T286">
        <v>2</v>
      </c>
      <c r="W286" s="1">
        <v>2</v>
      </c>
      <c r="X286" s="1">
        <v>750</v>
      </c>
      <c r="AA286" s="1">
        <v>9999</v>
      </c>
      <c r="AE286" s="183" t="s">
        <v>1423</v>
      </c>
      <c r="AG286" t="e">
        <f ca="1">OFFSET(buff的资质计算!$M$1,MATCH(buff!D286,buff的资质计算!G:G,0)-1,0)*X286/10000</f>
        <v>#VALUE!</v>
      </c>
      <c r="AH286" t="e">
        <f ca="1">AG286/OFFSET(buff的资质计算!$L$1,MATCH(buff!D286,buff的资质计算!G:G,0)-1,0)</f>
        <v>#VALUE!</v>
      </c>
    </row>
    <row r="287" ht="15.75" spans="1:34">
      <c r="A287" s="153">
        <f ca="1">passive!W177</f>
        <v>220206</v>
      </c>
      <c r="B287" s="186" t="str">
        <f>passive!B177</f>
        <v>杀心剑法</v>
      </c>
      <c r="C287" s="295" t="str">
        <f t="shared" si="16"/>
        <v>每使用2招，造成敌人当前血量8%的伤害</v>
      </c>
      <c r="D287" s="186">
        <v>2</v>
      </c>
      <c r="E287" s="179">
        <v>2</v>
      </c>
      <c r="F287" s="179">
        <v>3</v>
      </c>
      <c r="G287" s="1">
        <v>1</v>
      </c>
      <c r="H287" s="1">
        <v>2</v>
      </c>
      <c r="I287" s="157">
        <v>25</v>
      </c>
      <c r="J287" s="294">
        <v>31</v>
      </c>
      <c r="K287" s="1">
        <v>4</v>
      </c>
      <c r="L287" s="1">
        <v>1</v>
      </c>
      <c r="M287" s="1">
        <v>0</v>
      </c>
      <c r="N287">
        <v>1</v>
      </c>
      <c r="O287">
        <v>2</v>
      </c>
      <c r="P287">
        <v>1</v>
      </c>
      <c r="Q287" s="1">
        <v>2</v>
      </c>
      <c r="R287" s="3">
        <v>10000</v>
      </c>
      <c r="S287">
        <v>8</v>
      </c>
      <c r="T287">
        <v>2</v>
      </c>
      <c r="W287" s="1">
        <v>2</v>
      </c>
      <c r="X287" s="1">
        <v>800</v>
      </c>
      <c r="AA287" s="1">
        <v>9999</v>
      </c>
      <c r="AE287" s="183" t="s">
        <v>1423</v>
      </c>
      <c r="AG287" t="e">
        <f ca="1">OFFSET(buff的资质计算!$M$1,MATCH(buff!D287,buff的资质计算!G:G,0)-1,0)*X287/10000</f>
        <v>#VALUE!</v>
      </c>
      <c r="AH287" t="e">
        <f ca="1">AG287/OFFSET(buff的资质计算!$L$1,MATCH(buff!D287,buff的资质计算!G:G,0)-1,0)</f>
        <v>#VALUE!</v>
      </c>
    </row>
    <row r="288" ht="15.75" spans="1:34">
      <c r="A288" s="153">
        <f ca="1">passive!W178</f>
        <v>220207</v>
      </c>
      <c r="B288" s="186" t="str">
        <f>passive!B178</f>
        <v>杀心剑法</v>
      </c>
      <c r="C288" s="295" t="str">
        <f t="shared" si="16"/>
        <v>每使用2招，造成敌人当前血量8.5%的伤害</v>
      </c>
      <c r="D288" s="186">
        <v>2</v>
      </c>
      <c r="E288" s="179">
        <v>2</v>
      </c>
      <c r="F288" s="179">
        <v>3</v>
      </c>
      <c r="G288" s="1">
        <v>1</v>
      </c>
      <c r="H288" s="1">
        <v>2</v>
      </c>
      <c r="I288" s="157">
        <v>25</v>
      </c>
      <c r="J288" s="294">
        <v>31</v>
      </c>
      <c r="K288" s="1">
        <v>4</v>
      </c>
      <c r="L288" s="1">
        <v>1</v>
      </c>
      <c r="M288" s="1">
        <v>0</v>
      </c>
      <c r="N288">
        <v>1</v>
      </c>
      <c r="O288">
        <v>2</v>
      </c>
      <c r="P288">
        <v>1</v>
      </c>
      <c r="Q288" s="1">
        <v>2</v>
      </c>
      <c r="R288" s="3">
        <v>10000</v>
      </c>
      <c r="S288">
        <v>8</v>
      </c>
      <c r="T288">
        <v>2</v>
      </c>
      <c r="W288" s="1">
        <v>2</v>
      </c>
      <c r="X288" s="1">
        <v>850</v>
      </c>
      <c r="AA288" s="1">
        <v>9999</v>
      </c>
      <c r="AE288" s="183" t="s">
        <v>1423</v>
      </c>
      <c r="AG288" t="e">
        <f ca="1">OFFSET(buff的资质计算!$M$1,MATCH(buff!D288,buff的资质计算!G:G,0)-1,0)*X288/10000</f>
        <v>#VALUE!</v>
      </c>
      <c r="AH288" t="e">
        <f ca="1">AG288/OFFSET(buff的资质计算!$L$1,MATCH(buff!D288,buff的资质计算!G:G,0)-1,0)</f>
        <v>#VALUE!</v>
      </c>
    </row>
    <row r="289" ht="15.75" spans="1:34">
      <c r="A289" s="153">
        <f ca="1">passive!W179</f>
        <v>220208</v>
      </c>
      <c r="B289" s="186" t="str">
        <f>passive!B179</f>
        <v>杀心剑法</v>
      </c>
      <c r="C289" s="295" t="str">
        <f t="shared" si="16"/>
        <v>每使用2招，造成敌人当前血量9%的伤害</v>
      </c>
      <c r="D289" s="186">
        <v>2</v>
      </c>
      <c r="E289" s="179">
        <v>2</v>
      </c>
      <c r="F289" s="179">
        <v>3</v>
      </c>
      <c r="G289" s="1">
        <v>1</v>
      </c>
      <c r="H289" s="1">
        <v>2</v>
      </c>
      <c r="I289" s="157">
        <v>25</v>
      </c>
      <c r="J289" s="294">
        <v>31</v>
      </c>
      <c r="K289" s="1">
        <v>4</v>
      </c>
      <c r="L289" s="1">
        <v>1</v>
      </c>
      <c r="M289" s="1">
        <v>0</v>
      </c>
      <c r="N289">
        <v>1</v>
      </c>
      <c r="O289">
        <v>2</v>
      </c>
      <c r="P289">
        <v>1</v>
      </c>
      <c r="Q289" s="1">
        <v>2</v>
      </c>
      <c r="R289" s="3">
        <v>10000</v>
      </c>
      <c r="S289">
        <v>8</v>
      </c>
      <c r="T289">
        <v>2</v>
      </c>
      <c r="W289" s="1">
        <v>2</v>
      </c>
      <c r="X289" s="1">
        <v>900</v>
      </c>
      <c r="AA289" s="1">
        <v>9999</v>
      </c>
      <c r="AE289" s="183" t="s">
        <v>1423</v>
      </c>
      <c r="AG289" t="e">
        <f ca="1">OFFSET(buff的资质计算!$M$1,MATCH(buff!D289,buff的资质计算!G:G,0)-1,0)*X289/10000</f>
        <v>#VALUE!</v>
      </c>
      <c r="AH289" t="e">
        <f ca="1">AG289/OFFSET(buff的资质计算!$L$1,MATCH(buff!D289,buff的资质计算!G:G,0)-1,0)</f>
        <v>#VALUE!</v>
      </c>
    </row>
    <row r="290" ht="15.75" spans="1:34">
      <c r="A290" s="153">
        <f ca="1">passive!W180</f>
        <v>220209</v>
      </c>
      <c r="B290" s="186" t="str">
        <f>passive!B180</f>
        <v>杀心剑法</v>
      </c>
      <c r="C290" s="295" t="str">
        <f t="shared" si="16"/>
        <v>每使用2招，造成敌人当前血量9.5%的伤害</v>
      </c>
      <c r="D290" s="186">
        <v>2</v>
      </c>
      <c r="E290" s="179">
        <v>2</v>
      </c>
      <c r="F290" s="179">
        <v>3</v>
      </c>
      <c r="G290" s="1">
        <v>1</v>
      </c>
      <c r="H290" s="1">
        <v>2</v>
      </c>
      <c r="I290" s="157">
        <v>25</v>
      </c>
      <c r="J290" s="294">
        <v>31</v>
      </c>
      <c r="K290" s="1">
        <v>4</v>
      </c>
      <c r="L290" s="1">
        <v>1</v>
      </c>
      <c r="M290" s="1">
        <v>0</v>
      </c>
      <c r="N290">
        <v>1</v>
      </c>
      <c r="O290">
        <v>2</v>
      </c>
      <c r="P290">
        <v>1</v>
      </c>
      <c r="Q290" s="1">
        <v>2</v>
      </c>
      <c r="R290" s="3">
        <v>10000</v>
      </c>
      <c r="S290">
        <v>8</v>
      </c>
      <c r="T290">
        <v>2</v>
      </c>
      <c r="W290" s="1">
        <v>2</v>
      </c>
      <c r="X290" s="1">
        <v>950</v>
      </c>
      <c r="AA290" s="1">
        <v>9999</v>
      </c>
      <c r="AE290" s="183" t="s">
        <v>1423</v>
      </c>
      <c r="AG290" t="e">
        <f ca="1">OFFSET(buff的资质计算!$M$1,MATCH(buff!D290,buff的资质计算!G:G,0)-1,0)*X290/10000</f>
        <v>#VALUE!</v>
      </c>
      <c r="AH290" t="e">
        <f ca="1">AG290/OFFSET(buff的资质计算!$L$1,MATCH(buff!D290,buff的资质计算!G:G,0)-1,0)</f>
        <v>#VALUE!</v>
      </c>
    </row>
    <row r="291" ht="15.75" spans="1:34">
      <c r="A291" s="153">
        <f ca="1">passive!W181</f>
        <v>220210</v>
      </c>
      <c r="B291" s="186" t="str">
        <f>passive!B181</f>
        <v>杀心剑法</v>
      </c>
      <c r="C291" s="295" t="str">
        <f t="shared" si="16"/>
        <v>每使用2招，造成敌人当前血量10%的伤害</v>
      </c>
      <c r="D291" s="186">
        <v>2</v>
      </c>
      <c r="E291" s="179">
        <v>2</v>
      </c>
      <c r="F291" s="179">
        <v>3</v>
      </c>
      <c r="G291" s="1">
        <v>1</v>
      </c>
      <c r="H291" s="1">
        <v>2</v>
      </c>
      <c r="I291" s="157">
        <v>25</v>
      </c>
      <c r="J291" s="294">
        <v>31</v>
      </c>
      <c r="K291" s="1">
        <v>4</v>
      </c>
      <c r="L291" s="1">
        <v>1</v>
      </c>
      <c r="M291" s="1">
        <v>0</v>
      </c>
      <c r="N291">
        <v>1</v>
      </c>
      <c r="O291">
        <v>2</v>
      </c>
      <c r="P291">
        <v>1</v>
      </c>
      <c r="Q291" s="1">
        <v>2</v>
      </c>
      <c r="R291" s="3">
        <v>10000</v>
      </c>
      <c r="S291">
        <v>8</v>
      </c>
      <c r="T291">
        <v>2</v>
      </c>
      <c r="W291" s="1">
        <v>2</v>
      </c>
      <c r="X291" s="1">
        <v>1000</v>
      </c>
      <c r="AA291" s="1">
        <v>9999</v>
      </c>
      <c r="AE291" s="183" t="s">
        <v>1423</v>
      </c>
      <c r="AG291" t="e">
        <f ca="1">OFFSET(buff的资质计算!$M$1,MATCH(buff!D291,buff的资质计算!G:G,0)-1,0)*X291/10000</f>
        <v>#VALUE!</v>
      </c>
      <c r="AH291" t="e">
        <f ca="1">AG291/OFFSET(buff的资质计算!$L$1,MATCH(buff!D291,buff的资质计算!G:G,0)-1,0)</f>
        <v>#VALUE!</v>
      </c>
    </row>
    <row r="292" spans="1:31">
      <c r="A292" s="153">
        <f ca="1">passive!W182</f>
        <v>220300</v>
      </c>
      <c r="B292" s="186" t="str">
        <f>passive!B182</f>
        <v>诛仙剑图</v>
      </c>
      <c r="C292" s="295" t="str">
        <f t="shared" ref="C292:C302" si="17">"每使用4招剑法，下一招剑法伤害额外增加"&amp;X30/100&amp;"%"</f>
        <v>每使用4招剑法，下一招剑法伤害额外增加150%</v>
      </c>
      <c r="D292" s="186">
        <v>2</v>
      </c>
      <c r="E292" s="179">
        <v>2</v>
      </c>
      <c r="F292" s="179">
        <v>3</v>
      </c>
      <c r="G292" s="1">
        <v>13</v>
      </c>
      <c r="H292" s="1">
        <v>1</v>
      </c>
      <c r="I292" s="157"/>
      <c r="J292" s="294"/>
      <c r="K292" s="1">
        <v>4</v>
      </c>
      <c r="L292" s="1">
        <v>1</v>
      </c>
      <c r="M292" s="1">
        <v>0</v>
      </c>
      <c r="N292">
        <v>1</v>
      </c>
      <c r="O292">
        <v>2</v>
      </c>
      <c r="P292">
        <v>1</v>
      </c>
      <c r="Q292" s="1">
        <v>4</v>
      </c>
      <c r="R292" s="3">
        <v>10000</v>
      </c>
      <c r="V292" s="153">
        <v>100</v>
      </c>
      <c r="W292" s="1">
        <v>1</v>
      </c>
      <c r="X292" s="1">
        <v>1</v>
      </c>
      <c r="AA292" s="1">
        <v>9999</v>
      </c>
      <c r="AE292" t="s">
        <v>1326</v>
      </c>
    </row>
    <row r="293" spans="1:31">
      <c r="A293" s="153">
        <f ca="1">passive!W183</f>
        <v>220301</v>
      </c>
      <c r="B293" s="186" t="str">
        <f>passive!B183</f>
        <v>诛仙剑图</v>
      </c>
      <c r="C293" s="295" t="str">
        <f t="shared" si="17"/>
        <v>每使用4招剑法，下一招剑法伤害额外增加170%</v>
      </c>
      <c r="D293" s="186">
        <v>2</v>
      </c>
      <c r="E293" s="179">
        <v>2</v>
      </c>
      <c r="F293" s="179">
        <v>3</v>
      </c>
      <c r="G293" s="1">
        <v>13</v>
      </c>
      <c r="H293" s="1">
        <v>1</v>
      </c>
      <c r="I293" s="157"/>
      <c r="J293" s="294"/>
      <c r="K293" s="1">
        <v>4</v>
      </c>
      <c r="L293" s="1">
        <v>1</v>
      </c>
      <c r="M293" s="1">
        <v>0</v>
      </c>
      <c r="N293">
        <v>1</v>
      </c>
      <c r="O293">
        <v>2</v>
      </c>
      <c r="P293">
        <v>1</v>
      </c>
      <c r="Q293" s="1">
        <v>4</v>
      </c>
      <c r="R293" s="3">
        <v>10000</v>
      </c>
      <c r="V293" s="153">
        <v>101</v>
      </c>
      <c r="W293" s="1">
        <v>1</v>
      </c>
      <c r="X293" s="1">
        <v>1</v>
      </c>
      <c r="AA293" s="1">
        <v>9999</v>
      </c>
      <c r="AE293" t="s">
        <v>1326</v>
      </c>
    </row>
    <row r="294" spans="1:31">
      <c r="A294" s="153">
        <f ca="1">passive!W184</f>
        <v>220302</v>
      </c>
      <c r="B294" s="186" t="str">
        <f>passive!B184</f>
        <v>诛仙剑图</v>
      </c>
      <c r="C294" s="295" t="str">
        <f t="shared" si="17"/>
        <v>每使用4招剑法，下一招剑法伤害额外增加190%</v>
      </c>
      <c r="D294" s="186">
        <v>2</v>
      </c>
      <c r="E294" s="179">
        <v>2</v>
      </c>
      <c r="F294" s="179">
        <v>3</v>
      </c>
      <c r="G294" s="1">
        <v>13</v>
      </c>
      <c r="H294" s="1">
        <v>1</v>
      </c>
      <c r="I294" s="157"/>
      <c r="J294" s="294"/>
      <c r="K294" s="1">
        <v>4</v>
      </c>
      <c r="L294" s="1">
        <v>1</v>
      </c>
      <c r="M294" s="1">
        <v>0</v>
      </c>
      <c r="N294">
        <v>1</v>
      </c>
      <c r="O294">
        <v>2</v>
      </c>
      <c r="P294">
        <v>1</v>
      </c>
      <c r="Q294" s="1">
        <v>4</v>
      </c>
      <c r="R294" s="3">
        <v>10000</v>
      </c>
      <c r="V294" s="153">
        <v>102</v>
      </c>
      <c r="W294" s="1">
        <v>1</v>
      </c>
      <c r="X294" s="1">
        <v>1</v>
      </c>
      <c r="AA294" s="1">
        <v>9999</v>
      </c>
      <c r="AE294" t="s">
        <v>1326</v>
      </c>
    </row>
    <row r="295" spans="1:31">
      <c r="A295" s="153">
        <f ca="1">passive!W185</f>
        <v>220303</v>
      </c>
      <c r="B295" s="186" t="str">
        <f>passive!B185</f>
        <v>诛仙剑图</v>
      </c>
      <c r="C295" s="295" t="str">
        <f t="shared" si="17"/>
        <v>每使用4招剑法，下一招剑法伤害额外增加210%</v>
      </c>
      <c r="D295" s="186">
        <v>2</v>
      </c>
      <c r="E295" s="179">
        <v>2</v>
      </c>
      <c r="F295" s="179">
        <v>3</v>
      </c>
      <c r="G295" s="1">
        <v>13</v>
      </c>
      <c r="H295" s="1">
        <v>1</v>
      </c>
      <c r="I295" s="157"/>
      <c r="J295" s="294"/>
      <c r="K295" s="1">
        <v>4</v>
      </c>
      <c r="L295" s="1">
        <v>1</v>
      </c>
      <c r="M295" s="1">
        <v>0</v>
      </c>
      <c r="N295">
        <v>1</v>
      </c>
      <c r="O295">
        <v>2</v>
      </c>
      <c r="P295">
        <v>1</v>
      </c>
      <c r="Q295" s="1">
        <v>4</v>
      </c>
      <c r="R295" s="3">
        <v>10000</v>
      </c>
      <c r="V295" s="153">
        <v>103</v>
      </c>
      <c r="W295" s="1">
        <v>1</v>
      </c>
      <c r="X295" s="1">
        <v>1</v>
      </c>
      <c r="AA295" s="1">
        <v>9999</v>
      </c>
      <c r="AE295" t="s">
        <v>1326</v>
      </c>
    </row>
    <row r="296" spans="1:31">
      <c r="A296" s="153">
        <f ca="1">passive!W186</f>
        <v>220304</v>
      </c>
      <c r="B296" s="186" t="str">
        <f>passive!B186</f>
        <v>诛仙剑图</v>
      </c>
      <c r="C296" s="295" t="str">
        <f t="shared" si="17"/>
        <v>每使用4招剑法，下一招剑法伤害额外增加230%</v>
      </c>
      <c r="D296" s="186">
        <v>2</v>
      </c>
      <c r="E296" s="179">
        <v>2</v>
      </c>
      <c r="F296" s="179">
        <v>3</v>
      </c>
      <c r="G296" s="1">
        <v>13</v>
      </c>
      <c r="H296" s="1">
        <v>1</v>
      </c>
      <c r="I296" s="157"/>
      <c r="J296" s="294"/>
      <c r="K296" s="1">
        <v>4</v>
      </c>
      <c r="L296" s="1">
        <v>1</v>
      </c>
      <c r="M296" s="1">
        <v>0</v>
      </c>
      <c r="N296">
        <v>1</v>
      </c>
      <c r="O296">
        <v>2</v>
      </c>
      <c r="P296">
        <v>1</v>
      </c>
      <c r="Q296" s="1">
        <v>4</v>
      </c>
      <c r="R296" s="3">
        <v>10000</v>
      </c>
      <c r="V296" s="153">
        <v>104</v>
      </c>
      <c r="W296" s="1">
        <v>1</v>
      </c>
      <c r="X296" s="1">
        <v>1</v>
      </c>
      <c r="AA296" s="1">
        <v>9999</v>
      </c>
      <c r="AE296" t="s">
        <v>1326</v>
      </c>
    </row>
    <row r="297" spans="1:31">
      <c r="A297" s="153">
        <f ca="1">passive!W187</f>
        <v>220305</v>
      </c>
      <c r="B297" s="186" t="str">
        <f>passive!B187</f>
        <v>诛仙剑图</v>
      </c>
      <c r="C297" s="295" t="str">
        <f t="shared" si="17"/>
        <v>每使用4招剑法，下一招剑法伤害额外增加250%</v>
      </c>
      <c r="D297" s="186">
        <v>2</v>
      </c>
      <c r="E297" s="179">
        <v>2</v>
      </c>
      <c r="F297" s="179">
        <v>3</v>
      </c>
      <c r="G297" s="1">
        <v>13</v>
      </c>
      <c r="H297" s="1">
        <v>1</v>
      </c>
      <c r="I297" s="157"/>
      <c r="J297" s="294"/>
      <c r="K297" s="1">
        <v>4</v>
      </c>
      <c r="L297" s="1">
        <v>1</v>
      </c>
      <c r="M297" s="1">
        <v>0</v>
      </c>
      <c r="N297">
        <v>1</v>
      </c>
      <c r="O297">
        <v>2</v>
      </c>
      <c r="P297">
        <v>1</v>
      </c>
      <c r="Q297" s="1">
        <v>4</v>
      </c>
      <c r="R297" s="3">
        <v>10000</v>
      </c>
      <c r="V297" s="153">
        <v>105</v>
      </c>
      <c r="W297" s="1">
        <v>1</v>
      </c>
      <c r="X297" s="1">
        <v>1</v>
      </c>
      <c r="AA297" s="1">
        <v>9999</v>
      </c>
      <c r="AE297" t="s">
        <v>1326</v>
      </c>
    </row>
    <row r="298" spans="1:31">
      <c r="A298" s="153">
        <f ca="1">passive!W188</f>
        <v>220306</v>
      </c>
      <c r="B298" s="186" t="str">
        <f>passive!B188</f>
        <v>诛仙剑图</v>
      </c>
      <c r="C298" s="295" t="str">
        <f t="shared" si="17"/>
        <v>每使用4招剑法，下一招剑法伤害额外增加280%</v>
      </c>
      <c r="D298" s="186">
        <v>2</v>
      </c>
      <c r="E298" s="179">
        <v>2</v>
      </c>
      <c r="F298" s="179">
        <v>3</v>
      </c>
      <c r="G298" s="1">
        <v>13</v>
      </c>
      <c r="H298" s="1">
        <v>1</v>
      </c>
      <c r="I298" s="157"/>
      <c r="J298" s="294"/>
      <c r="K298" s="1">
        <v>4</v>
      </c>
      <c r="L298" s="1">
        <v>1</v>
      </c>
      <c r="M298" s="1">
        <v>0</v>
      </c>
      <c r="N298">
        <v>1</v>
      </c>
      <c r="O298">
        <v>2</v>
      </c>
      <c r="P298">
        <v>1</v>
      </c>
      <c r="Q298" s="1">
        <v>4</v>
      </c>
      <c r="R298" s="3">
        <v>10000</v>
      </c>
      <c r="V298" s="153">
        <v>106</v>
      </c>
      <c r="W298" s="1">
        <v>1</v>
      </c>
      <c r="X298" s="1">
        <v>1</v>
      </c>
      <c r="AA298" s="1">
        <v>9999</v>
      </c>
      <c r="AE298" t="s">
        <v>1326</v>
      </c>
    </row>
    <row r="299" spans="1:31">
      <c r="A299" s="153">
        <f ca="1">passive!W189</f>
        <v>220307</v>
      </c>
      <c r="B299" s="186" t="str">
        <f>passive!B189</f>
        <v>诛仙剑图</v>
      </c>
      <c r="C299" s="295" t="str">
        <f t="shared" si="17"/>
        <v>每使用4招剑法，下一招剑法伤害额外增加310%</v>
      </c>
      <c r="D299" s="186">
        <v>2</v>
      </c>
      <c r="E299" s="179">
        <v>2</v>
      </c>
      <c r="F299" s="179">
        <v>3</v>
      </c>
      <c r="G299" s="1">
        <v>13</v>
      </c>
      <c r="H299" s="1">
        <v>1</v>
      </c>
      <c r="I299" s="157"/>
      <c r="J299" s="294"/>
      <c r="K299" s="1">
        <v>4</v>
      </c>
      <c r="L299" s="1">
        <v>1</v>
      </c>
      <c r="M299" s="1">
        <v>0</v>
      </c>
      <c r="N299">
        <v>1</v>
      </c>
      <c r="O299">
        <v>2</v>
      </c>
      <c r="P299">
        <v>1</v>
      </c>
      <c r="Q299" s="1">
        <v>4</v>
      </c>
      <c r="R299" s="3">
        <v>10000</v>
      </c>
      <c r="V299" s="153">
        <v>107</v>
      </c>
      <c r="W299" s="1">
        <v>1</v>
      </c>
      <c r="X299" s="1">
        <v>1</v>
      </c>
      <c r="AA299" s="1">
        <v>9999</v>
      </c>
      <c r="AE299" t="s">
        <v>1326</v>
      </c>
    </row>
    <row r="300" spans="1:31">
      <c r="A300" s="153">
        <f ca="1">passive!W190</f>
        <v>220308</v>
      </c>
      <c r="B300" s="186" t="str">
        <f>passive!B190</f>
        <v>诛仙剑图</v>
      </c>
      <c r="C300" s="295" t="str">
        <f t="shared" si="17"/>
        <v>每使用4招剑法，下一招剑法伤害额外增加340%</v>
      </c>
      <c r="D300" s="186">
        <v>2</v>
      </c>
      <c r="E300" s="179">
        <v>2</v>
      </c>
      <c r="F300" s="179">
        <v>3</v>
      </c>
      <c r="G300" s="1">
        <v>13</v>
      </c>
      <c r="H300" s="1">
        <v>1</v>
      </c>
      <c r="I300" s="157"/>
      <c r="J300" s="294"/>
      <c r="K300" s="1">
        <v>4</v>
      </c>
      <c r="L300" s="1">
        <v>1</v>
      </c>
      <c r="M300" s="1">
        <v>0</v>
      </c>
      <c r="N300">
        <v>1</v>
      </c>
      <c r="O300">
        <v>2</v>
      </c>
      <c r="P300">
        <v>1</v>
      </c>
      <c r="Q300" s="1">
        <v>4</v>
      </c>
      <c r="R300" s="3">
        <v>10000</v>
      </c>
      <c r="V300" s="153">
        <v>108</v>
      </c>
      <c r="W300" s="1">
        <v>1</v>
      </c>
      <c r="X300" s="1">
        <v>1</v>
      </c>
      <c r="AA300" s="1">
        <v>9999</v>
      </c>
      <c r="AE300" t="s">
        <v>1326</v>
      </c>
    </row>
    <row r="301" spans="1:31">
      <c r="A301" s="153">
        <f ca="1">passive!W191</f>
        <v>220309</v>
      </c>
      <c r="B301" s="186" t="str">
        <f>passive!B191</f>
        <v>诛仙剑图</v>
      </c>
      <c r="C301" s="295" t="str">
        <f t="shared" si="17"/>
        <v>每使用4招剑法，下一招剑法伤害额外增加370%</v>
      </c>
      <c r="D301" s="186">
        <v>2</v>
      </c>
      <c r="E301" s="179">
        <v>2</v>
      </c>
      <c r="F301" s="179">
        <v>3</v>
      </c>
      <c r="G301" s="1">
        <v>13</v>
      </c>
      <c r="H301" s="1">
        <v>1</v>
      </c>
      <c r="I301" s="157"/>
      <c r="J301" s="294"/>
      <c r="K301" s="1">
        <v>4</v>
      </c>
      <c r="L301" s="1">
        <v>1</v>
      </c>
      <c r="M301" s="1">
        <v>0</v>
      </c>
      <c r="N301">
        <v>1</v>
      </c>
      <c r="O301">
        <v>2</v>
      </c>
      <c r="P301">
        <v>1</v>
      </c>
      <c r="Q301" s="1">
        <v>4</v>
      </c>
      <c r="R301" s="3">
        <v>10000</v>
      </c>
      <c r="V301" s="153">
        <v>109</v>
      </c>
      <c r="W301" s="1">
        <v>1</v>
      </c>
      <c r="X301" s="1">
        <v>1</v>
      </c>
      <c r="AA301" s="1">
        <v>9999</v>
      </c>
      <c r="AE301" t="s">
        <v>1326</v>
      </c>
    </row>
    <row r="302" spans="1:31">
      <c r="A302" s="153">
        <f ca="1">passive!W192</f>
        <v>220310</v>
      </c>
      <c r="B302" s="186" t="str">
        <f>passive!B192</f>
        <v>诛仙剑图</v>
      </c>
      <c r="C302" s="295" t="str">
        <f t="shared" si="17"/>
        <v>每使用4招剑法，下一招剑法伤害额外增加400%</v>
      </c>
      <c r="D302" s="186">
        <v>2</v>
      </c>
      <c r="E302" s="179">
        <v>2</v>
      </c>
      <c r="F302" s="179">
        <v>3</v>
      </c>
      <c r="G302" s="1">
        <v>13</v>
      </c>
      <c r="H302" s="1">
        <v>1</v>
      </c>
      <c r="I302" s="157"/>
      <c r="J302" s="294"/>
      <c r="K302" s="1">
        <v>4</v>
      </c>
      <c r="L302" s="1">
        <v>1</v>
      </c>
      <c r="M302" s="1">
        <v>0</v>
      </c>
      <c r="N302">
        <v>1</v>
      </c>
      <c r="O302">
        <v>2</v>
      </c>
      <c r="P302">
        <v>1</v>
      </c>
      <c r="Q302" s="1">
        <v>4</v>
      </c>
      <c r="R302" s="3">
        <v>10000</v>
      </c>
      <c r="V302" s="153">
        <v>110</v>
      </c>
      <c r="W302" s="1">
        <v>1</v>
      </c>
      <c r="X302" s="1">
        <v>1</v>
      </c>
      <c r="AA302" s="1">
        <v>9999</v>
      </c>
      <c r="AE302" t="s">
        <v>1326</v>
      </c>
    </row>
    <row r="303" ht="27.75" spans="1:34">
      <c r="A303" s="153">
        <f ca="1">passive!W193</f>
        <v>310100</v>
      </c>
      <c r="B303" s="186" t="str">
        <f>passive!B193</f>
        <v>乱星诀</v>
      </c>
      <c r="C303" s="291" t="s">
        <v>1424</v>
      </c>
      <c r="D303" s="186">
        <v>1</v>
      </c>
      <c r="E303" s="179">
        <v>2</v>
      </c>
      <c r="F303" s="179">
        <v>3</v>
      </c>
      <c r="G303" s="1">
        <v>4</v>
      </c>
      <c r="H303" s="1">
        <v>2</v>
      </c>
      <c r="I303" s="157">
        <v>25</v>
      </c>
      <c r="J303" s="294">
        <v>31</v>
      </c>
      <c r="K303" s="1">
        <v>4</v>
      </c>
      <c r="L303" s="1">
        <v>1</v>
      </c>
      <c r="M303" s="1">
        <v>0</v>
      </c>
      <c r="N303">
        <v>1</v>
      </c>
      <c r="O303">
        <v>3</v>
      </c>
      <c r="P303">
        <v>1</v>
      </c>
      <c r="Q303" s="1">
        <v>2</v>
      </c>
      <c r="R303" s="3">
        <v>10000</v>
      </c>
      <c r="W303" s="1">
        <v>1</v>
      </c>
      <c r="X303" s="1">
        <f>AG303*card!$S$1*buff的资质计算!$E$3*Q303</f>
        <v>21.06</v>
      </c>
      <c r="Y303" s="153">
        <v>4</v>
      </c>
      <c r="Z303" s="153">
        <f>AG303*card!$W$1*buff的资质计算!$E$2*Q303</f>
        <v>1.944</v>
      </c>
      <c r="AA303" s="1">
        <v>9999</v>
      </c>
      <c r="AE303" s="183" t="s">
        <v>1425</v>
      </c>
      <c r="AG303">
        <f t="shared" ref="AG303:AG313" si="18">AH303*0.9</f>
        <v>2.7</v>
      </c>
      <c r="AH303">
        <v>3</v>
      </c>
    </row>
    <row r="304" ht="27.75" spans="1:34">
      <c r="A304" s="153">
        <f ca="1">passive!W194</f>
        <v>310101</v>
      </c>
      <c r="B304" s="186" t="str">
        <f>passive!B194</f>
        <v>乱星诀</v>
      </c>
      <c r="C304" s="291" t="s">
        <v>1426</v>
      </c>
      <c r="D304" s="186">
        <v>1</v>
      </c>
      <c r="E304" s="179">
        <v>2</v>
      </c>
      <c r="F304" s="179">
        <v>3</v>
      </c>
      <c r="G304" s="1">
        <v>4</v>
      </c>
      <c r="H304" s="1">
        <v>2</v>
      </c>
      <c r="I304" s="157">
        <v>25</v>
      </c>
      <c r="J304" s="294">
        <v>31</v>
      </c>
      <c r="K304" s="1">
        <v>4</v>
      </c>
      <c r="L304" s="1">
        <v>1</v>
      </c>
      <c r="M304" s="1">
        <v>0</v>
      </c>
      <c r="N304">
        <v>1</v>
      </c>
      <c r="O304">
        <v>3</v>
      </c>
      <c r="P304">
        <v>1</v>
      </c>
      <c r="Q304" s="1">
        <v>2</v>
      </c>
      <c r="R304" s="3">
        <v>10000</v>
      </c>
      <c r="W304" s="1">
        <v>1</v>
      </c>
      <c r="X304" s="1">
        <f>AG304*card!$S$1*buff的资质计算!$E$3*Q304</f>
        <v>23.166</v>
      </c>
      <c r="Y304" s="153">
        <v>4</v>
      </c>
      <c r="Z304" s="153">
        <f>AG304*card!$W$1*buff的资质计算!$E$2*Q304</f>
        <v>2.1384</v>
      </c>
      <c r="AA304" s="1">
        <v>9999</v>
      </c>
      <c r="AE304" s="183" t="s">
        <v>1425</v>
      </c>
      <c r="AG304">
        <f t="shared" si="18"/>
        <v>2.97</v>
      </c>
      <c r="AH304">
        <v>3.3</v>
      </c>
    </row>
    <row r="305" ht="27.75" spans="1:34">
      <c r="A305" s="153">
        <f ca="1">passive!W195</f>
        <v>310102</v>
      </c>
      <c r="B305" s="186" t="str">
        <f>passive!B195</f>
        <v>乱星诀</v>
      </c>
      <c r="C305" s="291" t="s">
        <v>1427</v>
      </c>
      <c r="D305" s="186">
        <v>1</v>
      </c>
      <c r="E305" s="179">
        <v>2</v>
      </c>
      <c r="F305" s="179">
        <v>3</v>
      </c>
      <c r="G305" s="1">
        <v>4</v>
      </c>
      <c r="H305" s="1">
        <v>2</v>
      </c>
      <c r="I305" s="157">
        <v>25</v>
      </c>
      <c r="J305" s="294">
        <v>31</v>
      </c>
      <c r="K305" s="1">
        <v>4</v>
      </c>
      <c r="L305" s="1">
        <v>1</v>
      </c>
      <c r="M305" s="1">
        <v>0</v>
      </c>
      <c r="N305">
        <v>1</v>
      </c>
      <c r="O305">
        <v>3</v>
      </c>
      <c r="P305">
        <v>1</v>
      </c>
      <c r="Q305" s="1">
        <v>2</v>
      </c>
      <c r="R305" s="3">
        <v>10000</v>
      </c>
      <c r="W305" s="1">
        <v>1</v>
      </c>
      <c r="X305" s="1">
        <f>AG305*card!$S$1*buff的资质计算!$E$3*Q305</f>
        <v>25.272</v>
      </c>
      <c r="Y305" s="153">
        <v>4</v>
      </c>
      <c r="Z305" s="153">
        <f>AG305*card!$W$1*buff的资质计算!$E$2*Q305</f>
        <v>2.3328</v>
      </c>
      <c r="AA305" s="1">
        <v>9999</v>
      </c>
      <c r="AE305" s="183" t="s">
        <v>1425</v>
      </c>
      <c r="AG305">
        <f t="shared" si="18"/>
        <v>3.24</v>
      </c>
      <c r="AH305">
        <v>3.6</v>
      </c>
    </row>
    <row r="306" ht="27.75" spans="1:34">
      <c r="A306" s="153">
        <f ca="1">passive!W196</f>
        <v>310103</v>
      </c>
      <c r="B306" s="186" t="str">
        <f>passive!B196</f>
        <v>乱星诀</v>
      </c>
      <c r="C306" s="291" t="s">
        <v>1428</v>
      </c>
      <c r="D306" s="186">
        <v>1</v>
      </c>
      <c r="E306" s="179">
        <v>2</v>
      </c>
      <c r="F306" s="179">
        <v>3</v>
      </c>
      <c r="G306" s="1">
        <v>4</v>
      </c>
      <c r="H306" s="1">
        <v>2</v>
      </c>
      <c r="I306" s="157">
        <v>25</v>
      </c>
      <c r="J306" s="294">
        <v>31</v>
      </c>
      <c r="K306" s="1">
        <v>4</v>
      </c>
      <c r="L306" s="1">
        <v>1</v>
      </c>
      <c r="M306" s="1">
        <v>0</v>
      </c>
      <c r="N306">
        <v>1</v>
      </c>
      <c r="O306">
        <v>3</v>
      </c>
      <c r="P306">
        <v>1</v>
      </c>
      <c r="Q306" s="1">
        <v>2</v>
      </c>
      <c r="R306" s="3">
        <v>10000</v>
      </c>
      <c r="W306" s="1">
        <v>1</v>
      </c>
      <c r="X306" s="1">
        <f>AG306*card!$S$1*buff的资质计算!$E$3*Q306</f>
        <v>27.378</v>
      </c>
      <c r="Y306" s="153">
        <v>4</v>
      </c>
      <c r="Z306" s="153">
        <f>AG306*card!$W$1*buff的资质计算!$E$2*Q306</f>
        <v>2.5272</v>
      </c>
      <c r="AA306" s="1">
        <v>9999</v>
      </c>
      <c r="AE306" s="183" t="s">
        <v>1425</v>
      </c>
      <c r="AG306">
        <f t="shared" si="18"/>
        <v>3.51</v>
      </c>
      <c r="AH306">
        <v>3.9</v>
      </c>
    </row>
    <row r="307" ht="27.75" spans="1:34">
      <c r="A307" s="153">
        <f ca="1">passive!W197</f>
        <v>310104</v>
      </c>
      <c r="B307" s="186" t="str">
        <f>passive!B197</f>
        <v>乱星诀</v>
      </c>
      <c r="C307" s="291" t="s">
        <v>1429</v>
      </c>
      <c r="D307" s="186">
        <v>1</v>
      </c>
      <c r="E307" s="179">
        <v>2</v>
      </c>
      <c r="F307" s="179">
        <v>3</v>
      </c>
      <c r="G307" s="1">
        <v>4</v>
      </c>
      <c r="H307" s="1">
        <v>2</v>
      </c>
      <c r="I307" s="157">
        <v>25</v>
      </c>
      <c r="J307" s="294">
        <v>31</v>
      </c>
      <c r="K307" s="1">
        <v>4</v>
      </c>
      <c r="L307" s="1">
        <v>1</v>
      </c>
      <c r="M307" s="1">
        <v>0</v>
      </c>
      <c r="N307">
        <v>1</v>
      </c>
      <c r="O307">
        <v>3</v>
      </c>
      <c r="P307">
        <v>1</v>
      </c>
      <c r="Q307" s="1">
        <v>2</v>
      </c>
      <c r="R307" s="3">
        <v>10000</v>
      </c>
      <c r="W307" s="1">
        <v>1</v>
      </c>
      <c r="X307" s="1">
        <f>AG307*card!$S$1*buff的资质计算!$E$3*Q307</f>
        <v>29.484</v>
      </c>
      <c r="Y307" s="153">
        <v>4</v>
      </c>
      <c r="Z307" s="153">
        <f>AG307*card!$W$1*buff的资质计算!$E$2*Q307</f>
        <v>2.7216</v>
      </c>
      <c r="AA307" s="1">
        <v>9999</v>
      </c>
      <c r="AE307" s="183" t="s">
        <v>1425</v>
      </c>
      <c r="AG307">
        <f t="shared" si="18"/>
        <v>3.78</v>
      </c>
      <c r="AH307">
        <v>4.2</v>
      </c>
    </row>
    <row r="308" ht="27.75" spans="1:34">
      <c r="A308" s="153">
        <f ca="1">passive!W198</f>
        <v>310105</v>
      </c>
      <c r="B308" s="186" t="str">
        <f>passive!B198</f>
        <v>乱星诀</v>
      </c>
      <c r="C308" s="291" t="s">
        <v>1430</v>
      </c>
      <c r="D308" s="186">
        <v>1</v>
      </c>
      <c r="E308" s="179">
        <v>2</v>
      </c>
      <c r="F308" s="179">
        <v>3</v>
      </c>
      <c r="G308" s="1">
        <v>4</v>
      </c>
      <c r="H308" s="1">
        <v>2</v>
      </c>
      <c r="I308" s="157">
        <v>25</v>
      </c>
      <c r="J308" s="294">
        <v>31</v>
      </c>
      <c r="K308" s="1">
        <v>4</v>
      </c>
      <c r="L308" s="1">
        <v>1</v>
      </c>
      <c r="M308" s="1">
        <v>0</v>
      </c>
      <c r="N308">
        <v>1</v>
      </c>
      <c r="O308">
        <v>3</v>
      </c>
      <c r="P308">
        <v>1</v>
      </c>
      <c r="Q308" s="1">
        <v>2</v>
      </c>
      <c r="R308" s="3">
        <v>10000</v>
      </c>
      <c r="W308" s="1">
        <v>1</v>
      </c>
      <c r="X308" s="1">
        <f>AG308*card!$S$1*buff的资质计算!$E$3*Q308</f>
        <v>31.59</v>
      </c>
      <c r="Y308" s="153">
        <v>4</v>
      </c>
      <c r="Z308" s="153">
        <f>AG308*card!$W$1*buff的资质计算!$E$2*Q308</f>
        <v>2.916</v>
      </c>
      <c r="AA308" s="1">
        <v>9999</v>
      </c>
      <c r="AE308" s="183" t="s">
        <v>1425</v>
      </c>
      <c r="AG308">
        <f t="shared" si="18"/>
        <v>4.05</v>
      </c>
      <c r="AH308">
        <v>4.5</v>
      </c>
    </row>
    <row r="309" ht="27.75" spans="1:34">
      <c r="A309" s="153">
        <f ca="1">passive!W199</f>
        <v>310106</v>
      </c>
      <c r="B309" s="186" t="str">
        <f>passive!B199</f>
        <v>乱星诀</v>
      </c>
      <c r="C309" s="291" t="s">
        <v>1431</v>
      </c>
      <c r="D309" s="186">
        <v>1</v>
      </c>
      <c r="E309" s="179">
        <v>2</v>
      </c>
      <c r="F309" s="179">
        <v>3</v>
      </c>
      <c r="G309" s="1">
        <v>4</v>
      </c>
      <c r="H309" s="1">
        <v>2</v>
      </c>
      <c r="I309" s="157">
        <v>25</v>
      </c>
      <c r="J309" s="294">
        <v>31</v>
      </c>
      <c r="K309" s="1">
        <v>4</v>
      </c>
      <c r="L309" s="1">
        <v>1</v>
      </c>
      <c r="M309" s="1">
        <v>0</v>
      </c>
      <c r="N309">
        <v>1</v>
      </c>
      <c r="O309">
        <v>3</v>
      </c>
      <c r="P309">
        <v>1</v>
      </c>
      <c r="Q309" s="1">
        <v>2</v>
      </c>
      <c r="R309" s="3">
        <v>10000</v>
      </c>
      <c r="W309" s="1">
        <v>1</v>
      </c>
      <c r="X309" s="1">
        <f>AG309*card!$S$1*buff的资质计算!$E$3*Q309</f>
        <v>33.696</v>
      </c>
      <c r="Y309" s="153">
        <v>4</v>
      </c>
      <c r="Z309" s="153">
        <f>AG309*card!$W$1*buff的资质计算!$E$2*Q309</f>
        <v>3.1104</v>
      </c>
      <c r="AA309" s="1">
        <v>9999</v>
      </c>
      <c r="AE309" s="183" t="s">
        <v>1425</v>
      </c>
      <c r="AG309">
        <f t="shared" si="18"/>
        <v>4.32</v>
      </c>
      <c r="AH309">
        <v>4.8</v>
      </c>
    </row>
    <row r="310" ht="27.75" spans="1:34">
      <c r="A310" s="153">
        <f ca="1">passive!W200</f>
        <v>310107</v>
      </c>
      <c r="B310" s="186" t="str">
        <f>passive!B200</f>
        <v>乱星诀</v>
      </c>
      <c r="C310" s="291" t="s">
        <v>1432</v>
      </c>
      <c r="D310" s="186">
        <v>1</v>
      </c>
      <c r="E310" s="179">
        <v>2</v>
      </c>
      <c r="F310" s="179">
        <v>3</v>
      </c>
      <c r="G310" s="1">
        <v>4</v>
      </c>
      <c r="H310" s="1">
        <v>2</v>
      </c>
      <c r="I310" s="157">
        <v>25</v>
      </c>
      <c r="J310" s="294">
        <v>31</v>
      </c>
      <c r="K310" s="1">
        <v>4</v>
      </c>
      <c r="L310" s="1">
        <v>1</v>
      </c>
      <c r="M310" s="1">
        <v>0</v>
      </c>
      <c r="N310">
        <v>1</v>
      </c>
      <c r="O310">
        <v>3</v>
      </c>
      <c r="P310">
        <v>1</v>
      </c>
      <c r="Q310" s="1">
        <v>2</v>
      </c>
      <c r="R310" s="3">
        <v>10000</v>
      </c>
      <c r="W310" s="1">
        <v>1</v>
      </c>
      <c r="X310" s="1">
        <f>AG310*card!$S$1*buff的资质计算!$E$3*Q310</f>
        <v>35.802</v>
      </c>
      <c r="Y310" s="153">
        <v>4</v>
      </c>
      <c r="Z310" s="153">
        <f>AG310*card!$W$1*buff的资质计算!$E$2*Q310</f>
        <v>3.3048</v>
      </c>
      <c r="AA310" s="1">
        <v>9999</v>
      </c>
      <c r="AE310" s="183" t="s">
        <v>1425</v>
      </c>
      <c r="AG310">
        <f t="shared" si="18"/>
        <v>4.59</v>
      </c>
      <c r="AH310">
        <v>5.1</v>
      </c>
    </row>
    <row r="311" ht="27.75" spans="1:34">
      <c r="A311" s="153">
        <f ca="1">passive!W201</f>
        <v>310108</v>
      </c>
      <c r="B311" s="186" t="str">
        <f>passive!B201</f>
        <v>乱星诀</v>
      </c>
      <c r="C311" s="291" t="s">
        <v>1433</v>
      </c>
      <c r="D311" s="186">
        <v>1</v>
      </c>
      <c r="E311" s="179">
        <v>2</v>
      </c>
      <c r="F311" s="179">
        <v>3</v>
      </c>
      <c r="G311" s="1">
        <v>4</v>
      </c>
      <c r="H311" s="1">
        <v>2</v>
      </c>
      <c r="I311" s="157">
        <v>25</v>
      </c>
      <c r="J311" s="294">
        <v>31</v>
      </c>
      <c r="K311" s="1">
        <v>4</v>
      </c>
      <c r="L311" s="1">
        <v>1</v>
      </c>
      <c r="M311" s="1">
        <v>0</v>
      </c>
      <c r="N311">
        <v>1</v>
      </c>
      <c r="O311">
        <v>3</v>
      </c>
      <c r="P311">
        <v>1</v>
      </c>
      <c r="Q311" s="1">
        <v>2</v>
      </c>
      <c r="R311" s="3">
        <v>10000</v>
      </c>
      <c r="W311" s="1">
        <v>1</v>
      </c>
      <c r="X311" s="1">
        <f>AG311*card!$S$1*buff的资质计算!$E$3*Q311</f>
        <v>37.908</v>
      </c>
      <c r="Y311" s="153">
        <v>4</v>
      </c>
      <c r="Z311" s="153">
        <f>AG311*card!$W$1*buff的资质计算!$E$2*Q311</f>
        <v>3.4992</v>
      </c>
      <c r="AA311" s="1">
        <v>9999</v>
      </c>
      <c r="AE311" s="183" t="s">
        <v>1425</v>
      </c>
      <c r="AG311">
        <f t="shared" si="18"/>
        <v>4.86</v>
      </c>
      <c r="AH311">
        <v>5.4</v>
      </c>
    </row>
    <row r="312" ht="27.75" spans="1:34">
      <c r="A312" s="153">
        <f ca="1">passive!W202</f>
        <v>310109</v>
      </c>
      <c r="B312" s="186" t="str">
        <f>passive!B202</f>
        <v>乱星诀</v>
      </c>
      <c r="C312" s="291" t="s">
        <v>1434</v>
      </c>
      <c r="D312" s="186">
        <v>1</v>
      </c>
      <c r="E312" s="179">
        <v>2</v>
      </c>
      <c r="F312" s="179">
        <v>3</v>
      </c>
      <c r="G312" s="1">
        <v>4</v>
      </c>
      <c r="H312" s="1">
        <v>2</v>
      </c>
      <c r="I312" s="157">
        <v>25</v>
      </c>
      <c r="J312" s="294">
        <v>31</v>
      </c>
      <c r="K312" s="1">
        <v>4</v>
      </c>
      <c r="L312" s="1">
        <v>1</v>
      </c>
      <c r="M312" s="1">
        <v>0</v>
      </c>
      <c r="N312">
        <v>1</v>
      </c>
      <c r="O312">
        <v>3</v>
      </c>
      <c r="P312">
        <v>1</v>
      </c>
      <c r="Q312" s="1">
        <v>2</v>
      </c>
      <c r="R312" s="3">
        <v>10000</v>
      </c>
      <c r="W312" s="1">
        <v>1</v>
      </c>
      <c r="X312" s="1">
        <f>AG312*card!$S$1*buff的资质计算!$E$3*Q312</f>
        <v>40.014</v>
      </c>
      <c r="Y312" s="153">
        <v>4</v>
      </c>
      <c r="Z312" s="153">
        <f>AG312*card!$W$1*buff的资质计算!$E$2*Q312</f>
        <v>3.6936</v>
      </c>
      <c r="AA312" s="1">
        <v>9999</v>
      </c>
      <c r="AE312" s="183" t="s">
        <v>1425</v>
      </c>
      <c r="AG312">
        <f t="shared" si="18"/>
        <v>5.13</v>
      </c>
      <c r="AH312">
        <v>5.7</v>
      </c>
    </row>
    <row r="313" ht="27.75" spans="1:34">
      <c r="A313" s="153">
        <f ca="1">passive!W203</f>
        <v>310110</v>
      </c>
      <c r="B313" s="186" t="str">
        <f>passive!B203</f>
        <v>乱星诀</v>
      </c>
      <c r="C313" s="291" t="s">
        <v>1435</v>
      </c>
      <c r="D313" s="186">
        <v>1</v>
      </c>
      <c r="E313" s="179">
        <v>2</v>
      </c>
      <c r="F313" s="179">
        <v>3</v>
      </c>
      <c r="G313" s="1">
        <v>4</v>
      </c>
      <c r="H313" s="1">
        <v>2</v>
      </c>
      <c r="I313" s="157">
        <v>25</v>
      </c>
      <c r="J313" s="294">
        <v>31</v>
      </c>
      <c r="K313" s="1">
        <v>4</v>
      </c>
      <c r="L313" s="1">
        <v>1</v>
      </c>
      <c r="M313" s="1">
        <v>0</v>
      </c>
      <c r="N313">
        <v>1</v>
      </c>
      <c r="O313">
        <v>3</v>
      </c>
      <c r="P313">
        <v>1</v>
      </c>
      <c r="Q313" s="1">
        <v>2</v>
      </c>
      <c r="R313" s="3">
        <v>10000</v>
      </c>
      <c r="W313" s="1">
        <v>1</v>
      </c>
      <c r="X313" s="1">
        <f>AG313*card!$S$1*buff的资质计算!$E$3*Q313</f>
        <v>42.12</v>
      </c>
      <c r="Y313" s="153">
        <v>4</v>
      </c>
      <c r="Z313" s="153">
        <f>AG313*card!$W$1*buff的资质计算!$E$2*Q313</f>
        <v>3.888</v>
      </c>
      <c r="AA313" s="1">
        <v>9999</v>
      </c>
      <c r="AE313" s="183" t="s">
        <v>1425</v>
      </c>
      <c r="AG313">
        <f t="shared" si="18"/>
        <v>5.4</v>
      </c>
      <c r="AH313">
        <v>6</v>
      </c>
    </row>
    <row r="314" ht="15.75" spans="1:34">
      <c r="A314" s="153">
        <f ca="1">passive!W204</f>
        <v>310200</v>
      </c>
      <c r="B314" s="186" t="str">
        <f>passive!B204</f>
        <v>五雷正法</v>
      </c>
      <c r="C314" s="291" t="str">
        <f t="shared" ref="C314:C324" si="19">"增加法术伤害"&amp;X314/100&amp;"%"</f>
        <v>增加法术伤害10%</v>
      </c>
      <c r="D314">
        <v>2</v>
      </c>
      <c r="E314" s="179">
        <v>2</v>
      </c>
      <c r="F314" s="179">
        <v>3</v>
      </c>
      <c r="G314" s="1">
        <v>7</v>
      </c>
      <c r="H314" s="1">
        <v>1</v>
      </c>
      <c r="I314" s="1"/>
      <c r="J314" s="1"/>
      <c r="K314" s="1">
        <v>4</v>
      </c>
      <c r="L314" s="1">
        <v>1</v>
      </c>
      <c r="M314" s="1">
        <v>0</v>
      </c>
      <c r="N314" s="1">
        <v>1</v>
      </c>
      <c r="O314" s="1">
        <v>3</v>
      </c>
      <c r="P314" s="1">
        <v>1</v>
      </c>
      <c r="Q314" s="1">
        <v>1</v>
      </c>
      <c r="R314" s="3">
        <v>10000</v>
      </c>
      <c r="S314" s="1"/>
      <c r="T314" s="1"/>
      <c r="U314" s="1"/>
      <c r="W314" s="1">
        <v>2</v>
      </c>
      <c r="X314" s="1">
        <v>1000</v>
      </c>
      <c r="AA314" s="1">
        <v>9999</v>
      </c>
      <c r="AB314" s="3"/>
      <c r="AC314" s="1"/>
      <c r="AD314" s="1"/>
      <c r="AE314" s="183" t="s">
        <v>1436</v>
      </c>
      <c r="AG314" t="e">
        <f ca="1">OFFSET(buff的资质计算!$M$1,MATCH(buff!D314,buff的资质计算!G:G,0)-1,0)*X314/10000</f>
        <v>#VALUE!</v>
      </c>
      <c r="AH314" t="e">
        <f ca="1">AG314/OFFSET(buff的资质计算!$L$1,MATCH(buff!D314,buff的资质计算!G:G,0)-1,0)</f>
        <v>#VALUE!</v>
      </c>
    </row>
    <row r="315" ht="15.75" spans="1:34">
      <c r="A315" s="153">
        <f ca="1">passive!W205</f>
        <v>310201</v>
      </c>
      <c r="B315" s="186" t="str">
        <f>passive!B205</f>
        <v>五雷正法</v>
      </c>
      <c r="C315" s="291" t="str">
        <f t="shared" si="19"/>
        <v>增加法术伤害12%</v>
      </c>
      <c r="D315">
        <v>2</v>
      </c>
      <c r="E315" s="179">
        <v>2</v>
      </c>
      <c r="F315" s="179">
        <v>3</v>
      </c>
      <c r="G315" s="1">
        <v>7</v>
      </c>
      <c r="H315" s="1">
        <v>1</v>
      </c>
      <c r="I315" s="1"/>
      <c r="J315" s="1"/>
      <c r="K315" s="1">
        <v>4</v>
      </c>
      <c r="L315" s="1">
        <v>1</v>
      </c>
      <c r="M315" s="1">
        <v>0</v>
      </c>
      <c r="N315" s="1">
        <v>1</v>
      </c>
      <c r="O315" s="1">
        <v>3</v>
      </c>
      <c r="P315" s="1">
        <v>1</v>
      </c>
      <c r="Q315" s="1">
        <v>1</v>
      </c>
      <c r="R315" s="3">
        <v>10000</v>
      </c>
      <c r="S315" s="1"/>
      <c r="T315" s="1"/>
      <c r="U315" s="1"/>
      <c r="W315" s="1">
        <v>2</v>
      </c>
      <c r="X315" s="1">
        <v>1200</v>
      </c>
      <c r="AA315" s="1">
        <v>9999</v>
      </c>
      <c r="AB315" s="3"/>
      <c r="AC315" s="1"/>
      <c r="AD315" s="1"/>
      <c r="AE315" s="183" t="s">
        <v>1436</v>
      </c>
      <c r="AG315" t="e">
        <f ca="1">OFFSET(buff的资质计算!$M$1,MATCH(buff!D315,buff的资质计算!G:G,0)-1,0)*X315/10000</f>
        <v>#VALUE!</v>
      </c>
      <c r="AH315" t="e">
        <f ca="1">AG315/OFFSET(buff的资质计算!$L$1,MATCH(buff!D315,buff的资质计算!G:G,0)-1,0)</f>
        <v>#VALUE!</v>
      </c>
    </row>
    <row r="316" ht="15.75" spans="1:34">
      <c r="A316" s="153">
        <f ca="1">passive!W206</f>
        <v>310202</v>
      </c>
      <c r="B316" s="186" t="str">
        <f>passive!B206</f>
        <v>五雷正法</v>
      </c>
      <c r="C316" s="291" t="str">
        <f t="shared" si="19"/>
        <v>增加法术伤害14%</v>
      </c>
      <c r="D316">
        <v>2</v>
      </c>
      <c r="E316" s="179">
        <v>2</v>
      </c>
      <c r="F316" s="179">
        <v>3</v>
      </c>
      <c r="G316" s="1">
        <v>7</v>
      </c>
      <c r="H316" s="1">
        <v>1</v>
      </c>
      <c r="I316" s="1"/>
      <c r="J316" s="1"/>
      <c r="K316" s="1">
        <v>4</v>
      </c>
      <c r="L316" s="1">
        <v>1</v>
      </c>
      <c r="M316" s="1">
        <v>0</v>
      </c>
      <c r="N316" s="1">
        <v>1</v>
      </c>
      <c r="O316" s="1">
        <v>3</v>
      </c>
      <c r="P316" s="1">
        <v>1</v>
      </c>
      <c r="Q316" s="1">
        <v>1</v>
      </c>
      <c r="R316" s="3">
        <v>10000</v>
      </c>
      <c r="S316" s="1"/>
      <c r="T316" s="1"/>
      <c r="U316" s="1"/>
      <c r="W316" s="1">
        <v>2</v>
      </c>
      <c r="X316" s="1">
        <v>1400</v>
      </c>
      <c r="AA316" s="1">
        <v>9999</v>
      </c>
      <c r="AB316" s="3"/>
      <c r="AC316" s="1"/>
      <c r="AD316" s="1"/>
      <c r="AE316" s="183" t="s">
        <v>1436</v>
      </c>
      <c r="AG316" t="e">
        <f ca="1">OFFSET(buff的资质计算!$M$1,MATCH(buff!D316,buff的资质计算!G:G,0)-1,0)*X316/10000</f>
        <v>#VALUE!</v>
      </c>
      <c r="AH316" t="e">
        <f ca="1">AG316/OFFSET(buff的资质计算!$L$1,MATCH(buff!D316,buff的资质计算!G:G,0)-1,0)</f>
        <v>#VALUE!</v>
      </c>
    </row>
    <row r="317" ht="15.75" spans="1:34">
      <c r="A317" s="153">
        <f ca="1">passive!W207</f>
        <v>310203</v>
      </c>
      <c r="B317" s="186" t="str">
        <f>passive!B207</f>
        <v>五雷正法</v>
      </c>
      <c r="C317" s="291" t="str">
        <f t="shared" si="19"/>
        <v>增加法术伤害16%</v>
      </c>
      <c r="D317">
        <v>2</v>
      </c>
      <c r="E317" s="179">
        <v>2</v>
      </c>
      <c r="F317" s="179">
        <v>3</v>
      </c>
      <c r="G317" s="1">
        <v>7</v>
      </c>
      <c r="H317" s="1">
        <v>1</v>
      </c>
      <c r="I317" s="1"/>
      <c r="J317" s="1"/>
      <c r="K317" s="1">
        <v>4</v>
      </c>
      <c r="L317" s="1">
        <v>1</v>
      </c>
      <c r="M317" s="1">
        <v>0</v>
      </c>
      <c r="N317" s="1">
        <v>1</v>
      </c>
      <c r="O317" s="1">
        <v>3</v>
      </c>
      <c r="P317" s="1">
        <v>1</v>
      </c>
      <c r="Q317" s="1">
        <v>1</v>
      </c>
      <c r="R317" s="3">
        <v>10000</v>
      </c>
      <c r="S317" s="1"/>
      <c r="T317" s="1"/>
      <c r="U317" s="1"/>
      <c r="W317" s="1">
        <v>2</v>
      </c>
      <c r="X317" s="1">
        <v>1600</v>
      </c>
      <c r="AA317" s="1">
        <v>9999</v>
      </c>
      <c r="AB317" s="3"/>
      <c r="AC317" s="1"/>
      <c r="AD317" s="1"/>
      <c r="AE317" s="183" t="s">
        <v>1436</v>
      </c>
      <c r="AG317" t="e">
        <f ca="1">OFFSET(buff的资质计算!$M$1,MATCH(buff!D317,buff的资质计算!G:G,0)-1,0)*X317/10000</f>
        <v>#VALUE!</v>
      </c>
      <c r="AH317" t="e">
        <f ca="1">AG317/OFFSET(buff的资质计算!$L$1,MATCH(buff!D317,buff的资质计算!G:G,0)-1,0)</f>
        <v>#VALUE!</v>
      </c>
    </row>
    <row r="318" ht="15.75" spans="1:34">
      <c r="A318" s="153">
        <f ca="1">passive!W208</f>
        <v>310204</v>
      </c>
      <c r="B318" s="186" t="str">
        <f>passive!B208</f>
        <v>五雷正法</v>
      </c>
      <c r="C318" s="291" t="str">
        <f t="shared" si="19"/>
        <v>增加法术伤害18%</v>
      </c>
      <c r="D318">
        <v>2</v>
      </c>
      <c r="E318" s="179">
        <v>2</v>
      </c>
      <c r="F318" s="179">
        <v>3</v>
      </c>
      <c r="G318" s="1">
        <v>7</v>
      </c>
      <c r="H318" s="1">
        <v>1</v>
      </c>
      <c r="I318" s="1"/>
      <c r="J318" s="1"/>
      <c r="K318" s="1">
        <v>4</v>
      </c>
      <c r="L318" s="1">
        <v>1</v>
      </c>
      <c r="M318" s="1">
        <v>0</v>
      </c>
      <c r="N318" s="1">
        <v>1</v>
      </c>
      <c r="O318" s="1">
        <v>3</v>
      </c>
      <c r="P318" s="1">
        <v>1</v>
      </c>
      <c r="Q318" s="1">
        <v>1</v>
      </c>
      <c r="R318" s="3">
        <v>10000</v>
      </c>
      <c r="S318" s="1"/>
      <c r="T318" s="1"/>
      <c r="U318" s="1"/>
      <c r="W318" s="1">
        <v>2</v>
      </c>
      <c r="X318" s="1">
        <v>1800</v>
      </c>
      <c r="AA318" s="1">
        <v>9999</v>
      </c>
      <c r="AB318" s="3"/>
      <c r="AC318" s="1"/>
      <c r="AD318" s="1"/>
      <c r="AE318" s="183" t="s">
        <v>1436</v>
      </c>
      <c r="AG318" t="e">
        <f ca="1">OFFSET(buff的资质计算!$M$1,MATCH(buff!D318,buff的资质计算!G:G,0)-1,0)*X318/10000</f>
        <v>#VALUE!</v>
      </c>
      <c r="AH318" t="e">
        <f ca="1">AG318/OFFSET(buff的资质计算!$L$1,MATCH(buff!D318,buff的资质计算!G:G,0)-1,0)</f>
        <v>#VALUE!</v>
      </c>
    </row>
    <row r="319" ht="15.75" spans="1:34">
      <c r="A319" s="153">
        <f ca="1">passive!W209</f>
        <v>310205</v>
      </c>
      <c r="B319" s="186" t="str">
        <f>passive!B209</f>
        <v>五雷正法</v>
      </c>
      <c r="C319" s="291" t="str">
        <f t="shared" si="19"/>
        <v>增加法术伤害20%</v>
      </c>
      <c r="D319">
        <v>2</v>
      </c>
      <c r="E319" s="179">
        <v>2</v>
      </c>
      <c r="F319" s="179">
        <v>3</v>
      </c>
      <c r="G319" s="1">
        <v>7</v>
      </c>
      <c r="H319" s="1">
        <v>1</v>
      </c>
      <c r="I319" s="1"/>
      <c r="J319" s="1"/>
      <c r="K319" s="1">
        <v>4</v>
      </c>
      <c r="L319" s="1">
        <v>1</v>
      </c>
      <c r="M319" s="1">
        <v>0</v>
      </c>
      <c r="N319" s="1">
        <v>1</v>
      </c>
      <c r="O319" s="1">
        <v>3</v>
      </c>
      <c r="P319" s="1">
        <v>1</v>
      </c>
      <c r="Q319" s="1">
        <v>1</v>
      </c>
      <c r="R319" s="3">
        <v>10000</v>
      </c>
      <c r="S319" s="1"/>
      <c r="T319" s="1"/>
      <c r="U319" s="1"/>
      <c r="W319" s="1">
        <v>2</v>
      </c>
      <c r="X319" s="1">
        <v>2000</v>
      </c>
      <c r="AA319" s="1">
        <v>9999</v>
      </c>
      <c r="AB319" s="3"/>
      <c r="AC319" s="1"/>
      <c r="AD319" s="1"/>
      <c r="AE319" s="183" t="s">
        <v>1436</v>
      </c>
      <c r="AG319" t="e">
        <f ca="1">OFFSET(buff的资质计算!$M$1,MATCH(buff!D319,buff的资质计算!G:G,0)-1,0)*X319/10000</f>
        <v>#VALUE!</v>
      </c>
      <c r="AH319" t="e">
        <f ca="1">AG319/OFFSET(buff的资质计算!$L$1,MATCH(buff!D319,buff的资质计算!G:G,0)-1,0)</f>
        <v>#VALUE!</v>
      </c>
    </row>
    <row r="320" ht="15.75" spans="1:34">
      <c r="A320" s="153">
        <f ca="1">passive!W210</f>
        <v>310206</v>
      </c>
      <c r="B320" s="186" t="str">
        <f>passive!B210</f>
        <v>五雷正法</v>
      </c>
      <c r="C320" s="291" t="str">
        <f t="shared" si="19"/>
        <v>增加法术伤害22%</v>
      </c>
      <c r="D320">
        <v>2</v>
      </c>
      <c r="E320" s="179">
        <v>2</v>
      </c>
      <c r="F320" s="179">
        <v>3</v>
      </c>
      <c r="G320" s="1">
        <v>7</v>
      </c>
      <c r="H320" s="1">
        <v>1</v>
      </c>
      <c r="I320" s="1"/>
      <c r="J320" s="1"/>
      <c r="K320" s="1">
        <v>4</v>
      </c>
      <c r="L320" s="1">
        <v>1</v>
      </c>
      <c r="M320" s="1">
        <v>0</v>
      </c>
      <c r="N320" s="1">
        <v>1</v>
      </c>
      <c r="O320" s="1">
        <v>3</v>
      </c>
      <c r="P320" s="1">
        <v>1</v>
      </c>
      <c r="Q320" s="1">
        <v>1</v>
      </c>
      <c r="R320" s="3">
        <v>10000</v>
      </c>
      <c r="S320" s="1"/>
      <c r="T320" s="1"/>
      <c r="U320" s="1"/>
      <c r="W320" s="1">
        <v>2</v>
      </c>
      <c r="X320" s="1">
        <v>2200</v>
      </c>
      <c r="AA320" s="1">
        <v>9999</v>
      </c>
      <c r="AB320" s="3"/>
      <c r="AC320" s="1"/>
      <c r="AD320" s="1"/>
      <c r="AE320" s="183" t="s">
        <v>1436</v>
      </c>
      <c r="AG320" t="e">
        <f ca="1">OFFSET(buff的资质计算!$M$1,MATCH(buff!D320,buff的资质计算!G:G,0)-1,0)*X320/10000</f>
        <v>#VALUE!</v>
      </c>
      <c r="AH320" t="e">
        <f ca="1">AG320/OFFSET(buff的资质计算!$L$1,MATCH(buff!D320,buff的资质计算!G:G,0)-1,0)</f>
        <v>#VALUE!</v>
      </c>
    </row>
    <row r="321" ht="15.75" spans="1:34">
      <c r="A321" s="153">
        <f ca="1">passive!W211</f>
        <v>310207</v>
      </c>
      <c r="B321" s="186" t="str">
        <f>passive!B211</f>
        <v>五雷正法</v>
      </c>
      <c r="C321" s="291" t="str">
        <f t="shared" si="19"/>
        <v>增加法术伤害24%</v>
      </c>
      <c r="D321">
        <v>2</v>
      </c>
      <c r="E321" s="179">
        <v>2</v>
      </c>
      <c r="F321" s="179">
        <v>3</v>
      </c>
      <c r="G321" s="1">
        <v>7</v>
      </c>
      <c r="H321" s="1">
        <v>1</v>
      </c>
      <c r="I321" s="1"/>
      <c r="J321" s="1"/>
      <c r="K321" s="1">
        <v>4</v>
      </c>
      <c r="L321" s="1">
        <v>1</v>
      </c>
      <c r="M321" s="1">
        <v>0</v>
      </c>
      <c r="N321" s="1">
        <v>1</v>
      </c>
      <c r="O321" s="1">
        <v>3</v>
      </c>
      <c r="P321" s="1">
        <v>1</v>
      </c>
      <c r="Q321" s="1">
        <v>1</v>
      </c>
      <c r="R321" s="3">
        <v>10000</v>
      </c>
      <c r="S321" s="1"/>
      <c r="T321" s="1"/>
      <c r="U321" s="1"/>
      <c r="W321" s="1">
        <v>2</v>
      </c>
      <c r="X321" s="1">
        <v>2400</v>
      </c>
      <c r="AA321" s="1">
        <v>9999</v>
      </c>
      <c r="AB321" s="3"/>
      <c r="AC321" s="1"/>
      <c r="AD321" s="1"/>
      <c r="AE321" s="183" t="s">
        <v>1436</v>
      </c>
      <c r="AG321" t="e">
        <f ca="1">OFFSET(buff的资质计算!$M$1,MATCH(buff!D321,buff的资质计算!G:G,0)-1,0)*X321/10000</f>
        <v>#VALUE!</v>
      </c>
      <c r="AH321" t="e">
        <f ca="1">AG321/OFFSET(buff的资质计算!$L$1,MATCH(buff!D321,buff的资质计算!G:G,0)-1,0)</f>
        <v>#VALUE!</v>
      </c>
    </row>
    <row r="322" ht="15.75" spans="1:34">
      <c r="A322" s="153">
        <f ca="1">passive!W212</f>
        <v>310208</v>
      </c>
      <c r="B322" s="186" t="str">
        <f>passive!B212</f>
        <v>五雷正法</v>
      </c>
      <c r="C322" s="291" t="str">
        <f t="shared" si="19"/>
        <v>增加法术伤害26%</v>
      </c>
      <c r="D322">
        <v>2</v>
      </c>
      <c r="E322" s="179">
        <v>2</v>
      </c>
      <c r="F322" s="179">
        <v>3</v>
      </c>
      <c r="G322" s="1">
        <v>7</v>
      </c>
      <c r="H322" s="1">
        <v>1</v>
      </c>
      <c r="I322" s="1"/>
      <c r="J322" s="1"/>
      <c r="K322" s="1">
        <v>4</v>
      </c>
      <c r="L322" s="1">
        <v>1</v>
      </c>
      <c r="M322" s="1">
        <v>0</v>
      </c>
      <c r="N322" s="1">
        <v>1</v>
      </c>
      <c r="O322" s="1">
        <v>3</v>
      </c>
      <c r="P322" s="1">
        <v>1</v>
      </c>
      <c r="Q322" s="1">
        <v>1</v>
      </c>
      <c r="R322" s="3">
        <v>10000</v>
      </c>
      <c r="S322" s="1"/>
      <c r="T322" s="1"/>
      <c r="U322" s="1"/>
      <c r="W322" s="1">
        <v>2</v>
      </c>
      <c r="X322" s="1">
        <v>2600</v>
      </c>
      <c r="AA322" s="1">
        <v>9999</v>
      </c>
      <c r="AB322" s="3"/>
      <c r="AC322" s="1"/>
      <c r="AD322" s="1"/>
      <c r="AE322" s="183" t="s">
        <v>1436</v>
      </c>
      <c r="AG322" t="e">
        <f ca="1">OFFSET(buff的资质计算!$M$1,MATCH(buff!D322,buff的资质计算!G:G,0)-1,0)*X322/10000</f>
        <v>#VALUE!</v>
      </c>
      <c r="AH322" t="e">
        <f ca="1">AG322/OFFSET(buff的资质计算!$L$1,MATCH(buff!D322,buff的资质计算!G:G,0)-1,0)</f>
        <v>#VALUE!</v>
      </c>
    </row>
    <row r="323" ht="15.75" spans="1:34">
      <c r="A323" s="153">
        <f ca="1">passive!W213</f>
        <v>310209</v>
      </c>
      <c r="B323" s="186" t="str">
        <f>passive!B213</f>
        <v>五雷正法</v>
      </c>
      <c r="C323" s="291" t="str">
        <f t="shared" si="19"/>
        <v>增加法术伤害28%</v>
      </c>
      <c r="D323">
        <v>2</v>
      </c>
      <c r="E323" s="179">
        <v>2</v>
      </c>
      <c r="F323" s="179">
        <v>3</v>
      </c>
      <c r="G323" s="1">
        <v>7</v>
      </c>
      <c r="H323" s="1">
        <v>1</v>
      </c>
      <c r="I323" s="1"/>
      <c r="J323" s="1"/>
      <c r="K323" s="1">
        <v>4</v>
      </c>
      <c r="L323" s="1">
        <v>1</v>
      </c>
      <c r="M323" s="1">
        <v>0</v>
      </c>
      <c r="N323" s="1">
        <v>1</v>
      </c>
      <c r="O323" s="1">
        <v>3</v>
      </c>
      <c r="P323" s="1">
        <v>1</v>
      </c>
      <c r="Q323" s="1">
        <v>1</v>
      </c>
      <c r="R323" s="3">
        <v>10000</v>
      </c>
      <c r="S323" s="1"/>
      <c r="T323" s="1"/>
      <c r="U323" s="1"/>
      <c r="W323" s="1">
        <v>2</v>
      </c>
      <c r="X323" s="1">
        <v>2800</v>
      </c>
      <c r="AA323" s="1">
        <v>9999</v>
      </c>
      <c r="AB323" s="3"/>
      <c r="AC323" s="1"/>
      <c r="AD323" s="1"/>
      <c r="AE323" s="183" t="s">
        <v>1436</v>
      </c>
      <c r="AG323" t="e">
        <f ca="1">OFFSET(buff的资质计算!$M$1,MATCH(buff!D323,buff的资质计算!G:G,0)-1,0)*X323/10000</f>
        <v>#VALUE!</v>
      </c>
      <c r="AH323" t="e">
        <f ca="1">AG323/OFFSET(buff的资质计算!$L$1,MATCH(buff!D323,buff的资质计算!G:G,0)-1,0)</f>
        <v>#VALUE!</v>
      </c>
    </row>
    <row r="324" ht="15.75" spans="1:34">
      <c r="A324" s="153">
        <f ca="1">passive!W214</f>
        <v>310210</v>
      </c>
      <c r="B324" s="186" t="str">
        <f>passive!B214</f>
        <v>五雷正法</v>
      </c>
      <c r="C324" s="291" t="str">
        <f t="shared" si="19"/>
        <v>增加法术伤害30%</v>
      </c>
      <c r="D324">
        <v>2</v>
      </c>
      <c r="E324" s="179">
        <v>2</v>
      </c>
      <c r="F324" s="179">
        <v>3</v>
      </c>
      <c r="G324" s="1">
        <v>7</v>
      </c>
      <c r="H324" s="1">
        <v>1</v>
      </c>
      <c r="I324" s="1"/>
      <c r="J324" s="1"/>
      <c r="K324" s="1">
        <v>4</v>
      </c>
      <c r="L324" s="1">
        <v>1</v>
      </c>
      <c r="M324" s="1">
        <v>0</v>
      </c>
      <c r="N324" s="1">
        <v>1</v>
      </c>
      <c r="O324" s="1">
        <v>3</v>
      </c>
      <c r="P324" s="1">
        <v>1</v>
      </c>
      <c r="Q324" s="1">
        <v>1</v>
      </c>
      <c r="R324" s="3">
        <v>10000</v>
      </c>
      <c r="S324" s="1"/>
      <c r="T324" s="1"/>
      <c r="U324" s="1"/>
      <c r="W324" s="1">
        <v>2</v>
      </c>
      <c r="X324" s="1">
        <v>3000</v>
      </c>
      <c r="AA324" s="1">
        <v>9999</v>
      </c>
      <c r="AB324" s="3"/>
      <c r="AC324" s="1"/>
      <c r="AD324" s="1"/>
      <c r="AE324" s="183" t="s">
        <v>1436</v>
      </c>
      <c r="AG324" t="e">
        <f ca="1">OFFSET(buff的资质计算!$M$1,MATCH(buff!D324,buff的资质计算!G:G,0)-1,0)*X324/10000</f>
        <v>#VALUE!</v>
      </c>
      <c r="AH324" t="e">
        <f ca="1">AG324/OFFSET(buff的资质计算!$L$1,MATCH(buff!D324,buff的资质计算!G:G,0)-1,0)</f>
        <v>#VALUE!</v>
      </c>
    </row>
    <row r="325" ht="27.75" spans="1:34">
      <c r="A325" s="153">
        <f ca="1">passive!W215</f>
        <v>310300</v>
      </c>
      <c r="B325" s="186" t="str">
        <f>passive!B215</f>
        <v>莲华宝功</v>
      </c>
      <c r="C325" s="186" t="str">
        <f>"每回合有"&amp;passive!V215/100&amp;"%概率，使前"&amp;X325&amp;"张打出的法术招式消耗减少1点"</f>
        <v>每回合有30%概率，使前1张打出的法术招式消耗减少1点</v>
      </c>
      <c r="D325" s="186">
        <v>2</v>
      </c>
      <c r="E325" s="179">
        <v>2</v>
      </c>
      <c r="F325" s="179">
        <v>3</v>
      </c>
      <c r="G325" s="1">
        <v>19</v>
      </c>
      <c r="H325" s="1">
        <v>1</v>
      </c>
      <c r="I325" s="1"/>
      <c r="J325" s="1"/>
      <c r="K325" s="1">
        <v>6</v>
      </c>
      <c r="M325">
        <v>0</v>
      </c>
      <c r="N325" s="1">
        <v>1</v>
      </c>
      <c r="O325" s="1">
        <v>3</v>
      </c>
      <c r="Q325" s="1">
        <v>1</v>
      </c>
      <c r="R325" s="3">
        <v>10000</v>
      </c>
      <c r="W325" s="1">
        <v>1</v>
      </c>
      <c r="X325" s="1">
        <v>1</v>
      </c>
      <c r="AA325" s="1">
        <v>9999</v>
      </c>
      <c r="AE325" s="183" t="s">
        <v>1437</v>
      </c>
      <c r="AG325" t="e">
        <f ca="1">OFFSET(buff的资质计算!$M$1,MATCH(buff!D325,buff的资质计算!G:G,0)-1,0)*R325*X325/10000</f>
        <v>#VALUE!</v>
      </c>
      <c r="AH325" t="e">
        <f ca="1">AG325/OFFSET(buff的资质计算!$L$1,MATCH(buff!D325,buff的资质计算!G:G,0)-1,0)</f>
        <v>#VALUE!</v>
      </c>
    </row>
    <row r="326" ht="27.75" spans="1:34">
      <c r="A326" s="153">
        <f ca="1">passive!W216</f>
        <v>310301</v>
      </c>
      <c r="B326" s="186" t="str">
        <f>passive!B216</f>
        <v>莲华宝功</v>
      </c>
      <c r="C326" s="186" t="str">
        <f>"每回合有"&amp;passive!V216/100&amp;"%概率，使前"&amp;X326&amp;"张打出的法术招式消耗减少1点"</f>
        <v>每回合有32%概率，使前1张打出的法术招式消耗减少1点</v>
      </c>
      <c r="D326" s="186">
        <v>2</v>
      </c>
      <c r="E326" s="179">
        <v>2</v>
      </c>
      <c r="F326" s="179">
        <v>3</v>
      </c>
      <c r="G326" s="1">
        <v>19</v>
      </c>
      <c r="H326" s="1">
        <v>1</v>
      </c>
      <c r="I326" s="1"/>
      <c r="J326" s="1"/>
      <c r="K326" s="1">
        <v>6</v>
      </c>
      <c r="M326">
        <v>0</v>
      </c>
      <c r="N326" s="1">
        <v>1</v>
      </c>
      <c r="O326" s="1">
        <v>3</v>
      </c>
      <c r="Q326" s="1">
        <v>1</v>
      </c>
      <c r="R326" s="3">
        <v>10000</v>
      </c>
      <c r="W326" s="1">
        <v>1</v>
      </c>
      <c r="X326" s="1">
        <v>1</v>
      </c>
      <c r="AA326" s="1">
        <v>9999</v>
      </c>
      <c r="AE326" s="183" t="s">
        <v>1437</v>
      </c>
      <c r="AG326" t="e">
        <f ca="1">OFFSET(buff的资质计算!$M$1,MATCH(buff!D326,buff的资质计算!G:G,0)-1,0)*R326*X326/10000</f>
        <v>#VALUE!</v>
      </c>
      <c r="AH326" t="e">
        <f ca="1">AG326/OFFSET(buff的资质计算!$L$1,MATCH(buff!D326,buff的资质计算!G:G,0)-1,0)</f>
        <v>#VALUE!</v>
      </c>
    </row>
    <row r="327" ht="27.75" spans="1:34">
      <c r="A327" s="153">
        <f ca="1">passive!W217</f>
        <v>310302</v>
      </c>
      <c r="B327" s="186" t="str">
        <f>passive!B217</f>
        <v>莲华宝功</v>
      </c>
      <c r="C327" s="186" t="str">
        <f>"每回合有"&amp;passive!V217/100&amp;"%概率，使前"&amp;X327&amp;"张打出的法术招式消耗减少1点"</f>
        <v>每回合有34%概率，使前1张打出的法术招式消耗减少1点</v>
      </c>
      <c r="D327" s="186">
        <v>2</v>
      </c>
      <c r="E327" s="179">
        <v>2</v>
      </c>
      <c r="F327" s="179">
        <v>3</v>
      </c>
      <c r="G327" s="1">
        <v>19</v>
      </c>
      <c r="H327" s="1">
        <v>1</v>
      </c>
      <c r="I327" s="1"/>
      <c r="J327" s="1"/>
      <c r="K327" s="1">
        <v>6</v>
      </c>
      <c r="M327">
        <v>0</v>
      </c>
      <c r="N327" s="1">
        <v>1</v>
      </c>
      <c r="O327" s="1">
        <v>3</v>
      </c>
      <c r="Q327" s="1">
        <v>1</v>
      </c>
      <c r="R327" s="3">
        <v>10000</v>
      </c>
      <c r="W327" s="1">
        <v>1</v>
      </c>
      <c r="X327" s="1">
        <v>1</v>
      </c>
      <c r="AA327" s="1">
        <v>9999</v>
      </c>
      <c r="AE327" s="183" t="s">
        <v>1437</v>
      </c>
      <c r="AG327" t="e">
        <f ca="1">OFFSET(buff的资质计算!$M$1,MATCH(buff!D327,buff的资质计算!G:G,0)-1,0)*R327*X327/10000</f>
        <v>#VALUE!</v>
      </c>
      <c r="AH327" t="e">
        <f ca="1">AG327/OFFSET(buff的资质计算!$L$1,MATCH(buff!D327,buff的资质计算!G:G,0)-1,0)</f>
        <v>#VALUE!</v>
      </c>
    </row>
    <row r="328" ht="27.75" spans="1:34">
      <c r="A328" s="153">
        <f ca="1">passive!W218</f>
        <v>310303</v>
      </c>
      <c r="B328" s="186" t="str">
        <f>passive!B218</f>
        <v>莲华宝功</v>
      </c>
      <c r="C328" s="186" t="str">
        <f>"每回合有"&amp;passive!V218/100&amp;"%概率，使前"&amp;X328&amp;"张打出的法术招式消耗减少1点"</f>
        <v>每回合有36%概率，使前1张打出的法术招式消耗减少1点</v>
      </c>
      <c r="D328" s="186">
        <v>2</v>
      </c>
      <c r="E328" s="179">
        <v>2</v>
      </c>
      <c r="F328" s="179">
        <v>3</v>
      </c>
      <c r="G328" s="1">
        <v>19</v>
      </c>
      <c r="H328" s="1">
        <v>1</v>
      </c>
      <c r="I328" s="1"/>
      <c r="J328" s="1"/>
      <c r="K328" s="1">
        <v>6</v>
      </c>
      <c r="M328">
        <v>0</v>
      </c>
      <c r="N328" s="1">
        <v>1</v>
      </c>
      <c r="O328" s="1">
        <v>3</v>
      </c>
      <c r="Q328" s="1">
        <v>1</v>
      </c>
      <c r="R328" s="3">
        <v>10000</v>
      </c>
      <c r="W328" s="1">
        <v>1</v>
      </c>
      <c r="X328" s="1">
        <v>1</v>
      </c>
      <c r="AA328" s="1">
        <v>9999</v>
      </c>
      <c r="AE328" s="183" t="s">
        <v>1437</v>
      </c>
      <c r="AG328" t="e">
        <f ca="1">OFFSET(buff的资质计算!$M$1,MATCH(buff!D328,buff的资质计算!G:G,0)-1,0)*R328*X328/10000</f>
        <v>#VALUE!</v>
      </c>
      <c r="AH328" t="e">
        <f ca="1">AG328/OFFSET(buff的资质计算!$L$1,MATCH(buff!D328,buff的资质计算!G:G,0)-1,0)</f>
        <v>#VALUE!</v>
      </c>
    </row>
    <row r="329" ht="27.75" spans="1:34">
      <c r="A329" s="153">
        <f ca="1">passive!W219</f>
        <v>310304</v>
      </c>
      <c r="B329" s="186" t="str">
        <f>passive!B219</f>
        <v>莲华宝功</v>
      </c>
      <c r="C329" s="186" t="str">
        <f>"每回合有"&amp;passive!V219/100&amp;"%概率，使前"&amp;X329&amp;"张打出的法术招式消耗减少1点"</f>
        <v>每回合有38%概率，使前1张打出的法术招式消耗减少1点</v>
      </c>
      <c r="D329" s="186">
        <v>2</v>
      </c>
      <c r="E329" s="179">
        <v>2</v>
      </c>
      <c r="F329" s="179">
        <v>3</v>
      </c>
      <c r="G329" s="1">
        <v>19</v>
      </c>
      <c r="H329" s="1">
        <v>1</v>
      </c>
      <c r="I329" s="1"/>
      <c r="J329" s="1"/>
      <c r="K329" s="1">
        <v>6</v>
      </c>
      <c r="M329">
        <v>0</v>
      </c>
      <c r="N329" s="1">
        <v>1</v>
      </c>
      <c r="O329" s="1">
        <v>3</v>
      </c>
      <c r="Q329" s="1">
        <v>1</v>
      </c>
      <c r="R329" s="3">
        <v>10000</v>
      </c>
      <c r="W329" s="1">
        <v>1</v>
      </c>
      <c r="X329" s="1">
        <v>1</v>
      </c>
      <c r="AA329" s="1">
        <v>9999</v>
      </c>
      <c r="AE329" s="183" t="s">
        <v>1437</v>
      </c>
      <c r="AG329" t="e">
        <f ca="1">OFFSET(buff的资质计算!$M$1,MATCH(buff!D329,buff的资质计算!G:G,0)-1,0)*R329*X329/10000</f>
        <v>#VALUE!</v>
      </c>
      <c r="AH329" t="e">
        <f ca="1">AG329/OFFSET(buff的资质计算!$L$1,MATCH(buff!D329,buff的资质计算!G:G,0)-1,0)</f>
        <v>#VALUE!</v>
      </c>
    </row>
    <row r="330" ht="27.75" spans="1:34">
      <c r="A330" s="153">
        <f ca="1">passive!W220</f>
        <v>310305</v>
      </c>
      <c r="B330" s="186" t="str">
        <f>passive!B220</f>
        <v>莲华宝功</v>
      </c>
      <c r="C330" s="186" t="str">
        <f>"每回合有"&amp;passive!V220/100&amp;"%概率，使前"&amp;X330&amp;"张打出的法术招式消耗减少1点"</f>
        <v>每回合有40%概率，使前2张打出的法术招式消耗减少1点</v>
      </c>
      <c r="D330" s="186">
        <v>2</v>
      </c>
      <c r="E330" s="179">
        <v>2</v>
      </c>
      <c r="F330" s="179">
        <v>3</v>
      </c>
      <c r="G330" s="1">
        <v>19</v>
      </c>
      <c r="H330" s="1">
        <v>1</v>
      </c>
      <c r="I330" s="1"/>
      <c r="J330" s="1"/>
      <c r="K330" s="1">
        <v>6</v>
      </c>
      <c r="M330">
        <v>0</v>
      </c>
      <c r="N330" s="1">
        <v>1</v>
      </c>
      <c r="O330" s="1">
        <v>3</v>
      </c>
      <c r="Q330" s="1">
        <v>1</v>
      </c>
      <c r="R330" s="3">
        <v>10000</v>
      </c>
      <c r="W330" s="1">
        <v>1</v>
      </c>
      <c r="X330" s="1">
        <v>2</v>
      </c>
      <c r="AA330" s="1">
        <v>9999</v>
      </c>
      <c r="AE330" s="183" t="s">
        <v>1437</v>
      </c>
      <c r="AG330" t="e">
        <f ca="1">OFFSET(buff的资质计算!$M$1,MATCH(buff!D330,buff的资质计算!G:G,0)-1,0)*R330*X330/10000</f>
        <v>#VALUE!</v>
      </c>
      <c r="AH330" t="e">
        <f ca="1">AG330/OFFSET(buff的资质计算!$L$1,MATCH(buff!D330,buff的资质计算!G:G,0)-1,0)</f>
        <v>#VALUE!</v>
      </c>
    </row>
    <row r="331" ht="27.75" spans="1:34">
      <c r="A331" s="153">
        <f ca="1">passive!W221</f>
        <v>310306</v>
      </c>
      <c r="B331" s="186" t="str">
        <f>passive!B221</f>
        <v>莲华宝功</v>
      </c>
      <c r="C331" s="186" t="str">
        <f>"每回合有"&amp;passive!V221/100&amp;"%概率，使前"&amp;X331&amp;"张打出的法术招式消耗减少1点"</f>
        <v>每回合有42%概率，使前2张打出的法术招式消耗减少1点</v>
      </c>
      <c r="D331" s="186">
        <v>2</v>
      </c>
      <c r="E331" s="179">
        <v>2</v>
      </c>
      <c r="F331" s="179">
        <v>3</v>
      </c>
      <c r="G331" s="1">
        <v>19</v>
      </c>
      <c r="H331" s="1">
        <v>1</v>
      </c>
      <c r="I331" s="1"/>
      <c r="J331" s="1"/>
      <c r="K331" s="1">
        <v>6</v>
      </c>
      <c r="M331">
        <v>0</v>
      </c>
      <c r="N331" s="1">
        <v>1</v>
      </c>
      <c r="O331" s="1">
        <v>3</v>
      </c>
      <c r="Q331" s="1">
        <v>1</v>
      </c>
      <c r="R331" s="3">
        <v>10000</v>
      </c>
      <c r="W331" s="1">
        <v>1</v>
      </c>
      <c r="X331" s="1">
        <v>2</v>
      </c>
      <c r="AA331" s="1">
        <v>9999</v>
      </c>
      <c r="AE331" s="183" t="s">
        <v>1437</v>
      </c>
      <c r="AG331" t="e">
        <f ca="1">OFFSET(buff的资质计算!$M$1,MATCH(buff!D331,buff的资质计算!G:G,0)-1,0)*R331*X331/10000</f>
        <v>#VALUE!</v>
      </c>
      <c r="AH331" t="e">
        <f ca="1">AG331/OFFSET(buff的资质计算!$L$1,MATCH(buff!D331,buff的资质计算!G:G,0)-1,0)</f>
        <v>#VALUE!</v>
      </c>
    </row>
    <row r="332" ht="27.75" spans="1:34">
      <c r="A332" s="153">
        <f ca="1">passive!W222</f>
        <v>310307</v>
      </c>
      <c r="B332" s="186" t="str">
        <f>passive!B222</f>
        <v>莲华宝功</v>
      </c>
      <c r="C332" s="186" t="str">
        <f>"每回合有"&amp;passive!V222/100&amp;"%概率，使前"&amp;X332&amp;"张打出的法术招式消耗减少1点"</f>
        <v>每回合有44%概率，使前2张打出的法术招式消耗减少1点</v>
      </c>
      <c r="D332" s="186">
        <v>2</v>
      </c>
      <c r="E332" s="179">
        <v>2</v>
      </c>
      <c r="F332" s="179">
        <v>3</v>
      </c>
      <c r="G332" s="1">
        <v>19</v>
      </c>
      <c r="H332" s="1">
        <v>1</v>
      </c>
      <c r="I332" s="1"/>
      <c r="J332" s="1"/>
      <c r="K332" s="1">
        <v>6</v>
      </c>
      <c r="M332">
        <v>0</v>
      </c>
      <c r="N332" s="1">
        <v>1</v>
      </c>
      <c r="O332" s="1">
        <v>3</v>
      </c>
      <c r="Q332" s="1">
        <v>1</v>
      </c>
      <c r="R332" s="3">
        <v>10000</v>
      </c>
      <c r="W332" s="1">
        <v>1</v>
      </c>
      <c r="X332" s="1">
        <v>2</v>
      </c>
      <c r="AA332" s="1">
        <v>9999</v>
      </c>
      <c r="AE332" s="183" t="s">
        <v>1437</v>
      </c>
      <c r="AG332" t="e">
        <f ca="1">OFFSET(buff的资质计算!$M$1,MATCH(buff!D332,buff的资质计算!G:G,0)-1,0)*R332*X332/10000</f>
        <v>#VALUE!</v>
      </c>
      <c r="AH332" t="e">
        <f ca="1">AG332/OFFSET(buff的资质计算!$L$1,MATCH(buff!D332,buff的资质计算!G:G,0)-1,0)</f>
        <v>#VALUE!</v>
      </c>
    </row>
    <row r="333" ht="27.75" spans="1:34">
      <c r="A333" s="153">
        <f ca="1">passive!W223</f>
        <v>310308</v>
      </c>
      <c r="B333" s="186" t="str">
        <f>passive!B223</f>
        <v>莲华宝功</v>
      </c>
      <c r="C333" s="186" t="str">
        <f>"每回合有"&amp;passive!V223/100&amp;"%概率，使前"&amp;X333&amp;"张打出的法术招式消耗减少1点"</f>
        <v>每回合有46%概率，使前2张打出的法术招式消耗减少1点</v>
      </c>
      <c r="D333" s="186">
        <v>2</v>
      </c>
      <c r="E333" s="179">
        <v>2</v>
      </c>
      <c r="F333" s="179">
        <v>3</v>
      </c>
      <c r="G333" s="1">
        <v>19</v>
      </c>
      <c r="H333" s="1">
        <v>1</v>
      </c>
      <c r="I333" s="1"/>
      <c r="J333" s="1"/>
      <c r="K333" s="1">
        <v>6</v>
      </c>
      <c r="M333">
        <v>0</v>
      </c>
      <c r="N333" s="1">
        <v>1</v>
      </c>
      <c r="O333" s="1">
        <v>3</v>
      </c>
      <c r="Q333" s="1">
        <v>1</v>
      </c>
      <c r="R333" s="3">
        <v>10000</v>
      </c>
      <c r="W333" s="1">
        <v>1</v>
      </c>
      <c r="X333" s="1">
        <v>2</v>
      </c>
      <c r="AA333" s="1">
        <v>9999</v>
      </c>
      <c r="AE333" s="183" t="s">
        <v>1437</v>
      </c>
      <c r="AG333" t="e">
        <f ca="1">OFFSET(buff的资质计算!$M$1,MATCH(buff!D333,buff的资质计算!G:G,0)-1,0)*R333*X333/10000</f>
        <v>#VALUE!</v>
      </c>
      <c r="AH333" t="e">
        <f ca="1">AG333/OFFSET(buff的资质计算!$L$1,MATCH(buff!D333,buff的资质计算!G:G,0)-1,0)</f>
        <v>#VALUE!</v>
      </c>
    </row>
    <row r="334" ht="27.75" spans="1:34">
      <c r="A334" s="153">
        <f ca="1">passive!W224</f>
        <v>310309</v>
      </c>
      <c r="B334" s="186" t="str">
        <f>passive!B224</f>
        <v>莲华宝功</v>
      </c>
      <c r="C334" s="186" t="str">
        <f>"每回合有"&amp;passive!V224/100&amp;"%概率，使前"&amp;X334&amp;"张打出的法术招式消耗减少1点"</f>
        <v>每回合有48%概率，使前2张打出的法术招式消耗减少1点</v>
      </c>
      <c r="D334" s="186">
        <v>2</v>
      </c>
      <c r="E334" s="179">
        <v>2</v>
      </c>
      <c r="F334" s="179">
        <v>3</v>
      </c>
      <c r="G334" s="1">
        <v>19</v>
      </c>
      <c r="H334" s="1">
        <v>1</v>
      </c>
      <c r="I334" s="1"/>
      <c r="J334" s="1"/>
      <c r="K334" s="1">
        <v>6</v>
      </c>
      <c r="M334">
        <v>0</v>
      </c>
      <c r="N334" s="1">
        <v>1</v>
      </c>
      <c r="O334" s="1">
        <v>3</v>
      </c>
      <c r="Q334" s="1">
        <v>1</v>
      </c>
      <c r="R334" s="3">
        <v>10000</v>
      </c>
      <c r="W334" s="1">
        <v>1</v>
      </c>
      <c r="X334" s="1">
        <v>2</v>
      </c>
      <c r="AA334" s="1">
        <v>9999</v>
      </c>
      <c r="AE334" s="183" t="s">
        <v>1437</v>
      </c>
      <c r="AG334" t="e">
        <f ca="1">OFFSET(buff的资质计算!$M$1,MATCH(buff!D334,buff的资质计算!G:G,0)-1,0)*R334*X334/10000</f>
        <v>#VALUE!</v>
      </c>
      <c r="AH334" t="e">
        <f ca="1">AG334/OFFSET(buff的资质计算!$L$1,MATCH(buff!D334,buff的资质计算!G:G,0)-1,0)</f>
        <v>#VALUE!</v>
      </c>
    </row>
    <row r="335" ht="27.75" spans="1:34">
      <c r="A335" s="153">
        <f ca="1">passive!W225</f>
        <v>310310</v>
      </c>
      <c r="B335" s="186" t="str">
        <f>passive!B225</f>
        <v>莲华宝功</v>
      </c>
      <c r="C335" s="186" t="str">
        <f>"每回合有"&amp;passive!V225/100&amp;"%概率，使前"&amp;X335&amp;"张打出的法术招式消耗减少1点"</f>
        <v>每回合有50%概率，使前3张打出的法术招式消耗减少1点</v>
      </c>
      <c r="D335" s="186">
        <v>2</v>
      </c>
      <c r="E335" s="179">
        <v>2</v>
      </c>
      <c r="F335" s="179">
        <v>3</v>
      </c>
      <c r="G335" s="1">
        <v>19</v>
      </c>
      <c r="H335" s="1">
        <v>1</v>
      </c>
      <c r="I335" s="1"/>
      <c r="J335" s="1"/>
      <c r="K335" s="1">
        <v>6</v>
      </c>
      <c r="M335">
        <v>0</v>
      </c>
      <c r="N335" s="1">
        <v>1</v>
      </c>
      <c r="O335" s="1">
        <v>3</v>
      </c>
      <c r="Q335" s="1">
        <v>1</v>
      </c>
      <c r="R335" s="3">
        <v>10000</v>
      </c>
      <c r="W335" s="1">
        <v>1</v>
      </c>
      <c r="X335" s="1">
        <v>3</v>
      </c>
      <c r="AA335" s="1">
        <v>9999</v>
      </c>
      <c r="AE335" s="183" t="s">
        <v>1437</v>
      </c>
      <c r="AG335" t="e">
        <f ca="1">OFFSET(buff的资质计算!$M$1,MATCH(buff!D335,buff的资质计算!G:G,0)-1,0)*R335*X335/10000</f>
        <v>#VALUE!</v>
      </c>
      <c r="AH335" t="e">
        <f ca="1">AG335/OFFSET(buff的资质计算!$L$1,MATCH(buff!D335,buff的资质计算!G:G,0)-1,0)</f>
        <v>#VALUE!</v>
      </c>
    </row>
    <row r="336" ht="15.75" spans="1:34">
      <c r="A336" s="153">
        <f ca="1">passive!W226</f>
        <v>310400</v>
      </c>
      <c r="B336" s="186" t="str">
        <f>passive!B226</f>
        <v>寒冰真气</v>
      </c>
      <c r="C336" s="153" t="str">
        <f t="shared" ref="C336:C346" si="20">"每回合有"&amp;R336/100&amp;"%概率叠加"&amp;X336&amp;"层冰冻"</f>
        <v>每回合有30%概率叠加1层冰冻</v>
      </c>
      <c r="D336">
        <v>2</v>
      </c>
      <c r="E336" s="179">
        <v>2</v>
      </c>
      <c r="F336" s="179">
        <v>3</v>
      </c>
      <c r="G336" s="1">
        <v>13</v>
      </c>
      <c r="H336">
        <v>2</v>
      </c>
      <c r="K336" s="1">
        <v>1</v>
      </c>
      <c r="L336" s="1">
        <v>1</v>
      </c>
      <c r="M336">
        <v>0</v>
      </c>
      <c r="R336" s="1">
        <v>3000</v>
      </c>
      <c r="V336">
        <v>2</v>
      </c>
      <c r="W336" s="1">
        <v>1</v>
      </c>
      <c r="X336" s="1">
        <v>1</v>
      </c>
      <c r="AA336" s="1">
        <v>9999</v>
      </c>
      <c r="AB336" s="3"/>
      <c r="AE336" s="183" t="s">
        <v>1438</v>
      </c>
      <c r="AG336">
        <v>6</v>
      </c>
      <c r="AH336">
        <f t="shared" ref="AH336:AH346" si="21">X336*AA336</f>
        <v>9999</v>
      </c>
    </row>
    <row r="337" ht="15.75" spans="1:34">
      <c r="A337" s="153">
        <f ca="1">passive!W227</f>
        <v>310401</v>
      </c>
      <c r="B337" s="186" t="str">
        <f>passive!B227</f>
        <v>寒冰真气</v>
      </c>
      <c r="C337" s="153" t="str">
        <f t="shared" si="20"/>
        <v>每回合有35%概率叠加1层冰冻</v>
      </c>
      <c r="D337">
        <v>2</v>
      </c>
      <c r="E337" s="179">
        <v>2</v>
      </c>
      <c r="F337" s="179">
        <v>3</v>
      </c>
      <c r="G337" s="1">
        <v>13</v>
      </c>
      <c r="H337">
        <v>2</v>
      </c>
      <c r="K337" s="1">
        <v>1</v>
      </c>
      <c r="L337" s="1">
        <v>1</v>
      </c>
      <c r="M337">
        <v>0</v>
      </c>
      <c r="R337" s="1">
        <v>3500</v>
      </c>
      <c r="V337">
        <v>2</v>
      </c>
      <c r="W337" s="1">
        <v>1</v>
      </c>
      <c r="X337" s="1">
        <v>1</v>
      </c>
      <c r="AA337" s="1">
        <v>9999</v>
      </c>
      <c r="AB337" s="3"/>
      <c r="AE337" s="183" t="s">
        <v>1438</v>
      </c>
      <c r="AG337">
        <v>6</v>
      </c>
      <c r="AH337">
        <f t="shared" si="21"/>
        <v>9999</v>
      </c>
    </row>
    <row r="338" ht="15.75" spans="1:34">
      <c r="A338" s="153">
        <f ca="1">passive!W228</f>
        <v>310402</v>
      </c>
      <c r="B338" s="186" t="str">
        <f>passive!B228</f>
        <v>寒冰真气</v>
      </c>
      <c r="C338" s="153" t="str">
        <f t="shared" si="20"/>
        <v>每回合有40%概率叠加1层冰冻</v>
      </c>
      <c r="D338">
        <v>2</v>
      </c>
      <c r="E338" s="179">
        <v>2</v>
      </c>
      <c r="F338" s="179">
        <v>3</v>
      </c>
      <c r="G338" s="1">
        <v>13</v>
      </c>
      <c r="H338">
        <v>2</v>
      </c>
      <c r="K338" s="1">
        <v>1</v>
      </c>
      <c r="L338" s="1">
        <v>1</v>
      </c>
      <c r="M338">
        <v>0</v>
      </c>
      <c r="R338" s="1">
        <v>4000</v>
      </c>
      <c r="V338">
        <v>2</v>
      </c>
      <c r="W338" s="1">
        <v>1</v>
      </c>
      <c r="X338" s="1">
        <v>1</v>
      </c>
      <c r="AA338" s="1">
        <v>9999</v>
      </c>
      <c r="AB338" s="3"/>
      <c r="AE338" s="183" t="s">
        <v>1438</v>
      </c>
      <c r="AG338">
        <v>6</v>
      </c>
      <c r="AH338">
        <f t="shared" si="21"/>
        <v>9999</v>
      </c>
    </row>
    <row r="339" ht="15.75" spans="1:34">
      <c r="A339" s="153">
        <f ca="1">passive!W229</f>
        <v>310403</v>
      </c>
      <c r="B339" s="186" t="str">
        <f>passive!B229</f>
        <v>寒冰真气</v>
      </c>
      <c r="C339" s="153" t="str">
        <f t="shared" si="20"/>
        <v>每回合有45%概率叠加1层冰冻</v>
      </c>
      <c r="D339">
        <v>2</v>
      </c>
      <c r="E339" s="179">
        <v>2</v>
      </c>
      <c r="F339" s="179">
        <v>3</v>
      </c>
      <c r="G339" s="1">
        <v>13</v>
      </c>
      <c r="H339">
        <v>2</v>
      </c>
      <c r="K339" s="1">
        <v>1</v>
      </c>
      <c r="L339" s="1">
        <v>1</v>
      </c>
      <c r="M339">
        <v>0</v>
      </c>
      <c r="R339" s="1">
        <v>4500</v>
      </c>
      <c r="V339">
        <v>2</v>
      </c>
      <c r="W339" s="1">
        <v>1</v>
      </c>
      <c r="X339" s="1">
        <v>1</v>
      </c>
      <c r="AA339" s="1">
        <v>9999</v>
      </c>
      <c r="AB339" s="3"/>
      <c r="AE339" s="183" t="s">
        <v>1438</v>
      </c>
      <c r="AG339">
        <v>6</v>
      </c>
      <c r="AH339">
        <f t="shared" si="21"/>
        <v>9999</v>
      </c>
    </row>
    <row r="340" ht="15.75" spans="1:34">
      <c r="A340" s="153">
        <f ca="1">passive!W230</f>
        <v>310404</v>
      </c>
      <c r="B340" s="186" t="str">
        <f>passive!B230</f>
        <v>寒冰真气</v>
      </c>
      <c r="C340" s="153" t="str">
        <f t="shared" si="20"/>
        <v>每回合有50%概率叠加1层冰冻</v>
      </c>
      <c r="D340">
        <v>2</v>
      </c>
      <c r="E340" s="179">
        <v>2</v>
      </c>
      <c r="F340" s="179">
        <v>3</v>
      </c>
      <c r="G340" s="1">
        <v>13</v>
      </c>
      <c r="H340">
        <v>2</v>
      </c>
      <c r="K340" s="1">
        <v>1</v>
      </c>
      <c r="L340" s="1">
        <v>1</v>
      </c>
      <c r="M340">
        <v>0</v>
      </c>
      <c r="R340" s="1">
        <v>5000</v>
      </c>
      <c r="V340">
        <v>2</v>
      </c>
      <c r="W340" s="1">
        <v>1</v>
      </c>
      <c r="X340" s="1">
        <v>1</v>
      </c>
      <c r="AA340" s="1">
        <v>9999</v>
      </c>
      <c r="AB340" s="3"/>
      <c r="AE340" s="183" t="s">
        <v>1438</v>
      </c>
      <c r="AG340">
        <v>6</v>
      </c>
      <c r="AH340">
        <f t="shared" si="21"/>
        <v>9999</v>
      </c>
    </row>
    <row r="341" ht="15.75" spans="1:34">
      <c r="A341" s="153">
        <f ca="1">passive!W231</f>
        <v>310405</v>
      </c>
      <c r="B341" s="186" t="str">
        <f>passive!B231</f>
        <v>寒冰真气</v>
      </c>
      <c r="C341" s="153" t="str">
        <f t="shared" si="20"/>
        <v>每回合有55%概率叠加2层冰冻</v>
      </c>
      <c r="D341">
        <v>2</v>
      </c>
      <c r="E341" s="179">
        <v>2</v>
      </c>
      <c r="F341" s="179">
        <v>3</v>
      </c>
      <c r="G341" s="1">
        <v>13</v>
      </c>
      <c r="H341">
        <v>2</v>
      </c>
      <c r="K341" s="1">
        <v>1</v>
      </c>
      <c r="L341" s="1">
        <v>1</v>
      </c>
      <c r="M341">
        <v>0</v>
      </c>
      <c r="R341" s="1">
        <v>5500</v>
      </c>
      <c r="V341">
        <v>2</v>
      </c>
      <c r="W341" s="1">
        <v>1</v>
      </c>
      <c r="X341" s="1">
        <v>2</v>
      </c>
      <c r="AA341" s="1">
        <v>9999</v>
      </c>
      <c r="AB341" s="3"/>
      <c r="AE341" s="183" t="s">
        <v>1438</v>
      </c>
      <c r="AG341">
        <v>6</v>
      </c>
      <c r="AH341">
        <f t="shared" si="21"/>
        <v>19998</v>
      </c>
    </row>
    <row r="342" ht="15.75" spans="1:34">
      <c r="A342" s="153">
        <f ca="1">passive!W232</f>
        <v>310406</v>
      </c>
      <c r="B342" s="186" t="str">
        <f>passive!B232</f>
        <v>寒冰真气</v>
      </c>
      <c r="C342" s="153" t="str">
        <f t="shared" si="20"/>
        <v>每回合有60%概率叠加2层冰冻</v>
      </c>
      <c r="D342">
        <v>2</v>
      </c>
      <c r="E342" s="179">
        <v>2</v>
      </c>
      <c r="F342" s="179">
        <v>3</v>
      </c>
      <c r="G342" s="1">
        <v>13</v>
      </c>
      <c r="H342">
        <v>2</v>
      </c>
      <c r="K342" s="1">
        <v>1</v>
      </c>
      <c r="L342" s="1">
        <v>1</v>
      </c>
      <c r="M342">
        <v>0</v>
      </c>
      <c r="R342" s="1">
        <v>6000</v>
      </c>
      <c r="V342">
        <v>2</v>
      </c>
      <c r="W342" s="1">
        <v>1</v>
      </c>
      <c r="X342" s="1">
        <v>2</v>
      </c>
      <c r="AA342" s="1">
        <v>9999</v>
      </c>
      <c r="AB342" s="3"/>
      <c r="AE342" s="183" t="s">
        <v>1438</v>
      </c>
      <c r="AG342">
        <v>6</v>
      </c>
      <c r="AH342">
        <f t="shared" si="21"/>
        <v>19998</v>
      </c>
    </row>
    <row r="343" ht="15.75" spans="1:34">
      <c r="A343" s="153">
        <f ca="1">passive!W233</f>
        <v>310407</v>
      </c>
      <c r="B343" s="186" t="str">
        <f>passive!B233</f>
        <v>寒冰真气</v>
      </c>
      <c r="C343" s="153" t="str">
        <f t="shared" si="20"/>
        <v>每回合有65%概率叠加2层冰冻</v>
      </c>
      <c r="D343">
        <v>2</v>
      </c>
      <c r="E343" s="179">
        <v>2</v>
      </c>
      <c r="F343" s="179">
        <v>3</v>
      </c>
      <c r="G343" s="1">
        <v>13</v>
      </c>
      <c r="H343">
        <v>2</v>
      </c>
      <c r="K343" s="1">
        <v>1</v>
      </c>
      <c r="L343" s="1">
        <v>1</v>
      </c>
      <c r="M343">
        <v>0</v>
      </c>
      <c r="R343" s="1">
        <v>6500</v>
      </c>
      <c r="V343">
        <v>2</v>
      </c>
      <c r="W343" s="1">
        <v>1</v>
      </c>
      <c r="X343" s="1">
        <v>2</v>
      </c>
      <c r="AA343" s="1">
        <v>9999</v>
      </c>
      <c r="AB343" s="3"/>
      <c r="AE343" s="183" t="s">
        <v>1438</v>
      </c>
      <c r="AG343">
        <v>6</v>
      </c>
      <c r="AH343">
        <f t="shared" si="21"/>
        <v>19998</v>
      </c>
    </row>
    <row r="344" ht="15.75" spans="1:34">
      <c r="A344" s="153">
        <f ca="1">passive!W234</f>
        <v>310408</v>
      </c>
      <c r="B344" s="186" t="str">
        <f>passive!B234</f>
        <v>寒冰真气</v>
      </c>
      <c r="C344" s="153" t="str">
        <f t="shared" si="20"/>
        <v>每回合有70%概率叠加2层冰冻</v>
      </c>
      <c r="D344">
        <v>2</v>
      </c>
      <c r="E344" s="179">
        <v>2</v>
      </c>
      <c r="F344" s="179">
        <v>3</v>
      </c>
      <c r="G344" s="1">
        <v>13</v>
      </c>
      <c r="H344">
        <v>2</v>
      </c>
      <c r="K344" s="1">
        <v>1</v>
      </c>
      <c r="L344" s="1">
        <v>1</v>
      </c>
      <c r="M344">
        <v>0</v>
      </c>
      <c r="R344" s="1">
        <v>7000</v>
      </c>
      <c r="V344">
        <v>2</v>
      </c>
      <c r="W344" s="1">
        <v>1</v>
      </c>
      <c r="X344" s="1">
        <v>2</v>
      </c>
      <c r="AA344" s="1">
        <v>9999</v>
      </c>
      <c r="AB344" s="3"/>
      <c r="AE344" s="183" t="s">
        <v>1438</v>
      </c>
      <c r="AG344">
        <v>6</v>
      </c>
      <c r="AH344">
        <f t="shared" si="21"/>
        <v>19998</v>
      </c>
    </row>
    <row r="345" ht="15.75" spans="1:34">
      <c r="A345" s="153">
        <f ca="1">passive!W235</f>
        <v>310409</v>
      </c>
      <c r="B345" s="186" t="str">
        <f>passive!B235</f>
        <v>寒冰真气</v>
      </c>
      <c r="C345" s="153" t="str">
        <f t="shared" si="20"/>
        <v>每回合有75%概率叠加2层冰冻</v>
      </c>
      <c r="D345">
        <v>2</v>
      </c>
      <c r="E345" s="179">
        <v>2</v>
      </c>
      <c r="F345" s="179">
        <v>3</v>
      </c>
      <c r="G345" s="1">
        <v>13</v>
      </c>
      <c r="H345">
        <v>2</v>
      </c>
      <c r="K345" s="1">
        <v>1</v>
      </c>
      <c r="L345" s="1">
        <v>1</v>
      </c>
      <c r="M345">
        <v>0</v>
      </c>
      <c r="R345" s="1">
        <v>7500</v>
      </c>
      <c r="V345">
        <v>2</v>
      </c>
      <c r="W345" s="1">
        <v>1</v>
      </c>
      <c r="X345" s="1">
        <v>2</v>
      </c>
      <c r="AA345" s="1">
        <v>9999</v>
      </c>
      <c r="AB345" s="3"/>
      <c r="AE345" s="183" t="s">
        <v>1438</v>
      </c>
      <c r="AG345">
        <v>6</v>
      </c>
      <c r="AH345">
        <f t="shared" si="21"/>
        <v>19998</v>
      </c>
    </row>
    <row r="346" ht="15.75" spans="1:34">
      <c r="A346" s="153">
        <f ca="1">passive!W236</f>
        <v>310410</v>
      </c>
      <c r="B346" s="186" t="str">
        <f>passive!B236</f>
        <v>寒冰真气</v>
      </c>
      <c r="C346" s="153" t="str">
        <f t="shared" si="20"/>
        <v>每回合有80%概率叠加3层冰冻</v>
      </c>
      <c r="D346">
        <v>2</v>
      </c>
      <c r="E346" s="179">
        <v>2</v>
      </c>
      <c r="F346" s="179">
        <v>3</v>
      </c>
      <c r="G346" s="1">
        <v>13</v>
      </c>
      <c r="H346">
        <v>2</v>
      </c>
      <c r="K346" s="1">
        <v>1</v>
      </c>
      <c r="L346" s="1">
        <v>1</v>
      </c>
      <c r="M346">
        <v>0</v>
      </c>
      <c r="R346" s="1">
        <v>8000</v>
      </c>
      <c r="V346">
        <v>2</v>
      </c>
      <c r="W346" s="1">
        <v>1</v>
      </c>
      <c r="X346" s="1">
        <v>3</v>
      </c>
      <c r="AA346" s="1">
        <v>9999</v>
      </c>
      <c r="AB346" s="3"/>
      <c r="AE346" s="183" t="s">
        <v>1438</v>
      </c>
      <c r="AG346">
        <v>6</v>
      </c>
      <c r="AH346">
        <f t="shared" si="21"/>
        <v>29997</v>
      </c>
    </row>
    <row r="347" ht="15.75" spans="1:34">
      <c r="A347" s="153">
        <f ca="1">passive!W237</f>
        <v>310500</v>
      </c>
      <c r="B347" s="186" t="str">
        <f>passive!B237</f>
        <v>焚天遗录</v>
      </c>
      <c r="C347" s="295" t="str">
        <f t="shared" ref="C347:C357" si="22">"每使用2招，有"&amp;R347/100&amp;"%概率给自身叠加"&amp;X347&amp;"层炎息"</f>
        <v>每使用2招，有30%概率给自身叠加1层炎息</v>
      </c>
      <c r="D347" s="186">
        <v>1</v>
      </c>
      <c r="E347" s="179">
        <v>2</v>
      </c>
      <c r="F347" s="179">
        <v>3</v>
      </c>
      <c r="G347" s="1">
        <v>13</v>
      </c>
      <c r="H347" s="1">
        <v>1</v>
      </c>
      <c r="I347" s="157"/>
      <c r="J347" s="294"/>
      <c r="K347" s="1">
        <v>4</v>
      </c>
      <c r="L347" s="1">
        <v>1</v>
      </c>
      <c r="M347" s="1">
        <v>0</v>
      </c>
      <c r="N347">
        <v>1</v>
      </c>
      <c r="O347">
        <v>3</v>
      </c>
      <c r="P347">
        <v>1</v>
      </c>
      <c r="Q347" s="1">
        <v>2</v>
      </c>
      <c r="R347" s="3">
        <v>3000</v>
      </c>
      <c r="V347">
        <v>1</v>
      </c>
      <c r="W347" s="1">
        <v>1</v>
      </c>
      <c r="X347" s="1">
        <v>1</v>
      </c>
      <c r="AA347" s="1">
        <v>9999</v>
      </c>
      <c r="AE347" s="183" t="s">
        <v>1439</v>
      </c>
      <c r="AG347" t="e">
        <f ca="1">OFFSET(buff的资质计算!$M$1,MATCH(buff!D347,buff的资质计算!G:G,0)-1,0)*R347*X347/10000</f>
        <v>#VALUE!</v>
      </c>
      <c r="AH347" t="e">
        <f ca="1">AG347/OFFSET(buff的资质计算!$L$1,MATCH(buff!D347,buff的资质计算!G:G,0)-1,0)</f>
        <v>#VALUE!</v>
      </c>
    </row>
    <row r="348" ht="15.75" spans="1:34">
      <c r="A348" s="153">
        <f ca="1">passive!W238</f>
        <v>310501</v>
      </c>
      <c r="B348" s="186" t="str">
        <f>passive!B238</f>
        <v>焚天遗录</v>
      </c>
      <c r="C348" s="295" t="str">
        <f t="shared" si="22"/>
        <v>每使用2招，有32%概率给自身叠加1层炎息</v>
      </c>
      <c r="D348" s="186">
        <v>1</v>
      </c>
      <c r="E348" s="179">
        <v>2</v>
      </c>
      <c r="F348" s="179">
        <v>3</v>
      </c>
      <c r="G348" s="1">
        <v>13</v>
      </c>
      <c r="H348" s="1">
        <v>1</v>
      </c>
      <c r="I348" s="157"/>
      <c r="J348" s="294"/>
      <c r="K348" s="1">
        <v>4</v>
      </c>
      <c r="L348" s="1">
        <v>1</v>
      </c>
      <c r="M348" s="1">
        <v>0</v>
      </c>
      <c r="N348">
        <v>1</v>
      </c>
      <c r="O348">
        <v>3</v>
      </c>
      <c r="P348">
        <v>1</v>
      </c>
      <c r="Q348" s="1">
        <v>2</v>
      </c>
      <c r="R348" s="3">
        <v>3200</v>
      </c>
      <c r="V348">
        <v>1</v>
      </c>
      <c r="W348" s="1">
        <v>1</v>
      </c>
      <c r="X348" s="1">
        <v>1</v>
      </c>
      <c r="AA348" s="1">
        <v>9999</v>
      </c>
      <c r="AE348" s="183" t="s">
        <v>1439</v>
      </c>
      <c r="AG348" t="e">
        <f ca="1">OFFSET(buff的资质计算!$M$1,MATCH(buff!D348,buff的资质计算!G:G,0)-1,0)*R348*X348/10000</f>
        <v>#VALUE!</v>
      </c>
      <c r="AH348" t="e">
        <f ca="1">AG348/OFFSET(buff的资质计算!$L$1,MATCH(buff!D348,buff的资质计算!G:G,0)-1,0)</f>
        <v>#VALUE!</v>
      </c>
    </row>
    <row r="349" ht="15.75" spans="1:34">
      <c r="A349" s="153">
        <f ca="1">passive!W239</f>
        <v>310502</v>
      </c>
      <c r="B349" s="186" t="str">
        <f>passive!B239</f>
        <v>焚天遗录</v>
      </c>
      <c r="C349" s="295" t="str">
        <f t="shared" si="22"/>
        <v>每使用2招，有34%概率给自身叠加1层炎息</v>
      </c>
      <c r="D349" s="186">
        <v>1</v>
      </c>
      <c r="E349" s="179">
        <v>2</v>
      </c>
      <c r="F349" s="179">
        <v>3</v>
      </c>
      <c r="G349" s="1">
        <v>13</v>
      </c>
      <c r="H349" s="1">
        <v>1</v>
      </c>
      <c r="I349" s="157"/>
      <c r="J349" s="294"/>
      <c r="K349" s="1">
        <v>4</v>
      </c>
      <c r="L349" s="1">
        <v>1</v>
      </c>
      <c r="M349" s="1">
        <v>0</v>
      </c>
      <c r="N349">
        <v>1</v>
      </c>
      <c r="O349">
        <v>3</v>
      </c>
      <c r="P349">
        <v>1</v>
      </c>
      <c r="Q349" s="1">
        <v>2</v>
      </c>
      <c r="R349" s="3">
        <v>3400</v>
      </c>
      <c r="V349">
        <v>1</v>
      </c>
      <c r="W349" s="1">
        <v>1</v>
      </c>
      <c r="X349" s="1">
        <v>1</v>
      </c>
      <c r="AA349" s="1">
        <v>9999</v>
      </c>
      <c r="AE349" s="183" t="s">
        <v>1439</v>
      </c>
      <c r="AG349" t="e">
        <f ca="1">OFFSET(buff的资质计算!$M$1,MATCH(buff!D349,buff的资质计算!G:G,0)-1,0)*R349*X349/10000</f>
        <v>#VALUE!</v>
      </c>
      <c r="AH349" t="e">
        <f ca="1">AG349/OFFSET(buff的资质计算!$L$1,MATCH(buff!D349,buff的资质计算!G:G,0)-1,0)</f>
        <v>#VALUE!</v>
      </c>
    </row>
    <row r="350" ht="15.75" spans="1:34">
      <c r="A350" s="153">
        <f ca="1">passive!W240</f>
        <v>310503</v>
      </c>
      <c r="B350" s="186" t="str">
        <f>passive!B240</f>
        <v>焚天遗录</v>
      </c>
      <c r="C350" s="295" t="str">
        <f t="shared" si="22"/>
        <v>每使用2招，有36%概率给自身叠加1层炎息</v>
      </c>
      <c r="D350" s="186">
        <v>1</v>
      </c>
      <c r="E350" s="179">
        <v>2</v>
      </c>
      <c r="F350" s="179">
        <v>3</v>
      </c>
      <c r="G350" s="1">
        <v>13</v>
      </c>
      <c r="H350" s="1">
        <v>1</v>
      </c>
      <c r="I350" s="157"/>
      <c r="J350" s="294"/>
      <c r="K350" s="1">
        <v>4</v>
      </c>
      <c r="L350" s="1">
        <v>1</v>
      </c>
      <c r="M350" s="1">
        <v>0</v>
      </c>
      <c r="N350">
        <v>1</v>
      </c>
      <c r="O350">
        <v>3</v>
      </c>
      <c r="P350">
        <v>1</v>
      </c>
      <c r="Q350" s="1">
        <v>2</v>
      </c>
      <c r="R350" s="3">
        <v>3600</v>
      </c>
      <c r="V350">
        <v>1</v>
      </c>
      <c r="W350" s="1">
        <v>1</v>
      </c>
      <c r="X350" s="1">
        <v>1</v>
      </c>
      <c r="AA350" s="1">
        <v>9999</v>
      </c>
      <c r="AE350" s="183" t="s">
        <v>1439</v>
      </c>
      <c r="AG350" t="e">
        <f ca="1">OFFSET(buff的资质计算!$M$1,MATCH(buff!D350,buff的资质计算!G:G,0)-1,0)*R350*X350/10000</f>
        <v>#VALUE!</v>
      </c>
      <c r="AH350" t="e">
        <f ca="1">AG350/OFFSET(buff的资质计算!$L$1,MATCH(buff!D350,buff的资质计算!G:G,0)-1,0)</f>
        <v>#VALUE!</v>
      </c>
    </row>
    <row r="351" ht="15.75" spans="1:34">
      <c r="A351" s="153">
        <f ca="1">passive!W241</f>
        <v>310504</v>
      </c>
      <c r="B351" s="186" t="str">
        <f>passive!B241</f>
        <v>焚天遗录</v>
      </c>
      <c r="C351" s="295" t="str">
        <f t="shared" si="22"/>
        <v>每使用2招，有38%概率给自身叠加1层炎息</v>
      </c>
      <c r="D351" s="186">
        <v>1</v>
      </c>
      <c r="E351" s="179">
        <v>2</v>
      </c>
      <c r="F351" s="179">
        <v>3</v>
      </c>
      <c r="G351" s="1">
        <v>13</v>
      </c>
      <c r="H351" s="1">
        <v>1</v>
      </c>
      <c r="I351" s="157"/>
      <c r="J351" s="294"/>
      <c r="K351" s="1">
        <v>4</v>
      </c>
      <c r="L351" s="1">
        <v>1</v>
      </c>
      <c r="M351" s="1">
        <v>0</v>
      </c>
      <c r="N351">
        <v>1</v>
      </c>
      <c r="O351">
        <v>3</v>
      </c>
      <c r="P351">
        <v>1</v>
      </c>
      <c r="Q351" s="1">
        <v>2</v>
      </c>
      <c r="R351" s="3">
        <v>3800</v>
      </c>
      <c r="V351">
        <v>1</v>
      </c>
      <c r="W351" s="1">
        <v>1</v>
      </c>
      <c r="X351" s="1">
        <v>1</v>
      </c>
      <c r="AA351" s="1">
        <v>9999</v>
      </c>
      <c r="AE351" s="183" t="s">
        <v>1439</v>
      </c>
      <c r="AG351" t="e">
        <f ca="1">OFFSET(buff的资质计算!$M$1,MATCH(buff!D351,buff的资质计算!G:G,0)-1,0)*R351*X351/10000</f>
        <v>#VALUE!</v>
      </c>
      <c r="AH351" t="e">
        <f ca="1">AG351/OFFSET(buff的资质计算!$L$1,MATCH(buff!D351,buff的资质计算!G:G,0)-1,0)</f>
        <v>#VALUE!</v>
      </c>
    </row>
    <row r="352" ht="15.75" spans="1:34">
      <c r="A352" s="153">
        <f ca="1">passive!W242</f>
        <v>310505</v>
      </c>
      <c r="B352" s="186" t="str">
        <f>passive!B242</f>
        <v>焚天遗录</v>
      </c>
      <c r="C352" s="295" t="str">
        <f t="shared" si="22"/>
        <v>每使用2招，有40%概率给自身叠加2层炎息</v>
      </c>
      <c r="D352" s="186">
        <v>1</v>
      </c>
      <c r="E352" s="179">
        <v>2</v>
      </c>
      <c r="F352" s="179">
        <v>3</v>
      </c>
      <c r="G352" s="1">
        <v>13</v>
      </c>
      <c r="H352" s="1">
        <v>1</v>
      </c>
      <c r="I352" s="157"/>
      <c r="J352" s="294"/>
      <c r="K352" s="1">
        <v>4</v>
      </c>
      <c r="L352" s="1">
        <v>1</v>
      </c>
      <c r="M352" s="1">
        <v>0</v>
      </c>
      <c r="N352">
        <v>1</v>
      </c>
      <c r="O352">
        <v>3</v>
      </c>
      <c r="P352">
        <v>1</v>
      </c>
      <c r="Q352" s="1">
        <v>2</v>
      </c>
      <c r="R352" s="3">
        <v>4000</v>
      </c>
      <c r="V352">
        <v>1</v>
      </c>
      <c r="W352" s="1">
        <v>1</v>
      </c>
      <c r="X352" s="1">
        <v>2</v>
      </c>
      <c r="AA352" s="1">
        <v>9999</v>
      </c>
      <c r="AE352" s="183" t="s">
        <v>1439</v>
      </c>
      <c r="AG352" t="e">
        <f ca="1">OFFSET(buff的资质计算!$M$1,MATCH(buff!D352,buff的资质计算!G:G,0)-1,0)*R352*X352/10000</f>
        <v>#VALUE!</v>
      </c>
      <c r="AH352" t="e">
        <f ca="1">AG352/OFFSET(buff的资质计算!$L$1,MATCH(buff!D352,buff的资质计算!G:G,0)-1,0)</f>
        <v>#VALUE!</v>
      </c>
    </row>
    <row r="353" ht="15.75" spans="1:34">
      <c r="A353" s="153">
        <f ca="1">passive!W243</f>
        <v>310506</v>
      </c>
      <c r="B353" s="186" t="str">
        <f>passive!B243</f>
        <v>焚天遗录</v>
      </c>
      <c r="C353" s="295" t="str">
        <f t="shared" si="22"/>
        <v>每使用2招，有42%概率给自身叠加2层炎息</v>
      </c>
      <c r="D353" s="186">
        <v>1</v>
      </c>
      <c r="E353" s="179">
        <v>2</v>
      </c>
      <c r="F353" s="179">
        <v>3</v>
      </c>
      <c r="G353" s="1">
        <v>13</v>
      </c>
      <c r="H353" s="1">
        <v>1</v>
      </c>
      <c r="I353" s="157"/>
      <c r="J353" s="294"/>
      <c r="K353" s="1">
        <v>4</v>
      </c>
      <c r="L353" s="1">
        <v>1</v>
      </c>
      <c r="M353" s="1">
        <v>0</v>
      </c>
      <c r="N353">
        <v>1</v>
      </c>
      <c r="O353">
        <v>3</v>
      </c>
      <c r="P353">
        <v>1</v>
      </c>
      <c r="Q353" s="1">
        <v>2</v>
      </c>
      <c r="R353" s="3">
        <v>4200</v>
      </c>
      <c r="V353">
        <v>1</v>
      </c>
      <c r="W353" s="1">
        <v>1</v>
      </c>
      <c r="X353" s="1">
        <v>2</v>
      </c>
      <c r="AA353" s="1">
        <v>9999</v>
      </c>
      <c r="AE353" s="183" t="s">
        <v>1439</v>
      </c>
      <c r="AG353" t="e">
        <f ca="1">OFFSET(buff的资质计算!$M$1,MATCH(buff!D353,buff的资质计算!G:G,0)-1,0)*R353*X353/10000</f>
        <v>#VALUE!</v>
      </c>
      <c r="AH353" t="e">
        <f ca="1">AG353/OFFSET(buff的资质计算!$L$1,MATCH(buff!D353,buff的资质计算!G:G,0)-1,0)</f>
        <v>#VALUE!</v>
      </c>
    </row>
    <row r="354" ht="15.75" spans="1:34">
      <c r="A354" s="153">
        <f ca="1">passive!W244</f>
        <v>310507</v>
      </c>
      <c r="B354" s="186" t="str">
        <f>passive!B244</f>
        <v>焚天遗录</v>
      </c>
      <c r="C354" s="295" t="str">
        <f t="shared" si="22"/>
        <v>每使用2招，有44%概率给自身叠加2层炎息</v>
      </c>
      <c r="D354" s="186">
        <v>1</v>
      </c>
      <c r="E354" s="179">
        <v>2</v>
      </c>
      <c r="F354" s="179">
        <v>3</v>
      </c>
      <c r="G354" s="1">
        <v>13</v>
      </c>
      <c r="H354" s="1">
        <v>1</v>
      </c>
      <c r="I354" s="157"/>
      <c r="J354" s="294"/>
      <c r="K354" s="1">
        <v>4</v>
      </c>
      <c r="L354" s="1">
        <v>1</v>
      </c>
      <c r="M354" s="1">
        <v>0</v>
      </c>
      <c r="N354">
        <v>1</v>
      </c>
      <c r="O354">
        <v>3</v>
      </c>
      <c r="P354">
        <v>1</v>
      </c>
      <c r="Q354" s="1">
        <v>2</v>
      </c>
      <c r="R354" s="3">
        <v>4400</v>
      </c>
      <c r="V354">
        <v>1</v>
      </c>
      <c r="W354" s="1">
        <v>1</v>
      </c>
      <c r="X354" s="1">
        <v>2</v>
      </c>
      <c r="AA354" s="1">
        <v>9999</v>
      </c>
      <c r="AE354" s="183" t="s">
        <v>1439</v>
      </c>
      <c r="AG354" t="e">
        <f ca="1">OFFSET(buff的资质计算!$M$1,MATCH(buff!D354,buff的资质计算!G:G,0)-1,0)*R354*X354/10000</f>
        <v>#VALUE!</v>
      </c>
      <c r="AH354" t="e">
        <f ca="1">AG354/OFFSET(buff的资质计算!$L$1,MATCH(buff!D354,buff的资质计算!G:G,0)-1,0)</f>
        <v>#VALUE!</v>
      </c>
    </row>
    <row r="355" ht="15.75" spans="1:34">
      <c r="A355" s="153">
        <f ca="1">passive!W245</f>
        <v>310508</v>
      </c>
      <c r="B355" s="186" t="str">
        <f>passive!B245</f>
        <v>焚天遗录</v>
      </c>
      <c r="C355" s="295" t="str">
        <f t="shared" si="22"/>
        <v>每使用2招，有46%概率给自身叠加2层炎息</v>
      </c>
      <c r="D355" s="186">
        <v>1</v>
      </c>
      <c r="E355" s="179">
        <v>2</v>
      </c>
      <c r="F355" s="179">
        <v>3</v>
      </c>
      <c r="G355" s="1">
        <v>13</v>
      </c>
      <c r="H355" s="1">
        <v>1</v>
      </c>
      <c r="I355" s="157"/>
      <c r="J355" s="294"/>
      <c r="K355" s="1">
        <v>4</v>
      </c>
      <c r="L355" s="1">
        <v>1</v>
      </c>
      <c r="M355" s="1">
        <v>0</v>
      </c>
      <c r="N355">
        <v>1</v>
      </c>
      <c r="O355">
        <v>3</v>
      </c>
      <c r="P355">
        <v>1</v>
      </c>
      <c r="Q355" s="1">
        <v>2</v>
      </c>
      <c r="R355" s="3">
        <v>4600</v>
      </c>
      <c r="V355">
        <v>1</v>
      </c>
      <c r="W355" s="1">
        <v>1</v>
      </c>
      <c r="X355" s="1">
        <v>2</v>
      </c>
      <c r="AA355" s="1">
        <v>9999</v>
      </c>
      <c r="AE355" s="183" t="s">
        <v>1439</v>
      </c>
      <c r="AG355" t="e">
        <f ca="1">OFFSET(buff的资质计算!$M$1,MATCH(buff!D355,buff的资质计算!G:G,0)-1,0)*R355*X355/10000</f>
        <v>#VALUE!</v>
      </c>
      <c r="AH355" t="e">
        <f ca="1">AG355/OFFSET(buff的资质计算!$L$1,MATCH(buff!D355,buff的资质计算!G:G,0)-1,0)</f>
        <v>#VALUE!</v>
      </c>
    </row>
    <row r="356" ht="15.75" spans="1:34">
      <c r="A356" s="153">
        <f ca="1">passive!W246</f>
        <v>310509</v>
      </c>
      <c r="B356" s="186" t="str">
        <f>passive!B246</f>
        <v>焚天遗录</v>
      </c>
      <c r="C356" s="295" t="str">
        <f t="shared" si="22"/>
        <v>每使用2招，有48%概率给自身叠加2层炎息</v>
      </c>
      <c r="D356" s="186">
        <v>1</v>
      </c>
      <c r="E356" s="179">
        <v>2</v>
      </c>
      <c r="F356" s="179">
        <v>3</v>
      </c>
      <c r="G356" s="1">
        <v>13</v>
      </c>
      <c r="H356" s="1">
        <v>1</v>
      </c>
      <c r="I356" s="157"/>
      <c r="J356" s="294"/>
      <c r="K356" s="1">
        <v>4</v>
      </c>
      <c r="L356" s="1">
        <v>1</v>
      </c>
      <c r="M356" s="1">
        <v>0</v>
      </c>
      <c r="N356">
        <v>1</v>
      </c>
      <c r="O356">
        <v>3</v>
      </c>
      <c r="P356">
        <v>1</v>
      </c>
      <c r="Q356" s="1">
        <v>2</v>
      </c>
      <c r="R356" s="3">
        <v>4800</v>
      </c>
      <c r="V356">
        <v>1</v>
      </c>
      <c r="W356" s="1">
        <v>1</v>
      </c>
      <c r="X356" s="1">
        <v>2</v>
      </c>
      <c r="AA356" s="1">
        <v>9999</v>
      </c>
      <c r="AE356" s="183" t="s">
        <v>1439</v>
      </c>
      <c r="AG356" t="e">
        <f ca="1">OFFSET(buff的资质计算!$M$1,MATCH(buff!D356,buff的资质计算!G:G,0)-1,0)*R356*X356/10000</f>
        <v>#VALUE!</v>
      </c>
      <c r="AH356" t="e">
        <f ca="1">AG356/OFFSET(buff的资质计算!$L$1,MATCH(buff!D356,buff的资质计算!G:G,0)-1,0)</f>
        <v>#VALUE!</v>
      </c>
    </row>
    <row r="357" ht="15.75" spans="1:34">
      <c r="A357" s="153">
        <f ca="1">passive!W247</f>
        <v>310510</v>
      </c>
      <c r="B357" s="186" t="str">
        <f>passive!B247</f>
        <v>焚天遗录</v>
      </c>
      <c r="C357" s="295" t="str">
        <f t="shared" si="22"/>
        <v>每使用2招，有50%概率给自身叠加3层炎息</v>
      </c>
      <c r="D357" s="186">
        <v>1</v>
      </c>
      <c r="E357" s="179">
        <v>2</v>
      </c>
      <c r="F357" s="179">
        <v>3</v>
      </c>
      <c r="G357" s="1">
        <v>13</v>
      </c>
      <c r="H357" s="1">
        <v>1</v>
      </c>
      <c r="I357" s="157"/>
      <c r="J357" s="294"/>
      <c r="K357" s="1">
        <v>4</v>
      </c>
      <c r="L357" s="1">
        <v>1</v>
      </c>
      <c r="M357" s="1">
        <v>0</v>
      </c>
      <c r="N357">
        <v>1</v>
      </c>
      <c r="O357">
        <v>3</v>
      </c>
      <c r="P357">
        <v>1</v>
      </c>
      <c r="Q357" s="1">
        <v>2</v>
      </c>
      <c r="R357" s="3">
        <v>5000</v>
      </c>
      <c r="V357">
        <v>1</v>
      </c>
      <c r="W357" s="1">
        <v>1</v>
      </c>
      <c r="X357" s="1">
        <v>3</v>
      </c>
      <c r="AA357" s="1">
        <v>9999</v>
      </c>
      <c r="AE357" s="183" t="s">
        <v>1439</v>
      </c>
      <c r="AG357" t="e">
        <f ca="1">OFFSET(buff的资质计算!$M$1,MATCH(buff!D357,buff的资质计算!G:G,0)-1,0)*R357*X357/10000</f>
        <v>#VALUE!</v>
      </c>
      <c r="AH357" t="e">
        <f ca="1">AG357/OFFSET(buff的资质计算!$L$1,MATCH(buff!D357,buff的资质计算!G:G,0)-1,0)</f>
        <v>#VALUE!</v>
      </c>
    </row>
    <row r="358" ht="27.75" spans="1:34">
      <c r="A358" s="153">
        <f ca="1">passive!W248</f>
        <v>320100</v>
      </c>
      <c r="B358" s="186" t="str">
        <f>passive!B248</f>
        <v>幽魂噬影大法</v>
      </c>
      <c r="C358" s="186" t="str">
        <f t="shared" ref="C358:C368" si="23">"敌我双方每损失"&amp;U358/100&amp;"%血量,产生"&amp;X358&amp;"个能造成真实伤害的灵魂"</f>
        <v>敌我双方每损失40%血量,产生1个能造成真实伤害的灵魂</v>
      </c>
      <c r="D358" s="186">
        <v>2</v>
      </c>
      <c r="E358" s="179">
        <v>2</v>
      </c>
      <c r="F358" s="179">
        <v>3</v>
      </c>
      <c r="G358" s="1">
        <v>13</v>
      </c>
      <c r="H358" s="1">
        <v>1</v>
      </c>
      <c r="I358" s="1"/>
      <c r="J358" s="1"/>
      <c r="K358" s="1">
        <v>5</v>
      </c>
      <c r="M358">
        <v>0</v>
      </c>
      <c r="R358" s="1">
        <v>10000</v>
      </c>
      <c r="S358">
        <v>10</v>
      </c>
      <c r="T358">
        <v>3</v>
      </c>
      <c r="U358">
        <v>4000</v>
      </c>
      <c r="V358">
        <v>3</v>
      </c>
      <c r="W358" s="1">
        <v>1</v>
      </c>
      <c r="X358">
        <v>1</v>
      </c>
      <c r="AA358" s="1">
        <v>9999</v>
      </c>
      <c r="AE358" s="183" t="s">
        <v>1440</v>
      </c>
      <c r="AG358" t="e">
        <f ca="1">OFFSET(buff的资质计算!$M$1,MATCH(buff!D358,buff的资质计算!G:G,0)-1,0)*R358*X358/10000</f>
        <v>#VALUE!</v>
      </c>
      <c r="AH358" t="e">
        <f ca="1">AG358/OFFSET(buff的资质计算!$L$1,MATCH(buff!D358,buff的资质计算!G:G,0)-1,0)</f>
        <v>#VALUE!</v>
      </c>
    </row>
    <row r="359" ht="27.75" spans="1:34">
      <c r="A359" s="153">
        <f ca="1">passive!W249</f>
        <v>320101</v>
      </c>
      <c r="B359" s="186" t="str">
        <f>passive!B249</f>
        <v>幽魂噬影大法</v>
      </c>
      <c r="C359" s="186" t="str">
        <f t="shared" si="23"/>
        <v>敌我双方每损失37%血量,产生1个能造成真实伤害的灵魂</v>
      </c>
      <c r="D359" s="186">
        <v>2</v>
      </c>
      <c r="E359" s="179">
        <v>2</v>
      </c>
      <c r="F359" s="179">
        <v>3</v>
      </c>
      <c r="G359" s="1">
        <v>13</v>
      </c>
      <c r="H359" s="1">
        <v>1</v>
      </c>
      <c r="I359" s="1"/>
      <c r="J359" s="1"/>
      <c r="K359" s="1">
        <v>5</v>
      </c>
      <c r="M359">
        <v>0</v>
      </c>
      <c r="R359" s="1">
        <v>10000</v>
      </c>
      <c r="S359">
        <v>10</v>
      </c>
      <c r="T359">
        <v>3</v>
      </c>
      <c r="U359">
        <v>3700</v>
      </c>
      <c r="V359">
        <v>3</v>
      </c>
      <c r="W359" s="1">
        <v>1</v>
      </c>
      <c r="X359">
        <v>1</v>
      </c>
      <c r="AA359" s="1">
        <v>9999</v>
      </c>
      <c r="AE359" s="183" t="s">
        <v>1440</v>
      </c>
      <c r="AG359" t="e">
        <f ca="1">OFFSET(buff的资质计算!$M$1,MATCH(buff!D359,buff的资质计算!G:G,0)-1,0)*R359*X359/10000</f>
        <v>#VALUE!</v>
      </c>
      <c r="AH359" t="e">
        <f ca="1">AG359/OFFSET(buff的资质计算!$L$1,MATCH(buff!D359,buff的资质计算!G:G,0)-1,0)</f>
        <v>#VALUE!</v>
      </c>
    </row>
    <row r="360" ht="27.75" spans="1:34">
      <c r="A360" s="153">
        <f ca="1">passive!W250</f>
        <v>320102</v>
      </c>
      <c r="B360" s="186" t="str">
        <f>passive!B250</f>
        <v>幽魂噬影大法</v>
      </c>
      <c r="C360" s="186" t="str">
        <f t="shared" si="23"/>
        <v>敌我双方每损失34%血量,产生1个能造成真实伤害的灵魂</v>
      </c>
      <c r="D360" s="186">
        <v>2</v>
      </c>
      <c r="E360" s="179">
        <v>2</v>
      </c>
      <c r="F360" s="179">
        <v>3</v>
      </c>
      <c r="G360" s="1">
        <v>13</v>
      </c>
      <c r="H360" s="1">
        <v>1</v>
      </c>
      <c r="I360" s="1"/>
      <c r="J360" s="1"/>
      <c r="K360" s="1">
        <v>5</v>
      </c>
      <c r="M360">
        <v>0</v>
      </c>
      <c r="R360" s="1">
        <v>10000</v>
      </c>
      <c r="S360">
        <v>10</v>
      </c>
      <c r="T360">
        <v>3</v>
      </c>
      <c r="U360">
        <v>3400</v>
      </c>
      <c r="V360">
        <v>3</v>
      </c>
      <c r="W360" s="1">
        <v>1</v>
      </c>
      <c r="X360">
        <v>1</v>
      </c>
      <c r="AA360" s="1">
        <v>9999</v>
      </c>
      <c r="AE360" s="183" t="s">
        <v>1440</v>
      </c>
      <c r="AG360" t="e">
        <f ca="1">OFFSET(buff的资质计算!$M$1,MATCH(buff!D360,buff的资质计算!G:G,0)-1,0)*R360*X360/10000</f>
        <v>#VALUE!</v>
      </c>
      <c r="AH360" t="e">
        <f ca="1">AG360/OFFSET(buff的资质计算!$L$1,MATCH(buff!D360,buff的资质计算!G:G,0)-1,0)</f>
        <v>#VALUE!</v>
      </c>
    </row>
    <row r="361" ht="27.75" spans="1:34">
      <c r="A361" s="153">
        <f ca="1">passive!W251</f>
        <v>320103</v>
      </c>
      <c r="B361" s="186" t="str">
        <f>passive!B251</f>
        <v>幽魂噬影大法</v>
      </c>
      <c r="C361" s="186" t="str">
        <f t="shared" si="23"/>
        <v>敌我双方每损失31%血量,产生1个能造成真实伤害的灵魂</v>
      </c>
      <c r="D361" s="186">
        <v>2</v>
      </c>
      <c r="E361" s="179">
        <v>2</v>
      </c>
      <c r="F361" s="179">
        <v>3</v>
      </c>
      <c r="G361" s="1">
        <v>13</v>
      </c>
      <c r="H361" s="1">
        <v>1</v>
      </c>
      <c r="I361" s="1"/>
      <c r="J361" s="1"/>
      <c r="K361" s="1">
        <v>5</v>
      </c>
      <c r="M361">
        <v>0</v>
      </c>
      <c r="R361" s="1">
        <v>10000</v>
      </c>
      <c r="S361">
        <v>10</v>
      </c>
      <c r="T361">
        <v>3</v>
      </c>
      <c r="U361">
        <v>3100</v>
      </c>
      <c r="V361">
        <v>3</v>
      </c>
      <c r="W361" s="1">
        <v>1</v>
      </c>
      <c r="X361">
        <v>1</v>
      </c>
      <c r="AA361" s="1">
        <v>9999</v>
      </c>
      <c r="AE361" s="183" t="s">
        <v>1440</v>
      </c>
      <c r="AG361" t="e">
        <f ca="1">OFFSET(buff的资质计算!$M$1,MATCH(buff!D361,buff的资质计算!G:G,0)-1,0)*R361*X361/10000</f>
        <v>#VALUE!</v>
      </c>
      <c r="AH361" t="e">
        <f ca="1">AG361/OFFSET(buff的资质计算!$L$1,MATCH(buff!D361,buff的资质计算!G:G,0)-1,0)</f>
        <v>#VALUE!</v>
      </c>
    </row>
    <row r="362" ht="27.75" spans="1:34">
      <c r="A362" s="153">
        <f ca="1">passive!W252</f>
        <v>320104</v>
      </c>
      <c r="B362" s="186" t="str">
        <f>passive!B252</f>
        <v>幽魂噬影大法</v>
      </c>
      <c r="C362" s="186" t="str">
        <f t="shared" si="23"/>
        <v>敌我双方每损失28%血量,产生1个能造成真实伤害的灵魂</v>
      </c>
      <c r="D362" s="186">
        <v>2</v>
      </c>
      <c r="E362" s="179">
        <v>2</v>
      </c>
      <c r="F362" s="179">
        <v>3</v>
      </c>
      <c r="G362" s="1">
        <v>13</v>
      </c>
      <c r="H362" s="1">
        <v>1</v>
      </c>
      <c r="I362" s="1"/>
      <c r="J362" s="1"/>
      <c r="K362" s="1">
        <v>5</v>
      </c>
      <c r="M362">
        <v>0</v>
      </c>
      <c r="R362" s="1">
        <v>10000</v>
      </c>
      <c r="S362">
        <v>10</v>
      </c>
      <c r="T362">
        <v>3</v>
      </c>
      <c r="U362">
        <v>2800</v>
      </c>
      <c r="V362">
        <v>3</v>
      </c>
      <c r="W362" s="1">
        <v>1</v>
      </c>
      <c r="X362">
        <v>1</v>
      </c>
      <c r="AA362" s="1">
        <v>9999</v>
      </c>
      <c r="AE362" s="183" t="s">
        <v>1440</v>
      </c>
      <c r="AG362" t="e">
        <f ca="1">OFFSET(buff的资质计算!$M$1,MATCH(buff!D362,buff的资质计算!G:G,0)-1,0)*R362*X362/10000</f>
        <v>#VALUE!</v>
      </c>
      <c r="AH362" t="e">
        <f ca="1">AG362/OFFSET(buff的资质计算!$L$1,MATCH(buff!D362,buff的资质计算!G:G,0)-1,0)</f>
        <v>#VALUE!</v>
      </c>
    </row>
    <row r="363" ht="27.75" spans="1:34">
      <c r="A363" s="153">
        <f ca="1">passive!W253</f>
        <v>320105</v>
      </c>
      <c r="B363" s="186" t="str">
        <f>passive!B253</f>
        <v>幽魂噬影大法</v>
      </c>
      <c r="C363" s="186" t="str">
        <f t="shared" si="23"/>
        <v>敌我双方每损失25%血量,产生1个能造成真实伤害的灵魂</v>
      </c>
      <c r="D363" s="186">
        <v>2</v>
      </c>
      <c r="E363" s="179">
        <v>2</v>
      </c>
      <c r="F363" s="179">
        <v>3</v>
      </c>
      <c r="G363" s="1">
        <v>13</v>
      </c>
      <c r="H363" s="1">
        <v>1</v>
      </c>
      <c r="I363" s="1"/>
      <c r="J363" s="1"/>
      <c r="K363" s="1">
        <v>5</v>
      </c>
      <c r="M363">
        <v>0</v>
      </c>
      <c r="R363" s="1">
        <v>10000</v>
      </c>
      <c r="S363">
        <v>10</v>
      </c>
      <c r="T363">
        <v>3</v>
      </c>
      <c r="U363">
        <v>2500</v>
      </c>
      <c r="V363">
        <v>3</v>
      </c>
      <c r="W363" s="1">
        <v>1</v>
      </c>
      <c r="X363">
        <v>1</v>
      </c>
      <c r="AA363" s="1">
        <v>9999</v>
      </c>
      <c r="AE363" s="183" t="s">
        <v>1440</v>
      </c>
      <c r="AG363" t="e">
        <f ca="1">OFFSET(buff的资质计算!$M$1,MATCH(buff!D363,buff的资质计算!G:G,0)-1,0)*R363*X363/10000</f>
        <v>#VALUE!</v>
      </c>
      <c r="AH363" t="e">
        <f ca="1">AG363/OFFSET(buff的资质计算!$L$1,MATCH(buff!D363,buff的资质计算!G:G,0)-1,0)</f>
        <v>#VALUE!</v>
      </c>
    </row>
    <row r="364" ht="27.75" spans="1:34">
      <c r="A364" s="153">
        <f ca="1">passive!W254</f>
        <v>320106</v>
      </c>
      <c r="B364" s="186" t="str">
        <f>passive!B254</f>
        <v>幽魂噬影大法</v>
      </c>
      <c r="C364" s="186" t="str">
        <f t="shared" si="23"/>
        <v>敌我双方每损失22%血量,产生1个能造成真实伤害的灵魂</v>
      </c>
      <c r="D364" s="186">
        <v>2</v>
      </c>
      <c r="E364" s="179">
        <v>2</v>
      </c>
      <c r="F364" s="179">
        <v>3</v>
      </c>
      <c r="G364" s="1">
        <v>13</v>
      </c>
      <c r="H364" s="1">
        <v>1</v>
      </c>
      <c r="I364" s="1"/>
      <c r="J364" s="1"/>
      <c r="K364" s="1">
        <v>5</v>
      </c>
      <c r="M364">
        <v>0</v>
      </c>
      <c r="R364" s="1">
        <v>10000</v>
      </c>
      <c r="S364">
        <v>10</v>
      </c>
      <c r="T364">
        <v>3</v>
      </c>
      <c r="U364">
        <v>2200</v>
      </c>
      <c r="V364">
        <v>3</v>
      </c>
      <c r="W364" s="1">
        <v>1</v>
      </c>
      <c r="X364">
        <v>1</v>
      </c>
      <c r="AA364" s="1">
        <v>9999</v>
      </c>
      <c r="AE364" s="183" t="s">
        <v>1440</v>
      </c>
      <c r="AG364" t="e">
        <f ca="1">OFFSET(buff的资质计算!$M$1,MATCH(buff!D364,buff的资质计算!G:G,0)-1,0)*R364*X364/10000</f>
        <v>#VALUE!</v>
      </c>
      <c r="AH364" t="e">
        <f ca="1">AG364/OFFSET(buff的资质计算!$L$1,MATCH(buff!D364,buff的资质计算!G:G,0)-1,0)</f>
        <v>#VALUE!</v>
      </c>
    </row>
    <row r="365" ht="27.75" spans="1:34">
      <c r="A365" s="153">
        <f ca="1">passive!W255</f>
        <v>320107</v>
      </c>
      <c r="B365" s="186" t="str">
        <f>passive!B255</f>
        <v>幽魂噬影大法</v>
      </c>
      <c r="C365" s="186" t="str">
        <f t="shared" si="23"/>
        <v>敌我双方每损失19%血量,产生1个能造成真实伤害的灵魂</v>
      </c>
      <c r="D365" s="186">
        <v>2</v>
      </c>
      <c r="E365" s="179">
        <v>2</v>
      </c>
      <c r="F365" s="179">
        <v>3</v>
      </c>
      <c r="G365" s="1">
        <v>13</v>
      </c>
      <c r="H365" s="1">
        <v>1</v>
      </c>
      <c r="I365" s="1"/>
      <c r="J365" s="1"/>
      <c r="K365" s="1">
        <v>5</v>
      </c>
      <c r="M365">
        <v>0</v>
      </c>
      <c r="R365" s="1">
        <v>10000</v>
      </c>
      <c r="S365">
        <v>10</v>
      </c>
      <c r="T365">
        <v>3</v>
      </c>
      <c r="U365">
        <v>1900</v>
      </c>
      <c r="V365">
        <v>3</v>
      </c>
      <c r="W365" s="1">
        <v>1</v>
      </c>
      <c r="X365">
        <v>1</v>
      </c>
      <c r="AA365" s="1">
        <v>9999</v>
      </c>
      <c r="AE365" s="183" t="s">
        <v>1440</v>
      </c>
      <c r="AG365" t="e">
        <f ca="1">OFFSET(buff的资质计算!$M$1,MATCH(buff!D365,buff的资质计算!G:G,0)-1,0)*R365*X365/10000</f>
        <v>#VALUE!</v>
      </c>
      <c r="AH365" t="e">
        <f ca="1">AG365/OFFSET(buff的资质计算!$L$1,MATCH(buff!D365,buff的资质计算!G:G,0)-1,0)</f>
        <v>#VALUE!</v>
      </c>
    </row>
    <row r="366" ht="27.75" spans="1:34">
      <c r="A366" s="153">
        <f ca="1">passive!W256</f>
        <v>320108</v>
      </c>
      <c r="B366" s="186" t="str">
        <f>passive!B256</f>
        <v>幽魂噬影大法</v>
      </c>
      <c r="C366" s="186" t="str">
        <f t="shared" si="23"/>
        <v>敌我双方每损失16%血量,产生1个能造成真实伤害的灵魂</v>
      </c>
      <c r="D366" s="186">
        <v>2</v>
      </c>
      <c r="E366" s="179">
        <v>2</v>
      </c>
      <c r="F366" s="179">
        <v>3</v>
      </c>
      <c r="G366" s="1">
        <v>13</v>
      </c>
      <c r="H366" s="1">
        <v>1</v>
      </c>
      <c r="I366" s="1"/>
      <c r="J366" s="1"/>
      <c r="K366" s="1">
        <v>5</v>
      </c>
      <c r="M366">
        <v>0</v>
      </c>
      <c r="R366" s="1">
        <v>10000</v>
      </c>
      <c r="S366">
        <v>10</v>
      </c>
      <c r="T366">
        <v>3</v>
      </c>
      <c r="U366">
        <v>1600</v>
      </c>
      <c r="V366">
        <v>3</v>
      </c>
      <c r="W366" s="1">
        <v>1</v>
      </c>
      <c r="X366">
        <v>1</v>
      </c>
      <c r="AA366" s="1">
        <v>9999</v>
      </c>
      <c r="AE366" s="183" t="s">
        <v>1440</v>
      </c>
      <c r="AG366" t="e">
        <f ca="1">OFFSET(buff的资质计算!$M$1,MATCH(buff!D366,buff的资质计算!G:G,0)-1,0)*R366*X366/10000</f>
        <v>#VALUE!</v>
      </c>
      <c r="AH366" t="e">
        <f ca="1">AG366/OFFSET(buff的资质计算!$L$1,MATCH(buff!D366,buff的资质计算!G:G,0)-1,0)</f>
        <v>#VALUE!</v>
      </c>
    </row>
    <row r="367" ht="27.75" spans="1:34">
      <c r="A367" s="153">
        <f ca="1">passive!W257</f>
        <v>320109</v>
      </c>
      <c r="B367" s="186" t="str">
        <f>passive!B257</f>
        <v>幽魂噬影大法</v>
      </c>
      <c r="C367" s="186" t="str">
        <f t="shared" si="23"/>
        <v>敌我双方每损失13%血量,产生1个能造成真实伤害的灵魂</v>
      </c>
      <c r="D367" s="186">
        <v>2</v>
      </c>
      <c r="E367" s="179">
        <v>2</v>
      </c>
      <c r="F367" s="179">
        <v>3</v>
      </c>
      <c r="G367" s="1">
        <v>13</v>
      </c>
      <c r="H367" s="1">
        <v>1</v>
      </c>
      <c r="I367" s="1"/>
      <c r="J367" s="1"/>
      <c r="K367" s="1">
        <v>5</v>
      </c>
      <c r="M367">
        <v>0</v>
      </c>
      <c r="R367" s="1">
        <v>10000</v>
      </c>
      <c r="S367">
        <v>10</v>
      </c>
      <c r="T367">
        <v>3</v>
      </c>
      <c r="U367">
        <v>1300</v>
      </c>
      <c r="V367">
        <v>3</v>
      </c>
      <c r="W367" s="1">
        <v>1</v>
      </c>
      <c r="X367">
        <v>1</v>
      </c>
      <c r="AA367" s="1">
        <v>9999</v>
      </c>
      <c r="AE367" s="183" t="s">
        <v>1440</v>
      </c>
      <c r="AG367" t="e">
        <f ca="1">OFFSET(buff的资质计算!$M$1,MATCH(buff!D367,buff的资质计算!G:G,0)-1,0)*R367*X367/10000</f>
        <v>#VALUE!</v>
      </c>
      <c r="AH367" t="e">
        <f ca="1">AG367/OFFSET(buff的资质计算!$L$1,MATCH(buff!D367,buff的资质计算!G:G,0)-1,0)</f>
        <v>#VALUE!</v>
      </c>
    </row>
    <row r="368" ht="27.75" spans="1:34">
      <c r="A368" s="153">
        <f ca="1">passive!W258</f>
        <v>320110</v>
      </c>
      <c r="B368" s="186" t="str">
        <f>passive!B258</f>
        <v>幽魂噬影大法</v>
      </c>
      <c r="C368" s="186" t="str">
        <f t="shared" si="23"/>
        <v>敌我双方每损失10%血量,产生1个能造成真实伤害的灵魂</v>
      </c>
      <c r="D368" s="186">
        <v>2</v>
      </c>
      <c r="E368" s="179">
        <v>2</v>
      </c>
      <c r="F368" s="179">
        <v>3</v>
      </c>
      <c r="G368" s="1">
        <v>13</v>
      </c>
      <c r="H368" s="1">
        <v>1</v>
      </c>
      <c r="I368" s="1"/>
      <c r="J368" s="1"/>
      <c r="K368" s="1">
        <v>5</v>
      </c>
      <c r="M368">
        <v>0</v>
      </c>
      <c r="R368" s="1">
        <v>10000</v>
      </c>
      <c r="S368">
        <v>10</v>
      </c>
      <c r="T368">
        <v>3</v>
      </c>
      <c r="U368">
        <v>1000</v>
      </c>
      <c r="V368">
        <v>3</v>
      </c>
      <c r="W368" s="1">
        <v>1</v>
      </c>
      <c r="X368">
        <v>1</v>
      </c>
      <c r="AA368" s="1">
        <v>9999</v>
      </c>
      <c r="AE368" s="183" t="s">
        <v>1440</v>
      </c>
      <c r="AG368" t="e">
        <f ca="1">OFFSET(buff的资质计算!$M$1,MATCH(buff!D368,buff的资质计算!G:G,0)-1,0)*R368*X368/10000</f>
        <v>#VALUE!</v>
      </c>
      <c r="AH368" t="e">
        <f ca="1">AG368/OFFSET(buff的资质计算!$L$1,MATCH(buff!D368,buff的资质计算!G:G,0)-1,0)</f>
        <v>#VALUE!</v>
      </c>
    </row>
    <row r="369" ht="27.75" spans="1:34">
      <c r="A369" s="153">
        <f ca="1">passive!W259</f>
        <v>320200</v>
      </c>
      <c r="B369" s="186" t="str">
        <f>passive!B259</f>
        <v>北冥彻骨决</v>
      </c>
      <c r="C369" s="295" t="str">
        <f t="shared" ref="C369:C379" si="24">"每使用2招，有"&amp;R369/100&amp;"%概率给敌人叠加"&amp;X369&amp;"层冰冻"</f>
        <v>每使用2招，有30%概率给敌人叠加1层冰冻</v>
      </c>
      <c r="D369" s="6">
        <v>1</v>
      </c>
      <c r="E369" s="296">
        <v>2</v>
      </c>
      <c r="F369">
        <v>3</v>
      </c>
      <c r="G369">
        <v>13</v>
      </c>
      <c r="H369">
        <v>2</v>
      </c>
      <c r="K369">
        <v>4</v>
      </c>
      <c r="L369">
        <v>1</v>
      </c>
      <c r="M369">
        <v>0</v>
      </c>
      <c r="N369">
        <v>1</v>
      </c>
      <c r="O369">
        <v>3</v>
      </c>
      <c r="P369">
        <v>1</v>
      </c>
      <c r="Q369">
        <v>2</v>
      </c>
      <c r="R369">
        <v>3000</v>
      </c>
      <c r="V369">
        <v>2</v>
      </c>
      <c r="W369">
        <v>1</v>
      </c>
      <c r="X369">
        <v>1</v>
      </c>
      <c r="Y369"/>
      <c r="Z369"/>
      <c r="AA369">
        <v>9999</v>
      </c>
      <c r="AE369" t="s">
        <v>1441</v>
      </c>
      <c r="AG369">
        <v>4.767</v>
      </c>
      <c r="AH369">
        <v>0.500034965034966</v>
      </c>
    </row>
    <row r="370" ht="27.75" spans="1:34">
      <c r="A370" s="153">
        <f ca="1">passive!W260</f>
        <v>320201</v>
      </c>
      <c r="B370" s="186" t="str">
        <f>passive!B260</f>
        <v>北冥彻骨决</v>
      </c>
      <c r="C370" s="295" t="str">
        <f t="shared" si="24"/>
        <v>每使用2招，有32%概率给敌人叠加1层冰冻</v>
      </c>
      <c r="D370" s="6">
        <v>1</v>
      </c>
      <c r="E370" s="296">
        <v>2</v>
      </c>
      <c r="F370">
        <v>3</v>
      </c>
      <c r="G370">
        <v>13</v>
      </c>
      <c r="H370">
        <v>2</v>
      </c>
      <c r="K370">
        <v>4</v>
      </c>
      <c r="L370">
        <v>1</v>
      </c>
      <c r="M370">
        <v>0</v>
      </c>
      <c r="N370">
        <v>1</v>
      </c>
      <c r="O370">
        <v>3</v>
      </c>
      <c r="P370">
        <v>1</v>
      </c>
      <c r="Q370">
        <v>2</v>
      </c>
      <c r="R370">
        <v>3200</v>
      </c>
      <c r="V370">
        <v>2</v>
      </c>
      <c r="W370">
        <v>1</v>
      </c>
      <c r="X370">
        <v>1</v>
      </c>
      <c r="Y370"/>
      <c r="Z370"/>
      <c r="AA370">
        <v>9999</v>
      </c>
      <c r="AE370" t="s">
        <v>1441</v>
      </c>
      <c r="AG370">
        <v>5.0848</v>
      </c>
      <c r="AH370">
        <v>0.53337062937063</v>
      </c>
    </row>
    <row r="371" ht="27.75" spans="1:34">
      <c r="A371" s="153">
        <f ca="1">passive!W261</f>
        <v>320202</v>
      </c>
      <c r="B371" s="186" t="str">
        <f>passive!B261</f>
        <v>北冥彻骨决</v>
      </c>
      <c r="C371" s="295" t="str">
        <f t="shared" si="24"/>
        <v>每使用2招，有34%概率给敌人叠加1层冰冻</v>
      </c>
      <c r="D371" s="6">
        <v>1</v>
      </c>
      <c r="E371" s="296">
        <v>2</v>
      </c>
      <c r="F371">
        <v>3</v>
      </c>
      <c r="G371">
        <v>13</v>
      </c>
      <c r="H371">
        <v>2</v>
      </c>
      <c r="K371">
        <v>4</v>
      </c>
      <c r="L371">
        <v>1</v>
      </c>
      <c r="M371">
        <v>0</v>
      </c>
      <c r="N371">
        <v>1</v>
      </c>
      <c r="O371">
        <v>3</v>
      </c>
      <c r="P371">
        <v>1</v>
      </c>
      <c r="Q371">
        <v>2</v>
      </c>
      <c r="R371">
        <v>3400</v>
      </c>
      <c r="V371">
        <v>2</v>
      </c>
      <c r="W371">
        <v>1</v>
      </c>
      <c r="X371">
        <v>1</v>
      </c>
      <c r="Y371"/>
      <c r="Z371"/>
      <c r="AA371">
        <v>9999</v>
      </c>
      <c r="AE371" t="s">
        <v>1441</v>
      </c>
      <c r="AG371">
        <v>5.4026</v>
      </c>
      <c r="AH371">
        <v>0.566706293706294</v>
      </c>
    </row>
    <row r="372" ht="27.75" spans="1:34">
      <c r="A372" s="153">
        <f ca="1">passive!W262</f>
        <v>320203</v>
      </c>
      <c r="B372" s="186" t="str">
        <f>passive!B262</f>
        <v>北冥彻骨决</v>
      </c>
      <c r="C372" s="295" t="str">
        <f t="shared" si="24"/>
        <v>每使用2招，有36%概率给敌人叠加1层冰冻</v>
      </c>
      <c r="D372" s="6">
        <v>1</v>
      </c>
      <c r="E372" s="296">
        <v>2</v>
      </c>
      <c r="F372">
        <v>3</v>
      </c>
      <c r="G372">
        <v>13</v>
      </c>
      <c r="H372">
        <v>2</v>
      </c>
      <c r="K372">
        <v>4</v>
      </c>
      <c r="L372">
        <v>1</v>
      </c>
      <c r="M372">
        <v>0</v>
      </c>
      <c r="N372">
        <v>1</v>
      </c>
      <c r="O372">
        <v>3</v>
      </c>
      <c r="P372">
        <v>1</v>
      </c>
      <c r="Q372">
        <v>2</v>
      </c>
      <c r="R372">
        <v>3600</v>
      </c>
      <c r="V372">
        <v>2</v>
      </c>
      <c r="W372">
        <v>1</v>
      </c>
      <c r="X372">
        <v>1</v>
      </c>
      <c r="Y372"/>
      <c r="Z372"/>
      <c r="AA372">
        <v>9999</v>
      </c>
      <c r="AE372" t="s">
        <v>1441</v>
      </c>
      <c r="AG372">
        <v>5.7204</v>
      </c>
      <c r="AH372">
        <v>0.600041958041959</v>
      </c>
    </row>
    <row r="373" ht="27.75" spans="1:34">
      <c r="A373" s="153">
        <f ca="1">passive!W263</f>
        <v>320204</v>
      </c>
      <c r="B373" s="186" t="str">
        <f>passive!B263</f>
        <v>北冥彻骨决</v>
      </c>
      <c r="C373" s="295" t="str">
        <f t="shared" si="24"/>
        <v>每使用2招，有38%概率给敌人叠加1层冰冻</v>
      </c>
      <c r="D373" s="6">
        <v>1</v>
      </c>
      <c r="E373" s="296">
        <v>2</v>
      </c>
      <c r="F373">
        <v>3</v>
      </c>
      <c r="G373">
        <v>13</v>
      </c>
      <c r="H373">
        <v>2</v>
      </c>
      <c r="K373">
        <v>4</v>
      </c>
      <c r="L373">
        <v>1</v>
      </c>
      <c r="M373">
        <v>0</v>
      </c>
      <c r="N373">
        <v>1</v>
      </c>
      <c r="O373">
        <v>3</v>
      </c>
      <c r="P373">
        <v>1</v>
      </c>
      <c r="Q373">
        <v>2</v>
      </c>
      <c r="R373">
        <v>3800</v>
      </c>
      <c r="V373">
        <v>2</v>
      </c>
      <c r="W373">
        <v>1</v>
      </c>
      <c r="X373">
        <v>1</v>
      </c>
      <c r="Y373"/>
      <c r="Z373"/>
      <c r="AA373">
        <v>9999</v>
      </c>
      <c r="AE373" t="s">
        <v>1441</v>
      </c>
      <c r="AG373">
        <v>6.0382</v>
      </c>
      <c r="AH373">
        <v>0.633377622377623</v>
      </c>
    </row>
    <row r="374" ht="27.75" spans="1:34">
      <c r="A374" s="153">
        <f ca="1">passive!W264</f>
        <v>320205</v>
      </c>
      <c r="B374" s="186" t="str">
        <f>passive!B264</f>
        <v>北冥彻骨决</v>
      </c>
      <c r="C374" s="295" t="str">
        <f t="shared" si="24"/>
        <v>每使用2招，有40%概率给敌人叠加2层冰冻</v>
      </c>
      <c r="D374" s="6">
        <v>1</v>
      </c>
      <c r="E374" s="296">
        <v>2</v>
      </c>
      <c r="F374">
        <v>3</v>
      </c>
      <c r="G374">
        <v>13</v>
      </c>
      <c r="H374">
        <v>2</v>
      </c>
      <c r="K374">
        <v>4</v>
      </c>
      <c r="L374">
        <v>1</v>
      </c>
      <c r="M374">
        <v>0</v>
      </c>
      <c r="N374">
        <v>1</v>
      </c>
      <c r="O374">
        <v>3</v>
      </c>
      <c r="P374">
        <v>1</v>
      </c>
      <c r="Q374">
        <v>2</v>
      </c>
      <c r="R374">
        <v>4000</v>
      </c>
      <c r="V374">
        <v>2</v>
      </c>
      <c r="W374">
        <v>1</v>
      </c>
      <c r="X374">
        <v>2</v>
      </c>
      <c r="Y374"/>
      <c r="Z374"/>
      <c r="AA374">
        <v>9999</v>
      </c>
      <c r="AE374" t="s">
        <v>1441</v>
      </c>
      <c r="AG374">
        <v>12.712</v>
      </c>
      <c r="AH374">
        <v>1.33342657342658</v>
      </c>
    </row>
    <row r="375" ht="27.75" spans="1:34">
      <c r="A375" s="153">
        <f ca="1">passive!W265</f>
        <v>320206</v>
      </c>
      <c r="B375" s="186" t="str">
        <f>passive!B265</f>
        <v>北冥彻骨决</v>
      </c>
      <c r="C375" s="295" t="str">
        <f t="shared" si="24"/>
        <v>每使用2招，有42%概率给敌人叠加2层冰冻</v>
      </c>
      <c r="D375" s="6">
        <v>1</v>
      </c>
      <c r="E375" s="296">
        <v>2</v>
      </c>
      <c r="F375">
        <v>3</v>
      </c>
      <c r="G375">
        <v>13</v>
      </c>
      <c r="H375">
        <v>2</v>
      </c>
      <c r="K375">
        <v>4</v>
      </c>
      <c r="L375">
        <v>1</v>
      </c>
      <c r="M375">
        <v>0</v>
      </c>
      <c r="N375">
        <v>1</v>
      </c>
      <c r="O375">
        <v>3</v>
      </c>
      <c r="P375">
        <v>1</v>
      </c>
      <c r="Q375">
        <v>2</v>
      </c>
      <c r="R375">
        <v>4200</v>
      </c>
      <c r="V375">
        <v>2</v>
      </c>
      <c r="W375">
        <v>1</v>
      </c>
      <c r="X375">
        <v>2</v>
      </c>
      <c r="Y375"/>
      <c r="Z375"/>
      <c r="AA375">
        <v>9999</v>
      </c>
      <c r="AE375" t="s">
        <v>1441</v>
      </c>
      <c r="AG375">
        <v>13.3476</v>
      </c>
      <c r="AH375">
        <v>1.4000979020979</v>
      </c>
    </row>
    <row r="376" ht="27.75" spans="1:34">
      <c r="A376" s="153">
        <f ca="1">passive!W266</f>
        <v>320207</v>
      </c>
      <c r="B376" s="186" t="str">
        <f>passive!B266</f>
        <v>北冥彻骨决</v>
      </c>
      <c r="C376" s="295" t="str">
        <f t="shared" si="24"/>
        <v>每使用2招，有44%概率给敌人叠加2层冰冻</v>
      </c>
      <c r="D376" s="6">
        <v>1</v>
      </c>
      <c r="E376" s="296">
        <v>2</v>
      </c>
      <c r="F376">
        <v>3</v>
      </c>
      <c r="G376">
        <v>13</v>
      </c>
      <c r="H376">
        <v>2</v>
      </c>
      <c r="K376">
        <v>4</v>
      </c>
      <c r="L376">
        <v>1</v>
      </c>
      <c r="M376">
        <v>0</v>
      </c>
      <c r="N376">
        <v>1</v>
      </c>
      <c r="O376">
        <v>3</v>
      </c>
      <c r="P376">
        <v>1</v>
      </c>
      <c r="Q376">
        <v>2</v>
      </c>
      <c r="R376">
        <v>4400</v>
      </c>
      <c r="V376">
        <v>2</v>
      </c>
      <c r="W376">
        <v>1</v>
      </c>
      <c r="X376">
        <v>2</v>
      </c>
      <c r="Y376"/>
      <c r="Z376"/>
      <c r="AA376">
        <v>9999</v>
      </c>
      <c r="AE376" t="s">
        <v>1441</v>
      </c>
      <c r="AG376">
        <v>13.9832</v>
      </c>
      <c r="AH376">
        <v>1.46676923076923</v>
      </c>
    </row>
    <row r="377" ht="27.75" spans="1:34">
      <c r="A377" s="153">
        <f ca="1">passive!W267</f>
        <v>320208</v>
      </c>
      <c r="B377" s="186" t="str">
        <f>passive!B267</f>
        <v>北冥彻骨决</v>
      </c>
      <c r="C377" s="295" t="str">
        <f t="shared" si="24"/>
        <v>每使用2招，有46%概率给敌人叠加2层冰冻</v>
      </c>
      <c r="D377" s="6">
        <v>1</v>
      </c>
      <c r="E377" s="296">
        <v>2</v>
      </c>
      <c r="F377">
        <v>3</v>
      </c>
      <c r="G377">
        <v>13</v>
      </c>
      <c r="H377">
        <v>2</v>
      </c>
      <c r="K377">
        <v>4</v>
      </c>
      <c r="L377">
        <v>1</v>
      </c>
      <c r="M377">
        <v>0</v>
      </c>
      <c r="N377">
        <v>1</v>
      </c>
      <c r="O377">
        <v>3</v>
      </c>
      <c r="P377">
        <v>1</v>
      </c>
      <c r="Q377">
        <v>2</v>
      </c>
      <c r="R377">
        <v>4600</v>
      </c>
      <c r="V377">
        <v>2</v>
      </c>
      <c r="W377">
        <v>1</v>
      </c>
      <c r="X377">
        <v>2</v>
      </c>
      <c r="Y377"/>
      <c r="Z377"/>
      <c r="AA377">
        <v>9999</v>
      </c>
      <c r="AE377" t="s">
        <v>1441</v>
      </c>
      <c r="AG377">
        <v>14.6188</v>
      </c>
      <c r="AH377">
        <v>1.53344055944056</v>
      </c>
    </row>
    <row r="378" ht="27.75" spans="1:34">
      <c r="A378" s="153">
        <f ca="1">passive!W268</f>
        <v>320209</v>
      </c>
      <c r="B378" s="186" t="str">
        <f>passive!B268</f>
        <v>北冥彻骨决</v>
      </c>
      <c r="C378" s="295" t="str">
        <f t="shared" si="24"/>
        <v>每使用2招，有48%概率给敌人叠加2层冰冻</v>
      </c>
      <c r="D378" s="6">
        <v>1</v>
      </c>
      <c r="E378" s="296">
        <v>2</v>
      </c>
      <c r="F378">
        <v>3</v>
      </c>
      <c r="G378">
        <v>13</v>
      </c>
      <c r="H378">
        <v>2</v>
      </c>
      <c r="K378">
        <v>4</v>
      </c>
      <c r="L378">
        <v>1</v>
      </c>
      <c r="M378">
        <v>0</v>
      </c>
      <c r="N378">
        <v>1</v>
      </c>
      <c r="O378">
        <v>3</v>
      </c>
      <c r="P378">
        <v>1</v>
      </c>
      <c r="Q378">
        <v>2</v>
      </c>
      <c r="R378">
        <v>4800</v>
      </c>
      <c r="V378">
        <v>2</v>
      </c>
      <c r="W378">
        <v>1</v>
      </c>
      <c r="X378">
        <v>2</v>
      </c>
      <c r="Y378"/>
      <c r="Z378"/>
      <c r="AA378">
        <v>9999</v>
      </c>
      <c r="AE378" t="s">
        <v>1441</v>
      </c>
      <c r="AG378">
        <v>15.2544</v>
      </c>
      <c r="AH378">
        <v>1.60011188811189</v>
      </c>
    </row>
    <row r="379" ht="27.75" spans="1:34">
      <c r="A379" s="153">
        <f ca="1">passive!W269</f>
        <v>320210</v>
      </c>
      <c r="B379" s="186" t="str">
        <f>passive!B269</f>
        <v>北冥彻骨决</v>
      </c>
      <c r="C379" s="295" t="str">
        <f t="shared" si="24"/>
        <v>每使用2招，有50%概率给敌人叠加3层冰冻</v>
      </c>
      <c r="D379" s="6">
        <v>1</v>
      </c>
      <c r="E379" s="296">
        <v>2</v>
      </c>
      <c r="F379">
        <v>3</v>
      </c>
      <c r="G379">
        <v>13</v>
      </c>
      <c r="H379">
        <v>2</v>
      </c>
      <c r="K379">
        <v>4</v>
      </c>
      <c r="L379">
        <v>1</v>
      </c>
      <c r="M379">
        <v>0</v>
      </c>
      <c r="N379">
        <v>1</v>
      </c>
      <c r="O379">
        <v>3</v>
      </c>
      <c r="P379">
        <v>1</v>
      </c>
      <c r="Q379">
        <v>2</v>
      </c>
      <c r="R379">
        <v>5000</v>
      </c>
      <c r="V379">
        <v>2</v>
      </c>
      <c r="W379">
        <v>1</v>
      </c>
      <c r="X379">
        <v>3</v>
      </c>
      <c r="Y379"/>
      <c r="Z379"/>
      <c r="AA379">
        <v>9999</v>
      </c>
      <c r="AE379" t="s">
        <v>1441</v>
      </c>
      <c r="AG379">
        <v>23.835</v>
      </c>
      <c r="AH379">
        <v>2.50017482517483</v>
      </c>
    </row>
    <row r="380" ht="15.75" spans="1:34">
      <c r="A380" s="153">
        <f ca="1">passive!W270</f>
        <v>320300</v>
      </c>
      <c r="B380" s="186" t="str">
        <f>passive!B270</f>
        <v>纯阳秘法</v>
      </c>
      <c r="C380" s="153" t="str">
        <f t="shared" ref="C380:C390" si="25">"每回合有"&amp;R380/100&amp;"%概率叠加"&amp;X380&amp;"层炎息"</f>
        <v>每回合有30%概率叠加1层炎息</v>
      </c>
      <c r="D380">
        <v>2</v>
      </c>
      <c r="E380" s="179">
        <v>2</v>
      </c>
      <c r="F380" s="179">
        <v>3</v>
      </c>
      <c r="G380" s="1">
        <v>13</v>
      </c>
      <c r="H380">
        <v>1</v>
      </c>
      <c r="K380" s="1">
        <v>1</v>
      </c>
      <c r="L380" s="1">
        <v>1</v>
      </c>
      <c r="M380">
        <v>0</v>
      </c>
      <c r="R380" s="1">
        <v>3000</v>
      </c>
      <c r="V380">
        <v>1</v>
      </c>
      <c r="W380" s="1">
        <v>1</v>
      </c>
      <c r="X380" s="1">
        <v>1</v>
      </c>
      <c r="AA380" s="1">
        <v>9999</v>
      </c>
      <c r="AB380" s="3"/>
      <c r="AE380" s="183" t="s">
        <v>1442</v>
      </c>
      <c r="AG380">
        <v>6</v>
      </c>
      <c r="AH380">
        <f t="shared" ref="AH380:AH390" si="26">X380*AA380</f>
        <v>9999</v>
      </c>
    </row>
    <row r="381" ht="15.75" spans="1:34">
      <c r="A381" s="153">
        <f ca="1">passive!W271</f>
        <v>320301</v>
      </c>
      <c r="B381" s="186" t="str">
        <f>passive!B271</f>
        <v>纯阳秘法</v>
      </c>
      <c r="C381" s="153" t="str">
        <f t="shared" si="25"/>
        <v>每回合有35%概率叠加1层炎息</v>
      </c>
      <c r="D381">
        <v>2</v>
      </c>
      <c r="E381" s="179">
        <v>2</v>
      </c>
      <c r="F381" s="179">
        <v>3</v>
      </c>
      <c r="G381" s="1">
        <v>13</v>
      </c>
      <c r="H381">
        <v>1</v>
      </c>
      <c r="K381" s="1">
        <v>1</v>
      </c>
      <c r="L381" s="1">
        <v>1</v>
      </c>
      <c r="M381">
        <v>0</v>
      </c>
      <c r="R381" s="1">
        <v>3500</v>
      </c>
      <c r="V381">
        <v>1</v>
      </c>
      <c r="W381" s="1">
        <v>1</v>
      </c>
      <c r="X381" s="1">
        <v>1</v>
      </c>
      <c r="AA381" s="1">
        <v>9999</v>
      </c>
      <c r="AB381" s="3"/>
      <c r="AE381" s="183" t="s">
        <v>1442</v>
      </c>
      <c r="AG381">
        <v>6</v>
      </c>
      <c r="AH381">
        <f t="shared" si="26"/>
        <v>9999</v>
      </c>
    </row>
    <row r="382" ht="15.75" spans="1:34">
      <c r="A382" s="153">
        <f ca="1">passive!W272</f>
        <v>320302</v>
      </c>
      <c r="B382" s="186" t="str">
        <f>passive!B272</f>
        <v>纯阳秘法</v>
      </c>
      <c r="C382" s="153" t="str">
        <f t="shared" si="25"/>
        <v>每回合有40%概率叠加1层炎息</v>
      </c>
      <c r="D382">
        <v>2</v>
      </c>
      <c r="E382" s="179">
        <v>2</v>
      </c>
      <c r="F382" s="179">
        <v>3</v>
      </c>
      <c r="G382" s="1">
        <v>13</v>
      </c>
      <c r="H382">
        <v>1</v>
      </c>
      <c r="K382" s="1">
        <v>1</v>
      </c>
      <c r="L382" s="1">
        <v>1</v>
      </c>
      <c r="M382">
        <v>0</v>
      </c>
      <c r="R382" s="1">
        <v>4000</v>
      </c>
      <c r="V382">
        <v>1</v>
      </c>
      <c r="W382" s="1">
        <v>1</v>
      </c>
      <c r="X382" s="1">
        <v>1</v>
      </c>
      <c r="AA382" s="1">
        <v>9999</v>
      </c>
      <c r="AB382" s="3"/>
      <c r="AE382" s="183" t="s">
        <v>1442</v>
      </c>
      <c r="AG382">
        <v>6</v>
      </c>
      <c r="AH382">
        <f t="shared" si="26"/>
        <v>9999</v>
      </c>
    </row>
    <row r="383" ht="15.75" spans="1:34">
      <c r="A383" s="153">
        <f ca="1">passive!W273</f>
        <v>320303</v>
      </c>
      <c r="B383" s="186" t="str">
        <f>passive!B273</f>
        <v>纯阳秘法</v>
      </c>
      <c r="C383" s="153" t="str">
        <f t="shared" si="25"/>
        <v>每回合有45%概率叠加1层炎息</v>
      </c>
      <c r="D383">
        <v>2</v>
      </c>
      <c r="E383" s="179">
        <v>2</v>
      </c>
      <c r="F383" s="179">
        <v>3</v>
      </c>
      <c r="G383" s="1">
        <v>13</v>
      </c>
      <c r="H383">
        <v>1</v>
      </c>
      <c r="K383" s="1">
        <v>1</v>
      </c>
      <c r="L383" s="1">
        <v>1</v>
      </c>
      <c r="M383">
        <v>0</v>
      </c>
      <c r="R383" s="1">
        <v>4500</v>
      </c>
      <c r="V383">
        <v>1</v>
      </c>
      <c r="W383" s="1">
        <v>1</v>
      </c>
      <c r="X383" s="1">
        <v>1</v>
      </c>
      <c r="AA383" s="1">
        <v>9999</v>
      </c>
      <c r="AB383" s="3"/>
      <c r="AE383" s="183" t="s">
        <v>1442</v>
      </c>
      <c r="AG383">
        <v>6</v>
      </c>
      <c r="AH383">
        <f t="shared" si="26"/>
        <v>9999</v>
      </c>
    </row>
    <row r="384" ht="15.75" spans="1:34">
      <c r="A384" s="153">
        <f ca="1">passive!W274</f>
        <v>320304</v>
      </c>
      <c r="B384" s="186" t="str">
        <f>passive!B274</f>
        <v>纯阳秘法</v>
      </c>
      <c r="C384" s="153" t="str">
        <f t="shared" si="25"/>
        <v>每回合有50%概率叠加1层炎息</v>
      </c>
      <c r="D384">
        <v>2</v>
      </c>
      <c r="E384" s="179">
        <v>2</v>
      </c>
      <c r="F384" s="179">
        <v>3</v>
      </c>
      <c r="G384" s="1">
        <v>13</v>
      </c>
      <c r="H384">
        <v>1</v>
      </c>
      <c r="K384" s="1">
        <v>1</v>
      </c>
      <c r="L384" s="1">
        <v>1</v>
      </c>
      <c r="M384">
        <v>0</v>
      </c>
      <c r="R384" s="1">
        <v>5000</v>
      </c>
      <c r="V384">
        <v>1</v>
      </c>
      <c r="W384" s="1">
        <v>1</v>
      </c>
      <c r="X384" s="1">
        <v>1</v>
      </c>
      <c r="AA384" s="1">
        <v>9999</v>
      </c>
      <c r="AB384" s="3"/>
      <c r="AE384" s="183" t="s">
        <v>1442</v>
      </c>
      <c r="AG384">
        <v>6</v>
      </c>
      <c r="AH384">
        <f t="shared" si="26"/>
        <v>9999</v>
      </c>
    </row>
    <row r="385" ht="15.75" spans="1:34">
      <c r="A385" s="153">
        <f ca="1">passive!W275</f>
        <v>320305</v>
      </c>
      <c r="B385" s="186" t="str">
        <f>passive!B275</f>
        <v>纯阳秘法</v>
      </c>
      <c r="C385" s="153" t="str">
        <f t="shared" si="25"/>
        <v>每回合有55%概率叠加2层炎息</v>
      </c>
      <c r="D385">
        <v>2</v>
      </c>
      <c r="E385" s="179">
        <v>2</v>
      </c>
      <c r="F385" s="179">
        <v>3</v>
      </c>
      <c r="G385" s="1">
        <v>13</v>
      </c>
      <c r="H385">
        <v>1</v>
      </c>
      <c r="K385" s="1">
        <v>1</v>
      </c>
      <c r="L385" s="1">
        <v>1</v>
      </c>
      <c r="M385">
        <v>0</v>
      </c>
      <c r="R385" s="1">
        <v>5500</v>
      </c>
      <c r="V385">
        <v>1</v>
      </c>
      <c r="W385" s="1">
        <v>1</v>
      </c>
      <c r="X385" s="1">
        <v>2</v>
      </c>
      <c r="AA385" s="1">
        <v>9999</v>
      </c>
      <c r="AB385" s="3"/>
      <c r="AE385" s="183" t="s">
        <v>1442</v>
      </c>
      <c r="AG385">
        <v>6</v>
      </c>
      <c r="AH385">
        <f t="shared" si="26"/>
        <v>19998</v>
      </c>
    </row>
    <row r="386" ht="15.75" spans="1:34">
      <c r="A386" s="153">
        <f ca="1">passive!W276</f>
        <v>320306</v>
      </c>
      <c r="B386" s="186" t="str">
        <f>passive!B276</f>
        <v>纯阳秘法</v>
      </c>
      <c r="C386" s="153" t="str">
        <f t="shared" si="25"/>
        <v>每回合有60%概率叠加2层炎息</v>
      </c>
      <c r="D386">
        <v>2</v>
      </c>
      <c r="E386" s="179">
        <v>2</v>
      </c>
      <c r="F386" s="179">
        <v>3</v>
      </c>
      <c r="G386" s="1">
        <v>13</v>
      </c>
      <c r="H386">
        <v>1</v>
      </c>
      <c r="K386" s="1">
        <v>1</v>
      </c>
      <c r="L386" s="1">
        <v>1</v>
      </c>
      <c r="M386">
        <v>0</v>
      </c>
      <c r="R386" s="1">
        <v>6000</v>
      </c>
      <c r="V386">
        <v>1</v>
      </c>
      <c r="W386" s="1">
        <v>1</v>
      </c>
      <c r="X386" s="1">
        <v>2</v>
      </c>
      <c r="AA386" s="1">
        <v>9999</v>
      </c>
      <c r="AB386" s="3"/>
      <c r="AE386" s="183" t="s">
        <v>1442</v>
      </c>
      <c r="AG386">
        <v>6</v>
      </c>
      <c r="AH386">
        <f t="shared" si="26"/>
        <v>19998</v>
      </c>
    </row>
    <row r="387" ht="15.75" spans="1:34">
      <c r="A387" s="153">
        <f ca="1">passive!W277</f>
        <v>320307</v>
      </c>
      <c r="B387" s="186" t="str">
        <f>passive!B277</f>
        <v>纯阳秘法</v>
      </c>
      <c r="C387" s="153" t="str">
        <f t="shared" si="25"/>
        <v>每回合有65%概率叠加2层炎息</v>
      </c>
      <c r="D387">
        <v>2</v>
      </c>
      <c r="E387" s="179">
        <v>2</v>
      </c>
      <c r="F387" s="179">
        <v>3</v>
      </c>
      <c r="G387" s="1">
        <v>13</v>
      </c>
      <c r="H387">
        <v>1</v>
      </c>
      <c r="K387" s="1">
        <v>1</v>
      </c>
      <c r="L387" s="1">
        <v>1</v>
      </c>
      <c r="M387">
        <v>0</v>
      </c>
      <c r="R387" s="1">
        <v>6500</v>
      </c>
      <c r="V387">
        <v>1</v>
      </c>
      <c r="W387" s="1">
        <v>1</v>
      </c>
      <c r="X387" s="1">
        <v>2</v>
      </c>
      <c r="AA387" s="1">
        <v>9999</v>
      </c>
      <c r="AB387" s="3"/>
      <c r="AE387" s="183" t="s">
        <v>1442</v>
      </c>
      <c r="AG387">
        <v>6</v>
      </c>
      <c r="AH387">
        <f t="shared" si="26"/>
        <v>19998</v>
      </c>
    </row>
    <row r="388" ht="15.75" spans="1:34">
      <c r="A388" s="153">
        <f ca="1">passive!W278</f>
        <v>320308</v>
      </c>
      <c r="B388" s="186" t="str">
        <f>passive!B278</f>
        <v>纯阳秘法</v>
      </c>
      <c r="C388" s="153" t="str">
        <f t="shared" si="25"/>
        <v>每回合有70%概率叠加2层炎息</v>
      </c>
      <c r="D388">
        <v>2</v>
      </c>
      <c r="E388" s="179">
        <v>2</v>
      </c>
      <c r="F388" s="179">
        <v>3</v>
      </c>
      <c r="G388" s="1">
        <v>13</v>
      </c>
      <c r="H388">
        <v>1</v>
      </c>
      <c r="K388" s="1">
        <v>1</v>
      </c>
      <c r="L388" s="1">
        <v>1</v>
      </c>
      <c r="M388">
        <v>0</v>
      </c>
      <c r="R388" s="1">
        <v>7000</v>
      </c>
      <c r="V388">
        <v>1</v>
      </c>
      <c r="W388" s="1">
        <v>1</v>
      </c>
      <c r="X388" s="1">
        <v>2</v>
      </c>
      <c r="AA388" s="1">
        <v>9999</v>
      </c>
      <c r="AB388" s="3"/>
      <c r="AE388" s="183" t="s">
        <v>1442</v>
      </c>
      <c r="AG388">
        <v>6</v>
      </c>
      <c r="AH388">
        <f t="shared" si="26"/>
        <v>19998</v>
      </c>
    </row>
    <row r="389" ht="15.75" spans="1:34">
      <c r="A389" s="153">
        <f ca="1">passive!W279</f>
        <v>320309</v>
      </c>
      <c r="B389" s="186" t="str">
        <f>passive!B279</f>
        <v>纯阳秘法</v>
      </c>
      <c r="C389" s="153" t="str">
        <f t="shared" si="25"/>
        <v>每回合有75%概率叠加2层炎息</v>
      </c>
      <c r="D389">
        <v>2</v>
      </c>
      <c r="E389" s="179">
        <v>2</v>
      </c>
      <c r="F389" s="179">
        <v>3</v>
      </c>
      <c r="G389" s="1">
        <v>13</v>
      </c>
      <c r="H389">
        <v>1</v>
      </c>
      <c r="K389" s="1">
        <v>1</v>
      </c>
      <c r="L389" s="1">
        <v>1</v>
      </c>
      <c r="M389">
        <v>0</v>
      </c>
      <c r="R389" s="1">
        <v>7500</v>
      </c>
      <c r="V389">
        <v>1</v>
      </c>
      <c r="W389" s="1">
        <v>1</v>
      </c>
      <c r="X389" s="1">
        <v>2</v>
      </c>
      <c r="AA389" s="1">
        <v>9999</v>
      </c>
      <c r="AB389" s="3"/>
      <c r="AE389" s="183" t="s">
        <v>1442</v>
      </c>
      <c r="AG389">
        <v>6</v>
      </c>
      <c r="AH389">
        <f t="shared" si="26"/>
        <v>19998</v>
      </c>
    </row>
    <row r="390" ht="15.75" spans="1:34">
      <c r="A390" s="153">
        <f ca="1">passive!W280</f>
        <v>320310</v>
      </c>
      <c r="B390" s="186" t="str">
        <f>passive!B280</f>
        <v>纯阳秘法</v>
      </c>
      <c r="C390" s="153" t="str">
        <f t="shared" si="25"/>
        <v>每回合有80%概率叠加3层炎息</v>
      </c>
      <c r="D390">
        <v>2</v>
      </c>
      <c r="E390" s="179">
        <v>2</v>
      </c>
      <c r="F390" s="179">
        <v>3</v>
      </c>
      <c r="G390" s="1">
        <v>13</v>
      </c>
      <c r="H390">
        <v>1</v>
      </c>
      <c r="K390" s="1">
        <v>1</v>
      </c>
      <c r="L390" s="1">
        <v>1</v>
      </c>
      <c r="M390">
        <v>0</v>
      </c>
      <c r="R390" s="1">
        <v>8000</v>
      </c>
      <c r="V390">
        <v>1</v>
      </c>
      <c r="W390" s="1">
        <v>1</v>
      </c>
      <c r="X390" s="1">
        <v>3</v>
      </c>
      <c r="AA390" s="1">
        <v>9999</v>
      </c>
      <c r="AB390" s="3"/>
      <c r="AE390" s="183" t="s">
        <v>1442</v>
      </c>
      <c r="AG390">
        <v>6</v>
      </c>
      <c r="AH390">
        <f t="shared" si="26"/>
        <v>29997</v>
      </c>
    </row>
    <row r="391" ht="15.75" spans="1:33">
      <c r="A391" s="153">
        <f>passive!W281</f>
        <v>0</v>
      </c>
      <c r="B391" s="186" t="str">
        <f>passive!B281</f>
        <v>贿赂</v>
      </c>
      <c r="C391" s="179" t="e">
        <f ca="1">"使用剑法时，"&amp;R391/100&amp;"%概率从牌库中抽取1招剑法并且打出"</f>
        <v>#VALUE!</v>
      </c>
      <c r="D391" s="186">
        <v>6</v>
      </c>
      <c r="E391" s="179">
        <v>2</v>
      </c>
      <c r="F391" s="179">
        <v>3</v>
      </c>
      <c r="G391" s="1">
        <v>15</v>
      </c>
      <c r="H391" s="1">
        <v>1</v>
      </c>
      <c r="I391" s="1"/>
      <c r="J391" s="1"/>
      <c r="K391" s="1">
        <v>4</v>
      </c>
      <c r="L391" s="1">
        <v>1</v>
      </c>
      <c r="M391">
        <v>0</v>
      </c>
      <c r="N391" s="1">
        <v>1</v>
      </c>
      <c r="O391" s="1">
        <v>2</v>
      </c>
      <c r="P391" s="1">
        <v>1</v>
      </c>
      <c r="Q391" s="1">
        <v>1</v>
      </c>
      <c r="R391" t="e">
        <f ca="1">ROUND(AG391/buff的资质计算!$M$5*10000,-2)</f>
        <v>#VALUE!</v>
      </c>
      <c r="W391" s="1">
        <v>1</v>
      </c>
      <c r="X391">
        <v>1</v>
      </c>
      <c r="AA391" s="1">
        <v>9999</v>
      </c>
      <c r="AE391" s="183" t="s">
        <v>1421</v>
      </c>
      <c r="AG391">
        <v>6</v>
      </c>
    </row>
    <row r="392" ht="15.75" spans="1:34">
      <c r="A392" s="153">
        <f>passive!W282</f>
        <v>0</v>
      </c>
      <c r="B392" s="186" t="str">
        <f>passive!B282</f>
        <v>妖族体魄</v>
      </c>
      <c r="C392" s="153" t="s">
        <v>1443</v>
      </c>
      <c r="D392" s="186">
        <v>1</v>
      </c>
      <c r="E392" s="179">
        <v>2</v>
      </c>
      <c r="F392" s="179">
        <v>3</v>
      </c>
      <c r="G392" s="1">
        <v>13</v>
      </c>
      <c r="H392">
        <v>2</v>
      </c>
      <c r="K392" s="1">
        <v>1</v>
      </c>
      <c r="L392" s="1">
        <v>1</v>
      </c>
      <c r="M392">
        <v>0</v>
      </c>
      <c r="R392" s="1">
        <v>10000</v>
      </c>
      <c r="V392">
        <v>2</v>
      </c>
      <c r="W392" s="1">
        <v>1</v>
      </c>
      <c r="X392" s="1">
        <v>2</v>
      </c>
      <c r="AA392" s="1">
        <v>9999</v>
      </c>
      <c r="AB392" s="3"/>
      <c r="AE392" s="183" t="s">
        <v>1441</v>
      </c>
      <c r="AG392">
        <v>6</v>
      </c>
      <c r="AH392">
        <f t="shared" ref="AH392:AH394" si="27">X392*AA392</f>
        <v>19998</v>
      </c>
    </row>
    <row r="393" ht="15.75" spans="1:34">
      <c r="A393" s="153">
        <f>passive!W283</f>
        <v>0</v>
      </c>
      <c r="B393" s="186" t="str">
        <f>passive!B283</f>
        <v>百毒不侵</v>
      </c>
      <c r="C393" s="153" t="s">
        <v>1444</v>
      </c>
      <c r="D393" s="186">
        <v>3</v>
      </c>
      <c r="E393" s="179">
        <v>2</v>
      </c>
      <c r="F393" s="179">
        <v>3</v>
      </c>
      <c r="G393" s="1">
        <v>13</v>
      </c>
      <c r="H393">
        <v>2</v>
      </c>
      <c r="K393" s="1">
        <v>1</v>
      </c>
      <c r="L393" s="1">
        <v>1</v>
      </c>
      <c r="M393">
        <v>0</v>
      </c>
      <c r="R393" s="1">
        <v>10000</v>
      </c>
      <c r="V393">
        <v>2</v>
      </c>
      <c r="W393" s="1">
        <v>1</v>
      </c>
      <c r="X393" s="1">
        <v>2</v>
      </c>
      <c r="AA393" s="1">
        <v>9999</v>
      </c>
      <c r="AB393" s="3"/>
      <c r="AE393" s="183" t="s">
        <v>1438</v>
      </c>
      <c r="AG393">
        <v>6</v>
      </c>
      <c r="AH393">
        <f t="shared" si="27"/>
        <v>19998</v>
      </c>
    </row>
    <row r="394" ht="15.75" spans="3:34">
      <c r="C394" s="153" t="s">
        <v>1445</v>
      </c>
      <c r="D394" s="186">
        <v>6</v>
      </c>
      <c r="E394" s="179">
        <v>2</v>
      </c>
      <c r="F394" s="179">
        <v>3</v>
      </c>
      <c r="G394" s="1">
        <v>13</v>
      </c>
      <c r="H394">
        <v>2</v>
      </c>
      <c r="K394" s="1">
        <v>1</v>
      </c>
      <c r="L394" s="1">
        <v>1</v>
      </c>
      <c r="M394">
        <v>0</v>
      </c>
      <c r="R394" s="1">
        <v>10000</v>
      </c>
      <c r="V394">
        <v>2</v>
      </c>
      <c r="W394" s="1">
        <v>1</v>
      </c>
      <c r="X394" s="1">
        <v>2</v>
      </c>
      <c r="AA394" s="1">
        <v>9999</v>
      </c>
      <c r="AB394" s="3"/>
      <c r="AE394" s="183" t="s">
        <v>1446</v>
      </c>
      <c r="AG394">
        <v>6</v>
      </c>
      <c r="AH394">
        <f t="shared" si="27"/>
        <v>19998</v>
      </c>
    </row>
    <row r="395" ht="15.75" spans="3:31">
      <c r="C395" s="186" t="s">
        <v>1447</v>
      </c>
      <c r="D395" s="186">
        <v>1</v>
      </c>
      <c r="E395" s="179">
        <v>2</v>
      </c>
      <c r="F395" s="179">
        <v>3</v>
      </c>
      <c r="G395" s="1">
        <v>19</v>
      </c>
      <c r="H395" s="1">
        <v>1</v>
      </c>
      <c r="I395" s="1"/>
      <c r="J395" s="1"/>
      <c r="K395" s="1">
        <v>6</v>
      </c>
      <c r="M395">
        <v>0</v>
      </c>
      <c r="N395" s="1">
        <v>1</v>
      </c>
      <c r="O395" s="1">
        <v>5</v>
      </c>
      <c r="Q395" s="1">
        <v>1</v>
      </c>
      <c r="R395" s="1">
        <v>10000</v>
      </c>
      <c r="W395" s="1">
        <v>1</v>
      </c>
      <c r="X395" s="1">
        <v>2</v>
      </c>
      <c r="AA395" s="1">
        <v>9999</v>
      </c>
      <c r="AE395" s="183" t="s">
        <v>1448</v>
      </c>
    </row>
    <row r="396" ht="15.75" spans="3:31">
      <c r="C396" s="186" t="s">
        <v>1449</v>
      </c>
      <c r="D396" s="186">
        <v>3</v>
      </c>
      <c r="E396" s="179">
        <v>2</v>
      </c>
      <c r="F396" s="179">
        <v>3</v>
      </c>
      <c r="G396" s="1">
        <v>19</v>
      </c>
      <c r="H396" s="1">
        <v>1</v>
      </c>
      <c r="I396" s="1"/>
      <c r="J396" s="1"/>
      <c r="K396" s="1">
        <v>6</v>
      </c>
      <c r="M396">
        <v>0</v>
      </c>
      <c r="N396" s="1">
        <v>1</v>
      </c>
      <c r="O396" s="1">
        <v>5</v>
      </c>
      <c r="Q396" s="1">
        <v>1</v>
      </c>
      <c r="R396" s="1">
        <v>10000</v>
      </c>
      <c r="W396" s="1">
        <v>1</v>
      </c>
      <c r="X396" s="1">
        <v>2</v>
      </c>
      <c r="AA396" s="1">
        <v>9999</v>
      </c>
      <c r="AE396" s="183" t="s">
        <v>1409</v>
      </c>
    </row>
    <row r="397" ht="15.75" spans="3:31">
      <c r="C397" s="186" t="s">
        <v>1450</v>
      </c>
      <c r="D397" s="186">
        <v>6</v>
      </c>
      <c r="E397" s="179">
        <v>2</v>
      </c>
      <c r="F397" s="179">
        <v>3</v>
      </c>
      <c r="G397" s="1">
        <v>19</v>
      </c>
      <c r="H397" s="1">
        <v>1</v>
      </c>
      <c r="I397" s="1"/>
      <c r="J397" s="1"/>
      <c r="K397" s="1">
        <v>6</v>
      </c>
      <c r="M397">
        <v>0</v>
      </c>
      <c r="N397" s="1">
        <v>1</v>
      </c>
      <c r="O397" s="1">
        <v>5</v>
      </c>
      <c r="Q397" s="1">
        <v>1</v>
      </c>
      <c r="R397" s="1">
        <v>10000</v>
      </c>
      <c r="W397" s="1">
        <v>1</v>
      </c>
      <c r="X397" s="1">
        <v>2</v>
      </c>
      <c r="AA397" s="1">
        <v>9999</v>
      </c>
      <c r="AE397" s="183" t="s">
        <v>1408</v>
      </c>
    </row>
    <row r="398" ht="15.75" spans="3:31">
      <c r="C398" s="179" t="s">
        <v>1451</v>
      </c>
      <c r="D398" s="186">
        <v>2</v>
      </c>
      <c r="E398" s="179">
        <v>2</v>
      </c>
      <c r="F398" s="179">
        <v>3</v>
      </c>
      <c r="G398" s="1">
        <v>14</v>
      </c>
      <c r="H398" s="1">
        <v>1</v>
      </c>
      <c r="I398" s="1"/>
      <c r="J398" s="1"/>
      <c r="K398" s="1">
        <v>5</v>
      </c>
      <c r="M398">
        <v>0</v>
      </c>
      <c r="R398" s="1">
        <v>10000</v>
      </c>
      <c r="S398">
        <v>6</v>
      </c>
      <c r="T398">
        <v>1</v>
      </c>
      <c r="U398">
        <v>1000</v>
      </c>
      <c r="W398" s="1">
        <v>2</v>
      </c>
      <c r="X398">
        <v>700</v>
      </c>
      <c r="AA398" s="1">
        <v>9999</v>
      </c>
      <c r="AE398" s="183" t="s">
        <v>1452</v>
      </c>
    </row>
    <row r="399" ht="15.75" spans="3:31">
      <c r="C399" s="179" t="s">
        <v>1453</v>
      </c>
      <c r="D399" s="186">
        <v>6</v>
      </c>
      <c r="E399" s="179">
        <v>2</v>
      </c>
      <c r="F399" s="179">
        <v>3</v>
      </c>
      <c r="G399" s="1">
        <v>16</v>
      </c>
      <c r="H399" s="1">
        <v>1</v>
      </c>
      <c r="I399" s="1"/>
      <c r="J399" s="1"/>
      <c r="K399" s="1">
        <v>4</v>
      </c>
      <c r="L399" s="1">
        <v>1</v>
      </c>
      <c r="M399">
        <v>0</v>
      </c>
      <c r="Q399" s="1">
        <v>1</v>
      </c>
      <c r="R399" s="1">
        <v>10000</v>
      </c>
      <c r="W399" s="1">
        <v>2</v>
      </c>
      <c r="X399" s="1">
        <v>2000</v>
      </c>
      <c r="AA399" s="1">
        <v>9999</v>
      </c>
      <c r="AE399" s="183" t="s">
        <v>1413</v>
      </c>
    </row>
    <row r="400" ht="15.75" spans="3:31">
      <c r="C400" s="179" t="s">
        <v>1454</v>
      </c>
      <c r="D400" s="186">
        <v>4</v>
      </c>
      <c r="E400" s="179">
        <v>2</v>
      </c>
      <c r="F400" s="179">
        <v>3</v>
      </c>
      <c r="G400" s="1">
        <v>14</v>
      </c>
      <c r="H400" s="1">
        <v>1</v>
      </c>
      <c r="I400" s="1"/>
      <c r="J400" s="1"/>
      <c r="K400" s="1">
        <v>5</v>
      </c>
      <c r="M400">
        <v>0</v>
      </c>
      <c r="R400" s="1">
        <v>10000</v>
      </c>
      <c r="S400">
        <v>6</v>
      </c>
      <c r="T400">
        <v>1</v>
      </c>
      <c r="U400">
        <v>1000</v>
      </c>
      <c r="W400" s="1">
        <v>2</v>
      </c>
      <c r="X400">
        <v>1000</v>
      </c>
      <c r="AA400" s="1">
        <v>9999</v>
      </c>
      <c r="AE400" s="183" t="s">
        <v>1410</v>
      </c>
    </row>
    <row r="401" ht="15.75" spans="3:31">
      <c r="C401" s="186" t="s">
        <v>1455</v>
      </c>
      <c r="D401" s="186">
        <v>2</v>
      </c>
      <c r="E401" s="179">
        <v>2</v>
      </c>
      <c r="F401" s="179">
        <v>3</v>
      </c>
      <c r="G401" s="1">
        <v>13</v>
      </c>
      <c r="H401" s="1">
        <v>1</v>
      </c>
      <c r="I401" s="1"/>
      <c r="J401" s="1"/>
      <c r="K401" s="1">
        <v>5</v>
      </c>
      <c r="M401">
        <v>0</v>
      </c>
      <c r="R401" s="1">
        <v>10000</v>
      </c>
      <c r="S401">
        <v>10</v>
      </c>
      <c r="T401">
        <v>3</v>
      </c>
      <c r="U401">
        <v>2000</v>
      </c>
      <c r="V401">
        <v>4</v>
      </c>
      <c r="W401" s="1">
        <v>1</v>
      </c>
      <c r="X401">
        <v>1</v>
      </c>
      <c r="AA401" s="1">
        <v>9999</v>
      </c>
      <c r="AE401" s="183" t="s">
        <v>1440</v>
      </c>
    </row>
    <row r="402" ht="15.75" spans="3:31">
      <c r="C402" s="186" t="s">
        <v>1455</v>
      </c>
      <c r="D402" s="186">
        <v>4</v>
      </c>
      <c r="E402" s="179">
        <v>2</v>
      </c>
      <c r="F402" s="179">
        <v>3</v>
      </c>
      <c r="G402" s="1">
        <v>13</v>
      </c>
      <c r="H402" s="1">
        <v>1</v>
      </c>
      <c r="I402" s="1"/>
      <c r="J402" s="1"/>
      <c r="K402" s="1">
        <v>5</v>
      </c>
      <c r="M402">
        <v>0</v>
      </c>
      <c r="R402" s="1">
        <v>10000</v>
      </c>
      <c r="S402">
        <v>10</v>
      </c>
      <c r="T402">
        <v>3</v>
      </c>
      <c r="U402">
        <v>1500</v>
      </c>
      <c r="V402">
        <v>4</v>
      </c>
      <c r="W402" s="1">
        <v>1</v>
      </c>
      <c r="X402">
        <v>1</v>
      </c>
      <c r="AA402" s="1">
        <v>9999</v>
      </c>
      <c r="AE402" s="183" t="s">
        <v>1456</v>
      </c>
    </row>
    <row r="403" ht="15.75" spans="3:31">
      <c r="C403" s="186" t="s">
        <v>1455</v>
      </c>
      <c r="D403" s="186">
        <v>6</v>
      </c>
      <c r="E403" s="179">
        <v>2</v>
      </c>
      <c r="F403" s="179">
        <v>3</v>
      </c>
      <c r="G403" s="1">
        <v>13</v>
      </c>
      <c r="H403" s="1">
        <v>1</v>
      </c>
      <c r="I403" s="1"/>
      <c r="J403" s="1"/>
      <c r="K403" s="1">
        <v>5</v>
      </c>
      <c r="M403">
        <v>0</v>
      </c>
      <c r="R403" s="1">
        <v>10000</v>
      </c>
      <c r="S403">
        <v>10</v>
      </c>
      <c r="T403">
        <v>3</v>
      </c>
      <c r="U403">
        <v>1000</v>
      </c>
      <c r="V403">
        <v>4</v>
      </c>
      <c r="W403" s="1">
        <v>1</v>
      </c>
      <c r="X403">
        <v>1</v>
      </c>
      <c r="AA403" s="1">
        <v>9999</v>
      </c>
      <c r="AE403" s="183" t="s">
        <v>1457</v>
      </c>
    </row>
    <row r="404" ht="15.75" spans="3:34">
      <c r="C404" s="186" t="s">
        <v>1458</v>
      </c>
      <c r="D404">
        <v>1</v>
      </c>
      <c r="E404" s="179">
        <v>2</v>
      </c>
      <c r="F404" s="179">
        <v>3</v>
      </c>
      <c r="G404" s="1">
        <v>7</v>
      </c>
      <c r="H404" s="1">
        <v>1</v>
      </c>
      <c r="I404" s="1"/>
      <c r="J404" s="1"/>
      <c r="K404" s="1">
        <v>4</v>
      </c>
      <c r="L404" s="1">
        <v>1</v>
      </c>
      <c r="M404" s="1">
        <v>0</v>
      </c>
      <c r="N404" s="1">
        <v>1</v>
      </c>
      <c r="O404" s="1">
        <v>2</v>
      </c>
      <c r="P404" s="1"/>
      <c r="Q404" s="1">
        <v>1</v>
      </c>
      <c r="R404" s="3">
        <v>10000</v>
      </c>
      <c r="S404" s="1"/>
      <c r="T404" s="1"/>
      <c r="U404" s="1"/>
      <c r="W404" s="1">
        <v>2</v>
      </c>
      <c r="X404" s="1" t="e">
        <f ca="1">ROUND(AG404*10000/(OFFSET(buff的资质计算!$M$1,MATCH(buff!D404,buff的资质计算!G:G,0)-1,0)*OFFSET(buff的资质计算!$N$1,MATCH(buff!D404,buff的资质计算!G:G,0)-1,0)),-2)</f>
        <v>#VALUE!</v>
      </c>
      <c r="AA404" s="1">
        <v>9999</v>
      </c>
      <c r="AB404" s="3"/>
      <c r="AC404" s="1"/>
      <c r="AD404" s="1"/>
      <c r="AE404" s="183" t="s">
        <v>1417</v>
      </c>
      <c r="AG404">
        <v>6</v>
      </c>
      <c r="AH404" t="e">
        <f ca="1">AG404/OFFSET(buff的资质计算!$L$1,MATCH(buff!D404,buff的资质计算!G:G,0)-1,0)</f>
        <v>#VALUE!</v>
      </c>
    </row>
    <row r="405" ht="15.75" spans="3:33">
      <c r="C405" s="186" t="s">
        <v>1459</v>
      </c>
      <c r="D405" s="186">
        <v>2</v>
      </c>
      <c r="E405" s="179">
        <v>2</v>
      </c>
      <c r="F405" s="179">
        <v>3</v>
      </c>
      <c r="G405" s="1">
        <v>3</v>
      </c>
      <c r="H405" s="1">
        <v>1</v>
      </c>
      <c r="I405" s="1"/>
      <c r="J405" s="1"/>
      <c r="K405" s="1">
        <v>4</v>
      </c>
      <c r="L405" s="1">
        <v>1</v>
      </c>
      <c r="M405" s="1">
        <v>0</v>
      </c>
      <c r="N405">
        <v>1</v>
      </c>
      <c r="O405">
        <v>3</v>
      </c>
      <c r="P405">
        <v>1</v>
      </c>
      <c r="Q405" s="1">
        <v>2</v>
      </c>
      <c r="R405" s="3">
        <v>10000</v>
      </c>
      <c r="S405" s="1"/>
      <c r="T405" s="1"/>
      <c r="U405" s="1"/>
      <c r="W405" s="1">
        <v>1</v>
      </c>
      <c r="X405" s="1">
        <f>AG405*card!$S$1*buff的资质计算!$E$3*Q405</f>
        <v>46.8</v>
      </c>
      <c r="Y405" s="153">
        <v>1</v>
      </c>
      <c r="Z405" s="153">
        <f>AG405*card!$W$1*buff的资质计算!$E$2*Q405</f>
        <v>4.32</v>
      </c>
      <c r="AA405" s="1">
        <v>9999</v>
      </c>
      <c r="AE405" s="183" t="s">
        <v>1460</v>
      </c>
      <c r="AG405">
        <v>6</v>
      </c>
    </row>
    <row r="406" ht="15.75" spans="3:31">
      <c r="C406" s="186" t="s">
        <v>1461</v>
      </c>
      <c r="D406" s="186">
        <v>2</v>
      </c>
      <c r="E406" s="179">
        <v>2</v>
      </c>
      <c r="F406" s="179">
        <v>3</v>
      </c>
      <c r="G406" s="1">
        <v>19</v>
      </c>
      <c r="H406" s="1">
        <v>1</v>
      </c>
      <c r="I406" s="1"/>
      <c r="J406" s="1"/>
      <c r="K406" s="1">
        <v>6</v>
      </c>
      <c r="M406">
        <v>0</v>
      </c>
      <c r="N406" s="1">
        <v>2</v>
      </c>
      <c r="O406" s="1">
        <v>3</v>
      </c>
      <c r="Q406" s="1">
        <v>1</v>
      </c>
      <c r="R406" s="1">
        <v>10000</v>
      </c>
      <c r="W406" s="1">
        <v>1</v>
      </c>
      <c r="X406" s="1">
        <v>2</v>
      </c>
      <c r="AA406" s="1">
        <v>9999</v>
      </c>
      <c r="AE406" s="183" t="s">
        <v>1425</v>
      </c>
    </row>
    <row r="407" ht="15.75" spans="3:31">
      <c r="C407" s="186" t="s">
        <v>1462</v>
      </c>
      <c r="D407">
        <v>1</v>
      </c>
      <c r="E407" s="179">
        <v>2</v>
      </c>
      <c r="F407" s="179">
        <v>3</v>
      </c>
      <c r="G407" s="1">
        <v>19</v>
      </c>
      <c r="H407" s="1">
        <v>1</v>
      </c>
      <c r="I407" s="1"/>
      <c r="J407" s="1"/>
      <c r="K407" s="1">
        <v>6</v>
      </c>
      <c r="M407">
        <v>0</v>
      </c>
      <c r="N407" s="1">
        <v>2</v>
      </c>
      <c r="O407" s="1">
        <v>4</v>
      </c>
      <c r="Q407" s="1">
        <v>1</v>
      </c>
      <c r="R407" s="1">
        <v>10000</v>
      </c>
      <c r="W407" s="1">
        <v>1</v>
      </c>
      <c r="X407" s="1">
        <v>2</v>
      </c>
      <c r="AA407" s="1">
        <v>9999</v>
      </c>
      <c r="AE407" s="183" t="s">
        <v>1463</v>
      </c>
    </row>
    <row r="408" ht="15.75" spans="3:31">
      <c r="C408" s="297" t="s">
        <v>1464</v>
      </c>
      <c r="D408" s="174">
        <v>1</v>
      </c>
      <c r="E408" s="179">
        <v>2</v>
      </c>
      <c r="F408" s="179">
        <v>3</v>
      </c>
      <c r="G408">
        <v>21</v>
      </c>
      <c r="H408">
        <v>1</v>
      </c>
      <c r="K408">
        <v>8</v>
      </c>
      <c r="L408" s="1">
        <v>0</v>
      </c>
      <c r="R408" s="1">
        <v>10000</v>
      </c>
      <c r="W408">
        <v>1</v>
      </c>
      <c r="X408">
        <v>5</v>
      </c>
      <c r="AA408" s="1">
        <v>9999</v>
      </c>
      <c r="AE408" s="183" t="s">
        <v>1465</v>
      </c>
    </row>
    <row r="409" ht="15.75" spans="3:31">
      <c r="C409" s="186" t="s">
        <v>1466</v>
      </c>
      <c r="D409">
        <v>1</v>
      </c>
      <c r="E409" s="179">
        <v>2</v>
      </c>
      <c r="F409" s="179">
        <v>3</v>
      </c>
      <c r="G409" s="1">
        <v>17</v>
      </c>
      <c r="H409" s="1">
        <v>1</v>
      </c>
      <c r="I409" s="1"/>
      <c r="J409" s="1"/>
      <c r="K409" s="1">
        <v>7</v>
      </c>
      <c r="R409" s="1">
        <v>10000</v>
      </c>
      <c r="AA409" s="1">
        <v>9999</v>
      </c>
      <c r="AE409" s="183" t="s">
        <v>1467</v>
      </c>
    </row>
    <row r="410" ht="15.75" spans="3:31">
      <c r="C410" s="186" t="s">
        <v>1466</v>
      </c>
      <c r="D410" s="186">
        <v>2</v>
      </c>
      <c r="E410" s="179">
        <v>2</v>
      </c>
      <c r="F410" s="179">
        <v>3</v>
      </c>
      <c r="G410" s="1">
        <v>17</v>
      </c>
      <c r="H410" s="1">
        <v>1</v>
      </c>
      <c r="I410" s="1"/>
      <c r="J410" s="1"/>
      <c r="K410" s="1">
        <v>7</v>
      </c>
      <c r="R410" s="1">
        <v>10000</v>
      </c>
      <c r="AA410" s="1">
        <v>9999</v>
      </c>
      <c r="AE410" s="183" t="s">
        <v>1468</v>
      </c>
    </row>
    <row r="411" ht="15.75" spans="3:34">
      <c r="C411" s="153" t="s">
        <v>1469</v>
      </c>
      <c r="E411" s="179">
        <v>2</v>
      </c>
      <c r="F411" s="179">
        <v>3</v>
      </c>
      <c r="G411" s="1">
        <v>13</v>
      </c>
      <c r="H411">
        <v>1</v>
      </c>
      <c r="K411" s="1">
        <v>1</v>
      </c>
      <c r="L411" s="1">
        <v>1</v>
      </c>
      <c r="M411">
        <v>0</v>
      </c>
      <c r="R411" s="1">
        <v>10000</v>
      </c>
      <c r="V411">
        <v>3</v>
      </c>
      <c r="W411" s="1">
        <v>1</v>
      </c>
      <c r="X411" s="1">
        <v>2</v>
      </c>
      <c r="AA411" s="1">
        <v>9999</v>
      </c>
      <c r="AB411" s="3"/>
      <c r="AE411" s="183" t="s">
        <v>1470</v>
      </c>
      <c r="AG411">
        <v>6</v>
      </c>
      <c r="AH411">
        <f t="shared" ref="AH411:AH416" si="28">X411*AA411</f>
        <v>19998</v>
      </c>
    </row>
    <row r="412" ht="15.75" spans="3:34">
      <c r="C412" s="186" t="s">
        <v>1471</v>
      </c>
      <c r="E412" s="179">
        <v>2</v>
      </c>
      <c r="F412" s="179">
        <v>3</v>
      </c>
      <c r="G412" s="1">
        <v>13</v>
      </c>
      <c r="H412">
        <v>1</v>
      </c>
      <c r="K412" s="1">
        <v>1</v>
      </c>
      <c r="L412" s="1">
        <v>1</v>
      </c>
      <c r="M412">
        <v>0</v>
      </c>
      <c r="R412" s="1">
        <v>10000</v>
      </c>
      <c r="V412">
        <v>1</v>
      </c>
      <c r="W412" s="1">
        <v>1</v>
      </c>
      <c r="X412" s="1">
        <v>2</v>
      </c>
      <c r="AA412" s="1">
        <v>9999</v>
      </c>
      <c r="AB412" s="3"/>
      <c r="AE412" s="183" t="s">
        <v>1472</v>
      </c>
      <c r="AG412">
        <v>6</v>
      </c>
      <c r="AH412">
        <f t="shared" si="28"/>
        <v>19998</v>
      </c>
    </row>
    <row r="413" ht="15.75" spans="3:34">
      <c r="C413" s="186" t="s">
        <v>1473</v>
      </c>
      <c r="D413">
        <v>5</v>
      </c>
      <c r="E413" s="179">
        <v>2</v>
      </c>
      <c r="F413" s="179">
        <v>3</v>
      </c>
      <c r="G413" s="1">
        <v>7</v>
      </c>
      <c r="H413" s="1">
        <v>1</v>
      </c>
      <c r="I413" s="1"/>
      <c r="J413" s="1"/>
      <c r="K413" s="1">
        <v>4</v>
      </c>
      <c r="L413" s="1">
        <v>1</v>
      </c>
      <c r="M413" s="1">
        <v>0</v>
      </c>
      <c r="N413" s="1">
        <v>2</v>
      </c>
      <c r="O413" s="1">
        <v>3</v>
      </c>
      <c r="P413" s="1"/>
      <c r="Q413" s="1">
        <v>1</v>
      </c>
      <c r="R413" s="3">
        <v>10000</v>
      </c>
      <c r="S413" s="1"/>
      <c r="T413" s="1"/>
      <c r="U413" s="1"/>
      <c r="W413" s="1">
        <v>2</v>
      </c>
      <c r="X413" s="1" t="e">
        <f ca="1">ROUND(AG413*10000/(OFFSET(buff的资质计算!$M$1,MATCH(buff!D413,buff的资质计算!G:G,0)-1,0)*OFFSET(buff的资质计算!$N$1,MATCH(buff!D413,buff的资质计算!G:G,0)-1,0)),-2)</f>
        <v>#VALUE!</v>
      </c>
      <c r="AA413" s="1">
        <v>9999</v>
      </c>
      <c r="AB413" s="3"/>
      <c r="AC413" s="1"/>
      <c r="AD413" s="1"/>
      <c r="AE413" s="183" t="s">
        <v>1474</v>
      </c>
      <c r="AG413">
        <v>18</v>
      </c>
      <c r="AH413" t="e">
        <f ca="1">AG413/OFFSET(buff的资质计算!$L$1,MATCH(buff!D413,buff的资质计算!G:G,0)-1,0)</f>
        <v>#VALUE!</v>
      </c>
    </row>
    <row r="414" ht="15.75" spans="3:31">
      <c r="C414" s="186" t="s">
        <v>1475</v>
      </c>
      <c r="D414" s="157"/>
      <c r="E414" s="179">
        <v>2</v>
      </c>
      <c r="F414" s="179">
        <v>3</v>
      </c>
      <c r="G414">
        <v>1</v>
      </c>
      <c r="H414">
        <v>1</v>
      </c>
      <c r="K414">
        <v>1</v>
      </c>
      <c r="L414" s="1">
        <v>1</v>
      </c>
      <c r="R414">
        <v>10000</v>
      </c>
      <c r="S414">
        <v>4</v>
      </c>
      <c r="T414">
        <v>1</v>
      </c>
      <c r="W414">
        <v>2</v>
      </c>
      <c r="X414">
        <v>100</v>
      </c>
      <c r="AA414" s="1">
        <v>9999</v>
      </c>
      <c r="AE414" s="183" t="s">
        <v>1412</v>
      </c>
    </row>
    <row r="415" ht="15.75" spans="3:34">
      <c r="C415" s="186" t="s">
        <v>1476</v>
      </c>
      <c r="E415" s="179">
        <v>2</v>
      </c>
      <c r="F415" s="179">
        <v>3</v>
      </c>
      <c r="G415" s="1">
        <v>13</v>
      </c>
      <c r="H415">
        <v>1</v>
      </c>
      <c r="K415" s="1">
        <v>1</v>
      </c>
      <c r="L415" s="1">
        <v>1</v>
      </c>
      <c r="M415">
        <v>0</v>
      </c>
      <c r="R415" s="1">
        <v>10000</v>
      </c>
      <c r="V415">
        <v>4</v>
      </c>
      <c r="W415" s="1">
        <v>1</v>
      </c>
      <c r="X415" s="1">
        <v>2</v>
      </c>
      <c r="AA415" s="1">
        <v>9999</v>
      </c>
      <c r="AB415" s="3"/>
      <c r="AE415" s="183" t="s">
        <v>1477</v>
      </c>
      <c r="AG415">
        <v>6</v>
      </c>
      <c r="AH415">
        <f t="shared" si="28"/>
        <v>19998</v>
      </c>
    </row>
    <row r="416" ht="15.75" spans="3:34">
      <c r="C416" s="179" t="s">
        <v>1478</v>
      </c>
      <c r="E416" s="179">
        <v>2</v>
      </c>
      <c r="F416" s="179">
        <v>3</v>
      </c>
      <c r="G416" s="1">
        <v>13</v>
      </c>
      <c r="H416">
        <v>1</v>
      </c>
      <c r="K416" s="1">
        <v>1</v>
      </c>
      <c r="L416" s="1">
        <v>1</v>
      </c>
      <c r="M416">
        <v>0</v>
      </c>
      <c r="R416" s="1">
        <v>10000</v>
      </c>
      <c r="V416" s="153">
        <v>12</v>
      </c>
      <c r="W416" s="1">
        <v>1</v>
      </c>
      <c r="X416" s="1">
        <v>1</v>
      </c>
      <c r="AA416" s="1">
        <v>9999</v>
      </c>
      <c r="AB416" s="3"/>
      <c r="AE416" s="183" t="s">
        <v>1479</v>
      </c>
      <c r="AG416">
        <v>6</v>
      </c>
      <c r="AH416">
        <f t="shared" si="28"/>
        <v>9999</v>
      </c>
    </row>
    <row r="417" ht="15.75" spans="3:31">
      <c r="C417" s="179" t="s">
        <v>1480</v>
      </c>
      <c r="D417">
        <v>2</v>
      </c>
      <c r="E417" s="179">
        <v>2</v>
      </c>
      <c r="F417" s="179">
        <v>3</v>
      </c>
      <c r="G417" s="1">
        <v>9</v>
      </c>
      <c r="H417" s="1">
        <v>2</v>
      </c>
      <c r="I417" s="1"/>
      <c r="J417" s="1"/>
      <c r="K417" s="1">
        <v>3</v>
      </c>
      <c r="L417" s="1">
        <v>1</v>
      </c>
      <c r="M417" s="1">
        <v>1</v>
      </c>
      <c r="Q417" s="1">
        <v>1</v>
      </c>
      <c r="R417" s="3">
        <v>10000</v>
      </c>
      <c r="S417" s="1"/>
      <c r="T417" s="1"/>
      <c r="U417" s="1"/>
      <c r="W417" s="1">
        <v>2</v>
      </c>
      <c r="X417" s="1">
        <v>3000</v>
      </c>
      <c r="AA417" s="1">
        <v>9999</v>
      </c>
      <c r="AB417" s="3"/>
      <c r="AC417" s="1"/>
      <c r="AE417" s="183" t="s">
        <v>1481</v>
      </c>
    </row>
    <row r="418" ht="15.75" spans="3:31">
      <c r="C418" s="186" t="s">
        <v>1482</v>
      </c>
      <c r="E418" s="179">
        <v>2</v>
      </c>
      <c r="F418" s="179">
        <v>3</v>
      </c>
      <c r="G418" s="1">
        <v>20</v>
      </c>
      <c r="H418" s="1">
        <v>1</v>
      </c>
      <c r="I418" s="1"/>
      <c r="J418" s="1"/>
      <c r="K418" s="1">
        <v>7</v>
      </c>
      <c r="L418">
        <v>1</v>
      </c>
      <c r="R418" s="1">
        <v>10000</v>
      </c>
      <c r="V418">
        <v>1</v>
      </c>
      <c r="AA418" s="1">
        <v>9999</v>
      </c>
      <c r="AE418" s="183" t="s">
        <v>1483</v>
      </c>
    </row>
  </sheetData>
  <autoFilter xmlns:etc="http://www.wps.cn/officeDocument/2017/etCustomData" ref="A5:AF418" etc:filterBottomFollowUsedRange="0">
    <extLst/>
  </autoFilter>
  <conditionalFormatting sqref="B24">
    <cfRule type="duplicateValues" dxfId="9" priority="5"/>
  </conditionalFormatting>
  <conditionalFormatting sqref="C411">
    <cfRule type="duplicateValues" dxfId="9" priority="7"/>
  </conditionalFormatting>
  <conditionalFormatting sqref="V416">
    <cfRule type="duplicateValues" dxfId="9" priority="6"/>
  </conditionalFormatting>
  <conditionalFormatting sqref="A42:A100">
    <cfRule type="duplicateValues" dxfId="9" priority="1"/>
  </conditionalFormatting>
  <conditionalFormatting sqref="C336:C346">
    <cfRule type="duplicateValues" dxfId="9" priority="2"/>
  </conditionalFormatting>
  <conditionalFormatting sqref="C380:C390">
    <cfRule type="duplicateValues" dxfId="9" priority="3"/>
  </conditionalFormatting>
  <conditionalFormatting sqref="C392:C394">
    <cfRule type="duplicateValues" dxfId="9" priority="8"/>
  </conditionalFormatting>
  <conditionalFormatting sqref="V292:V302">
    <cfRule type="duplicateValues" dxfId="9" priority="4"/>
  </conditionalFormatting>
  <conditionalFormatting sqref="A1:A41 A101:A398">
    <cfRule type="duplicateValues" dxfId="9" priority="9"/>
  </conditionalFormatting>
  <pageMargins left="0.7" right="0.7" top="0.75" bottom="0.75" header="0.3" footer="0.3"/>
  <pageSetup paperSize="9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1"/>
  <dimension ref="A1:N607"/>
  <sheetViews>
    <sheetView zoomScale="115" zoomScaleNormal="115" workbookViewId="0">
      <pane xSplit="1" ySplit="5" topLeftCell="B538" activePane="bottomRight" state="frozen"/>
      <selection/>
      <selection pane="topRight"/>
      <selection pane="bottomLeft"/>
      <selection pane="bottomRight" activeCell="F546" sqref="F546"/>
    </sheetView>
  </sheetViews>
  <sheetFormatPr defaultColWidth="9" defaultRowHeight="13.85"/>
  <cols>
    <col min="1" max="1" width="11.2477876106195" style="113" customWidth="1"/>
    <col min="2" max="2" width="3.3716814159292" style="266" customWidth="1"/>
    <col min="3" max="3" width="6" style="91" customWidth="1"/>
    <col min="4" max="4" width="5.6283185840708" style="106" customWidth="1"/>
    <col min="5" max="5" width="15.2477876106195" style="106" customWidth="1"/>
    <col min="6" max="6" width="12" style="267" customWidth="1"/>
    <col min="7" max="16384" width="9" style="91"/>
  </cols>
  <sheetData>
    <row r="1" ht="15" spans="1:7">
      <c r="A1" s="268" t="s">
        <v>23</v>
      </c>
      <c r="B1" s="269"/>
      <c r="C1" s="270"/>
      <c r="D1" s="271"/>
      <c r="E1" s="271"/>
      <c r="F1" s="272"/>
      <c r="G1" s="196"/>
    </row>
    <row r="2" ht="105" spans="1:10">
      <c r="A2" s="110" t="s">
        <v>270</v>
      </c>
      <c r="B2" s="108"/>
      <c r="C2" s="134" t="s">
        <v>1484</v>
      </c>
      <c r="D2" s="273" t="s">
        <v>997</v>
      </c>
      <c r="E2" s="273" t="s">
        <v>1485</v>
      </c>
      <c r="F2" s="274" t="s">
        <v>1486</v>
      </c>
      <c r="G2" s="196"/>
      <c r="I2" s="273" t="s">
        <v>997</v>
      </c>
      <c r="J2" s="91" t="s">
        <v>998</v>
      </c>
    </row>
    <row r="3" ht="15" spans="1:7">
      <c r="A3" s="268" t="s">
        <v>109</v>
      </c>
      <c r="B3" s="269"/>
      <c r="C3" s="270"/>
      <c r="D3" s="271" t="s">
        <v>109</v>
      </c>
      <c r="E3" s="271" t="s">
        <v>110</v>
      </c>
      <c r="F3" s="272" t="s">
        <v>109</v>
      </c>
      <c r="G3" s="196"/>
    </row>
    <row r="4" ht="15" spans="1:7">
      <c r="A4" s="96" t="s">
        <v>270</v>
      </c>
      <c r="B4" s="82"/>
      <c r="C4" s="107"/>
      <c r="D4" s="271" t="s">
        <v>557</v>
      </c>
      <c r="E4" s="132" t="s">
        <v>1487</v>
      </c>
      <c r="F4" s="275" t="s">
        <v>1488</v>
      </c>
      <c r="G4" s="196"/>
    </row>
    <row r="5" ht="15" spans="1:7">
      <c r="A5" s="96" t="s">
        <v>270</v>
      </c>
      <c r="B5" s="82"/>
      <c r="C5" s="107"/>
      <c r="D5" s="271" t="s">
        <v>557</v>
      </c>
      <c r="E5" s="132" t="s">
        <v>1487</v>
      </c>
      <c r="F5" s="275" t="s">
        <v>1488</v>
      </c>
      <c r="G5" s="196"/>
    </row>
    <row r="6" ht="15" spans="1:10">
      <c r="A6" s="276">
        <f t="shared" ref="A6:A15" si="0">B6+E6</f>
        <v>101</v>
      </c>
      <c r="B6" s="277">
        <v>1</v>
      </c>
      <c r="C6" s="278"/>
      <c r="D6" s="132">
        <v>3</v>
      </c>
      <c r="E6" s="132">
        <v>100</v>
      </c>
      <c r="F6" s="46">
        <f ca="1">OFFSET(card!$A$1,MATCH(G6,card!B:B,0)-1,0)</f>
        <v>1001001</v>
      </c>
      <c r="G6" s="91" t="s">
        <v>508</v>
      </c>
      <c r="H6" s="46"/>
      <c r="I6" s="91">
        <f ca="1">OFFSET(card!$J$1,MATCH(G6,card!B:B,0)-1,0)</f>
        <v>1</v>
      </c>
      <c r="J6" s="91">
        <f ca="1">OFFSET(card!$K$1,MATCH(G6,card!B:B,0)-1,0)</f>
        <v>1</v>
      </c>
    </row>
    <row r="7" ht="15" spans="1:10">
      <c r="A7" s="276">
        <f t="shared" si="0"/>
        <v>102</v>
      </c>
      <c r="B7" s="277">
        <v>2</v>
      </c>
      <c r="C7" s="278"/>
      <c r="D7" s="132">
        <v>3</v>
      </c>
      <c r="E7" s="132">
        <v>100</v>
      </c>
      <c r="F7" s="46">
        <f ca="1">OFFSET(card!$A$1,MATCH(G7,card!B:B,0)-1,0)</f>
        <v>1002001</v>
      </c>
      <c r="G7" s="91" t="s">
        <v>471</v>
      </c>
      <c r="H7" s="46"/>
      <c r="I7" s="91">
        <f ca="1">OFFSET(card!$J$1,MATCH(G7,card!B:B,0)-1,0)</f>
        <v>1</v>
      </c>
      <c r="J7" s="91">
        <f ca="1">OFFSET(card!$K$1,MATCH(G7,card!B:B,0)-1,0)</f>
        <v>1</v>
      </c>
    </row>
    <row r="8" ht="15" spans="1:10">
      <c r="A8" s="276">
        <f t="shared" si="0"/>
        <v>103</v>
      </c>
      <c r="B8" s="277">
        <v>3</v>
      </c>
      <c r="C8" s="278"/>
      <c r="D8" s="132">
        <v>3</v>
      </c>
      <c r="E8" s="132">
        <v>100</v>
      </c>
      <c r="F8" s="46">
        <f ca="1">OFFSET(card!$A$1,MATCH(G8,card!B:B,0)-1,0)</f>
        <v>1003001</v>
      </c>
      <c r="G8" s="91" t="s">
        <v>589</v>
      </c>
      <c r="H8" s="46"/>
      <c r="I8" s="91">
        <f ca="1">OFFSET(card!$J$1,MATCH(G8,card!B:B,0)-1,0)</f>
        <v>1</v>
      </c>
      <c r="J8" s="91">
        <f ca="1">OFFSET(card!$K$1,MATCH(G8,card!B:B,0)-1,0)</f>
        <v>1</v>
      </c>
    </row>
    <row r="9" ht="15" spans="1:10">
      <c r="A9" s="276">
        <f t="shared" si="0"/>
        <v>104</v>
      </c>
      <c r="B9" s="277">
        <v>4</v>
      </c>
      <c r="C9" s="278"/>
      <c r="D9" s="132">
        <v>3</v>
      </c>
      <c r="E9" s="132">
        <v>100</v>
      </c>
      <c r="F9" s="46">
        <f ca="1">OFFSET(card!$A$1,MATCH(G9,card!B:B,0)-1,0)</f>
        <v>1004001</v>
      </c>
      <c r="G9" s="91" t="s">
        <v>500</v>
      </c>
      <c r="H9" s="46"/>
      <c r="I9" s="91">
        <f ca="1">OFFSET(card!$J$1,MATCH(G9,card!B:B,0)-1,0)</f>
        <v>1</v>
      </c>
      <c r="J9" s="91">
        <f ca="1">OFFSET(card!$K$1,MATCH(G9,card!B:B,0)-1,0)</f>
        <v>2</v>
      </c>
    </row>
    <row r="10" ht="15" spans="1:10">
      <c r="A10" s="276">
        <f t="shared" si="0"/>
        <v>105</v>
      </c>
      <c r="B10" s="277">
        <v>5</v>
      </c>
      <c r="C10" s="278"/>
      <c r="D10" s="132">
        <v>3</v>
      </c>
      <c r="E10" s="132">
        <v>100</v>
      </c>
      <c r="F10" s="46">
        <f ca="1">OFFSET(card!$A$1,MATCH(G10,card!B:B,0)-1,0)</f>
        <v>1005001</v>
      </c>
      <c r="G10" s="91" t="s">
        <v>516</v>
      </c>
      <c r="H10" s="46"/>
      <c r="I10" s="91">
        <f ca="1">OFFSET(card!$J$1,MATCH(G10,card!B:B,0)-1,0)</f>
        <v>1</v>
      </c>
      <c r="J10" s="91">
        <f ca="1">OFFSET(card!$K$1,MATCH(G10,card!B:B,0)-1,0)</f>
        <v>2</v>
      </c>
    </row>
    <row r="11" ht="15" spans="1:10">
      <c r="A11" s="276">
        <f t="shared" si="0"/>
        <v>106</v>
      </c>
      <c r="B11" s="277">
        <v>6</v>
      </c>
      <c r="C11" s="278"/>
      <c r="D11" s="132">
        <v>3</v>
      </c>
      <c r="E11" s="132">
        <v>100</v>
      </c>
      <c r="F11" s="46">
        <f ca="1">OFFSET(card!$A$1,MATCH(G11,card!B:B,0)-1,0)</f>
        <v>1006001</v>
      </c>
      <c r="G11" s="91" t="s">
        <v>496</v>
      </c>
      <c r="H11" s="46"/>
      <c r="I11" s="91">
        <f ca="1">OFFSET(card!$J$1,MATCH(G11,card!B:B,0)-1,0)</f>
        <v>1</v>
      </c>
      <c r="J11" s="91">
        <f ca="1">OFFSET(card!$K$1,MATCH(G11,card!B:B,0)-1,0)</f>
        <v>1</v>
      </c>
    </row>
    <row r="12" ht="15" spans="1:10">
      <c r="A12" s="276">
        <f t="shared" si="0"/>
        <v>107</v>
      </c>
      <c r="B12" s="277">
        <v>7</v>
      </c>
      <c r="C12" s="278"/>
      <c r="D12" s="132">
        <v>3</v>
      </c>
      <c r="E12" s="132">
        <v>100</v>
      </c>
      <c r="F12" s="46">
        <f ca="1">OFFSET(card!$A$1,MATCH(G12,card!B:B,0)-1,0)</f>
        <v>1007001</v>
      </c>
      <c r="G12" s="91" t="s">
        <v>413</v>
      </c>
      <c r="H12" s="46"/>
      <c r="I12" s="91">
        <f ca="1">OFFSET(card!$J$1,MATCH(G12,card!B:B,0)-1,0)</f>
        <v>1</v>
      </c>
      <c r="J12" s="91">
        <f ca="1">OFFSET(card!$K$1,MATCH(G12,card!B:B,0)-1,0)</f>
        <v>2</v>
      </c>
    </row>
    <row r="13" ht="15" spans="1:10">
      <c r="A13" s="276">
        <f t="shared" si="0"/>
        <v>108</v>
      </c>
      <c r="B13" s="277">
        <v>8</v>
      </c>
      <c r="C13" s="278"/>
      <c r="D13" s="132">
        <v>3</v>
      </c>
      <c r="E13" s="132">
        <v>100</v>
      </c>
      <c r="F13" s="46">
        <f ca="1">OFFSET(card!$A$1,MATCH(G13,card!B:B,0)-1,0)</f>
        <v>1008001</v>
      </c>
      <c r="G13" s="91" t="s">
        <v>447</v>
      </c>
      <c r="H13" s="46"/>
      <c r="I13" s="91">
        <f ca="1">OFFSET(card!$J$1,MATCH(G13,card!B:B,0)-1,0)</f>
        <v>1</v>
      </c>
      <c r="J13" s="91">
        <f ca="1">OFFSET(card!$K$1,MATCH(G13,card!B:B,0)-1,0)</f>
        <v>2</v>
      </c>
    </row>
    <row r="14" ht="15" spans="1:10">
      <c r="A14" s="276">
        <f t="shared" si="0"/>
        <v>109</v>
      </c>
      <c r="B14" s="277">
        <v>9</v>
      </c>
      <c r="C14" s="278"/>
      <c r="D14" s="132">
        <v>3</v>
      </c>
      <c r="E14" s="132">
        <v>100</v>
      </c>
      <c r="F14" s="46">
        <f ca="1">OFFSET(card!$A$1,MATCH(G14,card!B:B,0)-1,0)</f>
        <v>1009001</v>
      </c>
      <c r="G14" s="91" t="s">
        <v>619</v>
      </c>
      <c r="H14" s="46"/>
      <c r="I14" s="91">
        <f ca="1">OFFSET(card!$J$1,MATCH(G14,card!B:B,0)-1,0)</f>
        <v>1</v>
      </c>
      <c r="J14" s="91">
        <f ca="1">OFFSET(card!$K$1,MATCH(G14,card!B:B,0)-1,0)</f>
        <v>1</v>
      </c>
    </row>
    <row r="15" customFormat="1" ht="15" spans="1:10">
      <c r="A15" s="276">
        <f t="shared" si="0"/>
        <v>110</v>
      </c>
      <c r="B15" s="277">
        <v>10</v>
      </c>
      <c r="C15" s="278"/>
      <c r="D15" s="132">
        <v>3</v>
      </c>
      <c r="E15" s="132">
        <v>100</v>
      </c>
      <c r="F15" s="46">
        <f ca="1">OFFSET(card!$A$1,MATCH(G15,card!B:B,0)-1,0)</f>
        <v>1010001</v>
      </c>
      <c r="G15" s="91" t="s">
        <v>365</v>
      </c>
      <c r="H15" s="46"/>
      <c r="I15" s="91">
        <f ca="1">OFFSET(card!$J$1,MATCH(G15,card!B:B,0)-1,0)</f>
        <v>1</v>
      </c>
      <c r="J15" s="91">
        <f ca="1">OFFSET(card!$K$1,MATCH(G15,card!B:B,0)-1,0)</f>
        <v>3</v>
      </c>
    </row>
    <row r="16" customFormat="1" ht="15" spans="1:10">
      <c r="A16" s="276"/>
      <c r="B16" s="277"/>
      <c r="C16" s="278"/>
      <c r="D16" s="132"/>
      <c r="E16" s="132"/>
      <c r="F16" s="46"/>
      <c r="G16" s="91" t="s">
        <v>363</v>
      </c>
      <c r="H16" s="46"/>
      <c r="I16" s="91">
        <f ca="1">OFFSET(card!$J$1,MATCH(G16,card!B:B,0)-1,0)</f>
        <v>2</v>
      </c>
      <c r="J16" s="91">
        <f ca="1">OFFSET(card!$K$1,MATCH(G16,card!B:B,0)-1,0)</f>
        <v>1</v>
      </c>
    </row>
    <row r="17" customFormat="1" ht="15" spans="1:13">
      <c r="A17" s="276"/>
      <c r="B17" s="277"/>
      <c r="C17" s="278"/>
      <c r="D17" s="132"/>
      <c r="E17" s="132"/>
      <c r="F17" s="46"/>
      <c r="G17" s="91" t="s">
        <v>633</v>
      </c>
      <c r="H17" s="46"/>
      <c r="I17" s="91">
        <f ca="1">OFFSET(card!$J$1,MATCH(G17,card!B:B,0)-1,0)</f>
        <v>2</v>
      </c>
      <c r="J17" s="91">
        <f ca="1">OFFSET(card!$K$1,MATCH(G17,card!B:B,0)-1,0)</f>
        <v>3</v>
      </c>
      <c r="M17" t="s">
        <v>997</v>
      </c>
    </row>
    <row r="18" customFormat="1" ht="15" spans="1:14">
      <c r="A18" s="279">
        <f t="shared" ref="A18:A27" si="1">B18+E18</f>
        <v>201</v>
      </c>
      <c r="B18" s="280">
        <v>1</v>
      </c>
      <c r="C18" s="281"/>
      <c r="D18" s="282">
        <v>1</v>
      </c>
      <c r="E18" s="282">
        <v>200</v>
      </c>
      <c r="F18" s="46">
        <f ca="1">OFFSET(card!$A$1,MATCH(G18,card!B:B,0)-1,0)</f>
        <v>1013001</v>
      </c>
      <c r="G18" s="91" t="s">
        <v>377</v>
      </c>
      <c r="I18" s="91">
        <f ca="1">OFFSET(card!$J$1,MATCH(G18,card!B:B,0)-1,0)</f>
        <v>2</v>
      </c>
      <c r="J18" s="91">
        <f ca="1">OFFSET(card!$K$1,MATCH(G18,card!B:B,0)-1,0)</f>
        <v>2</v>
      </c>
      <c r="L18" s="91" t="s">
        <v>508</v>
      </c>
      <c r="M18" s="186">
        <v>1</v>
      </c>
      <c r="N18" s="157">
        <v>1</v>
      </c>
    </row>
    <row r="19" customFormat="1" ht="15" spans="1:14">
      <c r="A19" s="279">
        <f t="shared" si="1"/>
        <v>202</v>
      </c>
      <c r="B19" s="280">
        <v>2</v>
      </c>
      <c r="C19" s="281"/>
      <c r="D19" s="282">
        <v>1</v>
      </c>
      <c r="E19" s="282">
        <v>200</v>
      </c>
      <c r="F19" s="46">
        <f ca="1">OFFSET(card!$A$1,MATCH(G19,card!B:B,0)-1,0)</f>
        <v>1014001</v>
      </c>
      <c r="G19" s="91" t="s">
        <v>642</v>
      </c>
      <c r="I19" s="91">
        <f ca="1">OFFSET(card!$J$1,MATCH(G19,card!B:B,0)-1,0)</f>
        <v>2</v>
      </c>
      <c r="J19" s="91">
        <f ca="1">OFFSET(card!$K$1,MATCH(G19,card!B:B,0)-1,0)</f>
        <v>1</v>
      </c>
      <c r="L19" s="91" t="s">
        <v>471</v>
      </c>
      <c r="M19" s="186">
        <v>1</v>
      </c>
      <c r="N19" s="157">
        <v>1</v>
      </c>
    </row>
    <row r="20" customFormat="1" ht="15" spans="1:14">
      <c r="A20" s="279">
        <f t="shared" si="1"/>
        <v>203</v>
      </c>
      <c r="B20" s="280">
        <v>3</v>
      </c>
      <c r="C20" s="281"/>
      <c r="D20" s="282">
        <v>1</v>
      </c>
      <c r="E20" s="282">
        <v>200</v>
      </c>
      <c r="F20" s="46">
        <f ca="1">OFFSET(card!$A$1,MATCH(G20,card!B:B,0)-1,0)</f>
        <v>1015001</v>
      </c>
      <c r="G20" s="91" t="s">
        <v>445</v>
      </c>
      <c r="I20" s="91">
        <f ca="1">OFFSET(card!$J$1,MATCH(G20,card!B:B,0)-1,0)</f>
        <v>3</v>
      </c>
      <c r="J20" s="91">
        <f ca="1">OFFSET(card!$K$1,MATCH(G20,card!B:B,0)-1,0)</f>
        <v>1</v>
      </c>
      <c r="L20" s="91" t="s">
        <v>589</v>
      </c>
      <c r="M20" s="186">
        <v>1</v>
      </c>
      <c r="N20" s="157">
        <v>2</v>
      </c>
    </row>
    <row r="21" customFormat="1" ht="15" spans="1:14">
      <c r="A21" s="279">
        <f t="shared" si="1"/>
        <v>204</v>
      </c>
      <c r="B21" s="280">
        <v>4</v>
      </c>
      <c r="C21" s="281"/>
      <c r="D21" s="282">
        <v>1</v>
      </c>
      <c r="E21" s="282">
        <v>200</v>
      </c>
      <c r="F21" s="46">
        <f ca="1">OFFSET(card!$A$1,MATCH(G21,card!B:B,0)-1,0)</f>
        <v>1016001</v>
      </c>
      <c r="G21" s="91" t="s">
        <v>652</v>
      </c>
      <c r="I21" s="91">
        <f ca="1">OFFSET(card!$J$1,MATCH(G21,card!B:B,0)-1,0)</f>
        <v>3</v>
      </c>
      <c r="J21" s="91">
        <f ca="1">OFFSET(card!$K$1,MATCH(G21,card!B:B,0)-1,0)</f>
        <v>2</v>
      </c>
      <c r="L21" s="91" t="s">
        <v>500</v>
      </c>
      <c r="M21" s="186">
        <v>1</v>
      </c>
      <c r="N21" s="157">
        <v>2</v>
      </c>
    </row>
    <row r="22" customFormat="1" ht="15" spans="1:14">
      <c r="A22" s="279">
        <f t="shared" si="1"/>
        <v>205</v>
      </c>
      <c r="B22" s="280">
        <v>5</v>
      </c>
      <c r="C22" s="281"/>
      <c r="D22" s="282">
        <v>1</v>
      </c>
      <c r="E22" s="282">
        <v>200</v>
      </c>
      <c r="F22" s="46">
        <f ca="1">OFFSET(card!$A$1,MATCH(G22,card!B:B,0)-1,0)</f>
        <v>1017001</v>
      </c>
      <c r="G22" s="91" t="s">
        <v>480</v>
      </c>
      <c r="I22" s="91">
        <f ca="1">OFFSET(card!$J$1,MATCH(G22,card!B:B,0)-1,0)</f>
        <v>3</v>
      </c>
      <c r="J22" s="91">
        <f ca="1">OFFSET(card!$K$1,MATCH(G22,card!B:B,0)-1,0)</f>
        <v>2</v>
      </c>
      <c r="L22" s="91" t="s">
        <v>516</v>
      </c>
      <c r="M22" s="186">
        <v>1</v>
      </c>
      <c r="N22" s="157">
        <v>2</v>
      </c>
    </row>
    <row r="23" customFormat="1" ht="15" spans="1:14">
      <c r="A23" s="279">
        <f t="shared" si="1"/>
        <v>206</v>
      </c>
      <c r="B23" s="280">
        <v>6</v>
      </c>
      <c r="C23" s="281"/>
      <c r="D23" s="282">
        <v>1</v>
      </c>
      <c r="E23" s="282">
        <v>200</v>
      </c>
      <c r="F23" s="46">
        <f ca="1">OFFSET(card!$A$1,MATCH(G23,card!B:B,0)-1,0)</f>
        <v>1018001</v>
      </c>
      <c r="G23" s="91" t="s">
        <v>661</v>
      </c>
      <c r="H23" s="46"/>
      <c r="I23" s="91">
        <f ca="1">OFFSET(card!$J$1,MATCH(G23,card!B:B,0)-1,0)</f>
        <v>3</v>
      </c>
      <c r="J23" s="91">
        <f ca="1">OFFSET(card!$K$1,MATCH(G23,card!B:B,0)-1,0)</f>
        <v>3</v>
      </c>
      <c r="L23" s="91" t="s">
        <v>496</v>
      </c>
      <c r="M23" s="186">
        <v>2</v>
      </c>
      <c r="N23" s="157">
        <v>2</v>
      </c>
    </row>
    <row r="24" customFormat="1" ht="15" spans="1:14">
      <c r="A24" s="279">
        <f t="shared" si="1"/>
        <v>207</v>
      </c>
      <c r="B24" s="280">
        <v>7</v>
      </c>
      <c r="C24" s="281"/>
      <c r="D24" s="282">
        <v>1</v>
      </c>
      <c r="E24" s="282">
        <v>200</v>
      </c>
      <c r="F24" s="46">
        <f ca="1">OFFSET(card!$A$1,MATCH(G24,card!B:B,0)-1,0)</f>
        <v>1019001</v>
      </c>
      <c r="G24" s="91" t="s">
        <v>522</v>
      </c>
      <c r="H24" s="46"/>
      <c r="I24" s="91">
        <f ca="1">OFFSET(card!$J$1,MATCH(G24,card!B:B,0)-1,0)</f>
        <v>2</v>
      </c>
      <c r="J24" s="91">
        <f ca="1">OFFSET(card!$K$1,MATCH(G24,card!B:B,0)-1,0)</f>
        <v>4</v>
      </c>
      <c r="L24" s="91" t="s">
        <v>413</v>
      </c>
      <c r="M24" s="186">
        <v>2</v>
      </c>
      <c r="N24" s="157">
        <v>2</v>
      </c>
    </row>
    <row r="25" customFormat="1" ht="15" spans="1:14">
      <c r="A25" s="279">
        <f t="shared" si="1"/>
        <v>208</v>
      </c>
      <c r="B25" s="280">
        <v>8</v>
      </c>
      <c r="C25" s="281"/>
      <c r="D25" s="282">
        <v>1</v>
      </c>
      <c r="E25" s="282">
        <v>200</v>
      </c>
      <c r="F25" s="46">
        <f ca="1">OFFSET(card!$A$1,MATCH(G25,card!B:B,0)-1,0)</f>
        <v>1020001</v>
      </c>
      <c r="G25" s="91" t="s">
        <v>461</v>
      </c>
      <c r="H25" s="46"/>
      <c r="I25" s="91">
        <f ca="1">OFFSET(card!$J$1,MATCH(G25,card!B:B,0)-1,0)</f>
        <v>3</v>
      </c>
      <c r="J25" s="91">
        <f ca="1">OFFSET(card!$K$1,MATCH(G25,card!B:B,0)-1,0)</f>
        <v>4</v>
      </c>
      <c r="L25" s="91" t="s">
        <v>447</v>
      </c>
      <c r="M25" s="186">
        <v>2</v>
      </c>
      <c r="N25" s="157">
        <v>2</v>
      </c>
    </row>
    <row r="26" customFormat="1" ht="15" spans="1:14">
      <c r="A26" s="279">
        <f t="shared" si="1"/>
        <v>209</v>
      </c>
      <c r="B26" s="280">
        <v>9</v>
      </c>
      <c r="C26" s="281"/>
      <c r="D26" s="282">
        <v>1</v>
      </c>
      <c r="E26" s="282">
        <v>200</v>
      </c>
      <c r="F26" s="46">
        <f ca="1">OFFSET(card!$A$1,MATCH(G26,card!B:B,0)-1,0)</f>
        <v>2001001</v>
      </c>
      <c r="G26" s="91" t="s">
        <v>403</v>
      </c>
      <c r="H26" s="46"/>
      <c r="I26" s="91">
        <f ca="1">OFFSET(card!$J$1,MATCH(G26,card!B:B,0)-1,0)</f>
        <v>1</v>
      </c>
      <c r="J26" s="91">
        <f ca="1">OFFSET(card!$K$1,MATCH(G26,card!B:B,0)-1,0)</f>
        <v>1</v>
      </c>
      <c r="L26" s="91" t="s">
        <v>619</v>
      </c>
      <c r="M26" s="186">
        <v>2</v>
      </c>
      <c r="N26" s="157">
        <v>2</v>
      </c>
    </row>
    <row r="27" customFormat="1" ht="15" spans="1:14">
      <c r="A27" s="279">
        <f t="shared" si="1"/>
        <v>210</v>
      </c>
      <c r="B27" s="280">
        <v>10</v>
      </c>
      <c r="C27" s="281"/>
      <c r="D27" s="282">
        <v>1</v>
      </c>
      <c r="E27" s="282">
        <v>200</v>
      </c>
      <c r="F27" s="46">
        <f ca="1">OFFSET(card!$A$1,MATCH(G27,card!B:B,0)-1,0)</f>
        <v>2002001</v>
      </c>
      <c r="G27" s="91" t="s">
        <v>401</v>
      </c>
      <c r="I27" s="91">
        <f ca="1">OFFSET(card!$J$1,MATCH(G27,card!B:B,0)-1,0)</f>
        <v>1</v>
      </c>
      <c r="J27" s="91">
        <f ca="1">OFFSET(card!$K$1,MATCH(G27,card!B:B,0)-1,0)</f>
        <v>1</v>
      </c>
      <c r="L27" s="91" t="s">
        <v>365</v>
      </c>
      <c r="M27" s="186">
        <v>2</v>
      </c>
      <c r="N27" s="157">
        <v>2</v>
      </c>
    </row>
    <row r="28" ht="15" spans="1:14">
      <c r="A28" s="276">
        <f>E28*100+B28</f>
        <v>110101</v>
      </c>
      <c r="B28" s="277">
        <v>1</v>
      </c>
      <c r="C28" s="278">
        <v>1</v>
      </c>
      <c r="D28" s="106">
        <v>1</v>
      </c>
      <c r="E28" s="106">
        <f>C28*1000+D28*100+1</f>
        <v>1101</v>
      </c>
      <c r="F28" s="46">
        <f ca="1">OFFSET(card!$A$1,MATCH(G28,card!B:B,0)-1,0)</f>
        <v>1001001</v>
      </c>
      <c r="G28" s="91" t="s">
        <v>508</v>
      </c>
      <c r="I28" s="91">
        <f ca="1">OFFSET(card!$J$1,MATCH(G28,card!B:B,0)-1,0)</f>
        <v>1</v>
      </c>
      <c r="J28" s="91">
        <f ca="1">OFFSET(card!$K$1,MATCH(G28,card!B:B,0)-1,0)</f>
        <v>1</v>
      </c>
      <c r="L28" s="91" t="s">
        <v>363</v>
      </c>
      <c r="M28" s="186">
        <v>2</v>
      </c>
      <c r="N28" s="157">
        <v>1</v>
      </c>
    </row>
    <row r="29" ht="15" spans="1:14">
      <c r="A29" s="276">
        <f t="shared" ref="A29:A60" si="2">E29*100+B29</f>
        <v>110102</v>
      </c>
      <c r="B29" s="277">
        <v>2</v>
      </c>
      <c r="C29" s="278">
        <v>1</v>
      </c>
      <c r="D29" s="106">
        <v>1</v>
      </c>
      <c r="E29" s="106">
        <f t="shared" ref="E29:E37" si="3">C29*1000+D29*100+1</f>
        <v>1101</v>
      </c>
      <c r="F29" s="46">
        <f ca="1">OFFSET(card!$A$1,MATCH(G29,card!B:B,0)-1,0)</f>
        <v>1002001</v>
      </c>
      <c r="G29" s="91" t="s">
        <v>471</v>
      </c>
      <c r="I29" s="91">
        <f ca="1">OFFSET(card!$J$1,MATCH(G29,card!B:B,0)-1,0)</f>
        <v>1</v>
      </c>
      <c r="J29" s="91">
        <f ca="1">OFFSET(card!$K$1,MATCH(G29,card!B:B,0)-1,0)</f>
        <v>1</v>
      </c>
      <c r="L29" s="91" t="s">
        <v>633</v>
      </c>
      <c r="M29" s="186">
        <v>2</v>
      </c>
      <c r="N29" s="157">
        <v>3</v>
      </c>
    </row>
    <row r="30" ht="15" spans="1:14">
      <c r="A30" s="276">
        <f t="shared" si="2"/>
        <v>110103</v>
      </c>
      <c r="B30" s="277">
        <v>3</v>
      </c>
      <c r="C30" s="278">
        <v>1</v>
      </c>
      <c r="D30" s="106">
        <v>1</v>
      </c>
      <c r="E30" s="106">
        <f t="shared" si="3"/>
        <v>1101</v>
      </c>
      <c r="F30" s="46">
        <f ca="1">OFFSET(card!$A$1,MATCH(G30,card!B:B,0)-1,0)</f>
        <v>1001001</v>
      </c>
      <c r="G30" s="91" t="s">
        <v>508</v>
      </c>
      <c r="I30" s="91">
        <f ca="1">OFFSET(card!$J$1,MATCH(G30,card!B:B,0)-1,0)</f>
        <v>1</v>
      </c>
      <c r="J30" s="91">
        <f ca="1">OFFSET(card!$K$1,MATCH(G30,card!B:B,0)-1,0)</f>
        <v>1</v>
      </c>
      <c r="L30" s="91" t="s">
        <v>377</v>
      </c>
      <c r="M30" s="186">
        <v>3</v>
      </c>
      <c r="N30" s="157">
        <v>3</v>
      </c>
    </row>
    <row r="31" ht="15" spans="1:14">
      <c r="A31" s="276">
        <f t="shared" si="2"/>
        <v>110104</v>
      </c>
      <c r="B31" s="277">
        <v>4</v>
      </c>
      <c r="C31" s="278">
        <v>1</v>
      </c>
      <c r="D31" s="106">
        <v>1</v>
      </c>
      <c r="E31" s="106">
        <f t="shared" si="3"/>
        <v>1101</v>
      </c>
      <c r="F31" s="46">
        <f ca="1">OFFSET(card!$A$1,MATCH(G31,card!B:B,0)-1,0)</f>
        <v>1002001</v>
      </c>
      <c r="G31" s="91" t="s">
        <v>471</v>
      </c>
      <c r="I31" s="91">
        <f ca="1">OFFSET(card!$J$1,MATCH(G31,card!B:B,0)-1,0)</f>
        <v>1</v>
      </c>
      <c r="J31" s="91">
        <f ca="1">OFFSET(card!$K$1,MATCH(G31,card!B:B,0)-1,0)</f>
        <v>1</v>
      </c>
      <c r="L31" s="91" t="s">
        <v>642</v>
      </c>
      <c r="M31" s="186">
        <v>3</v>
      </c>
      <c r="N31" s="157">
        <v>1</v>
      </c>
    </row>
    <row r="32" ht="15" spans="1:14">
      <c r="A32" s="276">
        <f t="shared" si="2"/>
        <v>110105</v>
      </c>
      <c r="B32" s="277">
        <v>5</v>
      </c>
      <c r="C32" s="278">
        <v>1</v>
      </c>
      <c r="D32" s="106">
        <v>1</v>
      </c>
      <c r="E32" s="106">
        <f t="shared" si="3"/>
        <v>1101</v>
      </c>
      <c r="F32" s="46">
        <f ca="1">OFFSET(card!$A$1,MATCH(G32,card!B:B,0)-1,0)</f>
        <v>1001001</v>
      </c>
      <c r="G32" s="91" t="s">
        <v>508</v>
      </c>
      <c r="I32" s="91">
        <f ca="1">OFFSET(card!$J$1,MATCH(G32,card!B:B,0)-1,0)</f>
        <v>1</v>
      </c>
      <c r="J32" s="91">
        <f ca="1">OFFSET(card!$K$1,MATCH(G32,card!B:B,0)-1,0)</f>
        <v>1</v>
      </c>
      <c r="L32" s="91" t="s">
        <v>445</v>
      </c>
      <c r="M32" s="186">
        <v>3</v>
      </c>
      <c r="N32" s="157">
        <v>2</v>
      </c>
    </row>
    <row r="33" ht="15" spans="1:14">
      <c r="A33" s="276">
        <f t="shared" si="2"/>
        <v>110106</v>
      </c>
      <c r="B33" s="277">
        <v>6</v>
      </c>
      <c r="C33" s="278">
        <v>1</v>
      </c>
      <c r="D33" s="106">
        <v>1</v>
      </c>
      <c r="E33" s="106">
        <f t="shared" si="3"/>
        <v>1101</v>
      </c>
      <c r="F33" s="46">
        <f ca="1">OFFSET(card!$A$1,MATCH(G33,card!B:B,0)-1,0)</f>
        <v>1002001</v>
      </c>
      <c r="G33" s="91" t="s">
        <v>471</v>
      </c>
      <c r="I33" s="91">
        <f ca="1">OFFSET(card!$J$1,MATCH(G33,card!B:B,0)-1,0)</f>
        <v>1</v>
      </c>
      <c r="J33" s="91">
        <f ca="1">OFFSET(card!$K$1,MATCH(G33,card!B:B,0)-1,0)</f>
        <v>1</v>
      </c>
      <c r="L33" s="91" t="s">
        <v>652</v>
      </c>
      <c r="M33" s="186">
        <v>3</v>
      </c>
      <c r="N33" s="157">
        <v>2</v>
      </c>
    </row>
    <row r="34" ht="15" spans="1:14">
      <c r="A34" s="276">
        <f t="shared" si="2"/>
        <v>110107</v>
      </c>
      <c r="B34" s="277">
        <v>7</v>
      </c>
      <c r="C34" s="278">
        <v>1</v>
      </c>
      <c r="D34" s="106">
        <v>1</v>
      </c>
      <c r="E34" s="106">
        <f t="shared" si="3"/>
        <v>1101</v>
      </c>
      <c r="F34" s="46">
        <f ca="1">OFFSET(card!$A$1,MATCH(G34,card!B:B,0)-1,0)</f>
        <v>1001001</v>
      </c>
      <c r="G34" s="91" t="s">
        <v>508</v>
      </c>
      <c r="I34" s="91">
        <f ca="1">OFFSET(card!$J$1,MATCH(G34,card!B:B,0)-1,0)</f>
        <v>1</v>
      </c>
      <c r="J34" s="91">
        <f ca="1">OFFSET(card!$K$1,MATCH(G34,card!B:B,0)-1,0)</f>
        <v>1</v>
      </c>
      <c r="L34" s="91" t="s">
        <v>480</v>
      </c>
      <c r="M34" s="186">
        <v>4</v>
      </c>
      <c r="N34" s="157">
        <v>2</v>
      </c>
    </row>
    <row r="35" ht="15" spans="1:14">
      <c r="A35" s="276">
        <f t="shared" si="2"/>
        <v>110108</v>
      </c>
      <c r="B35" s="277">
        <v>8</v>
      </c>
      <c r="C35" s="278">
        <v>1</v>
      </c>
      <c r="D35" s="106">
        <v>1</v>
      </c>
      <c r="E35" s="106">
        <f t="shared" si="3"/>
        <v>1101</v>
      </c>
      <c r="F35" s="46">
        <f ca="1">OFFSET(card!$A$1,MATCH(G35,card!B:B,0)-1,0)</f>
        <v>1002001</v>
      </c>
      <c r="G35" s="91" t="s">
        <v>471</v>
      </c>
      <c r="I35" s="91">
        <f ca="1">OFFSET(card!$J$1,MATCH(G35,card!B:B,0)-1,0)</f>
        <v>1</v>
      </c>
      <c r="J35" s="91">
        <f ca="1">OFFSET(card!$K$1,MATCH(G35,card!B:B,0)-1,0)</f>
        <v>1</v>
      </c>
      <c r="L35" s="91" t="s">
        <v>661</v>
      </c>
      <c r="M35" s="186">
        <v>4</v>
      </c>
      <c r="N35" s="157">
        <v>2</v>
      </c>
    </row>
    <row r="36" ht="15" spans="1:14">
      <c r="A36" s="276">
        <f t="shared" si="2"/>
        <v>110109</v>
      </c>
      <c r="B36" s="277">
        <v>9</v>
      </c>
      <c r="C36" s="278">
        <v>1</v>
      </c>
      <c r="D36" s="106">
        <v>1</v>
      </c>
      <c r="E36" s="106">
        <f t="shared" si="3"/>
        <v>1101</v>
      </c>
      <c r="F36" s="46">
        <f ca="1">OFFSET(card!$A$1,MATCH(G36,card!B:B,0)-1,0)</f>
        <v>1001001</v>
      </c>
      <c r="G36" s="91" t="s">
        <v>508</v>
      </c>
      <c r="I36" s="91">
        <f ca="1">OFFSET(card!$J$1,MATCH(G36,card!B:B,0)-1,0)</f>
        <v>1</v>
      </c>
      <c r="J36" s="91">
        <f ca="1">OFFSET(card!$K$1,MATCH(G36,card!B:B,0)-1,0)</f>
        <v>1</v>
      </c>
      <c r="L36" s="91" t="s">
        <v>522</v>
      </c>
      <c r="M36" s="186">
        <v>4</v>
      </c>
      <c r="N36" s="157">
        <v>2</v>
      </c>
    </row>
    <row r="37" ht="15" spans="1:14">
      <c r="A37" s="276">
        <f t="shared" si="2"/>
        <v>110110</v>
      </c>
      <c r="B37" s="277">
        <v>10</v>
      </c>
      <c r="C37" s="278">
        <v>1</v>
      </c>
      <c r="D37" s="106">
        <v>1</v>
      </c>
      <c r="E37" s="106">
        <f t="shared" si="3"/>
        <v>1101</v>
      </c>
      <c r="F37" s="46">
        <f ca="1">OFFSET(card!$A$1,MATCH(G37,card!B:B,0)-1,0)</f>
        <v>1002001</v>
      </c>
      <c r="G37" s="91" t="s">
        <v>471</v>
      </c>
      <c r="I37" s="91">
        <f ca="1">OFFSET(card!$J$1,MATCH(G37,card!B:B,0)-1,0)</f>
        <v>1</v>
      </c>
      <c r="J37" s="91">
        <f ca="1">OFFSET(card!$K$1,MATCH(G37,card!B:B,0)-1,0)</f>
        <v>1</v>
      </c>
      <c r="L37" s="91" t="s">
        <v>461</v>
      </c>
      <c r="M37" s="186">
        <v>4</v>
      </c>
      <c r="N37" s="157">
        <v>2</v>
      </c>
    </row>
    <row r="38" ht="15" spans="1:14">
      <c r="A38" s="276">
        <f t="shared" si="2"/>
        <v>110201</v>
      </c>
      <c r="B38" s="277">
        <v>1</v>
      </c>
      <c r="C38" s="278">
        <v>1</v>
      </c>
      <c r="D38" s="106">
        <v>1</v>
      </c>
      <c r="E38" s="106">
        <f>E28+1</f>
        <v>1102</v>
      </c>
      <c r="F38" s="46">
        <f ca="1">OFFSET(card!$A$1,MATCH(G38,card!B:B,0)-1,0)</f>
        <v>1001001</v>
      </c>
      <c r="G38" s="91" t="s">
        <v>508</v>
      </c>
      <c r="I38" s="91">
        <f ca="1">OFFSET(card!$J$1,MATCH(G38,card!B:B,0)-1,0)</f>
        <v>1</v>
      </c>
      <c r="J38" s="91">
        <f ca="1">OFFSET(card!$K$1,MATCH(G38,card!B:B,0)-1,0)</f>
        <v>1</v>
      </c>
      <c r="L38" s="91" t="s">
        <v>306</v>
      </c>
      <c r="M38" s="186">
        <v>5</v>
      </c>
      <c r="N38" s="157">
        <v>3</v>
      </c>
    </row>
    <row r="39" ht="15" spans="1:14">
      <c r="A39" s="276">
        <f t="shared" si="2"/>
        <v>110202</v>
      </c>
      <c r="B39" s="277">
        <v>2</v>
      </c>
      <c r="C39" s="278">
        <v>1</v>
      </c>
      <c r="D39" s="106">
        <v>1</v>
      </c>
      <c r="E39" s="106">
        <f t="shared" ref="E39:E102" si="4">E29+1</f>
        <v>1102</v>
      </c>
      <c r="F39" s="46">
        <f ca="1">OFFSET(card!$A$1,MATCH(G39,card!B:B,0)-1,0)</f>
        <v>1002001</v>
      </c>
      <c r="G39" s="91" t="s">
        <v>471</v>
      </c>
      <c r="I39" s="91">
        <f ca="1">OFFSET(card!$J$1,MATCH(G39,card!B:B,0)-1,0)</f>
        <v>1</v>
      </c>
      <c r="J39" s="91">
        <f ca="1">OFFSET(card!$K$1,MATCH(G39,card!B:B,0)-1,0)</f>
        <v>1</v>
      </c>
      <c r="L39" s="91" t="s">
        <v>677</v>
      </c>
      <c r="M39" s="186">
        <v>5</v>
      </c>
      <c r="N39" s="157">
        <v>3</v>
      </c>
    </row>
    <row r="40" ht="15" spans="1:14">
      <c r="A40" s="276">
        <f t="shared" si="2"/>
        <v>110203</v>
      </c>
      <c r="B40" s="277">
        <v>3</v>
      </c>
      <c r="C40" s="278">
        <v>1</v>
      </c>
      <c r="D40" s="106">
        <v>1</v>
      </c>
      <c r="E40" s="106">
        <f t="shared" si="4"/>
        <v>1102</v>
      </c>
      <c r="F40" s="46">
        <f ca="1">OFFSET(card!$A$1,MATCH(G40,card!B:B,0)-1,0)</f>
        <v>1003001</v>
      </c>
      <c r="G40" s="91" t="s">
        <v>589</v>
      </c>
      <c r="I40" s="91">
        <f ca="1">OFFSET(card!$J$1,MATCH(G40,card!B:B,0)-1,0)</f>
        <v>1</v>
      </c>
      <c r="J40" s="91">
        <f ca="1">OFFSET(card!$K$1,MATCH(G40,card!B:B,0)-1,0)</f>
        <v>1</v>
      </c>
      <c r="L40" s="91" t="s">
        <v>685</v>
      </c>
      <c r="M40" s="186">
        <v>5</v>
      </c>
      <c r="N40" s="157">
        <v>3</v>
      </c>
    </row>
    <row r="41" ht="15" spans="1:14">
      <c r="A41" s="276">
        <f t="shared" si="2"/>
        <v>110204</v>
      </c>
      <c r="B41" s="277">
        <v>4</v>
      </c>
      <c r="C41" s="278">
        <v>1</v>
      </c>
      <c r="D41" s="106">
        <v>1</v>
      </c>
      <c r="E41" s="106">
        <f t="shared" si="4"/>
        <v>1102</v>
      </c>
      <c r="F41" s="46">
        <f ca="1">OFFSET(card!$A$1,MATCH(G41,card!B:B,0)-1,0)</f>
        <v>1001001</v>
      </c>
      <c r="G41" s="91" t="s">
        <v>508</v>
      </c>
      <c r="I41" s="91">
        <f ca="1">OFFSET(card!$J$1,MATCH(G41,card!B:B,0)-1,0)</f>
        <v>1</v>
      </c>
      <c r="J41" s="91">
        <f ca="1">OFFSET(card!$K$1,MATCH(G41,card!B:B,0)-1,0)</f>
        <v>1</v>
      </c>
      <c r="L41" s="91" t="s">
        <v>681</v>
      </c>
      <c r="M41" s="186">
        <v>5</v>
      </c>
      <c r="N41" s="157">
        <v>3</v>
      </c>
    </row>
    <row r="42" ht="15" spans="1:14">
      <c r="A42" s="276">
        <f t="shared" si="2"/>
        <v>110205</v>
      </c>
      <c r="B42" s="277">
        <v>5</v>
      </c>
      <c r="C42" s="278">
        <v>1</v>
      </c>
      <c r="D42" s="106">
        <v>1</v>
      </c>
      <c r="E42" s="106">
        <f t="shared" si="4"/>
        <v>1102</v>
      </c>
      <c r="F42" s="46">
        <f ca="1">OFFSET(card!$A$1,MATCH(G42,card!B:B,0)-1,0)</f>
        <v>1002001</v>
      </c>
      <c r="G42" s="91" t="s">
        <v>471</v>
      </c>
      <c r="I42" s="91">
        <f ca="1">OFFSET(card!$J$1,MATCH(G42,card!B:B,0)-1,0)</f>
        <v>1</v>
      </c>
      <c r="J42" s="91">
        <f ca="1">OFFSET(card!$K$1,MATCH(G42,card!B:B,0)-1,0)</f>
        <v>1</v>
      </c>
      <c r="L42" s="270" t="s">
        <v>691</v>
      </c>
      <c r="M42" s="186">
        <v>6</v>
      </c>
      <c r="N42" s="157">
        <v>1</v>
      </c>
    </row>
    <row r="43" ht="15" spans="1:14">
      <c r="A43" s="276">
        <f t="shared" si="2"/>
        <v>110206</v>
      </c>
      <c r="B43" s="277">
        <v>6</v>
      </c>
      <c r="C43" s="278">
        <v>1</v>
      </c>
      <c r="D43" s="106">
        <v>1</v>
      </c>
      <c r="E43" s="106">
        <f t="shared" si="4"/>
        <v>1102</v>
      </c>
      <c r="F43" s="46">
        <f ca="1">OFFSET(card!$A$1,MATCH(G43,card!B:B,0)-1,0)</f>
        <v>1003001</v>
      </c>
      <c r="G43" s="91" t="s">
        <v>589</v>
      </c>
      <c r="I43" s="91">
        <f ca="1">OFFSET(card!$J$1,MATCH(G43,card!B:B,0)-1,0)</f>
        <v>1</v>
      </c>
      <c r="J43" s="91">
        <f ca="1">OFFSET(card!$K$1,MATCH(G43,card!B:B,0)-1,0)</f>
        <v>1</v>
      </c>
      <c r="L43" s="270" t="s">
        <v>1489</v>
      </c>
      <c r="M43" s="186">
        <v>6</v>
      </c>
      <c r="N43" s="157">
        <v>3</v>
      </c>
    </row>
    <row r="44" ht="15" spans="1:14">
      <c r="A44" s="276">
        <f t="shared" si="2"/>
        <v>110207</v>
      </c>
      <c r="B44" s="277">
        <v>7</v>
      </c>
      <c r="C44" s="278">
        <v>1</v>
      </c>
      <c r="D44" s="106">
        <v>1</v>
      </c>
      <c r="E44" s="106">
        <f t="shared" si="4"/>
        <v>1102</v>
      </c>
      <c r="F44" s="46">
        <f ca="1">OFFSET(card!$A$1,MATCH(G44,card!B:B,0)-1,0)</f>
        <v>1001001</v>
      </c>
      <c r="G44" s="91" t="s">
        <v>508</v>
      </c>
      <c r="I44" s="91">
        <f ca="1">OFFSET(card!$J$1,MATCH(G44,card!B:B,0)-1,0)</f>
        <v>1</v>
      </c>
      <c r="J44" s="91">
        <f ca="1">OFFSET(card!$K$1,MATCH(G44,card!B:B,0)-1,0)</f>
        <v>1</v>
      </c>
      <c r="L44" s="91" t="s">
        <v>1490</v>
      </c>
      <c r="M44" s="186">
        <v>6</v>
      </c>
      <c r="N44" s="157">
        <v>2</v>
      </c>
    </row>
    <row r="45" ht="15" spans="1:14">
      <c r="A45" s="276">
        <f t="shared" si="2"/>
        <v>110208</v>
      </c>
      <c r="B45" s="277">
        <v>8</v>
      </c>
      <c r="C45" s="278">
        <v>1</v>
      </c>
      <c r="D45" s="106">
        <v>1</v>
      </c>
      <c r="E45" s="106">
        <f t="shared" si="4"/>
        <v>1102</v>
      </c>
      <c r="F45" s="46">
        <f ca="1">OFFSET(card!$A$1,MATCH(G45,card!B:B,0)-1,0)</f>
        <v>1002001</v>
      </c>
      <c r="G45" s="91" t="s">
        <v>471</v>
      </c>
      <c r="I45" s="91">
        <f ca="1">OFFSET(card!$J$1,MATCH(G45,card!B:B,0)-1,0)</f>
        <v>1</v>
      </c>
      <c r="J45" s="91">
        <f ca="1">OFFSET(card!$K$1,MATCH(G45,card!B:B,0)-1,0)</f>
        <v>1</v>
      </c>
      <c r="L45" s="91" t="s">
        <v>707</v>
      </c>
      <c r="M45" s="186">
        <v>7</v>
      </c>
      <c r="N45" s="157">
        <v>3</v>
      </c>
    </row>
    <row r="46" ht="15" spans="1:14">
      <c r="A46" s="276">
        <f t="shared" si="2"/>
        <v>110209</v>
      </c>
      <c r="B46" s="277">
        <v>9</v>
      </c>
      <c r="C46" s="278">
        <v>1</v>
      </c>
      <c r="D46" s="106">
        <v>1</v>
      </c>
      <c r="E46" s="106">
        <f t="shared" si="4"/>
        <v>1102</v>
      </c>
      <c r="F46" s="46">
        <f ca="1">OFFSET(card!$A$1,MATCH(G46,card!B:B,0)-1,0)</f>
        <v>1003001</v>
      </c>
      <c r="G46" s="91" t="s">
        <v>589</v>
      </c>
      <c r="I46" s="91">
        <f ca="1">OFFSET(card!$J$1,MATCH(G46,card!B:B,0)-1,0)</f>
        <v>1</v>
      </c>
      <c r="J46" s="91">
        <f ca="1">OFFSET(card!$K$1,MATCH(G46,card!B:B,0)-1,0)</f>
        <v>1</v>
      </c>
      <c r="L46" s="270" t="s">
        <v>711</v>
      </c>
      <c r="M46" s="186">
        <v>7</v>
      </c>
      <c r="N46" s="157">
        <v>3</v>
      </c>
    </row>
    <row r="47" ht="15" spans="1:14">
      <c r="A47" s="276">
        <f t="shared" si="2"/>
        <v>110210</v>
      </c>
      <c r="B47" s="277">
        <v>10</v>
      </c>
      <c r="C47" s="278">
        <v>1</v>
      </c>
      <c r="D47" s="106">
        <v>1</v>
      </c>
      <c r="E47" s="106">
        <f t="shared" si="4"/>
        <v>1102</v>
      </c>
      <c r="F47" s="46">
        <f ca="1">OFFSET(card!$A$1,MATCH(G47,card!B:B,0)-1,0)</f>
        <v>1001001</v>
      </c>
      <c r="G47" s="91" t="s">
        <v>508</v>
      </c>
      <c r="I47" s="91">
        <f ca="1">OFFSET(card!$J$1,MATCH(G47,card!B:B,0)-1,0)</f>
        <v>1</v>
      </c>
      <c r="J47" s="91">
        <f ca="1">OFFSET(card!$K$1,MATCH(G47,card!B:B,0)-1,0)</f>
        <v>1</v>
      </c>
      <c r="L47" s="91" t="s">
        <v>715</v>
      </c>
      <c r="M47" s="186">
        <v>7</v>
      </c>
      <c r="N47" s="157">
        <v>4</v>
      </c>
    </row>
    <row r="48" ht="15" spans="1:10">
      <c r="A48" s="276">
        <f t="shared" si="2"/>
        <v>110301</v>
      </c>
      <c r="B48" s="277">
        <v>1</v>
      </c>
      <c r="C48" s="278">
        <v>1</v>
      </c>
      <c r="D48" s="106">
        <v>1</v>
      </c>
      <c r="E48" s="106">
        <f t="shared" si="4"/>
        <v>1103</v>
      </c>
      <c r="F48" s="46">
        <f ca="1">OFFSET(card!$A$1,MATCH(G48,card!B:B,0)-1,0)</f>
        <v>1002001</v>
      </c>
      <c r="G48" s="91" t="s">
        <v>471</v>
      </c>
      <c r="I48" s="91">
        <f ca="1">OFFSET(card!$J$1,MATCH(G48,card!B:B,0)-1,0)</f>
        <v>1</v>
      </c>
      <c r="J48" s="91">
        <f ca="1">OFFSET(card!$K$1,MATCH(G48,card!B:B,0)-1,0)</f>
        <v>1</v>
      </c>
    </row>
    <row r="49" ht="15" spans="1:10">
      <c r="A49" s="276">
        <f t="shared" si="2"/>
        <v>110302</v>
      </c>
      <c r="B49" s="277">
        <v>2</v>
      </c>
      <c r="C49" s="278">
        <v>1</v>
      </c>
      <c r="D49" s="106">
        <v>1</v>
      </c>
      <c r="E49" s="106">
        <f t="shared" si="4"/>
        <v>1103</v>
      </c>
      <c r="F49" s="46">
        <f ca="1">OFFSET(card!$A$1,MATCH(G49,card!B:B,0)-1,0)</f>
        <v>1003001</v>
      </c>
      <c r="G49" s="91" t="s">
        <v>589</v>
      </c>
      <c r="I49" s="91">
        <f ca="1">OFFSET(card!$J$1,MATCH(G49,card!B:B,0)-1,0)</f>
        <v>1</v>
      </c>
      <c r="J49" s="91">
        <f ca="1">OFFSET(card!$K$1,MATCH(G49,card!B:B,0)-1,0)</f>
        <v>1</v>
      </c>
    </row>
    <row r="50" ht="15" spans="1:10">
      <c r="A50" s="276">
        <f t="shared" si="2"/>
        <v>110303</v>
      </c>
      <c r="B50" s="277">
        <v>3</v>
      </c>
      <c r="C50" s="278">
        <v>1</v>
      </c>
      <c r="D50" s="106">
        <v>1</v>
      </c>
      <c r="E50" s="106">
        <f t="shared" si="4"/>
        <v>1103</v>
      </c>
      <c r="F50" s="46">
        <f ca="1">OFFSET(card!$A$1,MATCH(G50,card!B:B,0)-1,0)</f>
        <v>1004001</v>
      </c>
      <c r="G50" s="91" t="s">
        <v>500</v>
      </c>
      <c r="I50" s="91">
        <f ca="1">OFFSET(card!$J$1,MATCH(G50,card!B:B,0)-1,0)</f>
        <v>1</v>
      </c>
      <c r="J50" s="91">
        <f ca="1">OFFSET(card!$K$1,MATCH(G50,card!B:B,0)-1,0)</f>
        <v>2</v>
      </c>
    </row>
    <row r="51" ht="15" spans="1:10">
      <c r="A51" s="276">
        <f t="shared" si="2"/>
        <v>110304</v>
      </c>
      <c r="B51" s="277">
        <v>4</v>
      </c>
      <c r="C51" s="278">
        <v>1</v>
      </c>
      <c r="D51" s="106">
        <v>1</v>
      </c>
      <c r="E51" s="106">
        <f t="shared" si="4"/>
        <v>1103</v>
      </c>
      <c r="F51" s="46">
        <f ca="1">OFFSET(card!$A$1,MATCH(G51,card!B:B,0)-1,0)</f>
        <v>1001001</v>
      </c>
      <c r="G51" s="91" t="s">
        <v>508</v>
      </c>
      <c r="I51" s="91">
        <f ca="1">OFFSET(card!$J$1,MATCH(G51,card!B:B,0)-1,0)</f>
        <v>1</v>
      </c>
      <c r="J51" s="91">
        <f ca="1">OFFSET(card!$K$1,MATCH(G51,card!B:B,0)-1,0)</f>
        <v>1</v>
      </c>
    </row>
    <row r="52" ht="15" spans="1:10">
      <c r="A52" s="276">
        <f t="shared" si="2"/>
        <v>110305</v>
      </c>
      <c r="B52" s="277">
        <v>5</v>
      </c>
      <c r="C52" s="278">
        <v>1</v>
      </c>
      <c r="D52" s="106">
        <v>1</v>
      </c>
      <c r="E52" s="106">
        <f t="shared" si="4"/>
        <v>1103</v>
      </c>
      <c r="F52" s="46">
        <f ca="1">OFFSET(card!$A$1,MATCH(G52,card!B:B,0)-1,0)</f>
        <v>1002001</v>
      </c>
      <c r="G52" s="91" t="s">
        <v>471</v>
      </c>
      <c r="I52" s="91">
        <f ca="1">OFFSET(card!$J$1,MATCH(G52,card!B:B,0)-1,0)</f>
        <v>1</v>
      </c>
      <c r="J52" s="91">
        <f ca="1">OFFSET(card!$K$1,MATCH(G52,card!B:B,0)-1,0)</f>
        <v>1</v>
      </c>
    </row>
    <row r="53" ht="15" spans="1:10">
      <c r="A53" s="276">
        <f t="shared" si="2"/>
        <v>110306</v>
      </c>
      <c r="B53" s="277">
        <v>6</v>
      </c>
      <c r="C53" s="278">
        <v>1</v>
      </c>
      <c r="D53" s="106">
        <v>1</v>
      </c>
      <c r="E53" s="106">
        <f t="shared" si="4"/>
        <v>1103</v>
      </c>
      <c r="F53" s="46">
        <f ca="1">OFFSET(card!$A$1,MATCH(G53,card!B:B,0)-1,0)</f>
        <v>1003001</v>
      </c>
      <c r="G53" s="91" t="s">
        <v>589</v>
      </c>
      <c r="I53" s="91">
        <f ca="1">OFFSET(card!$J$1,MATCH(G53,card!B:B,0)-1,0)</f>
        <v>1</v>
      </c>
      <c r="J53" s="91">
        <f ca="1">OFFSET(card!$K$1,MATCH(G53,card!B:B,0)-1,0)</f>
        <v>1</v>
      </c>
    </row>
    <row r="54" ht="15" spans="1:10">
      <c r="A54" s="276">
        <f t="shared" si="2"/>
        <v>110307</v>
      </c>
      <c r="B54" s="277">
        <v>7</v>
      </c>
      <c r="C54" s="278">
        <v>1</v>
      </c>
      <c r="D54" s="106">
        <v>1</v>
      </c>
      <c r="E54" s="106">
        <f t="shared" si="4"/>
        <v>1103</v>
      </c>
      <c r="F54" s="46">
        <f ca="1">OFFSET(card!$A$1,MATCH(G54,card!B:B,0)-1,0)</f>
        <v>1004001</v>
      </c>
      <c r="G54" s="91" t="s">
        <v>500</v>
      </c>
      <c r="I54" s="91">
        <f ca="1">OFFSET(card!$J$1,MATCH(G54,card!B:B,0)-1,0)</f>
        <v>1</v>
      </c>
      <c r="J54" s="91">
        <f ca="1">OFFSET(card!$K$1,MATCH(G54,card!B:B,0)-1,0)</f>
        <v>2</v>
      </c>
    </row>
    <row r="55" ht="15" spans="1:10">
      <c r="A55" s="276">
        <f t="shared" si="2"/>
        <v>110308</v>
      </c>
      <c r="B55" s="277">
        <v>8</v>
      </c>
      <c r="C55" s="278">
        <v>1</v>
      </c>
      <c r="D55" s="106">
        <v>1</v>
      </c>
      <c r="E55" s="106">
        <f t="shared" si="4"/>
        <v>1103</v>
      </c>
      <c r="F55" s="46">
        <f ca="1">OFFSET(card!$A$1,MATCH(G55,card!B:B,0)-1,0)</f>
        <v>1001001</v>
      </c>
      <c r="G55" s="91" t="s">
        <v>508</v>
      </c>
      <c r="I55" s="91">
        <f ca="1">OFFSET(card!$J$1,MATCH(G55,card!B:B,0)-1,0)</f>
        <v>1</v>
      </c>
      <c r="J55" s="91">
        <f ca="1">OFFSET(card!$K$1,MATCH(G55,card!B:B,0)-1,0)</f>
        <v>1</v>
      </c>
    </row>
    <row r="56" ht="15" spans="1:10">
      <c r="A56" s="276">
        <f t="shared" si="2"/>
        <v>110309</v>
      </c>
      <c r="B56" s="277">
        <v>9</v>
      </c>
      <c r="C56" s="278">
        <v>1</v>
      </c>
      <c r="D56" s="106">
        <v>1</v>
      </c>
      <c r="E56" s="106">
        <f t="shared" si="4"/>
        <v>1103</v>
      </c>
      <c r="F56" s="46">
        <f ca="1">OFFSET(card!$A$1,MATCH(G56,card!B:B,0)-1,0)</f>
        <v>1002001</v>
      </c>
      <c r="G56" s="91" t="s">
        <v>471</v>
      </c>
      <c r="I56" s="91">
        <f ca="1">OFFSET(card!$J$1,MATCH(G56,card!B:B,0)-1,0)</f>
        <v>1</v>
      </c>
      <c r="J56" s="91">
        <f ca="1">OFFSET(card!$K$1,MATCH(G56,card!B:B,0)-1,0)</f>
        <v>1</v>
      </c>
    </row>
    <row r="57" ht="15" spans="1:10">
      <c r="A57" s="276">
        <f t="shared" si="2"/>
        <v>110310</v>
      </c>
      <c r="B57" s="277">
        <v>10</v>
      </c>
      <c r="C57" s="278">
        <v>1</v>
      </c>
      <c r="D57" s="106">
        <v>1</v>
      </c>
      <c r="E57" s="106">
        <f t="shared" si="4"/>
        <v>1103</v>
      </c>
      <c r="F57" s="46">
        <f ca="1">OFFSET(card!$A$1,MATCH(G57,card!B:B,0)-1,0)</f>
        <v>1003001</v>
      </c>
      <c r="G57" s="91" t="s">
        <v>589</v>
      </c>
      <c r="I57" s="91">
        <f ca="1">OFFSET(card!$J$1,MATCH(G57,card!B:B,0)-1,0)</f>
        <v>1</v>
      </c>
      <c r="J57" s="91">
        <f ca="1">OFFSET(card!$K$1,MATCH(G57,card!B:B,0)-1,0)</f>
        <v>1</v>
      </c>
    </row>
    <row r="58" ht="15" spans="1:10">
      <c r="A58" s="276">
        <f t="shared" si="2"/>
        <v>110401</v>
      </c>
      <c r="B58" s="277">
        <v>1</v>
      </c>
      <c r="C58" s="278">
        <v>1</v>
      </c>
      <c r="D58" s="106">
        <v>1</v>
      </c>
      <c r="E58" s="106">
        <f t="shared" si="4"/>
        <v>1104</v>
      </c>
      <c r="F58" s="46">
        <f ca="1">OFFSET(card!$A$1,MATCH(G58,card!B:B,0)-1,0)</f>
        <v>1002001</v>
      </c>
      <c r="G58" s="91" t="s">
        <v>471</v>
      </c>
      <c r="I58" s="91">
        <f ca="1">OFFSET(card!$J$1,MATCH(G58,card!B:B,0)-1,0)</f>
        <v>1</v>
      </c>
      <c r="J58" s="91">
        <f ca="1">OFFSET(card!$K$1,MATCH(G58,card!B:B,0)-1,0)</f>
        <v>1</v>
      </c>
    </row>
    <row r="59" ht="15" spans="1:10">
      <c r="A59" s="276">
        <f t="shared" si="2"/>
        <v>110402</v>
      </c>
      <c r="B59" s="277">
        <v>2</v>
      </c>
      <c r="C59" s="278">
        <v>1</v>
      </c>
      <c r="D59" s="106">
        <v>1</v>
      </c>
      <c r="E59" s="106">
        <f t="shared" si="4"/>
        <v>1104</v>
      </c>
      <c r="F59" s="46">
        <f ca="1">OFFSET(card!$A$1,MATCH(G59,card!B:B,0)-1,0)</f>
        <v>1003001</v>
      </c>
      <c r="G59" s="91" t="s">
        <v>589</v>
      </c>
      <c r="I59" s="91">
        <f ca="1">OFFSET(card!$J$1,MATCH(G59,card!B:B,0)-1,0)</f>
        <v>1</v>
      </c>
      <c r="J59" s="91">
        <f ca="1">OFFSET(card!$K$1,MATCH(G59,card!B:B,0)-1,0)</f>
        <v>1</v>
      </c>
    </row>
    <row r="60" ht="15" spans="1:10">
      <c r="A60" s="276">
        <f t="shared" si="2"/>
        <v>110403</v>
      </c>
      <c r="B60" s="277">
        <v>3</v>
      </c>
      <c r="C60" s="278">
        <v>1</v>
      </c>
      <c r="D60" s="106">
        <v>1</v>
      </c>
      <c r="E60" s="106">
        <f t="shared" si="4"/>
        <v>1104</v>
      </c>
      <c r="F60" s="46">
        <f ca="1">OFFSET(card!$A$1,MATCH(G60,card!B:B,0)-1,0)</f>
        <v>1004001</v>
      </c>
      <c r="G60" s="91" t="s">
        <v>500</v>
      </c>
      <c r="I60" s="91">
        <f ca="1">OFFSET(card!$J$1,MATCH(G60,card!B:B,0)-1,0)</f>
        <v>1</v>
      </c>
      <c r="J60" s="91">
        <f ca="1">OFFSET(card!$K$1,MATCH(G60,card!B:B,0)-1,0)</f>
        <v>2</v>
      </c>
    </row>
    <row r="61" ht="15" spans="1:10">
      <c r="A61" s="276">
        <f t="shared" ref="A61:A92" si="5">E61*100+B61</f>
        <v>110404</v>
      </c>
      <c r="B61" s="277">
        <v>4</v>
      </c>
      <c r="C61" s="278">
        <v>1</v>
      </c>
      <c r="D61" s="106">
        <v>1</v>
      </c>
      <c r="E61" s="106">
        <f t="shared" si="4"/>
        <v>1104</v>
      </c>
      <c r="F61" s="46">
        <f ca="1">OFFSET(card!$A$1,MATCH(G61,card!B:B,0)-1,0)</f>
        <v>1005001</v>
      </c>
      <c r="G61" s="91" t="s">
        <v>516</v>
      </c>
      <c r="I61" s="91">
        <f ca="1">OFFSET(card!$J$1,MATCH(G61,card!B:B,0)-1,0)</f>
        <v>1</v>
      </c>
      <c r="J61" s="91">
        <f ca="1">OFFSET(card!$K$1,MATCH(G61,card!B:B,0)-1,0)</f>
        <v>2</v>
      </c>
    </row>
    <row r="62" ht="15" spans="1:10">
      <c r="A62" s="276">
        <f t="shared" si="5"/>
        <v>110405</v>
      </c>
      <c r="B62" s="277">
        <v>5</v>
      </c>
      <c r="C62" s="278">
        <v>1</v>
      </c>
      <c r="D62" s="106">
        <v>1</v>
      </c>
      <c r="E62" s="106">
        <f t="shared" si="4"/>
        <v>1104</v>
      </c>
      <c r="F62" s="46">
        <f ca="1">OFFSET(card!$A$1,MATCH(G62,card!B:B,0)-1,0)</f>
        <v>1002001</v>
      </c>
      <c r="G62" s="91" t="s">
        <v>471</v>
      </c>
      <c r="I62" s="91">
        <f ca="1">OFFSET(card!$J$1,MATCH(G62,card!B:B,0)-1,0)</f>
        <v>1</v>
      </c>
      <c r="J62" s="91">
        <f ca="1">OFFSET(card!$K$1,MATCH(G62,card!B:B,0)-1,0)</f>
        <v>1</v>
      </c>
    </row>
    <row r="63" ht="15" spans="1:10">
      <c r="A63" s="276">
        <f t="shared" si="5"/>
        <v>110406</v>
      </c>
      <c r="B63" s="277">
        <v>6</v>
      </c>
      <c r="C63" s="278">
        <v>1</v>
      </c>
      <c r="D63" s="106">
        <v>1</v>
      </c>
      <c r="E63" s="106">
        <f t="shared" si="4"/>
        <v>1104</v>
      </c>
      <c r="F63" s="46">
        <f ca="1">OFFSET(card!$A$1,MATCH(G63,card!B:B,0)-1,0)</f>
        <v>1003001</v>
      </c>
      <c r="G63" s="91" t="s">
        <v>589</v>
      </c>
      <c r="I63" s="91">
        <f ca="1">OFFSET(card!$J$1,MATCH(G63,card!B:B,0)-1,0)</f>
        <v>1</v>
      </c>
      <c r="J63" s="91">
        <f ca="1">OFFSET(card!$K$1,MATCH(G63,card!B:B,0)-1,0)</f>
        <v>1</v>
      </c>
    </row>
    <row r="64" ht="15" spans="1:10">
      <c r="A64" s="276">
        <f t="shared" si="5"/>
        <v>110407</v>
      </c>
      <c r="B64" s="277">
        <v>7</v>
      </c>
      <c r="C64" s="278">
        <v>1</v>
      </c>
      <c r="D64" s="106">
        <v>1</v>
      </c>
      <c r="E64" s="106">
        <f t="shared" si="4"/>
        <v>1104</v>
      </c>
      <c r="F64" s="46">
        <f ca="1">OFFSET(card!$A$1,MATCH(G64,card!B:B,0)-1,0)</f>
        <v>1004001</v>
      </c>
      <c r="G64" s="91" t="s">
        <v>500</v>
      </c>
      <c r="I64" s="91">
        <f ca="1">OFFSET(card!$J$1,MATCH(G64,card!B:B,0)-1,0)</f>
        <v>1</v>
      </c>
      <c r="J64" s="91">
        <f ca="1">OFFSET(card!$K$1,MATCH(G64,card!B:B,0)-1,0)</f>
        <v>2</v>
      </c>
    </row>
    <row r="65" ht="15" spans="1:10">
      <c r="A65" s="276">
        <f t="shared" si="5"/>
        <v>110408</v>
      </c>
      <c r="B65" s="277">
        <v>8</v>
      </c>
      <c r="C65" s="278">
        <v>1</v>
      </c>
      <c r="D65" s="106">
        <v>1</v>
      </c>
      <c r="E65" s="106">
        <f t="shared" si="4"/>
        <v>1104</v>
      </c>
      <c r="F65" s="46">
        <f ca="1">OFFSET(card!$A$1,MATCH(G65,card!B:B,0)-1,0)</f>
        <v>1005001</v>
      </c>
      <c r="G65" s="91" t="s">
        <v>516</v>
      </c>
      <c r="I65" s="91">
        <f ca="1">OFFSET(card!$J$1,MATCH(G65,card!B:B,0)-1,0)</f>
        <v>1</v>
      </c>
      <c r="J65" s="91">
        <f ca="1">OFFSET(card!$K$1,MATCH(G65,card!B:B,0)-1,0)</f>
        <v>2</v>
      </c>
    </row>
    <row r="66" ht="15" spans="1:10">
      <c r="A66" s="276">
        <f t="shared" si="5"/>
        <v>110409</v>
      </c>
      <c r="B66" s="277">
        <v>9</v>
      </c>
      <c r="C66" s="278">
        <v>1</v>
      </c>
      <c r="D66" s="106">
        <v>1</v>
      </c>
      <c r="E66" s="106">
        <f t="shared" si="4"/>
        <v>1104</v>
      </c>
      <c r="F66" s="46">
        <f ca="1">OFFSET(card!$A$1,MATCH(G66,card!B:B,0)-1,0)</f>
        <v>1002001</v>
      </c>
      <c r="G66" s="91" t="s">
        <v>471</v>
      </c>
      <c r="I66" s="91">
        <f ca="1">OFFSET(card!$J$1,MATCH(G66,card!B:B,0)-1,0)</f>
        <v>1</v>
      </c>
      <c r="J66" s="91">
        <f ca="1">OFFSET(card!$K$1,MATCH(G66,card!B:B,0)-1,0)</f>
        <v>1</v>
      </c>
    </row>
    <row r="67" ht="15" spans="1:10">
      <c r="A67" s="276">
        <f t="shared" si="5"/>
        <v>110410</v>
      </c>
      <c r="B67" s="277">
        <v>10</v>
      </c>
      <c r="C67" s="278">
        <v>1</v>
      </c>
      <c r="D67" s="106">
        <v>1</v>
      </c>
      <c r="E67" s="106">
        <f t="shared" si="4"/>
        <v>1104</v>
      </c>
      <c r="F67" s="46">
        <f ca="1">OFFSET(card!$A$1,MATCH(G67,card!B:B,0)-1,0)</f>
        <v>1003001</v>
      </c>
      <c r="G67" s="91" t="s">
        <v>589</v>
      </c>
      <c r="I67" s="91">
        <f ca="1">OFFSET(card!$J$1,MATCH(G67,card!B:B,0)-1,0)</f>
        <v>1</v>
      </c>
      <c r="J67" s="91">
        <f ca="1">OFFSET(card!$K$1,MATCH(G67,card!B:B,0)-1,0)</f>
        <v>1</v>
      </c>
    </row>
    <row r="68" ht="15" spans="1:10">
      <c r="A68" s="276">
        <f t="shared" si="5"/>
        <v>110501</v>
      </c>
      <c r="B68" s="277">
        <v>1</v>
      </c>
      <c r="C68" s="278">
        <v>1</v>
      </c>
      <c r="D68" s="106">
        <v>1</v>
      </c>
      <c r="E68" s="106">
        <f t="shared" si="4"/>
        <v>1105</v>
      </c>
      <c r="F68" s="46">
        <f ca="1">OFFSET(card!$A$1,MATCH(G68,card!B:B,0)-1,0)</f>
        <v>1002001</v>
      </c>
      <c r="G68" s="91" t="s">
        <v>471</v>
      </c>
      <c r="I68" s="91">
        <f ca="1">OFFSET(card!$J$1,MATCH(G68,card!B:B,0)-1,0)</f>
        <v>1</v>
      </c>
      <c r="J68" s="91">
        <f ca="1">OFFSET(card!$K$1,MATCH(G68,card!B:B,0)-1,0)</f>
        <v>1</v>
      </c>
    </row>
    <row r="69" ht="15" spans="1:10">
      <c r="A69" s="276">
        <f t="shared" si="5"/>
        <v>110502</v>
      </c>
      <c r="B69" s="277">
        <v>2</v>
      </c>
      <c r="C69" s="278">
        <v>1</v>
      </c>
      <c r="D69" s="106">
        <v>1</v>
      </c>
      <c r="E69" s="106">
        <f t="shared" si="4"/>
        <v>1105</v>
      </c>
      <c r="F69" s="46">
        <f ca="1">OFFSET(card!$A$1,MATCH(G69,card!B:B,0)-1,0)</f>
        <v>1003001</v>
      </c>
      <c r="G69" s="91" t="s">
        <v>589</v>
      </c>
      <c r="I69" s="91">
        <f ca="1">OFFSET(card!$J$1,MATCH(G69,card!B:B,0)-1,0)</f>
        <v>1</v>
      </c>
      <c r="J69" s="91">
        <f ca="1">OFFSET(card!$K$1,MATCH(G69,card!B:B,0)-1,0)</f>
        <v>1</v>
      </c>
    </row>
    <row r="70" ht="15" spans="1:10">
      <c r="A70" s="276">
        <f t="shared" si="5"/>
        <v>110503</v>
      </c>
      <c r="B70" s="277">
        <v>3</v>
      </c>
      <c r="C70" s="278">
        <v>1</v>
      </c>
      <c r="D70" s="106">
        <v>1</v>
      </c>
      <c r="E70" s="106">
        <f t="shared" si="4"/>
        <v>1105</v>
      </c>
      <c r="F70" s="46">
        <f ca="1">OFFSET(card!$A$1,MATCH(G70,card!B:B,0)-1,0)</f>
        <v>1005001</v>
      </c>
      <c r="G70" s="91" t="s">
        <v>516</v>
      </c>
      <c r="I70" s="91">
        <f ca="1">OFFSET(card!$J$1,MATCH(G70,card!B:B,0)-1,0)</f>
        <v>1</v>
      </c>
      <c r="J70" s="91">
        <f ca="1">OFFSET(card!$K$1,MATCH(G70,card!B:B,0)-1,0)</f>
        <v>2</v>
      </c>
    </row>
    <row r="71" ht="15" spans="1:10">
      <c r="A71" s="276">
        <f t="shared" si="5"/>
        <v>110504</v>
      </c>
      <c r="B71" s="277">
        <v>4</v>
      </c>
      <c r="C71" s="278">
        <v>1</v>
      </c>
      <c r="D71" s="106">
        <v>1</v>
      </c>
      <c r="E71" s="106">
        <f t="shared" si="4"/>
        <v>1105</v>
      </c>
      <c r="F71" s="46">
        <f ca="1">OFFSET(card!$A$1,MATCH(G71,card!B:B,0)-1,0)</f>
        <v>1006001</v>
      </c>
      <c r="G71" s="91" t="s">
        <v>496</v>
      </c>
      <c r="I71" s="91">
        <f ca="1">OFFSET(card!$J$1,MATCH(G71,card!B:B,0)-1,0)</f>
        <v>1</v>
      </c>
      <c r="J71" s="91">
        <f ca="1">OFFSET(card!$K$1,MATCH(G71,card!B:B,0)-1,0)</f>
        <v>1</v>
      </c>
    </row>
    <row r="72" ht="15" spans="1:10">
      <c r="A72" s="276">
        <f t="shared" si="5"/>
        <v>110505</v>
      </c>
      <c r="B72" s="277">
        <v>5</v>
      </c>
      <c r="C72" s="278">
        <v>1</v>
      </c>
      <c r="D72" s="106">
        <v>1</v>
      </c>
      <c r="E72" s="106">
        <f t="shared" si="4"/>
        <v>1105</v>
      </c>
      <c r="F72" s="46">
        <f ca="1">OFFSET(card!$A$1,MATCH(G72,card!B:B,0)-1,0)</f>
        <v>1002001</v>
      </c>
      <c r="G72" s="91" t="s">
        <v>471</v>
      </c>
      <c r="I72" s="91">
        <f ca="1">OFFSET(card!$J$1,MATCH(G72,card!B:B,0)-1,0)</f>
        <v>1</v>
      </c>
      <c r="J72" s="91">
        <f ca="1">OFFSET(card!$K$1,MATCH(G72,card!B:B,0)-1,0)</f>
        <v>1</v>
      </c>
    </row>
    <row r="73" ht="15" spans="1:10">
      <c r="A73" s="276">
        <f t="shared" si="5"/>
        <v>110506</v>
      </c>
      <c r="B73" s="277">
        <v>6</v>
      </c>
      <c r="C73" s="278">
        <v>1</v>
      </c>
      <c r="D73" s="106">
        <v>1</v>
      </c>
      <c r="E73" s="106">
        <f t="shared" si="4"/>
        <v>1105</v>
      </c>
      <c r="F73" s="46">
        <f ca="1">OFFSET(card!$A$1,MATCH(G73,card!B:B,0)-1,0)</f>
        <v>1003001</v>
      </c>
      <c r="G73" s="91" t="s">
        <v>589</v>
      </c>
      <c r="I73" s="91">
        <f ca="1">OFFSET(card!$J$1,MATCH(G73,card!B:B,0)-1,0)</f>
        <v>1</v>
      </c>
      <c r="J73" s="91">
        <f ca="1">OFFSET(card!$K$1,MATCH(G73,card!B:B,0)-1,0)</f>
        <v>1</v>
      </c>
    </row>
    <row r="74" ht="15" spans="1:10">
      <c r="A74" s="276">
        <f t="shared" si="5"/>
        <v>110507</v>
      </c>
      <c r="B74" s="277">
        <v>7</v>
      </c>
      <c r="C74" s="278">
        <v>1</v>
      </c>
      <c r="D74" s="106">
        <v>1</v>
      </c>
      <c r="E74" s="106">
        <f t="shared" si="4"/>
        <v>1105</v>
      </c>
      <c r="F74" s="46">
        <f ca="1">OFFSET(card!$A$1,MATCH(G74,card!B:B,0)-1,0)</f>
        <v>1005001</v>
      </c>
      <c r="G74" s="91" t="s">
        <v>516</v>
      </c>
      <c r="I74" s="91">
        <f ca="1">OFFSET(card!$J$1,MATCH(G74,card!B:B,0)-1,0)</f>
        <v>1</v>
      </c>
      <c r="J74" s="91">
        <f ca="1">OFFSET(card!$K$1,MATCH(G74,card!B:B,0)-1,0)</f>
        <v>2</v>
      </c>
    </row>
    <row r="75" ht="15" spans="1:10">
      <c r="A75" s="276">
        <f t="shared" si="5"/>
        <v>110508</v>
      </c>
      <c r="B75" s="277">
        <v>8</v>
      </c>
      <c r="C75" s="278">
        <v>1</v>
      </c>
      <c r="D75" s="106">
        <v>1</v>
      </c>
      <c r="E75" s="106">
        <f t="shared" si="4"/>
        <v>1105</v>
      </c>
      <c r="F75" s="46">
        <f ca="1">OFFSET(card!$A$1,MATCH(G75,card!B:B,0)-1,0)</f>
        <v>1006001</v>
      </c>
      <c r="G75" s="91" t="s">
        <v>496</v>
      </c>
      <c r="I75" s="91">
        <f ca="1">OFFSET(card!$J$1,MATCH(G75,card!B:B,0)-1,0)</f>
        <v>1</v>
      </c>
      <c r="J75" s="91">
        <f ca="1">OFFSET(card!$K$1,MATCH(G75,card!B:B,0)-1,0)</f>
        <v>1</v>
      </c>
    </row>
    <row r="76" ht="15" spans="1:10">
      <c r="A76" s="276">
        <f t="shared" si="5"/>
        <v>110509</v>
      </c>
      <c r="B76" s="277">
        <v>9</v>
      </c>
      <c r="C76" s="278">
        <v>1</v>
      </c>
      <c r="D76" s="106">
        <v>1</v>
      </c>
      <c r="E76" s="106">
        <f t="shared" si="4"/>
        <v>1105</v>
      </c>
      <c r="F76" s="46">
        <f ca="1">OFFSET(card!$A$1,MATCH(G76,card!B:B,0)-1,0)</f>
        <v>1002001</v>
      </c>
      <c r="G76" s="91" t="s">
        <v>471</v>
      </c>
      <c r="I76" s="91">
        <f ca="1">OFFSET(card!$J$1,MATCH(G76,card!B:B,0)-1,0)</f>
        <v>1</v>
      </c>
      <c r="J76" s="91">
        <f ca="1">OFFSET(card!$K$1,MATCH(G76,card!B:B,0)-1,0)</f>
        <v>1</v>
      </c>
    </row>
    <row r="77" ht="15" spans="1:10">
      <c r="A77" s="276">
        <f t="shared" si="5"/>
        <v>110510</v>
      </c>
      <c r="B77" s="277">
        <v>10</v>
      </c>
      <c r="C77" s="278">
        <v>1</v>
      </c>
      <c r="D77" s="106">
        <v>1</v>
      </c>
      <c r="E77" s="106">
        <f t="shared" si="4"/>
        <v>1105</v>
      </c>
      <c r="F77" s="46">
        <f ca="1">OFFSET(card!$A$1,MATCH(G77,card!B:B,0)-1,0)</f>
        <v>1003001</v>
      </c>
      <c r="G77" s="91" t="s">
        <v>589</v>
      </c>
      <c r="I77" s="91">
        <f ca="1">OFFSET(card!$J$1,MATCH(G77,card!B:B,0)-1,0)</f>
        <v>1</v>
      </c>
      <c r="J77" s="91">
        <f ca="1">OFFSET(card!$K$1,MATCH(G77,card!B:B,0)-1,0)</f>
        <v>1</v>
      </c>
    </row>
    <row r="78" ht="15" spans="1:10">
      <c r="A78" s="276">
        <f t="shared" si="5"/>
        <v>110601</v>
      </c>
      <c r="B78" s="277">
        <v>1</v>
      </c>
      <c r="C78" s="278">
        <v>1</v>
      </c>
      <c r="D78" s="106">
        <v>1</v>
      </c>
      <c r="E78" s="106">
        <f t="shared" si="4"/>
        <v>1106</v>
      </c>
      <c r="F78" s="46">
        <f ca="1">OFFSET(card!$A$1,MATCH(G78,card!B:B,0)-1,0)</f>
        <v>1001001</v>
      </c>
      <c r="G78" s="91" t="s">
        <v>508</v>
      </c>
      <c r="I78" s="91">
        <f ca="1">OFFSET(card!$J$1,MATCH(G78,card!B:B,0)-1,0)</f>
        <v>1</v>
      </c>
      <c r="J78" s="91">
        <f ca="1">OFFSET(card!$K$1,MATCH(G78,card!B:B,0)-1,0)</f>
        <v>1</v>
      </c>
    </row>
    <row r="79" ht="15" spans="1:10">
      <c r="A79" s="276">
        <f t="shared" si="5"/>
        <v>110602</v>
      </c>
      <c r="B79" s="277">
        <v>2</v>
      </c>
      <c r="C79" s="278">
        <v>1</v>
      </c>
      <c r="D79" s="106">
        <v>1</v>
      </c>
      <c r="E79" s="106">
        <f t="shared" si="4"/>
        <v>1106</v>
      </c>
      <c r="F79" s="46">
        <f ca="1">OFFSET(card!$A$1,MATCH(G79,card!B:B,0)-1,0)</f>
        <v>1003001</v>
      </c>
      <c r="G79" s="91" t="s">
        <v>589</v>
      </c>
      <c r="I79" s="91">
        <f ca="1">OFFSET(card!$J$1,MATCH(G79,card!B:B,0)-1,0)</f>
        <v>1</v>
      </c>
      <c r="J79" s="91">
        <f ca="1">OFFSET(card!$K$1,MATCH(G79,card!B:B,0)-1,0)</f>
        <v>1</v>
      </c>
    </row>
    <row r="80" ht="15" spans="1:10">
      <c r="A80" s="276">
        <f t="shared" si="5"/>
        <v>110603</v>
      </c>
      <c r="B80" s="277">
        <v>3</v>
      </c>
      <c r="C80" s="278">
        <v>1</v>
      </c>
      <c r="D80" s="106">
        <v>1</v>
      </c>
      <c r="E80" s="106">
        <f t="shared" si="4"/>
        <v>1106</v>
      </c>
      <c r="F80" s="46">
        <f ca="1">OFFSET(card!$A$1,MATCH(G80,card!B:B,0)-1,0)</f>
        <v>1006001</v>
      </c>
      <c r="G80" s="91" t="s">
        <v>496</v>
      </c>
      <c r="I80" s="91">
        <f ca="1">OFFSET(card!$J$1,MATCH(G80,card!B:B,0)-1,0)</f>
        <v>1</v>
      </c>
      <c r="J80" s="91">
        <f ca="1">OFFSET(card!$K$1,MATCH(G80,card!B:B,0)-1,0)</f>
        <v>1</v>
      </c>
    </row>
    <row r="81" ht="15" spans="1:10">
      <c r="A81" s="276">
        <f t="shared" si="5"/>
        <v>110604</v>
      </c>
      <c r="B81" s="277">
        <v>4</v>
      </c>
      <c r="C81" s="278">
        <v>1</v>
      </c>
      <c r="D81" s="106">
        <v>1</v>
      </c>
      <c r="E81" s="106">
        <f t="shared" si="4"/>
        <v>1106</v>
      </c>
      <c r="F81" s="46">
        <f ca="1">OFFSET(card!$A$1,MATCH(G81,card!B:B,0)-1,0)</f>
        <v>1007001</v>
      </c>
      <c r="G81" s="91" t="s">
        <v>413</v>
      </c>
      <c r="I81" s="91">
        <f ca="1">OFFSET(card!$J$1,MATCH(G81,card!B:B,0)-1,0)</f>
        <v>1</v>
      </c>
      <c r="J81" s="91">
        <f ca="1">OFFSET(card!$K$1,MATCH(G81,card!B:B,0)-1,0)</f>
        <v>2</v>
      </c>
    </row>
    <row r="82" ht="15" spans="1:10">
      <c r="A82" s="276">
        <f t="shared" si="5"/>
        <v>110605</v>
      </c>
      <c r="B82" s="277">
        <v>5</v>
      </c>
      <c r="C82" s="278">
        <v>1</v>
      </c>
      <c r="D82" s="106">
        <v>1</v>
      </c>
      <c r="E82" s="106">
        <f t="shared" si="4"/>
        <v>1106</v>
      </c>
      <c r="F82" s="46">
        <f ca="1">OFFSET(card!$A$1,MATCH(G82,card!B:B,0)-1,0)</f>
        <v>1001001</v>
      </c>
      <c r="G82" s="91" t="s">
        <v>508</v>
      </c>
      <c r="I82" s="91">
        <f ca="1">OFFSET(card!$J$1,MATCH(G82,card!B:B,0)-1,0)</f>
        <v>1</v>
      </c>
      <c r="J82" s="91">
        <f ca="1">OFFSET(card!$K$1,MATCH(G82,card!B:B,0)-1,0)</f>
        <v>1</v>
      </c>
    </row>
    <row r="83" ht="15" spans="1:10">
      <c r="A83" s="276">
        <f t="shared" si="5"/>
        <v>110606</v>
      </c>
      <c r="B83" s="277">
        <v>6</v>
      </c>
      <c r="C83" s="278">
        <v>1</v>
      </c>
      <c r="D83" s="106">
        <v>1</v>
      </c>
      <c r="E83" s="106">
        <f t="shared" si="4"/>
        <v>1106</v>
      </c>
      <c r="F83" s="46">
        <f ca="1">OFFSET(card!$A$1,MATCH(G83,card!B:B,0)-1,0)</f>
        <v>1003001</v>
      </c>
      <c r="G83" s="91" t="s">
        <v>589</v>
      </c>
      <c r="I83" s="91">
        <f ca="1">OFFSET(card!$J$1,MATCH(G83,card!B:B,0)-1,0)</f>
        <v>1</v>
      </c>
      <c r="J83" s="91">
        <f ca="1">OFFSET(card!$K$1,MATCH(G83,card!B:B,0)-1,0)</f>
        <v>1</v>
      </c>
    </row>
    <row r="84" ht="15" spans="1:10">
      <c r="A84" s="276">
        <f t="shared" si="5"/>
        <v>110607</v>
      </c>
      <c r="B84" s="277">
        <v>7</v>
      </c>
      <c r="C84" s="278">
        <v>1</v>
      </c>
      <c r="D84" s="106">
        <v>1</v>
      </c>
      <c r="E84" s="106">
        <f t="shared" si="4"/>
        <v>1106</v>
      </c>
      <c r="F84" s="46">
        <f ca="1">OFFSET(card!$A$1,MATCH(G84,card!B:B,0)-1,0)</f>
        <v>1006001</v>
      </c>
      <c r="G84" s="91" t="s">
        <v>496</v>
      </c>
      <c r="I84" s="91">
        <f ca="1">OFFSET(card!$J$1,MATCH(G84,card!B:B,0)-1,0)</f>
        <v>1</v>
      </c>
      <c r="J84" s="91">
        <f ca="1">OFFSET(card!$K$1,MATCH(G84,card!B:B,0)-1,0)</f>
        <v>1</v>
      </c>
    </row>
    <row r="85" ht="15" spans="1:10">
      <c r="A85" s="276">
        <f t="shared" si="5"/>
        <v>110608</v>
      </c>
      <c r="B85" s="277">
        <v>8</v>
      </c>
      <c r="C85" s="278">
        <v>1</v>
      </c>
      <c r="D85" s="106">
        <v>1</v>
      </c>
      <c r="E85" s="106">
        <f t="shared" si="4"/>
        <v>1106</v>
      </c>
      <c r="F85" s="46">
        <f ca="1">OFFSET(card!$A$1,MATCH(G85,card!B:B,0)-1,0)</f>
        <v>1007001</v>
      </c>
      <c r="G85" s="91" t="s">
        <v>413</v>
      </c>
      <c r="I85" s="91">
        <f ca="1">OFFSET(card!$J$1,MATCH(G85,card!B:B,0)-1,0)</f>
        <v>1</v>
      </c>
      <c r="J85" s="91">
        <f ca="1">OFFSET(card!$K$1,MATCH(G85,card!B:B,0)-1,0)</f>
        <v>2</v>
      </c>
    </row>
    <row r="86" ht="15" spans="1:10">
      <c r="A86" s="276">
        <f t="shared" si="5"/>
        <v>110609</v>
      </c>
      <c r="B86" s="277">
        <v>9</v>
      </c>
      <c r="C86" s="278">
        <v>1</v>
      </c>
      <c r="D86" s="106">
        <v>1</v>
      </c>
      <c r="E86" s="106">
        <f t="shared" si="4"/>
        <v>1106</v>
      </c>
      <c r="F86" s="46">
        <f ca="1">OFFSET(card!$A$1,MATCH(G86,card!B:B,0)-1,0)</f>
        <v>1001001</v>
      </c>
      <c r="G86" s="91" t="s">
        <v>508</v>
      </c>
      <c r="I86" s="91">
        <f ca="1">OFFSET(card!$J$1,MATCH(G86,card!B:B,0)-1,0)</f>
        <v>1</v>
      </c>
      <c r="J86" s="91">
        <f ca="1">OFFSET(card!$K$1,MATCH(G86,card!B:B,0)-1,0)</f>
        <v>1</v>
      </c>
    </row>
    <row r="87" ht="15" spans="1:10">
      <c r="A87" s="276">
        <f t="shared" si="5"/>
        <v>110610</v>
      </c>
      <c r="B87" s="277">
        <v>10</v>
      </c>
      <c r="C87" s="278">
        <v>1</v>
      </c>
      <c r="D87" s="106">
        <v>1</v>
      </c>
      <c r="E87" s="106">
        <f t="shared" si="4"/>
        <v>1106</v>
      </c>
      <c r="F87" s="46">
        <f ca="1">OFFSET(card!$A$1,MATCH(G87,card!B:B,0)-1,0)</f>
        <v>1003001</v>
      </c>
      <c r="G87" s="91" t="s">
        <v>589</v>
      </c>
      <c r="I87" s="91">
        <f ca="1">OFFSET(card!$J$1,MATCH(G87,card!B:B,0)-1,0)</f>
        <v>1</v>
      </c>
      <c r="J87" s="91">
        <f ca="1">OFFSET(card!$K$1,MATCH(G87,card!B:B,0)-1,0)</f>
        <v>1</v>
      </c>
    </row>
    <row r="88" ht="15" spans="1:10">
      <c r="A88" s="276">
        <f t="shared" si="5"/>
        <v>110701</v>
      </c>
      <c r="B88" s="277">
        <v>1</v>
      </c>
      <c r="C88" s="278">
        <v>1</v>
      </c>
      <c r="D88" s="106">
        <v>1</v>
      </c>
      <c r="E88" s="106">
        <f t="shared" si="4"/>
        <v>1107</v>
      </c>
      <c r="F88" s="46">
        <f ca="1">OFFSET(card!$A$1,MATCH(G88,card!B:B,0)-1,0)</f>
        <v>1001001</v>
      </c>
      <c r="G88" s="91" t="s">
        <v>508</v>
      </c>
      <c r="H88" s="91" t="s">
        <v>1491</v>
      </c>
      <c r="I88" s="91">
        <f ca="1">OFFSET(card!$J$1,MATCH(G88,card!B:B,0)-1,0)</f>
        <v>1</v>
      </c>
      <c r="J88" s="91">
        <f ca="1">OFFSET(card!$K$1,MATCH(G88,card!B:B,0)-1,0)</f>
        <v>1</v>
      </c>
    </row>
    <row r="89" ht="15" spans="1:10">
      <c r="A89" s="276">
        <f t="shared" si="5"/>
        <v>110702</v>
      </c>
      <c r="B89" s="277">
        <v>2</v>
      </c>
      <c r="C89" s="278">
        <v>1</v>
      </c>
      <c r="D89" s="106">
        <v>1</v>
      </c>
      <c r="E89" s="106">
        <f t="shared" si="4"/>
        <v>1107</v>
      </c>
      <c r="F89" s="46">
        <f ca="1">OFFSET(card!$A$1,MATCH(G89,card!B:B,0)-1,0)</f>
        <v>1003001</v>
      </c>
      <c r="G89" s="91" t="s">
        <v>589</v>
      </c>
      <c r="H89" s="91" t="s">
        <v>1491</v>
      </c>
      <c r="I89" s="91">
        <f ca="1">OFFSET(card!$J$1,MATCH(G89,card!B:B,0)-1,0)</f>
        <v>1</v>
      </c>
      <c r="J89" s="91">
        <f ca="1">OFFSET(card!$K$1,MATCH(G89,card!B:B,0)-1,0)</f>
        <v>1</v>
      </c>
    </row>
    <row r="90" ht="15" spans="1:10">
      <c r="A90" s="276">
        <f t="shared" si="5"/>
        <v>110703</v>
      </c>
      <c r="B90" s="277">
        <v>3</v>
      </c>
      <c r="C90" s="278">
        <v>1</v>
      </c>
      <c r="D90" s="106">
        <v>1</v>
      </c>
      <c r="E90" s="106">
        <f t="shared" si="4"/>
        <v>1107</v>
      </c>
      <c r="F90" s="46">
        <f ca="1">OFFSET(card!$A$1,MATCH(G90,card!B:B,0)-1,0)</f>
        <v>1006001</v>
      </c>
      <c r="G90" s="91" t="s">
        <v>496</v>
      </c>
      <c r="H90" s="91" t="s">
        <v>1491</v>
      </c>
      <c r="I90" s="91">
        <f ca="1">OFFSET(card!$J$1,MATCH(G90,card!B:B,0)-1,0)</f>
        <v>1</v>
      </c>
      <c r="J90" s="91">
        <f ca="1">OFFSET(card!$K$1,MATCH(G90,card!B:B,0)-1,0)</f>
        <v>1</v>
      </c>
    </row>
    <row r="91" ht="15" spans="1:10">
      <c r="A91" s="276">
        <f t="shared" si="5"/>
        <v>110704</v>
      </c>
      <c r="B91" s="277">
        <v>4</v>
      </c>
      <c r="C91" s="278">
        <v>1</v>
      </c>
      <c r="D91" s="106">
        <v>1</v>
      </c>
      <c r="E91" s="106">
        <f t="shared" si="4"/>
        <v>1107</v>
      </c>
      <c r="F91" s="46">
        <f ca="1">OFFSET(card!$A$1,MATCH(G91,card!B:B,0)-1,0)</f>
        <v>1008001</v>
      </c>
      <c r="G91" s="91" t="s">
        <v>447</v>
      </c>
      <c r="H91" s="91" t="s">
        <v>1491</v>
      </c>
      <c r="I91" s="91">
        <f ca="1">OFFSET(card!$J$1,MATCH(G91,card!B:B,0)-1,0)</f>
        <v>1</v>
      </c>
      <c r="J91" s="91">
        <f ca="1">OFFSET(card!$K$1,MATCH(G91,card!B:B,0)-1,0)</f>
        <v>2</v>
      </c>
    </row>
    <row r="92" ht="15" spans="1:10">
      <c r="A92" s="276">
        <f t="shared" si="5"/>
        <v>110705</v>
      </c>
      <c r="B92" s="277">
        <v>5</v>
      </c>
      <c r="C92" s="278">
        <v>1</v>
      </c>
      <c r="D92" s="106">
        <v>1</v>
      </c>
      <c r="E92" s="106">
        <f t="shared" si="4"/>
        <v>1107</v>
      </c>
      <c r="F92" s="46">
        <f ca="1">OFFSET(card!$A$1,MATCH(G92,card!B:B,0)-1,0)</f>
        <v>1001001</v>
      </c>
      <c r="G92" s="91" t="s">
        <v>508</v>
      </c>
      <c r="H92" s="91" t="s">
        <v>1491</v>
      </c>
      <c r="I92" s="91">
        <f ca="1">OFFSET(card!$J$1,MATCH(G92,card!B:B,0)-1,0)</f>
        <v>1</v>
      </c>
      <c r="J92" s="91">
        <f ca="1">OFFSET(card!$K$1,MATCH(G92,card!B:B,0)-1,0)</f>
        <v>1</v>
      </c>
    </row>
    <row r="93" ht="15" spans="1:10">
      <c r="A93" s="276">
        <f t="shared" ref="A93:A124" si="6">E93*100+B93</f>
        <v>110706</v>
      </c>
      <c r="B93" s="277">
        <v>6</v>
      </c>
      <c r="C93" s="278">
        <v>1</v>
      </c>
      <c r="D93" s="106">
        <v>1</v>
      </c>
      <c r="E93" s="106">
        <f t="shared" si="4"/>
        <v>1107</v>
      </c>
      <c r="F93" s="46">
        <f ca="1">OFFSET(card!$A$1,MATCH(G93,card!B:B,0)-1,0)</f>
        <v>1003001</v>
      </c>
      <c r="G93" s="91" t="s">
        <v>589</v>
      </c>
      <c r="H93" s="91" t="s">
        <v>1491</v>
      </c>
      <c r="I93" s="91">
        <f ca="1">OFFSET(card!$J$1,MATCH(G93,card!B:B,0)-1,0)</f>
        <v>1</v>
      </c>
      <c r="J93" s="91">
        <f ca="1">OFFSET(card!$K$1,MATCH(G93,card!B:B,0)-1,0)</f>
        <v>1</v>
      </c>
    </row>
    <row r="94" ht="15" spans="1:10">
      <c r="A94" s="276">
        <f t="shared" si="6"/>
        <v>110707</v>
      </c>
      <c r="B94" s="277">
        <v>7</v>
      </c>
      <c r="C94" s="278">
        <v>1</v>
      </c>
      <c r="D94" s="106">
        <v>1</v>
      </c>
      <c r="E94" s="106">
        <f t="shared" si="4"/>
        <v>1107</v>
      </c>
      <c r="F94" s="46">
        <f ca="1">OFFSET(card!$A$1,MATCH(G94,card!B:B,0)-1,0)</f>
        <v>1006001</v>
      </c>
      <c r="G94" s="91" t="s">
        <v>496</v>
      </c>
      <c r="H94" s="91" t="s">
        <v>1491</v>
      </c>
      <c r="I94" s="91">
        <f ca="1">OFFSET(card!$J$1,MATCH(G94,card!B:B,0)-1,0)</f>
        <v>1</v>
      </c>
      <c r="J94" s="91">
        <f ca="1">OFFSET(card!$K$1,MATCH(G94,card!B:B,0)-1,0)</f>
        <v>1</v>
      </c>
    </row>
    <row r="95" ht="15" spans="1:10">
      <c r="A95" s="276">
        <f t="shared" si="6"/>
        <v>110708</v>
      </c>
      <c r="B95" s="277">
        <v>8</v>
      </c>
      <c r="C95" s="278">
        <v>1</v>
      </c>
      <c r="D95" s="106">
        <v>1</v>
      </c>
      <c r="E95" s="106">
        <f t="shared" si="4"/>
        <v>1107</v>
      </c>
      <c r="F95" s="46">
        <f ca="1">OFFSET(card!$A$1,MATCH(G95,card!B:B,0)-1,0)</f>
        <v>1008001</v>
      </c>
      <c r="G95" s="91" t="s">
        <v>447</v>
      </c>
      <c r="H95" s="91" t="s">
        <v>1491</v>
      </c>
      <c r="I95" s="91">
        <f ca="1">OFFSET(card!$J$1,MATCH(G95,card!B:B,0)-1,0)</f>
        <v>1</v>
      </c>
      <c r="J95" s="91">
        <f ca="1">OFFSET(card!$K$1,MATCH(G95,card!B:B,0)-1,0)</f>
        <v>2</v>
      </c>
    </row>
    <row r="96" ht="15" spans="1:10">
      <c r="A96" s="276">
        <f t="shared" si="6"/>
        <v>110709</v>
      </c>
      <c r="B96" s="277">
        <v>9</v>
      </c>
      <c r="C96" s="278">
        <v>1</v>
      </c>
      <c r="D96" s="106">
        <v>1</v>
      </c>
      <c r="E96" s="106">
        <f t="shared" si="4"/>
        <v>1107</v>
      </c>
      <c r="F96" s="46">
        <f ca="1">OFFSET(card!$A$1,MATCH(G96,card!B:B,0)-1,0)</f>
        <v>1001001</v>
      </c>
      <c r="G96" s="91" t="s">
        <v>508</v>
      </c>
      <c r="H96" s="91" t="s">
        <v>1491</v>
      </c>
      <c r="I96" s="91">
        <f ca="1">OFFSET(card!$J$1,MATCH(G96,card!B:B,0)-1,0)</f>
        <v>1</v>
      </c>
      <c r="J96" s="91">
        <f ca="1">OFFSET(card!$K$1,MATCH(G96,card!B:B,0)-1,0)</f>
        <v>1</v>
      </c>
    </row>
    <row r="97" ht="15" spans="1:10">
      <c r="A97" s="276">
        <f t="shared" si="6"/>
        <v>110710</v>
      </c>
      <c r="B97" s="277">
        <v>10</v>
      </c>
      <c r="C97" s="278">
        <v>1</v>
      </c>
      <c r="D97" s="106">
        <v>1</v>
      </c>
      <c r="E97" s="106">
        <f t="shared" si="4"/>
        <v>1107</v>
      </c>
      <c r="F97" s="46">
        <f ca="1">OFFSET(card!$A$1,MATCH(G97,card!B:B,0)-1,0)</f>
        <v>1003001</v>
      </c>
      <c r="G97" s="91" t="s">
        <v>589</v>
      </c>
      <c r="H97" s="91" t="s">
        <v>1491</v>
      </c>
      <c r="I97" s="91">
        <f ca="1">OFFSET(card!$J$1,MATCH(G97,card!B:B,0)-1,0)</f>
        <v>1</v>
      </c>
      <c r="J97" s="91">
        <f ca="1">OFFSET(card!$K$1,MATCH(G97,card!B:B,0)-1,0)</f>
        <v>1</v>
      </c>
    </row>
    <row r="98" ht="15" spans="1:10">
      <c r="A98" s="276">
        <f t="shared" si="6"/>
        <v>110801</v>
      </c>
      <c r="B98" s="277">
        <v>1</v>
      </c>
      <c r="C98" s="278">
        <v>1</v>
      </c>
      <c r="D98" s="106">
        <v>1</v>
      </c>
      <c r="E98" s="106">
        <f t="shared" si="4"/>
        <v>1108</v>
      </c>
      <c r="F98" s="46">
        <f ca="1">OFFSET(card!$A$1,MATCH(G98,card!B:B,0)-1,0)</f>
        <v>1001001</v>
      </c>
      <c r="G98" s="91" t="s">
        <v>508</v>
      </c>
      <c r="H98" s="91" t="s">
        <v>1491</v>
      </c>
      <c r="I98" s="91">
        <f ca="1">OFFSET(card!$J$1,MATCH(G98,card!B:B,0)-1,0)</f>
        <v>1</v>
      </c>
      <c r="J98" s="91">
        <f ca="1">OFFSET(card!$K$1,MATCH(G98,card!B:B,0)-1,0)</f>
        <v>1</v>
      </c>
    </row>
    <row r="99" ht="15" spans="1:10">
      <c r="A99" s="276">
        <f t="shared" si="6"/>
        <v>110802</v>
      </c>
      <c r="B99" s="277">
        <v>2</v>
      </c>
      <c r="C99" s="278">
        <v>1</v>
      </c>
      <c r="D99" s="106">
        <v>1</v>
      </c>
      <c r="E99" s="106">
        <f t="shared" si="4"/>
        <v>1108</v>
      </c>
      <c r="F99" s="46">
        <f ca="1">OFFSET(card!$A$1,MATCH(G99,card!B:B,0)-1,0)</f>
        <v>1005001</v>
      </c>
      <c r="G99" s="91" t="s">
        <v>516</v>
      </c>
      <c r="H99" s="91" t="s">
        <v>1491</v>
      </c>
      <c r="I99" s="91">
        <f ca="1">OFFSET(card!$J$1,MATCH(G99,card!B:B,0)-1,0)</f>
        <v>1</v>
      </c>
      <c r="J99" s="91">
        <f ca="1">OFFSET(card!$K$1,MATCH(G99,card!B:B,0)-1,0)</f>
        <v>2</v>
      </c>
    </row>
    <row r="100" ht="15" spans="1:10">
      <c r="A100" s="276">
        <f t="shared" si="6"/>
        <v>110803</v>
      </c>
      <c r="B100" s="277">
        <v>3</v>
      </c>
      <c r="C100" s="278">
        <v>1</v>
      </c>
      <c r="D100" s="106">
        <v>1</v>
      </c>
      <c r="E100" s="106">
        <f t="shared" si="4"/>
        <v>1108</v>
      </c>
      <c r="F100" s="46">
        <f ca="1">OFFSET(card!$A$1,MATCH(G100,card!B:B,0)-1,0)</f>
        <v>1008001</v>
      </c>
      <c r="G100" s="91" t="s">
        <v>447</v>
      </c>
      <c r="H100" s="91" t="s">
        <v>1491</v>
      </c>
      <c r="I100" s="91">
        <f ca="1">OFFSET(card!$J$1,MATCH(G100,card!B:B,0)-1,0)</f>
        <v>1</v>
      </c>
      <c r="J100" s="91">
        <f ca="1">OFFSET(card!$K$1,MATCH(G100,card!B:B,0)-1,0)</f>
        <v>2</v>
      </c>
    </row>
    <row r="101" ht="15" spans="1:10">
      <c r="A101" s="276">
        <f t="shared" si="6"/>
        <v>110804</v>
      </c>
      <c r="B101" s="277">
        <v>4</v>
      </c>
      <c r="C101" s="278">
        <v>1</v>
      </c>
      <c r="D101" s="106">
        <v>1</v>
      </c>
      <c r="E101" s="106">
        <f t="shared" si="4"/>
        <v>1108</v>
      </c>
      <c r="F101" s="46">
        <f ca="1">OFFSET(card!$A$1,MATCH(G101,card!B:B,0)-1,0)</f>
        <v>1009001</v>
      </c>
      <c r="G101" s="91" t="s">
        <v>619</v>
      </c>
      <c r="H101" s="91" t="s">
        <v>1491</v>
      </c>
      <c r="I101" s="91">
        <f ca="1">OFFSET(card!$J$1,MATCH(G101,card!B:B,0)-1,0)</f>
        <v>1</v>
      </c>
      <c r="J101" s="91">
        <f ca="1">OFFSET(card!$K$1,MATCH(G101,card!B:B,0)-1,0)</f>
        <v>1</v>
      </c>
    </row>
    <row r="102" ht="15" spans="1:10">
      <c r="A102" s="276">
        <f t="shared" si="6"/>
        <v>110805</v>
      </c>
      <c r="B102" s="277">
        <v>5</v>
      </c>
      <c r="C102" s="278">
        <v>1</v>
      </c>
      <c r="D102" s="106">
        <v>1</v>
      </c>
      <c r="E102" s="106">
        <f t="shared" si="4"/>
        <v>1108</v>
      </c>
      <c r="F102" s="46">
        <f ca="1">OFFSET(card!$A$1,MATCH(G102,card!B:B,0)-1,0)</f>
        <v>1001001</v>
      </c>
      <c r="G102" s="91" t="s">
        <v>508</v>
      </c>
      <c r="H102" s="91" t="s">
        <v>1491</v>
      </c>
      <c r="I102" s="91">
        <f ca="1">OFFSET(card!$J$1,MATCH(G102,card!B:B,0)-1,0)</f>
        <v>1</v>
      </c>
      <c r="J102" s="91">
        <f ca="1">OFFSET(card!$K$1,MATCH(G102,card!B:B,0)-1,0)</f>
        <v>1</v>
      </c>
    </row>
    <row r="103" ht="15" spans="1:10">
      <c r="A103" s="276">
        <f t="shared" si="6"/>
        <v>110806</v>
      </c>
      <c r="B103" s="277">
        <v>6</v>
      </c>
      <c r="C103" s="278">
        <v>1</v>
      </c>
      <c r="D103" s="106">
        <v>1</v>
      </c>
      <c r="E103" s="106">
        <f t="shared" ref="E103:E166" si="7">E93+1</f>
        <v>1108</v>
      </c>
      <c r="F103" s="46">
        <f ca="1">OFFSET(card!$A$1,MATCH(G103,card!B:B,0)-1,0)</f>
        <v>1005001</v>
      </c>
      <c r="G103" s="91" t="s">
        <v>516</v>
      </c>
      <c r="H103" s="91" t="s">
        <v>1491</v>
      </c>
      <c r="I103" s="91">
        <f ca="1">OFFSET(card!$J$1,MATCH(G103,card!B:B,0)-1,0)</f>
        <v>1</v>
      </c>
      <c r="J103" s="91">
        <f ca="1">OFFSET(card!$K$1,MATCH(G103,card!B:B,0)-1,0)</f>
        <v>2</v>
      </c>
    </row>
    <row r="104" ht="15" spans="1:10">
      <c r="A104" s="276">
        <f t="shared" si="6"/>
        <v>110807</v>
      </c>
      <c r="B104" s="277">
        <v>7</v>
      </c>
      <c r="C104" s="278">
        <v>1</v>
      </c>
      <c r="D104" s="106">
        <v>1</v>
      </c>
      <c r="E104" s="106">
        <f t="shared" si="7"/>
        <v>1108</v>
      </c>
      <c r="F104" s="46">
        <f ca="1">OFFSET(card!$A$1,MATCH(G104,card!B:B,0)-1,0)</f>
        <v>1008001</v>
      </c>
      <c r="G104" s="91" t="s">
        <v>447</v>
      </c>
      <c r="H104" s="91" t="s">
        <v>1491</v>
      </c>
      <c r="I104" s="91">
        <f ca="1">OFFSET(card!$J$1,MATCH(G104,card!B:B,0)-1,0)</f>
        <v>1</v>
      </c>
      <c r="J104" s="91">
        <f ca="1">OFFSET(card!$K$1,MATCH(G104,card!B:B,0)-1,0)</f>
        <v>2</v>
      </c>
    </row>
    <row r="105" ht="15" spans="1:10">
      <c r="A105" s="276">
        <f t="shared" si="6"/>
        <v>110808</v>
      </c>
      <c r="B105" s="277">
        <v>8</v>
      </c>
      <c r="C105" s="278">
        <v>1</v>
      </c>
      <c r="D105" s="106">
        <v>1</v>
      </c>
      <c r="E105" s="106">
        <f t="shared" si="7"/>
        <v>1108</v>
      </c>
      <c r="F105" s="46">
        <f ca="1">OFFSET(card!$A$1,MATCH(G105,card!B:B,0)-1,0)</f>
        <v>1009001</v>
      </c>
      <c r="G105" s="91" t="s">
        <v>619</v>
      </c>
      <c r="H105" s="91" t="s">
        <v>1491</v>
      </c>
      <c r="I105" s="91">
        <f ca="1">OFFSET(card!$J$1,MATCH(G105,card!B:B,0)-1,0)</f>
        <v>1</v>
      </c>
      <c r="J105" s="91">
        <f ca="1">OFFSET(card!$K$1,MATCH(G105,card!B:B,0)-1,0)</f>
        <v>1</v>
      </c>
    </row>
    <row r="106" ht="15" spans="1:10">
      <c r="A106" s="276">
        <f t="shared" si="6"/>
        <v>110809</v>
      </c>
      <c r="B106" s="277">
        <v>9</v>
      </c>
      <c r="C106" s="278">
        <v>1</v>
      </c>
      <c r="D106" s="106">
        <v>1</v>
      </c>
      <c r="E106" s="106">
        <f t="shared" si="7"/>
        <v>1108</v>
      </c>
      <c r="F106" s="46">
        <f ca="1">OFFSET(card!$A$1,MATCH(G106,card!B:B,0)-1,0)</f>
        <v>1008001</v>
      </c>
      <c r="G106" s="91" t="s">
        <v>447</v>
      </c>
      <c r="H106" s="91" t="s">
        <v>1491</v>
      </c>
      <c r="I106" s="91">
        <f ca="1">OFFSET(card!$J$1,MATCH(G106,card!B:B,0)-1,0)</f>
        <v>1</v>
      </c>
      <c r="J106" s="91">
        <f ca="1">OFFSET(card!$K$1,MATCH(G106,card!B:B,0)-1,0)</f>
        <v>2</v>
      </c>
    </row>
    <row r="107" ht="15" spans="1:10">
      <c r="A107" s="276">
        <f t="shared" si="6"/>
        <v>110810</v>
      </c>
      <c r="B107" s="277">
        <v>10</v>
      </c>
      <c r="C107" s="278">
        <v>1</v>
      </c>
      <c r="D107" s="106">
        <v>1</v>
      </c>
      <c r="E107" s="106">
        <f t="shared" si="7"/>
        <v>1108</v>
      </c>
      <c r="F107" s="46">
        <f ca="1">OFFSET(card!$A$1,MATCH(G107,card!B:B,0)-1,0)</f>
        <v>1009001</v>
      </c>
      <c r="G107" s="91" t="s">
        <v>619</v>
      </c>
      <c r="H107" s="91" t="s">
        <v>1491</v>
      </c>
      <c r="I107" s="91">
        <f ca="1">OFFSET(card!$J$1,MATCH(G107,card!B:B,0)-1,0)</f>
        <v>1</v>
      </c>
      <c r="J107" s="91">
        <f ca="1">OFFSET(card!$K$1,MATCH(G107,card!B:B,0)-1,0)</f>
        <v>1</v>
      </c>
    </row>
    <row r="108" ht="15" spans="1:10">
      <c r="A108" s="276">
        <f t="shared" si="6"/>
        <v>110901</v>
      </c>
      <c r="B108" s="277">
        <v>1</v>
      </c>
      <c r="C108" s="278">
        <v>1</v>
      </c>
      <c r="D108" s="106">
        <v>1</v>
      </c>
      <c r="E108" s="106">
        <f t="shared" si="7"/>
        <v>1109</v>
      </c>
      <c r="F108" s="46">
        <f ca="1">OFFSET(card!$A$1,MATCH(G108,card!B:B,0)-1,0)</f>
        <v>1002001</v>
      </c>
      <c r="G108" s="91" t="s">
        <v>471</v>
      </c>
      <c r="I108" s="91">
        <f ca="1">OFFSET(card!$J$1,MATCH(G108,card!B:B,0)-1,0)</f>
        <v>1</v>
      </c>
      <c r="J108" s="91">
        <f ca="1">OFFSET(card!$K$1,MATCH(G108,card!B:B,0)-1,0)</f>
        <v>1</v>
      </c>
    </row>
    <row r="109" ht="15" spans="1:10">
      <c r="A109" s="276">
        <f t="shared" si="6"/>
        <v>110902</v>
      </c>
      <c r="B109" s="277">
        <v>2</v>
      </c>
      <c r="C109" s="278">
        <v>1</v>
      </c>
      <c r="D109" s="106">
        <v>1</v>
      </c>
      <c r="E109" s="106">
        <f t="shared" si="7"/>
        <v>1109</v>
      </c>
      <c r="F109" s="46">
        <f ca="1">OFFSET(card!$A$1,MATCH(G109,card!B:B,0)-1,0)</f>
        <v>1003001</v>
      </c>
      <c r="G109" s="91" t="s">
        <v>589</v>
      </c>
      <c r="I109" s="91">
        <f ca="1">OFFSET(card!$J$1,MATCH(G109,card!B:B,0)-1,0)</f>
        <v>1</v>
      </c>
      <c r="J109" s="91">
        <f ca="1">OFFSET(card!$K$1,MATCH(G109,card!B:B,0)-1,0)</f>
        <v>1</v>
      </c>
    </row>
    <row r="110" ht="15" spans="1:10">
      <c r="A110" s="276">
        <f t="shared" si="6"/>
        <v>110903</v>
      </c>
      <c r="B110" s="277">
        <v>3</v>
      </c>
      <c r="C110" s="278">
        <v>1</v>
      </c>
      <c r="D110" s="106">
        <v>1</v>
      </c>
      <c r="E110" s="106">
        <f t="shared" si="7"/>
        <v>1109</v>
      </c>
      <c r="F110" s="46">
        <f ca="1">OFFSET(card!$A$1,MATCH(G110,card!B:B,0)-1,0)</f>
        <v>1006001</v>
      </c>
      <c r="G110" s="91" t="s">
        <v>496</v>
      </c>
      <c r="I110" s="91">
        <f ca="1">OFFSET(card!$J$1,MATCH(G110,card!B:B,0)-1,0)</f>
        <v>1</v>
      </c>
      <c r="J110" s="91">
        <f ca="1">OFFSET(card!$K$1,MATCH(G110,card!B:B,0)-1,0)</f>
        <v>1</v>
      </c>
    </row>
    <row r="111" ht="15" spans="1:10">
      <c r="A111" s="276">
        <f t="shared" si="6"/>
        <v>110904</v>
      </c>
      <c r="B111" s="277">
        <v>4</v>
      </c>
      <c r="C111" s="278">
        <v>1</v>
      </c>
      <c r="D111" s="106">
        <v>1</v>
      </c>
      <c r="E111" s="106">
        <f t="shared" si="7"/>
        <v>1109</v>
      </c>
      <c r="F111" s="46">
        <f ca="1">OFFSET(card!$A$1,MATCH(G111,card!B:B,0)-1,0)</f>
        <v>1010001</v>
      </c>
      <c r="G111" s="91" t="s">
        <v>365</v>
      </c>
      <c r="I111" s="91">
        <f ca="1">OFFSET(card!$J$1,MATCH(G111,card!B:B,0)-1,0)</f>
        <v>1</v>
      </c>
      <c r="J111" s="91">
        <f ca="1">OFFSET(card!$K$1,MATCH(G111,card!B:B,0)-1,0)</f>
        <v>3</v>
      </c>
    </row>
    <row r="112" ht="15" spans="1:10">
      <c r="A112" s="276">
        <f t="shared" si="6"/>
        <v>110905</v>
      </c>
      <c r="B112" s="277">
        <v>5</v>
      </c>
      <c r="C112" s="278">
        <v>1</v>
      </c>
      <c r="D112" s="106">
        <v>1</v>
      </c>
      <c r="E112" s="106">
        <f t="shared" si="7"/>
        <v>1109</v>
      </c>
      <c r="F112" s="46">
        <f ca="1">OFFSET(card!$A$1,MATCH(G112,card!B:B,0)-1,0)</f>
        <v>1002001</v>
      </c>
      <c r="G112" s="91" t="s">
        <v>471</v>
      </c>
      <c r="I112" s="91">
        <f ca="1">OFFSET(card!$J$1,MATCH(G112,card!B:B,0)-1,0)</f>
        <v>1</v>
      </c>
      <c r="J112" s="91">
        <f ca="1">OFFSET(card!$K$1,MATCH(G112,card!B:B,0)-1,0)</f>
        <v>1</v>
      </c>
    </row>
    <row r="113" ht="15" spans="1:10">
      <c r="A113" s="276">
        <f t="shared" si="6"/>
        <v>110906</v>
      </c>
      <c r="B113" s="277">
        <v>6</v>
      </c>
      <c r="C113" s="278">
        <v>1</v>
      </c>
      <c r="D113" s="106">
        <v>1</v>
      </c>
      <c r="E113" s="106">
        <f t="shared" si="7"/>
        <v>1109</v>
      </c>
      <c r="F113" s="46">
        <f ca="1">OFFSET(card!$A$1,MATCH(G113,card!B:B,0)-1,0)</f>
        <v>1003001</v>
      </c>
      <c r="G113" s="91" t="s">
        <v>589</v>
      </c>
      <c r="I113" s="91">
        <f ca="1">OFFSET(card!$J$1,MATCH(G113,card!B:B,0)-1,0)</f>
        <v>1</v>
      </c>
      <c r="J113" s="91">
        <f ca="1">OFFSET(card!$K$1,MATCH(G113,card!B:B,0)-1,0)</f>
        <v>1</v>
      </c>
    </row>
    <row r="114" ht="15" spans="1:10">
      <c r="A114" s="276">
        <f t="shared" si="6"/>
        <v>110907</v>
      </c>
      <c r="B114" s="277">
        <v>7</v>
      </c>
      <c r="C114" s="278">
        <v>1</v>
      </c>
      <c r="D114" s="106">
        <v>1</v>
      </c>
      <c r="E114" s="106">
        <f t="shared" si="7"/>
        <v>1109</v>
      </c>
      <c r="F114" s="46">
        <f ca="1">OFFSET(card!$A$1,MATCH(G114,card!B:B,0)-1,0)</f>
        <v>1006001</v>
      </c>
      <c r="G114" s="91" t="s">
        <v>496</v>
      </c>
      <c r="I114" s="91">
        <f ca="1">OFFSET(card!$J$1,MATCH(G114,card!B:B,0)-1,0)</f>
        <v>1</v>
      </c>
      <c r="J114" s="91">
        <f ca="1">OFFSET(card!$K$1,MATCH(G114,card!B:B,0)-1,0)</f>
        <v>1</v>
      </c>
    </row>
    <row r="115" ht="15" spans="1:10">
      <c r="A115" s="276">
        <f t="shared" si="6"/>
        <v>110908</v>
      </c>
      <c r="B115" s="277">
        <v>8</v>
      </c>
      <c r="C115" s="278">
        <v>1</v>
      </c>
      <c r="D115" s="106">
        <v>1</v>
      </c>
      <c r="E115" s="106">
        <f t="shared" si="7"/>
        <v>1109</v>
      </c>
      <c r="F115" s="46">
        <f ca="1">OFFSET(card!$A$1,MATCH(G115,card!B:B,0)-1,0)</f>
        <v>1010001</v>
      </c>
      <c r="G115" s="91" t="s">
        <v>365</v>
      </c>
      <c r="I115" s="91">
        <f ca="1">OFFSET(card!$J$1,MATCH(G115,card!B:B,0)-1,0)</f>
        <v>1</v>
      </c>
      <c r="J115" s="91">
        <f ca="1">OFFSET(card!$K$1,MATCH(G115,card!B:B,0)-1,0)</f>
        <v>3</v>
      </c>
    </row>
    <row r="116" ht="15" spans="1:10">
      <c r="A116" s="276">
        <f t="shared" si="6"/>
        <v>110909</v>
      </c>
      <c r="B116" s="277">
        <v>9</v>
      </c>
      <c r="C116" s="278">
        <v>1</v>
      </c>
      <c r="D116" s="106">
        <v>1</v>
      </c>
      <c r="E116" s="106">
        <f t="shared" si="7"/>
        <v>1109</v>
      </c>
      <c r="F116" s="46">
        <f ca="1">OFFSET(card!$A$1,MATCH(G116,card!B:B,0)-1,0)</f>
        <v>1006001</v>
      </c>
      <c r="G116" s="91" t="s">
        <v>496</v>
      </c>
      <c r="I116" s="91">
        <f ca="1">OFFSET(card!$J$1,MATCH(G116,card!B:B,0)-1,0)</f>
        <v>1</v>
      </c>
      <c r="J116" s="91">
        <f ca="1">OFFSET(card!$K$1,MATCH(G116,card!B:B,0)-1,0)</f>
        <v>1</v>
      </c>
    </row>
    <row r="117" ht="15" spans="1:10">
      <c r="A117" s="276">
        <f t="shared" si="6"/>
        <v>110910</v>
      </c>
      <c r="B117" s="277">
        <v>10</v>
      </c>
      <c r="C117" s="278">
        <v>1</v>
      </c>
      <c r="D117" s="106">
        <v>1</v>
      </c>
      <c r="E117" s="106">
        <f t="shared" si="7"/>
        <v>1109</v>
      </c>
      <c r="F117" s="46">
        <f ca="1">OFFSET(card!$A$1,MATCH(G117,card!B:B,0)-1,0)</f>
        <v>1010001</v>
      </c>
      <c r="G117" s="91" t="s">
        <v>365</v>
      </c>
      <c r="I117" s="91">
        <f ca="1">OFFSET(card!$J$1,MATCH(G117,card!B:B,0)-1,0)</f>
        <v>1</v>
      </c>
      <c r="J117" s="91">
        <f ca="1">OFFSET(card!$K$1,MATCH(G117,card!B:B,0)-1,0)</f>
        <v>3</v>
      </c>
    </row>
    <row r="118" ht="15" spans="1:10">
      <c r="A118" s="276">
        <f t="shared" si="6"/>
        <v>111001</v>
      </c>
      <c r="B118" s="277">
        <v>1</v>
      </c>
      <c r="C118" s="278">
        <v>1</v>
      </c>
      <c r="D118" s="106">
        <v>1</v>
      </c>
      <c r="E118" s="106">
        <f t="shared" si="7"/>
        <v>1110</v>
      </c>
      <c r="F118" s="46">
        <f ca="1">OFFSET(card!$A$1,MATCH(G118,card!B:B,0)-1,0)</f>
        <v>1002001</v>
      </c>
      <c r="G118" s="91" t="s">
        <v>471</v>
      </c>
      <c r="I118" s="91">
        <f ca="1">OFFSET(card!$J$1,MATCH(G118,card!B:B,0)-1,0)</f>
        <v>1</v>
      </c>
      <c r="J118" s="91">
        <f ca="1">OFFSET(card!$K$1,MATCH(G118,card!B:B,0)-1,0)</f>
        <v>1</v>
      </c>
    </row>
    <row r="119" ht="15" spans="1:10">
      <c r="A119" s="276">
        <f t="shared" si="6"/>
        <v>111002</v>
      </c>
      <c r="B119" s="277">
        <v>2</v>
      </c>
      <c r="C119" s="278">
        <v>1</v>
      </c>
      <c r="D119" s="106">
        <v>1</v>
      </c>
      <c r="E119" s="106">
        <f t="shared" si="7"/>
        <v>1110</v>
      </c>
      <c r="F119" s="46">
        <f ca="1">OFFSET(card!$A$1,MATCH(G119,card!B:B,0)-1,0)</f>
        <v>1003001</v>
      </c>
      <c r="G119" s="91" t="s">
        <v>589</v>
      </c>
      <c r="I119" s="91">
        <f ca="1">OFFSET(card!$J$1,MATCH(G119,card!B:B,0)-1,0)</f>
        <v>1</v>
      </c>
      <c r="J119" s="91">
        <f ca="1">OFFSET(card!$K$1,MATCH(G119,card!B:B,0)-1,0)</f>
        <v>1</v>
      </c>
    </row>
    <row r="120" ht="15" spans="1:10">
      <c r="A120" s="276">
        <f t="shared" si="6"/>
        <v>111003</v>
      </c>
      <c r="B120" s="277">
        <v>3</v>
      </c>
      <c r="C120" s="278">
        <v>1</v>
      </c>
      <c r="D120" s="106">
        <v>1</v>
      </c>
      <c r="E120" s="106">
        <f t="shared" si="7"/>
        <v>1110</v>
      </c>
      <c r="F120" s="46">
        <f ca="1">OFFSET(card!$A$1,MATCH(G120,card!B:B,0)-1,0)</f>
        <v>1004001</v>
      </c>
      <c r="G120" s="91" t="s">
        <v>500</v>
      </c>
      <c r="I120" s="91">
        <f ca="1">OFFSET(card!$J$1,MATCH(G120,card!B:B,0)-1,0)</f>
        <v>1</v>
      </c>
      <c r="J120" s="91">
        <f ca="1">OFFSET(card!$K$1,MATCH(G120,card!B:B,0)-1,0)</f>
        <v>2</v>
      </c>
    </row>
    <row r="121" ht="15" spans="1:10">
      <c r="A121" s="276">
        <f t="shared" si="6"/>
        <v>111004</v>
      </c>
      <c r="B121" s="277">
        <v>4</v>
      </c>
      <c r="C121" s="278">
        <v>1</v>
      </c>
      <c r="D121" s="106">
        <v>1</v>
      </c>
      <c r="E121" s="106">
        <f t="shared" si="7"/>
        <v>1110</v>
      </c>
      <c r="F121" s="46">
        <f ca="1">OFFSET(card!$A$1,MATCH(G121,card!B:B,0)-1,0)</f>
        <v>1011001</v>
      </c>
      <c r="G121" s="91" t="s">
        <v>363</v>
      </c>
      <c r="I121" s="91">
        <f ca="1">OFFSET(card!$J$1,MATCH(G121,card!B:B,0)-1,0)</f>
        <v>2</v>
      </c>
      <c r="J121" s="91">
        <f ca="1">OFFSET(card!$K$1,MATCH(G121,card!B:B,0)-1,0)</f>
        <v>1</v>
      </c>
    </row>
    <row r="122" ht="15" spans="1:10">
      <c r="A122" s="276">
        <f t="shared" si="6"/>
        <v>111005</v>
      </c>
      <c r="B122" s="277">
        <v>5</v>
      </c>
      <c r="C122" s="278">
        <v>1</v>
      </c>
      <c r="D122" s="106">
        <v>1</v>
      </c>
      <c r="E122" s="106">
        <f t="shared" si="7"/>
        <v>1110</v>
      </c>
      <c r="F122" s="46">
        <f ca="1">OFFSET(card!$A$1,MATCH(G122,card!B:B,0)-1,0)</f>
        <v>1002001</v>
      </c>
      <c r="G122" s="91" t="s">
        <v>471</v>
      </c>
      <c r="I122" s="91">
        <f ca="1">OFFSET(card!$J$1,MATCH(G122,card!B:B,0)-1,0)</f>
        <v>1</v>
      </c>
      <c r="J122" s="91">
        <f ca="1">OFFSET(card!$K$1,MATCH(G122,card!B:B,0)-1,0)</f>
        <v>1</v>
      </c>
    </row>
    <row r="123" ht="15" spans="1:10">
      <c r="A123" s="276">
        <f t="shared" si="6"/>
        <v>111006</v>
      </c>
      <c r="B123" s="277">
        <v>6</v>
      </c>
      <c r="C123" s="278">
        <v>1</v>
      </c>
      <c r="D123" s="106">
        <v>1</v>
      </c>
      <c r="E123" s="106">
        <f t="shared" si="7"/>
        <v>1110</v>
      </c>
      <c r="F123" s="46">
        <f ca="1">OFFSET(card!$A$1,MATCH(G123,card!B:B,0)-1,0)</f>
        <v>1003001</v>
      </c>
      <c r="G123" s="91" t="s">
        <v>589</v>
      </c>
      <c r="I123" s="91">
        <f ca="1">OFFSET(card!$J$1,MATCH(G123,card!B:B,0)-1,0)</f>
        <v>1</v>
      </c>
      <c r="J123" s="91">
        <f ca="1">OFFSET(card!$K$1,MATCH(G123,card!B:B,0)-1,0)</f>
        <v>1</v>
      </c>
    </row>
    <row r="124" ht="15" spans="1:10">
      <c r="A124" s="276">
        <f t="shared" si="6"/>
        <v>111007</v>
      </c>
      <c r="B124" s="277">
        <v>7</v>
      </c>
      <c r="C124" s="278">
        <v>1</v>
      </c>
      <c r="D124" s="106">
        <v>1</v>
      </c>
      <c r="E124" s="106">
        <f t="shared" si="7"/>
        <v>1110</v>
      </c>
      <c r="F124" s="46">
        <f ca="1">OFFSET(card!$A$1,MATCH(G124,card!B:B,0)-1,0)</f>
        <v>1004001</v>
      </c>
      <c r="G124" s="91" t="s">
        <v>500</v>
      </c>
      <c r="I124" s="91">
        <f ca="1">OFFSET(card!$J$1,MATCH(G124,card!B:B,0)-1,0)</f>
        <v>1</v>
      </c>
      <c r="J124" s="91">
        <f ca="1">OFFSET(card!$K$1,MATCH(G124,card!B:B,0)-1,0)</f>
        <v>2</v>
      </c>
    </row>
    <row r="125" ht="15" spans="1:10">
      <c r="A125" s="276">
        <f t="shared" ref="A125:A156" si="8">E125*100+B125</f>
        <v>111008</v>
      </c>
      <c r="B125" s="277">
        <v>8</v>
      </c>
      <c r="C125" s="278">
        <v>1</v>
      </c>
      <c r="D125" s="106">
        <v>1</v>
      </c>
      <c r="E125" s="106">
        <f t="shared" si="7"/>
        <v>1110</v>
      </c>
      <c r="F125" s="46">
        <f ca="1">OFFSET(card!$A$1,MATCH(G125,card!B:B,0)-1,0)</f>
        <v>1011001</v>
      </c>
      <c r="G125" s="91" t="s">
        <v>363</v>
      </c>
      <c r="I125" s="91">
        <f ca="1">OFFSET(card!$J$1,MATCH(G125,card!B:B,0)-1,0)</f>
        <v>2</v>
      </c>
      <c r="J125" s="91">
        <f ca="1">OFFSET(card!$K$1,MATCH(G125,card!B:B,0)-1,0)</f>
        <v>1</v>
      </c>
    </row>
    <row r="126" ht="15" spans="1:10">
      <c r="A126" s="276">
        <f t="shared" si="8"/>
        <v>111009</v>
      </c>
      <c r="B126" s="277">
        <v>9</v>
      </c>
      <c r="C126" s="278">
        <v>1</v>
      </c>
      <c r="D126" s="106">
        <v>1</v>
      </c>
      <c r="E126" s="106">
        <f t="shared" si="7"/>
        <v>1110</v>
      </c>
      <c r="F126" s="46">
        <f ca="1">OFFSET(card!$A$1,MATCH(G126,card!B:B,0)-1,0)</f>
        <v>1002001</v>
      </c>
      <c r="G126" s="91" t="s">
        <v>471</v>
      </c>
      <c r="I126" s="91">
        <f ca="1">OFFSET(card!$J$1,MATCH(G126,card!B:B,0)-1,0)</f>
        <v>1</v>
      </c>
      <c r="J126" s="91">
        <f ca="1">OFFSET(card!$K$1,MATCH(G126,card!B:B,0)-1,0)</f>
        <v>1</v>
      </c>
    </row>
    <row r="127" ht="15" spans="1:10">
      <c r="A127" s="276">
        <f t="shared" si="8"/>
        <v>111010</v>
      </c>
      <c r="B127" s="277">
        <v>10</v>
      </c>
      <c r="C127" s="278">
        <v>1</v>
      </c>
      <c r="D127" s="106">
        <v>1</v>
      </c>
      <c r="E127" s="106">
        <f t="shared" si="7"/>
        <v>1110</v>
      </c>
      <c r="F127" s="46">
        <f ca="1">OFFSET(card!$A$1,MATCH(G127,card!B:B,0)-1,0)</f>
        <v>1003001</v>
      </c>
      <c r="G127" s="91" t="s">
        <v>589</v>
      </c>
      <c r="I127" s="91">
        <f ca="1">OFFSET(card!$J$1,MATCH(G127,card!B:B,0)-1,0)</f>
        <v>1</v>
      </c>
      <c r="J127" s="91">
        <f ca="1">OFFSET(card!$K$1,MATCH(G127,card!B:B,0)-1,0)</f>
        <v>1</v>
      </c>
    </row>
    <row r="128" ht="15" spans="1:10">
      <c r="A128" s="276">
        <f t="shared" si="8"/>
        <v>111101</v>
      </c>
      <c r="B128" s="277">
        <v>1</v>
      </c>
      <c r="C128" s="278">
        <v>1</v>
      </c>
      <c r="D128" s="106">
        <v>1</v>
      </c>
      <c r="E128" s="106">
        <f t="shared" si="7"/>
        <v>1111</v>
      </c>
      <c r="F128" s="46">
        <f ca="1">OFFSET(card!$A$1,MATCH(G128,card!B:B,0)-1,0)</f>
        <v>1001001</v>
      </c>
      <c r="G128" s="91" t="s">
        <v>508</v>
      </c>
      <c r="H128" s="91" t="s">
        <v>1491</v>
      </c>
      <c r="I128" s="91">
        <f ca="1">OFFSET(card!$J$1,MATCH(G128,card!B:B,0)-1,0)</f>
        <v>1</v>
      </c>
      <c r="J128" s="91">
        <f ca="1">OFFSET(card!$K$1,MATCH(G128,card!B:B,0)-1,0)</f>
        <v>1</v>
      </c>
    </row>
    <row r="129" ht="15" spans="1:10">
      <c r="A129" s="276">
        <f t="shared" si="8"/>
        <v>111102</v>
      </c>
      <c r="B129" s="277">
        <v>2</v>
      </c>
      <c r="C129" s="278">
        <v>1</v>
      </c>
      <c r="D129" s="106">
        <v>1</v>
      </c>
      <c r="E129" s="106">
        <f t="shared" si="7"/>
        <v>1111</v>
      </c>
      <c r="F129" s="46">
        <f ca="1">OFFSET(card!$A$1,MATCH(G129,card!B:B,0)-1,0)</f>
        <v>1008001</v>
      </c>
      <c r="G129" s="91" t="s">
        <v>447</v>
      </c>
      <c r="H129" s="91" t="s">
        <v>1491</v>
      </c>
      <c r="I129" s="91">
        <f ca="1">OFFSET(card!$J$1,MATCH(G129,card!B:B,0)-1,0)</f>
        <v>1</v>
      </c>
      <c r="J129" s="91">
        <f ca="1">OFFSET(card!$K$1,MATCH(G129,card!B:B,0)-1,0)</f>
        <v>2</v>
      </c>
    </row>
    <row r="130" ht="15" spans="1:10">
      <c r="A130" s="276">
        <f t="shared" si="8"/>
        <v>111103</v>
      </c>
      <c r="B130" s="277">
        <v>3</v>
      </c>
      <c r="C130" s="278">
        <v>1</v>
      </c>
      <c r="D130" s="106">
        <v>1</v>
      </c>
      <c r="E130" s="106">
        <f t="shared" si="7"/>
        <v>1111</v>
      </c>
      <c r="F130" s="46">
        <f ca="1">OFFSET(card!$A$1,MATCH(G130,card!B:B,0)-1,0)</f>
        <v>1009001</v>
      </c>
      <c r="G130" s="91" t="s">
        <v>619</v>
      </c>
      <c r="H130" s="91" t="s">
        <v>1491</v>
      </c>
      <c r="I130" s="91">
        <f ca="1">OFFSET(card!$J$1,MATCH(G130,card!B:B,0)-1,0)</f>
        <v>1</v>
      </c>
      <c r="J130" s="91">
        <f ca="1">OFFSET(card!$K$1,MATCH(G130,card!B:B,0)-1,0)</f>
        <v>1</v>
      </c>
    </row>
    <row r="131" ht="15" spans="1:10">
      <c r="A131" s="276">
        <f t="shared" si="8"/>
        <v>111104</v>
      </c>
      <c r="B131" s="277">
        <v>4</v>
      </c>
      <c r="C131" s="278">
        <v>1</v>
      </c>
      <c r="D131" s="106">
        <v>1</v>
      </c>
      <c r="E131" s="106">
        <f t="shared" si="7"/>
        <v>1111</v>
      </c>
      <c r="F131" s="46">
        <f ca="1">OFFSET(card!$A$1,MATCH(G131,card!B:B,0)-1,0)</f>
        <v>1012001</v>
      </c>
      <c r="G131" s="91" t="s">
        <v>633</v>
      </c>
      <c r="H131" s="91" t="s">
        <v>1491</v>
      </c>
      <c r="I131" s="91">
        <f ca="1">OFFSET(card!$J$1,MATCH(G131,card!B:B,0)-1,0)</f>
        <v>2</v>
      </c>
      <c r="J131" s="91">
        <f ca="1">OFFSET(card!$K$1,MATCH(G131,card!B:B,0)-1,0)</f>
        <v>3</v>
      </c>
    </row>
    <row r="132" ht="15" spans="1:10">
      <c r="A132" s="276">
        <f t="shared" si="8"/>
        <v>111105</v>
      </c>
      <c r="B132" s="277">
        <v>5</v>
      </c>
      <c r="C132" s="278">
        <v>1</v>
      </c>
      <c r="D132" s="106">
        <v>1</v>
      </c>
      <c r="E132" s="106">
        <f t="shared" si="7"/>
        <v>1111</v>
      </c>
      <c r="F132" s="46">
        <f ca="1">OFFSET(card!$A$1,MATCH(G132,card!B:B,0)-1,0)</f>
        <v>1001001</v>
      </c>
      <c r="G132" s="91" t="s">
        <v>508</v>
      </c>
      <c r="H132" s="91" t="s">
        <v>1491</v>
      </c>
      <c r="I132" s="91">
        <f ca="1">OFFSET(card!$J$1,MATCH(G132,card!B:B,0)-1,0)</f>
        <v>1</v>
      </c>
      <c r="J132" s="91">
        <f ca="1">OFFSET(card!$K$1,MATCH(G132,card!B:B,0)-1,0)</f>
        <v>1</v>
      </c>
    </row>
    <row r="133" ht="15" spans="1:10">
      <c r="A133" s="276">
        <f t="shared" si="8"/>
        <v>111106</v>
      </c>
      <c r="B133" s="277">
        <v>6</v>
      </c>
      <c r="C133" s="278">
        <v>1</v>
      </c>
      <c r="D133" s="106">
        <v>1</v>
      </c>
      <c r="E133" s="106">
        <f t="shared" si="7"/>
        <v>1111</v>
      </c>
      <c r="F133" s="46">
        <f ca="1">OFFSET(card!$A$1,MATCH(G133,card!B:B,0)-1,0)</f>
        <v>1008001</v>
      </c>
      <c r="G133" s="91" t="s">
        <v>447</v>
      </c>
      <c r="H133" s="91" t="s">
        <v>1491</v>
      </c>
      <c r="I133" s="91">
        <f ca="1">OFFSET(card!$J$1,MATCH(G133,card!B:B,0)-1,0)</f>
        <v>1</v>
      </c>
      <c r="J133" s="91">
        <f ca="1">OFFSET(card!$K$1,MATCH(G133,card!B:B,0)-1,0)</f>
        <v>2</v>
      </c>
    </row>
    <row r="134" ht="15" spans="1:10">
      <c r="A134" s="276">
        <f t="shared" si="8"/>
        <v>111107</v>
      </c>
      <c r="B134" s="277">
        <v>7</v>
      </c>
      <c r="C134" s="278">
        <v>1</v>
      </c>
      <c r="D134" s="106">
        <v>1</v>
      </c>
      <c r="E134" s="106">
        <f t="shared" si="7"/>
        <v>1111</v>
      </c>
      <c r="F134" s="46">
        <f ca="1">OFFSET(card!$A$1,MATCH(G134,card!B:B,0)-1,0)</f>
        <v>1009001</v>
      </c>
      <c r="G134" s="91" t="s">
        <v>619</v>
      </c>
      <c r="H134" s="91" t="s">
        <v>1491</v>
      </c>
      <c r="I134" s="91">
        <f ca="1">OFFSET(card!$J$1,MATCH(G134,card!B:B,0)-1,0)</f>
        <v>1</v>
      </c>
      <c r="J134" s="91">
        <f ca="1">OFFSET(card!$K$1,MATCH(G134,card!B:B,0)-1,0)</f>
        <v>1</v>
      </c>
    </row>
    <row r="135" ht="15" spans="1:10">
      <c r="A135" s="276">
        <f t="shared" si="8"/>
        <v>111108</v>
      </c>
      <c r="B135" s="277">
        <v>8</v>
      </c>
      <c r="C135" s="278">
        <v>1</v>
      </c>
      <c r="D135" s="106">
        <v>1</v>
      </c>
      <c r="E135" s="106">
        <f t="shared" si="7"/>
        <v>1111</v>
      </c>
      <c r="F135" s="46">
        <f ca="1">OFFSET(card!$A$1,MATCH(G135,card!B:B,0)-1,0)</f>
        <v>1012001</v>
      </c>
      <c r="G135" s="91" t="s">
        <v>633</v>
      </c>
      <c r="H135" s="91" t="s">
        <v>1491</v>
      </c>
      <c r="I135" s="91">
        <f ca="1">OFFSET(card!$J$1,MATCH(G135,card!B:B,0)-1,0)</f>
        <v>2</v>
      </c>
      <c r="J135" s="91">
        <f ca="1">OFFSET(card!$K$1,MATCH(G135,card!B:B,0)-1,0)</f>
        <v>3</v>
      </c>
    </row>
    <row r="136" ht="15" spans="1:10">
      <c r="A136" s="276">
        <f t="shared" si="8"/>
        <v>111109</v>
      </c>
      <c r="B136" s="277">
        <v>9</v>
      </c>
      <c r="C136" s="278">
        <v>1</v>
      </c>
      <c r="D136" s="106">
        <v>1</v>
      </c>
      <c r="E136" s="106">
        <f t="shared" si="7"/>
        <v>1111</v>
      </c>
      <c r="F136" s="46">
        <f ca="1">OFFSET(card!$A$1,MATCH(G136,card!B:B,0)-1,0)</f>
        <v>1001001</v>
      </c>
      <c r="G136" s="91" t="s">
        <v>508</v>
      </c>
      <c r="H136" s="91" t="s">
        <v>1491</v>
      </c>
      <c r="I136" s="91">
        <f ca="1">OFFSET(card!$J$1,MATCH(G136,card!B:B,0)-1,0)</f>
        <v>1</v>
      </c>
      <c r="J136" s="91">
        <f ca="1">OFFSET(card!$K$1,MATCH(G136,card!B:B,0)-1,0)</f>
        <v>1</v>
      </c>
    </row>
    <row r="137" ht="15" spans="1:10">
      <c r="A137" s="276">
        <f t="shared" si="8"/>
        <v>111110</v>
      </c>
      <c r="B137" s="277">
        <v>10</v>
      </c>
      <c r="C137" s="278">
        <v>1</v>
      </c>
      <c r="D137" s="106">
        <v>1</v>
      </c>
      <c r="E137" s="106">
        <f t="shared" si="7"/>
        <v>1111</v>
      </c>
      <c r="F137" s="46">
        <f ca="1">OFFSET(card!$A$1,MATCH(G137,card!B:B,0)-1,0)</f>
        <v>1008001</v>
      </c>
      <c r="G137" s="91" t="s">
        <v>447</v>
      </c>
      <c r="H137" s="91" t="s">
        <v>1491</v>
      </c>
      <c r="I137" s="91">
        <f ca="1">OFFSET(card!$J$1,MATCH(G137,card!B:B,0)-1,0)</f>
        <v>1</v>
      </c>
      <c r="J137" s="91">
        <f ca="1">OFFSET(card!$K$1,MATCH(G137,card!B:B,0)-1,0)</f>
        <v>2</v>
      </c>
    </row>
    <row r="138" ht="15" spans="1:10">
      <c r="A138" s="276">
        <f t="shared" si="8"/>
        <v>120101</v>
      </c>
      <c r="B138" s="277">
        <v>1</v>
      </c>
      <c r="C138" s="278">
        <v>1</v>
      </c>
      <c r="D138" s="106">
        <v>2</v>
      </c>
      <c r="E138" s="106">
        <f t="shared" ref="E138:E147" si="9">C138*1000+D138*100+1</f>
        <v>1201</v>
      </c>
      <c r="F138" s="46">
        <f ca="1">OFFSET(card!$A$1,MATCH(G138,card!B:B,0)-1,0)</f>
        <v>1001001</v>
      </c>
      <c r="G138" s="91" t="s">
        <v>508</v>
      </c>
      <c r="I138" s="91">
        <f ca="1">OFFSET(card!$J$1,MATCH(G138,card!B:B,0)-1,0)</f>
        <v>1</v>
      </c>
      <c r="J138" s="91">
        <f ca="1">OFFSET(card!$K$1,MATCH(G138,card!B:B,0)-1,0)</f>
        <v>1</v>
      </c>
    </row>
    <row r="139" ht="15" spans="1:10">
      <c r="A139" s="276">
        <f t="shared" si="8"/>
        <v>120102</v>
      </c>
      <c r="B139" s="277">
        <v>2</v>
      </c>
      <c r="C139" s="278">
        <v>1</v>
      </c>
      <c r="D139" s="106">
        <v>2</v>
      </c>
      <c r="E139" s="106">
        <f t="shared" si="9"/>
        <v>1201</v>
      </c>
      <c r="F139" s="46">
        <f ca="1">OFFSET(card!$A$1,MATCH(G139,card!B:B,0)-1,0)</f>
        <v>1003001</v>
      </c>
      <c r="G139" s="91" t="s">
        <v>589</v>
      </c>
      <c r="I139" s="91">
        <f ca="1">OFFSET(card!$J$1,MATCH(G139,card!B:B,0)-1,0)</f>
        <v>1</v>
      </c>
      <c r="J139" s="91">
        <f ca="1">OFFSET(card!$K$1,MATCH(G139,card!B:B,0)-1,0)</f>
        <v>1</v>
      </c>
    </row>
    <row r="140" ht="15" spans="1:10">
      <c r="A140" s="276">
        <f t="shared" si="8"/>
        <v>120103</v>
      </c>
      <c r="B140" s="277">
        <v>3</v>
      </c>
      <c r="C140" s="278">
        <v>1</v>
      </c>
      <c r="D140" s="106">
        <v>2</v>
      </c>
      <c r="E140" s="106">
        <f t="shared" si="9"/>
        <v>1201</v>
      </c>
      <c r="F140" s="46">
        <f ca="1">OFFSET(card!$A$1,MATCH(G140,card!B:B,0)-1,0)</f>
        <v>1011001</v>
      </c>
      <c r="G140" s="91" t="s">
        <v>363</v>
      </c>
      <c r="I140" s="91">
        <f ca="1">OFFSET(card!$J$1,MATCH(G140,card!B:B,0)-1,0)</f>
        <v>2</v>
      </c>
      <c r="J140" s="91">
        <f ca="1">OFFSET(card!$K$1,MATCH(G140,card!B:B,0)-1,0)</f>
        <v>1</v>
      </c>
    </row>
    <row r="141" ht="15" spans="1:10">
      <c r="A141" s="276">
        <f t="shared" si="8"/>
        <v>120104</v>
      </c>
      <c r="B141" s="277">
        <v>4</v>
      </c>
      <c r="C141" s="278">
        <v>1</v>
      </c>
      <c r="D141" s="106">
        <v>2</v>
      </c>
      <c r="E141" s="106">
        <f t="shared" si="9"/>
        <v>1201</v>
      </c>
      <c r="F141" s="46">
        <f ca="1">OFFSET(card!$A$1,MATCH(G141,card!B:B,0)-1,0)</f>
        <v>1013001</v>
      </c>
      <c r="G141" s="91" t="s">
        <v>377</v>
      </c>
      <c r="I141" s="91">
        <f ca="1">OFFSET(card!$J$1,MATCH(G141,card!B:B,0)-1,0)</f>
        <v>2</v>
      </c>
      <c r="J141" s="91">
        <f ca="1">OFFSET(card!$K$1,MATCH(G141,card!B:B,0)-1,0)</f>
        <v>2</v>
      </c>
    </row>
    <row r="142" ht="15" spans="1:10">
      <c r="A142" s="276">
        <f t="shared" si="8"/>
        <v>120105</v>
      </c>
      <c r="B142" s="277">
        <v>5</v>
      </c>
      <c r="C142" s="278">
        <v>1</v>
      </c>
      <c r="D142" s="106">
        <v>2</v>
      </c>
      <c r="E142" s="106">
        <f t="shared" si="9"/>
        <v>1201</v>
      </c>
      <c r="F142" s="46">
        <f ca="1">OFFSET(card!$A$1,MATCH(G142,card!B:B,0)-1,0)</f>
        <v>1001001</v>
      </c>
      <c r="G142" s="91" t="s">
        <v>508</v>
      </c>
      <c r="I142" s="91">
        <f ca="1">OFFSET(card!$J$1,MATCH(G142,card!B:B,0)-1,0)</f>
        <v>1</v>
      </c>
      <c r="J142" s="91">
        <f ca="1">OFFSET(card!$K$1,MATCH(G142,card!B:B,0)-1,0)</f>
        <v>1</v>
      </c>
    </row>
    <row r="143" ht="15" spans="1:10">
      <c r="A143" s="276">
        <f t="shared" si="8"/>
        <v>120106</v>
      </c>
      <c r="B143" s="277">
        <v>6</v>
      </c>
      <c r="C143" s="278">
        <v>1</v>
      </c>
      <c r="D143" s="106">
        <v>2</v>
      </c>
      <c r="E143" s="106">
        <f t="shared" si="9"/>
        <v>1201</v>
      </c>
      <c r="F143" s="46">
        <f ca="1">OFFSET(card!$A$1,MATCH(G143,card!B:B,0)-1,0)</f>
        <v>1003001</v>
      </c>
      <c r="G143" s="91" t="s">
        <v>589</v>
      </c>
      <c r="I143" s="91">
        <f ca="1">OFFSET(card!$J$1,MATCH(G143,card!B:B,0)-1,0)</f>
        <v>1</v>
      </c>
      <c r="J143" s="91">
        <f ca="1">OFFSET(card!$K$1,MATCH(G143,card!B:B,0)-1,0)</f>
        <v>1</v>
      </c>
    </row>
    <row r="144" ht="15" spans="1:10">
      <c r="A144" s="276">
        <f t="shared" si="8"/>
        <v>120107</v>
      </c>
      <c r="B144" s="277">
        <v>7</v>
      </c>
      <c r="C144" s="278">
        <v>1</v>
      </c>
      <c r="D144" s="106">
        <v>2</v>
      </c>
      <c r="E144" s="106">
        <f t="shared" si="9"/>
        <v>1201</v>
      </c>
      <c r="F144" s="46">
        <f ca="1">OFFSET(card!$A$1,MATCH(G144,card!B:B,0)-1,0)</f>
        <v>1011001</v>
      </c>
      <c r="G144" s="91" t="s">
        <v>363</v>
      </c>
      <c r="I144" s="91">
        <f ca="1">OFFSET(card!$J$1,MATCH(G144,card!B:B,0)-1,0)</f>
        <v>2</v>
      </c>
      <c r="J144" s="91">
        <f ca="1">OFFSET(card!$K$1,MATCH(G144,card!B:B,0)-1,0)</f>
        <v>1</v>
      </c>
    </row>
    <row r="145" ht="15" spans="1:10">
      <c r="A145" s="276">
        <f t="shared" si="8"/>
        <v>120108</v>
      </c>
      <c r="B145" s="277">
        <v>8</v>
      </c>
      <c r="C145" s="278">
        <v>1</v>
      </c>
      <c r="D145" s="106">
        <v>2</v>
      </c>
      <c r="E145" s="106">
        <f t="shared" si="9"/>
        <v>1201</v>
      </c>
      <c r="F145" s="46">
        <f ca="1">OFFSET(card!$A$1,MATCH(G145,card!B:B,0)-1,0)</f>
        <v>1013001</v>
      </c>
      <c r="G145" s="91" t="s">
        <v>377</v>
      </c>
      <c r="I145" s="91">
        <f ca="1">OFFSET(card!$J$1,MATCH(G145,card!B:B,0)-1,0)</f>
        <v>2</v>
      </c>
      <c r="J145" s="91">
        <f ca="1">OFFSET(card!$K$1,MATCH(G145,card!B:B,0)-1,0)</f>
        <v>2</v>
      </c>
    </row>
    <row r="146" ht="15" spans="1:10">
      <c r="A146" s="276">
        <f t="shared" si="8"/>
        <v>120109</v>
      </c>
      <c r="B146" s="277">
        <v>9</v>
      </c>
      <c r="C146" s="278">
        <v>1</v>
      </c>
      <c r="D146" s="106">
        <v>2</v>
      </c>
      <c r="E146" s="106">
        <f t="shared" si="9"/>
        <v>1201</v>
      </c>
      <c r="F146" s="46">
        <f ca="1">OFFSET(card!$A$1,MATCH(G146,card!B:B,0)-1,0)</f>
        <v>1001001</v>
      </c>
      <c r="G146" s="91" t="s">
        <v>508</v>
      </c>
      <c r="I146" s="91">
        <f ca="1">OFFSET(card!$J$1,MATCH(G146,card!B:B,0)-1,0)</f>
        <v>1</v>
      </c>
      <c r="J146" s="91">
        <f ca="1">OFFSET(card!$K$1,MATCH(G146,card!B:B,0)-1,0)</f>
        <v>1</v>
      </c>
    </row>
    <row r="147" ht="15" spans="1:10">
      <c r="A147" s="276">
        <f t="shared" si="8"/>
        <v>120110</v>
      </c>
      <c r="B147" s="277">
        <v>10</v>
      </c>
      <c r="C147" s="278">
        <v>1</v>
      </c>
      <c r="D147" s="106">
        <v>2</v>
      </c>
      <c r="E147" s="106">
        <f t="shared" si="9"/>
        <v>1201</v>
      </c>
      <c r="F147" s="46">
        <f ca="1">OFFSET(card!$A$1,MATCH(G147,card!B:B,0)-1,0)</f>
        <v>1003001</v>
      </c>
      <c r="G147" s="91" t="s">
        <v>589</v>
      </c>
      <c r="I147" s="91">
        <f ca="1">OFFSET(card!$J$1,MATCH(G147,card!B:B,0)-1,0)</f>
        <v>1</v>
      </c>
      <c r="J147" s="91">
        <f ca="1">OFFSET(card!$K$1,MATCH(G147,card!B:B,0)-1,0)</f>
        <v>1</v>
      </c>
    </row>
    <row r="148" ht="15" spans="1:10">
      <c r="A148" s="276">
        <f t="shared" si="8"/>
        <v>120201</v>
      </c>
      <c r="B148" s="277">
        <v>1</v>
      </c>
      <c r="C148" s="278">
        <v>1</v>
      </c>
      <c r="D148" s="106">
        <v>2</v>
      </c>
      <c r="E148" s="106">
        <f t="shared" si="7"/>
        <v>1202</v>
      </c>
      <c r="F148" s="46">
        <f ca="1">OFFSET(card!$A$1,MATCH(G148,card!B:B,0)-1,0)</f>
        <v>1008001</v>
      </c>
      <c r="G148" s="91" t="s">
        <v>447</v>
      </c>
      <c r="H148" s="91" t="s">
        <v>1491</v>
      </c>
      <c r="I148" s="91">
        <f ca="1">OFFSET(card!$J$1,MATCH(G148,card!B:B,0)-1,0)</f>
        <v>1</v>
      </c>
      <c r="J148" s="91">
        <f ca="1">OFFSET(card!$K$1,MATCH(G148,card!B:B,0)-1,0)</f>
        <v>2</v>
      </c>
    </row>
    <row r="149" ht="15" spans="1:10">
      <c r="A149" s="276">
        <f t="shared" si="8"/>
        <v>120202</v>
      </c>
      <c r="B149" s="277">
        <v>2</v>
      </c>
      <c r="C149" s="278">
        <v>1</v>
      </c>
      <c r="D149" s="106">
        <v>2</v>
      </c>
      <c r="E149" s="106">
        <f t="shared" si="7"/>
        <v>1202</v>
      </c>
      <c r="F149" s="46">
        <f ca="1">OFFSET(card!$A$1,MATCH(G149,card!B:B,0)-1,0)</f>
        <v>1009001</v>
      </c>
      <c r="G149" s="91" t="s">
        <v>619</v>
      </c>
      <c r="H149" s="91" t="s">
        <v>1491</v>
      </c>
      <c r="I149" s="91">
        <f ca="1">OFFSET(card!$J$1,MATCH(G149,card!B:B,0)-1,0)</f>
        <v>1</v>
      </c>
      <c r="J149" s="91">
        <f ca="1">OFFSET(card!$K$1,MATCH(G149,card!B:B,0)-1,0)</f>
        <v>1</v>
      </c>
    </row>
    <row r="150" ht="15" spans="1:10">
      <c r="A150" s="276">
        <f t="shared" si="8"/>
        <v>120203</v>
      </c>
      <c r="B150" s="277">
        <v>3</v>
      </c>
      <c r="C150" s="278">
        <v>1</v>
      </c>
      <c r="D150" s="106">
        <v>2</v>
      </c>
      <c r="E150" s="106">
        <f t="shared" si="7"/>
        <v>1202</v>
      </c>
      <c r="F150" s="46">
        <f ca="1">OFFSET(card!$A$1,MATCH(G150,card!B:B,0)-1,0)</f>
        <v>1012001</v>
      </c>
      <c r="G150" s="91" t="s">
        <v>633</v>
      </c>
      <c r="H150" s="91" t="s">
        <v>1491</v>
      </c>
      <c r="I150" s="91">
        <f ca="1">OFFSET(card!$J$1,MATCH(G150,card!B:B,0)-1,0)</f>
        <v>2</v>
      </c>
      <c r="J150" s="91">
        <f ca="1">OFFSET(card!$K$1,MATCH(G150,card!B:B,0)-1,0)</f>
        <v>3</v>
      </c>
    </row>
    <row r="151" ht="15" spans="1:10">
      <c r="A151" s="276">
        <f t="shared" si="8"/>
        <v>120204</v>
      </c>
      <c r="B151" s="277">
        <v>4</v>
      </c>
      <c r="C151" s="278">
        <v>1</v>
      </c>
      <c r="D151" s="106">
        <v>2</v>
      </c>
      <c r="E151" s="106">
        <f t="shared" si="7"/>
        <v>1202</v>
      </c>
      <c r="F151" s="46">
        <f ca="1">OFFSET(card!$A$1,MATCH(G151,card!B:B,0)-1,0)</f>
        <v>1014001</v>
      </c>
      <c r="G151" s="91" t="s">
        <v>642</v>
      </c>
      <c r="H151" s="91" t="s">
        <v>1491</v>
      </c>
      <c r="I151" s="91">
        <f ca="1">OFFSET(card!$J$1,MATCH(G151,card!B:B,0)-1,0)</f>
        <v>2</v>
      </c>
      <c r="J151" s="91">
        <f ca="1">OFFSET(card!$K$1,MATCH(G151,card!B:B,0)-1,0)</f>
        <v>1</v>
      </c>
    </row>
    <row r="152" ht="15" spans="1:10">
      <c r="A152" s="276">
        <f t="shared" si="8"/>
        <v>120205</v>
      </c>
      <c r="B152" s="277">
        <v>5</v>
      </c>
      <c r="C152" s="278">
        <v>1</v>
      </c>
      <c r="D152" s="106">
        <v>2</v>
      </c>
      <c r="E152" s="106">
        <f t="shared" si="7"/>
        <v>1202</v>
      </c>
      <c r="F152" s="46">
        <f ca="1">OFFSET(card!$A$1,MATCH(G152,card!B:B,0)-1,0)</f>
        <v>1008001</v>
      </c>
      <c r="G152" s="91" t="s">
        <v>447</v>
      </c>
      <c r="H152" s="91" t="s">
        <v>1491</v>
      </c>
      <c r="I152" s="91">
        <f ca="1">OFFSET(card!$J$1,MATCH(G152,card!B:B,0)-1,0)</f>
        <v>1</v>
      </c>
      <c r="J152" s="91">
        <f ca="1">OFFSET(card!$K$1,MATCH(G152,card!B:B,0)-1,0)</f>
        <v>2</v>
      </c>
    </row>
    <row r="153" ht="15" spans="1:10">
      <c r="A153" s="276">
        <f t="shared" si="8"/>
        <v>120206</v>
      </c>
      <c r="B153" s="277">
        <v>6</v>
      </c>
      <c r="C153" s="278">
        <v>1</v>
      </c>
      <c r="D153" s="106">
        <v>2</v>
      </c>
      <c r="E153" s="106">
        <f t="shared" si="7"/>
        <v>1202</v>
      </c>
      <c r="F153" s="46">
        <f ca="1">OFFSET(card!$A$1,MATCH(G153,card!B:B,0)-1,0)</f>
        <v>1009001</v>
      </c>
      <c r="G153" s="91" t="s">
        <v>619</v>
      </c>
      <c r="H153" s="91" t="s">
        <v>1491</v>
      </c>
      <c r="I153" s="91">
        <f ca="1">OFFSET(card!$J$1,MATCH(G153,card!B:B,0)-1,0)</f>
        <v>1</v>
      </c>
      <c r="J153" s="91">
        <f ca="1">OFFSET(card!$K$1,MATCH(G153,card!B:B,0)-1,0)</f>
        <v>1</v>
      </c>
    </row>
    <row r="154" ht="15" spans="1:10">
      <c r="A154" s="276">
        <f t="shared" si="8"/>
        <v>120207</v>
      </c>
      <c r="B154" s="277">
        <v>7</v>
      </c>
      <c r="C154" s="278">
        <v>1</v>
      </c>
      <c r="D154" s="106">
        <v>2</v>
      </c>
      <c r="E154" s="106">
        <f t="shared" si="7"/>
        <v>1202</v>
      </c>
      <c r="F154" s="46">
        <f ca="1">OFFSET(card!$A$1,MATCH(G154,card!B:B,0)-1,0)</f>
        <v>1012001</v>
      </c>
      <c r="G154" s="91" t="s">
        <v>633</v>
      </c>
      <c r="H154" s="91" t="s">
        <v>1491</v>
      </c>
      <c r="I154" s="91">
        <f ca="1">OFFSET(card!$J$1,MATCH(G154,card!B:B,0)-1,0)</f>
        <v>2</v>
      </c>
      <c r="J154" s="91">
        <f ca="1">OFFSET(card!$K$1,MATCH(G154,card!B:B,0)-1,0)</f>
        <v>3</v>
      </c>
    </row>
    <row r="155" ht="15" spans="1:10">
      <c r="A155" s="276">
        <f t="shared" si="8"/>
        <v>120208</v>
      </c>
      <c r="B155" s="277">
        <v>8</v>
      </c>
      <c r="C155" s="278">
        <v>1</v>
      </c>
      <c r="D155" s="106">
        <v>2</v>
      </c>
      <c r="E155" s="106">
        <f t="shared" si="7"/>
        <v>1202</v>
      </c>
      <c r="F155" s="46">
        <f ca="1">OFFSET(card!$A$1,MATCH(G155,card!B:B,0)-1,0)</f>
        <v>1014001</v>
      </c>
      <c r="G155" s="91" t="s">
        <v>642</v>
      </c>
      <c r="H155" s="91" t="s">
        <v>1491</v>
      </c>
      <c r="I155" s="91">
        <f ca="1">OFFSET(card!$J$1,MATCH(G155,card!B:B,0)-1,0)</f>
        <v>2</v>
      </c>
      <c r="J155" s="91">
        <f ca="1">OFFSET(card!$K$1,MATCH(G155,card!B:B,0)-1,0)</f>
        <v>1</v>
      </c>
    </row>
    <row r="156" ht="15" spans="1:10">
      <c r="A156" s="276">
        <f t="shared" si="8"/>
        <v>120209</v>
      </c>
      <c r="B156" s="277">
        <v>9</v>
      </c>
      <c r="C156" s="278">
        <v>1</v>
      </c>
      <c r="D156" s="106">
        <v>2</v>
      </c>
      <c r="E156" s="106">
        <f t="shared" si="7"/>
        <v>1202</v>
      </c>
      <c r="F156" s="46">
        <f ca="1">OFFSET(card!$A$1,MATCH(G156,card!B:B,0)-1,0)</f>
        <v>1008001</v>
      </c>
      <c r="G156" s="91" t="s">
        <v>447</v>
      </c>
      <c r="H156" s="91" t="s">
        <v>1491</v>
      </c>
      <c r="I156" s="91">
        <f ca="1">OFFSET(card!$J$1,MATCH(G156,card!B:B,0)-1,0)</f>
        <v>1</v>
      </c>
      <c r="J156" s="91">
        <f ca="1">OFFSET(card!$K$1,MATCH(G156,card!B:B,0)-1,0)</f>
        <v>2</v>
      </c>
    </row>
    <row r="157" ht="15" spans="1:10">
      <c r="A157" s="276">
        <f t="shared" ref="A157:A188" si="10">E157*100+B157</f>
        <v>120210</v>
      </c>
      <c r="B157" s="277">
        <v>10</v>
      </c>
      <c r="C157" s="278">
        <v>1</v>
      </c>
      <c r="D157" s="106">
        <v>2</v>
      </c>
      <c r="E157" s="106">
        <f t="shared" si="7"/>
        <v>1202</v>
      </c>
      <c r="F157" s="46">
        <f ca="1">OFFSET(card!$A$1,MATCH(G157,card!B:B,0)-1,0)</f>
        <v>1009001</v>
      </c>
      <c r="G157" s="91" t="s">
        <v>619</v>
      </c>
      <c r="H157" s="91" t="s">
        <v>1491</v>
      </c>
      <c r="I157" s="91">
        <f ca="1">OFFSET(card!$J$1,MATCH(G157,card!B:B,0)-1,0)</f>
        <v>1</v>
      </c>
      <c r="J157" s="91">
        <f ca="1">OFFSET(card!$K$1,MATCH(G157,card!B:B,0)-1,0)</f>
        <v>1</v>
      </c>
    </row>
    <row r="158" ht="15" spans="1:10">
      <c r="A158" s="276">
        <f t="shared" si="10"/>
        <v>120301</v>
      </c>
      <c r="B158" s="277">
        <v>1</v>
      </c>
      <c r="C158" s="278">
        <v>1</v>
      </c>
      <c r="D158" s="106">
        <v>2</v>
      </c>
      <c r="E158" s="106">
        <f t="shared" si="7"/>
        <v>1203</v>
      </c>
      <c r="F158" s="46">
        <f ca="1">OFFSET(card!$A$1,MATCH(G158,card!B:B,0)-1,0)</f>
        <v>1002001</v>
      </c>
      <c r="G158" s="91" t="s">
        <v>471</v>
      </c>
      <c r="I158" s="91">
        <f ca="1">OFFSET(card!$J$1,MATCH(G158,card!B:B,0)-1,0)</f>
        <v>1</v>
      </c>
      <c r="J158" s="91">
        <f ca="1">OFFSET(card!$K$1,MATCH(G158,card!B:B,0)-1,0)</f>
        <v>1</v>
      </c>
    </row>
    <row r="159" ht="15" spans="1:10">
      <c r="A159" s="276">
        <f t="shared" si="10"/>
        <v>120302</v>
      </c>
      <c r="B159" s="277">
        <v>2</v>
      </c>
      <c r="C159" s="278">
        <v>1</v>
      </c>
      <c r="D159" s="106">
        <v>2</v>
      </c>
      <c r="E159" s="106">
        <f t="shared" si="7"/>
        <v>1203</v>
      </c>
      <c r="F159" s="46">
        <f ca="1">OFFSET(card!$A$1,MATCH(G159,card!B:B,0)-1,0)</f>
        <v>1007001</v>
      </c>
      <c r="G159" s="91" t="s">
        <v>413</v>
      </c>
      <c r="I159" s="91">
        <f ca="1">OFFSET(card!$J$1,MATCH(G159,card!B:B,0)-1,0)</f>
        <v>1</v>
      </c>
      <c r="J159" s="91">
        <f ca="1">OFFSET(card!$K$1,MATCH(G159,card!B:B,0)-1,0)</f>
        <v>2</v>
      </c>
    </row>
    <row r="160" ht="15" spans="1:10">
      <c r="A160" s="276">
        <f t="shared" si="10"/>
        <v>120303</v>
      </c>
      <c r="B160" s="277">
        <v>3</v>
      </c>
      <c r="C160" s="278">
        <v>1</v>
      </c>
      <c r="D160" s="106">
        <v>2</v>
      </c>
      <c r="E160" s="106">
        <f t="shared" si="7"/>
        <v>1203</v>
      </c>
      <c r="F160" s="46">
        <f ca="1">OFFSET(card!$A$1,MATCH(G160,card!B:B,0)-1,0)</f>
        <v>1010001</v>
      </c>
      <c r="G160" s="91" t="s">
        <v>365</v>
      </c>
      <c r="I160" s="91">
        <f ca="1">OFFSET(card!$J$1,MATCH(G160,card!B:B,0)-1,0)</f>
        <v>1</v>
      </c>
      <c r="J160" s="91">
        <f ca="1">OFFSET(card!$K$1,MATCH(G160,card!B:B,0)-1,0)</f>
        <v>3</v>
      </c>
    </row>
    <row r="161" ht="15" spans="1:10">
      <c r="A161" s="276">
        <f t="shared" si="10"/>
        <v>120304</v>
      </c>
      <c r="B161" s="277">
        <v>4</v>
      </c>
      <c r="C161" s="278">
        <v>1</v>
      </c>
      <c r="D161" s="106">
        <v>2</v>
      </c>
      <c r="E161" s="106">
        <f t="shared" si="7"/>
        <v>1203</v>
      </c>
      <c r="F161" s="46">
        <f ca="1">OFFSET(card!$A$1,MATCH(G161,card!B:B,0)-1,0)</f>
        <v>1015001</v>
      </c>
      <c r="G161" s="91" t="s">
        <v>445</v>
      </c>
      <c r="I161" s="91">
        <f ca="1">OFFSET(card!$J$1,MATCH(G161,card!B:B,0)-1,0)</f>
        <v>3</v>
      </c>
      <c r="J161" s="91">
        <f ca="1">OFFSET(card!$K$1,MATCH(G161,card!B:B,0)-1,0)</f>
        <v>1</v>
      </c>
    </row>
    <row r="162" ht="15" spans="1:10">
      <c r="A162" s="276">
        <f t="shared" si="10"/>
        <v>120305</v>
      </c>
      <c r="B162" s="277">
        <v>5</v>
      </c>
      <c r="C162" s="278">
        <v>1</v>
      </c>
      <c r="D162" s="106">
        <v>2</v>
      </c>
      <c r="E162" s="106">
        <f t="shared" si="7"/>
        <v>1203</v>
      </c>
      <c r="F162" s="46">
        <f ca="1">OFFSET(card!$A$1,MATCH(G162,card!B:B,0)-1,0)</f>
        <v>1002001</v>
      </c>
      <c r="G162" s="91" t="s">
        <v>471</v>
      </c>
      <c r="I162" s="91">
        <f ca="1">OFFSET(card!$J$1,MATCH(G162,card!B:B,0)-1,0)</f>
        <v>1</v>
      </c>
      <c r="J162" s="91">
        <f ca="1">OFFSET(card!$K$1,MATCH(G162,card!B:B,0)-1,0)</f>
        <v>1</v>
      </c>
    </row>
    <row r="163" ht="15" spans="1:10">
      <c r="A163" s="276">
        <f t="shared" si="10"/>
        <v>120306</v>
      </c>
      <c r="B163" s="277">
        <v>6</v>
      </c>
      <c r="C163" s="278">
        <v>1</v>
      </c>
      <c r="D163" s="106">
        <v>2</v>
      </c>
      <c r="E163" s="106">
        <f t="shared" si="7"/>
        <v>1203</v>
      </c>
      <c r="F163" s="46">
        <f ca="1">OFFSET(card!$A$1,MATCH(G163,card!B:B,0)-1,0)</f>
        <v>1007001</v>
      </c>
      <c r="G163" s="91" t="s">
        <v>413</v>
      </c>
      <c r="I163" s="91">
        <f ca="1">OFFSET(card!$J$1,MATCH(G163,card!B:B,0)-1,0)</f>
        <v>1</v>
      </c>
      <c r="J163" s="91">
        <f ca="1">OFFSET(card!$K$1,MATCH(G163,card!B:B,0)-1,0)</f>
        <v>2</v>
      </c>
    </row>
    <row r="164" ht="15" spans="1:10">
      <c r="A164" s="276">
        <f t="shared" si="10"/>
        <v>120307</v>
      </c>
      <c r="B164" s="277">
        <v>7</v>
      </c>
      <c r="C164" s="278">
        <v>1</v>
      </c>
      <c r="D164" s="106">
        <v>2</v>
      </c>
      <c r="E164" s="106">
        <f t="shared" si="7"/>
        <v>1203</v>
      </c>
      <c r="F164" s="46">
        <f ca="1">OFFSET(card!$A$1,MATCH(G164,card!B:B,0)-1,0)</f>
        <v>1010001</v>
      </c>
      <c r="G164" s="91" t="s">
        <v>365</v>
      </c>
      <c r="I164" s="91">
        <f ca="1">OFFSET(card!$J$1,MATCH(G164,card!B:B,0)-1,0)</f>
        <v>1</v>
      </c>
      <c r="J164" s="91">
        <f ca="1">OFFSET(card!$K$1,MATCH(G164,card!B:B,0)-1,0)</f>
        <v>3</v>
      </c>
    </row>
    <row r="165" ht="15" spans="1:10">
      <c r="A165" s="276">
        <f t="shared" si="10"/>
        <v>120308</v>
      </c>
      <c r="B165" s="277">
        <v>8</v>
      </c>
      <c r="C165" s="278">
        <v>1</v>
      </c>
      <c r="D165" s="106">
        <v>2</v>
      </c>
      <c r="E165" s="106">
        <f t="shared" si="7"/>
        <v>1203</v>
      </c>
      <c r="F165" s="46">
        <f ca="1">OFFSET(card!$A$1,MATCH(G165,card!B:B,0)-1,0)</f>
        <v>1015001</v>
      </c>
      <c r="G165" s="91" t="s">
        <v>445</v>
      </c>
      <c r="I165" s="91">
        <f ca="1">OFFSET(card!$J$1,MATCH(G165,card!B:B,0)-1,0)</f>
        <v>3</v>
      </c>
      <c r="J165" s="91">
        <f ca="1">OFFSET(card!$K$1,MATCH(G165,card!B:B,0)-1,0)</f>
        <v>1</v>
      </c>
    </row>
    <row r="166" ht="15" spans="1:10">
      <c r="A166" s="276">
        <f t="shared" si="10"/>
        <v>120309</v>
      </c>
      <c r="B166" s="277">
        <v>9</v>
      </c>
      <c r="C166" s="278">
        <v>1</v>
      </c>
      <c r="D166" s="106">
        <v>2</v>
      </c>
      <c r="E166" s="106">
        <f t="shared" si="7"/>
        <v>1203</v>
      </c>
      <c r="F166" s="46">
        <f ca="1">OFFSET(card!$A$1,MATCH(G166,card!B:B,0)-1,0)</f>
        <v>1002001</v>
      </c>
      <c r="G166" s="91" t="s">
        <v>471</v>
      </c>
      <c r="I166" s="91">
        <f ca="1">OFFSET(card!$J$1,MATCH(G166,card!B:B,0)-1,0)</f>
        <v>1</v>
      </c>
      <c r="J166" s="91">
        <f ca="1">OFFSET(card!$K$1,MATCH(G166,card!B:B,0)-1,0)</f>
        <v>1</v>
      </c>
    </row>
    <row r="167" ht="15" spans="1:10">
      <c r="A167" s="276">
        <f t="shared" si="10"/>
        <v>120310</v>
      </c>
      <c r="B167" s="277">
        <v>10</v>
      </c>
      <c r="C167" s="278">
        <v>1</v>
      </c>
      <c r="D167" s="106">
        <v>2</v>
      </c>
      <c r="E167" s="106">
        <f t="shared" ref="E167:E217" si="11">E157+1</f>
        <v>1203</v>
      </c>
      <c r="F167" s="46">
        <f ca="1">OFFSET(card!$A$1,MATCH(G167,card!B:B,0)-1,0)</f>
        <v>1007001</v>
      </c>
      <c r="G167" s="91" t="s">
        <v>413</v>
      </c>
      <c r="I167" s="91">
        <f ca="1">OFFSET(card!$J$1,MATCH(G167,card!B:B,0)-1,0)</f>
        <v>1</v>
      </c>
      <c r="J167" s="91">
        <f ca="1">OFFSET(card!$K$1,MATCH(G167,card!B:B,0)-1,0)</f>
        <v>2</v>
      </c>
    </row>
    <row r="168" ht="15" spans="1:10">
      <c r="A168" s="276">
        <f t="shared" si="10"/>
        <v>120401</v>
      </c>
      <c r="B168" s="277">
        <v>1</v>
      </c>
      <c r="C168" s="278">
        <v>1</v>
      </c>
      <c r="D168" s="106">
        <v>2</v>
      </c>
      <c r="E168" s="106">
        <f t="shared" si="11"/>
        <v>1204</v>
      </c>
      <c r="F168" s="46">
        <f ca="1">OFFSET(card!$A$1,MATCH(G168,card!B:B,0)-1,0)</f>
        <v>1002001</v>
      </c>
      <c r="G168" s="91" t="s">
        <v>471</v>
      </c>
      <c r="I168" s="91">
        <f ca="1">OFFSET(card!$J$1,MATCH(G168,card!B:B,0)-1,0)</f>
        <v>1</v>
      </c>
      <c r="J168" s="91">
        <f ca="1">OFFSET(card!$K$1,MATCH(G168,card!B:B,0)-1,0)</f>
        <v>1</v>
      </c>
    </row>
    <row r="169" ht="15" spans="1:10">
      <c r="A169" s="276">
        <f t="shared" si="10"/>
        <v>120402</v>
      </c>
      <c r="B169" s="277">
        <v>2</v>
      </c>
      <c r="C169" s="278">
        <v>1</v>
      </c>
      <c r="D169" s="106">
        <v>2</v>
      </c>
      <c r="E169" s="106">
        <f t="shared" si="11"/>
        <v>1204</v>
      </c>
      <c r="F169" s="46">
        <f ca="1">OFFSET(card!$A$1,MATCH(G169,card!B:B,0)-1,0)</f>
        <v>1003001</v>
      </c>
      <c r="G169" s="91" t="s">
        <v>589</v>
      </c>
      <c r="I169" s="91">
        <f ca="1">OFFSET(card!$J$1,MATCH(G169,card!B:B,0)-1,0)</f>
        <v>1</v>
      </c>
      <c r="J169" s="91">
        <f ca="1">OFFSET(card!$K$1,MATCH(G169,card!B:B,0)-1,0)</f>
        <v>1</v>
      </c>
    </row>
    <row r="170" ht="15" spans="1:10">
      <c r="A170" s="276">
        <f t="shared" si="10"/>
        <v>120403</v>
      </c>
      <c r="B170" s="277">
        <v>3</v>
      </c>
      <c r="C170" s="278">
        <v>1</v>
      </c>
      <c r="D170" s="106">
        <v>2</v>
      </c>
      <c r="E170" s="106">
        <f t="shared" si="11"/>
        <v>1204</v>
      </c>
      <c r="F170" s="46">
        <f ca="1">OFFSET(card!$A$1,MATCH(G170,card!B:B,0)-1,0)</f>
        <v>1006001</v>
      </c>
      <c r="G170" s="91" t="s">
        <v>496</v>
      </c>
      <c r="I170" s="91">
        <f ca="1">OFFSET(card!$J$1,MATCH(G170,card!B:B,0)-1,0)</f>
        <v>1</v>
      </c>
      <c r="J170" s="91">
        <f ca="1">OFFSET(card!$K$1,MATCH(G170,card!B:B,0)-1,0)</f>
        <v>1</v>
      </c>
    </row>
    <row r="171" ht="15" spans="1:10">
      <c r="A171" s="276">
        <f t="shared" si="10"/>
        <v>120404</v>
      </c>
      <c r="B171" s="277">
        <v>4</v>
      </c>
      <c r="C171" s="278">
        <v>1</v>
      </c>
      <c r="D171" s="106">
        <v>2</v>
      </c>
      <c r="E171" s="106">
        <f t="shared" si="11"/>
        <v>1204</v>
      </c>
      <c r="F171" s="46">
        <f ca="1">OFFSET(card!$A$1,MATCH(G171,card!B:B,0)-1,0)</f>
        <v>1016001</v>
      </c>
      <c r="G171" s="91" t="s">
        <v>652</v>
      </c>
      <c r="I171" s="91">
        <f ca="1">OFFSET(card!$J$1,MATCH(G171,card!B:B,0)-1,0)</f>
        <v>3</v>
      </c>
      <c r="J171" s="91">
        <f ca="1">OFFSET(card!$K$1,MATCH(G171,card!B:B,0)-1,0)</f>
        <v>2</v>
      </c>
    </row>
    <row r="172" ht="15" spans="1:10">
      <c r="A172" s="276">
        <f t="shared" si="10"/>
        <v>120405</v>
      </c>
      <c r="B172" s="277">
        <v>5</v>
      </c>
      <c r="C172" s="278">
        <v>1</v>
      </c>
      <c r="D172" s="106">
        <v>2</v>
      </c>
      <c r="E172" s="106">
        <f t="shared" si="11"/>
        <v>1204</v>
      </c>
      <c r="F172" s="46">
        <f ca="1">OFFSET(card!$A$1,MATCH(G172,card!B:B,0)-1,0)</f>
        <v>1002001</v>
      </c>
      <c r="G172" s="91" t="s">
        <v>471</v>
      </c>
      <c r="I172" s="91">
        <f ca="1">OFFSET(card!$J$1,MATCH(G172,card!B:B,0)-1,0)</f>
        <v>1</v>
      </c>
      <c r="J172" s="91">
        <f ca="1">OFFSET(card!$K$1,MATCH(G172,card!B:B,0)-1,0)</f>
        <v>1</v>
      </c>
    </row>
    <row r="173" ht="15" spans="1:10">
      <c r="A173" s="276">
        <f t="shared" si="10"/>
        <v>120406</v>
      </c>
      <c r="B173" s="277">
        <v>6</v>
      </c>
      <c r="C173" s="278">
        <v>1</v>
      </c>
      <c r="D173" s="106">
        <v>2</v>
      </c>
      <c r="E173" s="106">
        <f t="shared" si="11"/>
        <v>1204</v>
      </c>
      <c r="F173" s="46">
        <f ca="1">OFFSET(card!$A$1,MATCH(G173,card!B:B,0)-1,0)</f>
        <v>1003001</v>
      </c>
      <c r="G173" s="91" t="s">
        <v>589</v>
      </c>
      <c r="I173" s="91">
        <f ca="1">OFFSET(card!$J$1,MATCH(G173,card!B:B,0)-1,0)</f>
        <v>1</v>
      </c>
      <c r="J173" s="91">
        <f ca="1">OFFSET(card!$K$1,MATCH(G173,card!B:B,0)-1,0)</f>
        <v>1</v>
      </c>
    </row>
    <row r="174" ht="15" spans="1:10">
      <c r="A174" s="276">
        <f t="shared" si="10"/>
        <v>120407</v>
      </c>
      <c r="B174" s="277">
        <v>7</v>
      </c>
      <c r="C174" s="278">
        <v>1</v>
      </c>
      <c r="D174" s="106">
        <v>2</v>
      </c>
      <c r="E174" s="106">
        <f t="shared" si="11"/>
        <v>1204</v>
      </c>
      <c r="F174" s="46">
        <f ca="1">OFFSET(card!$A$1,MATCH(G174,card!B:B,0)-1,0)</f>
        <v>1006001</v>
      </c>
      <c r="G174" s="91" t="s">
        <v>496</v>
      </c>
      <c r="I174" s="91">
        <f ca="1">OFFSET(card!$J$1,MATCH(G174,card!B:B,0)-1,0)</f>
        <v>1</v>
      </c>
      <c r="J174" s="91">
        <f ca="1">OFFSET(card!$K$1,MATCH(G174,card!B:B,0)-1,0)</f>
        <v>1</v>
      </c>
    </row>
    <row r="175" ht="15" spans="1:10">
      <c r="A175" s="276">
        <f t="shared" si="10"/>
        <v>120408</v>
      </c>
      <c r="B175" s="277">
        <v>8</v>
      </c>
      <c r="C175" s="278">
        <v>1</v>
      </c>
      <c r="D175" s="106">
        <v>2</v>
      </c>
      <c r="E175" s="106">
        <f t="shared" si="11"/>
        <v>1204</v>
      </c>
      <c r="F175" s="46">
        <f ca="1">OFFSET(card!$A$1,MATCH(G175,card!B:B,0)-1,0)</f>
        <v>1016001</v>
      </c>
      <c r="G175" s="91" t="s">
        <v>652</v>
      </c>
      <c r="I175" s="91">
        <f ca="1">OFFSET(card!$J$1,MATCH(G175,card!B:B,0)-1,0)</f>
        <v>3</v>
      </c>
      <c r="J175" s="91">
        <f ca="1">OFFSET(card!$K$1,MATCH(G175,card!B:B,0)-1,0)</f>
        <v>2</v>
      </c>
    </row>
    <row r="176" ht="15" spans="1:10">
      <c r="A176" s="276">
        <f t="shared" si="10"/>
        <v>120409</v>
      </c>
      <c r="B176" s="277">
        <v>9</v>
      </c>
      <c r="C176" s="278">
        <v>1</v>
      </c>
      <c r="D176" s="106">
        <v>2</v>
      </c>
      <c r="E176" s="106">
        <f t="shared" si="11"/>
        <v>1204</v>
      </c>
      <c r="F176" s="46">
        <f ca="1">OFFSET(card!$A$1,MATCH(G176,card!B:B,0)-1,0)</f>
        <v>1006001</v>
      </c>
      <c r="G176" s="91" t="s">
        <v>496</v>
      </c>
      <c r="I176" s="91">
        <f ca="1">OFFSET(card!$J$1,MATCH(G176,card!B:B,0)-1,0)</f>
        <v>1</v>
      </c>
      <c r="J176" s="91">
        <f ca="1">OFFSET(card!$K$1,MATCH(G176,card!B:B,0)-1,0)</f>
        <v>1</v>
      </c>
    </row>
    <row r="177" ht="15" spans="1:10">
      <c r="A177" s="276">
        <f t="shared" si="10"/>
        <v>120410</v>
      </c>
      <c r="B177" s="277">
        <v>10</v>
      </c>
      <c r="C177" s="278">
        <v>1</v>
      </c>
      <c r="D177" s="106">
        <v>2</v>
      </c>
      <c r="E177" s="106">
        <f t="shared" si="11"/>
        <v>1204</v>
      </c>
      <c r="F177" s="46">
        <f ca="1">OFFSET(card!$A$1,MATCH(G177,card!B:B,0)-1,0)</f>
        <v>1016001</v>
      </c>
      <c r="G177" s="91" t="s">
        <v>652</v>
      </c>
      <c r="I177" s="91">
        <f ca="1">OFFSET(card!$J$1,MATCH(G177,card!B:B,0)-1,0)</f>
        <v>3</v>
      </c>
      <c r="J177" s="91">
        <f ca="1">OFFSET(card!$K$1,MATCH(G177,card!B:B,0)-1,0)</f>
        <v>2</v>
      </c>
    </row>
    <row r="178" ht="15" spans="1:10">
      <c r="A178" s="276">
        <f t="shared" si="10"/>
        <v>130101</v>
      </c>
      <c r="B178" s="277">
        <v>1</v>
      </c>
      <c r="C178" s="278">
        <v>1</v>
      </c>
      <c r="D178" s="106">
        <v>3</v>
      </c>
      <c r="E178" s="106">
        <f t="shared" ref="E178:E187" si="12">C178*1000+D178*100+1</f>
        <v>1301</v>
      </c>
      <c r="F178" s="46">
        <f ca="1">OFFSET(card!$A$1,MATCH(G178,card!B:B,0)-1,0)</f>
        <v>1002001</v>
      </c>
      <c r="G178" s="91" t="s">
        <v>471</v>
      </c>
      <c r="H178" s="91" t="s">
        <v>1491</v>
      </c>
      <c r="I178" s="91">
        <f ca="1">OFFSET(card!$J$1,MATCH(G178,card!B:B,0)-1,0)</f>
        <v>1</v>
      </c>
      <c r="J178" s="91">
        <f ca="1">OFFSET(card!$K$1,MATCH(G178,card!B:B,0)-1,0)</f>
        <v>1</v>
      </c>
    </row>
    <row r="179" ht="15" spans="1:10">
      <c r="A179" s="276">
        <f t="shared" si="10"/>
        <v>130102</v>
      </c>
      <c r="B179" s="277">
        <v>2</v>
      </c>
      <c r="C179" s="278">
        <v>1</v>
      </c>
      <c r="D179" s="106">
        <v>3</v>
      </c>
      <c r="E179" s="106">
        <f t="shared" si="12"/>
        <v>1301</v>
      </c>
      <c r="F179" s="46">
        <f ca="1">OFFSET(card!$A$1,MATCH(G179,card!B:B,0)-1,0)</f>
        <v>1009001</v>
      </c>
      <c r="G179" s="91" t="s">
        <v>619</v>
      </c>
      <c r="H179" s="91" t="s">
        <v>1491</v>
      </c>
      <c r="I179" s="91">
        <f ca="1">OFFSET(card!$J$1,MATCH(G179,card!B:B,0)-1,0)</f>
        <v>1</v>
      </c>
      <c r="J179" s="91">
        <f ca="1">OFFSET(card!$K$1,MATCH(G179,card!B:B,0)-1,0)</f>
        <v>1</v>
      </c>
    </row>
    <row r="180" ht="15" spans="1:10">
      <c r="A180" s="276">
        <f t="shared" si="10"/>
        <v>130103</v>
      </c>
      <c r="B180" s="277">
        <v>3</v>
      </c>
      <c r="C180" s="278">
        <v>1</v>
      </c>
      <c r="D180" s="106">
        <v>3</v>
      </c>
      <c r="E180" s="106">
        <f t="shared" si="12"/>
        <v>1301</v>
      </c>
      <c r="F180" s="46">
        <f ca="1">OFFSET(card!$A$1,MATCH(G180,card!B:B,0)-1,0)</f>
        <v>1014001</v>
      </c>
      <c r="G180" s="91" t="s">
        <v>642</v>
      </c>
      <c r="H180" s="91" t="s">
        <v>1491</v>
      </c>
      <c r="I180" s="91">
        <f ca="1">OFFSET(card!$J$1,MATCH(G180,card!B:B,0)-1,0)</f>
        <v>2</v>
      </c>
      <c r="J180" s="91">
        <f ca="1">OFFSET(card!$K$1,MATCH(G180,card!B:B,0)-1,0)</f>
        <v>1</v>
      </c>
    </row>
    <row r="181" ht="15" spans="1:10">
      <c r="A181" s="276">
        <f t="shared" si="10"/>
        <v>130104</v>
      </c>
      <c r="B181" s="277">
        <v>4</v>
      </c>
      <c r="C181" s="278">
        <v>1</v>
      </c>
      <c r="D181" s="106">
        <v>3</v>
      </c>
      <c r="E181" s="106">
        <f t="shared" si="12"/>
        <v>1301</v>
      </c>
      <c r="F181" s="46">
        <f ca="1">OFFSET(card!$A$1,MATCH(G181,card!B:B,0)-1,0)</f>
        <v>1017001</v>
      </c>
      <c r="G181" s="91" t="s">
        <v>480</v>
      </c>
      <c r="H181" s="91" t="s">
        <v>1491</v>
      </c>
      <c r="I181" s="91">
        <f ca="1">OFFSET(card!$J$1,MATCH(G181,card!B:B,0)-1,0)</f>
        <v>3</v>
      </c>
      <c r="J181" s="91">
        <f ca="1">OFFSET(card!$K$1,MATCH(G181,card!B:B,0)-1,0)</f>
        <v>2</v>
      </c>
    </row>
    <row r="182" ht="15" spans="1:10">
      <c r="A182" s="276">
        <f t="shared" si="10"/>
        <v>130105</v>
      </c>
      <c r="B182" s="277">
        <v>5</v>
      </c>
      <c r="C182" s="278">
        <v>1</v>
      </c>
      <c r="D182" s="106">
        <v>3</v>
      </c>
      <c r="E182" s="106">
        <f t="shared" si="12"/>
        <v>1301</v>
      </c>
      <c r="F182" s="46">
        <f ca="1">OFFSET(card!$A$1,MATCH(G182,card!B:B,0)-1,0)</f>
        <v>1002001</v>
      </c>
      <c r="G182" s="91" t="s">
        <v>471</v>
      </c>
      <c r="H182" s="91" t="s">
        <v>1491</v>
      </c>
      <c r="I182" s="91">
        <f ca="1">OFFSET(card!$J$1,MATCH(G182,card!B:B,0)-1,0)</f>
        <v>1</v>
      </c>
      <c r="J182" s="91">
        <f ca="1">OFFSET(card!$K$1,MATCH(G182,card!B:B,0)-1,0)</f>
        <v>1</v>
      </c>
    </row>
    <row r="183" ht="15" spans="1:10">
      <c r="A183" s="276">
        <f t="shared" si="10"/>
        <v>130106</v>
      </c>
      <c r="B183" s="277">
        <v>6</v>
      </c>
      <c r="C183" s="278">
        <v>1</v>
      </c>
      <c r="D183" s="106">
        <v>3</v>
      </c>
      <c r="E183" s="106">
        <f t="shared" si="12"/>
        <v>1301</v>
      </c>
      <c r="F183" s="46">
        <f ca="1">OFFSET(card!$A$1,MATCH(G183,card!B:B,0)-1,0)</f>
        <v>1009001</v>
      </c>
      <c r="G183" s="91" t="s">
        <v>619</v>
      </c>
      <c r="H183" s="91" t="s">
        <v>1491</v>
      </c>
      <c r="I183" s="91">
        <f ca="1">OFFSET(card!$J$1,MATCH(G183,card!B:B,0)-1,0)</f>
        <v>1</v>
      </c>
      <c r="J183" s="91">
        <f ca="1">OFFSET(card!$K$1,MATCH(G183,card!B:B,0)-1,0)</f>
        <v>1</v>
      </c>
    </row>
    <row r="184" ht="15" spans="1:10">
      <c r="A184" s="276">
        <f t="shared" si="10"/>
        <v>130107</v>
      </c>
      <c r="B184" s="277">
        <v>7</v>
      </c>
      <c r="C184" s="278">
        <v>1</v>
      </c>
      <c r="D184" s="106">
        <v>3</v>
      </c>
      <c r="E184" s="106">
        <f t="shared" si="12"/>
        <v>1301</v>
      </c>
      <c r="F184" s="46">
        <f ca="1">OFFSET(card!$A$1,MATCH(G184,card!B:B,0)-1,0)</f>
        <v>1014001</v>
      </c>
      <c r="G184" s="91" t="s">
        <v>642</v>
      </c>
      <c r="H184" s="91" t="s">
        <v>1491</v>
      </c>
      <c r="I184" s="91">
        <f ca="1">OFFSET(card!$J$1,MATCH(G184,card!B:B,0)-1,0)</f>
        <v>2</v>
      </c>
      <c r="J184" s="91">
        <f ca="1">OFFSET(card!$K$1,MATCH(G184,card!B:B,0)-1,0)</f>
        <v>1</v>
      </c>
    </row>
    <row r="185" ht="15" spans="1:10">
      <c r="A185" s="276">
        <f t="shared" si="10"/>
        <v>130108</v>
      </c>
      <c r="B185" s="277">
        <v>8</v>
      </c>
      <c r="C185" s="278">
        <v>1</v>
      </c>
      <c r="D185" s="106">
        <v>3</v>
      </c>
      <c r="E185" s="106">
        <f t="shared" si="12"/>
        <v>1301</v>
      </c>
      <c r="F185" s="46">
        <f ca="1">OFFSET(card!$A$1,MATCH(G185,card!B:B,0)-1,0)</f>
        <v>1017001</v>
      </c>
      <c r="G185" s="91" t="s">
        <v>480</v>
      </c>
      <c r="H185" s="91" t="s">
        <v>1491</v>
      </c>
      <c r="I185" s="91">
        <f ca="1">OFFSET(card!$J$1,MATCH(G185,card!B:B,0)-1,0)</f>
        <v>3</v>
      </c>
      <c r="J185" s="91">
        <f ca="1">OFFSET(card!$K$1,MATCH(G185,card!B:B,0)-1,0)</f>
        <v>2</v>
      </c>
    </row>
    <row r="186" ht="15" spans="1:10">
      <c r="A186" s="276">
        <f t="shared" si="10"/>
        <v>130109</v>
      </c>
      <c r="B186" s="277">
        <v>9</v>
      </c>
      <c r="C186" s="278">
        <v>1</v>
      </c>
      <c r="D186" s="106">
        <v>3</v>
      </c>
      <c r="E186" s="106">
        <f t="shared" si="12"/>
        <v>1301</v>
      </c>
      <c r="F186" s="46">
        <f ca="1">OFFSET(card!$A$1,MATCH(G186,card!B:B,0)-1,0)</f>
        <v>1014001</v>
      </c>
      <c r="G186" s="91" t="s">
        <v>642</v>
      </c>
      <c r="H186" s="91" t="s">
        <v>1491</v>
      </c>
      <c r="I186" s="91">
        <f ca="1">OFFSET(card!$J$1,MATCH(G186,card!B:B,0)-1,0)</f>
        <v>2</v>
      </c>
      <c r="J186" s="91">
        <f ca="1">OFFSET(card!$K$1,MATCH(G186,card!B:B,0)-1,0)</f>
        <v>1</v>
      </c>
    </row>
    <row r="187" ht="15" spans="1:10">
      <c r="A187" s="276">
        <f t="shared" si="10"/>
        <v>130110</v>
      </c>
      <c r="B187" s="277">
        <v>10</v>
      </c>
      <c r="C187" s="278">
        <v>1</v>
      </c>
      <c r="D187" s="106">
        <v>3</v>
      </c>
      <c r="E187" s="106">
        <f t="shared" si="12"/>
        <v>1301</v>
      </c>
      <c r="F187" s="46">
        <f ca="1">OFFSET(card!$A$1,MATCH(G187,card!B:B,0)-1,0)</f>
        <v>1017001</v>
      </c>
      <c r="G187" s="91" t="s">
        <v>480</v>
      </c>
      <c r="H187" s="91" t="s">
        <v>1491</v>
      </c>
      <c r="I187" s="91">
        <f ca="1">OFFSET(card!$J$1,MATCH(G187,card!B:B,0)-1,0)</f>
        <v>3</v>
      </c>
      <c r="J187" s="91">
        <f ca="1">OFFSET(card!$K$1,MATCH(G187,card!B:B,0)-1,0)</f>
        <v>2</v>
      </c>
    </row>
    <row r="188" ht="15" spans="1:10">
      <c r="A188" s="276">
        <f t="shared" si="10"/>
        <v>130201</v>
      </c>
      <c r="B188" s="277">
        <v>1</v>
      </c>
      <c r="C188" s="278">
        <v>1</v>
      </c>
      <c r="D188" s="106">
        <v>3</v>
      </c>
      <c r="E188" s="106">
        <f t="shared" si="11"/>
        <v>1302</v>
      </c>
      <c r="F188" s="46">
        <f ca="1">OFFSET(card!$A$1,MATCH(G188,card!B:B,0)-1,0)</f>
        <v>1003001</v>
      </c>
      <c r="G188" s="91" t="s">
        <v>589</v>
      </c>
      <c r="I188" s="91">
        <f ca="1">OFFSET(card!$J$1,MATCH(G188,card!B:B,0)-1,0)</f>
        <v>1</v>
      </c>
      <c r="J188" s="91">
        <f ca="1">OFFSET(card!$K$1,MATCH(G188,card!B:B,0)-1,0)</f>
        <v>1</v>
      </c>
    </row>
    <row r="189" ht="15" spans="1:10">
      <c r="A189" s="276">
        <f t="shared" ref="A189:A217" si="13">E189*100+B189</f>
        <v>130202</v>
      </c>
      <c r="B189" s="277">
        <v>2</v>
      </c>
      <c r="C189" s="278">
        <v>1</v>
      </c>
      <c r="D189" s="106">
        <v>3</v>
      </c>
      <c r="E189" s="106">
        <f t="shared" si="11"/>
        <v>1302</v>
      </c>
      <c r="F189" s="46">
        <f ca="1">OFFSET(card!$A$1,MATCH(G189,card!B:B,0)-1,0)</f>
        <v>1007001</v>
      </c>
      <c r="G189" s="91" t="s">
        <v>413</v>
      </c>
      <c r="I189" s="91">
        <f ca="1">OFFSET(card!$J$1,MATCH(G189,card!B:B,0)-1,0)</f>
        <v>1</v>
      </c>
      <c r="J189" s="91">
        <f ca="1">OFFSET(card!$K$1,MATCH(G189,card!B:B,0)-1,0)</f>
        <v>2</v>
      </c>
    </row>
    <row r="190" ht="15" spans="1:10">
      <c r="A190" s="276">
        <f t="shared" si="13"/>
        <v>130203</v>
      </c>
      <c r="B190" s="277">
        <v>3</v>
      </c>
      <c r="C190" s="278">
        <v>1</v>
      </c>
      <c r="D190" s="106">
        <v>3</v>
      </c>
      <c r="E190" s="106">
        <f t="shared" si="11"/>
        <v>1302</v>
      </c>
      <c r="F190" s="46">
        <f ca="1">OFFSET(card!$A$1,MATCH(G190,card!B:B,0)-1,0)</f>
        <v>1010001</v>
      </c>
      <c r="G190" s="91" t="s">
        <v>365</v>
      </c>
      <c r="I190" s="91">
        <f ca="1">OFFSET(card!$J$1,MATCH(G190,card!B:B,0)-1,0)</f>
        <v>1</v>
      </c>
      <c r="J190" s="91">
        <f ca="1">OFFSET(card!$K$1,MATCH(G190,card!B:B,0)-1,0)</f>
        <v>3</v>
      </c>
    </row>
    <row r="191" ht="15" spans="1:10">
      <c r="A191" s="276">
        <f t="shared" si="13"/>
        <v>130204</v>
      </c>
      <c r="B191" s="277">
        <v>4</v>
      </c>
      <c r="C191" s="278">
        <v>1</v>
      </c>
      <c r="D191" s="106">
        <v>3</v>
      </c>
      <c r="E191" s="106">
        <f t="shared" si="11"/>
        <v>1302</v>
      </c>
      <c r="F191" s="46">
        <f ca="1">OFFSET(card!$A$1,MATCH(G191,card!B:B,0)-1,0)</f>
        <v>1018001</v>
      </c>
      <c r="G191" s="91" t="s">
        <v>661</v>
      </c>
      <c r="I191" s="91">
        <f ca="1">OFFSET(card!$J$1,MATCH(G191,card!B:B,0)-1,0)</f>
        <v>3</v>
      </c>
      <c r="J191" s="91">
        <f ca="1">OFFSET(card!$K$1,MATCH(G191,card!B:B,0)-1,0)</f>
        <v>3</v>
      </c>
    </row>
    <row r="192" ht="15" spans="1:10">
      <c r="A192" s="276">
        <f t="shared" si="13"/>
        <v>130205</v>
      </c>
      <c r="B192" s="277">
        <v>5</v>
      </c>
      <c r="C192" s="278">
        <v>1</v>
      </c>
      <c r="D192" s="106">
        <v>3</v>
      </c>
      <c r="E192" s="106">
        <f t="shared" si="11"/>
        <v>1302</v>
      </c>
      <c r="F192" s="46">
        <f ca="1">OFFSET(card!$A$1,MATCH(G192,card!B:B,0)-1,0)</f>
        <v>1003001</v>
      </c>
      <c r="G192" s="91" t="s">
        <v>589</v>
      </c>
      <c r="I192" s="91">
        <f ca="1">OFFSET(card!$J$1,MATCH(G192,card!B:B,0)-1,0)</f>
        <v>1</v>
      </c>
      <c r="J192" s="91">
        <f ca="1">OFFSET(card!$K$1,MATCH(G192,card!B:B,0)-1,0)</f>
        <v>1</v>
      </c>
    </row>
    <row r="193" ht="15" spans="1:10">
      <c r="A193" s="276">
        <f t="shared" si="13"/>
        <v>130206</v>
      </c>
      <c r="B193" s="277">
        <v>6</v>
      </c>
      <c r="C193" s="278">
        <v>1</v>
      </c>
      <c r="D193" s="106">
        <v>3</v>
      </c>
      <c r="E193" s="106">
        <f t="shared" si="11"/>
        <v>1302</v>
      </c>
      <c r="F193" s="46">
        <f ca="1">OFFSET(card!$A$1,MATCH(G193,card!B:B,0)-1,0)</f>
        <v>1007001</v>
      </c>
      <c r="G193" s="91" t="s">
        <v>413</v>
      </c>
      <c r="I193" s="91">
        <f ca="1">OFFSET(card!$J$1,MATCH(G193,card!B:B,0)-1,0)</f>
        <v>1</v>
      </c>
      <c r="J193" s="91">
        <f ca="1">OFFSET(card!$K$1,MATCH(G193,card!B:B,0)-1,0)</f>
        <v>2</v>
      </c>
    </row>
    <row r="194" ht="15" spans="1:10">
      <c r="A194" s="276">
        <f t="shared" si="13"/>
        <v>130207</v>
      </c>
      <c r="B194" s="277">
        <v>7</v>
      </c>
      <c r="C194" s="278">
        <v>1</v>
      </c>
      <c r="D194" s="106">
        <v>3</v>
      </c>
      <c r="E194" s="106">
        <f t="shared" si="11"/>
        <v>1302</v>
      </c>
      <c r="F194" s="46">
        <f ca="1">OFFSET(card!$A$1,MATCH(G194,card!B:B,0)-1,0)</f>
        <v>1010001</v>
      </c>
      <c r="G194" s="91" t="s">
        <v>365</v>
      </c>
      <c r="I194" s="91">
        <f ca="1">OFFSET(card!$J$1,MATCH(G194,card!B:B,0)-1,0)</f>
        <v>1</v>
      </c>
      <c r="J194" s="91">
        <f ca="1">OFFSET(card!$K$1,MATCH(G194,card!B:B,0)-1,0)</f>
        <v>3</v>
      </c>
    </row>
    <row r="195" ht="15" spans="1:10">
      <c r="A195" s="276">
        <f t="shared" si="13"/>
        <v>130208</v>
      </c>
      <c r="B195" s="277">
        <v>8</v>
      </c>
      <c r="C195" s="278">
        <v>1</v>
      </c>
      <c r="D195" s="106">
        <v>3</v>
      </c>
      <c r="E195" s="106">
        <f t="shared" si="11"/>
        <v>1302</v>
      </c>
      <c r="F195" s="46">
        <f ca="1">OFFSET(card!$A$1,MATCH(G195,card!B:B,0)-1,0)</f>
        <v>1018001</v>
      </c>
      <c r="G195" s="91" t="s">
        <v>661</v>
      </c>
      <c r="I195" s="91">
        <f ca="1">OFFSET(card!$J$1,MATCH(G195,card!B:B,0)-1,0)</f>
        <v>3</v>
      </c>
      <c r="J195" s="91">
        <f ca="1">OFFSET(card!$K$1,MATCH(G195,card!B:B,0)-1,0)</f>
        <v>3</v>
      </c>
    </row>
    <row r="196" ht="15" spans="1:10">
      <c r="A196" s="276">
        <f t="shared" si="13"/>
        <v>130209</v>
      </c>
      <c r="B196" s="277">
        <v>9</v>
      </c>
      <c r="C196" s="278">
        <v>1</v>
      </c>
      <c r="D196" s="106">
        <v>3</v>
      </c>
      <c r="E196" s="106">
        <f t="shared" si="11"/>
        <v>1302</v>
      </c>
      <c r="F196" s="46">
        <f ca="1">OFFSET(card!$A$1,MATCH(G196,card!B:B,0)-1,0)</f>
        <v>1003001</v>
      </c>
      <c r="G196" s="91" t="s">
        <v>589</v>
      </c>
      <c r="I196" s="91">
        <f ca="1">OFFSET(card!$J$1,MATCH(G196,card!B:B,0)-1,0)</f>
        <v>1</v>
      </c>
      <c r="J196" s="91">
        <f ca="1">OFFSET(card!$K$1,MATCH(G196,card!B:B,0)-1,0)</f>
        <v>1</v>
      </c>
    </row>
    <row r="197" ht="15" spans="1:10">
      <c r="A197" s="276">
        <f t="shared" si="13"/>
        <v>130210</v>
      </c>
      <c r="B197" s="277">
        <v>10</v>
      </c>
      <c r="C197" s="278">
        <v>1</v>
      </c>
      <c r="D197" s="106">
        <v>3</v>
      </c>
      <c r="E197" s="106">
        <f t="shared" si="11"/>
        <v>1302</v>
      </c>
      <c r="F197" s="46">
        <f ca="1">OFFSET(card!$A$1,MATCH(G197,card!B:B,0)-1,0)</f>
        <v>1007001</v>
      </c>
      <c r="G197" s="91" t="s">
        <v>413</v>
      </c>
      <c r="I197" s="91">
        <f ca="1">OFFSET(card!$J$1,MATCH(G197,card!B:B,0)-1,0)</f>
        <v>1</v>
      </c>
      <c r="J197" s="91">
        <f ca="1">OFFSET(card!$K$1,MATCH(G197,card!B:B,0)-1,0)</f>
        <v>2</v>
      </c>
    </row>
    <row r="198" ht="15" spans="1:10">
      <c r="A198" s="276">
        <f t="shared" si="13"/>
        <v>130301</v>
      </c>
      <c r="B198" s="277">
        <v>1</v>
      </c>
      <c r="C198" s="278">
        <v>1</v>
      </c>
      <c r="D198" s="106">
        <v>3</v>
      </c>
      <c r="E198" s="106">
        <f t="shared" si="11"/>
        <v>1303</v>
      </c>
      <c r="F198" s="46">
        <f ca="1">OFFSET(card!$A$1,MATCH(G198,card!B:B,0)-1,0)</f>
        <v>1001001</v>
      </c>
      <c r="G198" s="91" t="s">
        <v>508</v>
      </c>
      <c r="I198" s="91">
        <f ca="1">OFFSET(card!$J$1,MATCH(G198,card!B:B,0)-1,0)</f>
        <v>1</v>
      </c>
      <c r="J198" s="91">
        <f ca="1">OFFSET(card!$K$1,MATCH(G198,card!B:B,0)-1,0)</f>
        <v>1</v>
      </c>
    </row>
    <row r="199" ht="15" spans="1:10">
      <c r="A199" s="276">
        <f t="shared" si="13"/>
        <v>130302</v>
      </c>
      <c r="B199" s="277">
        <v>2</v>
      </c>
      <c r="C199" s="278">
        <v>1</v>
      </c>
      <c r="D199" s="106">
        <v>3</v>
      </c>
      <c r="E199" s="106">
        <f t="shared" si="11"/>
        <v>1303</v>
      </c>
      <c r="F199" s="46">
        <f ca="1">OFFSET(card!$A$1,MATCH(G199,card!B:B,0)-1,0)</f>
        <v>1011001</v>
      </c>
      <c r="G199" s="91" t="s">
        <v>363</v>
      </c>
      <c r="I199" s="91">
        <f ca="1">OFFSET(card!$J$1,MATCH(G199,card!B:B,0)-1,0)</f>
        <v>2</v>
      </c>
      <c r="J199" s="91">
        <f ca="1">OFFSET(card!$K$1,MATCH(G199,card!B:B,0)-1,0)</f>
        <v>1</v>
      </c>
    </row>
    <row r="200" ht="15" spans="1:10">
      <c r="A200" s="276">
        <f t="shared" si="13"/>
        <v>130303</v>
      </c>
      <c r="B200" s="277">
        <v>3</v>
      </c>
      <c r="C200" s="278">
        <v>1</v>
      </c>
      <c r="D200" s="106">
        <v>3</v>
      </c>
      <c r="E200" s="106">
        <f t="shared" si="11"/>
        <v>1303</v>
      </c>
      <c r="F200" s="46">
        <f ca="1">OFFSET(card!$A$1,MATCH(G200,card!B:B,0)-1,0)</f>
        <v>1012001</v>
      </c>
      <c r="G200" s="91" t="s">
        <v>633</v>
      </c>
      <c r="I200" s="91">
        <f ca="1">OFFSET(card!$J$1,MATCH(G200,card!B:B,0)-1,0)</f>
        <v>2</v>
      </c>
      <c r="J200" s="91">
        <f ca="1">OFFSET(card!$K$1,MATCH(G200,card!B:B,0)-1,0)</f>
        <v>3</v>
      </c>
    </row>
    <row r="201" ht="15" spans="1:10">
      <c r="A201" s="276">
        <f t="shared" si="13"/>
        <v>130304</v>
      </c>
      <c r="B201" s="277">
        <v>4</v>
      </c>
      <c r="C201" s="278">
        <v>1</v>
      </c>
      <c r="D201" s="106">
        <v>3</v>
      </c>
      <c r="E201" s="106">
        <f t="shared" si="11"/>
        <v>1303</v>
      </c>
      <c r="F201" s="46">
        <f ca="1">OFFSET(card!$A$1,MATCH(G201,card!B:B,0)-1,0)</f>
        <v>1019001</v>
      </c>
      <c r="G201" s="91" t="s">
        <v>522</v>
      </c>
      <c r="I201" s="91">
        <f ca="1">OFFSET(card!$J$1,MATCH(G201,card!B:B,0)-1,0)</f>
        <v>2</v>
      </c>
      <c r="J201" s="91">
        <f ca="1">OFFSET(card!$K$1,MATCH(G201,card!B:B,0)-1,0)</f>
        <v>4</v>
      </c>
    </row>
    <row r="202" ht="15" spans="1:10">
      <c r="A202" s="276">
        <f t="shared" si="13"/>
        <v>130305</v>
      </c>
      <c r="B202" s="277">
        <v>5</v>
      </c>
      <c r="C202" s="278">
        <v>1</v>
      </c>
      <c r="D202" s="106">
        <v>3</v>
      </c>
      <c r="E202" s="106">
        <f t="shared" si="11"/>
        <v>1303</v>
      </c>
      <c r="F202" s="46">
        <f ca="1">OFFSET(card!$A$1,MATCH(G202,card!B:B,0)-1,0)</f>
        <v>1001001</v>
      </c>
      <c r="G202" s="91" t="s">
        <v>508</v>
      </c>
      <c r="I202" s="91">
        <f ca="1">OFFSET(card!$J$1,MATCH(G202,card!B:B,0)-1,0)</f>
        <v>1</v>
      </c>
      <c r="J202" s="91">
        <f ca="1">OFFSET(card!$K$1,MATCH(G202,card!B:B,0)-1,0)</f>
        <v>1</v>
      </c>
    </row>
    <row r="203" ht="15" spans="1:10">
      <c r="A203" s="276">
        <f t="shared" si="13"/>
        <v>130306</v>
      </c>
      <c r="B203" s="277">
        <v>6</v>
      </c>
      <c r="C203" s="278">
        <v>1</v>
      </c>
      <c r="D203" s="106">
        <v>3</v>
      </c>
      <c r="E203" s="106">
        <f t="shared" si="11"/>
        <v>1303</v>
      </c>
      <c r="F203" s="46">
        <f ca="1">OFFSET(card!$A$1,MATCH(G203,card!B:B,0)-1,0)</f>
        <v>1011001</v>
      </c>
      <c r="G203" s="91" t="s">
        <v>363</v>
      </c>
      <c r="I203" s="91">
        <f ca="1">OFFSET(card!$J$1,MATCH(G203,card!B:B,0)-1,0)</f>
        <v>2</v>
      </c>
      <c r="J203" s="91">
        <f ca="1">OFFSET(card!$K$1,MATCH(G203,card!B:B,0)-1,0)</f>
        <v>1</v>
      </c>
    </row>
    <row r="204" ht="15" spans="1:10">
      <c r="A204" s="276">
        <f t="shared" si="13"/>
        <v>130307</v>
      </c>
      <c r="B204" s="277">
        <v>7</v>
      </c>
      <c r="C204" s="278">
        <v>1</v>
      </c>
      <c r="D204" s="106">
        <v>3</v>
      </c>
      <c r="E204" s="106">
        <f t="shared" si="11"/>
        <v>1303</v>
      </c>
      <c r="F204" s="46">
        <f ca="1">OFFSET(card!$A$1,MATCH(G204,card!B:B,0)-1,0)</f>
        <v>1012001</v>
      </c>
      <c r="G204" s="91" t="s">
        <v>633</v>
      </c>
      <c r="I204" s="91">
        <f ca="1">OFFSET(card!$J$1,MATCH(G204,card!B:B,0)-1,0)</f>
        <v>2</v>
      </c>
      <c r="J204" s="91">
        <f ca="1">OFFSET(card!$K$1,MATCH(G204,card!B:B,0)-1,0)</f>
        <v>3</v>
      </c>
    </row>
    <row r="205" ht="15" spans="1:10">
      <c r="A205" s="276">
        <f t="shared" si="13"/>
        <v>130308</v>
      </c>
      <c r="B205" s="277">
        <v>8</v>
      </c>
      <c r="C205" s="278">
        <v>1</v>
      </c>
      <c r="D205" s="106">
        <v>3</v>
      </c>
      <c r="E205" s="106">
        <f t="shared" si="11"/>
        <v>1303</v>
      </c>
      <c r="F205" s="46">
        <f ca="1">OFFSET(card!$A$1,MATCH(G205,card!B:B,0)-1,0)</f>
        <v>1019001</v>
      </c>
      <c r="G205" s="91" t="s">
        <v>522</v>
      </c>
      <c r="I205" s="91">
        <f ca="1">OFFSET(card!$J$1,MATCH(G205,card!B:B,0)-1,0)</f>
        <v>2</v>
      </c>
      <c r="J205" s="91">
        <f ca="1">OFFSET(card!$K$1,MATCH(G205,card!B:B,0)-1,0)</f>
        <v>4</v>
      </c>
    </row>
    <row r="206" ht="15" spans="1:10">
      <c r="A206" s="276">
        <f t="shared" si="13"/>
        <v>130309</v>
      </c>
      <c r="B206" s="277">
        <v>9</v>
      </c>
      <c r="C206" s="278">
        <v>1</v>
      </c>
      <c r="D206" s="106">
        <v>3</v>
      </c>
      <c r="E206" s="106">
        <f t="shared" si="11"/>
        <v>1303</v>
      </c>
      <c r="F206" s="46">
        <f ca="1">OFFSET(card!$A$1,MATCH(G206,card!B:B,0)-1,0)</f>
        <v>1012001</v>
      </c>
      <c r="G206" s="91" t="s">
        <v>633</v>
      </c>
      <c r="I206" s="91">
        <f ca="1">OFFSET(card!$J$1,MATCH(G206,card!B:B,0)-1,0)</f>
        <v>2</v>
      </c>
      <c r="J206" s="91">
        <f ca="1">OFFSET(card!$K$1,MATCH(G206,card!B:B,0)-1,0)</f>
        <v>3</v>
      </c>
    </row>
    <row r="207" ht="15" spans="1:10">
      <c r="A207" s="276">
        <f t="shared" si="13"/>
        <v>130310</v>
      </c>
      <c r="B207" s="277">
        <v>10</v>
      </c>
      <c r="C207" s="278">
        <v>1</v>
      </c>
      <c r="D207" s="106">
        <v>3</v>
      </c>
      <c r="E207" s="106">
        <f t="shared" si="11"/>
        <v>1303</v>
      </c>
      <c r="F207" s="46">
        <f ca="1">OFFSET(card!$A$1,MATCH(G207,card!B:B,0)-1,0)</f>
        <v>1019001</v>
      </c>
      <c r="G207" s="91" t="s">
        <v>522</v>
      </c>
      <c r="I207" s="91">
        <f ca="1">OFFSET(card!$J$1,MATCH(G207,card!B:B,0)-1,0)</f>
        <v>2</v>
      </c>
      <c r="J207" s="91">
        <f ca="1">OFFSET(card!$K$1,MATCH(G207,card!B:B,0)-1,0)</f>
        <v>4</v>
      </c>
    </row>
    <row r="208" ht="15" spans="1:10">
      <c r="A208" s="276">
        <f t="shared" si="13"/>
        <v>130401</v>
      </c>
      <c r="B208" s="277">
        <v>1</v>
      </c>
      <c r="C208" s="278">
        <v>1</v>
      </c>
      <c r="D208" s="106">
        <v>3</v>
      </c>
      <c r="E208" s="106">
        <f t="shared" si="11"/>
        <v>1304</v>
      </c>
      <c r="F208" s="46">
        <f ca="1">OFFSET(card!$A$1,MATCH(G208,card!B:B,0)-1,0)</f>
        <v>1005001</v>
      </c>
      <c r="G208" s="91" t="s">
        <v>516</v>
      </c>
      <c r="H208" s="91" t="s">
        <v>1491</v>
      </c>
      <c r="I208" s="91">
        <f ca="1">OFFSET(card!$J$1,MATCH(G208,card!B:B,0)-1,0)</f>
        <v>1</v>
      </c>
      <c r="J208" s="91">
        <f ca="1">OFFSET(card!$K$1,MATCH(G208,card!B:B,0)-1,0)</f>
        <v>2</v>
      </c>
    </row>
    <row r="209" ht="15" spans="1:10">
      <c r="A209" s="276">
        <f t="shared" si="13"/>
        <v>130402</v>
      </c>
      <c r="B209" s="277">
        <v>2</v>
      </c>
      <c r="C209" s="278">
        <v>1</v>
      </c>
      <c r="D209" s="106">
        <v>3</v>
      </c>
      <c r="E209" s="106">
        <f t="shared" si="11"/>
        <v>1304</v>
      </c>
      <c r="F209" s="46">
        <f ca="1">OFFSET(card!$A$1,MATCH(G209,card!B:B,0)-1,0)</f>
        <v>1008001</v>
      </c>
      <c r="G209" s="91" t="s">
        <v>447</v>
      </c>
      <c r="H209" s="91" t="s">
        <v>1491</v>
      </c>
      <c r="I209" s="91">
        <f ca="1">OFFSET(card!$J$1,MATCH(G209,card!B:B,0)-1,0)</f>
        <v>1</v>
      </c>
      <c r="J209" s="91">
        <f ca="1">OFFSET(card!$K$1,MATCH(G209,card!B:B,0)-1,0)</f>
        <v>2</v>
      </c>
    </row>
    <row r="210" ht="15" spans="1:10">
      <c r="A210" s="276">
        <f t="shared" si="13"/>
        <v>130403</v>
      </c>
      <c r="B210" s="277">
        <v>3</v>
      </c>
      <c r="C210" s="278">
        <v>1</v>
      </c>
      <c r="D210" s="106">
        <v>3</v>
      </c>
      <c r="E210" s="106">
        <f t="shared" si="11"/>
        <v>1304</v>
      </c>
      <c r="F210" s="46">
        <f ca="1">OFFSET(card!$A$1,MATCH(G210,card!B:B,0)-1,0)</f>
        <v>1009001</v>
      </c>
      <c r="G210" s="91" t="s">
        <v>619</v>
      </c>
      <c r="H210" s="91" t="s">
        <v>1491</v>
      </c>
      <c r="I210" s="91">
        <f ca="1">OFFSET(card!$J$1,MATCH(G210,card!B:B,0)-1,0)</f>
        <v>1</v>
      </c>
      <c r="J210" s="91">
        <f ca="1">OFFSET(card!$K$1,MATCH(G210,card!B:B,0)-1,0)</f>
        <v>1</v>
      </c>
    </row>
    <row r="211" ht="15" spans="1:10">
      <c r="A211" s="276">
        <f t="shared" si="13"/>
        <v>130404</v>
      </c>
      <c r="B211" s="277">
        <v>4</v>
      </c>
      <c r="C211" s="278">
        <v>1</v>
      </c>
      <c r="D211" s="106">
        <v>3</v>
      </c>
      <c r="E211" s="106">
        <f t="shared" si="11"/>
        <v>1304</v>
      </c>
      <c r="F211" s="46">
        <f ca="1">OFFSET(card!$A$1,MATCH(G211,card!B:B,0)-1,0)</f>
        <v>1020001</v>
      </c>
      <c r="G211" s="91" t="s">
        <v>461</v>
      </c>
      <c r="H211" s="91" t="s">
        <v>1491</v>
      </c>
      <c r="I211" s="91">
        <f ca="1">OFFSET(card!$J$1,MATCH(G211,card!B:B,0)-1,0)</f>
        <v>3</v>
      </c>
      <c r="J211" s="91">
        <f ca="1">OFFSET(card!$K$1,MATCH(G211,card!B:B,0)-1,0)</f>
        <v>4</v>
      </c>
    </row>
    <row r="212" ht="15" spans="1:10">
      <c r="A212" s="276">
        <f t="shared" si="13"/>
        <v>130405</v>
      </c>
      <c r="B212" s="277">
        <v>5</v>
      </c>
      <c r="C212" s="278">
        <v>1</v>
      </c>
      <c r="D212" s="106">
        <v>3</v>
      </c>
      <c r="E212" s="106">
        <f t="shared" si="11"/>
        <v>1304</v>
      </c>
      <c r="F212" s="46">
        <f ca="1">OFFSET(card!$A$1,MATCH(G212,card!B:B,0)-1,0)</f>
        <v>1005001</v>
      </c>
      <c r="G212" s="91" t="s">
        <v>516</v>
      </c>
      <c r="H212" s="91" t="s">
        <v>1491</v>
      </c>
      <c r="I212" s="91">
        <f ca="1">OFFSET(card!$J$1,MATCH(G212,card!B:B,0)-1,0)</f>
        <v>1</v>
      </c>
      <c r="J212" s="91">
        <f ca="1">OFFSET(card!$K$1,MATCH(G212,card!B:B,0)-1,0)</f>
        <v>2</v>
      </c>
    </row>
    <row r="213" ht="15" spans="1:10">
      <c r="A213" s="276">
        <f t="shared" si="13"/>
        <v>130406</v>
      </c>
      <c r="B213" s="277">
        <v>6</v>
      </c>
      <c r="C213" s="278">
        <v>1</v>
      </c>
      <c r="D213" s="106">
        <v>3</v>
      </c>
      <c r="E213" s="106">
        <f t="shared" si="11"/>
        <v>1304</v>
      </c>
      <c r="F213" s="46">
        <f ca="1">OFFSET(card!$A$1,MATCH(G213,card!B:B,0)-1,0)</f>
        <v>1008001</v>
      </c>
      <c r="G213" s="91" t="s">
        <v>447</v>
      </c>
      <c r="H213" s="91" t="s">
        <v>1491</v>
      </c>
      <c r="I213" s="91">
        <f ca="1">OFFSET(card!$J$1,MATCH(G213,card!B:B,0)-1,0)</f>
        <v>1</v>
      </c>
      <c r="J213" s="91">
        <f ca="1">OFFSET(card!$K$1,MATCH(G213,card!B:B,0)-1,0)</f>
        <v>2</v>
      </c>
    </row>
    <row r="214" ht="15" spans="1:10">
      <c r="A214" s="276">
        <f t="shared" si="13"/>
        <v>130407</v>
      </c>
      <c r="B214" s="277">
        <v>7</v>
      </c>
      <c r="C214" s="278">
        <v>1</v>
      </c>
      <c r="D214" s="106">
        <v>3</v>
      </c>
      <c r="E214" s="106">
        <f t="shared" si="11"/>
        <v>1304</v>
      </c>
      <c r="F214" s="46">
        <f ca="1">OFFSET(card!$A$1,MATCH(G214,card!B:B,0)-1,0)</f>
        <v>1009001</v>
      </c>
      <c r="G214" s="91" t="s">
        <v>619</v>
      </c>
      <c r="H214" s="91" t="s">
        <v>1491</v>
      </c>
      <c r="I214" s="91">
        <f ca="1">OFFSET(card!$J$1,MATCH(G214,card!B:B,0)-1,0)</f>
        <v>1</v>
      </c>
      <c r="J214" s="91">
        <f ca="1">OFFSET(card!$K$1,MATCH(G214,card!B:B,0)-1,0)</f>
        <v>1</v>
      </c>
    </row>
    <row r="215" ht="15" spans="1:10">
      <c r="A215" s="276">
        <f t="shared" si="13"/>
        <v>130408</v>
      </c>
      <c r="B215" s="277">
        <v>8</v>
      </c>
      <c r="C215" s="278">
        <v>1</v>
      </c>
      <c r="D215" s="106">
        <v>3</v>
      </c>
      <c r="E215" s="106">
        <f t="shared" si="11"/>
        <v>1304</v>
      </c>
      <c r="F215" s="46">
        <f ca="1">OFFSET(card!$A$1,MATCH(G215,card!B:B,0)-1,0)</f>
        <v>1020001</v>
      </c>
      <c r="G215" s="91" t="s">
        <v>461</v>
      </c>
      <c r="H215" s="91" t="s">
        <v>1491</v>
      </c>
      <c r="I215" s="91">
        <f ca="1">OFFSET(card!$J$1,MATCH(G215,card!B:B,0)-1,0)</f>
        <v>3</v>
      </c>
      <c r="J215" s="91">
        <f ca="1">OFFSET(card!$K$1,MATCH(G215,card!B:B,0)-1,0)</f>
        <v>4</v>
      </c>
    </row>
    <row r="216" ht="15" spans="1:10">
      <c r="A216" s="276">
        <f t="shared" si="13"/>
        <v>130409</v>
      </c>
      <c r="B216" s="277">
        <v>9</v>
      </c>
      <c r="C216" s="278">
        <v>1</v>
      </c>
      <c r="D216" s="106">
        <v>3</v>
      </c>
      <c r="E216" s="106">
        <f t="shared" si="11"/>
        <v>1304</v>
      </c>
      <c r="F216" s="46">
        <f ca="1">OFFSET(card!$A$1,MATCH(G216,card!B:B,0)-1,0)</f>
        <v>1009001</v>
      </c>
      <c r="G216" s="91" t="s">
        <v>619</v>
      </c>
      <c r="H216" s="91" t="s">
        <v>1491</v>
      </c>
      <c r="I216" s="91">
        <f ca="1">OFFSET(card!$J$1,MATCH(G216,card!B:B,0)-1,0)</f>
        <v>1</v>
      </c>
      <c r="J216" s="91">
        <f ca="1">OFFSET(card!$K$1,MATCH(G216,card!B:B,0)-1,0)</f>
        <v>1</v>
      </c>
    </row>
    <row r="217" ht="15" spans="1:10">
      <c r="A217" s="276">
        <f t="shared" si="13"/>
        <v>130410</v>
      </c>
      <c r="B217" s="277">
        <v>10</v>
      </c>
      <c r="C217" s="278">
        <v>1</v>
      </c>
      <c r="D217" s="106">
        <v>3</v>
      </c>
      <c r="E217" s="106">
        <f t="shared" si="11"/>
        <v>1304</v>
      </c>
      <c r="F217" s="46">
        <f ca="1">OFFSET(card!$A$1,MATCH(G217,card!B:B,0)-1,0)</f>
        <v>1020001</v>
      </c>
      <c r="G217" s="91" t="s">
        <v>461</v>
      </c>
      <c r="H217" s="91" t="s">
        <v>1491</v>
      </c>
      <c r="I217" s="91">
        <f ca="1">OFFSET(card!$J$1,MATCH(G217,card!B:B,0)-1,0)</f>
        <v>3</v>
      </c>
      <c r="J217" s="91">
        <f ca="1">OFFSET(card!$K$1,MATCH(G217,card!B:B,0)-1,0)</f>
        <v>4</v>
      </c>
    </row>
    <row r="218" ht="15" spans="1:13">
      <c r="A218" s="276">
        <f t="shared" ref="A218:A281" si="14">E218*100+B218</f>
        <v>210101</v>
      </c>
      <c r="B218" s="277">
        <v>1</v>
      </c>
      <c r="C218" s="278">
        <v>2</v>
      </c>
      <c r="D218" s="106">
        <v>1</v>
      </c>
      <c r="E218" s="106">
        <f t="shared" ref="E218:E227" si="15">C218*1000+D218*100+1</f>
        <v>2101</v>
      </c>
      <c r="F218" s="46">
        <f ca="1">OFFSET(card!$A$1,MATCH(G218,card!B:B,0)-1,0)</f>
        <v>2001001</v>
      </c>
      <c r="G218" s="91" t="s">
        <v>403</v>
      </c>
      <c r="H218" s="186"/>
      <c r="I218" s="91">
        <f ca="1">OFFSET(card!$J$1,MATCH(G218,card!B:B,0)-1,0)</f>
        <v>1</v>
      </c>
      <c r="J218" s="91">
        <f ca="1">OFFSET(card!$K$1,MATCH(G218,card!B:B,0)-1,0)</f>
        <v>1</v>
      </c>
      <c r="K218" s="91" t="s">
        <v>403</v>
      </c>
      <c r="L218" s="186">
        <v>1</v>
      </c>
      <c r="M218" s="157">
        <v>1</v>
      </c>
    </row>
    <row r="219" ht="15" spans="1:13">
      <c r="A219" s="276">
        <f t="shared" si="14"/>
        <v>210102</v>
      </c>
      <c r="B219" s="277">
        <v>2</v>
      </c>
      <c r="C219" s="278">
        <v>2</v>
      </c>
      <c r="D219" s="106">
        <v>1</v>
      </c>
      <c r="E219" s="106">
        <f t="shared" si="15"/>
        <v>2101</v>
      </c>
      <c r="F219" s="46">
        <f ca="1">OFFSET(card!$A$1,MATCH(G219,card!B:B,0)-1,0)</f>
        <v>2002001</v>
      </c>
      <c r="G219" s="91" t="s">
        <v>401</v>
      </c>
      <c r="H219" s="186"/>
      <c r="I219" s="91">
        <f ca="1">OFFSET(card!$J$1,MATCH(G219,card!B:B,0)-1,0)</f>
        <v>1</v>
      </c>
      <c r="J219" s="91">
        <f ca="1">OFFSET(card!$K$1,MATCH(G219,card!B:B,0)-1,0)</f>
        <v>1</v>
      </c>
      <c r="K219" s="91" t="s">
        <v>401</v>
      </c>
      <c r="L219" s="186">
        <v>1</v>
      </c>
      <c r="M219" s="157">
        <v>1</v>
      </c>
    </row>
    <row r="220" ht="15" spans="1:13">
      <c r="A220" s="276">
        <f t="shared" si="14"/>
        <v>210103</v>
      </c>
      <c r="B220" s="277">
        <v>3</v>
      </c>
      <c r="C220" s="278">
        <v>2</v>
      </c>
      <c r="D220" s="106">
        <v>1</v>
      </c>
      <c r="E220" s="106">
        <f t="shared" si="15"/>
        <v>2101</v>
      </c>
      <c r="F220" s="46">
        <f ca="1">OFFSET(card!$A$1,MATCH(G220,card!B:B,0)-1,0)</f>
        <v>2003001</v>
      </c>
      <c r="G220" s="91" t="s">
        <v>379</v>
      </c>
      <c r="H220" s="186"/>
      <c r="I220" s="91">
        <f ca="1">OFFSET(card!$J$1,MATCH(G220,card!B:B,0)-1,0)</f>
        <v>1</v>
      </c>
      <c r="J220" s="91">
        <f ca="1">OFFSET(card!$K$1,MATCH(G220,card!B:B,0)-1,0)</f>
        <v>2</v>
      </c>
      <c r="K220" s="91" t="s">
        <v>379</v>
      </c>
      <c r="L220" s="186">
        <v>1</v>
      </c>
      <c r="M220" s="157">
        <v>2</v>
      </c>
    </row>
    <row r="221" ht="15" spans="1:13">
      <c r="A221" s="276">
        <f t="shared" si="14"/>
        <v>210104</v>
      </c>
      <c r="B221" s="277">
        <v>4</v>
      </c>
      <c r="C221" s="278">
        <v>2</v>
      </c>
      <c r="D221" s="106">
        <v>1</v>
      </c>
      <c r="E221" s="106">
        <f t="shared" si="15"/>
        <v>2101</v>
      </c>
      <c r="F221" s="46">
        <f ca="1">OFFSET(card!$A$1,MATCH(G221,card!B:B,0)-1,0)</f>
        <v>2004001</v>
      </c>
      <c r="G221" s="91" t="s">
        <v>411</v>
      </c>
      <c r="H221" s="186"/>
      <c r="I221" s="91">
        <f ca="1">OFFSET(card!$J$1,MATCH(G221,card!B:B,0)-1,0)</f>
        <v>1</v>
      </c>
      <c r="J221" s="91">
        <f ca="1">OFFSET(card!$K$1,MATCH(G221,card!B:B,0)-1,0)</f>
        <v>1</v>
      </c>
      <c r="K221" s="91" t="s">
        <v>411</v>
      </c>
      <c r="L221" s="186">
        <v>1</v>
      </c>
      <c r="M221" s="157">
        <v>2</v>
      </c>
    </row>
    <row r="222" ht="15" spans="1:13">
      <c r="A222" s="276">
        <f t="shared" si="14"/>
        <v>210105</v>
      </c>
      <c r="B222" s="277">
        <v>5</v>
      </c>
      <c r="C222" s="278">
        <v>2</v>
      </c>
      <c r="D222" s="106">
        <v>1</v>
      </c>
      <c r="E222" s="106">
        <f t="shared" si="15"/>
        <v>2101</v>
      </c>
      <c r="F222" s="46">
        <f ca="1">OFFSET(card!$A$1,MATCH(G222,card!B:B,0)-1,0)</f>
        <v>2001001</v>
      </c>
      <c r="G222" s="91" t="s">
        <v>403</v>
      </c>
      <c r="H222" s="186"/>
      <c r="I222" s="91">
        <f ca="1">OFFSET(card!$J$1,MATCH(G222,card!B:B,0)-1,0)</f>
        <v>1</v>
      </c>
      <c r="J222" s="91">
        <f ca="1">OFFSET(card!$K$1,MATCH(G222,card!B:B,0)-1,0)</f>
        <v>1</v>
      </c>
      <c r="K222" s="91" t="s">
        <v>433</v>
      </c>
      <c r="L222" s="186">
        <v>1</v>
      </c>
      <c r="M222" s="157">
        <v>2</v>
      </c>
    </row>
    <row r="223" ht="15" spans="1:13">
      <c r="A223" s="276">
        <f t="shared" si="14"/>
        <v>210106</v>
      </c>
      <c r="B223" s="277">
        <v>6</v>
      </c>
      <c r="C223" s="278">
        <v>2</v>
      </c>
      <c r="D223" s="106">
        <v>1</v>
      </c>
      <c r="E223" s="106">
        <f t="shared" si="15"/>
        <v>2101</v>
      </c>
      <c r="F223" s="46">
        <f ca="1">OFFSET(card!$A$1,MATCH(G223,card!B:B,0)-1,0)</f>
        <v>2002001</v>
      </c>
      <c r="G223" s="91" t="s">
        <v>401</v>
      </c>
      <c r="H223" s="186"/>
      <c r="I223" s="91">
        <f ca="1">OFFSET(card!$J$1,MATCH(G223,card!B:B,0)-1,0)</f>
        <v>1</v>
      </c>
      <c r="J223" s="91">
        <f ca="1">OFFSET(card!$K$1,MATCH(G223,card!B:B,0)-1,0)</f>
        <v>1</v>
      </c>
      <c r="K223" s="91" t="s">
        <v>740</v>
      </c>
      <c r="L223" s="186">
        <v>2</v>
      </c>
      <c r="M223" s="157">
        <v>2</v>
      </c>
    </row>
    <row r="224" ht="15" spans="1:13">
      <c r="A224" s="276">
        <f t="shared" si="14"/>
        <v>210107</v>
      </c>
      <c r="B224" s="277">
        <v>7</v>
      </c>
      <c r="C224" s="278">
        <v>2</v>
      </c>
      <c r="D224" s="106">
        <v>1</v>
      </c>
      <c r="E224" s="106">
        <f t="shared" si="15"/>
        <v>2101</v>
      </c>
      <c r="F224" s="46">
        <f ca="1">OFFSET(card!$A$1,MATCH(G224,card!B:B,0)-1,0)</f>
        <v>2003001</v>
      </c>
      <c r="G224" s="91" t="s">
        <v>379</v>
      </c>
      <c r="H224" s="186"/>
      <c r="I224" s="91">
        <f ca="1">OFFSET(card!$J$1,MATCH(G224,card!B:B,0)-1,0)</f>
        <v>1</v>
      </c>
      <c r="J224" s="91">
        <f ca="1">OFFSET(card!$K$1,MATCH(G224,card!B:B,0)-1,0)</f>
        <v>2</v>
      </c>
      <c r="K224" s="91" t="s">
        <v>341</v>
      </c>
      <c r="L224" s="186">
        <v>2</v>
      </c>
      <c r="M224" s="157">
        <v>2</v>
      </c>
    </row>
    <row r="225" ht="15" spans="1:13">
      <c r="A225" s="276">
        <f t="shared" si="14"/>
        <v>210108</v>
      </c>
      <c r="B225" s="277">
        <v>8</v>
      </c>
      <c r="C225" s="278">
        <v>2</v>
      </c>
      <c r="D225" s="106">
        <v>1</v>
      </c>
      <c r="E225" s="106">
        <f t="shared" si="15"/>
        <v>2101</v>
      </c>
      <c r="F225" s="46">
        <f ca="1">OFFSET(card!$A$1,MATCH(G225,card!B:B,0)-1,0)</f>
        <v>2004001</v>
      </c>
      <c r="G225" s="91" t="s">
        <v>411</v>
      </c>
      <c r="H225" s="186"/>
      <c r="I225" s="91">
        <f ca="1">OFFSET(card!$J$1,MATCH(G225,card!B:B,0)-1,0)</f>
        <v>1</v>
      </c>
      <c r="J225" s="91">
        <f ca="1">OFFSET(card!$K$1,MATCH(G225,card!B:B,0)-1,0)</f>
        <v>1</v>
      </c>
      <c r="K225" s="91" t="s">
        <v>353</v>
      </c>
      <c r="L225" s="186">
        <v>2</v>
      </c>
      <c r="M225" s="157">
        <v>3</v>
      </c>
    </row>
    <row r="226" ht="15" spans="1:13">
      <c r="A226" s="276">
        <f t="shared" si="14"/>
        <v>210109</v>
      </c>
      <c r="B226" s="277">
        <v>9</v>
      </c>
      <c r="C226" s="278">
        <v>2</v>
      </c>
      <c r="D226" s="106">
        <v>1</v>
      </c>
      <c r="E226" s="106">
        <f t="shared" si="15"/>
        <v>2101</v>
      </c>
      <c r="F226" s="46">
        <f ca="1">OFFSET(card!$A$1,MATCH(G226,card!B:B,0)-1,0)</f>
        <v>2001001</v>
      </c>
      <c r="G226" s="91" t="s">
        <v>403</v>
      </c>
      <c r="H226" s="186"/>
      <c r="I226" s="91">
        <f ca="1">OFFSET(card!$J$1,MATCH(G226,card!B:B,0)-1,0)</f>
        <v>1</v>
      </c>
      <c r="J226" s="91">
        <f ca="1">OFFSET(card!$K$1,MATCH(G226,card!B:B,0)-1,0)</f>
        <v>1</v>
      </c>
      <c r="K226" s="91" t="s">
        <v>295</v>
      </c>
      <c r="L226" s="186">
        <v>2</v>
      </c>
      <c r="M226" s="157">
        <v>3</v>
      </c>
    </row>
    <row r="227" ht="15" spans="1:13">
      <c r="A227" s="276">
        <f t="shared" si="14"/>
        <v>210110</v>
      </c>
      <c r="B227" s="277">
        <v>10</v>
      </c>
      <c r="C227" s="278">
        <v>2</v>
      </c>
      <c r="D227" s="106">
        <v>1</v>
      </c>
      <c r="E227" s="106">
        <f t="shared" si="15"/>
        <v>2101</v>
      </c>
      <c r="F227" s="46">
        <f ca="1">OFFSET(card!$A$1,MATCH(G227,card!B:B,0)-1,0)</f>
        <v>2002001</v>
      </c>
      <c r="G227" s="91" t="s">
        <v>401</v>
      </c>
      <c r="H227" s="186"/>
      <c r="I227" s="91">
        <f ca="1">OFFSET(card!$J$1,MATCH(G227,card!B:B,0)-1,0)</f>
        <v>1</v>
      </c>
      <c r="J227" s="91">
        <f ca="1">OFFSET(card!$K$1,MATCH(G227,card!B:B,0)-1,0)</f>
        <v>1</v>
      </c>
      <c r="K227" s="91" t="s">
        <v>347</v>
      </c>
      <c r="L227" s="186">
        <v>2</v>
      </c>
      <c r="M227" s="157">
        <v>2</v>
      </c>
    </row>
    <row r="228" ht="15" spans="1:13">
      <c r="A228" s="276">
        <f t="shared" si="14"/>
        <v>210201</v>
      </c>
      <c r="B228" s="277">
        <v>1</v>
      </c>
      <c r="C228" s="278">
        <v>2</v>
      </c>
      <c r="D228" s="106">
        <v>1</v>
      </c>
      <c r="E228" s="106">
        <f>E218+1</f>
        <v>2102</v>
      </c>
      <c r="F228" s="46">
        <f ca="1">OFFSET(card!$A$1,MATCH(G228,card!B:B,0)-1,0)</f>
        <v>2001001</v>
      </c>
      <c r="G228" s="91" t="s">
        <v>403</v>
      </c>
      <c r="H228" s="186"/>
      <c r="I228" s="91">
        <f ca="1">OFFSET(card!$J$1,MATCH(G228,card!B:B,0)-1,0)</f>
        <v>1</v>
      </c>
      <c r="J228" s="91">
        <f ca="1">OFFSET(card!$K$1,MATCH(G228,card!B:B,0)-1,0)</f>
        <v>1</v>
      </c>
      <c r="K228" s="91" t="s">
        <v>760</v>
      </c>
      <c r="L228" s="186">
        <v>2</v>
      </c>
      <c r="M228" s="157">
        <v>2</v>
      </c>
    </row>
    <row r="229" ht="15" spans="1:13">
      <c r="A229" s="276">
        <f t="shared" si="14"/>
        <v>210202</v>
      </c>
      <c r="B229" s="277">
        <v>2</v>
      </c>
      <c r="C229" s="278">
        <v>2</v>
      </c>
      <c r="D229" s="106">
        <v>1</v>
      </c>
      <c r="E229" s="106">
        <f t="shared" ref="E229:E292" si="16">E219+1</f>
        <v>2102</v>
      </c>
      <c r="F229" s="46">
        <f ca="1">OFFSET(card!$A$1,MATCH(G229,card!B:B,0)-1,0)</f>
        <v>2003001</v>
      </c>
      <c r="G229" s="91" t="s">
        <v>379</v>
      </c>
      <c r="H229" s="186"/>
      <c r="I229" s="91">
        <f ca="1">OFFSET(card!$J$1,MATCH(G229,card!B:B,0)-1,0)</f>
        <v>1</v>
      </c>
      <c r="J229" s="91">
        <f ca="1">OFFSET(card!$K$1,MATCH(G229,card!B:B,0)-1,0)</f>
        <v>2</v>
      </c>
      <c r="K229" s="91" t="s">
        <v>486</v>
      </c>
      <c r="L229" s="186">
        <v>2</v>
      </c>
      <c r="M229" s="157">
        <v>1</v>
      </c>
    </row>
    <row r="230" ht="15" spans="1:13">
      <c r="A230" s="276">
        <f t="shared" si="14"/>
        <v>210203</v>
      </c>
      <c r="B230" s="277">
        <v>3</v>
      </c>
      <c r="C230" s="278">
        <v>2</v>
      </c>
      <c r="D230" s="106">
        <v>1</v>
      </c>
      <c r="E230" s="106">
        <f t="shared" si="16"/>
        <v>2102</v>
      </c>
      <c r="F230" s="46">
        <f ca="1">OFFSET(card!$A$1,MATCH(G230,card!B:B,0)-1,0)</f>
        <v>2004001</v>
      </c>
      <c r="G230" s="91" t="s">
        <v>411</v>
      </c>
      <c r="I230" s="91">
        <f ca="1">OFFSET(card!$J$1,MATCH(G230,card!B:B,0)-1,0)</f>
        <v>1</v>
      </c>
      <c r="J230" s="91">
        <f ca="1">OFFSET(card!$K$1,MATCH(G230,card!B:B,0)-1,0)</f>
        <v>1</v>
      </c>
      <c r="K230" s="91" t="s">
        <v>768</v>
      </c>
      <c r="L230" s="186">
        <v>3</v>
      </c>
      <c r="M230" s="157">
        <v>2</v>
      </c>
    </row>
    <row r="231" ht="15" spans="1:13">
      <c r="A231" s="276">
        <f t="shared" si="14"/>
        <v>210204</v>
      </c>
      <c r="B231" s="277">
        <v>4</v>
      </c>
      <c r="C231" s="278">
        <v>2</v>
      </c>
      <c r="D231" s="106">
        <v>1</v>
      </c>
      <c r="E231" s="106">
        <f t="shared" si="16"/>
        <v>2102</v>
      </c>
      <c r="F231" s="46">
        <f ca="1">OFFSET(card!$A$1,MATCH(G231,card!B:B,0)-1,0)</f>
        <v>2005001</v>
      </c>
      <c r="G231" s="91" t="s">
        <v>433</v>
      </c>
      <c r="I231" s="91">
        <f ca="1">OFFSET(card!$J$1,MATCH(G231,card!B:B,0)-1,0)</f>
        <v>1</v>
      </c>
      <c r="J231" s="91">
        <f ca="1">OFFSET(card!$K$1,MATCH(G231,card!B:B,0)-1,0)</f>
        <v>2</v>
      </c>
      <c r="K231" s="91" t="s">
        <v>357</v>
      </c>
      <c r="L231" s="186">
        <v>3</v>
      </c>
      <c r="M231" s="157">
        <v>2</v>
      </c>
    </row>
    <row r="232" ht="15" spans="1:13">
      <c r="A232" s="276">
        <f t="shared" si="14"/>
        <v>210205</v>
      </c>
      <c r="B232" s="277">
        <v>5</v>
      </c>
      <c r="C232" s="278">
        <v>2</v>
      </c>
      <c r="D232" s="106">
        <v>1</v>
      </c>
      <c r="E232" s="106">
        <f t="shared" si="16"/>
        <v>2102</v>
      </c>
      <c r="F232" s="46">
        <f ca="1">OFFSET(card!$A$1,MATCH(G232,card!B:B,0)-1,0)</f>
        <v>2001001</v>
      </c>
      <c r="G232" s="91" t="s">
        <v>403</v>
      </c>
      <c r="I232" s="91">
        <f ca="1">OFFSET(card!$J$1,MATCH(G232,card!B:B,0)-1,0)</f>
        <v>1</v>
      </c>
      <c r="J232" s="91">
        <f ca="1">OFFSET(card!$K$1,MATCH(G232,card!B:B,0)-1,0)</f>
        <v>1</v>
      </c>
      <c r="K232" s="91" t="s">
        <v>393</v>
      </c>
      <c r="L232" s="186">
        <v>3</v>
      </c>
      <c r="M232" s="157">
        <v>2</v>
      </c>
    </row>
    <row r="233" ht="15" spans="1:13">
      <c r="A233" s="276">
        <f t="shared" si="14"/>
        <v>210206</v>
      </c>
      <c r="B233" s="277">
        <v>6</v>
      </c>
      <c r="C233" s="278">
        <v>2</v>
      </c>
      <c r="D233" s="106">
        <v>1</v>
      </c>
      <c r="E233" s="106">
        <f t="shared" si="16"/>
        <v>2102</v>
      </c>
      <c r="F233" s="46">
        <f ca="1">OFFSET(card!$A$1,MATCH(G233,card!B:B,0)-1,0)</f>
        <v>2003001</v>
      </c>
      <c r="G233" s="91" t="s">
        <v>379</v>
      </c>
      <c r="I233" s="91">
        <f ca="1">OFFSET(card!$J$1,MATCH(G233,card!B:B,0)-1,0)</f>
        <v>1</v>
      </c>
      <c r="J233" s="91">
        <f ca="1">OFFSET(card!$K$1,MATCH(G233,card!B:B,0)-1,0)</f>
        <v>2</v>
      </c>
      <c r="K233" s="91" t="s">
        <v>514</v>
      </c>
      <c r="L233" s="186">
        <v>3</v>
      </c>
      <c r="M233" s="157">
        <v>2</v>
      </c>
    </row>
    <row r="234" ht="15" spans="1:13">
      <c r="A234" s="276">
        <f t="shared" si="14"/>
        <v>210207</v>
      </c>
      <c r="B234" s="277">
        <v>7</v>
      </c>
      <c r="C234" s="278">
        <v>2</v>
      </c>
      <c r="D234" s="106">
        <v>1</v>
      </c>
      <c r="E234" s="106">
        <f t="shared" si="16"/>
        <v>2102</v>
      </c>
      <c r="F234" s="46">
        <f ca="1">OFFSET(card!$A$1,MATCH(G234,card!B:B,0)-1,0)</f>
        <v>2004001</v>
      </c>
      <c r="G234" s="91" t="s">
        <v>411</v>
      </c>
      <c r="I234" s="91">
        <f ca="1">OFFSET(card!$J$1,MATCH(G234,card!B:B,0)-1,0)</f>
        <v>1</v>
      </c>
      <c r="J234" s="91">
        <f ca="1">OFFSET(card!$K$1,MATCH(G234,card!B:B,0)-1,0)</f>
        <v>1</v>
      </c>
      <c r="K234" s="91" t="s">
        <v>291</v>
      </c>
      <c r="L234" s="186">
        <v>3</v>
      </c>
      <c r="M234" s="157">
        <v>3</v>
      </c>
    </row>
    <row r="235" ht="15" spans="1:13">
      <c r="A235" s="276">
        <f t="shared" si="14"/>
        <v>210208</v>
      </c>
      <c r="B235" s="277">
        <v>8</v>
      </c>
      <c r="C235" s="278">
        <v>2</v>
      </c>
      <c r="D235" s="106">
        <v>1</v>
      </c>
      <c r="E235" s="106">
        <f t="shared" si="16"/>
        <v>2102</v>
      </c>
      <c r="F235" s="46">
        <f ca="1">OFFSET(card!$A$1,MATCH(G235,card!B:B,0)-1,0)</f>
        <v>2005001</v>
      </c>
      <c r="G235" s="91" t="s">
        <v>433</v>
      </c>
      <c r="I235" s="91">
        <f ca="1">OFFSET(card!$J$1,MATCH(G235,card!B:B,0)-1,0)</f>
        <v>1</v>
      </c>
      <c r="J235" s="91">
        <f ca="1">OFFSET(card!$K$1,MATCH(G235,card!B:B,0)-1,0)</f>
        <v>2</v>
      </c>
      <c r="K235" s="91" t="s">
        <v>351</v>
      </c>
      <c r="L235" s="186">
        <v>4</v>
      </c>
      <c r="M235" s="157">
        <v>2</v>
      </c>
    </row>
    <row r="236" ht="15" spans="1:13">
      <c r="A236" s="276">
        <f t="shared" si="14"/>
        <v>210209</v>
      </c>
      <c r="B236" s="277">
        <v>9</v>
      </c>
      <c r="C236" s="278">
        <v>2</v>
      </c>
      <c r="D236" s="106">
        <v>1</v>
      </c>
      <c r="E236" s="106">
        <f t="shared" si="16"/>
        <v>2102</v>
      </c>
      <c r="F236" s="46">
        <f ca="1">OFFSET(card!$A$1,MATCH(G236,card!B:B,0)-1,0)</f>
        <v>2001001</v>
      </c>
      <c r="G236" s="91" t="s">
        <v>403</v>
      </c>
      <c r="I236" s="91">
        <f ca="1">OFFSET(card!$J$1,MATCH(G236,card!B:B,0)-1,0)</f>
        <v>1</v>
      </c>
      <c r="J236" s="91">
        <f ca="1">OFFSET(card!$K$1,MATCH(G236,card!B:B,0)-1,0)</f>
        <v>1</v>
      </c>
      <c r="K236" s="91" t="s">
        <v>409</v>
      </c>
      <c r="L236" s="186">
        <v>4</v>
      </c>
      <c r="M236" s="157">
        <v>3</v>
      </c>
    </row>
    <row r="237" ht="15" spans="1:13">
      <c r="A237" s="276">
        <f t="shared" si="14"/>
        <v>210210</v>
      </c>
      <c r="B237" s="277">
        <v>10</v>
      </c>
      <c r="C237" s="278">
        <v>2</v>
      </c>
      <c r="D237" s="106">
        <v>1</v>
      </c>
      <c r="E237" s="106">
        <f t="shared" si="16"/>
        <v>2102</v>
      </c>
      <c r="F237" s="46">
        <f ca="1">OFFSET(card!$A$1,MATCH(G237,card!B:B,0)-1,0)</f>
        <v>2003001</v>
      </c>
      <c r="G237" s="91" t="s">
        <v>379</v>
      </c>
      <c r="I237" s="91">
        <f ca="1">OFFSET(card!$J$1,MATCH(G237,card!B:B,0)-1,0)</f>
        <v>1</v>
      </c>
      <c r="J237" s="91">
        <f ca="1">OFFSET(card!$K$1,MATCH(G237,card!B:B,0)-1,0)</f>
        <v>2</v>
      </c>
      <c r="K237" s="91" t="s">
        <v>796</v>
      </c>
      <c r="L237" s="186">
        <v>4</v>
      </c>
      <c r="M237" s="157">
        <v>5</v>
      </c>
    </row>
    <row r="238" ht="15" spans="1:13">
      <c r="A238" s="276">
        <f t="shared" si="14"/>
        <v>210301</v>
      </c>
      <c r="B238" s="277">
        <v>1</v>
      </c>
      <c r="C238" s="278">
        <v>2</v>
      </c>
      <c r="D238" s="106">
        <v>1</v>
      </c>
      <c r="E238" s="106">
        <f t="shared" si="16"/>
        <v>2103</v>
      </c>
      <c r="F238" s="46">
        <f ca="1">OFFSET(card!$A$1,MATCH(G238,card!B:B,0)-1,0)</f>
        <v>2001001</v>
      </c>
      <c r="G238" s="91" t="s">
        <v>403</v>
      </c>
      <c r="I238" s="91">
        <f ca="1">OFFSET(card!$J$1,MATCH(G238,card!B:B,0)-1,0)</f>
        <v>1</v>
      </c>
      <c r="J238" s="91">
        <f ca="1">OFFSET(card!$K$1,MATCH(G238,card!B:B,0)-1,0)</f>
        <v>1</v>
      </c>
      <c r="K238" s="91" t="s">
        <v>345</v>
      </c>
      <c r="L238" s="165">
        <v>5</v>
      </c>
      <c r="M238" s="157">
        <v>4</v>
      </c>
    </row>
    <row r="239" ht="15" spans="1:13">
      <c r="A239" s="276">
        <f t="shared" si="14"/>
        <v>210302</v>
      </c>
      <c r="B239" s="277">
        <v>2</v>
      </c>
      <c r="C239" s="278">
        <v>2</v>
      </c>
      <c r="D239" s="106">
        <v>1</v>
      </c>
      <c r="E239" s="106">
        <f t="shared" si="16"/>
        <v>2103</v>
      </c>
      <c r="F239" s="46">
        <f ca="1">OFFSET(card!$A$1,MATCH(G239,card!B:B,0)-1,0)</f>
        <v>2003001</v>
      </c>
      <c r="G239" s="91" t="s">
        <v>379</v>
      </c>
      <c r="I239" s="91">
        <f ca="1">OFFSET(card!$J$1,MATCH(G239,card!B:B,0)-1,0)</f>
        <v>1</v>
      </c>
      <c r="J239" s="91">
        <f ca="1">OFFSET(card!$K$1,MATCH(G239,card!B:B,0)-1,0)</f>
        <v>2</v>
      </c>
      <c r="K239" s="91" t="s">
        <v>813</v>
      </c>
      <c r="L239" s="165">
        <v>5</v>
      </c>
      <c r="M239" s="157">
        <v>5</v>
      </c>
    </row>
    <row r="240" ht="15" spans="1:13">
      <c r="A240" s="276">
        <f t="shared" si="14"/>
        <v>210303</v>
      </c>
      <c r="B240" s="277">
        <v>3</v>
      </c>
      <c r="C240" s="278">
        <v>2</v>
      </c>
      <c r="D240" s="106">
        <v>1</v>
      </c>
      <c r="E240" s="106">
        <f t="shared" si="16"/>
        <v>2103</v>
      </c>
      <c r="F240" s="46">
        <f ca="1">OFFSET(card!$A$1,MATCH(G240,card!B:B,0)-1,0)</f>
        <v>2005001</v>
      </c>
      <c r="G240" s="91" t="s">
        <v>433</v>
      </c>
      <c r="I240" s="91">
        <f ca="1">OFFSET(card!$J$1,MATCH(G240,card!B:B,0)-1,0)</f>
        <v>1</v>
      </c>
      <c r="J240" s="91">
        <f ca="1">OFFSET(card!$K$1,MATCH(G240,card!B:B,0)-1,0)</f>
        <v>2</v>
      </c>
      <c r="K240" s="91" t="s">
        <v>801</v>
      </c>
      <c r="L240" s="165">
        <v>5</v>
      </c>
      <c r="M240" s="157">
        <v>3</v>
      </c>
    </row>
    <row r="241" ht="15" spans="1:13">
      <c r="A241" s="276">
        <f t="shared" si="14"/>
        <v>210304</v>
      </c>
      <c r="B241" s="277">
        <v>4</v>
      </c>
      <c r="C241" s="278">
        <v>2</v>
      </c>
      <c r="D241" s="106">
        <v>1</v>
      </c>
      <c r="E241" s="106">
        <f t="shared" si="16"/>
        <v>2103</v>
      </c>
      <c r="F241" s="46">
        <f ca="1">OFFSET(card!$A$1,MATCH(G241,card!B:B,0)-1,0)</f>
        <v>2006001</v>
      </c>
      <c r="G241" s="91" t="s">
        <v>740</v>
      </c>
      <c r="I241" s="91">
        <f ca="1">OFFSET(card!$J$1,MATCH(G241,card!B:B,0)-1,0)</f>
        <v>1</v>
      </c>
      <c r="J241" s="91">
        <f ca="1">OFFSET(card!$K$1,MATCH(G241,card!B:B,0)-1,0)</f>
        <v>1</v>
      </c>
      <c r="K241" s="91" t="s">
        <v>385</v>
      </c>
      <c r="L241" s="186">
        <v>6</v>
      </c>
      <c r="M241" s="157">
        <v>3</v>
      </c>
    </row>
    <row r="242" ht="15" spans="1:13">
      <c r="A242" s="276">
        <f t="shared" si="14"/>
        <v>210305</v>
      </c>
      <c r="B242" s="277">
        <v>5</v>
      </c>
      <c r="C242" s="278">
        <v>2</v>
      </c>
      <c r="D242" s="106">
        <v>1</v>
      </c>
      <c r="E242" s="106">
        <f t="shared" si="16"/>
        <v>2103</v>
      </c>
      <c r="F242" s="46">
        <f ca="1">OFFSET(card!$A$1,MATCH(G242,card!B:B,0)-1,0)</f>
        <v>2001001</v>
      </c>
      <c r="G242" s="91" t="s">
        <v>403</v>
      </c>
      <c r="I242" s="91">
        <f ca="1">OFFSET(card!$J$1,MATCH(G242,card!B:B,0)-1,0)</f>
        <v>1</v>
      </c>
      <c r="J242" s="91">
        <f ca="1">OFFSET(card!$K$1,MATCH(G242,card!B:B,0)-1,0)</f>
        <v>1</v>
      </c>
      <c r="K242" s="91" t="s">
        <v>817</v>
      </c>
      <c r="L242" s="186">
        <v>6</v>
      </c>
      <c r="M242" s="157">
        <v>3</v>
      </c>
    </row>
    <row r="243" ht="15" spans="1:13">
      <c r="A243" s="276">
        <f t="shared" si="14"/>
        <v>210306</v>
      </c>
      <c r="B243" s="277">
        <v>6</v>
      </c>
      <c r="C243" s="278">
        <v>2</v>
      </c>
      <c r="D243" s="106">
        <v>1</v>
      </c>
      <c r="E243" s="106">
        <f t="shared" si="16"/>
        <v>2103</v>
      </c>
      <c r="F243" s="46">
        <f ca="1">OFFSET(card!$A$1,MATCH(G243,card!B:B,0)-1,0)</f>
        <v>2003001</v>
      </c>
      <c r="G243" s="91" t="s">
        <v>379</v>
      </c>
      <c r="I243" s="91">
        <f ca="1">OFFSET(card!$J$1,MATCH(G243,card!B:B,0)-1,0)</f>
        <v>1</v>
      </c>
      <c r="J243" s="91">
        <f ca="1">OFFSET(card!$K$1,MATCH(G243,card!B:B,0)-1,0)</f>
        <v>2</v>
      </c>
      <c r="K243" s="91" t="s">
        <v>821</v>
      </c>
      <c r="L243" s="186">
        <v>6</v>
      </c>
      <c r="M243" s="157">
        <v>4</v>
      </c>
    </row>
    <row r="244" ht="15" spans="1:13">
      <c r="A244" s="276">
        <f t="shared" si="14"/>
        <v>210307</v>
      </c>
      <c r="B244" s="277">
        <v>7</v>
      </c>
      <c r="C244" s="278">
        <v>2</v>
      </c>
      <c r="D244" s="106">
        <v>1</v>
      </c>
      <c r="E244" s="106">
        <f t="shared" si="16"/>
        <v>2103</v>
      </c>
      <c r="F244" s="46">
        <f ca="1">OFFSET(card!$A$1,MATCH(G244,card!B:B,0)-1,0)</f>
        <v>2005001</v>
      </c>
      <c r="G244" s="91" t="s">
        <v>433</v>
      </c>
      <c r="I244" s="91">
        <f ca="1">OFFSET(card!$J$1,MATCH(G244,card!B:B,0)-1,0)</f>
        <v>1</v>
      </c>
      <c r="J244" s="91">
        <f ca="1">OFFSET(card!$K$1,MATCH(G244,card!B:B,0)-1,0)</f>
        <v>2</v>
      </c>
      <c r="K244" s="91" t="s">
        <v>355</v>
      </c>
      <c r="L244" s="186">
        <v>7</v>
      </c>
      <c r="M244" s="157">
        <v>5</v>
      </c>
    </row>
    <row r="245" ht="15" spans="1:13">
      <c r="A245" s="276">
        <f t="shared" si="14"/>
        <v>210308</v>
      </c>
      <c r="B245" s="277">
        <v>8</v>
      </c>
      <c r="C245" s="278">
        <v>2</v>
      </c>
      <c r="D245" s="106">
        <v>1</v>
      </c>
      <c r="E245" s="106">
        <f t="shared" si="16"/>
        <v>2103</v>
      </c>
      <c r="F245" s="46">
        <f ca="1">OFFSET(card!$A$1,MATCH(G245,card!B:B,0)-1,0)</f>
        <v>2006001</v>
      </c>
      <c r="G245" s="91" t="s">
        <v>740</v>
      </c>
      <c r="I245" s="91">
        <f ca="1">OFFSET(card!$J$1,MATCH(G245,card!B:B,0)-1,0)</f>
        <v>1</v>
      </c>
      <c r="J245" s="91">
        <f ca="1">OFFSET(card!$K$1,MATCH(G245,card!B:B,0)-1,0)</f>
        <v>1</v>
      </c>
      <c r="K245" s="91" t="s">
        <v>828</v>
      </c>
      <c r="L245" s="186">
        <v>7</v>
      </c>
      <c r="M245" s="157">
        <v>5</v>
      </c>
    </row>
    <row r="246" ht="15" spans="1:13">
      <c r="A246" s="276">
        <f t="shared" si="14"/>
        <v>210309</v>
      </c>
      <c r="B246" s="277">
        <v>9</v>
      </c>
      <c r="C246" s="278">
        <v>2</v>
      </c>
      <c r="D246" s="106">
        <v>1</v>
      </c>
      <c r="E246" s="106">
        <f t="shared" si="16"/>
        <v>2103</v>
      </c>
      <c r="F246" s="46">
        <f ca="1">OFFSET(card!$A$1,MATCH(G246,card!B:B,0)-1,0)</f>
        <v>2001001</v>
      </c>
      <c r="G246" s="91" t="s">
        <v>403</v>
      </c>
      <c r="I246" s="91">
        <f ca="1">OFFSET(card!$J$1,MATCH(G246,card!B:B,0)-1,0)</f>
        <v>1</v>
      </c>
      <c r="J246" s="91">
        <f ca="1">OFFSET(card!$K$1,MATCH(G246,card!B:B,0)-1,0)</f>
        <v>1</v>
      </c>
      <c r="K246" s="91" t="s">
        <v>832</v>
      </c>
      <c r="L246" s="186">
        <v>7</v>
      </c>
      <c r="M246" s="157">
        <v>2</v>
      </c>
    </row>
    <row r="247" ht="15" spans="1:13">
      <c r="A247" s="276">
        <f t="shared" si="14"/>
        <v>210310</v>
      </c>
      <c r="B247" s="277">
        <v>10</v>
      </c>
      <c r="C247" s="278">
        <v>2</v>
      </c>
      <c r="D247" s="106">
        <v>1</v>
      </c>
      <c r="E247" s="106">
        <f t="shared" si="16"/>
        <v>2103</v>
      </c>
      <c r="F247" s="46">
        <f ca="1">OFFSET(card!$A$1,MATCH(G247,card!B:B,0)-1,0)</f>
        <v>2003001</v>
      </c>
      <c r="G247" s="91" t="s">
        <v>379</v>
      </c>
      <c r="I247" s="91">
        <f ca="1">OFFSET(card!$J$1,MATCH(G247,card!B:B,0)-1,0)</f>
        <v>1</v>
      </c>
      <c r="J247" s="91">
        <f ca="1">OFFSET(card!$K$1,MATCH(G247,card!B:B,0)-1,0)</f>
        <v>2</v>
      </c>
      <c r="K247" s="91" t="s">
        <v>836</v>
      </c>
      <c r="L247" s="186">
        <v>7</v>
      </c>
      <c r="M247" s="157">
        <v>6</v>
      </c>
    </row>
    <row r="248" ht="15" spans="1:10">
      <c r="A248" s="276">
        <f t="shared" si="14"/>
        <v>210401</v>
      </c>
      <c r="B248" s="277">
        <v>1</v>
      </c>
      <c r="C248" s="278">
        <v>2</v>
      </c>
      <c r="D248" s="106">
        <v>1</v>
      </c>
      <c r="E248" s="106">
        <f t="shared" si="16"/>
        <v>2104</v>
      </c>
      <c r="F248" s="46">
        <f ca="1">OFFSET(card!$A$1,MATCH(G248,card!B:B,0)-1,0)</f>
        <v>2002001</v>
      </c>
      <c r="G248" s="91" t="s">
        <v>401</v>
      </c>
      <c r="I248" s="91">
        <f ca="1">OFFSET(card!$J$1,MATCH(G248,card!B:B,0)-1,0)</f>
        <v>1</v>
      </c>
      <c r="J248" s="91">
        <f ca="1">OFFSET(card!$K$1,MATCH(G248,card!B:B,0)-1,0)</f>
        <v>1</v>
      </c>
    </row>
    <row r="249" ht="15" spans="1:10">
      <c r="A249" s="276">
        <f t="shared" si="14"/>
        <v>210402</v>
      </c>
      <c r="B249" s="277">
        <v>2</v>
      </c>
      <c r="C249" s="278">
        <v>2</v>
      </c>
      <c r="D249" s="106">
        <v>1</v>
      </c>
      <c r="E249" s="106">
        <f t="shared" si="16"/>
        <v>2104</v>
      </c>
      <c r="F249" s="46">
        <f ca="1">OFFSET(card!$A$1,MATCH(G249,card!B:B,0)-1,0)</f>
        <v>2004001</v>
      </c>
      <c r="G249" s="91" t="s">
        <v>411</v>
      </c>
      <c r="I249" s="91">
        <f ca="1">OFFSET(card!$J$1,MATCH(G249,card!B:B,0)-1,0)</f>
        <v>1</v>
      </c>
      <c r="J249" s="91">
        <f ca="1">OFFSET(card!$K$1,MATCH(G249,card!B:B,0)-1,0)</f>
        <v>1</v>
      </c>
    </row>
    <row r="250" ht="15" spans="1:10">
      <c r="A250" s="276">
        <f t="shared" si="14"/>
        <v>210403</v>
      </c>
      <c r="B250" s="277">
        <v>3</v>
      </c>
      <c r="C250" s="278">
        <v>2</v>
      </c>
      <c r="D250" s="106">
        <v>1</v>
      </c>
      <c r="E250" s="106">
        <f t="shared" si="16"/>
        <v>2104</v>
      </c>
      <c r="F250" s="46">
        <f ca="1">OFFSET(card!$A$1,MATCH(G250,card!B:B,0)-1,0)</f>
        <v>2005001</v>
      </c>
      <c r="G250" s="91" t="s">
        <v>433</v>
      </c>
      <c r="I250" s="91">
        <f ca="1">OFFSET(card!$J$1,MATCH(G250,card!B:B,0)-1,0)</f>
        <v>1</v>
      </c>
      <c r="J250" s="91">
        <f ca="1">OFFSET(card!$K$1,MATCH(G250,card!B:B,0)-1,0)</f>
        <v>2</v>
      </c>
    </row>
    <row r="251" ht="15" spans="1:10">
      <c r="A251" s="276">
        <f t="shared" si="14"/>
        <v>210404</v>
      </c>
      <c r="B251" s="277">
        <v>4</v>
      </c>
      <c r="C251" s="278">
        <v>2</v>
      </c>
      <c r="D251" s="106">
        <v>1</v>
      </c>
      <c r="E251" s="106">
        <f t="shared" si="16"/>
        <v>2104</v>
      </c>
      <c r="F251" s="46">
        <f ca="1">OFFSET(card!$A$1,MATCH(G251,card!B:B,0)-1,0)</f>
        <v>2007001</v>
      </c>
      <c r="G251" s="91" t="s">
        <v>341</v>
      </c>
      <c r="I251" s="91">
        <f ca="1">OFFSET(card!$J$1,MATCH(G251,card!B:B,0)-1,0)</f>
        <v>1</v>
      </c>
      <c r="J251" s="91">
        <f ca="1">OFFSET(card!$K$1,MATCH(G251,card!B:B,0)-1,0)</f>
        <v>1</v>
      </c>
    </row>
    <row r="252" ht="15" spans="1:10">
      <c r="A252" s="276">
        <f t="shared" si="14"/>
        <v>210405</v>
      </c>
      <c r="B252" s="277">
        <v>5</v>
      </c>
      <c r="C252" s="278">
        <v>2</v>
      </c>
      <c r="D252" s="106">
        <v>1</v>
      </c>
      <c r="E252" s="106">
        <f t="shared" si="16"/>
        <v>2104</v>
      </c>
      <c r="F252" s="46">
        <f ca="1">OFFSET(card!$A$1,MATCH(G252,card!B:B,0)-1,0)</f>
        <v>2002001</v>
      </c>
      <c r="G252" s="91" t="s">
        <v>401</v>
      </c>
      <c r="I252" s="91">
        <f ca="1">OFFSET(card!$J$1,MATCH(G252,card!B:B,0)-1,0)</f>
        <v>1</v>
      </c>
      <c r="J252" s="91">
        <f ca="1">OFFSET(card!$K$1,MATCH(G252,card!B:B,0)-1,0)</f>
        <v>1</v>
      </c>
    </row>
    <row r="253" ht="15" spans="1:10">
      <c r="A253" s="276">
        <f t="shared" si="14"/>
        <v>210406</v>
      </c>
      <c r="B253" s="277">
        <v>6</v>
      </c>
      <c r="C253" s="278">
        <v>2</v>
      </c>
      <c r="D253" s="106">
        <v>1</v>
      </c>
      <c r="E253" s="106">
        <f t="shared" si="16"/>
        <v>2104</v>
      </c>
      <c r="F253" s="46">
        <f ca="1">OFFSET(card!$A$1,MATCH(G253,card!B:B,0)-1,0)</f>
        <v>2004001</v>
      </c>
      <c r="G253" s="91" t="s">
        <v>411</v>
      </c>
      <c r="I253" s="91">
        <f ca="1">OFFSET(card!$J$1,MATCH(G253,card!B:B,0)-1,0)</f>
        <v>1</v>
      </c>
      <c r="J253" s="91">
        <f ca="1">OFFSET(card!$K$1,MATCH(G253,card!B:B,0)-1,0)</f>
        <v>1</v>
      </c>
    </row>
    <row r="254" ht="15" spans="1:10">
      <c r="A254" s="276">
        <f t="shared" si="14"/>
        <v>210407</v>
      </c>
      <c r="B254" s="277">
        <v>7</v>
      </c>
      <c r="C254" s="278">
        <v>2</v>
      </c>
      <c r="D254" s="106">
        <v>1</v>
      </c>
      <c r="E254" s="106">
        <f t="shared" si="16"/>
        <v>2104</v>
      </c>
      <c r="F254" s="46">
        <f ca="1">OFFSET(card!$A$1,MATCH(G254,card!B:B,0)-1,0)</f>
        <v>2005001</v>
      </c>
      <c r="G254" s="91" t="s">
        <v>433</v>
      </c>
      <c r="I254" s="91">
        <f ca="1">OFFSET(card!$J$1,MATCH(G254,card!B:B,0)-1,0)</f>
        <v>1</v>
      </c>
      <c r="J254" s="91">
        <f ca="1">OFFSET(card!$K$1,MATCH(G254,card!B:B,0)-1,0)</f>
        <v>2</v>
      </c>
    </row>
    <row r="255" ht="15" spans="1:10">
      <c r="A255" s="276">
        <f t="shared" si="14"/>
        <v>210408</v>
      </c>
      <c r="B255" s="277">
        <v>8</v>
      </c>
      <c r="C255" s="278">
        <v>2</v>
      </c>
      <c r="D255" s="106">
        <v>1</v>
      </c>
      <c r="E255" s="106">
        <f t="shared" si="16"/>
        <v>2104</v>
      </c>
      <c r="F255" s="46">
        <f ca="1">OFFSET(card!$A$1,MATCH(G255,card!B:B,0)-1,0)</f>
        <v>2007001</v>
      </c>
      <c r="G255" s="91" t="s">
        <v>341</v>
      </c>
      <c r="I255" s="91">
        <f ca="1">OFFSET(card!$J$1,MATCH(G255,card!B:B,0)-1,0)</f>
        <v>1</v>
      </c>
      <c r="J255" s="91">
        <f ca="1">OFFSET(card!$K$1,MATCH(G255,card!B:B,0)-1,0)</f>
        <v>1</v>
      </c>
    </row>
    <row r="256" ht="15" spans="1:10">
      <c r="A256" s="276">
        <f t="shared" si="14"/>
        <v>210409</v>
      </c>
      <c r="B256" s="277">
        <v>9</v>
      </c>
      <c r="C256" s="278">
        <v>2</v>
      </c>
      <c r="D256" s="106">
        <v>1</v>
      </c>
      <c r="E256" s="106">
        <f t="shared" si="16"/>
        <v>2104</v>
      </c>
      <c r="F256" s="46">
        <f ca="1">OFFSET(card!$A$1,MATCH(G256,card!B:B,0)-1,0)</f>
        <v>2005001</v>
      </c>
      <c r="G256" s="91" t="s">
        <v>433</v>
      </c>
      <c r="I256" s="91">
        <f ca="1">OFFSET(card!$J$1,MATCH(G256,card!B:B,0)-1,0)</f>
        <v>1</v>
      </c>
      <c r="J256" s="91">
        <f ca="1">OFFSET(card!$K$1,MATCH(G256,card!B:B,0)-1,0)</f>
        <v>2</v>
      </c>
    </row>
    <row r="257" ht="15" spans="1:10">
      <c r="A257" s="276">
        <f t="shared" si="14"/>
        <v>210410</v>
      </c>
      <c r="B257" s="277">
        <v>10</v>
      </c>
      <c r="C257" s="278">
        <v>2</v>
      </c>
      <c r="D257" s="106">
        <v>1</v>
      </c>
      <c r="E257" s="106">
        <f t="shared" si="16"/>
        <v>2104</v>
      </c>
      <c r="F257" s="46">
        <f ca="1">OFFSET(card!$A$1,MATCH(G257,card!B:B,0)-1,0)</f>
        <v>2007001</v>
      </c>
      <c r="G257" s="91" t="s">
        <v>341</v>
      </c>
      <c r="I257" s="91">
        <f ca="1">OFFSET(card!$J$1,MATCH(G257,card!B:B,0)-1,0)</f>
        <v>1</v>
      </c>
      <c r="J257" s="91">
        <f ca="1">OFFSET(card!$K$1,MATCH(G257,card!B:B,0)-1,0)</f>
        <v>1</v>
      </c>
    </row>
    <row r="258" ht="15" spans="1:10">
      <c r="A258" s="276">
        <f t="shared" si="14"/>
        <v>210501</v>
      </c>
      <c r="B258" s="277">
        <v>1</v>
      </c>
      <c r="C258" s="278">
        <v>2</v>
      </c>
      <c r="D258" s="106">
        <v>1</v>
      </c>
      <c r="E258" s="106">
        <f t="shared" si="16"/>
        <v>2105</v>
      </c>
      <c r="F258" s="46">
        <f ca="1">OFFSET(card!$A$1,MATCH(G258,card!B:B,0)-1,0)</f>
        <v>2001001</v>
      </c>
      <c r="G258" s="91" t="s">
        <v>403</v>
      </c>
      <c r="I258" s="91">
        <f ca="1">OFFSET(card!$J$1,MATCH(G258,card!B:B,0)-1,0)</f>
        <v>1</v>
      </c>
      <c r="J258" s="91">
        <f ca="1">OFFSET(card!$K$1,MATCH(G258,card!B:B,0)-1,0)</f>
        <v>1</v>
      </c>
    </row>
    <row r="259" ht="15" spans="1:10">
      <c r="A259" s="276">
        <f t="shared" si="14"/>
        <v>210502</v>
      </c>
      <c r="B259" s="277">
        <v>2</v>
      </c>
      <c r="C259" s="278">
        <v>2</v>
      </c>
      <c r="D259" s="106">
        <v>1</v>
      </c>
      <c r="E259" s="106">
        <f t="shared" si="16"/>
        <v>2105</v>
      </c>
      <c r="F259" s="46">
        <f ca="1">OFFSET(card!$A$1,MATCH(G259,card!B:B,0)-1,0)</f>
        <v>2004001</v>
      </c>
      <c r="G259" s="91" t="s">
        <v>411</v>
      </c>
      <c r="I259" s="91">
        <f ca="1">OFFSET(card!$J$1,MATCH(G259,card!B:B,0)-1,0)</f>
        <v>1</v>
      </c>
      <c r="J259" s="91">
        <f ca="1">OFFSET(card!$K$1,MATCH(G259,card!B:B,0)-1,0)</f>
        <v>1</v>
      </c>
    </row>
    <row r="260" ht="15" spans="1:10">
      <c r="A260" s="276">
        <f t="shared" si="14"/>
        <v>210503</v>
      </c>
      <c r="B260" s="277">
        <v>3</v>
      </c>
      <c r="C260" s="278">
        <v>2</v>
      </c>
      <c r="D260" s="106">
        <v>1</v>
      </c>
      <c r="E260" s="106">
        <f t="shared" si="16"/>
        <v>2105</v>
      </c>
      <c r="F260" s="46">
        <f ca="1">OFFSET(card!$A$1,MATCH(G260,card!B:B,0)-1,0)</f>
        <v>2005001</v>
      </c>
      <c r="G260" s="91" t="s">
        <v>433</v>
      </c>
      <c r="I260" s="91">
        <f ca="1">OFFSET(card!$J$1,MATCH(G260,card!B:B,0)-1,0)</f>
        <v>1</v>
      </c>
      <c r="J260" s="91">
        <f ca="1">OFFSET(card!$K$1,MATCH(G260,card!B:B,0)-1,0)</f>
        <v>2</v>
      </c>
    </row>
    <row r="261" ht="15" spans="1:10">
      <c r="A261" s="276">
        <f t="shared" si="14"/>
        <v>210504</v>
      </c>
      <c r="B261" s="277">
        <v>4</v>
      </c>
      <c r="C261" s="278">
        <v>2</v>
      </c>
      <c r="D261" s="106">
        <v>1</v>
      </c>
      <c r="E261" s="106">
        <f t="shared" si="16"/>
        <v>2105</v>
      </c>
      <c r="F261" s="46">
        <f ca="1">OFFSET(card!$A$1,MATCH(G261,card!B:B,0)-1,0)</f>
        <v>2008001</v>
      </c>
      <c r="G261" s="91" t="s">
        <v>353</v>
      </c>
      <c r="I261" s="91">
        <f ca="1">OFFSET(card!$J$1,MATCH(G261,card!B:B,0)-1,0)</f>
        <v>1</v>
      </c>
      <c r="J261" s="91">
        <f ca="1">OFFSET(card!$K$1,MATCH(G261,card!B:B,0)-1,0)</f>
        <v>2</v>
      </c>
    </row>
    <row r="262" ht="15" spans="1:10">
      <c r="A262" s="276">
        <f t="shared" si="14"/>
        <v>210505</v>
      </c>
      <c r="B262" s="277">
        <v>5</v>
      </c>
      <c r="C262" s="278">
        <v>2</v>
      </c>
      <c r="D262" s="106">
        <v>1</v>
      </c>
      <c r="E262" s="106">
        <f t="shared" si="16"/>
        <v>2105</v>
      </c>
      <c r="F262" s="46">
        <f ca="1">OFFSET(card!$A$1,MATCH(G262,card!B:B,0)-1,0)</f>
        <v>2001001</v>
      </c>
      <c r="G262" s="91" t="s">
        <v>403</v>
      </c>
      <c r="I262" s="91">
        <f ca="1">OFFSET(card!$J$1,MATCH(G262,card!B:B,0)-1,0)</f>
        <v>1</v>
      </c>
      <c r="J262" s="91">
        <f ca="1">OFFSET(card!$K$1,MATCH(G262,card!B:B,0)-1,0)</f>
        <v>1</v>
      </c>
    </row>
    <row r="263" ht="15" spans="1:10">
      <c r="A263" s="276">
        <f t="shared" si="14"/>
        <v>210506</v>
      </c>
      <c r="B263" s="277">
        <v>6</v>
      </c>
      <c r="C263" s="278">
        <v>2</v>
      </c>
      <c r="D263" s="106">
        <v>1</v>
      </c>
      <c r="E263" s="106">
        <f t="shared" si="16"/>
        <v>2105</v>
      </c>
      <c r="F263" s="46">
        <f ca="1">OFFSET(card!$A$1,MATCH(G263,card!B:B,0)-1,0)</f>
        <v>2004001</v>
      </c>
      <c r="G263" s="91" t="s">
        <v>411</v>
      </c>
      <c r="I263" s="91">
        <f ca="1">OFFSET(card!$J$1,MATCH(G263,card!B:B,0)-1,0)</f>
        <v>1</v>
      </c>
      <c r="J263" s="91">
        <f ca="1">OFFSET(card!$K$1,MATCH(G263,card!B:B,0)-1,0)</f>
        <v>1</v>
      </c>
    </row>
    <row r="264" ht="15" spans="1:10">
      <c r="A264" s="276">
        <f t="shared" si="14"/>
        <v>210507</v>
      </c>
      <c r="B264" s="277">
        <v>7</v>
      </c>
      <c r="C264" s="278">
        <v>2</v>
      </c>
      <c r="D264" s="106">
        <v>1</v>
      </c>
      <c r="E264" s="106">
        <f t="shared" si="16"/>
        <v>2105</v>
      </c>
      <c r="F264" s="46">
        <f ca="1">OFFSET(card!$A$1,MATCH(G264,card!B:B,0)-1,0)</f>
        <v>2005001</v>
      </c>
      <c r="G264" s="91" t="s">
        <v>433</v>
      </c>
      <c r="I264" s="91">
        <f ca="1">OFFSET(card!$J$1,MATCH(G264,card!B:B,0)-1,0)</f>
        <v>1</v>
      </c>
      <c r="J264" s="91">
        <f ca="1">OFFSET(card!$K$1,MATCH(G264,card!B:B,0)-1,0)</f>
        <v>2</v>
      </c>
    </row>
    <row r="265" ht="15" spans="1:10">
      <c r="A265" s="276">
        <f t="shared" si="14"/>
        <v>210508</v>
      </c>
      <c r="B265" s="277">
        <v>8</v>
      </c>
      <c r="C265" s="278">
        <v>2</v>
      </c>
      <c r="D265" s="106">
        <v>1</v>
      </c>
      <c r="E265" s="106">
        <f t="shared" si="16"/>
        <v>2105</v>
      </c>
      <c r="F265" s="46">
        <f ca="1">OFFSET(card!$A$1,MATCH(G265,card!B:B,0)-1,0)</f>
        <v>2008001</v>
      </c>
      <c r="G265" s="91" t="s">
        <v>353</v>
      </c>
      <c r="I265" s="91">
        <f ca="1">OFFSET(card!$J$1,MATCH(G265,card!B:B,0)-1,0)</f>
        <v>1</v>
      </c>
      <c r="J265" s="91">
        <f ca="1">OFFSET(card!$K$1,MATCH(G265,card!B:B,0)-1,0)</f>
        <v>2</v>
      </c>
    </row>
    <row r="266" ht="15" spans="1:10">
      <c r="A266" s="276">
        <f t="shared" si="14"/>
        <v>210509</v>
      </c>
      <c r="B266" s="277">
        <v>9</v>
      </c>
      <c r="C266" s="278">
        <v>2</v>
      </c>
      <c r="D266" s="106">
        <v>1</v>
      </c>
      <c r="E266" s="106">
        <f t="shared" si="16"/>
        <v>2105</v>
      </c>
      <c r="F266" s="46">
        <f ca="1">OFFSET(card!$A$1,MATCH(G266,card!B:B,0)-1,0)</f>
        <v>2001001</v>
      </c>
      <c r="G266" s="91" t="s">
        <v>403</v>
      </c>
      <c r="I266" s="91">
        <f ca="1">OFFSET(card!$J$1,MATCH(G266,card!B:B,0)-1,0)</f>
        <v>1</v>
      </c>
      <c r="J266" s="91">
        <f ca="1">OFFSET(card!$K$1,MATCH(G266,card!B:B,0)-1,0)</f>
        <v>1</v>
      </c>
    </row>
    <row r="267" ht="15" spans="1:10">
      <c r="A267" s="276">
        <f t="shared" si="14"/>
        <v>210510</v>
      </c>
      <c r="B267" s="277">
        <v>10</v>
      </c>
      <c r="C267" s="278">
        <v>2</v>
      </c>
      <c r="D267" s="106">
        <v>1</v>
      </c>
      <c r="E267" s="106">
        <f t="shared" si="16"/>
        <v>2105</v>
      </c>
      <c r="F267" s="46">
        <f ca="1">OFFSET(card!$A$1,MATCH(G267,card!B:B,0)-1,0)</f>
        <v>2004001</v>
      </c>
      <c r="G267" s="91" t="s">
        <v>411</v>
      </c>
      <c r="I267" s="91">
        <f ca="1">OFFSET(card!$J$1,MATCH(G267,card!B:B,0)-1,0)</f>
        <v>1</v>
      </c>
      <c r="J267" s="91">
        <f ca="1">OFFSET(card!$K$1,MATCH(G267,card!B:B,0)-1,0)</f>
        <v>1</v>
      </c>
    </row>
    <row r="268" ht="15" spans="1:10">
      <c r="A268" s="276">
        <f t="shared" si="14"/>
        <v>210601</v>
      </c>
      <c r="B268" s="277">
        <v>1</v>
      </c>
      <c r="C268" s="278">
        <v>2</v>
      </c>
      <c r="D268" s="106">
        <v>1</v>
      </c>
      <c r="E268" s="106">
        <f t="shared" si="16"/>
        <v>2106</v>
      </c>
      <c r="F268" s="46">
        <f ca="1">OFFSET(card!$A$1,MATCH(G268,card!B:B,0)-1,0)</f>
        <v>2002001</v>
      </c>
      <c r="G268" s="91" t="s">
        <v>401</v>
      </c>
      <c r="I268" s="91">
        <f ca="1">OFFSET(card!$J$1,MATCH(G268,card!B:B,0)-1,0)</f>
        <v>1</v>
      </c>
      <c r="J268" s="91">
        <f ca="1">OFFSET(card!$K$1,MATCH(G268,card!B:B,0)-1,0)</f>
        <v>1</v>
      </c>
    </row>
    <row r="269" ht="15" spans="1:10">
      <c r="A269" s="276">
        <f t="shared" si="14"/>
        <v>210602</v>
      </c>
      <c r="B269" s="277">
        <v>2</v>
      </c>
      <c r="C269" s="278">
        <v>2</v>
      </c>
      <c r="D269" s="106">
        <v>1</v>
      </c>
      <c r="E269" s="106">
        <f t="shared" si="16"/>
        <v>2106</v>
      </c>
      <c r="F269" s="46">
        <f ca="1">OFFSET(card!$A$1,MATCH(G269,card!B:B,0)-1,0)</f>
        <v>2004001</v>
      </c>
      <c r="G269" s="91" t="s">
        <v>411</v>
      </c>
      <c r="I269" s="91">
        <f ca="1">OFFSET(card!$J$1,MATCH(G269,card!B:B,0)-1,0)</f>
        <v>1</v>
      </c>
      <c r="J269" s="91">
        <f ca="1">OFFSET(card!$K$1,MATCH(G269,card!B:B,0)-1,0)</f>
        <v>1</v>
      </c>
    </row>
    <row r="270" ht="15" spans="1:10">
      <c r="A270" s="276">
        <f t="shared" si="14"/>
        <v>210603</v>
      </c>
      <c r="B270" s="277">
        <v>3</v>
      </c>
      <c r="C270" s="278">
        <v>2</v>
      </c>
      <c r="D270" s="106">
        <v>1</v>
      </c>
      <c r="E270" s="106">
        <f t="shared" si="16"/>
        <v>2106</v>
      </c>
      <c r="F270" s="46">
        <f ca="1">OFFSET(card!$A$1,MATCH(G270,card!B:B,0)-1,0)</f>
        <v>2005001</v>
      </c>
      <c r="G270" s="91" t="s">
        <v>433</v>
      </c>
      <c r="I270" s="91">
        <f ca="1">OFFSET(card!$J$1,MATCH(G270,card!B:B,0)-1,0)</f>
        <v>1</v>
      </c>
      <c r="J270" s="91">
        <f ca="1">OFFSET(card!$K$1,MATCH(G270,card!B:B,0)-1,0)</f>
        <v>2</v>
      </c>
    </row>
    <row r="271" ht="15" spans="1:10">
      <c r="A271" s="276">
        <f t="shared" si="14"/>
        <v>210604</v>
      </c>
      <c r="B271" s="277">
        <v>4</v>
      </c>
      <c r="C271" s="278">
        <v>2</v>
      </c>
      <c r="D271" s="106">
        <v>1</v>
      </c>
      <c r="E271" s="106">
        <f t="shared" si="16"/>
        <v>2106</v>
      </c>
      <c r="F271" s="46">
        <f ca="1">OFFSET(card!$A$1,MATCH(G271,card!B:B,0)-1,0)</f>
        <v>2009001</v>
      </c>
      <c r="G271" s="91" t="s">
        <v>295</v>
      </c>
      <c r="I271" s="91">
        <f ca="1">OFFSET(card!$J$1,MATCH(G271,card!B:B,0)-1,0)</f>
        <v>1</v>
      </c>
      <c r="J271" s="91">
        <f ca="1">OFFSET(card!$K$1,MATCH(G271,card!B:B,0)-1,0)</f>
        <v>3</v>
      </c>
    </row>
    <row r="272" ht="15" spans="1:10">
      <c r="A272" s="276">
        <f t="shared" si="14"/>
        <v>210605</v>
      </c>
      <c r="B272" s="277">
        <v>5</v>
      </c>
      <c r="C272" s="278">
        <v>2</v>
      </c>
      <c r="D272" s="106">
        <v>1</v>
      </c>
      <c r="E272" s="106">
        <f t="shared" si="16"/>
        <v>2106</v>
      </c>
      <c r="F272" s="46">
        <f ca="1">OFFSET(card!$A$1,MATCH(G272,card!B:B,0)-1,0)</f>
        <v>2002001</v>
      </c>
      <c r="G272" s="91" t="s">
        <v>401</v>
      </c>
      <c r="I272" s="91">
        <f ca="1">OFFSET(card!$J$1,MATCH(G272,card!B:B,0)-1,0)</f>
        <v>1</v>
      </c>
      <c r="J272" s="91">
        <f ca="1">OFFSET(card!$K$1,MATCH(G272,card!B:B,0)-1,0)</f>
        <v>1</v>
      </c>
    </row>
    <row r="273" ht="15" spans="1:10">
      <c r="A273" s="276">
        <f t="shared" si="14"/>
        <v>210606</v>
      </c>
      <c r="B273" s="277">
        <v>6</v>
      </c>
      <c r="C273" s="278">
        <v>2</v>
      </c>
      <c r="D273" s="106">
        <v>1</v>
      </c>
      <c r="E273" s="106">
        <f t="shared" si="16"/>
        <v>2106</v>
      </c>
      <c r="F273" s="46">
        <f ca="1">OFFSET(card!$A$1,MATCH(G273,card!B:B,0)-1,0)</f>
        <v>2004001</v>
      </c>
      <c r="G273" s="91" t="s">
        <v>411</v>
      </c>
      <c r="I273" s="91">
        <f ca="1">OFFSET(card!$J$1,MATCH(G273,card!B:B,0)-1,0)</f>
        <v>1</v>
      </c>
      <c r="J273" s="91">
        <f ca="1">OFFSET(card!$K$1,MATCH(G273,card!B:B,0)-1,0)</f>
        <v>1</v>
      </c>
    </row>
    <row r="274" ht="15" spans="1:10">
      <c r="A274" s="276">
        <f t="shared" si="14"/>
        <v>210607</v>
      </c>
      <c r="B274" s="277">
        <v>7</v>
      </c>
      <c r="C274" s="278">
        <v>2</v>
      </c>
      <c r="D274" s="106">
        <v>1</v>
      </c>
      <c r="E274" s="106">
        <f t="shared" si="16"/>
        <v>2106</v>
      </c>
      <c r="F274" s="46">
        <f ca="1">OFFSET(card!$A$1,MATCH(G274,card!B:B,0)-1,0)</f>
        <v>2005001</v>
      </c>
      <c r="G274" s="91" t="s">
        <v>433</v>
      </c>
      <c r="I274" s="91">
        <f ca="1">OFFSET(card!$J$1,MATCH(G274,card!B:B,0)-1,0)</f>
        <v>1</v>
      </c>
      <c r="J274" s="91">
        <f ca="1">OFFSET(card!$K$1,MATCH(G274,card!B:B,0)-1,0)</f>
        <v>2</v>
      </c>
    </row>
    <row r="275" ht="15" spans="1:10">
      <c r="A275" s="276">
        <f t="shared" si="14"/>
        <v>210608</v>
      </c>
      <c r="B275" s="277">
        <v>8</v>
      </c>
      <c r="C275" s="278">
        <v>2</v>
      </c>
      <c r="D275" s="106">
        <v>1</v>
      </c>
      <c r="E275" s="106">
        <f t="shared" si="16"/>
        <v>2106</v>
      </c>
      <c r="F275" s="46">
        <f ca="1">OFFSET(card!$A$1,MATCH(G275,card!B:B,0)-1,0)</f>
        <v>2009001</v>
      </c>
      <c r="G275" s="91" t="s">
        <v>295</v>
      </c>
      <c r="I275" s="91">
        <f ca="1">OFFSET(card!$J$1,MATCH(G275,card!B:B,0)-1,0)</f>
        <v>1</v>
      </c>
      <c r="J275" s="91">
        <f ca="1">OFFSET(card!$K$1,MATCH(G275,card!B:B,0)-1,0)</f>
        <v>3</v>
      </c>
    </row>
    <row r="276" ht="15" spans="1:10">
      <c r="A276" s="276">
        <f t="shared" si="14"/>
        <v>210609</v>
      </c>
      <c r="B276" s="277">
        <v>9</v>
      </c>
      <c r="C276" s="278">
        <v>2</v>
      </c>
      <c r="D276" s="106">
        <v>1</v>
      </c>
      <c r="E276" s="106">
        <f t="shared" si="16"/>
        <v>2106</v>
      </c>
      <c r="F276" s="46">
        <f ca="1">OFFSET(card!$A$1,MATCH(G276,card!B:B,0)-1,0)</f>
        <v>2002001</v>
      </c>
      <c r="G276" s="91" t="s">
        <v>401</v>
      </c>
      <c r="I276" s="91">
        <f ca="1">OFFSET(card!$J$1,MATCH(G276,card!B:B,0)-1,0)</f>
        <v>1</v>
      </c>
      <c r="J276" s="91">
        <f ca="1">OFFSET(card!$K$1,MATCH(G276,card!B:B,0)-1,0)</f>
        <v>1</v>
      </c>
    </row>
    <row r="277" ht="15" spans="1:10">
      <c r="A277" s="276">
        <f t="shared" si="14"/>
        <v>210610</v>
      </c>
      <c r="B277" s="277">
        <v>10</v>
      </c>
      <c r="C277" s="278">
        <v>2</v>
      </c>
      <c r="D277" s="106">
        <v>1</v>
      </c>
      <c r="E277" s="106">
        <f t="shared" si="16"/>
        <v>2106</v>
      </c>
      <c r="F277" s="46">
        <f ca="1">OFFSET(card!$A$1,MATCH(G277,card!B:B,0)-1,0)</f>
        <v>2004001</v>
      </c>
      <c r="G277" s="91" t="s">
        <v>411</v>
      </c>
      <c r="I277" s="91">
        <f ca="1">OFFSET(card!$J$1,MATCH(G277,card!B:B,0)-1,0)</f>
        <v>1</v>
      </c>
      <c r="J277" s="91">
        <f ca="1">OFFSET(card!$K$1,MATCH(G277,card!B:B,0)-1,0)</f>
        <v>1</v>
      </c>
    </row>
    <row r="278" ht="15" spans="1:10">
      <c r="A278" s="276">
        <f t="shared" si="14"/>
        <v>210701</v>
      </c>
      <c r="B278" s="277">
        <v>1</v>
      </c>
      <c r="C278" s="278">
        <v>2</v>
      </c>
      <c r="D278" s="106">
        <v>1</v>
      </c>
      <c r="E278" s="106">
        <f t="shared" si="16"/>
        <v>2107</v>
      </c>
      <c r="F278" s="46">
        <f ca="1">OFFSET(card!$A$1,MATCH(G278,card!B:B,0)-1,0)</f>
        <v>2002001</v>
      </c>
      <c r="G278" s="91" t="s">
        <v>401</v>
      </c>
      <c r="I278" s="91">
        <f ca="1">OFFSET(card!$J$1,MATCH(G278,card!B:B,0)-1,0)</f>
        <v>1</v>
      </c>
      <c r="J278" s="91">
        <f ca="1">OFFSET(card!$K$1,MATCH(G278,card!B:B,0)-1,0)</f>
        <v>1</v>
      </c>
    </row>
    <row r="279" ht="15" spans="1:10">
      <c r="A279" s="276">
        <f t="shared" si="14"/>
        <v>210702</v>
      </c>
      <c r="B279" s="277">
        <v>2</v>
      </c>
      <c r="C279" s="278">
        <v>2</v>
      </c>
      <c r="D279" s="106">
        <v>1</v>
      </c>
      <c r="E279" s="106">
        <f t="shared" si="16"/>
        <v>2107</v>
      </c>
      <c r="F279" s="46">
        <f ca="1">OFFSET(card!$A$1,MATCH(G279,card!B:B,0)-1,0)</f>
        <v>2005001</v>
      </c>
      <c r="G279" s="91" t="s">
        <v>433</v>
      </c>
      <c r="I279" s="91">
        <f ca="1">OFFSET(card!$J$1,MATCH(G279,card!B:B,0)-1,0)</f>
        <v>1</v>
      </c>
      <c r="J279" s="91">
        <f ca="1">OFFSET(card!$K$1,MATCH(G279,card!B:B,0)-1,0)</f>
        <v>2</v>
      </c>
    </row>
    <row r="280" ht="15" spans="1:10">
      <c r="A280" s="276">
        <f t="shared" si="14"/>
        <v>210703</v>
      </c>
      <c r="B280" s="277">
        <v>3</v>
      </c>
      <c r="C280" s="278">
        <v>2</v>
      </c>
      <c r="D280" s="106">
        <v>1</v>
      </c>
      <c r="E280" s="106">
        <f t="shared" si="16"/>
        <v>2107</v>
      </c>
      <c r="F280" s="46">
        <f ca="1">OFFSET(card!$A$1,MATCH(G280,card!B:B,0)-1,0)</f>
        <v>2006001</v>
      </c>
      <c r="G280" s="91" t="s">
        <v>740</v>
      </c>
      <c r="I280" s="91">
        <f ca="1">OFFSET(card!$J$1,MATCH(G280,card!B:B,0)-1,0)</f>
        <v>1</v>
      </c>
      <c r="J280" s="91">
        <f ca="1">OFFSET(card!$K$1,MATCH(G280,card!B:B,0)-1,0)</f>
        <v>1</v>
      </c>
    </row>
    <row r="281" ht="15" spans="1:10">
      <c r="A281" s="276">
        <f t="shared" si="14"/>
        <v>210704</v>
      </c>
      <c r="B281" s="277">
        <v>4</v>
      </c>
      <c r="C281" s="278">
        <v>2</v>
      </c>
      <c r="D281" s="106">
        <v>1</v>
      </c>
      <c r="E281" s="106">
        <f t="shared" si="16"/>
        <v>2107</v>
      </c>
      <c r="F281" s="46">
        <f ca="1">OFFSET(card!$A$1,MATCH(G281,card!B:B,0)-1,0)</f>
        <v>2010001</v>
      </c>
      <c r="G281" s="91" t="s">
        <v>347</v>
      </c>
      <c r="I281" s="91">
        <f ca="1">OFFSET(card!$J$1,MATCH(G281,card!B:B,0)-1,0)</f>
        <v>1</v>
      </c>
      <c r="J281" s="91">
        <f ca="1">OFFSET(card!$K$1,MATCH(G281,card!B:B,0)-1,0)</f>
        <v>2</v>
      </c>
    </row>
    <row r="282" ht="15" spans="1:10">
      <c r="A282" s="276">
        <f t="shared" ref="A282:A345" si="17">E282*100+B282</f>
        <v>210705</v>
      </c>
      <c r="B282" s="277">
        <v>5</v>
      </c>
      <c r="C282" s="278">
        <v>2</v>
      </c>
      <c r="D282" s="106">
        <v>1</v>
      </c>
      <c r="E282" s="106">
        <f t="shared" si="16"/>
        <v>2107</v>
      </c>
      <c r="F282" s="46">
        <f ca="1">OFFSET(card!$A$1,MATCH(G282,card!B:B,0)-1,0)</f>
        <v>2002001</v>
      </c>
      <c r="G282" s="91" t="s">
        <v>401</v>
      </c>
      <c r="I282" s="91">
        <f ca="1">OFFSET(card!$J$1,MATCH(G282,card!B:B,0)-1,0)</f>
        <v>1</v>
      </c>
      <c r="J282" s="91">
        <f ca="1">OFFSET(card!$K$1,MATCH(G282,card!B:B,0)-1,0)</f>
        <v>1</v>
      </c>
    </row>
    <row r="283" ht="15" spans="1:10">
      <c r="A283" s="276">
        <f t="shared" si="17"/>
        <v>210706</v>
      </c>
      <c r="B283" s="277">
        <v>6</v>
      </c>
      <c r="C283" s="278">
        <v>2</v>
      </c>
      <c r="D283" s="106">
        <v>1</v>
      </c>
      <c r="E283" s="106">
        <f t="shared" si="16"/>
        <v>2107</v>
      </c>
      <c r="F283" s="46">
        <f ca="1">OFFSET(card!$A$1,MATCH(G283,card!B:B,0)-1,0)</f>
        <v>2005001</v>
      </c>
      <c r="G283" s="91" t="s">
        <v>433</v>
      </c>
      <c r="I283" s="91">
        <f ca="1">OFFSET(card!$J$1,MATCH(G283,card!B:B,0)-1,0)</f>
        <v>1</v>
      </c>
      <c r="J283" s="91">
        <f ca="1">OFFSET(card!$K$1,MATCH(G283,card!B:B,0)-1,0)</f>
        <v>2</v>
      </c>
    </row>
    <row r="284" ht="15" spans="1:10">
      <c r="A284" s="276">
        <f t="shared" si="17"/>
        <v>210707</v>
      </c>
      <c r="B284" s="277">
        <v>7</v>
      </c>
      <c r="C284" s="278">
        <v>2</v>
      </c>
      <c r="D284" s="106">
        <v>1</v>
      </c>
      <c r="E284" s="106">
        <f t="shared" si="16"/>
        <v>2107</v>
      </c>
      <c r="F284" s="46">
        <f ca="1">OFFSET(card!$A$1,MATCH(G284,card!B:B,0)-1,0)</f>
        <v>2006001</v>
      </c>
      <c r="G284" s="91" t="s">
        <v>740</v>
      </c>
      <c r="I284" s="91">
        <f ca="1">OFFSET(card!$J$1,MATCH(G284,card!B:B,0)-1,0)</f>
        <v>1</v>
      </c>
      <c r="J284" s="91">
        <f ca="1">OFFSET(card!$K$1,MATCH(G284,card!B:B,0)-1,0)</f>
        <v>1</v>
      </c>
    </row>
    <row r="285" ht="15" spans="1:10">
      <c r="A285" s="276">
        <f t="shared" si="17"/>
        <v>210708</v>
      </c>
      <c r="B285" s="277">
        <v>8</v>
      </c>
      <c r="C285" s="278">
        <v>2</v>
      </c>
      <c r="D285" s="106">
        <v>1</v>
      </c>
      <c r="E285" s="106">
        <f t="shared" si="16"/>
        <v>2107</v>
      </c>
      <c r="F285" s="46">
        <f ca="1">OFFSET(card!$A$1,MATCH(G285,card!B:B,0)-1,0)</f>
        <v>2010001</v>
      </c>
      <c r="G285" s="91" t="s">
        <v>347</v>
      </c>
      <c r="I285" s="91">
        <f ca="1">OFFSET(card!$J$1,MATCH(G285,card!B:B,0)-1,0)</f>
        <v>1</v>
      </c>
      <c r="J285" s="91">
        <f ca="1">OFFSET(card!$K$1,MATCH(G285,card!B:B,0)-1,0)</f>
        <v>2</v>
      </c>
    </row>
    <row r="286" ht="15" spans="1:10">
      <c r="A286" s="276">
        <f t="shared" si="17"/>
        <v>210709</v>
      </c>
      <c r="B286" s="277">
        <v>9</v>
      </c>
      <c r="C286" s="278">
        <v>2</v>
      </c>
      <c r="D286" s="106">
        <v>1</v>
      </c>
      <c r="E286" s="106">
        <f t="shared" si="16"/>
        <v>2107</v>
      </c>
      <c r="F286" s="46">
        <f ca="1">OFFSET(card!$A$1,MATCH(G286,card!B:B,0)-1,0)</f>
        <v>2002001</v>
      </c>
      <c r="G286" s="91" t="s">
        <v>401</v>
      </c>
      <c r="I286" s="91">
        <f ca="1">OFFSET(card!$J$1,MATCH(G286,card!B:B,0)-1,0)</f>
        <v>1</v>
      </c>
      <c r="J286" s="91">
        <f ca="1">OFFSET(card!$K$1,MATCH(G286,card!B:B,0)-1,0)</f>
        <v>1</v>
      </c>
    </row>
    <row r="287" ht="15" spans="1:10">
      <c r="A287" s="276">
        <f t="shared" si="17"/>
        <v>210710</v>
      </c>
      <c r="B287" s="277">
        <v>10</v>
      </c>
      <c r="C287" s="278">
        <v>2</v>
      </c>
      <c r="D287" s="106">
        <v>1</v>
      </c>
      <c r="E287" s="106">
        <f t="shared" si="16"/>
        <v>2107</v>
      </c>
      <c r="F287" s="46">
        <f ca="1">OFFSET(card!$A$1,MATCH(G287,card!B:B,0)-1,0)</f>
        <v>2005001</v>
      </c>
      <c r="G287" s="91" t="s">
        <v>433</v>
      </c>
      <c r="I287" s="91">
        <f ca="1">OFFSET(card!$J$1,MATCH(G287,card!B:B,0)-1,0)</f>
        <v>1</v>
      </c>
      <c r="J287" s="91">
        <f ca="1">OFFSET(card!$K$1,MATCH(G287,card!B:B,0)-1,0)</f>
        <v>2</v>
      </c>
    </row>
    <row r="288" ht="15" spans="1:10">
      <c r="A288" s="276">
        <f t="shared" si="17"/>
        <v>210801</v>
      </c>
      <c r="B288" s="277">
        <v>1</v>
      </c>
      <c r="C288" s="278">
        <v>2</v>
      </c>
      <c r="D288" s="106">
        <v>1</v>
      </c>
      <c r="E288" s="106">
        <f t="shared" si="16"/>
        <v>2108</v>
      </c>
      <c r="F288" s="46">
        <f ca="1">OFFSET(card!$A$1,MATCH(G288,card!B:B,0)-1,0)</f>
        <v>2001001</v>
      </c>
      <c r="G288" s="91" t="s">
        <v>403</v>
      </c>
      <c r="I288" s="91">
        <f ca="1">OFFSET(card!$J$1,MATCH(G288,card!B:B,0)-1,0)</f>
        <v>1</v>
      </c>
      <c r="J288" s="91">
        <f ca="1">OFFSET(card!$K$1,MATCH(G288,card!B:B,0)-1,0)</f>
        <v>1</v>
      </c>
    </row>
    <row r="289" ht="15" spans="1:10">
      <c r="A289" s="276">
        <f t="shared" si="17"/>
        <v>210802</v>
      </c>
      <c r="B289" s="277">
        <v>2</v>
      </c>
      <c r="C289" s="278">
        <v>2</v>
      </c>
      <c r="D289" s="106">
        <v>1</v>
      </c>
      <c r="E289" s="106">
        <f t="shared" si="16"/>
        <v>2108</v>
      </c>
      <c r="F289" s="46">
        <f ca="1">OFFSET(card!$A$1,MATCH(G289,card!B:B,0)-1,0)</f>
        <v>2006001</v>
      </c>
      <c r="G289" s="91" t="s">
        <v>740</v>
      </c>
      <c r="I289" s="91">
        <f ca="1">OFFSET(card!$J$1,MATCH(G289,card!B:B,0)-1,0)</f>
        <v>1</v>
      </c>
      <c r="J289" s="91">
        <f ca="1">OFFSET(card!$K$1,MATCH(G289,card!B:B,0)-1,0)</f>
        <v>1</v>
      </c>
    </row>
    <row r="290" ht="15" spans="1:10">
      <c r="A290" s="276">
        <f t="shared" si="17"/>
        <v>210803</v>
      </c>
      <c r="B290" s="277">
        <v>3</v>
      </c>
      <c r="C290" s="278">
        <v>2</v>
      </c>
      <c r="D290" s="106">
        <v>1</v>
      </c>
      <c r="E290" s="106">
        <f t="shared" si="16"/>
        <v>2108</v>
      </c>
      <c r="F290" s="46">
        <f ca="1">OFFSET(card!$A$1,MATCH(G290,card!B:B,0)-1,0)</f>
        <v>2007001</v>
      </c>
      <c r="G290" s="91" t="s">
        <v>341</v>
      </c>
      <c r="I290" s="91">
        <f ca="1">OFFSET(card!$J$1,MATCH(G290,card!B:B,0)-1,0)</f>
        <v>1</v>
      </c>
      <c r="J290" s="91">
        <f ca="1">OFFSET(card!$K$1,MATCH(G290,card!B:B,0)-1,0)</f>
        <v>1</v>
      </c>
    </row>
    <row r="291" ht="15" spans="1:10">
      <c r="A291" s="276">
        <f t="shared" si="17"/>
        <v>210804</v>
      </c>
      <c r="B291" s="277">
        <v>4</v>
      </c>
      <c r="C291" s="278">
        <v>2</v>
      </c>
      <c r="D291" s="106">
        <v>1</v>
      </c>
      <c r="E291" s="106">
        <f t="shared" si="16"/>
        <v>2108</v>
      </c>
      <c r="F291" s="46">
        <f ca="1">OFFSET(card!$A$1,MATCH(G291,card!B:B,0)-1,0)</f>
        <v>2011001</v>
      </c>
      <c r="G291" s="91" t="s">
        <v>760</v>
      </c>
      <c r="I291" s="91">
        <f ca="1">OFFSET(card!$J$1,MATCH(G291,card!B:B,0)-1,0)</f>
        <v>2</v>
      </c>
      <c r="J291" s="91">
        <f ca="1">OFFSET(card!$K$1,MATCH(G291,card!B:B,0)-1,0)</f>
        <v>1</v>
      </c>
    </row>
    <row r="292" ht="15" spans="1:10">
      <c r="A292" s="276">
        <f t="shared" si="17"/>
        <v>210805</v>
      </c>
      <c r="B292" s="277">
        <v>5</v>
      </c>
      <c r="C292" s="278">
        <v>2</v>
      </c>
      <c r="D292" s="106">
        <v>1</v>
      </c>
      <c r="E292" s="106">
        <f t="shared" si="16"/>
        <v>2108</v>
      </c>
      <c r="F292" s="46">
        <f ca="1">OFFSET(card!$A$1,MATCH(G292,card!B:B,0)-1,0)</f>
        <v>2001001</v>
      </c>
      <c r="G292" s="91" t="s">
        <v>403</v>
      </c>
      <c r="I292" s="91">
        <f ca="1">OFFSET(card!$J$1,MATCH(G292,card!B:B,0)-1,0)</f>
        <v>1</v>
      </c>
      <c r="J292" s="91">
        <f ca="1">OFFSET(card!$K$1,MATCH(G292,card!B:B,0)-1,0)</f>
        <v>1</v>
      </c>
    </row>
    <row r="293" ht="15" spans="1:10">
      <c r="A293" s="276">
        <f t="shared" si="17"/>
        <v>210806</v>
      </c>
      <c r="B293" s="277">
        <v>6</v>
      </c>
      <c r="C293" s="278">
        <v>2</v>
      </c>
      <c r="D293" s="106">
        <v>1</v>
      </c>
      <c r="E293" s="106">
        <f t="shared" ref="E293:E307" si="18">E283+1</f>
        <v>2108</v>
      </c>
      <c r="F293" s="46">
        <f ca="1">OFFSET(card!$A$1,MATCH(G293,card!B:B,0)-1,0)</f>
        <v>2006001</v>
      </c>
      <c r="G293" s="91" t="s">
        <v>740</v>
      </c>
      <c r="I293" s="91">
        <f ca="1">OFFSET(card!$J$1,MATCH(G293,card!B:B,0)-1,0)</f>
        <v>1</v>
      </c>
      <c r="J293" s="91">
        <f ca="1">OFFSET(card!$K$1,MATCH(G293,card!B:B,0)-1,0)</f>
        <v>1</v>
      </c>
    </row>
    <row r="294" ht="15" spans="1:10">
      <c r="A294" s="276">
        <f t="shared" si="17"/>
        <v>210807</v>
      </c>
      <c r="B294" s="277">
        <v>7</v>
      </c>
      <c r="C294" s="278">
        <v>2</v>
      </c>
      <c r="D294" s="106">
        <v>1</v>
      </c>
      <c r="E294" s="106">
        <f t="shared" si="18"/>
        <v>2108</v>
      </c>
      <c r="F294" s="46">
        <f ca="1">OFFSET(card!$A$1,MATCH(G294,card!B:B,0)-1,0)</f>
        <v>2007001</v>
      </c>
      <c r="G294" s="91" t="s">
        <v>341</v>
      </c>
      <c r="I294" s="91">
        <f ca="1">OFFSET(card!$J$1,MATCH(G294,card!B:B,0)-1,0)</f>
        <v>1</v>
      </c>
      <c r="J294" s="91">
        <f ca="1">OFFSET(card!$K$1,MATCH(G294,card!B:B,0)-1,0)</f>
        <v>1</v>
      </c>
    </row>
    <row r="295" ht="15" spans="1:10">
      <c r="A295" s="276">
        <f t="shared" si="17"/>
        <v>210808</v>
      </c>
      <c r="B295" s="277">
        <v>8</v>
      </c>
      <c r="C295" s="278">
        <v>2</v>
      </c>
      <c r="D295" s="106">
        <v>1</v>
      </c>
      <c r="E295" s="106">
        <f t="shared" si="18"/>
        <v>2108</v>
      </c>
      <c r="F295" s="46">
        <f ca="1">OFFSET(card!$A$1,MATCH(G295,card!B:B,0)-1,0)</f>
        <v>2011001</v>
      </c>
      <c r="G295" s="91" t="s">
        <v>760</v>
      </c>
      <c r="I295" s="91">
        <f ca="1">OFFSET(card!$J$1,MATCH(G295,card!B:B,0)-1,0)</f>
        <v>2</v>
      </c>
      <c r="J295" s="91">
        <f ca="1">OFFSET(card!$K$1,MATCH(G295,card!B:B,0)-1,0)</f>
        <v>1</v>
      </c>
    </row>
    <row r="296" ht="15" spans="1:10">
      <c r="A296" s="276">
        <f t="shared" si="17"/>
        <v>210809</v>
      </c>
      <c r="B296" s="277">
        <v>9</v>
      </c>
      <c r="C296" s="278">
        <v>2</v>
      </c>
      <c r="D296" s="106">
        <v>1</v>
      </c>
      <c r="E296" s="106">
        <f t="shared" si="18"/>
        <v>2108</v>
      </c>
      <c r="F296" s="46">
        <f ca="1">OFFSET(card!$A$1,MATCH(G296,card!B:B,0)-1,0)</f>
        <v>2001001</v>
      </c>
      <c r="G296" s="91" t="s">
        <v>403</v>
      </c>
      <c r="I296" s="91">
        <f ca="1">OFFSET(card!$J$1,MATCH(G296,card!B:B,0)-1,0)</f>
        <v>1</v>
      </c>
      <c r="J296" s="91">
        <f ca="1">OFFSET(card!$K$1,MATCH(G296,card!B:B,0)-1,0)</f>
        <v>1</v>
      </c>
    </row>
    <row r="297" ht="15" spans="1:10">
      <c r="A297" s="276">
        <f t="shared" si="17"/>
        <v>210810</v>
      </c>
      <c r="B297" s="277">
        <v>10</v>
      </c>
      <c r="C297" s="278">
        <v>2</v>
      </c>
      <c r="D297" s="106">
        <v>1</v>
      </c>
      <c r="E297" s="106">
        <f t="shared" si="18"/>
        <v>2108</v>
      </c>
      <c r="F297" s="46">
        <f ca="1">OFFSET(card!$A$1,MATCH(G297,card!B:B,0)-1,0)</f>
        <v>2006001</v>
      </c>
      <c r="G297" s="91" t="s">
        <v>740</v>
      </c>
      <c r="I297" s="91">
        <f ca="1">OFFSET(card!$J$1,MATCH(G297,card!B:B,0)-1,0)</f>
        <v>1</v>
      </c>
      <c r="J297" s="91">
        <f ca="1">OFFSET(card!$K$1,MATCH(G297,card!B:B,0)-1,0)</f>
        <v>1</v>
      </c>
    </row>
    <row r="298" ht="15" spans="1:10">
      <c r="A298" s="276">
        <f t="shared" si="17"/>
        <v>210901</v>
      </c>
      <c r="B298" s="277">
        <v>1</v>
      </c>
      <c r="C298" s="278">
        <v>2</v>
      </c>
      <c r="D298" s="106">
        <v>1</v>
      </c>
      <c r="E298" s="106">
        <f t="shared" si="18"/>
        <v>2109</v>
      </c>
      <c r="F298" s="46">
        <f ca="1">OFFSET(card!$A$1,MATCH(G298,card!B:B,0)-1,0)</f>
        <v>2002001</v>
      </c>
      <c r="G298" s="91" t="s">
        <v>401</v>
      </c>
      <c r="I298" s="91">
        <f ca="1">OFFSET(card!$J$1,MATCH(G298,card!B:B,0)-1,0)</f>
        <v>1</v>
      </c>
      <c r="J298" s="91">
        <f ca="1">OFFSET(card!$K$1,MATCH(G298,card!B:B,0)-1,0)</f>
        <v>1</v>
      </c>
    </row>
    <row r="299" ht="15" spans="1:10">
      <c r="A299" s="276">
        <f t="shared" si="17"/>
        <v>210902</v>
      </c>
      <c r="B299" s="277">
        <v>2</v>
      </c>
      <c r="C299" s="278">
        <v>2</v>
      </c>
      <c r="D299" s="106">
        <v>1</v>
      </c>
      <c r="E299" s="106">
        <f t="shared" si="18"/>
        <v>2109</v>
      </c>
      <c r="F299" s="46">
        <f ca="1">OFFSET(card!$A$1,MATCH(G299,card!B:B,0)-1,0)</f>
        <v>2004001</v>
      </c>
      <c r="G299" s="91" t="s">
        <v>411</v>
      </c>
      <c r="I299" s="91">
        <f ca="1">OFFSET(card!$J$1,MATCH(G299,card!B:B,0)-1,0)</f>
        <v>1</v>
      </c>
      <c r="J299" s="91">
        <f ca="1">OFFSET(card!$K$1,MATCH(G299,card!B:B,0)-1,0)</f>
        <v>1</v>
      </c>
    </row>
    <row r="300" ht="15" spans="1:10">
      <c r="A300" s="276">
        <f t="shared" si="17"/>
        <v>210903</v>
      </c>
      <c r="B300" s="277">
        <v>3</v>
      </c>
      <c r="C300" s="278">
        <v>2</v>
      </c>
      <c r="D300" s="106">
        <v>1</v>
      </c>
      <c r="E300" s="106">
        <f t="shared" si="18"/>
        <v>2109</v>
      </c>
      <c r="F300" s="46">
        <f ca="1">OFFSET(card!$A$1,MATCH(G300,card!B:B,0)-1,0)</f>
        <v>2005001</v>
      </c>
      <c r="G300" s="91" t="s">
        <v>433</v>
      </c>
      <c r="I300" s="91">
        <f ca="1">OFFSET(card!$J$1,MATCH(G300,card!B:B,0)-1,0)</f>
        <v>1</v>
      </c>
      <c r="J300" s="91">
        <f ca="1">OFFSET(card!$K$1,MATCH(G300,card!B:B,0)-1,0)</f>
        <v>2</v>
      </c>
    </row>
    <row r="301" ht="15" spans="1:10">
      <c r="A301" s="276">
        <f t="shared" si="17"/>
        <v>210904</v>
      </c>
      <c r="B301" s="277">
        <v>4</v>
      </c>
      <c r="C301" s="278">
        <v>2</v>
      </c>
      <c r="D301" s="106">
        <v>1</v>
      </c>
      <c r="E301" s="106">
        <f t="shared" si="18"/>
        <v>2109</v>
      </c>
      <c r="F301" s="46">
        <f ca="1">OFFSET(card!$A$1,MATCH(G301,card!B:B,0)-1,0)</f>
        <v>2012001</v>
      </c>
      <c r="G301" s="91" t="s">
        <v>486</v>
      </c>
      <c r="I301" s="91">
        <f ca="1">OFFSET(card!$J$1,MATCH(G301,card!B:B,0)-1,0)</f>
        <v>2</v>
      </c>
      <c r="J301" s="91">
        <f ca="1">OFFSET(card!$K$1,MATCH(G301,card!B:B,0)-1,0)</f>
        <v>2</v>
      </c>
    </row>
    <row r="302" ht="15" spans="1:10">
      <c r="A302" s="276">
        <f t="shared" si="17"/>
        <v>210905</v>
      </c>
      <c r="B302" s="277">
        <v>5</v>
      </c>
      <c r="C302" s="278">
        <v>2</v>
      </c>
      <c r="D302" s="106">
        <v>1</v>
      </c>
      <c r="E302" s="106">
        <f t="shared" si="18"/>
        <v>2109</v>
      </c>
      <c r="F302" s="46">
        <f ca="1">OFFSET(card!$A$1,MATCH(G302,card!B:B,0)-1,0)</f>
        <v>2002001</v>
      </c>
      <c r="G302" s="91" t="s">
        <v>401</v>
      </c>
      <c r="I302" s="91">
        <f ca="1">OFFSET(card!$J$1,MATCH(G302,card!B:B,0)-1,0)</f>
        <v>1</v>
      </c>
      <c r="J302" s="91">
        <f ca="1">OFFSET(card!$K$1,MATCH(G302,card!B:B,0)-1,0)</f>
        <v>1</v>
      </c>
    </row>
    <row r="303" ht="15" spans="1:10">
      <c r="A303" s="276">
        <f t="shared" si="17"/>
        <v>210906</v>
      </c>
      <c r="B303" s="277">
        <v>6</v>
      </c>
      <c r="C303" s="278">
        <v>2</v>
      </c>
      <c r="D303" s="106">
        <v>1</v>
      </c>
      <c r="E303" s="106">
        <f t="shared" si="18"/>
        <v>2109</v>
      </c>
      <c r="F303" s="46">
        <f ca="1">OFFSET(card!$A$1,MATCH(G303,card!B:B,0)-1,0)</f>
        <v>2004001</v>
      </c>
      <c r="G303" s="91" t="s">
        <v>411</v>
      </c>
      <c r="I303" s="91">
        <f ca="1">OFFSET(card!$J$1,MATCH(G303,card!B:B,0)-1,0)</f>
        <v>1</v>
      </c>
      <c r="J303" s="91">
        <f ca="1">OFFSET(card!$K$1,MATCH(G303,card!B:B,0)-1,0)</f>
        <v>1</v>
      </c>
    </row>
    <row r="304" ht="15" spans="1:10">
      <c r="A304" s="276">
        <f t="shared" si="17"/>
        <v>210907</v>
      </c>
      <c r="B304" s="277">
        <v>7</v>
      </c>
      <c r="C304" s="278">
        <v>2</v>
      </c>
      <c r="D304" s="106">
        <v>1</v>
      </c>
      <c r="E304" s="106">
        <f t="shared" si="18"/>
        <v>2109</v>
      </c>
      <c r="F304" s="46">
        <f ca="1">OFFSET(card!$A$1,MATCH(G304,card!B:B,0)-1,0)</f>
        <v>2005001</v>
      </c>
      <c r="G304" s="91" t="s">
        <v>433</v>
      </c>
      <c r="I304" s="91">
        <f ca="1">OFFSET(card!$J$1,MATCH(G304,card!B:B,0)-1,0)</f>
        <v>1</v>
      </c>
      <c r="J304" s="91">
        <f ca="1">OFFSET(card!$K$1,MATCH(G304,card!B:B,0)-1,0)</f>
        <v>2</v>
      </c>
    </row>
    <row r="305" ht="15" spans="1:10">
      <c r="A305" s="276">
        <f t="shared" si="17"/>
        <v>210908</v>
      </c>
      <c r="B305" s="277">
        <v>8</v>
      </c>
      <c r="C305" s="278">
        <v>2</v>
      </c>
      <c r="D305" s="106">
        <v>1</v>
      </c>
      <c r="E305" s="106">
        <f t="shared" si="18"/>
        <v>2109</v>
      </c>
      <c r="F305" s="46">
        <f ca="1">OFFSET(card!$A$1,MATCH(G305,card!B:B,0)-1,0)</f>
        <v>2012001</v>
      </c>
      <c r="G305" s="91" t="s">
        <v>486</v>
      </c>
      <c r="I305" s="91">
        <f ca="1">OFFSET(card!$J$1,MATCH(G305,card!B:B,0)-1,0)</f>
        <v>2</v>
      </c>
      <c r="J305" s="91">
        <f ca="1">OFFSET(card!$K$1,MATCH(G305,card!B:B,0)-1,0)</f>
        <v>2</v>
      </c>
    </row>
    <row r="306" ht="15" spans="1:10">
      <c r="A306" s="276">
        <f t="shared" si="17"/>
        <v>210909</v>
      </c>
      <c r="B306" s="277">
        <v>9</v>
      </c>
      <c r="C306" s="278">
        <v>2</v>
      </c>
      <c r="D306" s="106">
        <v>1</v>
      </c>
      <c r="E306" s="106">
        <f t="shared" si="18"/>
        <v>2109</v>
      </c>
      <c r="F306" s="46">
        <f ca="1">OFFSET(card!$A$1,MATCH(G306,card!B:B,0)-1,0)</f>
        <v>2002001</v>
      </c>
      <c r="G306" s="91" t="s">
        <v>401</v>
      </c>
      <c r="I306" s="91">
        <f ca="1">OFFSET(card!$J$1,MATCH(G306,card!B:B,0)-1,0)</f>
        <v>1</v>
      </c>
      <c r="J306" s="91">
        <f ca="1">OFFSET(card!$K$1,MATCH(G306,card!B:B,0)-1,0)</f>
        <v>1</v>
      </c>
    </row>
    <row r="307" ht="15" spans="1:10">
      <c r="A307" s="276">
        <f t="shared" si="17"/>
        <v>210910</v>
      </c>
      <c r="B307" s="277">
        <v>10</v>
      </c>
      <c r="C307" s="278">
        <v>2</v>
      </c>
      <c r="D307" s="106">
        <v>1</v>
      </c>
      <c r="E307" s="106">
        <f t="shared" si="18"/>
        <v>2109</v>
      </c>
      <c r="F307" s="46">
        <f ca="1">OFFSET(card!$A$1,MATCH(G307,card!B:B,0)-1,0)</f>
        <v>2004001</v>
      </c>
      <c r="G307" s="91" t="s">
        <v>411</v>
      </c>
      <c r="I307" s="91">
        <f ca="1">OFFSET(card!$J$1,MATCH(G307,card!B:B,0)-1,0)</f>
        <v>1</v>
      </c>
      <c r="J307" s="91">
        <f ca="1">OFFSET(card!$K$1,MATCH(G307,card!B:B,0)-1,0)</f>
        <v>1</v>
      </c>
    </row>
    <row r="308" ht="15" spans="1:10">
      <c r="A308" s="276">
        <f t="shared" si="17"/>
        <v>220101</v>
      </c>
      <c r="B308" s="277">
        <v>1</v>
      </c>
      <c r="C308" s="278">
        <v>2</v>
      </c>
      <c r="D308" s="106">
        <v>2</v>
      </c>
      <c r="E308" s="106">
        <f t="shared" ref="E308:E317" si="19">C308*1000+D308*100+1</f>
        <v>2201</v>
      </c>
      <c r="F308" s="46">
        <f ca="1">OFFSET(card!$A$1,MATCH(G308,card!B:B,0)-1,0)</f>
        <v>2002001</v>
      </c>
      <c r="G308" s="91" t="s">
        <v>401</v>
      </c>
      <c r="I308" s="91">
        <f ca="1">OFFSET(card!$J$1,MATCH(G308,card!B:B,0)-1,0)</f>
        <v>1</v>
      </c>
      <c r="J308" s="91">
        <f ca="1">OFFSET(card!$K$1,MATCH(G308,card!B:B,0)-1,0)</f>
        <v>1</v>
      </c>
    </row>
    <row r="309" ht="15" spans="1:10">
      <c r="A309" s="276">
        <f t="shared" si="17"/>
        <v>220102</v>
      </c>
      <c r="B309" s="277">
        <v>2</v>
      </c>
      <c r="C309" s="278">
        <v>2</v>
      </c>
      <c r="D309" s="106">
        <v>2</v>
      </c>
      <c r="E309" s="106">
        <f t="shared" si="19"/>
        <v>2201</v>
      </c>
      <c r="F309" s="46">
        <f ca="1">OFFSET(card!$A$1,MATCH(G309,card!B:B,0)-1,0)</f>
        <v>2005001</v>
      </c>
      <c r="G309" s="91" t="s">
        <v>433</v>
      </c>
      <c r="I309" s="91">
        <f ca="1">OFFSET(card!$J$1,MATCH(G309,card!B:B,0)-1,0)</f>
        <v>1</v>
      </c>
      <c r="J309" s="91">
        <f ca="1">OFFSET(card!$K$1,MATCH(G309,card!B:B,0)-1,0)</f>
        <v>2</v>
      </c>
    </row>
    <row r="310" ht="15" spans="1:10">
      <c r="A310" s="276">
        <f t="shared" si="17"/>
        <v>220103</v>
      </c>
      <c r="B310" s="277">
        <v>3</v>
      </c>
      <c r="C310" s="278">
        <v>2</v>
      </c>
      <c r="D310" s="106">
        <v>2</v>
      </c>
      <c r="E310" s="106">
        <f t="shared" si="19"/>
        <v>2201</v>
      </c>
      <c r="F310" s="46">
        <f ca="1">OFFSET(card!$A$1,MATCH(G310,card!B:B,0)-1,0)</f>
        <v>2011001</v>
      </c>
      <c r="G310" s="91" t="s">
        <v>760</v>
      </c>
      <c r="I310" s="91">
        <f ca="1">OFFSET(card!$J$1,MATCH(G310,card!B:B,0)-1,0)</f>
        <v>2</v>
      </c>
      <c r="J310" s="91">
        <f ca="1">OFFSET(card!$K$1,MATCH(G310,card!B:B,0)-1,0)</f>
        <v>1</v>
      </c>
    </row>
    <row r="311" ht="15" spans="1:10">
      <c r="A311" s="276">
        <f t="shared" si="17"/>
        <v>220104</v>
      </c>
      <c r="B311" s="277">
        <v>4</v>
      </c>
      <c r="C311" s="278">
        <v>2</v>
      </c>
      <c r="D311" s="106">
        <v>2</v>
      </c>
      <c r="E311" s="106">
        <f t="shared" si="19"/>
        <v>2201</v>
      </c>
      <c r="F311" s="46">
        <f ca="1">OFFSET(card!$A$1,MATCH(G311,card!B:B,0)-1,0)</f>
        <v>2013001</v>
      </c>
      <c r="G311" s="91" t="s">
        <v>768</v>
      </c>
      <c r="I311" s="91">
        <f ca="1">OFFSET(card!$J$1,MATCH(G311,card!B:B,0)-1,0)</f>
        <v>2</v>
      </c>
      <c r="J311" s="91">
        <f ca="1">OFFSET(card!$K$1,MATCH(G311,card!B:B,0)-1,0)</f>
        <v>4</v>
      </c>
    </row>
    <row r="312" ht="15" spans="1:10">
      <c r="A312" s="276">
        <f t="shared" si="17"/>
        <v>220105</v>
      </c>
      <c r="B312" s="277">
        <v>5</v>
      </c>
      <c r="C312" s="278">
        <v>2</v>
      </c>
      <c r="D312" s="106">
        <v>2</v>
      </c>
      <c r="E312" s="106">
        <f t="shared" si="19"/>
        <v>2201</v>
      </c>
      <c r="F312" s="46">
        <f ca="1">OFFSET(card!$A$1,MATCH(G312,card!B:B,0)-1,0)</f>
        <v>2002001</v>
      </c>
      <c r="G312" s="91" t="s">
        <v>401</v>
      </c>
      <c r="I312" s="91">
        <f ca="1">OFFSET(card!$J$1,MATCH(G312,card!B:B,0)-1,0)</f>
        <v>1</v>
      </c>
      <c r="J312" s="91">
        <f ca="1">OFFSET(card!$K$1,MATCH(G312,card!B:B,0)-1,0)</f>
        <v>1</v>
      </c>
    </row>
    <row r="313" ht="15" spans="1:10">
      <c r="A313" s="276">
        <f t="shared" si="17"/>
        <v>220106</v>
      </c>
      <c r="B313" s="277">
        <v>6</v>
      </c>
      <c r="C313" s="278">
        <v>2</v>
      </c>
      <c r="D313" s="106">
        <v>2</v>
      </c>
      <c r="E313" s="106">
        <f t="shared" si="19"/>
        <v>2201</v>
      </c>
      <c r="F313" s="46">
        <f ca="1">OFFSET(card!$A$1,MATCH(G313,card!B:B,0)-1,0)</f>
        <v>2005001</v>
      </c>
      <c r="G313" s="91" t="s">
        <v>433</v>
      </c>
      <c r="I313" s="91">
        <f ca="1">OFFSET(card!$J$1,MATCH(G313,card!B:B,0)-1,0)</f>
        <v>1</v>
      </c>
      <c r="J313" s="91">
        <f ca="1">OFFSET(card!$K$1,MATCH(G313,card!B:B,0)-1,0)</f>
        <v>2</v>
      </c>
    </row>
    <row r="314" ht="15" spans="1:10">
      <c r="A314" s="276">
        <f t="shared" si="17"/>
        <v>220107</v>
      </c>
      <c r="B314" s="277">
        <v>7</v>
      </c>
      <c r="C314" s="278">
        <v>2</v>
      </c>
      <c r="D314" s="106">
        <v>2</v>
      </c>
      <c r="E314" s="106">
        <f t="shared" si="19"/>
        <v>2201</v>
      </c>
      <c r="F314" s="46">
        <f ca="1">OFFSET(card!$A$1,MATCH(G314,card!B:B,0)-1,0)</f>
        <v>2011001</v>
      </c>
      <c r="G314" s="91" t="s">
        <v>760</v>
      </c>
      <c r="I314" s="91">
        <f ca="1">OFFSET(card!$J$1,MATCH(G314,card!B:B,0)-1,0)</f>
        <v>2</v>
      </c>
      <c r="J314" s="91">
        <f ca="1">OFFSET(card!$K$1,MATCH(G314,card!B:B,0)-1,0)</f>
        <v>1</v>
      </c>
    </row>
    <row r="315" ht="15" spans="1:10">
      <c r="A315" s="276">
        <f t="shared" si="17"/>
        <v>220108</v>
      </c>
      <c r="B315" s="277">
        <v>8</v>
      </c>
      <c r="C315" s="278">
        <v>2</v>
      </c>
      <c r="D315" s="106">
        <v>2</v>
      </c>
      <c r="E315" s="106">
        <f t="shared" si="19"/>
        <v>2201</v>
      </c>
      <c r="F315" s="46">
        <f ca="1">OFFSET(card!$A$1,MATCH(G315,card!B:B,0)-1,0)</f>
        <v>2013001</v>
      </c>
      <c r="G315" s="91" t="s">
        <v>768</v>
      </c>
      <c r="I315" s="91">
        <f ca="1">OFFSET(card!$J$1,MATCH(G315,card!B:B,0)-1,0)</f>
        <v>2</v>
      </c>
      <c r="J315" s="91">
        <f ca="1">OFFSET(card!$K$1,MATCH(G315,card!B:B,0)-1,0)</f>
        <v>4</v>
      </c>
    </row>
    <row r="316" ht="15" spans="1:10">
      <c r="A316" s="276">
        <f t="shared" si="17"/>
        <v>220109</v>
      </c>
      <c r="B316" s="277">
        <v>9</v>
      </c>
      <c r="C316" s="278">
        <v>2</v>
      </c>
      <c r="D316" s="106">
        <v>2</v>
      </c>
      <c r="E316" s="106">
        <f t="shared" si="19"/>
        <v>2201</v>
      </c>
      <c r="F316" s="46">
        <f ca="1">OFFSET(card!$A$1,MATCH(G316,card!B:B,0)-1,0)</f>
        <v>2002001</v>
      </c>
      <c r="G316" s="91" t="s">
        <v>401</v>
      </c>
      <c r="I316" s="91">
        <f ca="1">OFFSET(card!$J$1,MATCH(G316,card!B:B,0)-1,0)</f>
        <v>1</v>
      </c>
      <c r="J316" s="91">
        <f ca="1">OFFSET(card!$K$1,MATCH(G316,card!B:B,0)-1,0)</f>
        <v>1</v>
      </c>
    </row>
    <row r="317" ht="15" spans="1:10">
      <c r="A317" s="276">
        <f t="shared" si="17"/>
        <v>220110</v>
      </c>
      <c r="B317" s="277">
        <v>10</v>
      </c>
      <c r="C317" s="278">
        <v>2</v>
      </c>
      <c r="D317" s="106">
        <v>2</v>
      </c>
      <c r="E317" s="106">
        <f t="shared" si="19"/>
        <v>2201</v>
      </c>
      <c r="F317" s="46">
        <f ca="1">OFFSET(card!$A$1,MATCH(G317,card!B:B,0)-1,0)</f>
        <v>2005001</v>
      </c>
      <c r="G317" s="91" t="s">
        <v>433</v>
      </c>
      <c r="I317" s="91">
        <f ca="1">OFFSET(card!$J$1,MATCH(G317,card!B:B,0)-1,0)</f>
        <v>1</v>
      </c>
      <c r="J317" s="91">
        <f ca="1">OFFSET(card!$K$1,MATCH(G317,card!B:B,0)-1,0)</f>
        <v>2</v>
      </c>
    </row>
    <row r="318" ht="15" spans="1:10">
      <c r="A318" s="276">
        <f t="shared" si="17"/>
        <v>220201</v>
      </c>
      <c r="B318" s="277">
        <v>1</v>
      </c>
      <c r="C318" s="278">
        <v>2</v>
      </c>
      <c r="D318" s="106">
        <v>2</v>
      </c>
      <c r="E318" s="106">
        <f t="shared" ref="E318:E377" si="20">E308+1</f>
        <v>2202</v>
      </c>
      <c r="F318" s="46">
        <f ca="1">OFFSET(card!$A$1,MATCH(G318,card!B:B,0)-1,0)</f>
        <v>2002001</v>
      </c>
      <c r="G318" s="91" t="s">
        <v>401</v>
      </c>
      <c r="I318" s="91">
        <f ca="1">OFFSET(card!$J$1,MATCH(G318,card!B:B,0)-1,0)</f>
        <v>1</v>
      </c>
      <c r="J318" s="91">
        <f ca="1">OFFSET(card!$K$1,MATCH(G318,card!B:B,0)-1,0)</f>
        <v>1</v>
      </c>
    </row>
    <row r="319" ht="15" spans="1:10">
      <c r="A319" s="276">
        <f t="shared" si="17"/>
        <v>220202</v>
      </c>
      <c r="B319" s="277">
        <v>2</v>
      </c>
      <c r="C319" s="278">
        <v>2</v>
      </c>
      <c r="D319" s="106">
        <v>2</v>
      </c>
      <c r="E319" s="106">
        <f t="shared" si="20"/>
        <v>2202</v>
      </c>
      <c r="F319" s="46">
        <f ca="1">OFFSET(card!$A$1,MATCH(G319,card!B:B,0)-1,0)</f>
        <v>2003001</v>
      </c>
      <c r="G319" s="91" t="s">
        <v>379</v>
      </c>
      <c r="I319" s="91">
        <f ca="1">OFFSET(card!$J$1,MATCH(G319,card!B:B,0)-1,0)</f>
        <v>1</v>
      </c>
      <c r="J319" s="91">
        <f ca="1">OFFSET(card!$K$1,MATCH(G319,card!B:B,0)-1,0)</f>
        <v>2</v>
      </c>
    </row>
    <row r="320" ht="15" spans="1:10">
      <c r="A320" s="276">
        <f t="shared" si="17"/>
        <v>220203</v>
      </c>
      <c r="B320" s="277">
        <v>3</v>
      </c>
      <c r="C320" s="278">
        <v>2</v>
      </c>
      <c r="D320" s="106">
        <v>2</v>
      </c>
      <c r="E320" s="106">
        <f t="shared" si="20"/>
        <v>2202</v>
      </c>
      <c r="F320" s="46">
        <f ca="1">OFFSET(card!$A$1,MATCH(G320,card!B:B,0)-1,0)</f>
        <v>2012001</v>
      </c>
      <c r="G320" s="91" t="s">
        <v>486</v>
      </c>
      <c r="I320" s="91">
        <f ca="1">OFFSET(card!$J$1,MATCH(G320,card!B:B,0)-1,0)</f>
        <v>2</v>
      </c>
      <c r="J320" s="91">
        <f ca="1">OFFSET(card!$K$1,MATCH(G320,card!B:B,0)-1,0)</f>
        <v>2</v>
      </c>
    </row>
    <row r="321" ht="15" spans="1:10">
      <c r="A321" s="276">
        <f t="shared" si="17"/>
        <v>220204</v>
      </c>
      <c r="B321" s="277">
        <v>4</v>
      </c>
      <c r="C321" s="278">
        <v>2</v>
      </c>
      <c r="D321" s="106">
        <v>2</v>
      </c>
      <c r="E321" s="106">
        <f t="shared" si="20"/>
        <v>2202</v>
      </c>
      <c r="F321" s="46">
        <f ca="1">OFFSET(card!$A$1,MATCH(G321,card!B:B,0)-1,0)</f>
        <v>2013001</v>
      </c>
      <c r="G321" s="91" t="s">
        <v>768</v>
      </c>
      <c r="I321" s="91">
        <f ca="1">OFFSET(card!$J$1,MATCH(G321,card!B:B,0)-1,0)</f>
        <v>2</v>
      </c>
      <c r="J321" s="91">
        <f ca="1">OFFSET(card!$K$1,MATCH(G321,card!B:B,0)-1,0)</f>
        <v>4</v>
      </c>
    </row>
    <row r="322" ht="15" spans="1:10">
      <c r="A322" s="276">
        <f t="shared" si="17"/>
        <v>220205</v>
      </c>
      <c r="B322" s="277">
        <v>5</v>
      </c>
      <c r="C322" s="278">
        <v>2</v>
      </c>
      <c r="D322" s="106">
        <v>2</v>
      </c>
      <c r="E322" s="106">
        <f t="shared" si="20"/>
        <v>2202</v>
      </c>
      <c r="F322" s="46">
        <f ca="1">OFFSET(card!$A$1,MATCH(G322,card!B:B,0)-1,0)</f>
        <v>2002001</v>
      </c>
      <c r="G322" s="91" t="s">
        <v>401</v>
      </c>
      <c r="I322" s="91">
        <f ca="1">OFFSET(card!$J$1,MATCH(G322,card!B:B,0)-1,0)</f>
        <v>1</v>
      </c>
      <c r="J322" s="91">
        <f ca="1">OFFSET(card!$K$1,MATCH(G322,card!B:B,0)-1,0)</f>
        <v>1</v>
      </c>
    </row>
    <row r="323" ht="15" spans="1:10">
      <c r="A323" s="276">
        <f t="shared" si="17"/>
        <v>220206</v>
      </c>
      <c r="B323" s="277">
        <v>6</v>
      </c>
      <c r="C323" s="278">
        <v>2</v>
      </c>
      <c r="D323" s="106">
        <v>2</v>
      </c>
      <c r="E323" s="106">
        <f t="shared" si="20"/>
        <v>2202</v>
      </c>
      <c r="F323" s="46">
        <f ca="1">OFFSET(card!$A$1,MATCH(G323,card!B:B,0)-1,0)</f>
        <v>2003001</v>
      </c>
      <c r="G323" s="91" t="s">
        <v>379</v>
      </c>
      <c r="I323" s="91">
        <f ca="1">OFFSET(card!$J$1,MATCH(G323,card!B:B,0)-1,0)</f>
        <v>1</v>
      </c>
      <c r="J323" s="91">
        <f ca="1">OFFSET(card!$K$1,MATCH(G323,card!B:B,0)-1,0)</f>
        <v>2</v>
      </c>
    </row>
    <row r="324" ht="15" spans="1:10">
      <c r="A324" s="276">
        <f t="shared" si="17"/>
        <v>220207</v>
      </c>
      <c r="B324" s="277">
        <v>7</v>
      </c>
      <c r="C324" s="278">
        <v>2</v>
      </c>
      <c r="D324" s="106">
        <v>2</v>
      </c>
      <c r="E324" s="106">
        <f t="shared" si="20"/>
        <v>2202</v>
      </c>
      <c r="F324" s="46">
        <f ca="1">OFFSET(card!$A$1,MATCH(G324,card!B:B,0)-1,0)</f>
        <v>2012001</v>
      </c>
      <c r="G324" s="91" t="s">
        <v>486</v>
      </c>
      <c r="I324" s="91">
        <f ca="1">OFFSET(card!$J$1,MATCH(G324,card!B:B,0)-1,0)</f>
        <v>2</v>
      </c>
      <c r="J324" s="91">
        <f ca="1">OFFSET(card!$K$1,MATCH(G324,card!B:B,0)-1,0)</f>
        <v>2</v>
      </c>
    </row>
    <row r="325" ht="15" spans="1:10">
      <c r="A325" s="276">
        <f t="shared" si="17"/>
        <v>220208</v>
      </c>
      <c r="B325" s="277">
        <v>8</v>
      </c>
      <c r="C325" s="278">
        <v>2</v>
      </c>
      <c r="D325" s="106">
        <v>2</v>
      </c>
      <c r="E325" s="106">
        <f t="shared" si="20"/>
        <v>2202</v>
      </c>
      <c r="F325" s="46">
        <f ca="1">OFFSET(card!$A$1,MATCH(G325,card!B:B,0)-1,0)</f>
        <v>2013001</v>
      </c>
      <c r="G325" s="91" t="s">
        <v>768</v>
      </c>
      <c r="I325" s="91">
        <f ca="1">OFFSET(card!$J$1,MATCH(G325,card!B:B,0)-1,0)</f>
        <v>2</v>
      </c>
      <c r="J325" s="91">
        <f ca="1">OFFSET(card!$K$1,MATCH(G325,card!B:B,0)-1,0)</f>
        <v>4</v>
      </c>
    </row>
    <row r="326" ht="15" spans="1:10">
      <c r="A326" s="276">
        <f t="shared" si="17"/>
        <v>220209</v>
      </c>
      <c r="B326" s="277">
        <v>9</v>
      </c>
      <c r="C326" s="278">
        <v>2</v>
      </c>
      <c r="D326" s="106">
        <v>2</v>
      </c>
      <c r="E326" s="106">
        <f t="shared" si="20"/>
        <v>2202</v>
      </c>
      <c r="F326" s="46">
        <f ca="1">OFFSET(card!$A$1,MATCH(G326,card!B:B,0)-1,0)</f>
        <v>2002001</v>
      </c>
      <c r="G326" s="91" t="s">
        <v>401</v>
      </c>
      <c r="I326" s="91">
        <f ca="1">OFFSET(card!$J$1,MATCH(G326,card!B:B,0)-1,0)</f>
        <v>1</v>
      </c>
      <c r="J326" s="91">
        <f ca="1">OFFSET(card!$K$1,MATCH(G326,card!B:B,0)-1,0)</f>
        <v>1</v>
      </c>
    </row>
    <row r="327" ht="15" spans="1:10">
      <c r="A327" s="276">
        <f t="shared" si="17"/>
        <v>220210</v>
      </c>
      <c r="B327" s="277">
        <v>10</v>
      </c>
      <c r="C327" s="278">
        <v>2</v>
      </c>
      <c r="D327" s="106">
        <v>2</v>
      </c>
      <c r="E327" s="106">
        <f t="shared" si="20"/>
        <v>2202</v>
      </c>
      <c r="F327" s="46">
        <f ca="1">OFFSET(card!$A$1,MATCH(G327,card!B:B,0)-1,0)</f>
        <v>2003001</v>
      </c>
      <c r="G327" s="91" t="s">
        <v>379</v>
      </c>
      <c r="I327" s="91">
        <f ca="1">OFFSET(card!$J$1,MATCH(G327,card!B:B,0)-1,0)</f>
        <v>1</v>
      </c>
      <c r="J327" s="91">
        <f ca="1">OFFSET(card!$K$1,MATCH(G327,card!B:B,0)-1,0)</f>
        <v>2</v>
      </c>
    </row>
    <row r="328" ht="15" spans="1:10">
      <c r="A328" s="276">
        <f t="shared" si="17"/>
        <v>220301</v>
      </c>
      <c r="B328" s="277">
        <v>1</v>
      </c>
      <c r="C328" s="278">
        <v>2</v>
      </c>
      <c r="D328" s="106">
        <v>2</v>
      </c>
      <c r="E328" s="106">
        <f t="shared" si="20"/>
        <v>2203</v>
      </c>
      <c r="F328" s="46">
        <f ca="1">OFFSET(card!$A$1,MATCH(G328,card!B:B,0)-1,0)</f>
        <v>2002001</v>
      </c>
      <c r="G328" s="91" t="s">
        <v>401</v>
      </c>
      <c r="I328" s="91">
        <f ca="1">OFFSET(card!$J$1,MATCH(G328,card!B:B,0)-1,0)</f>
        <v>1</v>
      </c>
      <c r="J328" s="91">
        <f ca="1">OFFSET(card!$K$1,MATCH(G328,card!B:B,0)-1,0)</f>
        <v>1</v>
      </c>
    </row>
    <row r="329" ht="15" spans="1:10">
      <c r="A329" s="276">
        <f t="shared" si="17"/>
        <v>220302</v>
      </c>
      <c r="B329" s="277">
        <v>2</v>
      </c>
      <c r="C329" s="278">
        <v>2</v>
      </c>
      <c r="D329" s="106">
        <v>2</v>
      </c>
      <c r="E329" s="106">
        <f t="shared" si="20"/>
        <v>2203</v>
      </c>
      <c r="F329" s="46">
        <f ca="1">OFFSET(card!$A$1,MATCH(G329,card!B:B,0)-1,0)</f>
        <v>2007001</v>
      </c>
      <c r="G329" s="91" t="s">
        <v>341</v>
      </c>
      <c r="I329" s="91">
        <f ca="1">OFFSET(card!$J$1,MATCH(G329,card!B:B,0)-1,0)</f>
        <v>1</v>
      </c>
      <c r="J329" s="91">
        <f ca="1">OFFSET(card!$K$1,MATCH(G329,card!B:B,0)-1,0)</f>
        <v>1</v>
      </c>
    </row>
    <row r="330" ht="15" spans="1:10">
      <c r="A330" s="276">
        <f t="shared" si="17"/>
        <v>220303</v>
      </c>
      <c r="B330" s="277">
        <v>3</v>
      </c>
      <c r="C330" s="278">
        <v>2</v>
      </c>
      <c r="D330" s="106">
        <v>2</v>
      </c>
      <c r="E330" s="106">
        <f t="shared" si="20"/>
        <v>2203</v>
      </c>
      <c r="F330" s="46">
        <f ca="1">OFFSET(card!$A$1,MATCH(G330,card!B:B,0)-1,0)</f>
        <v>2012001</v>
      </c>
      <c r="G330" s="91" t="s">
        <v>486</v>
      </c>
      <c r="I330" s="91">
        <f ca="1">OFFSET(card!$J$1,MATCH(G330,card!B:B,0)-1,0)</f>
        <v>2</v>
      </c>
      <c r="J330" s="91">
        <f ca="1">OFFSET(card!$K$1,MATCH(G330,card!B:B,0)-1,0)</f>
        <v>2</v>
      </c>
    </row>
    <row r="331" ht="15" spans="1:10">
      <c r="A331" s="276">
        <f t="shared" si="17"/>
        <v>220304</v>
      </c>
      <c r="B331" s="277">
        <v>4</v>
      </c>
      <c r="C331" s="278">
        <v>2</v>
      </c>
      <c r="D331" s="106">
        <v>2</v>
      </c>
      <c r="E331" s="106">
        <f t="shared" si="20"/>
        <v>2203</v>
      </c>
      <c r="F331" s="46">
        <f ca="1">OFFSET(card!$A$1,MATCH(G331,card!B:B,0)-1,0)</f>
        <v>2014001</v>
      </c>
      <c r="G331" s="91" t="s">
        <v>357</v>
      </c>
      <c r="I331" s="91">
        <f ca="1">OFFSET(card!$J$1,MATCH(G331,card!B:B,0)-1,0)</f>
        <v>2</v>
      </c>
      <c r="J331" s="91">
        <f ca="1">OFFSET(card!$K$1,MATCH(G331,card!B:B,0)-1,0)</f>
        <v>3</v>
      </c>
    </row>
    <row r="332" ht="15" spans="1:10">
      <c r="A332" s="276">
        <f t="shared" si="17"/>
        <v>220305</v>
      </c>
      <c r="B332" s="277">
        <v>5</v>
      </c>
      <c r="C332" s="278">
        <v>2</v>
      </c>
      <c r="D332" s="106">
        <v>2</v>
      </c>
      <c r="E332" s="106">
        <f t="shared" si="20"/>
        <v>2203</v>
      </c>
      <c r="F332" s="46">
        <f ca="1">OFFSET(card!$A$1,MATCH(G332,card!B:B,0)-1,0)</f>
        <v>2002001</v>
      </c>
      <c r="G332" s="91" t="s">
        <v>401</v>
      </c>
      <c r="I332" s="91">
        <f ca="1">OFFSET(card!$J$1,MATCH(G332,card!B:B,0)-1,0)</f>
        <v>1</v>
      </c>
      <c r="J332" s="91">
        <f ca="1">OFFSET(card!$K$1,MATCH(G332,card!B:B,0)-1,0)</f>
        <v>1</v>
      </c>
    </row>
    <row r="333" ht="15" spans="1:10">
      <c r="A333" s="276">
        <f t="shared" si="17"/>
        <v>220306</v>
      </c>
      <c r="B333" s="277">
        <v>6</v>
      </c>
      <c r="C333" s="278">
        <v>2</v>
      </c>
      <c r="D333" s="106">
        <v>2</v>
      </c>
      <c r="E333" s="106">
        <f t="shared" si="20"/>
        <v>2203</v>
      </c>
      <c r="F333" s="46">
        <f ca="1">OFFSET(card!$A$1,MATCH(G333,card!B:B,0)-1,0)</f>
        <v>2007001</v>
      </c>
      <c r="G333" s="91" t="s">
        <v>341</v>
      </c>
      <c r="I333" s="91">
        <f ca="1">OFFSET(card!$J$1,MATCH(G333,card!B:B,0)-1,0)</f>
        <v>1</v>
      </c>
      <c r="J333" s="91">
        <f ca="1">OFFSET(card!$K$1,MATCH(G333,card!B:B,0)-1,0)</f>
        <v>1</v>
      </c>
    </row>
    <row r="334" ht="15" spans="1:10">
      <c r="A334" s="276">
        <f t="shared" si="17"/>
        <v>220307</v>
      </c>
      <c r="B334" s="277">
        <v>7</v>
      </c>
      <c r="C334" s="278">
        <v>2</v>
      </c>
      <c r="D334" s="106">
        <v>2</v>
      </c>
      <c r="E334" s="106">
        <f t="shared" si="20"/>
        <v>2203</v>
      </c>
      <c r="F334" s="46">
        <f ca="1">OFFSET(card!$A$1,MATCH(G334,card!B:B,0)-1,0)</f>
        <v>2012001</v>
      </c>
      <c r="G334" s="91" t="s">
        <v>486</v>
      </c>
      <c r="I334" s="91">
        <f ca="1">OFFSET(card!$J$1,MATCH(G334,card!B:B,0)-1,0)</f>
        <v>2</v>
      </c>
      <c r="J334" s="91">
        <f ca="1">OFFSET(card!$K$1,MATCH(G334,card!B:B,0)-1,0)</f>
        <v>2</v>
      </c>
    </row>
    <row r="335" ht="15" spans="1:10">
      <c r="A335" s="276">
        <f t="shared" si="17"/>
        <v>220308</v>
      </c>
      <c r="B335" s="277">
        <v>8</v>
      </c>
      <c r="C335" s="278">
        <v>2</v>
      </c>
      <c r="D335" s="106">
        <v>2</v>
      </c>
      <c r="E335" s="106">
        <f t="shared" si="20"/>
        <v>2203</v>
      </c>
      <c r="F335" s="46">
        <f ca="1">OFFSET(card!$A$1,MATCH(G335,card!B:B,0)-1,0)</f>
        <v>2014001</v>
      </c>
      <c r="G335" s="91" t="s">
        <v>357</v>
      </c>
      <c r="I335" s="91">
        <f ca="1">OFFSET(card!$J$1,MATCH(G335,card!B:B,0)-1,0)</f>
        <v>2</v>
      </c>
      <c r="J335" s="91">
        <f ca="1">OFFSET(card!$K$1,MATCH(G335,card!B:B,0)-1,0)</f>
        <v>3</v>
      </c>
    </row>
    <row r="336" ht="15" spans="1:10">
      <c r="A336" s="276">
        <f t="shared" si="17"/>
        <v>220309</v>
      </c>
      <c r="B336" s="277">
        <v>9</v>
      </c>
      <c r="C336" s="278">
        <v>2</v>
      </c>
      <c r="D336" s="106">
        <v>2</v>
      </c>
      <c r="E336" s="106">
        <f t="shared" si="20"/>
        <v>2203</v>
      </c>
      <c r="F336" s="46">
        <f ca="1">OFFSET(card!$A$1,MATCH(G336,card!B:B,0)-1,0)</f>
        <v>2002001</v>
      </c>
      <c r="G336" s="91" t="s">
        <v>401</v>
      </c>
      <c r="I336" s="91">
        <f ca="1">OFFSET(card!$J$1,MATCH(G336,card!B:B,0)-1,0)</f>
        <v>1</v>
      </c>
      <c r="J336" s="91">
        <f ca="1">OFFSET(card!$K$1,MATCH(G336,card!B:B,0)-1,0)</f>
        <v>1</v>
      </c>
    </row>
    <row r="337" ht="15" spans="1:10">
      <c r="A337" s="276">
        <f t="shared" si="17"/>
        <v>220310</v>
      </c>
      <c r="B337" s="277">
        <v>10</v>
      </c>
      <c r="C337" s="278">
        <v>2</v>
      </c>
      <c r="D337" s="106">
        <v>2</v>
      </c>
      <c r="E337" s="106">
        <f t="shared" si="20"/>
        <v>2203</v>
      </c>
      <c r="F337" s="46">
        <f ca="1">OFFSET(card!$A$1,MATCH(G337,card!B:B,0)-1,0)</f>
        <v>2007001</v>
      </c>
      <c r="G337" s="91" t="s">
        <v>341</v>
      </c>
      <c r="I337" s="91">
        <f ca="1">OFFSET(card!$J$1,MATCH(G337,card!B:B,0)-1,0)</f>
        <v>1</v>
      </c>
      <c r="J337" s="91">
        <f ca="1">OFFSET(card!$K$1,MATCH(G337,card!B:B,0)-1,0)</f>
        <v>1</v>
      </c>
    </row>
    <row r="338" ht="15" spans="1:10">
      <c r="A338" s="276">
        <f t="shared" si="17"/>
        <v>220401</v>
      </c>
      <c r="B338" s="277">
        <v>1</v>
      </c>
      <c r="C338" s="278">
        <v>2</v>
      </c>
      <c r="D338" s="106">
        <v>2</v>
      </c>
      <c r="E338" s="106">
        <f t="shared" si="20"/>
        <v>2204</v>
      </c>
      <c r="F338" s="46">
        <f ca="1">OFFSET(card!$A$1,MATCH(G338,card!B:B,0)-1,0)</f>
        <v>2002001</v>
      </c>
      <c r="G338" s="91" t="s">
        <v>401</v>
      </c>
      <c r="I338" s="91">
        <f ca="1">OFFSET(card!$J$1,MATCH(G338,card!B:B,0)-1,0)</f>
        <v>1</v>
      </c>
      <c r="J338" s="91">
        <f ca="1">OFFSET(card!$K$1,MATCH(G338,card!B:B,0)-1,0)</f>
        <v>1</v>
      </c>
    </row>
    <row r="339" ht="15" spans="1:10">
      <c r="A339" s="276">
        <f t="shared" si="17"/>
        <v>220402</v>
      </c>
      <c r="B339" s="277">
        <v>2</v>
      </c>
      <c r="C339" s="278">
        <v>2</v>
      </c>
      <c r="D339" s="106">
        <v>2</v>
      </c>
      <c r="E339" s="106">
        <f t="shared" si="20"/>
        <v>2204</v>
      </c>
      <c r="F339" s="46">
        <f ca="1">OFFSET(card!$A$1,MATCH(G339,card!B:B,0)-1,0)</f>
        <v>2005001</v>
      </c>
      <c r="G339" s="91" t="s">
        <v>433</v>
      </c>
      <c r="I339" s="91">
        <f ca="1">OFFSET(card!$J$1,MATCH(G339,card!B:B,0)-1,0)</f>
        <v>1</v>
      </c>
      <c r="J339" s="91">
        <f ca="1">OFFSET(card!$K$1,MATCH(G339,card!B:B,0)-1,0)</f>
        <v>2</v>
      </c>
    </row>
    <row r="340" ht="15" spans="1:10">
      <c r="A340" s="276">
        <f t="shared" si="17"/>
        <v>220403</v>
      </c>
      <c r="B340" s="277">
        <v>3</v>
      </c>
      <c r="C340" s="278">
        <v>2</v>
      </c>
      <c r="D340" s="106">
        <v>2</v>
      </c>
      <c r="E340" s="106">
        <f t="shared" si="20"/>
        <v>2204</v>
      </c>
      <c r="F340" s="46">
        <f ca="1">OFFSET(card!$A$1,MATCH(G340,card!B:B,0)-1,0)</f>
        <v>2013001</v>
      </c>
      <c r="G340" s="91" t="s">
        <v>768</v>
      </c>
      <c r="I340" s="91">
        <f ca="1">OFFSET(card!$J$1,MATCH(G340,card!B:B,0)-1,0)</f>
        <v>2</v>
      </c>
      <c r="J340" s="91">
        <f ca="1">OFFSET(card!$K$1,MATCH(G340,card!B:B,0)-1,0)</f>
        <v>4</v>
      </c>
    </row>
    <row r="341" ht="15" spans="1:10">
      <c r="A341" s="276">
        <f t="shared" si="17"/>
        <v>220404</v>
      </c>
      <c r="B341" s="277">
        <v>4</v>
      </c>
      <c r="C341" s="278">
        <v>2</v>
      </c>
      <c r="D341" s="106">
        <v>2</v>
      </c>
      <c r="E341" s="106">
        <f t="shared" si="20"/>
        <v>2204</v>
      </c>
      <c r="F341" s="46">
        <f ca="1">OFFSET(card!$A$1,MATCH(G341,card!B:B,0)-1,0)</f>
        <v>2015001</v>
      </c>
      <c r="G341" s="91" t="s">
        <v>393</v>
      </c>
      <c r="I341" s="91">
        <f ca="1">OFFSET(card!$J$1,MATCH(G341,card!B:B,0)-1,0)</f>
        <v>2</v>
      </c>
      <c r="J341" s="91">
        <f ca="1">OFFSET(card!$K$1,MATCH(G341,card!B:B,0)-1,0)</f>
        <v>1</v>
      </c>
    </row>
    <row r="342" ht="15" spans="1:10">
      <c r="A342" s="276">
        <f t="shared" si="17"/>
        <v>220405</v>
      </c>
      <c r="B342" s="277">
        <v>5</v>
      </c>
      <c r="C342" s="278">
        <v>2</v>
      </c>
      <c r="D342" s="106">
        <v>2</v>
      </c>
      <c r="E342" s="106">
        <f t="shared" si="20"/>
        <v>2204</v>
      </c>
      <c r="F342" s="46">
        <f ca="1">OFFSET(card!$A$1,MATCH(G342,card!B:B,0)-1,0)</f>
        <v>2002001</v>
      </c>
      <c r="G342" s="91" t="s">
        <v>401</v>
      </c>
      <c r="I342" s="91">
        <f ca="1">OFFSET(card!$J$1,MATCH(G342,card!B:B,0)-1,0)</f>
        <v>1</v>
      </c>
      <c r="J342" s="91">
        <f ca="1">OFFSET(card!$K$1,MATCH(G342,card!B:B,0)-1,0)</f>
        <v>1</v>
      </c>
    </row>
    <row r="343" ht="15" spans="1:10">
      <c r="A343" s="276">
        <f t="shared" si="17"/>
        <v>220406</v>
      </c>
      <c r="B343" s="277">
        <v>6</v>
      </c>
      <c r="C343" s="278">
        <v>2</v>
      </c>
      <c r="D343" s="106">
        <v>2</v>
      </c>
      <c r="E343" s="106">
        <f t="shared" si="20"/>
        <v>2204</v>
      </c>
      <c r="F343" s="46">
        <f ca="1">OFFSET(card!$A$1,MATCH(G343,card!B:B,0)-1,0)</f>
        <v>2005001</v>
      </c>
      <c r="G343" s="91" t="s">
        <v>433</v>
      </c>
      <c r="I343" s="91">
        <f ca="1">OFFSET(card!$J$1,MATCH(G343,card!B:B,0)-1,0)</f>
        <v>1</v>
      </c>
      <c r="J343" s="91">
        <f ca="1">OFFSET(card!$K$1,MATCH(G343,card!B:B,0)-1,0)</f>
        <v>2</v>
      </c>
    </row>
    <row r="344" ht="15" spans="1:10">
      <c r="A344" s="276">
        <f t="shared" si="17"/>
        <v>220407</v>
      </c>
      <c r="B344" s="277">
        <v>7</v>
      </c>
      <c r="C344" s="278">
        <v>2</v>
      </c>
      <c r="D344" s="106">
        <v>2</v>
      </c>
      <c r="E344" s="106">
        <f t="shared" si="20"/>
        <v>2204</v>
      </c>
      <c r="F344" s="46">
        <f ca="1">OFFSET(card!$A$1,MATCH(G344,card!B:B,0)-1,0)</f>
        <v>2013001</v>
      </c>
      <c r="G344" s="91" t="s">
        <v>768</v>
      </c>
      <c r="I344" s="91">
        <f ca="1">OFFSET(card!$J$1,MATCH(G344,card!B:B,0)-1,0)</f>
        <v>2</v>
      </c>
      <c r="J344" s="91">
        <f ca="1">OFFSET(card!$K$1,MATCH(G344,card!B:B,0)-1,0)</f>
        <v>4</v>
      </c>
    </row>
    <row r="345" ht="15" spans="1:10">
      <c r="A345" s="276">
        <f t="shared" si="17"/>
        <v>220408</v>
      </c>
      <c r="B345" s="277">
        <v>8</v>
      </c>
      <c r="C345" s="278">
        <v>2</v>
      </c>
      <c r="D345" s="106">
        <v>2</v>
      </c>
      <c r="E345" s="106">
        <f t="shared" si="20"/>
        <v>2204</v>
      </c>
      <c r="F345" s="46">
        <f ca="1">OFFSET(card!$A$1,MATCH(G345,card!B:B,0)-1,0)</f>
        <v>2015001</v>
      </c>
      <c r="G345" s="91" t="s">
        <v>393</v>
      </c>
      <c r="I345" s="91">
        <f ca="1">OFFSET(card!$J$1,MATCH(G345,card!B:B,0)-1,0)</f>
        <v>2</v>
      </c>
      <c r="J345" s="91">
        <f ca="1">OFFSET(card!$K$1,MATCH(G345,card!B:B,0)-1,0)</f>
        <v>1</v>
      </c>
    </row>
    <row r="346" ht="15" spans="1:10">
      <c r="A346" s="276">
        <f t="shared" ref="A346:A409" si="21">E346*100+B346</f>
        <v>220409</v>
      </c>
      <c r="B346" s="277">
        <v>9</v>
      </c>
      <c r="C346" s="278">
        <v>2</v>
      </c>
      <c r="D346" s="106">
        <v>2</v>
      </c>
      <c r="E346" s="106">
        <f t="shared" si="20"/>
        <v>2204</v>
      </c>
      <c r="F346" s="46">
        <f ca="1">OFFSET(card!$A$1,MATCH(G346,card!B:B,0)-1,0)</f>
        <v>2002001</v>
      </c>
      <c r="G346" s="91" t="s">
        <v>401</v>
      </c>
      <c r="I346" s="91">
        <f ca="1">OFFSET(card!$J$1,MATCH(G346,card!B:B,0)-1,0)</f>
        <v>1</v>
      </c>
      <c r="J346" s="91">
        <f ca="1">OFFSET(card!$K$1,MATCH(G346,card!B:B,0)-1,0)</f>
        <v>1</v>
      </c>
    </row>
    <row r="347" ht="15" spans="1:10">
      <c r="A347" s="276">
        <f t="shared" si="21"/>
        <v>220410</v>
      </c>
      <c r="B347" s="277">
        <v>10</v>
      </c>
      <c r="C347" s="278">
        <v>2</v>
      </c>
      <c r="D347" s="106">
        <v>2</v>
      </c>
      <c r="E347" s="106">
        <f t="shared" si="20"/>
        <v>2204</v>
      </c>
      <c r="F347" s="46">
        <f ca="1">OFFSET(card!$A$1,MATCH(G347,card!B:B,0)-1,0)</f>
        <v>2005001</v>
      </c>
      <c r="G347" s="91" t="s">
        <v>433</v>
      </c>
      <c r="I347" s="91">
        <f ca="1">OFFSET(card!$J$1,MATCH(G347,card!B:B,0)-1,0)</f>
        <v>1</v>
      </c>
      <c r="J347" s="91">
        <f ca="1">OFFSET(card!$K$1,MATCH(G347,card!B:B,0)-1,0)</f>
        <v>2</v>
      </c>
    </row>
    <row r="348" ht="15" spans="1:10">
      <c r="A348" s="276">
        <f t="shared" si="21"/>
        <v>220501</v>
      </c>
      <c r="B348" s="277">
        <v>1</v>
      </c>
      <c r="C348" s="278">
        <v>2</v>
      </c>
      <c r="D348" s="106">
        <v>2</v>
      </c>
      <c r="E348" s="106">
        <f t="shared" si="20"/>
        <v>2205</v>
      </c>
      <c r="F348" s="46">
        <f ca="1">OFFSET(card!$A$1,MATCH(G348,card!B:B,0)-1,0)</f>
        <v>2006001</v>
      </c>
      <c r="G348" s="91" t="s">
        <v>740</v>
      </c>
      <c r="I348" s="91">
        <f ca="1">OFFSET(card!$J$1,MATCH(G348,card!B:B,0)-1,0)</f>
        <v>1</v>
      </c>
      <c r="J348" s="91">
        <f ca="1">OFFSET(card!$K$1,MATCH(G348,card!B:B,0)-1,0)</f>
        <v>1</v>
      </c>
    </row>
    <row r="349" ht="15" spans="1:10">
      <c r="A349" s="276">
        <f t="shared" si="21"/>
        <v>220502</v>
      </c>
      <c r="B349" s="277">
        <v>2</v>
      </c>
      <c r="C349" s="278">
        <v>2</v>
      </c>
      <c r="D349" s="106">
        <v>2</v>
      </c>
      <c r="E349" s="106">
        <f t="shared" si="20"/>
        <v>2205</v>
      </c>
      <c r="F349" s="46">
        <f ca="1">OFFSET(card!$A$1,MATCH(G349,card!B:B,0)-1,0)</f>
        <v>2007001</v>
      </c>
      <c r="G349" s="91" t="s">
        <v>341</v>
      </c>
      <c r="I349" s="91">
        <f ca="1">OFFSET(card!$J$1,MATCH(G349,card!B:B,0)-1,0)</f>
        <v>1</v>
      </c>
      <c r="J349" s="91">
        <f ca="1">OFFSET(card!$K$1,MATCH(G349,card!B:B,0)-1,0)</f>
        <v>1</v>
      </c>
    </row>
    <row r="350" ht="15" spans="1:10">
      <c r="A350" s="276">
        <f t="shared" si="21"/>
        <v>220503</v>
      </c>
      <c r="B350" s="277">
        <v>3</v>
      </c>
      <c r="C350" s="278">
        <v>2</v>
      </c>
      <c r="D350" s="106">
        <v>2</v>
      </c>
      <c r="E350" s="106">
        <f t="shared" si="20"/>
        <v>2205</v>
      </c>
      <c r="F350" s="46">
        <f ca="1">OFFSET(card!$A$1,MATCH(G350,card!B:B,0)-1,0)</f>
        <v>2013001</v>
      </c>
      <c r="G350" s="91" t="s">
        <v>768</v>
      </c>
      <c r="I350" s="91">
        <f ca="1">OFFSET(card!$J$1,MATCH(G350,card!B:B,0)-1,0)</f>
        <v>2</v>
      </c>
      <c r="J350" s="91">
        <f ca="1">OFFSET(card!$K$1,MATCH(G350,card!B:B,0)-1,0)</f>
        <v>4</v>
      </c>
    </row>
    <row r="351" ht="15" spans="1:10">
      <c r="A351" s="276">
        <f t="shared" si="21"/>
        <v>220504</v>
      </c>
      <c r="B351" s="277">
        <v>4</v>
      </c>
      <c r="C351" s="278">
        <v>2</v>
      </c>
      <c r="D351" s="106">
        <v>2</v>
      </c>
      <c r="E351" s="106">
        <f t="shared" si="20"/>
        <v>2205</v>
      </c>
      <c r="F351" s="46">
        <f ca="1">OFFSET(card!$A$1,MATCH(G351,card!B:B,0)-1,0)</f>
        <v>2016001</v>
      </c>
      <c r="G351" s="91" t="s">
        <v>514</v>
      </c>
      <c r="I351" s="91">
        <f ca="1">OFFSET(card!$J$1,MATCH(G351,card!B:B,0)-1,0)</f>
        <v>3</v>
      </c>
      <c r="J351" s="91">
        <f ca="1">OFFSET(card!$K$1,MATCH(G351,card!B:B,0)-1,0)</f>
        <v>2</v>
      </c>
    </row>
    <row r="352" ht="15" spans="1:10">
      <c r="A352" s="276">
        <f t="shared" si="21"/>
        <v>220505</v>
      </c>
      <c r="B352" s="277">
        <v>5</v>
      </c>
      <c r="C352" s="278">
        <v>2</v>
      </c>
      <c r="D352" s="106">
        <v>2</v>
      </c>
      <c r="E352" s="106">
        <f t="shared" si="20"/>
        <v>2205</v>
      </c>
      <c r="F352" s="46">
        <f ca="1">OFFSET(card!$A$1,MATCH(G352,card!B:B,0)-1,0)</f>
        <v>2006001</v>
      </c>
      <c r="G352" s="91" t="s">
        <v>740</v>
      </c>
      <c r="I352" s="91">
        <f ca="1">OFFSET(card!$J$1,MATCH(G352,card!B:B,0)-1,0)</f>
        <v>1</v>
      </c>
      <c r="J352" s="91">
        <f ca="1">OFFSET(card!$K$1,MATCH(G352,card!B:B,0)-1,0)</f>
        <v>1</v>
      </c>
    </row>
    <row r="353" ht="15" spans="1:10">
      <c r="A353" s="276">
        <f t="shared" si="21"/>
        <v>220506</v>
      </c>
      <c r="B353" s="277">
        <v>6</v>
      </c>
      <c r="C353" s="278">
        <v>2</v>
      </c>
      <c r="D353" s="106">
        <v>2</v>
      </c>
      <c r="E353" s="106">
        <f t="shared" si="20"/>
        <v>2205</v>
      </c>
      <c r="F353" s="46">
        <f ca="1">OFFSET(card!$A$1,MATCH(G353,card!B:B,0)-1,0)</f>
        <v>2007001</v>
      </c>
      <c r="G353" s="91" t="s">
        <v>341</v>
      </c>
      <c r="I353" s="91">
        <f ca="1">OFFSET(card!$J$1,MATCH(G353,card!B:B,0)-1,0)</f>
        <v>1</v>
      </c>
      <c r="J353" s="91">
        <f ca="1">OFFSET(card!$K$1,MATCH(G353,card!B:B,0)-1,0)</f>
        <v>1</v>
      </c>
    </row>
    <row r="354" ht="15" spans="1:10">
      <c r="A354" s="276">
        <f t="shared" si="21"/>
        <v>220507</v>
      </c>
      <c r="B354" s="277">
        <v>7</v>
      </c>
      <c r="C354" s="278">
        <v>2</v>
      </c>
      <c r="D354" s="106">
        <v>2</v>
      </c>
      <c r="E354" s="106">
        <f t="shared" si="20"/>
        <v>2205</v>
      </c>
      <c r="F354" s="46">
        <f ca="1">OFFSET(card!$A$1,MATCH(G354,card!B:B,0)-1,0)</f>
        <v>2013001</v>
      </c>
      <c r="G354" s="91" t="s">
        <v>768</v>
      </c>
      <c r="I354" s="91">
        <f ca="1">OFFSET(card!$J$1,MATCH(G354,card!B:B,0)-1,0)</f>
        <v>2</v>
      </c>
      <c r="J354" s="91">
        <f ca="1">OFFSET(card!$K$1,MATCH(G354,card!B:B,0)-1,0)</f>
        <v>4</v>
      </c>
    </row>
    <row r="355" ht="15" spans="1:10">
      <c r="A355" s="276">
        <f t="shared" si="21"/>
        <v>220508</v>
      </c>
      <c r="B355" s="277">
        <v>8</v>
      </c>
      <c r="C355" s="278">
        <v>2</v>
      </c>
      <c r="D355" s="106">
        <v>2</v>
      </c>
      <c r="E355" s="106">
        <f t="shared" si="20"/>
        <v>2205</v>
      </c>
      <c r="F355" s="46">
        <f ca="1">OFFSET(card!$A$1,MATCH(G355,card!B:B,0)-1,0)</f>
        <v>2016001</v>
      </c>
      <c r="G355" s="91" t="s">
        <v>514</v>
      </c>
      <c r="I355" s="91">
        <f ca="1">OFFSET(card!$J$1,MATCH(G355,card!B:B,0)-1,0)</f>
        <v>3</v>
      </c>
      <c r="J355" s="91">
        <f ca="1">OFFSET(card!$K$1,MATCH(G355,card!B:B,0)-1,0)</f>
        <v>2</v>
      </c>
    </row>
    <row r="356" ht="15" spans="1:10">
      <c r="A356" s="276">
        <f t="shared" si="21"/>
        <v>220509</v>
      </c>
      <c r="B356" s="277">
        <v>9</v>
      </c>
      <c r="C356" s="278">
        <v>2</v>
      </c>
      <c r="D356" s="106">
        <v>2</v>
      </c>
      <c r="E356" s="106">
        <f t="shared" si="20"/>
        <v>2205</v>
      </c>
      <c r="F356" s="46">
        <f ca="1">OFFSET(card!$A$1,MATCH(G356,card!B:B,0)-1,0)</f>
        <v>2006001</v>
      </c>
      <c r="G356" s="91" t="s">
        <v>740</v>
      </c>
      <c r="I356" s="91">
        <f ca="1">OFFSET(card!$J$1,MATCH(G356,card!B:B,0)-1,0)</f>
        <v>1</v>
      </c>
      <c r="J356" s="91">
        <f ca="1">OFFSET(card!$K$1,MATCH(G356,card!B:B,0)-1,0)</f>
        <v>1</v>
      </c>
    </row>
    <row r="357" ht="15" spans="1:10">
      <c r="A357" s="276">
        <f t="shared" si="21"/>
        <v>220510</v>
      </c>
      <c r="B357" s="277">
        <v>10</v>
      </c>
      <c r="C357" s="278">
        <v>2</v>
      </c>
      <c r="D357" s="106">
        <v>2</v>
      </c>
      <c r="E357" s="106">
        <f t="shared" si="20"/>
        <v>2205</v>
      </c>
      <c r="F357" s="46">
        <f ca="1">OFFSET(card!$A$1,MATCH(G357,card!B:B,0)-1,0)</f>
        <v>2007001</v>
      </c>
      <c r="G357" s="91" t="s">
        <v>341</v>
      </c>
      <c r="I357" s="91">
        <f ca="1">OFFSET(card!$J$1,MATCH(G357,card!B:B,0)-1,0)</f>
        <v>1</v>
      </c>
      <c r="J357" s="91">
        <f ca="1">OFFSET(card!$K$1,MATCH(G357,card!B:B,0)-1,0)</f>
        <v>1</v>
      </c>
    </row>
    <row r="358" ht="15" spans="1:10">
      <c r="A358" s="276">
        <f t="shared" si="21"/>
        <v>220601</v>
      </c>
      <c r="B358" s="277">
        <v>1</v>
      </c>
      <c r="C358" s="278">
        <v>2</v>
      </c>
      <c r="D358" s="106">
        <v>2</v>
      </c>
      <c r="E358" s="106">
        <f t="shared" si="20"/>
        <v>2206</v>
      </c>
      <c r="F358" s="46">
        <f ca="1">OFFSET(card!$A$1,MATCH(G358,card!B:B,0)-1,0)</f>
        <v>2002001</v>
      </c>
      <c r="G358" s="91" t="s">
        <v>401</v>
      </c>
      <c r="I358" s="91">
        <f ca="1">OFFSET(card!$J$1,MATCH(G358,card!B:B,0)-1,0)</f>
        <v>1</v>
      </c>
      <c r="J358" s="91">
        <f ca="1">OFFSET(card!$K$1,MATCH(G358,card!B:B,0)-1,0)</f>
        <v>1</v>
      </c>
    </row>
    <row r="359" ht="15" spans="1:10">
      <c r="A359" s="276">
        <f t="shared" si="21"/>
        <v>220602</v>
      </c>
      <c r="B359" s="277">
        <v>2</v>
      </c>
      <c r="C359" s="278">
        <v>2</v>
      </c>
      <c r="D359" s="106">
        <v>2</v>
      </c>
      <c r="E359" s="106">
        <f t="shared" si="20"/>
        <v>2206</v>
      </c>
      <c r="F359" s="46">
        <f ca="1">OFFSET(card!$A$1,MATCH(G359,card!B:B,0)-1,0)</f>
        <v>2006001</v>
      </c>
      <c r="G359" s="91" t="s">
        <v>740</v>
      </c>
      <c r="I359" s="91">
        <f ca="1">OFFSET(card!$J$1,MATCH(G359,card!B:B,0)-1,0)</f>
        <v>1</v>
      </c>
      <c r="J359" s="91">
        <f ca="1">OFFSET(card!$K$1,MATCH(G359,card!B:B,0)-1,0)</f>
        <v>1</v>
      </c>
    </row>
    <row r="360" ht="15" spans="1:10">
      <c r="A360" s="276">
        <f t="shared" si="21"/>
        <v>220603</v>
      </c>
      <c r="B360" s="277">
        <v>3</v>
      </c>
      <c r="C360" s="278">
        <v>2</v>
      </c>
      <c r="D360" s="106">
        <v>2</v>
      </c>
      <c r="E360" s="106">
        <f t="shared" si="20"/>
        <v>2206</v>
      </c>
      <c r="F360" s="46">
        <f ca="1">OFFSET(card!$A$1,MATCH(G360,card!B:B,0)-1,0)</f>
        <v>2012001</v>
      </c>
      <c r="G360" s="91" t="s">
        <v>486</v>
      </c>
      <c r="I360" s="91">
        <f ca="1">OFFSET(card!$J$1,MATCH(G360,card!B:B,0)-1,0)</f>
        <v>2</v>
      </c>
      <c r="J360" s="91">
        <f ca="1">OFFSET(card!$K$1,MATCH(G360,card!B:B,0)-1,0)</f>
        <v>2</v>
      </c>
    </row>
    <row r="361" ht="15" spans="1:10">
      <c r="A361" s="276">
        <f t="shared" si="21"/>
        <v>220604</v>
      </c>
      <c r="B361" s="277">
        <v>4</v>
      </c>
      <c r="C361" s="278">
        <v>2</v>
      </c>
      <c r="D361" s="106">
        <v>2</v>
      </c>
      <c r="E361" s="106">
        <f t="shared" si="20"/>
        <v>2206</v>
      </c>
      <c r="F361" s="46">
        <f ca="1">OFFSET(card!$A$1,MATCH(G361,card!B:B,0)-1,0)</f>
        <v>2017001</v>
      </c>
      <c r="G361" s="91" t="s">
        <v>291</v>
      </c>
      <c r="I361" s="91">
        <f ca="1">OFFSET(card!$J$1,MATCH(G361,card!B:B,0)-1,0)</f>
        <v>3</v>
      </c>
      <c r="J361" s="91">
        <f ca="1">OFFSET(card!$K$1,MATCH(G361,card!B:B,0)-1,0)</f>
        <v>1</v>
      </c>
    </row>
    <row r="362" ht="15" spans="1:10">
      <c r="A362" s="276">
        <f t="shared" si="21"/>
        <v>220605</v>
      </c>
      <c r="B362" s="277">
        <v>5</v>
      </c>
      <c r="C362" s="278">
        <v>2</v>
      </c>
      <c r="D362" s="106">
        <v>2</v>
      </c>
      <c r="E362" s="106">
        <f t="shared" si="20"/>
        <v>2206</v>
      </c>
      <c r="F362" s="46">
        <f ca="1">OFFSET(card!$A$1,MATCH(G362,card!B:B,0)-1,0)</f>
        <v>2002001</v>
      </c>
      <c r="G362" s="91" t="s">
        <v>401</v>
      </c>
      <c r="I362" s="91">
        <f ca="1">OFFSET(card!$J$1,MATCH(G362,card!B:B,0)-1,0)</f>
        <v>1</v>
      </c>
      <c r="J362" s="91">
        <f ca="1">OFFSET(card!$K$1,MATCH(G362,card!B:B,0)-1,0)</f>
        <v>1</v>
      </c>
    </row>
    <row r="363" ht="15" spans="1:10">
      <c r="A363" s="276">
        <f t="shared" si="21"/>
        <v>220606</v>
      </c>
      <c r="B363" s="277">
        <v>6</v>
      </c>
      <c r="C363" s="278">
        <v>2</v>
      </c>
      <c r="D363" s="106">
        <v>2</v>
      </c>
      <c r="E363" s="106">
        <f t="shared" si="20"/>
        <v>2206</v>
      </c>
      <c r="F363" s="46">
        <f ca="1">OFFSET(card!$A$1,MATCH(G363,card!B:B,0)-1,0)</f>
        <v>2006001</v>
      </c>
      <c r="G363" s="91" t="s">
        <v>740</v>
      </c>
      <c r="I363" s="91">
        <f ca="1">OFFSET(card!$J$1,MATCH(G363,card!B:B,0)-1,0)</f>
        <v>1</v>
      </c>
      <c r="J363" s="91">
        <f ca="1">OFFSET(card!$K$1,MATCH(G363,card!B:B,0)-1,0)</f>
        <v>1</v>
      </c>
    </row>
    <row r="364" ht="15" spans="1:10">
      <c r="A364" s="276">
        <f t="shared" si="21"/>
        <v>220607</v>
      </c>
      <c r="B364" s="277">
        <v>7</v>
      </c>
      <c r="C364" s="278">
        <v>2</v>
      </c>
      <c r="D364" s="106">
        <v>2</v>
      </c>
      <c r="E364" s="106">
        <f t="shared" si="20"/>
        <v>2206</v>
      </c>
      <c r="F364" s="46">
        <f ca="1">OFFSET(card!$A$1,MATCH(G364,card!B:B,0)-1,0)</f>
        <v>2012001</v>
      </c>
      <c r="G364" s="91" t="s">
        <v>486</v>
      </c>
      <c r="I364" s="91">
        <f ca="1">OFFSET(card!$J$1,MATCH(G364,card!B:B,0)-1,0)</f>
        <v>2</v>
      </c>
      <c r="J364" s="91">
        <f ca="1">OFFSET(card!$K$1,MATCH(G364,card!B:B,0)-1,0)</f>
        <v>2</v>
      </c>
    </row>
    <row r="365" ht="15" spans="1:10">
      <c r="A365" s="276">
        <f t="shared" si="21"/>
        <v>220608</v>
      </c>
      <c r="B365" s="277">
        <v>8</v>
      </c>
      <c r="C365" s="278">
        <v>2</v>
      </c>
      <c r="D365" s="106">
        <v>2</v>
      </c>
      <c r="E365" s="106">
        <f t="shared" si="20"/>
        <v>2206</v>
      </c>
      <c r="F365" s="46">
        <f ca="1">OFFSET(card!$A$1,MATCH(G365,card!B:B,0)-1,0)</f>
        <v>2017001</v>
      </c>
      <c r="G365" s="91" t="s">
        <v>291</v>
      </c>
      <c r="I365" s="91">
        <f ca="1">OFFSET(card!$J$1,MATCH(G365,card!B:B,0)-1,0)</f>
        <v>3</v>
      </c>
      <c r="J365" s="91">
        <f ca="1">OFFSET(card!$K$1,MATCH(G365,card!B:B,0)-1,0)</f>
        <v>1</v>
      </c>
    </row>
    <row r="366" ht="15" spans="1:10">
      <c r="A366" s="276">
        <f t="shared" si="21"/>
        <v>220609</v>
      </c>
      <c r="B366" s="277">
        <v>9</v>
      </c>
      <c r="C366" s="278">
        <v>2</v>
      </c>
      <c r="D366" s="106">
        <v>2</v>
      </c>
      <c r="E366" s="106">
        <f t="shared" si="20"/>
        <v>2206</v>
      </c>
      <c r="F366" s="46">
        <f ca="1">OFFSET(card!$A$1,MATCH(G366,card!B:B,0)-1,0)</f>
        <v>2017001</v>
      </c>
      <c r="G366" s="91" t="s">
        <v>291</v>
      </c>
      <c r="I366" s="91">
        <f ca="1">OFFSET(card!$J$1,MATCH(G366,card!B:B,0)-1,0)</f>
        <v>3</v>
      </c>
      <c r="J366" s="91">
        <f ca="1">OFFSET(card!$K$1,MATCH(G366,card!B:B,0)-1,0)</f>
        <v>1</v>
      </c>
    </row>
    <row r="367" ht="15" spans="1:10">
      <c r="A367" s="276">
        <f t="shared" si="21"/>
        <v>220610</v>
      </c>
      <c r="B367" s="277">
        <v>10</v>
      </c>
      <c r="C367" s="278">
        <v>2</v>
      </c>
      <c r="D367" s="106">
        <v>2</v>
      </c>
      <c r="E367" s="106">
        <f t="shared" si="20"/>
        <v>2206</v>
      </c>
      <c r="F367" s="46">
        <f ca="1">OFFSET(card!$A$1,MATCH(G367,card!B:B,0)-1,0)</f>
        <v>2006001</v>
      </c>
      <c r="G367" s="91" t="s">
        <v>740</v>
      </c>
      <c r="I367" s="91">
        <f ca="1">OFFSET(card!$J$1,MATCH(G367,card!B:B,0)-1,0)</f>
        <v>1</v>
      </c>
      <c r="J367" s="91">
        <f ca="1">OFFSET(card!$K$1,MATCH(G367,card!B:B,0)-1,0)</f>
        <v>1</v>
      </c>
    </row>
    <row r="368" ht="15" spans="1:10">
      <c r="A368" s="276">
        <f t="shared" si="21"/>
        <v>220701</v>
      </c>
      <c r="B368" s="277">
        <v>1</v>
      </c>
      <c r="C368" s="278">
        <v>2</v>
      </c>
      <c r="D368" s="106">
        <v>3</v>
      </c>
      <c r="E368" s="106">
        <f t="shared" si="20"/>
        <v>2207</v>
      </c>
      <c r="F368" s="46">
        <f ca="1">OFFSET(card!$A$1,MATCH(G368,card!B:B,0)-1,0)</f>
        <v>2005001</v>
      </c>
      <c r="G368" s="91" t="s">
        <v>433</v>
      </c>
      <c r="I368" s="91">
        <f ca="1">OFFSET(card!$J$1,MATCH(G368,card!B:B,0)-1,0)</f>
        <v>1</v>
      </c>
      <c r="J368" s="91">
        <f ca="1">OFFSET(card!$K$1,MATCH(G368,card!B:B,0)-1,0)</f>
        <v>2</v>
      </c>
    </row>
    <row r="369" ht="15" spans="1:10">
      <c r="A369" s="276">
        <f t="shared" si="21"/>
        <v>220702</v>
      </c>
      <c r="B369" s="277">
        <v>2</v>
      </c>
      <c r="C369" s="278">
        <v>2</v>
      </c>
      <c r="D369" s="106">
        <v>3</v>
      </c>
      <c r="E369" s="106">
        <f t="shared" si="20"/>
        <v>2207</v>
      </c>
      <c r="F369" s="46">
        <f ca="1">OFFSET(card!$A$1,MATCH(G369,card!B:B,0)-1,0)</f>
        <v>2012001</v>
      </c>
      <c r="G369" s="91" t="s">
        <v>486</v>
      </c>
      <c r="I369" s="91">
        <f ca="1">OFFSET(card!$J$1,MATCH(G369,card!B:B,0)-1,0)</f>
        <v>2</v>
      </c>
      <c r="J369" s="91">
        <f ca="1">OFFSET(card!$K$1,MATCH(G369,card!B:B,0)-1,0)</f>
        <v>2</v>
      </c>
    </row>
    <row r="370" ht="15" spans="1:10">
      <c r="A370" s="276">
        <f t="shared" si="21"/>
        <v>220703</v>
      </c>
      <c r="B370" s="277">
        <v>3</v>
      </c>
      <c r="C370" s="278">
        <v>2</v>
      </c>
      <c r="D370" s="106">
        <v>3</v>
      </c>
      <c r="E370" s="106">
        <f t="shared" si="20"/>
        <v>2207</v>
      </c>
      <c r="F370" s="46">
        <f ca="1">OFFSET(card!$A$1,MATCH(G370,card!B:B,0)-1,0)</f>
        <v>2013001</v>
      </c>
      <c r="G370" s="91" t="s">
        <v>768</v>
      </c>
      <c r="I370" s="91">
        <f ca="1">OFFSET(card!$J$1,MATCH(G370,card!B:B,0)-1,0)</f>
        <v>2</v>
      </c>
      <c r="J370" s="91">
        <f ca="1">OFFSET(card!$K$1,MATCH(G370,card!B:B,0)-1,0)</f>
        <v>4</v>
      </c>
    </row>
    <row r="371" ht="15" spans="1:10">
      <c r="A371" s="276">
        <f t="shared" si="21"/>
        <v>220704</v>
      </c>
      <c r="B371" s="277">
        <v>4</v>
      </c>
      <c r="C371" s="278">
        <v>2</v>
      </c>
      <c r="D371" s="106">
        <v>3</v>
      </c>
      <c r="E371" s="106">
        <f t="shared" si="20"/>
        <v>2207</v>
      </c>
      <c r="F371" s="46">
        <f ca="1">OFFSET(card!$A$1,MATCH(G371,card!B:B,0)-1,0)</f>
        <v>2018001</v>
      </c>
      <c r="G371" s="91" t="s">
        <v>351</v>
      </c>
      <c r="I371" s="91">
        <f ca="1">OFFSET(card!$J$1,MATCH(G371,card!B:B,0)-1,0)</f>
        <v>3</v>
      </c>
      <c r="J371" s="91">
        <f ca="1">OFFSET(card!$K$1,MATCH(G371,card!B:B,0)-1,0)</f>
        <v>2</v>
      </c>
    </row>
    <row r="372" ht="15" spans="1:10">
      <c r="A372" s="276">
        <f t="shared" si="21"/>
        <v>220705</v>
      </c>
      <c r="B372" s="277">
        <v>5</v>
      </c>
      <c r="C372" s="278">
        <v>2</v>
      </c>
      <c r="D372" s="106">
        <v>3</v>
      </c>
      <c r="E372" s="106">
        <f t="shared" si="20"/>
        <v>2207</v>
      </c>
      <c r="F372" s="46">
        <f ca="1">OFFSET(card!$A$1,MATCH(G372,card!B:B,0)-1,0)</f>
        <v>2005001</v>
      </c>
      <c r="G372" s="91" t="s">
        <v>433</v>
      </c>
      <c r="I372" s="91">
        <f ca="1">OFFSET(card!$J$1,MATCH(G372,card!B:B,0)-1,0)</f>
        <v>1</v>
      </c>
      <c r="J372" s="91">
        <f ca="1">OFFSET(card!$K$1,MATCH(G372,card!B:B,0)-1,0)</f>
        <v>2</v>
      </c>
    </row>
    <row r="373" ht="15" spans="1:10">
      <c r="A373" s="276">
        <f t="shared" si="21"/>
        <v>220706</v>
      </c>
      <c r="B373" s="277">
        <v>6</v>
      </c>
      <c r="C373" s="278">
        <v>2</v>
      </c>
      <c r="D373" s="106">
        <v>3</v>
      </c>
      <c r="E373" s="106">
        <f t="shared" si="20"/>
        <v>2207</v>
      </c>
      <c r="F373" s="46">
        <f ca="1">OFFSET(card!$A$1,MATCH(G373,card!B:B,0)-1,0)</f>
        <v>2012001</v>
      </c>
      <c r="G373" s="91" t="s">
        <v>486</v>
      </c>
      <c r="I373" s="91">
        <f ca="1">OFFSET(card!$J$1,MATCH(G373,card!B:B,0)-1,0)</f>
        <v>2</v>
      </c>
      <c r="J373" s="91">
        <f ca="1">OFFSET(card!$K$1,MATCH(G373,card!B:B,0)-1,0)</f>
        <v>2</v>
      </c>
    </row>
    <row r="374" ht="15" spans="1:10">
      <c r="A374" s="276">
        <f t="shared" si="21"/>
        <v>220707</v>
      </c>
      <c r="B374" s="277">
        <v>7</v>
      </c>
      <c r="C374" s="278">
        <v>2</v>
      </c>
      <c r="D374" s="106">
        <v>3</v>
      </c>
      <c r="E374" s="106">
        <f t="shared" si="20"/>
        <v>2207</v>
      </c>
      <c r="F374" s="46">
        <f ca="1">OFFSET(card!$A$1,MATCH(G374,card!B:B,0)-1,0)</f>
        <v>2013001</v>
      </c>
      <c r="G374" s="91" t="s">
        <v>768</v>
      </c>
      <c r="I374" s="91">
        <f ca="1">OFFSET(card!$J$1,MATCH(G374,card!B:B,0)-1,0)</f>
        <v>2</v>
      </c>
      <c r="J374" s="91">
        <f ca="1">OFFSET(card!$K$1,MATCH(G374,card!B:B,0)-1,0)</f>
        <v>4</v>
      </c>
    </row>
    <row r="375" ht="15" spans="1:10">
      <c r="A375" s="276">
        <f t="shared" si="21"/>
        <v>220708</v>
      </c>
      <c r="B375" s="277">
        <v>8</v>
      </c>
      <c r="C375" s="278">
        <v>2</v>
      </c>
      <c r="D375" s="106">
        <v>3</v>
      </c>
      <c r="E375" s="106">
        <f t="shared" si="20"/>
        <v>2207</v>
      </c>
      <c r="F375" s="46">
        <f ca="1">OFFSET(card!$A$1,MATCH(G375,card!B:B,0)-1,0)</f>
        <v>2018001</v>
      </c>
      <c r="G375" s="91" t="s">
        <v>351</v>
      </c>
      <c r="I375" s="91">
        <f ca="1">OFFSET(card!$J$1,MATCH(G375,card!B:B,0)-1,0)</f>
        <v>3</v>
      </c>
      <c r="J375" s="91">
        <f ca="1">OFFSET(card!$K$1,MATCH(G375,card!B:B,0)-1,0)</f>
        <v>2</v>
      </c>
    </row>
    <row r="376" ht="15" spans="1:10">
      <c r="A376" s="276">
        <f t="shared" si="21"/>
        <v>220709</v>
      </c>
      <c r="B376" s="277">
        <v>9</v>
      </c>
      <c r="C376" s="278">
        <v>2</v>
      </c>
      <c r="D376" s="106">
        <v>3</v>
      </c>
      <c r="E376" s="106">
        <f t="shared" si="20"/>
        <v>2207</v>
      </c>
      <c r="F376" s="46">
        <f ca="1">OFFSET(card!$A$1,MATCH(G376,card!B:B,0)-1,0)</f>
        <v>2005001</v>
      </c>
      <c r="G376" s="91" t="s">
        <v>433</v>
      </c>
      <c r="I376" s="91">
        <f ca="1">OFFSET(card!$J$1,MATCH(G376,card!B:B,0)-1,0)</f>
        <v>1</v>
      </c>
      <c r="J376" s="91">
        <f ca="1">OFFSET(card!$K$1,MATCH(G376,card!B:B,0)-1,0)</f>
        <v>2</v>
      </c>
    </row>
    <row r="377" ht="15" spans="1:10">
      <c r="A377" s="276">
        <f t="shared" si="21"/>
        <v>220710</v>
      </c>
      <c r="B377" s="277">
        <v>10</v>
      </c>
      <c r="C377" s="278">
        <v>2</v>
      </c>
      <c r="D377" s="106">
        <v>3</v>
      </c>
      <c r="E377" s="106">
        <f t="shared" si="20"/>
        <v>2207</v>
      </c>
      <c r="F377" s="46">
        <f ca="1">OFFSET(card!$A$1,MATCH(G377,card!B:B,0)-1,0)</f>
        <v>2012001</v>
      </c>
      <c r="G377" s="91" t="s">
        <v>486</v>
      </c>
      <c r="I377" s="91">
        <f ca="1">OFFSET(card!$J$1,MATCH(G377,card!B:B,0)-1,0)</f>
        <v>2</v>
      </c>
      <c r="J377" s="91">
        <f ca="1">OFFSET(card!$K$1,MATCH(G377,card!B:B,0)-1,0)</f>
        <v>2</v>
      </c>
    </row>
    <row r="378" ht="15" spans="1:10">
      <c r="A378" s="276">
        <f t="shared" si="21"/>
        <v>230101</v>
      </c>
      <c r="B378" s="277">
        <v>1</v>
      </c>
      <c r="C378" s="278">
        <v>2</v>
      </c>
      <c r="D378" s="106">
        <v>3</v>
      </c>
      <c r="E378" s="106">
        <f t="shared" ref="E378:E387" si="22">C378*1000+D378*100+1</f>
        <v>2301</v>
      </c>
      <c r="F378" s="46">
        <f ca="1">OFFSET(card!$A$1,MATCH(G378,card!B:B,0)-1,0)</f>
        <v>2003001</v>
      </c>
      <c r="G378" s="91" t="s">
        <v>379</v>
      </c>
      <c r="I378" s="91">
        <f ca="1">OFFSET(card!$J$1,MATCH(G378,card!B:B,0)-1,0)</f>
        <v>1</v>
      </c>
      <c r="J378" s="91">
        <f ca="1">OFFSET(card!$K$1,MATCH(G378,card!B:B,0)-1,0)</f>
        <v>2</v>
      </c>
    </row>
    <row r="379" ht="15" spans="1:10">
      <c r="A379" s="276">
        <f t="shared" si="21"/>
        <v>230102</v>
      </c>
      <c r="B379" s="277">
        <v>2</v>
      </c>
      <c r="C379" s="278">
        <v>2</v>
      </c>
      <c r="D379" s="106">
        <v>3</v>
      </c>
      <c r="E379" s="106">
        <f t="shared" si="22"/>
        <v>2301</v>
      </c>
      <c r="F379" s="46">
        <f ca="1">OFFSET(card!$A$1,MATCH(G379,card!B:B,0)-1,0)</f>
        <v>2011001</v>
      </c>
      <c r="G379" s="91" t="s">
        <v>760</v>
      </c>
      <c r="I379" s="91">
        <f ca="1">OFFSET(card!$J$1,MATCH(G379,card!B:B,0)-1,0)</f>
        <v>2</v>
      </c>
      <c r="J379" s="91">
        <f ca="1">OFFSET(card!$K$1,MATCH(G379,card!B:B,0)-1,0)</f>
        <v>1</v>
      </c>
    </row>
    <row r="380" ht="15" spans="1:10">
      <c r="A380" s="276">
        <f t="shared" si="21"/>
        <v>230103</v>
      </c>
      <c r="B380" s="277">
        <v>3</v>
      </c>
      <c r="C380" s="278">
        <v>2</v>
      </c>
      <c r="D380" s="106">
        <v>3</v>
      </c>
      <c r="E380" s="106">
        <f t="shared" si="22"/>
        <v>2301</v>
      </c>
      <c r="F380" s="46">
        <f ca="1">OFFSET(card!$A$1,MATCH(G380,card!B:B,0)-1,0)</f>
        <v>2014001</v>
      </c>
      <c r="G380" s="91" t="s">
        <v>357</v>
      </c>
      <c r="I380" s="91">
        <f ca="1">OFFSET(card!$J$1,MATCH(G380,card!B:B,0)-1,0)</f>
        <v>2</v>
      </c>
      <c r="J380" s="91">
        <f ca="1">OFFSET(card!$K$1,MATCH(G380,card!B:B,0)-1,0)</f>
        <v>3</v>
      </c>
    </row>
    <row r="381" ht="15" spans="1:10">
      <c r="A381" s="276">
        <f t="shared" si="21"/>
        <v>230104</v>
      </c>
      <c r="B381" s="277">
        <v>4</v>
      </c>
      <c r="C381" s="278">
        <v>2</v>
      </c>
      <c r="D381" s="106">
        <v>3</v>
      </c>
      <c r="E381" s="106">
        <f t="shared" si="22"/>
        <v>2301</v>
      </c>
      <c r="F381" s="46">
        <f ca="1">OFFSET(card!$A$1,MATCH(G381,card!B:B,0)-1,0)</f>
        <v>2019001</v>
      </c>
      <c r="G381" s="91" t="s">
        <v>409</v>
      </c>
      <c r="I381" s="91">
        <f ca="1">OFFSET(card!$J$1,MATCH(G381,card!B:B,0)-1,0)</f>
        <v>3</v>
      </c>
      <c r="J381" s="91">
        <f ca="1">OFFSET(card!$K$1,MATCH(G381,card!B:B,0)-1,0)</f>
        <v>3</v>
      </c>
    </row>
    <row r="382" ht="15" spans="1:10">
      <c r="A382" s="276">
        <f t="shared" si="21"/>
        <v>230105</v>
      </c>
      <c r="B382" s="277">
        <v>5</v>
      </c>
      <c r="C382" s="278">
        <v>2</v>
      </c>
      <c r="D382" s="106">
        <v>3</v>
      </c>
      <c r="E382" s="106">
        <f t="shared" si="22"/>
        <v>2301</v>
      </c>
      <c r="F382" s="46">
        <f ca="1">OFFSET(card!$A$1,MATCH(G382,card!B:B,0)-1,0)</f>
        <v>2003001</v>
      </c>
      <c r="G382" s="91" t="s">
        <v>379</v>
      </c>
      <c r="I382" s="91">
        <f ca="1">OFFSET(card!$J$1,MATCH(G382,card!B:B,0)-1,0)</f>
        <v>1</v>
      </c>
      <c r="J382" s="91">
        <f ca="1">OFFSET(card!$K$1,MATCH(G382,card!B:B,0)-1,0)</f>
        <v>2</v>
      </c>
    </row>
    <row r="383" ht="15" spans="1:10">
      <c r="A383" s="276">
        <f t="shared" si="21"/>
        <v>230106</v>
      </c>
      <c r="B383" s="277">
        <v>6</v>
      </c>
      <c r="C383" s="278">
        <v>2</v>
      </c>
      <c r="D383" s="106">
        <v>3</v>
      </c>
      <c r="E383" s="106">
        <f t="shared" si="22"/>
        <v>2301</v>
      </c>
      <c r="F383" s="46">
        <f ca="1">OFFSET(card!$A$1,MATCH(G383,card!B:B,0)-1,0)</f>
        <v>2011001</v>
      </c>
      <c r="G383" s="91" t="s">
        <v>760</v>
      </c>
      <c r="I383" s="91">
        <f ca="1">OFFSET(card!$J$1,MATCH(G383,card!B:B,0)-1,0)</f>
        <v>2</v>
      </c>
      <c r="J383" s="91">
        <f ca="1">OFFSET(card!$K$1,MATCH(G383,card!B:B,0)-1,0)</f>
        <v>1</v>
      </c>
    </row>
    <row r="384" ht="15" spans="1:10">
      <c r="A384" s="276">
        <f t="shared" si="21"/>
        <v>230107</v>
      </c>
      <c r="B384" s="277">
        <v>7</v>
      </c>
      <c r="C384" s="278">
        <v>2</v>
      </c>
      <c r="D384" s="106">
        <v>3</v>
      </c>
      <c r="E384" s="106">
        <f t="shared" si="22"/>
        <v>2301</v>
      </c>
      <c r="F384" s="46">
        <f ca="1">OFFSET(card!$A$1,MATCH(G384,card!B:B,0)-1,0)</f>
        <v>2014001</v>
      </c>
      <c r="G384" s="91" t="s">
        <v>357</v>
      </c>
      <c r="I384" s="91">
        <f ca="1">OFFSET(card!$J$1,MATCH(G384,card!B:B,0)-1,0)</f>
        <v>2</v>
      </c>
      <c r="J384" s="91">
        <f ca="1">OFFSET(card!$K$1,MATCH(G384,card!B:B,0)-1,0)</f>
        <v>3</v>
      </c>
    </row>
    <row r="385" ht="15" spans="1:10">
      <c r="A385" s="276">
        <f t="shared" si="21"/>
        <v>230108</v>
      </c>
      <c r="B385" s="277">
        <v>8</v>
      </c>
      <c r="C385" s="278">
        <v>2</v>
      </c>
      <c r="D385" s="106">
        <v>3</v>
      </c>
      <c r="E385" s="106">
        <f t="shared" si="22"/>
        <v>2301</v>
      </c>
      <c r="F385" s="46">
        <f ca="1">OFFSET(card!$A$1,MATCH(G385,card!B:B,0)-1,0)</f>
        <v>2019001</v>
      </c>
      <c r="G385" s="91" t="s">
        <v>409</v>
      </c>
      <c r="I385" s="91">
        <f ca="1">OFFSET(card!$J$1,MATCH(G385,card!B:B,0)-1,0)</f>
        <v>3</v>
      </c>
      <c r="J385" s="91">
        <f ca="1">OFFSET(card!$K$1,MATCH(G385,card!B:B,0)-1,0)</f>
        <v>3</v>
      </c>
    </row>
    <row r="386" ht="15" spans="1:10">
      <c r="A386" s="276">
        <f t="shared" si="21"/>
        <v>230109</v>
      </c>
      <c r="B386" s="277">
        <v>9</v>
      </c>
      <c r="C386" s="278">
        <v>2</v>
      </c>
      <c r="D386" s="106">
        <v>3</v>
      </c>
      <c r="E386" s="106">
        <f t="shared" si="22"/>
        <v>2301</v>
      </c>
      <c r="F386" s="46">
        <f ca="1">OFFSET(card!$A$1,MATCH(G386,card!B:B,0)-1,0)</f>
        <v>2003001</v>
      </c>
      <c r="G386" s="91" t="s">
        <v>379</v>
      </c>
      <c r="I386" s="91">
        <f ca="1">OFFSET(card!$J$1,MATCH(G386,card!B:B,0)-1,0)</f>
        <v>1</v>
      </c>
      <c r="J386" s="91">
        <f ca="1">OFFSET(card!$K$1,MATCH(G386,card!B:B,0)-1,0)</f>
        <v>2</v>
      </c>
    </row>
    <row r="387" ht="15" spans="1:10">
      <c r="A387" s="276">
        <f t="shared" si="21"/>
        <v>230110</v>
      </c>
      <c r="B387" s="277">
        <v>10</v>
      </c>
      <c r="C387" s="278">
        <v>2</v>
      </c>
      <c r="D387" s="106">
        <v>3</v>
      </c>
      <c r="E387" s="106">
        <f t="shared" si="22"/>
        <v>2301</v>
      </c>
      <c r="F387" s="46">
        <f ca="1">OFFSET(card!$A$1,MATCH(G387,card!B:B,0)-1,0)</f>
        <v>2011001</v>
      </c>
      <c r="G387" s="91" t="s">
        <v>760</v>
      </c>
      <c r="I387" s="91">
        <f ca="1">OFFSET(card!$J$1,MATCH(G387,card!B:B,0)-1,0)</f>
        <v>2</v>
      </c>
      <c r="J387" s="91">
        <f ca="1">OFFSET(card!$K$1,MATCH(G387,card!B:B,0)-1,0)</f>
        <v>1</v>
      </c>
    </row>
    <row r="388" ht="15" spans="1:10">
      <c r="A388" s="276">
        <f t="shared" si="21"/>
        <v>230201</v>
      </c>
      <c r="B388" s="277">
        <v>1</v>
      </c>
      <c r="C388" s="278">
        <v>2</v>
      </c>
      <c r="D388" s="106">
        <v>3</v>
      </c>
      <c r="E388" s="106">
        <f t="shared" ref="E388:E397" si="23">E378+1</f>
        <v>2302</v>
      </c>
      <c r="F388" s="46">
        <f ca="1">OFFSET(card!$A$1,MATCH(G388,card!B:B,0)-1,0)</f>
        <v>2011001</v>
      </c>
      <c r="G388" s="91" t="s">
        <v>760</v>
      </c>
      <c r="I388" s="91">
        <f ca="1">OFFSET(card!$J$1,MATCH(G388,card!B:B,0)-1,0)</f>
        <v>2</v>
      </c>
      <c r="J388" s="91">
        <f ca="1">OFFSET(card!$K$1,MATCH(G388,card!B:B,0)-1,0)</f>
        <v>1</v>
      </c>
    </row>
    <row r="389" ht="15" spans="1:10">
      <c r="A389" s="276">
        <f t="shared" si="21"/>
        <v>230202</v>
      </c>
      <c r="B389" s="277">
        <v>2</v>
      </c>
      <c r="C389" s="278">
        <v>2</v>
      </c>
      <c r="D389" s="106">
        <v>3</v>
      </c>
      <c r="E389" s="106">
        <f t="shared" si="23"/>
        <v>2302</v>
      </c>
      <c r="F389" s="46">
        <f ca="1">OFFSET(card!$A$1,MATCH(G389,card!B:B,0)-1,0)</f>
        <v>2012001</v>
      </c>
      <c r="G389" s="91" t="s">
        <v>486</v>
      </c>
      <c r="I389" s="91">
        <f ca="1">OFFSET(card!$J$1,MATCH(G389,card!B:B,0)-1,0)</f>
        <v>2</v>
      </c>
      <c r="J389" s="91">
        <f ca="1">OFFSET(card!$K$1,MATCH(G389,card!B:B,0)-1,0)</f>
        <v>2</v>
      </c>
    </row>
    <row r="390" ht="15" spans="1:10">
      <c r="A390" s="276">
        <f t="shared" si="21"/>
        <v>230203</v>
      </c>
      <c r="B390" s="277">
        <v>3</v>
      </c>
      <c r="C390" s="278">
        <v>2</v>
      </c>
      <c r="D390" s="106">
        <v>3</v>
      </c>
      <c r="E390" s="106">
        <f t="shared" si="23"/>
        <v>2302</v>
      </c>
      <c r="F390" s="46">
        <f ca="1">OFFSET(card!$A$1,MATCH(G390,card!B:B,0)-1,0)</f>
        <v>2019001</v>
      </c>
      <c r="G390" s="91" t="s">
        <v>409</v>
      </c>
      <c r="I390" s="91">
        <f ca="1">OFFSET(card!$J$1,MATCH(G390,card!B:B,0)-1,0)</f>
        <v>3</v>
      </c>
      <c r="J390" s="91">
        <f ca="1">OFFSET(card!$K$1,MATCH(G390,card!B:B,0)-1,0)</f>
        <v>3</v>
      </c>
    </row>
    <row r="391" ht="15" spans="1:10">
      <c r="A391" s="276">
        <f t="shared" si="21"/>
        <v>230204</v>
      </c>
      <c r="B391" s="277">
        <v>4</v>
      </c>
      <c r="C391" s="278">
        <v>2</v>
      </c>
      <c r="D391" s="106">
        <v>3</v>
      </c>
      <c r="E391" s="106">
        <f t="shared" si="23"/>
        <v>2302</v>
      </c>
      <c r="F391" s="46">
        <f ca="1">OFFSET(card!$A$1,MATCH(G391,card!B:B,0)-1,0)</f>
        <v>2020001</v>
      </c>
      <c r="G391" s="91" t="s">
        <v>796</v>
      </c>
      <c r="I391" s="91">
        <f ca="1">OFFSET(card!$J$1,MATCH(G391,card!B:B,0)-1,0)</f>
        <v>3</v>
      </c>
      <c r="J391" s="91">
        <f ca="1">OFFSET(card!$K$1,MATCH(G391,card!B:B,0)-1,0)</f>
        <v>4</v>
      </c>
    </row>
    <row r="392" ht="15" spans="1:10">
      <c r="A392" s="276">
        <f t="shared" si="21"/>
        <v>230205</v>
      </c>
      <c r="B392" s="277">
        <v>5</v>
      </c>
      <c r="C392" s="278">
        <v>2</v>
      </c>
      <c r="D392" s="106">
        <v>3</v>
      </c>
      <c r="E392" s="106">
        <f t="shared" si="23"/>
        <v>2302</v>
      </c>
      <c r="F392" s="46">
        <f ca="1">OFFSET(card!$A$1,MATCH(G392,card!B:B,0)-1,0)</f>
        <v>2011001</v>
      </c>
      <c r="G392" s="91" t="s">
        <v>760</v>
      </c>
      <c r="I392" s="91">
        <f ca="1">OFFSET(card!$J$1,MATCH(G392,card!B:B,0)-1,0)</f>
        <v>2</v>
      </c>
      <c r="J392" s="91">
        <f ca="1">OFFSET(card!$K$1,MATCH(G392,card!B:B,0)-1,0)</f>
        <v>1</v>
      </c>
    </row>
    <row r="393" ht="15" spans="1:10">
      <c r="A393" s="276">
        <f t="shared" si="21"/>
        <v>230206</v>
      </c>
      <c r="B393" s="277">
        <v>6</v>
      </c>
      <c r="C393" s="278">
        <v>2</v>
      </c>
      <c r="D393" s="106">
        <v>3</v>
      </c>
      <c r="E393" s="106">
        <f t="shared" si="23"/>
        <v>2302</v>
      </c>
      <c r="F393" s="46">
        <f ca="1">OFFSET(card!$A$1,MATCH(G393,card!B:B,0)-1,0)</f>
        <v>2012001</v>
      </c>
      <c r="G393" s="91" t="s">
        <v>486</v>
      </c>
      <c r="I393" s="91">
        <f ca="1">OFFSET(card!$J$1,MATCH(G393,card!B:B,0)-1,0)</f>
        <v>2</v>
      </c>
      <c r="J393" s="91">
        <f ca="1">OFFSET(card!$K$1,MATCH(G393,card!B:B,0)-1,0)</f>
        <v>2</v>
      </c>
    </row>
    <row r="394" ht="15" spans="1:10">
      <c r="A394" s="276">
        <f t="shared" si="21"/>
        <v>230207</v>
      </c>
      <c r="B394" s="277">
        <v>7</v>
      </c>
      <c r="C394" s="278">
        <v>2</v>
      </c>
      <c r="D394" s="106">
        <v>3</v>
      </c>
      <c r="E394" s="106">
        <f t="shared" si="23"/>
        <v>2302</v>
      </c>
      <c r="F394" s="46">
        <f ca="1">OFFSET(card!$A$1,MATCH(G394,card!B:B,0)-1,0)</f>
        <v>2019001</v>
      </c>
      <c r="G394" s="91" t="s">
        <v>409</v>
      </c>
      <c r="I394" s="91">
        <f ca="1">OFFSET(card!$J$1,MATCH(G394,card!B:B,0)-1,0)</f>
        <v>3</v>
      </c>
      <c r="J394" s="91">
        <f ca="1">OFFSET(card!$K$1,MATCH(G394,card!B:B,0)-1,0)</f>
        <v>3</v>
      </c>
    </row>
    <row r="395" ht="15" spans="1:10">
      <c r="A395" s="276">
        <f t="shared" si="21"/>
        <v>230208</v>
      </c>
      <c r="B395" s="277">
        <v>8</v>
      </c>
      <c r="C395" s="278">
        <v>2</v>
      </c>
      <c r="D395" s="106">
        <v>3</v>
      </c>
      <c r="E395" s="106">
        <f t="shared" si="23"/>
        <v>2302</v>
      </c>
      <c r="F395" s="46">
        <f ca="1">OFFSET(card!$A$1,MATCH(G395,card!B:B,0)-1,0)</f>
        <v>2020001</v>
      </c>
      <c r="G395" s="91" t="s">
        <v>796</v>
      </c>
      <c r="I395" s="91">
        <f ca="1">OFFSET(card!$J$1,MATCH(G395,card!B:B,0)-1,0)</f>
        <v>3</v>
      </c>
      <c r="J395" s="91">
        <f ca="1">OFFSET(card!$K$1,MATCH(G395,card!B:B,0)-1,0)</f>
        <v>4</v>
      </c>
    </row>
    <row r="396" ht="15" spans="1:10">
      <c r="A396" s="276">
        <f t="shared" si="21"/>
        <v>230209</v>
      </c>
      <c r="B396" s="277">
        <v>9</v>
      </c>
      <c r="C396" s="278">
        <v>2</v>
      </c>
      <c r="D396" s="106">
        <v>3</v>
      </c>
      <c r="E396" s="106">
        <f t="shared" si="23"/>
        <v>2302</v>
      </c>
      <c r="F396" s="46">
        <f ca="1">OFFSET(card!$A$1,MATCH(G396,card!B:B,0)-1,0)</f>
        <v>2011001</v>
      </c>
      <c r="G396" s="91" t="s">
        <v>760</v>
      </c>
      <c r="I396" s="91">
        <f ca="1">OFFSET(card!$J$1,MATCH(G396,card!B:B,0)-1,0)</f>
        <v>2</v>
      </c>
      <c r="J396" s="91">
        <f ca="1">OFFSET(card!$K$1,MATCH(G396,card!B:B,0)-1,0)</f>
        <v>1</v>
      </c>
    </row>
    <row r="397" ht="15" spans="1:10">
      <c r="A397" s="276">
        <f t="shared" si="21"/>
        <v>230210</v>
      </c>
      <c r="B397" s="277">
        <v>10</v>
      </c>
      <c r="C397" s="278">
        <v>2</v>
      </c>
      <c r="D397" s="106">
        <v>3</v>
      </c>
      <c r="E397" s="106">
        <f t="shared" si="23"/>
        <v>2302</v>
      </c>
      <c r="F397" s="46">
        <f ca="1">OFFSET(card!$A$1,MATCH(G397,card!B:B,0)-1,0)</f>
        <v>2012001</v>
      </c>
      <c r="G397" s="91" t="s">
        <v>486</v>
      </c>
      <c r="I397" s="91">
        <f ca="1">OFFSET(card!$J$1,MATCH(G397,card!B:B,0)-1,0)</f>
        <v>2</v>
      </c>
      <c r="J397" s="91">
        <f ca="1">OFFSET(card!$K$1,MATCH(G397,card!B:B,0)-1,0)</f>
        <v>2</v>
      </c>
    </row>
    <row r="398" ht="15" spans="1:10">
      <c r="A398" s="276">
        <f t="shared" si="21"/>
        <v>310101</v>
      </c>
      <c r="B398" s="277">
        <v>1</v>
      </c>
      <c r="C398" s="278">
        <v>3</v>
      </c>
      <c r="D398" s="106">
        <v>1</v>
      </c>
      <c r="E398" s="106">
        <f t="shared" ref="E398:E407" si="24">C398*1000+D398*100+1</f>
        <v>3101</v>
      </c>
      <c r="F398" s="46">
        <f ca="1">OFFSET(card!$A$1,MATCH(G398,card!B:B,0)-1,0)</f>
        <v>3001001</v>
      </c>
      <c r="G398" s="270" t="s">
        <v>490</v>
      </c>
      <c r="I398" s="91">
        <f ca="1">OFFSET(card!$J$1,MATCH(G398,card!B:B,0)-1,0)</f>
        <v>1</v>
      </c>
      <c r="J398" s="91">
        <f ca="1">OFFSET(card!$K$1,MATCH(G398,card!B:B,0)-1,0)</f>
        <v>1</v>
      </c>
    </row>
    <row r="399" ht="15" spans="1:10">
      <c r="A399" s="276">
        <f t="shared" si="21"/>
        <v>310102</v>
      </c>
      <c r="B399" s="277">
        <v>2</v>
      </c>
      <c r="C399" s="278">
        <v>3</v>
      </c>
      <c r="D399" s="106">
        <v>1</v>
      </c>
      <c r="E399" s="106">
        <f t="shared" si="24"/>
        <v>3101</v>
      </c>
      <c r="F399" s="46">
        <f ca="1">OFFSET(card!$A$1,MATCH(G399,card!B:B,0)-1,0)</f>
        <v>3002001</v>
      </c>
      <c r="G399" s="91" t="s">
        <v>494</v>
      </c>
      <c r="I399" s="91">
        <f ca="1">OFFSET(card!$J$1,MATCH(G399,card!B:B,0)-1,0)</f>
        <v>1</v>
      </c>
      <c r="J399" s="91">
        <f ca="1">OFFSET(card!$K$1,MATCH(G399,card!B:B,0)-1,0)</f>
        <v>1</v>
      </c>
    </row>
    <row r="400" ht="15" spans="1:10">
      <c r="A400" s="276">
        <f t="shared" si="21"/>
        <v>310103</v>
      </c>
      <c r="B400" s="277">
        <v>3</v>
      </c>
      <c r="C400" s="278">
        <v>3</v>
      </c>
      <c r="D400" s="106">
        <v>1</v>
      </c>
      <c r="E400" s="106">
        <f t="shared" si="24"/>
        <v>3101</v>
      </c>
      <c r="F400" s="46">
        <f ca="1">OFFSET(card!$A$1,MATCH(G400,card!B:B,0)-1,0)</f>
        <v>3008001</v>
      </c>
      <c r="G400" s="283" t="s">
        <v>298</v>
      </c>
      <c r="I400" s="91">
        <f ca="1">OFFSET(card!$J$1,MATCH(G400,card!B:B,0)-1,0)</f>
        <v>1</v>
      </c>
      <c r="J400" s="91">
        <f ca="1">OFFSET(card!$K$1,MATCH(G400,card!B:B,0)-1,0)</f>
        <v>2</v>
      </c>
    </row>
    <row r="401" ht="15" spans="1:13">
      <c r="A401" s="276">
        <f t="shared" si="21"/>
        <v>310104</v>
      </c>
      <c r="B401" s="277">
        <v>4</v>
      </c>
      <c r="C401" s="278">
        <v>3</v>
      </c>
      <c r="D401" s="106">
        <v>1</v>
      </c>
      <c r="E401" s="106">
        <f t="shared" si="24"/>
        <v>3101</v>
      </c>
      <c r="F401" s="46">
        <f ca="1">OFFSET(card!$A$1,MATCH(G401,card!B:B,0)-1,0)</f>
        <v>3004001</v>
      </c>
      <c r="G401" s="91" t="s">
        <v>851</v>
      </c>
      <c r="I401" s="91">
        <f ca="1">OFFSET(card!$J$1,MATCH(G401,card!B:B,0)-1,0)</f>
        <v>1</v>
      </c>
      <c r="J401" s="91">
        <f ca="1">OFFSET(card!$K$1,MATCH(G401,card!B:B,0)-1,0)</f>
        <v>1</v>
      </c>
      <c r="K401" s="270" t="s">
        <v>490</v>
      </c>
      <c r="L401" s="186">
        <v>1</v>
      </c>
      <c r="M401" s="157">
        <v>1</v>
      </c>
    </row>
    <row r="402" ht="15" spans="1:13">
      <c r="A402" s="276">
        <f t="shared" si="21"/>
        <v>310105</v>
      </c>
      <c r="B402" s="277">
        <v>5</v>
      </c>
      <c r="C402" s="278">
        <v>3</v>
      </c>
      <c r="D402" s="106">
        <v>1</v>
      </c>
      <c r="E402" s="106">
        <f t="shared" si="24"/>
        <v>3101</v>
      </c>
      <c r="F402" s="46">
        <f ca="1">OFFSET(card!$A$1,MATCH(G402,card!B:B,0)-1,0)</f>
        <v>3001001</v>
      </c>
      <c r="G402" s="270" t="s">
        <v>490</v>
      </c>
      <c r="I402" s="91">
        <f ca="1">OFFSET(card!$J$1,MATCH(G402,card!B:B,0)-1,0)</f>
        <v>1</v>
      </c>
      <c r="J402" s="91">
        <f ca="1">OFFSET(card!$K$1,MATCH(G402,card!B:B,0)-1,0)</f>
        <v>1</v>
      </c>
      <c r="K402" s="91" t="s">
        <v>494</v>
      </c>
      <c r="L402" s="186">
        <v>1</v>
      </c>
      <c r="M402" s="157">
        <v>1</v>
      </c>
    </row>
    <row r="403" ht="15" spans="1:13">
      <c r="A403" s="276">
        <f t="shared" si="21"/>
        <v>310106</v>
      </c>
      <c r="B403" s="277">
        <v>6</v>
      </c>
      <c r="C403" s="278">
        <v>3</v>
      </c>
      <c r="D403" s="106">
        <v>1</v>
      </c>
      <c r="E403" s="106">
        <f t="shared" si="24"/>
        <v>3101</v>
      </c>
      <c r="F403" s="46">
        <f ca="1">OFFSET(card!$A$1,MATCH(G403,card!B:B,0)-1,0)</f>
        <v>3002001</v>
      </c>
      <c r="G403" s="91" t="s">
        <v>494</v>
      </c>
      <c r="I403" s="91">
        <f ca="1">OFFSET(card!$J$1,MATCH(G403,card!B:B,0)-1,0)</f>
        <v>1</v>
      </c>
      <c r="J403" s="91">
        <f ca="1">OFFSET(card!$K$1,MATCH(G403,card!B:B,0)-1,0)</f>
        <v>1</v>
      </c>
      <c r="K403" s="283" t="s">
        <v>298</v>
      </c>
      <c r="L403" s="186">
        <v>1</v>
      </c>
      <c r="M403" s="157">
        <v>2</v>
      </c>
    </row>
    <row r="404" ht="15" spans="1:13">
      <c r="A404" s="276">
        <f t="shared" si="21"/>
        <v>310107</v>
      </c>
      <c r="B404" s="277">
        <v>7</v>
      </c>
      <c r="C404" s="278">
        <v>3</v>
      </c>
      <c r="D404" s="106">
        <v>1</v>
      </c>
      <c r="E404" s="106">
        <f t="shared" si="24"/>
        <v>3101</v>
      </c>
      <c r="F404" s="46">
        <f ca="1">OFFSET(card!$A$1,MATCH(G404,card!B:B,0)-1,0)</f>
        <v>3008001</v>
      </c>
      <c r="G404" s="283" t="s">
        <v>298</v>
      </c>
      <c r="I404" s="91">
        <f ca="1">OFFSET(card!$J$1,MATCH(G404,card!B:B,0)-1,0)</f>
        <v>1</v>
      </c>
      <c r="J404" s="91">
        <f ca="1">OFFSET(card!$K$1,MATCH(G404,card!B:B,0)-1,0)</f>
        <v>2</v>
      </c>
      <c r="K404" s="91" t="s">
        <v>851</v>
      </c>
      <c r="L404" s="186">
        <v>1</v>
      </c>
      <c r="M404" s="157">
        <v>2</v>
      </c>
    </row>
    <row r="405" ht="15" spans="1:13">
      <c r="A405" s="276">
        <f t="shared" si="21"/>
        <v>310108</v>
      </c>
      <c r="B405" s="277">
        <v>8</v>
      </c>
      <c r="C405" s="278">
        <v>3</v>
      </c>
      <c r="D405" s="106">
        <v>1</v>
      </c>
      <c r="E405" s="106">
        <f t="shared" si="24"/>
        <v>3101</v>
      </c>
      <c r="F405" s="46">
        <f ca="1">OFFSET(card!$A$1,MATCH(G405,card!B:B,0)-1,0)</f>
        <v>3004001</v>
      </c>
      <c r="G405" s="91" t="s">
        <v>851</v>
      </c>
      <c r="I405" s="91">
        <f ca="1">OFFSET(card!$J$1,MATCH(G405,card!B:B,0)-1,0)</f>
        <v>1</v>
      </c>
      <c r="J405" s="91">
        <f ca="1">OFFSET(card!$K$1,MATCH(G405,card!B:B,0)-1,0)</f>
        <v>1</v>
      </c>
      <c r="K405" s="91" t="s">
        <v>524</v>
      </c>
      <c r="L405" s="186">
        <v>1</v>
      </c>
      <c r="M405" s="157">
        <v>3</v>
      </c>
    </row>
    <row r="406" ht="15" spans="1:13">
      <c r="A406" s="276">
        <f t="shared" si="21"/>
        <v>310109</v>
      </c>
      <c r="B406" s="277">
        <v>9</v>
      </c>
      <c r="C406" s="278">
        <v>3</v>
      </c>
      <c r="D406" s="106">
        <v>1</v>
      </c>
      <c r="E406" s="106">
        <f t="shared" si="24"/>
        <v>3101</v>
      </c>
      <c r="F406" s="46">
        <f ca="1">OFFSET(card!$A$1,MATCH(G406,card!B:B,0)-1,0)</f>
        <v>3001001</v>
      </c>
      <c r="G406" s="270" t="s">
        <v>490</v>
      </c>
      <c r="I406" s="91">
        <f ca="1">OFFSET(card!$J$1,MATCH(G406,card!B:B,0)-1,0)</f>
        <v>1</v>
      </c>
      <c r="J406" s="91">
        <f ca="1">OFFSET(card!$K$1,MATCH(G406,card!B:B,0)-1,0)</f>
        <v>1</v>
      </c>
      <c r="K406" s="91" t="s">
        <v>502</v>
      </c>
      <c r="L406" s="186">
        <v>2</v>
      </c>
      <c r="M406" s="157">
        <v>4</v>
      </c>
    </row>
    <row r="407" ht="15" spans="1:13">
      <c r="A407" s="276">
        <f t="shared" si="21"/>
        <v>310110</v>
      </c>
      <c r="B407" s="277">
        <v>10</v>
      </c>
      <c r="C407" s="278">
        <v>3</v>
      </c>
      <c r="D407" s="106">
        <v>1</v>
      </c>
      <c r="E407" s="106">
        <f t="shared" si="24"/>
        <v>3101</v>
      </c>
      <c r="F407" s="46">
        <f ca="1">OFFSET(card!$A$1,MATCH(G407,card!B:B,0)-1,0)</f>
        <v>3002001</v>
      </c>
      <c r="G407" s="91" t="s">
        <v>494</v>
      </c>
      <c r="I407" s="91">
        <f ca="1">OFFSET(card!$J$1,MATCH(G407,card!B:B,0)-1,0)</f>
        <v>1</v>
      </c>
      <c r="J407" s="91">
        <f ca="1">OFFSET(card!$K$1,MATCH(G407,card!B:B,0)-1,0)</f>
        <v>1</v>
      </c>
      <c r="K407" s="91" t="s">
        <v>361</v>
      </c>
      <c r="L407" s="186">
        <v>2</v>
      </c>
      <c r="M407" s="157">
        <v>2</v>
      </c>
    </row>
    <row r="408" ht="15" spans="1:13">
      <c r="A408" s="276">
        <f t="shared" si="21"/>
        <v>310201</v>
      </c>
      <c r="B408" s="277">
        <v>1</v>
      </c>
      <c r="C408" s="278">
        <v>3</v>
      </c>
      <c r="D408" s="106">
        <v>1</v>
      </c>
      <c r="E408" s="106">
        <f t="shared" ref="E408:E471" si="25">E398+1</f>
        <v>3102</v>
      </c>
      <c r="F408" s="46">
        <f ca="1">OFFSET(card!$A$1,MATCH(G408,card!B:B,0)-1,0)</f>
        <v>3001001</v>
      </c>
      <c r="G408" s="270" t="s">
        <v>490</v>
      </c>
      <c r="I408" s="91">
        <f ca="1">OFFSET(card!$J$1,MATCH(G408,card!B:B,0)-1,0)</f>
        <v>1</v>
      </c>
      <c r="J408" s="91">
        <f ca="1">OFFSET(card!$K$1,MATCH(G408,card!B:B,0)-1,0)</f>
        <v>1</v>
      </c>
      <c r="K408" s="91" t="s">
        <v>880</v>
      </c>
      <c r="L408" s="186">
        <v>2</v>
      </c>
      <c r="M408" s="157">
        <v>3</v>
      </c>
    </row>
    <row r="409" ht="15" spans="1:13">
      <c r="A409" s="276">
        <f t="shared" si="21"/>
        <v>310202</v>
      </c>
      <c r="B409" s="277">
        <v>2</v>
      </c>
      <c r="C409" s="278">
        <v>3</v>
      </c>
      <c r="D409" s="106">
        <v>1</v>
      </c>
      <c r="E409" s="106">
        <f t="shared" si="25"/>
        <v>3102</v>
      </c>
      <c r="F409" s="46">
        <f ca="1">OFFSET(card!$A$1,MATCH(G409,card!B:B,0)-1,0)</f>
        <v>3002001</v>
      </c>
      <c r="G409" s="91" t="s">
        <v>494</v>
      </c>
      <c r="I409" s="91">
        <f ca="1">OFFSET(card!$J$1,MATCH(G409,card!B:B,0)-1,0)</f>
        <v>1</v>
      </c>
      <c r="J409" s="91">
        <f ca="1">OFFSET(card!$K$1,MATCH(G409,card!B:B,0)-1,0)</f>
        <v>1</v>
      </c>
      <c r="K409" s="91" t="s">
        <v>359</v>
      </c>
      <c r="L409" s="186">
        <v>2</v>
      </c>
      <c r="M409" s="157">
        <v>3</v>
      </c>
    </row>
    <row r="410" ht="15" spans="1:13">
      <c r="A410" s="276">
        <f t="shared" ref="A410:A473" si="26">E410*100+B410</f>
        <v>310203</v>
      </c>
      <c r="B410" s="277">
        <v>3</v>
      </c>
      <c r="C410" s="278">
        <v>3</v>
      </c>
      <c r="D410" s="106">
        <v>1</v>
      </c>
      <c r="E410" s="106">
        <f t="shared" si="25"/>
        <v>3102</v>
      </c>
      <c r="F410" s="46">
        <f ca="1">OFFSET(card!$A$1,MATCH(G410,card!B:B,0)-1,0)</f>
        <v>3008001</v>
      </c>
      <c r="G410" s="283" t="s">
        <v>298</v>
      </c>
      <c r="I410" s="91">
        <f ca="1">OFFSET(card!$J$1,MATCH(G410,card!B:B,0)-1,0)</f>
        <v>1</v>
      </c>
      <c r="J410" s="91">
        <f ca="1">OFFSET(card!$K$1,MATCH(G410,card!B:B,0)-1,0)</f>
        <v>2</v>
      </c>
      <c r="K410" s="91" t="s">
        <v>476</v>
      </c>
      <c r="L410" s="270">
        <v>2</v>
      </c>
      <c r="M410" s="157">
        <v>1</v>
      </c>
    </row>
    <row r="411" ht="15" spans="1:13">
      <c r="A411" s="276">
        <f t="shared" si="26"/>
        <v>310204</v>
      </c>
      <c r="B411" s="277">
        <v>4</v>
      </c>
      <c r="C411" s="278">
        <v>3</v>
      </c>
      <c r="D411" s="106">
        <v>1</v>
      </c>
      <c r="E411" s="106">
        <f t="shared" si="25"/>
        <v>3102</v>
      </c>
      <c r="F411" s="46">
        <f ca="1">OFFSET(card!$A$1,MATCH(G411,card!B:B,0)-1,0)</f>
        <v>3003001</v>
      </c>
      <c r="G411" s="91" t="s">
        <v>524</v>
      </c>
      <c r="I411" s="91">
        <f ca="1">OFFSET(card!$J$1,MATCH(G411,card!B:B,0)-1,0)</f>
        <v>1</v>
      </c>
      <c r="J411" s="91">
        <f ca="1">OFFSET(card!$K$1,MATCH(G411,card!B:B,0)-1,0)</f>
        <v>2</v>
      </c>
      <c r="K411" s="270" t="s">
        <v>506</v>
      </c>
      <c r="L411" s="186">
        <v>2</v>
      </c>
      <c r="M411" s="157">
        <v>3</v>
      </c>
    </row>
    <row r="412" ht="15" spans="1:13">
      <c r="A412" s="276">
        <f t="shared" si="26"/>
        <v>310205</v>
      </c>
      <c r="B412" s="277">
        <v>5</v>
      </c>
      <c r="C412" s="278">
        <v>3</v>
      </c>
      <c r="D412" s="106">
        <v>1</v>
      </c>
      <c r="E412" s="106">
        <f t="shared" si="25"/>
        <v>3102</v>
      </c>
      <c r="F412" s="46">
        <f ca="1">OFFSET(card!$A$1,MATCH(G412,card!B:B,0)-1,0)</f>
        <v>3001001</v>
      </c>
      <c r="G412" s="270" t="s">
        <v>490</v>
      </c>
      <c r="I412" s="91">
        <f ca="1">OFFSET(card!$J$1,MATCH(G412,card!B:B,0)-1,0)</f>
        <v>1</v>
      </c>
      <c r="J412" s="91">
        <f ca="1">OFFSET(card!$K$1,MATCH(G412,card!B:B,0)-1,0)</f>
        <v>1</v>
      </c>
      <c r="K412" s="91" t="s">
        <v>451</v>
      </c>
      <c r="L412" s="270">
        <v>2</v>
      </c>
      <c r="M412" s="157">
        <v>5</v>
      </c>
    </row>
    <row r="413" ht="15" spans="1:13">
      <c r="A413" s="276">
        <f t="shared" si="26"/>
        <v>310206</v>
      </c>
      <c r="B413" s="277">
        <v>6</v>
      </c>
      <c r="C413" s="278">
        <v>3</v>
      </c>
      <c r="D413" s="106">
        <v>1</v>
      </c>
      <c r="E413" s="106">
        <f t="shared" si="25"/>
        <v>3102</v>
      </c>
      <c r="F413" s="46">
        <f ca="1">OFFSET(card!$A$1,MATCH(G413,card!B:B,0)-1,0)</f>
        <v>3002001</v>
      </c>
      <c r="G413" s="91" t="s">
        <v>494</v>
      </c>
      <c r="I413" s="91">
        <f ca="1">OFFSET(card!$J$1,MATCH(G413,card!B:B,0)-1,0)</f>
        <v>1</v>
      </c>
      <c r="J413" s="91">
        <f ca="1">OFFSET(card!$K$1,MATCH(G413,card!B:B,0)-1,0)</f>
        <v>1</v>
      </c>
      <c r="K413" s="91" t="s">
        <v>488</v>
      </c>
      <c r="L413" s="270">
        <v>3</v>
      </c>
      <c r="M413" s="157">
        <v>2</v>
      </c>
    </row>
    <row r="414" ht="15" spans="1:13">
      <c r="A414" s="276">
        <f t="shared" si="26"/>
        <v>310207</v>
      </c>
      <c r="B414" s="277">
        <v>7</v>
      </c>
      <c r="C414" s="278">
        <v>3</v>
      </c>
      <c r="D414" s="106">
        <v>1</v>
      </c>
      <c r="E414" s="106">
        <f t="shared" si="25"/>
        <v>3102</v>
      </c>
      <c r="F414" s="46">
        <f ca="1">OFFSET(card!$A$1,MATCH(G414,card!B:B,0)-1,0)</f>
        <v>3008001</v>
      </c>
      <c r="G414" s="283" t="s">
        <v>298</v>
      </c>
      <c r="I414" s="91">
        <f ca="1">OFFSET(card!$J$1,MATCH(G414,card!B:B,0)-1,0)</f>
        <v>1</v>
      </c>
      <c r="J414" s="91">
        <f ca="1">OFFSET(card!$K$1,MATCH(G414,card!B:B,0)-1,0)</f>
        <v>2</v>
      </c>
      <c r="K414" s="91" t="s">
        <v>367</v>
      </c>
      <c r="L414" s="186">
        <v>3</v>
      </c>
      <c r="M414" s="157">
        <v>2</v>
      </c>
    </row>
    <row r="415" ht="15" spans="1:13">
      <c r="A415" s="276">
        <f t="shared" si="26"/>
        <v>310208</v>
      </c>
      <c r="B415" s="277">
        <v>8</v>
      </c>
      <c r="C415" s="278">
        <v>3</v>
      </c>
      <c r="D415" s="106">
        <v>1</v>
      </c>
      <c r="E415" s="106">
        <f t="shared" si="25"/>
        <v>3102</v>
      </c>
      <c r="F415" s="46">
        <f ca="1">OFFSET(card!$A$1,MATCH(G415,card!B:B,0)-1,0)</f>
        <v>3003001</v>
      </c>
      <c r="G415" s="91" t="s">
        <v>524</v>
      </c>
      <c r="I415" s="91">
        <f ca="1">OFFSET(card!$J$1,MATCH(G415,card!B:B,0)-1,0)</f>
        <v>1</v>
      </c>
      <c r="J415" s="91">
        <f ca="1">OFFSET(card!$K$1,MATCH(G415,card!B:B,0)-1,0)</f>
        <v>2</v>
      </c>
      <c r="K415" s="91" t="s">
        <v>435</v>
      </c>
      <c r="L415" s="270">
        <v>3</v>
      </c>
      <c r="M415" s="157">
        <v>3</v>
      </c>
    </row>
    <row r="416" ht="15" spans="1:13">
      <c r="A416" s="276">
        <f t="shared" si="26"/>
        <v>310209</v>
      </c>
      <c r="B416" s="277">
        <v>9</v>
      </c>
      <c r="C416" s="278">
        <v>3</v>
      </c>
      <c r="D416" s="106">
        <v>1</v>
      </c>
      <c r="E416" s="106">
        <f t="shared" si="25"/>
        <v>3102</v>
      </c>
      <c r="F416" s="46">
        <f ca="1">OFFSET(card!$A$1,MATCH(G416,card!B:B,0)-1,0)</f>
        <v>3001001</v>
      </c>
      <c r="G416" s="270" t="s">
        <v>490</v>
      </c>
      <c r="I416" s="91">
        <f ca="1">OFFSET(card!$J$1,MATCH(G416,card!B:B,0)-1,0)</f>
        <v>1</v>
      </c>
      <c r="J416" s="91">
        <f ca="1">OFFSET(card!$K$1,MATCH(G416,card!B:B,0)-1,0)</f>
        <v>1</v>
      </c>
      <c r="K416" s="91" t="s">
        <v>453</v>
      </c>
      <c r="L416" s="270">
        <v>3</v>
      </c>
      <c r="M416" s="157">
        <v>3</v>
      </c>
    </row>
    <row r="417" ht="15" spans="1:13">
      <c r="A417" s="276">
        <f t="shared" si="26"/>
        <v>310210</v>
      </c>
      <c r="B417" s="277">
        <v>10</v>
      </c>
      <c r="C417" s="278">
        <v>3</v>
      </c>
      <c r="D417" s="106">
        <v>1</v>
      </c>
      <c r="E417" s="106">
        <f t="shared" si="25"/>
        <v>3102</v>
      </c>
      <c r="F417" s="46">
        <f ca="1">OFFSET(card!$A$1,MATCH(G417,card!B:B,0)-1,0)</f>
        <v>3002001</v>
      </c>
      <c r="G417" s="91" t="s">
        <v>494</v>
      </c>
      <c r="I417" s="91">
        <f ca="1">OFFSET(card!$J$1,MATCH(G417,card!B:B,0)-1,0)</f>
        <v>1</v>
      </c>
      <c r="J417" s="91">
        <f ca="1">OFFSET(card!$K$1,MATCH(G417,card!B:B,0)-1,0)</f>
        <v>1</v>
      </c>
      <c r="K417" s="91" t="s">
        <v>419</v>
      </c>
      <c r="L417" s="270">
        <v>3</v>
      </c>
      <c r="M417" s="157">
        <v>2</v>
      </c>
    </row>
    <row r="418" ht="15" spans="1:13">
      <c r="A418" s="276">
        <f t="shared" si="26"/>
        <v>310301</v>
      </c>
      <c r="B418" s="277">
        <v>1</v>
      </c>
      <c r="C418" s="278">
        <v>3</v>
      </c>
      <c r="D418" s="106">
        <v>1</v>
      </c>
      <c r="E418" s="106">
        <f t="shared" si="25"/>
        <v>3103</v>
      </c>
      <c r="F418" s="46">
        <f ca="1">OFFSET(card!$A$1,MATCH(G418,card!B:B,0)-1,0)</f>
        <v>3001001</v>
      </c>
      <c r="G418" s="270" t="s">
        <v>490</v>
      </c>
      <c r="I418" s="91">
        <f ca="1">OFFSET(card!$J$1,MATCH(G418,card!B:B,0)-1,0)</f>
        <v>1</v>
      </c>
      <c r="J418" s="91">
        <f ca="1">OFFSET(card!$K$1,MATCH(G418,card!B:B,0)-1,0)</f>
        <v>1</v>
      </c>
      <c r="K418" s="91" t="s">
        <v>478</v>
      </c>
      <c r="L418" s="270">
        <v>4</v>
      </c>
      <c r="M418" s="157">
        <v>3</v>
      </c>
    </row>
    <row r="419" ht="15" spans="1:13">
      <c r="A419" s="276">
        <f t="shared" si="26"/>
        <v>310302</v>
      </c>
      <c r="B419" s="277">
        <v>2</v>
      </c>
      <c r="C419" s="278">
        <v>3</v>
      </c>
      <c r="D419" s="106">
        <v>1</v>
      </c>
      <c r="E419" s="106">
        <f t="shared" si="25"/>
        <v>3103</v>
      </c>
      <c r="F419" s="46">
        <f ca="1">OFFSET(card!$A$1,MATCH(G419,card!B:B,0)-1,0)</f>
        <v>3008001</v>
      </c>
      <c r="G419" s="283" t="s">
        <v>298</v>
      </c>
      <c r="I419" s="91">
        <f ca="1">OFFSET(card!$J$1,MATCH(G419,card!B:B,0)-1,0)</f>
        <v>1</v>
      </c>
      <c r="J419" s="91">
        <f ca="1">OFFSET(card!$K$1,MATCH(G419,card!B:B,0)-1,0)</f>
        <v>2</v>
      </c>
      <c r="K419" s="91" t="s">
        <v>904</v>
      </c>
      <c r="L419" s="270">
        <v>4</v>
      </c>
      <c r="M419" s="157">
        <v>3</v>
      </c>
    </row>
    <row r="420" ht="15" spans="1:13">
      <c r="A420" s="276">
        <f t="shared" si="26"/>
        <v>310303</v>
      </c>
      <c r="B420" s="277">
        <v>3</v>
      </c>
      <c r="C420" s="278">
        <v>3</v>
      </c>
      <c r="D420" s="106">
        <v>1</v>
      </c>
      <c r="E420" s="106">
        <f t="shared" si="25"/>
        <v>3103</v>
      </c>
      <c r="F420" s="46">
        <f ca="1">OFFSET(card!$A$1,MATCH(G420,card!B:B,0)-1,0)</f>
        <v>3004001</v>
      </c>
      <c r="G420" s="91" t="s">
        <v>851</v>
      </c>
      <c r="I420" s="91">
        <f ca="1">OFFSET(card!$J$1,MATCH(G420,card!B:B,0)-1,0)</f>
        <v>1</v>
      </c>
      <c r="J420" s="91">
        <f ca="1">OFFSET(card!$K$1,MATCH(G420,card!B:B,0)-1,0)</f>
        <v>1</v>
      </c>
      <c r="K420" s="91" t="s">
        <v>369</v>
      </c>
      <c r="L420" s="270">
        <v>4</v>
      </c>
      <c r="M420" s="157">
        <v>3</v>
      </c>
    </row>
    <row r="421" ht="15" spans="1:13">
      <c r="A421" s="276">
        <f t="shared" si="26"/>
        <v>310304</v>
      </c>
      <c r="B421" s="277">
        <v>4</v>
      </c>
      <c r="C421" s="278">
        <v>3</v>
      </c>
      <c r="D421" s="106">
        <v>1</v>
      </c>
      <c r="E421" s="106">
        <f t="shared" si="25"/>
        <v>3103</v>
      </c>
      <c r="F421" s="46">
        <f ca="1">OFFSET(card!$A$1,MATCH(G421,card!B:B,0)-1,0)</f>
        <v>3009001</v>
      </c>
      <c r="G421" s="91" t="s">
        <v>502</v>
      </c>
      <c r="I421" s="91">
        <f ca="1">OFFSET(card!$J$1,MATCH(G421,card!B:B,0)-1,0)</f>
        <v>1</v>
      </c>
      <c r="J421" s="91">
        <f ca="1">OFFSET(card!$K$1,MATCH(G421,card!B:B,0)-1,0)</f>
        <v>3</v>
      </c>
      <c r="K421" s="91" t="s">
        <v>909</v>
      </c>
      <c r="L421" s="270">
        <v>5</v>
      </c>
      <c r="M421" s="157">
        <v>2</v>
      </c>
    </row>
    <row r="422" ht="15" spans="1:13">
      <c r="A422" s="276">
        <f t="shared" si="26"/>
        <v>310305</v>
      </c>
      <c r="B422" s="277">
        <v>5</v>
      </c>
      <c r="C422" s="278">
        <v>3</v>
      </c>
      <c r="D422" s="106">
        <v>1</v>
      </c>
      <c r="E422" s="106">
        <f t="shared" si="25"/>
        <v>3103</v>
      </c>
      <c r="F422" s="46">
        <f ca="1">OFFSET(card!$A$1,MATCH(G422,card!B:B,0)-1,0)</f>
        <v>3001001</v>
      </c>
      <c r="G422" s="270" t="s">
        <v>490</v>
      </c>
      <c r="I422" s="91">
        <f ca="1">OFFSET(card!$J$1,MATCH(G422,card!B:B,0)-1,0)</f>
        <v>1</v>
      </c>
      <c r="J422" s="91">
        <f ca="1">OFFSET(card!$K$1,MATCH(G422,card!B:B,0)-1,0)</f>
        <v>1</v>
      </c>
      <c r="K422" s="91" t="s">
        <v>484</v>
      </c>
      <c r="L422" s="270">
        <v>5</v>
      </c>
      <c r="M422" s="157">
        <v>2</v>
      </c>
    </row>
    <row r="423" ht="15" spans="1:13">
      <c r="A423" s="276">
        <f t="shared" si="26"/>
        <v>310306</v>
      </c>
      <c r="B423" s="277">
        <v>6</v>
      </c>
      <c r="C423" s="278">
        <v>3</v>
      </c>
      <c r="D423" s="106">
        <v>1</v>
      </c>
      <c r="E423" s="106">
        <f t="shared" si="25"/>
        <v>3103</v>
      </c>
      <c r="F423" s="46">
        <f ca="1">OFFSET(card!$A$1,MATCH(G423,card!B:B,0)-1,0)</f>
        <v>3008001</v>
      </c>
      <c r="G423" s="283" t="s">
        <v>298</v>
      </c>
      <c r="I423" s="91">
        <f ca="1">OFFSET(card!$J$1,MATCH(G423,card!B:B,0)-1,0)</f>
        <v>1</v>
      </c>
      <c r="J423" s="91">
        <f ca="1">OFFSET(card!$K$1,MATCH(G423,card!B:B,0)-1,0)</f>
        <v>2</v>
      </c>
      <c r="K423" s="91" t="s">
        <v>1492</v>
      </c>
      <c r="L423" s="270">
        <v>5</v>
      </c>
      <c r="M423" s="157">
        <v>3</v>
      </c>
    </row>
    <row r="424" ht="15" spans="1:13">
      <c r="A424" s="276">
        <f t="shared" si="26"/>
        <v>310307</v>
      </c>
      <c r="B424" s="277">
        <v>7</v>
      </c>
      <c r="C424" s="278">
        <v>3</v>
      </c>
      <c r="D424" s="106">
        <v>1</v>
      </c>
      <c r="E424" s="106">
        <f t="shared" si="25"/>
        <v>3103</v>
      </c>
      <c r="F424" s="46">
        <f ca="1">OFFSET(card!$A$1,MATCH(G424,card!B:B,0)-1,0)</f>
        <v>3004001</v>
      </c>
      <c r="G424" s="91" t="s">
        <v>851</v>
      </c>
      <c r="I424" s="91">
        <f ca="1">OFFSET(card!$J$1,MATCH(G424,card!B:B,0)-1,0)</f>
        <v>1</v>
      </c>
      <c r="J424" s="91">
        <f ca="1">OFFSET(card!$K$1,MATCH(G424,card!B:B,0)-1,0)</f>
        <v>1</v>
      </c>
      <c r="K424" s="91" t="s">
        <v>405</v>
      </c>
      <c r="L424" s="270">
        <v>6</v>
      </c>
      <c r="M424" s="157">
        <v>3</v>
      </c>
    </row>
    <row r="425" ht="15" spans="1:13">
      <c r="A425" s="276">
        <f t="shared" si="26"/>
        <v>310308</v>
      </c>
      <c r="B425" s="277">
        <v>8</v>
      </c>
      <c r="C425" s="278">
        <v>3</v>
      </c>
      <c r="D425" s="106">
        <v>1</v>
      </c>
      <c r="E425" s="106">
        <f t="shared" si="25"/>
        <v>3103</v>
      </c>
      <c r="F425" s="46">
        <f ca="1">OFFSET(card!$A$1,MATCH(G425,card!B:B,0)-1,0)</f>
        <v>3009001</v>
      </c>
      <c r="G425" s="91" t="s">
        <v>502</v>
      </c>
      <c r="I425" s="91">
        <f ca="1">OFFSET(card!$J$1,MATCH(G425,card!B:B,0)-1,0)</f>
        <v>1</v>
      </c>
      <c r="J425" s="91">
        <f ca="1">OFFSET(card!$K$1,MATCH(G425,card!B:B,0)-1,0)</f>
        <v>3</v>
      </c>
      <c r="K425" s="91" t="s">
        <v>884</v>
      </c>
      <c r="L425" s="186">
        <v>6</v>
      </c>
      <c r="M425" s="157">
        <v>2</v>
      </c>
    </row>
    <row r="426" ht="15" spans="1:13">
      <c r="A426" s="276">
        <f t="shared" si="26"/>
        <v>310309</v>
      </c>
      <c r="B426" s="277">
        <v>9</v>
      </c>
      <c r="C426" s="278">
        <v>3</v>
      </c>
      <c r="D426" s="106">
        <v>1</v>
      </c>
      <c r="E426" s="106">
        <f t="shared" si="25"/>
        <v>3103</v>
      </c>
      <c r="F426" s="46">
        <f ca="1">OFFSET(card!$A$1,MATCH(G426,card!B:B,0)-1,0)</f>
        <v>3001001</v>
      </c>
      <c r="G426" s="270" t="s">
        <v>490</v>
      </c>
      <c r="I426" s="91">
        <f ca="1">OFFSET(card!$J$1,MATCH(G426,card!B:B,0)-1,0)</f>
        <v>1</v>
      </c>
      <c r="J426" s="91">
        <f ca="1">OFFSET(card!$K$1,MATCH(G426,card!B:B,0)-1,0)</f>
        <v>1</v>
      </c>
      <c r="K426" s="91" t="s">
        <v>954</v>
      </c>
      <c r="L426" s="270">
        <v>6</v>
      </c>
      <c r="M426" s="157">
        <v>3</v>
      </c>
    </row>
    <row r="427" ht="15" spans="1:13">
      <c r="A427" s="276">
        <f t="shared" si="26"/>
        <v>310310</v>
      </c>
      <c r="B427" s="277">
        <v>10</v>
      </c>
      <c r="C427" s="278">
        <v>3</v>
      </c>
      <c r="D427" s="106">
        <v>1</v>
      </c>
      <c r="E427" s="106">
        <f t="shared" si="25"/>
        <v>3103</v>
      </c>
      <c r="F427" s="46">
        <f ca="1">OFFSET(card!$A$1,MATCH(G427,card!B:B,0)-1,0)</f>
        <v>3008001</v>
      </c>
      <c r="G427" s="283" t="s">
        <v>298</v>
      </c>
      <c r="I427" s="91">
        <f ca="1">OFFSET(card!$J$1,MATCH(G427,card!B:B,0)-1,0)</f>
        <v>1</v>
      </c>
      <c r="J427" s="91">
        <f ca="1">OFFSET(card!$K$1,MATCH(G427,card!B:B,0)-1,0)</f>
        <v>2</v>
      </c>
      <c r="K427" s="91" t="s">
        <v>919</v>
      </c>
      <c r="L427" s="270">
        <v>6</v>
      </c>
      <c r="M427" s="157">
        <v>3</v>
      </c>
    </row>
    <row r="428" ht="15" spans="1:13">
      <c r="A428" s="276">
        <f t="shared" si="26"/>
        <v>310401</v>
      </c>
      <c r="B428" s="277">
        <v>1</v>
      </c>
      <c r="C428" s="278">
        <v>3</v>
      </c>
      <c r="D428" s="106">
        <v>1</v>
      </c>
      <c r="E428" s="106">
        <f t="shared" si="25"/>
        <v>3104</v>
      </c>
      <c r="F428" s="46">
        <f ca="1">OFFSET(card!$A$1,MATCH(G428,card!B:B,0)-1,0)</f>
        <v>3001001</v>
      </c>
      <c r="G428" s="270" t="s">
        <v>490</v>
      </c>
      <c r="I428" s="91">
        <f ca="1">OFFSET(card!$J$1,MATCH(G428,card!B:B,0)-1,0)</f>
        <v>1</v>
      </c>
      <c r="J428" s="91">
        <f ca="1">OFFSET(card!$K$1,MATCH(G428,card!B:B,0)-1,0)</f>
        <v>1</v>
      </c>
      <c r="K428" s="91" t="s">
        <v>860</v>
      </c>
      <c r="L428" s="270">
        <v>7</v>
      </c>
      <c r="M428" s="157">
        <v>3</v>
      </c>
    </row>
    <row r="429" ht="15" spans="1:13">
      <c r="A429" s="276">
        <f t="shared" si="26"/>
        <v>310402</v>
      </c>
      <c r="B429" s="277">
        <v>2</v>
      </c>
      <c r="C429" s="278">
        <v>3</v>
      </c>
      <c r="D429" s="106">
        <v>1</v>
      </c>
      <c r="E429" s="106">
        <f t="shared" si="25"/>
        <v>3104</v>
      </c>
      <c r="F429" s="46">
        <f ca="1">OFFSET(card!$A$1,MATCH(G429,card!B:B,0)-1,0)</f>
        <v>3002001</v>
      </c>
      <c r="G429" s="91" t="s">
        <v>494</v>
      </c>
      <c r="I429" s="91">
        <f ca="1">OFFSET(card!$J$1,MATCH(G429,card!B:B,0)-1,0)</f>
        <v>1</v>
      </c>
      <c r="J429" s="91">
        <f ca="1">OFFSET(card!$K$1,MATCH(G429,card!B:B,0)-1,0)</f>
        <v>1</v>
      </c>
      <c r="K429" s="91" t="s">
        <v>958</v>
      </c>
      <c r="L429" s="270">
        <v>7</v>
      </c>
      <c r="M429" s="157">
        <v>4</v>
      </c>
    </row>
    <row r="430" ht="15" spans="1:13">
      <c r="A430" s="276">
        <f t="shared" si="26"/>
        <v>310403</v>
      </c>
      <c r="B430" s="277">
        <v>3</v>
      </c>
      <c r="C430" s="278">
        <v>3</v>
      </c>
      <c r="D430" s="106">
        <v>1</v>
      </c>
      <c r="E430" s="106">
        <f t="shared" si="25"/>
        <v>3104</v>
      </c>
      <c r="F430" s="46">
        <f ca="1">OFFSET(card!$A$1,MATCH(G430,card!B:B,0)-1,0)</f>
        <v>3003001</v>
      </c>
      <c r="G430" s="91" t="s">
        <v>524</v>
      </c>
      <c r="I430" s="91">
        <f ca="1">OFFSET(card!$J$1,MATCH(G430,card!B:B,0)-1,0)</f>
        <v>1</v>
      </c>
      <c r="J430" s="91">
        <f ca="1">OFFSET(card!$K$1,MATCH(G430,card!B:B,0)-1,0)</f>
        <v>2</v>
      </c>
      <c r="K430" s="91" t="s">
        <v>923</v>
      </c>
      <c r="L430" s="270">
        <v>7</v>
      </c>
      <c r="M430" s="157">
        <v>3</v>
      </c>
    </row>
    <row r="431" ht="15" spans="1:10">
      <c r="A431" s="276">
        <f t="shared" si="26"/>
        <v>310404</v>
      </c>
      <c r="B431" s="277">
        <v>4</v>
      </c>
      <c r="C431" s="278">
        <v>3</v>
      </c>
      <c r="D431" s="106">
        <v>1</v>
      </c>
      <c r="E431" s="106">
        <f t="shared" si="25"/>
        <v>3104</v>
      </c>
      <c r="F431" s="46">
        <f ca="1">OFFSET(card!$A$1,MATCH(G431,card!B:B,0)-1,0)</f>
        <v>3014001</v>
      </c>
      <c r="G431" s="91" t="s">
        <v>361</v>
      </c>
      <c r="I431" s="91">
        <f ca="1">OFFSET(card!$J$1,MATCH(G431,card!B:B,0)-1,0)</f>
        <v>1</v>
      </c>
      <c r="J431" s="91">
        <f ca="1">OFFSET(card!$K$1,MATCH(G431,card!B:B,0)-1,0)</f>
        <v>2</v>
      </c>
    </row>
    <row r="432" ht="15" spans="1:10">
      <c r="A432" s="276">
        <f t="shared" si="26"/>
        <v>310405</v>
      </c>
      <c r="B432" s="277">
        <v>5</v>
      </c>
      <c r="C432" s="278">
        <v>3</v>
      </c>
      <c r="D432" s="106">
        <v>1</v>
      </c>
      <c r="E432" s="106">
        <f t="shared" si="25"/>
        <v>3104</v>
      </c>
      <c r="F432" s="46">
        <f ca="1">OFFSET(card!$A$1,MATCH(G432,card!B:B,0)-1,0)</f>
        <v>3001001</v>
      </c>
      <c r="G432" s="270" t="s">
        <v>490</v>
      </c>
      <c r="I432" s="91">
        <f ca="1">OFFSET(card!$J$1,MATCH(G432,card!B:B,0)-1,0)</f>
        <v>1</v>
      </c>
      <c r="J432" s="91">
        <f ca="1">OFFSET(card!$K$1,MATCH(G432,card!B:B,0)-1,0)</f>
        <v>1</v>
      </c>
    </row>
    <row r="433" ht="15" spans="1:10">
      <c r="A433" s="276">
        <f t="shared" si="26"/>
        <v>310406</v>
      </c>
      <c r="B433" s="277">
        <v>6</v>
      </c>
      <c r="C433" s="278">
        <v>3</v>
      </c>
      <c r="D433" s="106">
        <v>1</v>
      </c>
      <c r="E433" s="106">
        <f t="shared" si="25"/>
        <v>3104</v>
      </c>
      <c r="F433" s="46">
        <f ca="1">OFFSET(card!$A$1,MATCH(G433,card!B:B,0)-1,0)</f>
        <v>3002001</v>
      </c>
      <c r="G433" s="91" t="s">
        <v>494</v>
      </c>
      <c r="I433" s="91">
        <f ca="1">OFFSET(card!$J$1,MATCH(G433,card!B:B,0)-1,0)</f>
        <v>1</v>
      </c>
      <c r="J433" s="91">
        <f ca="1">OFFSET(card!$K$1,MATCH(G433,card!B:B,0)-1,0)</f>
        <v>1</v>
      </c>
    </row>
    <row r="434" ht="15" spans="1:10">
      <c r="A434" s="276">
        <f t="shared" si="26"/>
        <v>310407</v>
      </c>
      <c r="B434" s="277">
        <v>7</v>
      </c>
      <c r="C434" s="278">
        <v>3</v>
      </c>
      <c r="D434" s="106">
        <v>1</v>
      </c>
      <c r="E434" s="106">
        <f t="shared" si="25"/>
        <v>3104</v>
      </c>
      <c r="F434" s="46">
        <f ca="1">OFFSET(card!$A$1,MATCH(G434,card!B:B,0)-1,0)</f>
        <v>3003001</v>
      </c>
      <c r="G434" s="91" t="s">
        <v>524</v>
      </c>
      <c r="I434" s="91">
        <f ca="1">OFFSET(card!$J$1,MATCH(G434,card!B:B,0)-1,0)</f>
        <v>1</v>
      </c>
      <c r="J434" s="91">
        <f ca="1">OFFSET(card!$K$1,MATCH(G434,card!B:B,0)-1,0)</f>
        <v>2</v>
      </c>
    </row>
    <row r="435" ht="15" spans="1:10">
      <c r="A435" s="276">
        <f t="shared" si="26"/>
        <v>310408</v>
      </c>
      <c r="B435" s="277">
        <v>8</v>
      </c>
      <c r="C435" s="278">
        <v>3</v>
      </c>
      <c r="D435" s="106">
        <v>1</v>
      </c>
      <c r="E435" s="106">
        <f t="shared" si="25"/>
        <v>3104</v>
      </c>
      <c r="F435" s="46">
        <f ca="1">OFFSET(card!$A$1,MATCH(G435,card!B:B,0)-1,0)</f>
        <v>3014001</v>
      </c>
      <c r="G435" s="91" t="s">
        <v>361</v>
      </c>
      <c r="I435" s="91">
        <f ca="1">OFFSET(card!$J$1,MATCH(G435,card!B:B,0)-1,0)</f>
        <v>1</v>
      </c>
      <c r="J435" s="91">
        <f ca="1">OFFSET(card!$K$1,MATCH(G435,card!B:B,0)-1,0)</f>
        <v>2</v>
      </c>
    </row>
    <row r="436" ht="15" spans="1:10">
      <c r="A436" s="276">
        <f t="shared" si="26"/>
        <v>310409</v>
      </c>
      <c r="B436" s="277">
        <v>9</v>
      </c>
      <c r="C436" s="278">
        <v>3</v>
      </c>
      <c r="D436" s="106">
        <v>1</v>
      </c>
      <c r="E436" s="106">
        <f t="shared" si="25"/>
        <v>3104</v>
      </c>
      <c r="F436" s="46">
        <f ca="1">OFFSET(card!$A$1,MATCH(G436,card!B:B,0)-1,0)</f>
        <v>3001001</v>
      </c>
      <c r="G436" s="270" t="s">
        <v>490</v>
      </c>
      <c r="I436" s="91">
        <f ca="1">OFFSET(card!$J$1,MATCH(G436,card!B:B,0)-1,0)</f>
        <v>1</v>
      </c>
      <c r="J436" s="91">
        <f ca="1">OFFSET(card!$K$1,MATCH(G436,card!B:B,0)-1,0)</f>
        <v>1</v>
      </c>
    </row>
    <row r="437" ht="15" spans="1:10">
      <c r="A437" s="276">
        <f t="shared" si="26"/>
        <v>310410</v>
      </c>
      <c r="B437" s="277">
        <v>10</v>
      </c>
      <c r="C437" s="278">
        <v>3</v>
      </c>
      <c r="D437" s="106">
        <v>1</v>
      </c>
      <c r="E437" s="106">
        <f t="shared" si="25"/>
        <v>3104</v>
      </c>
      <c r="F437" s="46">
        <f ca="1">OFFSET(card!$A$1,MATCH(G437,card!B:B,0)-1,0)</f>
        <v>3002001</v>
      </c>
      <c r="G437" s="91" t="s">
        <v>494</v>
      </c>
      <c r="I437" s="91">
        <f ca="1">OFFSET(card!$J$1,MATCH(G437,card!B:B,0)-1,0)</f>
        <v>1</v>
      </c>
      <c r="J437" s="91">
        <f ca="1">OFFSET(card!$K$1,MATCH(G437,card!B:B,0)-1,0)</f>
        <v>1</v>
      </c>
    </row>
    <row r="438" ht="15" spans="1:10">
      <c r="A438" s="276">
        <f t="shared" si="26"/>
        <v>310501</v>
      </c>
      <c r="B438" s="277">
        <v>1</v>
      </c>
      <c r="C438" s="278">
        <v>3</v>
      </c>
      <c r="D438" s="106">
        <v>1</v>
      </c>
      <c r="E438" s="106">
        <f t="shared" si="25"/>
        <v>3105</v>
      </c>
      <c r="F438" s="46">
        <f ca="1">OFFSET(card!$A$1,MATCH(G438,card!B:B,0)-1,0)</f>
        <v>3002001</v>
      </c>
      <c r="G438" s="91" t="s">
        <v>494</v>
      </c>
      <c r="I438" s="91">
        <f ca="1">OFFSET(card!$J$1,MATCH(G438,card!B:B,0)-1,0)</f>
        <v>1</v>
      </c>
      <c r="J438" s="91">
        <f ca="1">OFFSET(card!$K$1,MATCH(G438,card!B:B,0)-1,0)</f>
        <v>1</v>
      </c>
    </row>
    <row r="439" ht="15" spans="1:10">
      <c r="A439" s="276">
        <f t="shared" si="26"/>
        <v>310502</v>
      </c>
      <c r="B439" s="277">
        <v>2</v>
      </c>
      <c r="C439" s="278">
        <v>3</v>
      </c>
      <c r="D439" s="106">
        <v>1</v>
      </c>
      <c r="E439" s="106">
        <f t="shared" si="25"/>
        <v>3105</v>
      </c>
      <c r="F439" s="46">
        <f ca="1">OFFSET(card!$A$1,MATCH(G439,card!B:B,0)-1,0)</f>
        <v>3008001</v>
      </c>
      <c r="G439" s="283" t="s">
        <v>298</v>
      </c>
      <c r="I439" s="91">
        <f ca="1">OFFSET(card!$J$1,MATCH(G439,card!B:B,0)-1,0)</f>
        <v>1</v>
      </c>
      <c r="J439" s="91">
        <f ca="1">OFFSET(card!$K$1,MATCH(G439,card!B:B,0)-1,0)</f>
        <v>2</v>
      </c>
    </row>
    <row r="440" ht="15" spans="1:10">
      <c r="A440" s="276">
        <f t="shared" si="26"/>
        <v>310503</v>
      </c>
      <c r="B440" s="277">
        <v>3</v>
      </c>
      <c r="C440" s="278">
        <v>3</v>
      </c>
      <c r="D440" s="106">
        <v>1</v>
      </c>
      <c r="E440" s="106">
        <f t="shared" si="25"/>
        <v>3105</v>
      </c>
      <c r="F440" s="46">
        <f ca="1">OFFSET(card!$A$1,MATCH(G440,card!B:B,0)-1,0)</f>
        <v>3004001</v>
      </c>
      <c r="G440" s="91" t="s">
        <v>851</v>
      </c>
      <c r="I440" s="91">
        <f ca="1">OFFSET(card!$J$1,MATCH(G440,card!B:B,0)-1,0)</f>
        <v>1</v>
      </c>
      <c r="J440" s="91">
        <f ca="1">OFFSET(card!$K$1,MATCH(G440,card!B:B,0)-1,0)</f>
        <v>1</v>
      </c>
    </row>
    <row r="441" ht="15" spans="1:10">
      <c r="A441" s="276">
        <f t="shared" si="26"/>
        <v>310504</v>
      </c>
      <c r="B441" s="277">
        <v>4</v>
      </c>
      <c r="C441" s="278">
        <v>3</v>
      </c>
      <c r="D441" s="106">
        <v>1</v>
      </c>
      <c r="E441" s="106">
        <f t="shared" si="25"/>
        <v>3105</v>
      </c>
      <c r="F441" s="46">
        <f ca="1">OFFSET(card!$A$1,MATCH(G441,card!B:B,0)-1,0)</f>
        <v>3011001</v>
      </c>
      <c r="G441" s="91" t="s">
        <v>880</v>
      </c>
      <c r="I441" s="91">
        <f ca="1">OFFSET(card!$J$1,MATCH(G441,card!B:B,0)-1,0)</f>
        <v>1</v>
      </c>
      <c r="J441" s="91">
        <f ca="1">OFFSET(card!$K$1,MATCH(G441,card!B:B,0)-1,0)</f>
        <v>1</v>
      </c>
    </row>
    <row r="442" ht="15" spans="1:10">
      <c r="A442" s="276">
        <f t="shared" si="26"/>
        <v>310505</v>
      </c>
      <c r="B442" s="277">
        <v>5</v>
      </c>
      <c r="C442" s="278">
        <v>3</v>
      </c>
      <c r="D442" s="106">
        <v>1</v>
      </c>
      <c r="E442" s="106">
        <f t="shared" si="25"/>
        <v>3105</v>
      </c>
      <c r="F442" s="46">
        <f ca="1">OFFSET(card!$A$1,MATCH(G442,card!B:B,0)-1,0)</f>
        <v>3002001</v>
      </c>
      <c r="G442" s="91" t="s">
        <v>494</v>
      </c>
      <c r="I442" s="91">
        <f ca="1">OFFSET(card!$J$1,MATCH(G442,card!B:B,0)-1,0)</f>
        <v>1</v>
      </c>
      <c r="J442" s="91">
        <f ca="1">OFFSET(card!$K$1,MATCH(G442,card!B:B,0)-1,0)</f>
        <v>1</v>
      </c>
    </row>
    <row r="443" ht="15" spans="1:10">
      <c r="A443" s="276">
        <f t="shared" si="26"/>
        <v>310506</v>
      </c>
      <c r="B443" s="277">
        <v>6</v>
      </c>
      <c r="C443" s="278">
        <v>3</v>
      </c>
      <c r="D443" s="106">
        <v>1</v>
      </c>
      <c r="E443" s="106">
        <f t="shared" si="25"/>
        <v>3105</v>
      </c>
      <c r="F443" s="46">
        <f ca="1">OFFSET(card!$A$1,MATCH(G443,card!B:B,0)-1,0)</f>
        <v>3008001</v>
      </c>
      <c r="G443" s="283" t="s">
        <v>298</v>
      </c>
      <c r="I443" s="91">
        <f ca="1">OFFSET(card!$J$1,MATCH(G443,card!B:B,0)-1,0)</f>
        <v>1</v>
      </c>
      <c r="J443" s="91">
        <f ca="1">OFFSET(card!$K$1,MATCH(G443,card!B:B,0)-1,0)</f>
        <v>2</v>
      </c>
    </row>
    <row r="444" ht="15" spans="1:10">
      <c r="A444" s="276">
        <f t="shared" si="26"/>
        <v>310507</v>
      </c>
      <c r="B444" s="277">
        <v>7</v>
      </c>
      <c r="C444" s="278">
        <v>3</v>
      </c>
      <c r="D444" s="106">
        <v>1</v>
      </c>
      <c r="E444" s="106">
        <f t="shared" si="25"/>
        <v>3105</v>
      </c>
      <c r="F444" s="46">
        <f ca="1">OFFSET(card!$A$1,MATCH(G444,card!B:B,0)-1,0)</f>
        <v>3004001</v>
      </c>
      <c r="G444" s="91" t="s">
        <v>851</v>
      </c>
      <c r="I444" s="91">
        <f ca="1">OFFSET(card!$J$1,MATCH(G444,card!B:B,0)-1,0)</f>
        <v>1</v>
      </c>
      <c r="J444" s="91">
        <f ca="1">OFFSET(card!$K$1,MATCH(G444,card!B:B,0)-1,0)</f>
        <v>1</v>
      </c>
    </row>
    <row r="445" ht="15" spans="1:10">
      <c r="A445" s="276">
        <f t="shared" si="26"/>
        <v>310508</v>
      </c>
      <c r="B445" s="277">
        <v>8</v>
      </c>
      <c r="C445" s="278">
        <v>3</v>
      </c>
      <c r="D445" s="106">
        <v>1</v>
      </c>
      <c r="E445" s="106">
        <f t="shared" si="25"/>
        <v>3105</v>
      </c>
      <c r="F445" s="46">
        <f ca="1">OFFSET(card!$A$1,MATCH(G445,card!B:B,0)-1,0)</f>
        <v>3011001</v>
      </c>
      <c r="G445" s="91" t="s">
        <v>880</v>
      </c>
      <c r="I445" s="91">
        <f ca="1">OFFSET(card!$J$1,MATCH(G445,card!B:B,0)-1,0)</f>
        <v>1</v>
      </c>
      <c r="J445" s="91">
        <f ca="1">OFFSET(card!$K$1,MATCH(G445,card!B:B,0)-1,0)</f>
        <v>1</v>
      </c>
    </row>
    <row r="446" ht="15" spans="1:10">
      <c r="A446" s="276">
        <f t="shared" si="26"/>
        <v>310509</v>
      </c>
      <c r="B446" s="277">
        <v>9</v>
      </c>
      <c r="C446" s="278">
        <v>3</v>
      </c>
      <c r="D446" s="106">
        <v>1</v>
      </c>
      <c r="E446" s="106">
        <f t="shared" si="25"/>
        <v>3105</v>
      </c>
      <c r="F446" s="46">
        <f ca="1">OFFSET(card!$A$1,MATCH(G446,card!B:B,0)-1,0)</f>
        <v>3002001</v>
      </c>
      <c r="G446" s="91" t="s">
        <v>494</v>
      </c>
      <c r="I446" s="91">
        <f ca="1">OFFSET(card!$J$1,MATCH(G446,card!B:B,0)-1,0)</f>
        <v>1</v>
      </c>
      <c r="J446" s="91">
        <f ca="1">OFFSET(card!$K$1,MATCH(G446,card!B:B,0)-1,0)</f>
        <v>1</v>
      </c>
    </row>
    <row r="447" ht="15" spans="1:10">
      <c r="A447" s="276">
        <f t="shared" si="26"/>
        <v>310510</v>
      </c>
      <c r="B447" s="277">
        <v>10</v>
      </c>
      <c r="C447" s="278">
        <v>3</v>
      </c>
      <c r="D447" s="106">
        <v>1</v>
      </c>
      <c r="E447" s="106">
        <f t="shared" si="25"/>
        <v>3105</v>
      </c>
      <c r="F447" s="46">
        <f ca="1">OFFSET(card!$A$1,MATCH(G447,card!B:B,0)-1,0)</f>
        <v>3008001</v>
      </c>
      <c r="G447" s="283" t="s">
        <v>298</v>
      </c>
      <c r="I447" s="91">
        <f ca="1">OFFSET(card!$J$1,MATCH(G447,card!B:B,0)-1,0)</f>
        <v>1</v>
      </c>
      <c r="J447" s="91">
        <f ca="1">OFFSET(card!$K$1,MATCH(G447,card!B:B,0)-1,0)</f>
        <v>2</v>
      </c>
    </row>
    <row r="448" ht="15" spans="1:10">
      <c r="A448" s="276">
        <f t="shared" si="26"/>
        <v>310601</v>
      </c>
      <c r="B448" s="277">
        <v>1</v>
      </c>
      <c r="C448" s="278">
        <v>3</v>
      </c>
      <c r="D448" s="106">
        <v>1</v>
      </c>
      <c r="E448" s="106">
        <f t="shared" si="25"/>
        <v>3106</v>
      </c>
      <c r="F448" s="46">
        <f ca="1">OFFSET(card!$A$1,MATCH(G448,card!B:B,0)-1,0)</f>
        <v>3001001</v>
      </c>
      <c r="G448" s="270" t="s">
        <v>490</v>
      </c>
      <c r="H448" s="91" t="s">
        <v>1493</v>
      </c>
      <c r="I448" s="91">
        <f ca="1">OFFSET(card!$J$1,MATCH(G448,card!B:B,0)-1,0)</f>
        <v>1</v>
      </c>
      <c r="J448" s="91">
        <f ca="1">OFFSET(card!$K$1,MATCH(G448,card!B:B,0)-1,0)</f>
        <v>1</v>
      </c>
    </row>
    <row r="449" ht="15" spans="1:10">
      <c r="A449" s="276">
        <f t="shared" si="26"/>
        <v>310602</v>
      </c>
      <c r="B449" s="277">
        <v>2</v>
      </c>
      <c r="C449" s="278">
        <v>3</v>
      </c>
      <c r="D449" s="106">
        <v>1</v>
      </c>
      <c r="E449" s="106">
        <f t="shared" si="25"/>
        <v>3106</v>
      </c>
      <c r="F449" s="46">
        <f ca="1">OFFSET(card!$A$1,MATCH(G449,card!B:B,0)-1,0)</f>
        <v>3002001</v>
      </c>
      <c r="G449" s="91" t="s">
        <v>494</v>
      </c>
      <c r="H449" s="91" t="s">
        <v>1493</v>
      </c>
      <c r="I449" s="91">
        <f ca="1">OFFSET(card!$J$1,MATCH(G449,card!B:B,0)-1,0)</f>
        <v>1</v>
      </c>
      <c r="J449" s="91">
        <f ca="1">OFFSET(card!$K$1,MATCH(G449,card!B:B,0)-1,0)</f>
        <v>1</v>
      </c>
    </row>
    <row r="450" ht="15" spans="1:10">
      <c r="A450" s="276">
        <f t="shared" si="26"/>
        <v>310603</v>
      </c>
      <c r="B450" s="277">
        <v>3</v>
      </c>
      <c r="C450" s="278">
        <v>3</v>
      </c>
      <c r="D450" s="106">
        <v>1</v>
      </c>
      <c r="E450" s="106">
        <f t="shared" si="25"/>
        <v>3106</v>
      </c>
      <c r="F450" s="46">
        <f ca="1">OFFSET(card!$A$1,MATCH(G450,card!B:B,0)-1,0)</f>
        <v>3014001</v>
      </c>
      <c r="G450" s="91" t="s">
        <v>361</v>
      </c>
      <c r="H450" s="91" t="s">
        <v>1493</v>
      </c>
      <c r="I450" s="91">
        <f ca="1">OFFSET(card!$J$1,MATCH(G450,card!B:B,0)-1,0)</f>
        <v>1</v>
      </c>
      <c r="J450" s="91">
        <f ca="1">OFFSET(card!$K$1,MATCH(G450,card!B:B,0)-1,0)</f>
        <v>2</v>
      </c>
    </row>
    <row r="451" ht="15" spans="1:10">
      <c r="A451" s="276">
        <f t="shared" si="26"/>
        <v>310604</v>
      </c>
      <c r="B451" s="277">
        <v>4</v>
      </c>
      <c r="C451" s="278">
        <v>3</v>
      </c>
      <c r="D451" s="106">
        <v>1</v>
      </c>
      <c r="E451" s="106">
        <f t="shared" si="25"/>
        <v>3106</v>
      </c>
      <c r="F451" s="46">
        <f ca="1">OFFSET(card!$A$1,MATCH(G451,card!B:B,0)-1,0)</f>
        <v>3013001</v>
      </c>
      <c r="G451" s="91" t="s">
        <v>359</v>
      </c>
      <c r="H451" s="91" t="s">
        <v>1493</v>
      </c>
      <c r="I451" s="91">
        <f ca="1">OFFSET(card!$J$1,MATCH(G451,card!B:B,0)-1,0)</f>
        <v>1</v>
      </c>
      <c r="J451" s="91">
        <f ca="1">OFFSET(card!$K$1,MATCH(G451,card!B:B,0)-1,0)</f>
        <v>1</v>
      </c>
    </row>
    <row r="452" ht="15" spans="1:10">
      <c r="A452" s="276">
        <f t="shared" si="26"/>
        <v>310605</v>
      </c>
      <c r="B452" s="277">
        <v>5</v>
      </c>
      <c r="C452" s="278">
        <v>3</v>
      </c>
      <c r="D452" s="106">
        <v>1</v>
      </c>
      <c r="E452" s="106">
        <f t="shared" si="25"/>
        <v>3106</v>
      </c>
      <c r="F452" s="46">
        <f ca="1">OFFSET(card!$A$1,MATCH(G452,card!B:B,0)-1,0)</f>
        <v>3001001</v>
      </c>
      <c r="G452" s="270" t="s">
        <v>490</v>
      </c>
      <c r="H452" s="91" t="s">
        <v>1493</v>
      </c>
      <c r="I452" s="91">
        <f ca="1">OFFSET(card!$J$1,MATCH(G452,card!B:B,0)-1,0)</f>
        <v>1</v>
      </c>
      <c r="J452" s="91">
        <f ca="1">OFFSET(card!$K$1,MATCH(G452,card!B:B,0)-1,0)</f>
        <v>1</v>
      </c>
    </row>
    <row r="453" ht="15" spans="1:10">
      <c r="A453" s="276">
        <f t="shared" si="26"/>
        <v>310606</v>
      </c>
      <c r="B453" s="277">
        <v>6</v>
      </c>
      <c r="C453" s="278">
        <v>3</v>
      </c>
      <c r="D453" s="106">
        <v>1</v>
      </c>
      <c r="E453" s="106">
        <f t="shared" si="25"/>
        <v>3106</v>
      </c>
      <c r="F453" s="46">
        <f ca="1">OFFSET(card!$A$1,MATCH(G453,card!B:B,0)-1,0)</f>
        <v>3002001</v>
      </c>
      <c r="G453" s="91" t="s">
        <v>494</v>
      </c>
      <c r="H453" s="91" t="s">
        <v>1493</v>
      </c>
      <c r="I453" s="91">
        <f ca="1">OFFSET(card!$J$1,MATCH(G453,card!B:B,0)-1,0)</f>
        <v>1</v>
      </c>
      <c r="J453" s="91">
        <f ca="1">OFFSET(card!$K$1,MATCH(G453,card!B:B,0)-1,0)</f>
        <v>1</v>
      </c>
    </row>
    <row r="454" ht="15" spans="1:10">
      <c r="A454" s="276">
        <f t="shared" si="26"/>
        <v>310607</v>
      </c>
      <c r="B454" s="277">
        <v>7</v>
      </c>
      <c r="C454" s="278">
        <v>3</v>
      </c>
      <c r="D454" s="106">
        <v>1</v>
      </c>
      <c r="E454" s="106">
        <f t="shared" si="25"/>
        <v>3106</v>
      </c>
      <c r="F454" s="46">
        <f ca="1">OFFSET(card!$A$1,MATCH(G454,card!B:B,0)-1,0)</f>
        <v>3014001</v>
      </c>
      <c r="G454" s="91" t="s">
        <v>361</v>
      </c>
      <c r="H454" s="91" t="s">
        <v>1493</v>
      </c>
      <c r="I454" s="91">
        <f ca="1">OFFSET(card!$J$1,MATCH(G454,card!B:B,0)-1,0)</f>
        <v>1</v>
      </c>
      <c r="J454" s="91">
        <f ca="1">OFFSET(card!$K$1,MATCH(G454,card!B:B,0)-1,0)</f>
        <v>2</v>
      </c>
    </row>
    <row r="455" ht="15" spans="1:10">
      <c r="A455" s="276">
        <f t="shared" si="26"/>
        <v>310608</v>
      </c>
      <c r="B455" s="277">
        <v>8</v>
      </c>
      <c r="C455" s="278">
        <v>3</v>
      </c>
      <c r="D455" s="106">
        <v>1</v>
      </c>
      <c r="E455" s="106">
        <f t="shared" si="25"/>
        <v>3106</v>
      </c>
      <c r="F455" s="46">
        <f ca="1">OFFSET(card!$A$1,MATCH(G455,card!B:B,0)-1,0)</f>
        <v>3013001</v>
      </c>
      <c r="G455" s="91" t="s">
        <v>359</v>
      </c>
      <c r="H455" s="91" t="s">
        <v>1493</v>
      </c>
      <c r="I455" s="91">
        <f ca="1">OFFSET(card!$J$1,MATCH(G455,card!B:B,0)-1,0)</f>
        <v>1</v>
      </c>
      <c r="J455" s="91">
        <f ca="1">OFFSET(card!$K$1,MATCH(G455,card!B:B,0)-1,0)</f>
        <v>1</v>
      </c>
    </row>
    <row r="456" ht="15" spans="1:10">
      <c r="A456" s="276">
        <f t="shared" si="26"/>
        <v>310609</v>
      </c>
      <c r="B456" s="277">
        <v>9</v>
      </c>
      <c r="C456" s="278">
        <v>3</v>
      </c>
      <c r="D456" s="106">
        <v>1</v>
      </c>
      <c r="E456" s="106">
        <f t="shared" si="25"/>
        <v>3106</v>
      </c>
      <c r="F456" s="46">
        <f ca="1">OFFSET(card!$A$1,MATCH(G456,card!B:B,0)-1,0)</f>
        <v>3001001</v>
      </c>
      <c r="G456" s="270" t="s">
        <v>490</v>
      </c>
      <c r="H456" s="91" t="s">
        <v>1493</v>
      </c>
      <c r="I456" s="91">
        <f ca="1">OFFSET(card!$J$1,MATCH(G456,card!B:B,0)-1,0)</f>
        <v>1</v>
      </c>
      <c r="J456" s="91">
        <f ca="1">OFFSET(card!$K$1,MATCH(G456,card!B:B,0)-1,0)</f>
        <v>1</v>
      </c>
    </row>
    <row r="457" ht="15" spans="1:10">
      <c r="A457" s="276">
        <f t="shared" si="26"/>
        <v>310610</v>
      </c>
      <c r="B457" s="277">
        <v>10</v>
      </c>
      <c r="C457" s="278">
        <v>3</v>
      </c>
      <c r="D457" s="106">
        <v>1</v>
      </c>
      <c r="E457" s="106">
        <f t="shared" si="25"/>
        <v>3106</v>
      </c>
      <c r="F457" s="46">
        <f ca="1">OFFSET(card!$A$1,MATCH(G457,card!B:B,0)-1,0)</f>
        <v>3002001</v>
      </c>
      <c r="G457" s="91" t="s">
        <v>494</v>
      </c>
      <c r="H457" s="91" t="s">
        <v>1493</v>
      </c>
      <c r="I457" s="91">
        <f ca="1">OFFSET(card!$J$1,MATCH(G457,card!B:B,0)-1,0)</f>
        <v>1</v>
      </c>
      <c r="J457" s="91">
        <f ca="1">OFFSET(card!$K$1,MATCH(G457,card!B:B,0)-1,0)</f>
        <v>1</v>
      </c>
    </row>
    <row r="458" ht="15" spans="1:10">
      <c r="A458" s="276">
        <f t="shared" si="26"/>
        <v>310701</v>
      </c>
      <c r="B458" s="277">
        <v>1</v>
      </c>
      <c r="C458" s="278">
        <v>3</v>
      </c>
      <c r="D458" s="106">
        <v>1</v>
      </c>
      <c r="E458" s="106">
        <f t="shared" si="25"/>
        <v>3107</v>
      </c>
      <c r="F458" s="46">
        <f ca="1">OFFSET(card!$A$1,MATCH(G458,card!B:B,0)-1,0)</f>
        <v>3001001</v>
      </c>
      <c r="G458" s="270" t="s">
        <v>490</v>
      </c>
      <c r="I458" s="91">
        <f ca="1">OFFSET(card!$J$1,MATCH(G458,card!B:B,0)-1,0)</f>
        <v>1</v>
      </c>
      <c r="J458" s="91">
        <f ca="1">OFFSET(card!$K$1,MATCH(G458,card!B:B,0)-1,0)</f>
        <v>1</v>
      </c>
    </row>
    <row r="459" ht="15" spans="1:10">
      <c r="A459" s="276">
        <f t="shared" si="26"/>
        <v>310702</v>
      </c>
      <c r="B459" s="277">
        <v>2</v>
      </c>
      <c r="C459" s="278">
        <v>3</v>
      </c>
      <c r="D459" s="106">
        <v>1</v>
      </c>
      <c r="E459" s="106">
        <f t="shared" si="25"/>
        <v>3107</v>
      </c>
      <c r="F459" s="46">
        <f ca="1">OFFSET(card!$A$1,MATCH(G459,card!B:B,0)-1,0)</f>
        <v>3002001</v>
      </c>
      <c r="G459" s="91" t="s">
        <v>494</v>
      </c>
      <c r="I459" s="91">
        <f ca="1">OFFSET(card!$J$1,MATCH(G459,card!B:B,0)-1,0)</f>
        <v>1</v>
      </c>
      <c r="J459" s="91">
        <f ca="1">OFFSET(card!$K$1,MATCH(G459,card!B:B,0)-1,0)</f>
        <v>1</v>
      </c>
    </row>
    <row r="460" ht="15" spans="1:10">
      <c r="A460" s="276">
        <f t="shared" si="26"/>
        <v>310703</v>
      </c>
      <c r="B460" s="277">
        <v>3</v>
      </c>
      <c r="C460" s="278">
        <v>3</v>
      </c>
      <c r="D460" s="106">
        <v>1</v>
      </c>
      <c r="E460" s="106">
        <f t="shared" si="25"/>
        <v>3107</v>
      </c>
      <c r="F460" s="46">
        <f ca="1">OFFSET(card!$A$1,MATCH(G460,card!B:B,0)-1,0)</f>
        <v>3003001</v>
      </c>
      <c r="G460" s="91" t="s">
        <v>524</v>
      </c>
      <c r="I460" s="91">
        <f ca="1">OFFSET(card!$J$1,MATCH(G460,card!B:B,0)-1,0)</f>
        <v>1</v>
      </c>
      <c r="J460" s="91">
        <f ca="1">OFFSET(card!$K$1,MATCH(G460,card!B:B,0)-1,0)</f>
        <v>2</v>
      </c>
    </row>
    <row r="461" ht="15" spans="1:10">
      <c r="A461" s="276">
        <f t="shared" si="26"/>
        <v>310704</v>
      </c>
      <c r="B461" s="277">
        <v>4</v>
      </c>
      <c r="C461" s="278">
        <v>3</v>
      </c>
      <c r="D461" s="106">
        <v>1</v>
      </c>
      <c r="E461" s="106">
        <f t="shared" si="25"/>
        <v>3107</v>
      </c>
      <c r="F461" s="46">
        <f ca="1">OFFSET(card!$A$1,MATCH(G461,card!B:B,0)-1,0)</f>
        <v>3022001</v>
      </c>
      <c r="G461" s="91" t="s">
        <v>476</v>
      </c>
      <c r="I461" s="91">
        <f ca="1">OFFSET(card!$J$1,MATCH(G461,card!B:B,0)-1,0)</f>
        <v>2</v>
      </c>
      <c r="J461" s="91">
        <f ca="1">OFFSET(card!$K$1,MATCH(G461,card!B:B,0)-1,0)</f>
        <v>1</v>
      </c>
    </row>
    <row r="462" ht="15" spans="1:10">
      <c r="A462" s="276">
        <f t="shared" si="26"/>
        <v>310705</v>
      </c>
      <c r="B462" s="277">
        <v>5</v>
      </c>
      <c r="C462" s="278">
        <v>3</v>
      </c>
      <c r="D462" s="106">
        <v>1</v>
      </c>
      <c r="E462" s="106">
        <f t="shared" si="25"/>
        <v>3107</v>
      </c>
      <c r="F462" s="46">
        <f ca="1">OFFSET(card!$A$1,MATCH(G462,card!B:B,0)-1,0)</f>
        <v>3001001</v>
      </c>
      <c r="G462" s="270" t="s">
        <v>490</v>
      </c>
      <c r="I462" s="91">
        <f ca="1">OFFSET(card!$J$1,MATCH(G462,card!B:B,0)-1,0)</f>
        <v>1</v>
      </c>
      <c r="J462" s="91">
        <f ca="1">OFFSET(card!$K$1,MATCH(G462,card!B:B,0)-1,0)</f>
        <v>1</v>
      </c>
    </row>
    <row r="463" ht="15" spans="1:10">
      <c r="A463" s="276">
        <f t="shared" si="26"/>
        <v>310706</v>
      </c>
      <c r="B463" s="277">
        <v>6</v>
      </c>
      <c r="C463" s="278">
        <v>3</v>
      </c>
      <c r="D463" s="106">
        <v>1</v>
      </c>
      <c r="E463" s="106">
        <f t="shared" si="25"/>
        <v>3107</v>
      </c>
      <c r="F463" s="46">
        <f ca="1">OFFSET(card!$A$1,MATCH(G463,card!B:B,0)-1,0)</f>
        <v>3002001</v>
      </c>
      <c r="G463" s="91" t="s">
        <v>494</v>
      </c>
      <c r="I463" s="91">
        <f ca="1">OFFSET(card!$J$1,MATCH(G463,card!B:B,0)-1,0)</f>
        <v>1</v>
      </c>
      <c r="J463" s="91">
        <f ca="1">OFFSET(card!$K$1,MATCH(G463,card!B:B,0)-1,0)</f>
        <v>1</v>
      </c>
    </row>
    <row r="464" ht="15" spans="1:10">
      <c r="A464" s="276">
        <f t="shared" si="26"/>
        <v>310707</v>
      </c>
      <c r="B464" s="277">
        <v>7</v>
      </c>
      <c r="C464" s="278">
        <v>3</v>
      </c>
      <c r="D464" s="106">
        <v>1</v>
      </c>
      <c r="E464" s="106">
        <f t="shared" si="25"/>
        <v>3107</v>
      </c>
      <c r="F464" s="46">
        <f ca="1">OFFSET(card!$A$1,MATCH(G464,card!B:B,0)-1,0)</f>
        <v>3003001</v>
      </c>
      <c r="G464" s="91" t="s">
        <v>524</v>
      </c>
      <c r="I464" s="91">
        <f ca="1">OFFSET(card!$J$1,MATCH(G464,card!B:B,0)-1,0)</f>
        <v>1</v>
      </c>
      <c r="J464" s="91">
        <f ca="1">OFFSET(card!$K$1,MATCH(G464,card!B:B,0)-1,0)</f>
        <v>2</v>
      </c>
    </row>
    <row r="465" ht="15" spans="1:10">
      <c r="A465" s="276">
        <f t="shared" si="26"/>
        <v>310708</v>
      </c>
      <c r="B465" s="277">
        <v>8</v>
      </c>
      <c r="C465" s="278">
        <v>3</v>
      </c>
      <c r="D465" s="106">
        <v>1</v>
      </c>
      <c r="E465" s="106">
        <f t="shared" si="25"/>
        <v>3107</v>
      </c>
      <c r="F465" s="46">
        <f ca="1">OFFSET(card!$A$1,MATCH(G465,card!B:B,0)-1,0)</f>
        <v>3022001</v>
      </c>
      <c r="G465" s="91" t="s">
        <v>476</v>
      </c>
      <c r="I465" s="91">
        <f ca="1">OFFSET(card!$J$1,MATCH(G465,card!B:B,0)-1,0)</f>
        <v>2</v>
      </c>
      <c r="J465" s="91">
        <f ca="1">OFFSET(card!$K$1,MATCH(G465,card!B:B,0)-1,0)</f>
        <v>1</v>
      </c>
    </row>
    <row r="466" ht="15" spans="1:10">
      <c r="A466" s="276">
        <f t="shared" si="26"/>
        <v>310709</v>
      </c>
      <c r="B466" s="277">
        <v>9</v>
      </c>
      <c r="C466" s="278">
        <v>3</v>
      </c>
      <c r="D466" s="106">
        <v>1</v>
      </c>
      <c r="E466" s="106">
        <f t="shared" si="25"/>
        <v>3107</v>
      </c>
      <c r="F466" s="46">
        <f ca="1">OFFSET(card!$A$1,MATCH(G466,card!B:B,0)-1,0)</f>
        <v>3001001</v>
      </c>
      <c r="G466" s="270" t="s">
        <v>490</v>
      </c>
      <c r="I466" s="91">
        <f ca="1">OFFSET(card!$J$1,MATCH(G466,card!B:B,0)-1,0)</f>
        <v>1</v>
      </c>
      <c r="J466" s="91">
        <f ca="1">OFFSET(card!$K$1,MATCH(G466,card!B:B,0)-1,0)</f>
        <v>1</v>
      </c>
    </row>
    <row r="467" ht="15" spans="1:10">
      <c r="A467" s="276">
        <f t="shared" si="26"/>
        <v>310710</v>
      </c>
      <c r="B467" s="277">
        <v>10</v>
      </c>
      <c r="C467" s="278">
        <v>3</v>
      </c>
      <c r="D467" s="106">
        <v>1</v>
      </c>
      <c r="E467" s="106">
        <f t="shared" si="25"/>
        <v>3107</v>
      </c>
      <c r="F467" s="46">
        <f ca="1">OFFSET(card!$A$1,MATCH(G467,card!B:B,0)-1,0)</f>
        <v>3022001</v>
      </c>
      <c r="G467" s="91" t="s">
        <v>476</v>
      </c>
      <c r="I467" s="91">
        <f ca="1">OFFSET(card!$J$1,MATCH(G467,card!B:B,0)-1,0)</f>
        <v>2</v>
      </c>
      <c r="J467" s="91">
        <f ca="1">OFFSET(card!$K$1,MATCH(G467,card!B:B,0)-1,0)</f>
        <v>1</v>
      </c>
    </row>
    <row r="468" ht="15" spans="1:10">
      <c r="A468" s="276">
        <f t="shared" si="26"/>
        <v>310801</v>
      </c>
      <c r="B468" s="277">
        <v>1</v>
      </c>
      <c r="C468" s="278">
        <v>3</v>
      </c>
      <c r="D468" s="106">
        <v>1</v>
      </c>
      <c r="E468" s="106">
        <f t="shared" si="25"/>
        <v>3108</v>
      </c>
      <c r="F468" s="46">
        <f ca="1">OFFSET(card!$A$1,MATCH(G468,card!B:B,0)-1,0)</f>
        <v>3008001</v>
      </c>
      <c r="G468" s="283" t="s">
        <v>298</v>
      </c>
      <c r="I468" s="91">
        <f ca="1">OFFSET(card!$J$1,MATCH(G468,card!B:B,0)-1,0)</f>
        <v>1</v>
      </c>
      <c r="J468" s="91">
        <f ca="1">OFFSET(card!$K$1,MATCH(G468,card!B:B,0)-1,0)</f>
        <v>2</v>
      </c>
    </row>
    <row r="469" ht="15" spans="1:10">
      <c r="A469" s="276">
        <f t="shared" si="26"/>
        <v>310802</v>
      </c>
      <c r="B469" s="277">
        <v>2</v>
      </c>
      <c r="C469" s="278">
        <v>3</v>
      </c>
      <c r="D469" s="106">
        <v>1</v>
      </c>
      <c r="E469" s="106">
        <f t="shared" si="25"/>
        <v>3108</v>
      </c>
      <c r="F469" s="46">
        <f ca="1">OFFSET(card!$A$1,MATCH(G469,card!B:B,0)-1,0)</f>
        <v>3004001</v>
      </c>
      <c r="G469" s="91" t="s">
        <v>851</v>
      </c>
      <c r="I469" s="91">
        <f ca="1">OFFSET(card!$J$1,MATCH(G469,card!B:B,0)-1,0)</f>
        <v>1</v>
      </c>
      <c r="J469" s="91">
        <f ca="1">OFFSET(card!$K$1,MATCH(G469,card!B:B,0)-1,0)</f>
        <v>1</v>
      </c>
    </row>
    <row r="470" ht="15" spans="1:10">
      <c r="A470" s="276">
        <f t="shared" si="26"/>
        <v>310803</v>
      </c>
      <c r="B470" s="277">
        <v>3</v>
      </c>
      <c r="C470" s="278">
        <v>3</v>
      </c>
      <c r="D470" s="106">
        <v>1</v>
      </c>
      <c r="E470" s="106">
        <f t="shared" si="25"/>
        <v>3108</v>
      </c>
      <c r="F470" s="46">
        <f ca="1">OFFSET(card!$A$1,MATCH(G470,card!B:B,0)-1,0)</f>
        <v>3011001</v>
      </c>
      <c r="G470" s="91" t="s">
        <v>880</v>
      </c>
      <c r="I470" s="91">
        <f ca="1">OFFSET(card!$J$1,MATCH(G470,card!B:B,0)-1,0)</f>
        <v>1</v>
      </c>
      <c r="J470" s="91">
        <f ca="1">OFFSET(card!$K$1,MATCH(G470,card!B:B,0)-1,0)</f>
        <v>1</v>
      </c>
    </row>
    <row r="471" ht="15" spans="1:10">
      <c r="A471" s="276">
        <f t="shared" si="26"/>
        <v>310804</v>
      </c>
      <c r="B471" s="277">
        <v>4</v>
      </c>
      <c r="C471" s="278">
        <v>3</v>
      </c>
      <c r="D471" s="106">
        <v>1</v>
      </c>
      <c r="E471" s="106">
        <f t="shared" si="25"/>
        <v>3108</v>
      </c>
      <c r="F471" s="46">
        <f ca="1">OFFSET(card!$A$1,MATCH(G471,card!B:B,0)-1,0)</f>
        <v>3010001</v>
      </c>
      <c r="G471" s="270" t="s">
        <v>506</v>
      </c>
      <c r="I471" s="91">
        <f ca="1">OFFSET(card!$J$1,MATCH(G471,card!B:B,0)-1,0)</f>
        <v>1</v>
      </c>
      <c r="J471" s="91">
        <f ca="1">OFFSET(card!$K$1,MATCH(G471,card!B:B,0)-1,0)</f>
        <v>2</v>
      </c>
    </row>
    <row r="472" ht="15" spans="1:10">
      <c r="A472" s="276">
        <f t="shared" si="26"/>
        <v>310805</v>
      </c>
      <c r="B472" s="277">
        <v>5</v>
      </c>
      <c r="C472" s="278">
        <v>3</v>
      </c>
      <c r="D472" s="106">
        <v>1</v>
      </c>
      <c r="E472" s="106">
        <f t="shared" ref="E472:E487" si="27">E462+1</f>
        <v>3108</v>
      </c>
      <c r="F472" s="46">
        <f ca="1">OFFSET(card!$A$1,MATCH(G472,card!B:B,0)-1,0)</f>
        <v>3008001</v>
      </c>
      <c r="G472" s="283" t="s">
        <v>298</v>
      </c>
      <c r="I472" s="91">
        <f ca="1">OFFSET(card!$J$1,MATCH(G472,card!B:B,0)-1,0)</f>
        <v>1</v>
      </c>
      <c r="J472" s="91">
        <f ca="1">OFFSET(card!$K$1,MATCH(G472,card!B:B,0)-1,0)</f>
        <v>2</v>
      </c>
    </row>
    <row r="473" ht="15" spans="1:10">
      <c r="A473" s="276">
        <f t="shared" si="26"/>
        <v>310806</v>
      </c>
      <c r="B473" s="277">
        <v>6</v>
      </c>
      <c r="C473" s="278">
        <v>3</v>
      </c>
      <c r="D473" s="106">
        <v>1</v>
      </c>
      <c r="E473" s="106">
        <f t="shared" si="27"/>
        <v>3108</v>
      </c>
      <c r="F473" s="46">
        <f ca="1">OFFSET(card!$A$1,MATCH(G473,card!B:B,0)-1,0)</f>
        <v>3004001</v>
      </c>
      <c r="G473" s="91" t="s">
        <v>851</v>
      </c>
      <c r="I473" s="91">
        <f ca="1">OFFSET(card!$J$1,MATCH(G473,card!B:B,0)-1,0)</f>
        <v>1</v>
      </c>
      <c r="J473" s="91">
        <f ca="1">OFFSET(card!$K$1,MATCH(G473,card!B:B,0)-1,0)</f>
        <v>1</v>
      </c>
    </row>
    <row r="474" ht="15" spans="1:10">
      <c r="A474" s="276">
        <f t="shared" ref="A474:A537" si="28">E474*100+B474</f>
        <v>310807</v>
      </c>
      <c r="B474" s="277">
        <v>7</v>
      </c>
      <c r="C474" s="278">
        <v>3</v>
      </c>
      <c r="D474" s="106">
        <v>1</v>
      </c>
      <c r="E474" s="106">
        <f t="shared" si="27"/>
        <v>3108</v>
      </c>
      <c r="F474" s="46">
        <f ca="1">OFFSET(card!$A$1,MATCH(G474,card!B:B,0)-1,0)</f>
        <v>3011001</v>
      </c>
      <c r="G474" s="91" t="s">
        <v>880</v>
      </c>
      <c r="I474" s="91">
        <f ca="1">OFFSET(card!$J$1,MATCH(G474,card!B:B,0)-1,0)</f>
        <v>1</v>
      </c>
      <c r="J474" s="91">
        <f ca="1">OFFSET(card!$K$1,MATCH(G474,card!B:B,0)-1,0)</f>
        <v>1</v>
      </c>
    </row>
    <row r="475" ht="15" spans="1:10">
      <c r="A475" s="276">
        <f t="shared" si="28"/>
        <v>310808</v>
      </c>
      <c r="B475" s="277">
        <v>8</v>
      </c>
      <c r="C475" s="278">
        <v>3</v>
      </c>
      <c r="D475" s="106">
        <v>1</v>
      </c>
      <c r="E475" s="106">
        <f t="shared" si="27"/>
        <v>3108</v>
      </c>
      <c r="F475" s="46">
        <f ca="1">OFFSET(card!$A$1,MATCH(G475,card!B:B,0)-1,0)</f>
        <v>3010001</v>
      </c>
      <c r="G475" s="270" t="s">
        <v>506</v>
      </c>
      <c r="I475" s="91">
        <f ca="1">OFFSET(card!$J$1,MATCH(G475,card!B:B,0)-1,0)</f>
        <v>1</v>
      </c>
      <c r="J475" s="91">
        <f ca="1">OFFSET(card!$K$1,MATCH(G475,card!B:B,0)-1,0)</f>
        <v>2</v>
      </c>
    </row>
    <row r="476" ht="15" spans="1:10">
      <c r="A476" s="276">
        <f t="shared" si="28"/>
        <v>310809</v>
      </c>
      <c r="B476" s="277">
        <v>9</v>
      </c>
      <c r="C476" s="278">
        <v>3</v>
      </c>
      <c r="D476" s="106">
        <v>1</v>
      </c>
      <c r="E476" s="106">
        <f t="shared" si="27"/>
        <v>3108</v>
      </c>
      <c r="F476" s="46">
        <f ca="1">OFFSET(card!$A$1,MATCH(G476,card!B:B,0)-1,0)</f>
        <v>3008001</v>
      </c>
      <c r="G476" s="283" t="s">
        <v>298</v>
      </c>
      <c r="I476" s="91">
        <f ca="1">OFFSET(card!$J$1,MATCH(G476,card!B:B,0)-1,0)</f>
        <v>1</v>
      </c>
      <c r="J476" s="91">
        <f ca="1">OFFSET(card!$K$1,MATCH(G476,card!B:B,0)-1,0)</f>
        <v>2</v>
      </c>
    </row>
    <row r="477" ht="15" spans="1:10">
      <c r="A477" s="276">
        <f t="shared" si="28"/>
        <v>310810</v>
      </c>
      <c r="B477" s="277">
        <v>10</v>
      </c>
      <c r="C477" s="278">
        <v>3</v>
      </c>
      <c r="D477" s="106">
        <v>1</v>
      </c>
      <c r="E477" s="106">
        <f t="shared" si="27"/>
        <v>3108</v>
      </c>
      <c r="F477" s="46">
        <f ca="1">OFFSET(card!$A$1,MATCH(G477,card!B:B,0)-1,0)</f>
        <v>3004001</v>
      </c>
      <c r="G477" s="91" t="s">
        <v>851</v>
      </c>
      <c r="I477" s="91">
        <f ca="1">OFFSET(card!$J$1,MATCH(G477,card!B:B,0)-1,0)</f>
        <v>1</v>
      </c>
      <c r="J477" s="91">
        <f ca="1">OFFSET(card!$K$1,MATCH(G477,card!B:B,0)-1,0)</f>
        <v>1</v>
      </c>
    </row>
    <row r="478" ht="15" spans="1:10">
      <c r="A478" s="276">
        <f t="shared" si="28"/>
        <v>310901</v>
      </c>
      <c r="B478" s="277">
        <v>1</v>
      </c>
      <c r="C478" s="278">
        <v>3</v>
      </c>
      <c r="D478" s="106">
        <v>1</v>
      </c>
      <c r="E478" s="106">
        <f t="shared" si="27"/>
        <v>3109</v>
      </c>
      <c r="F478" s="46">
        <f ca="1">OFFSET(card!$A$1,MATCH(G478,card!B:B,0)-1,0)</f>
        <v>3002001</v>
      </c>
      <c r="G478" s="91" t="s">
        <v>494</v>
      </c>
      <c r="I478" s="91">
        <f ca="1">OFFSET(card!$J$1,MATCH(G478,card!B:B,0)-1,0)</f>
        <v>1</v>
      </c>
      <c r="J478" s="91">
        <f ca="1">OFFSET(card!$K$1,MATCH(G478,card!B:B,0)-1,0)</f>
        <v>1</v>
      </c>
    </row>
    <row r="479" ht="15" spans="1:10">
      <c r="A479" s="276">
        <f t="shared" si="28"/>
        <v>310902</v>
      </c>
      <c r="B479" s="277">
        <v>2</v>
      </c>
      <c r="C479" s="278">
        <v>3</v>
      </c>
      <c r="D479" s="106">
        <v>1</v>
      </c>
      <c r="E479" s="106">
        <f t="shared" si="27"/>
        <v>3109</v>
      </c>
      <c r="F479" s="46">
        <f ca="1">OFFSET(card!$A$1,MATCH(G479,card!B:B,0)-1,0)</f>
        <v>3003001</v>
      </c>
      <c r="G479" s="91" t="s">
        <v>524</v>
      </c>
      <c r="I479" s="91">
        <f ca="1">OFFSET(card!$J$1,MATCH(G479,card!B:B,0)-1,0)</f>
        <v>1</v>
      </c>
      <c r="J479" s="91">
        <f ca="1">OFFSET(card!$K$1,MATCH(G479,card!B:B,0)-1,0)</f>
        <v>2</v>
      </c>
    </row>
    <row r="480" ht="15" spans="1:10">
      <c r="A480" s="276">
        <f t="shared" si="28"/>
        <v>310903</v>
      </c>
      <c r="B480" s="277">
        <v>3</v>
      </c>
      <c r="C480" s="278">
        <v>3</v>
      </c>
      <c r="D480" s="106">
        <v>1</v>
      </c>
      <c r="E480" s="106">
        <f t="shared" si="27"/>
        <v>3109</v>
      </c>
      <c r="F480" s="46">
        <f ca="1">OFFSET(card!$A$1,MATCH(G480,card!B:B,0)-1,0)</f>
        <v>3022001</v>
      </c>
      <c r="G480" s="91" t="s">
        <v>476</v>
      </c>
      <c r="I480" s="91">
        <f ca="1">OFFSET(card!$J$1,MATCH(G480,card!B:B,0)-1,0)</f>
        <v>2</v>
      </c>
      <c r="J480" s="91">
        <f ca="1">OFFSET(card!$K$1,MATCH(G480,card!B:B,0)-1,0)</f>
        <v>1</v>
      </c>
    </row>
    <row r="481" ht="15" spans="1:10">
      <c r="A481" s="276">
        <f t="shared" si="28"/>
        <v>310904</v>
      </c>
      <c r="B481" s="277">
        <v>4</v>
      </c>
      <c r="C481" s="278">
        <v>3</v>
      </c>
      <c r="D481" s="106">
        <v>1</v>
      </c>
      <c r="E481" s="106">
        <f t="shared" si="27"/>
        <v>3109</v>
      </c>
      <c r="F481" s="46">
        <f ca="1">OFFSET(card!$A$1,MATCH(G481,card!B:B,0)-1,0)</f>
        <v>3023001</v>
      </c>
      <c r="G481" s="91" t="s">
        <v>451</v>
      </c>
      <c r="I481" s="91">
        <f ca="1">OFFSET(card!$J$1,MATCH(G481,card!B:B,0)-1,0)</f>
        <v>3</v>
      </c>
      <c r="J481" s="91">
        <f ca="1">OFFSET(card!$K$1,MATCH(G481,card!B:B,0)-1,0)</f>
        <v>2</v>
      </c>
    </row>
    <row r="482" ht="15" spans="1:10">
      <c r="A482" s="276">
        <f t="shared" si="28"/>
        <v>310905</v>
      </c>
      <c r="B482" s="277">
        <v>5</v>
      </c>
      <c r="C482" s="278">
        <v>3</v>
      </c>
      <c r="D482" s="106">
        <v>1</v>
      </c>
      <c r="E482" s="106">
        <f t="shared" si="27"/>
        <v>3109</v>
      </c>
      <c r="F482" s="46">
        <f ca="1">OFFSET(card!$A$1,MATCH(G482,card!B:B,0)-1,0)</f>
        <v>3002001</v>
      </c>
      <c r="G482" s="91" t="s">
        <v>494</v>
      </c>
      <c r="I482" s="91">
        <f ca="1">OFFSET(card!$J$1,MATCH(G482,card!B:B,0)-1,0)</f>
        <v>1</v>
      </c>
      <c r="J482" s="91">
        <f ca="1">OFFSET(card!$K$1,MATCH(G482,card!B:B,0)-1,0)</f>
        <v>1</v>
      </c>
    </row>
    <row r="483" ht="15" spans="1:10">
      <c r="A483" s="276">
        <f t="shared" si="28"/>
        <v>310906</v>
      </c>
      <c r="B483" s="277">
        <v>6</v>
      </c>
      <c r="C483" s="278">
        <v>3</v>
      </c>
      <c r="D483" s="106">
        <v>1</v>
      </c>
      <c r="E483" s="106">
        <f t="shared" si="27"/>
        <v>3109</v>
      </c>
      <c r="F483" s="46">
        <f ca="1">OFFSET(card!$A$1,MATCH(G483,card!B:B,0)-1,0)</f>
        <v>3003001</v>
      </c>
      <c r="G483" s="91" t="s">
        <v>524</v>
      </c>
      <c r="I483" s="91">
        <f ca="1">OFFSET(card!$J$1,MATCH(G483,card!B:B,0)-1,0)</f>
        <v>1</v>
      </c>
      <c r="J483" s="91">
        <f ca="1">OFFSET(card!$K$1,MATCH(G483,card!B:B,0)-1,0)</f>
        <v>2</v>
      </c>
    </row>
    <row r="484" ht="15" spans="1:10">
      <c r="A484" s="276">
        <f t="shared" si="28"/>
        <v>310907</v>
      </c>
      <c r="B484" s="277">
        <v>7</v>
      </c>
      <c r="C484" s="278">
        <v>3</v>
      </c>
      <c r="D484" s="106">
        <v>1</v>
      </c>
      <c r="E484" s="106">
        <f t="shared" si="27"/>
        <v>3109</v>
      </c>
      <c r="F484" s="46">
        <f ca="1">OFFSET(card!$A$1,MATCH(G484,card!B:B,0)-1,0)</f>
        <v>3022001</v>
      </c>
      <c r="G484" s="91" t="s">
        <v>476</v>
      </c>
      <c r="I484" s="91">
        <f ca="1">OFFSET(card!$J$1,MATCH(G484,card!B:B,0)-1,0)</f>
        <v>2</v>
      </c>
      <c r="J484" s="91">
        <f ca="1">OFFSET(card!$K$1,MATCH(G484,card!B:B,0)-1,0)</f>
        <v>1</v>
      </c>
    </row>
    <row r="485" ht="15" spans="1:10">
      <c r="A485" s="276">
        <f t="shared" si="28"/>
        <v>310908</v>
      </c>
      <c r="B485" s="277">
        <v>8</v>
      </c>
      <c r="C485" s="278">
        <v>3</v>
      </c>
      <c r="D485" s="106">
        <v>1</v>
      </c>
      <c r="E485" s="106">
        <f t="shared" si="27"/>
        <v>3109</v>
      </c>
      <c r="F485" s="46">
        <f ca="1">OFFSET(card!$A$1,MATCH(G485,card!B:B,0)-1,0)</f>
        <v>3023001</v>
      </c>
      <c r="G485" s="91" t="s">
        <v>451</v>
      </c>
      <c r="I485" s="91">
        <f ca="1">OFFSET(card!$J$1,MATCH(G485,card!B:B,0)-1,0)</f>
        <v>3</v>
      </c>
      <c r="J485" s="91">
        <f ca="1">OFFSET(card!$K$1,MATCH(G485,card!B:B,0)-1,0)</f>
        <v>2</v>
      </c>
    </row>
    <row r="486" ht="15" spans="1:10">
      <c r="A486" s="276">
        <f t="shared" si="28"/>
        <v>310909</v>
      </c>
      <c r="B486" s="277">
        <v>9</v>
      </c>
      <c r="C486" s="278">
        <v>3</v>
      </c>
      <c r="D486" s="106">
        <v>1</v>
      </c>
      <c r="E486" s="106">
        <f t="shared" si="27"/>
        <v>3109</v>
      </c>
      <c r="F486" s="46">
        <f ca="1">OFFSET(card!$A$1,MATCH(G486,card!B:B,0)-1,0)</f>
        <v>3022001</v>
      </c>
      <c r="G486" s="91" t="s">
        <v>476</v>
      </c>
      <c r="I486" s="91">
        <f ca="1">OFFSET(card!$J$1,MATCH(G486,card!B:B,0)-1,0)</f>
        <v>2</v>
      </c>
      <c r="J486" s="91">
        <f ca="1">OFFSET(card!$K$1,MATCH(G486,card!B:B,0)-1,0)</f>
        <v>1</v>
      </c>
    </row>
    <row r="487" ht="15" spans="1:10">
      <c r="A487" s="276">
        <f t="shared" si="28"/>
        <v>310910</v>
      </c>
      <c r="B487" s="277">
        <v>10</v>
      </c>
      <c r="C487" s="278">
        <v>3</v>
      </c>
      <c r="D487" s="106">
        <v>1</v>
      </c>
      <c r="E487" s="106">
        <f t="shared" si="27"/>
        <v>3109</v>
      </c>
      <c r="F487" s="46">
        <f ca="1">OFFSET(card!$A$1,MATCH(G487,card!B:B,0)-1,0)</f>
        <v>3023001</v>
      </c>
      <c r="G487" s="91" t="s">
        <v>451</v>
      </c>
      <c r="I487" s="91">
        <f ca="1">OFFSET(card!$J$1,MATCH(G487,card!B:B,0)-1,0)</f>
        <v>3</v>
      </c>
      <c r="J487" s="91">
        <f ca="1">OFFSET(card!$K$1,MATCH(G487,card!B:B,0)-1,0)</f>
        <v>2</v>
      </c>
    </row>
    <row r="488" ht="15" spans="1:10">
      <c r="A488" s="276">
        <f t="shared" si="28"/>
        <v>320101</v>
      </c>
      <c r="B488" s="277">
        <v>1</v>
      </c>
      <c r="C488" s="278">
        <v>3</v>
      </c>
      <c r="D488" s="106">
        <v>2</v>
      </c>
      <c r="E488" s="106">
        <f t="shared" ref="E488:E497" si="29">C488*1000+D488*100+1</f>
        <v>3201</v>
      </c>
      <c r="F488" s="46">
        <f ca="1">OFFSET(card!$A$1,MATCH(G488,card!B:B,0)-1,0)</f>
        <v>3008001</v>
      </c>
      <c r="G488" s="283" t="s">
        <v>298</v>
      </c>
      <c r="I488" s="91">
        <f ca="1">OFFSET(card!$J$1,MATCH(G488,card!B:B,0)-1,0)</f>
        <v>1</v>
      </c>
      <c r="J488" s="91">
        <f ca="1">OFFSET(card!$K$1,MATCH(G488,card!B:B,0)-1,0)</f>
        <v>2</v>
      </c>
    </row>
    <row r="489" ht="15" spans="1:10">
      <c r="A489" s="276">
        <f t="shared" si="28"/>
        <v>320102</v>
      </c>
      <c r="B489" s="277">
        <v>2</v>
      </c>
      <c r="C489" s="278">
        <v>3</v>
      </c>
      <c r="D489" s="106">
        <v>2</v>
      </c>
      <c r="E489" s="106">
        <f t="shared" si="29"/>
        <v>3201</v>
      </c>
      <c r="F489" s="46">
        <f ca="1">OFFSET(card!$A$1,MATCH(G489,card!B:B,0)-1,0)</f>
        <v>3004001</v>
      </c>
      <c r="G489" s="91" t="s">
        <v>851</v>
      </c>
      <c r="I489" s="91">
        <f ca="1">OFFSET(card!$J$1,MATCH(G489,card!B:B,0)-1,0)</f>
        <v>1</v>
      </c>
      <c r="J489" s="91">
        <f ca="1">OFFSET(card!$K$1,MATCH(G489,card!B:B,0)-1,0)</f>
        <v>1</v>
      </c>
    </row>
    <row r="490" ht="15" spans="1:10">
      <c r="A490" s="276">
        <f t="shared" si="28"/>
        <v>320103</v>
      </c>
      <c r="B490" s="277">
        <v>3</v>
      </c>
      <c r="C490" s="278">
        <v>3</v>
      </c>
      <c r="D490" s="106">
        <v>2</v>
      </c>
      <c r="E490" s="106">
        <f t="shared" si="29"/>
        <v>3201</v>
      </c>
      <c r="F490" s="46">
        <f ca="1">OFFSET(card!$A$1,MATCH(G490,card!B:B,0)-1,0)</f>
        <v>3011001</v>
      </c>
      <c r="G490" s="91" t="s">
        <v>880</v>
      </c>
      <c r="I490" s="91">
        <f ca="1">OFFSET(card!$J$1,MATCH(G490,card!B:B,0)-1,0)</f>
        <v>1</v>
      </c>
      <c r="J490" s="91">
        <f ca="1">OFFSET(card!$K$1,MATCH(G490,card!B:B,0)-1,0)</f>
        <v>1</v>
      </c>
    </row>
    <row r="491" ht="15" spans="1:10">
      <c r="A491" s="276">
        <f t="shared" si="28"/>
        <v>320104</v>
      </c>
      <c r="B491" s="277">
        <v>4</v>
      </c>
      <c r="C491" s="278">
        <v>3</v>
      </c>
      <c r="D491" s="106">
        <v>2</v>
      </c>
      <c r="E491" s="106">
        <f t="shared" si="29"/>
        <v>3201</v>
      </c>
      <c r="F491" s="46">
        <f ca="1">OFFSET(card!$A$1,MATCH(G491,card!B:B,0)-1,0)</f>
        <v>3007001</v>
      </c>
      <c r="G491" s="91" t="s">
        <v>488</v>
      </c>
      <c r="I491" s="91">
        <f ca="1">OFFSET(card!$J$1,MATCH(G491,card!B:B,0)-1,0)</f>
        <v>3</v>
      </c>
      <c r="J491" s="91">
        <f ca="1">OFFSET(card!$K$1,MATCH(G491,card!B:B,0)-1,0)</f>
        <v>1</v>
      </c>
    </row>
    <row r="492" ht="15" spans="1:10">
      <c r="A492" s="276">
        <f t="shared" si="28"/>
        <v>320105</v>
      </c>
      <c r="B492" s="277">
        <v>5</v>
      </c>
      <c r="C492" s="278">
        <v>3</v>
      </c>
      <c r="D492" s="106">
        <v>2</v>
      </c>
      <c r="E492" s="106">
        <f t="shared" si="29"/>
        <v>3201</v>
      </c>
      <c r="F492" s="46">
        <f ca="1">OFFSET(card!$A$1,MATCH(G492,card!B:B,0)-1,0)</f>
        <v>3008001</v>
      </c>
      <c r="G492" s="283" t="s">
        <v>298</v>
      </c>
      <c r="I492" s="91">
        <f ca="1">OFFSET(card!$J$1,MATCH(G492,card!B:B,0)-1,0)</f>
        <v>1</v>
      </c>
      <c r="J492" s="91">
        <f ca="1">OFFSET(card!$K$1,MATCH(G492,card!B:B,0)-1,0)</f>
        <v>2</v>
      </c>
    </row>
    <row r="493" ht="15" spans="1:10">
      <c r="A493" s="276">
        <f t="shared" si="28"/>
        <v>320106</v>
      </c>
      <c r="B493" s="277">
        <v>6</v>
      </c>
      <c r="C493" s="278">
        <v>3</v>
      </c>
      <c r="D493" s="106">
        <v>2</v>
      </c>
      <c r="E493" s="106">
        <f t="shared" si="29"/>
        <v>3201</v>
      </c>
      <c r="F493" s="46">
        <f ca="1">OFFSET(card!$A$1,MATCH(G493,card!B:B,0)-1,0)</f>
        <v>3004001</v>
      </c>
      <c r="G493" s="91" t="s">
        <v>851</v>
      </c>
      <c r="I493" s="91">
        <f ca="1">OFFSET(card!$J$1,MATCH(G493,card!B:B,0)-1,0)</f>
        <v>1</v>
      </c>
      <c r="J493" s="91">
        <f ca="1">OFFSET(card!$K$1,MATCH(G493,card!B:B,0)-1,0)</f>
        <v>1</v>
      </c>
    </row>
    <row r="494" ht="15" spans="1:10">
      <c r="A494" s="276">
        <f t="shared" si="28"/>
        <v>320107</v>
      </c>
      <c r="B494" s="277">
        <v>7</v>
      </c>
      <c r="C494" s="278">
        <v>3</v>
      </c>
      <c r="D494" s="106">
        <v>2</v>
      </c>
      <c r="E494" s="106">
        <f t="shared" si="29"/>
        <v>3201</v>
      </c>
      <c r="F494" s="46">
        <f ca="1">OFFSET(card!$A$1,MATCH(G494,card!B:B,0)-1,0)</f>
        <v>3011001</v>
      </c>
      <c r="G494" s="91" t="s">
        <v>880</v>
      </c>
      <c r="I494" s="91">
        <f ca="1">OFFSET(card!$J$1,MATCH(G494,card!B:B,0)-1,0)</f>
        <v>1</v>
      </c>
      <c r="J494" s="91">
        <f ca="1">OFFSET(card!$K$1,MATCH(G494,card!B:B,0)-1,0)</f>
        <v>1</v>
      </c>
    </row>
    <row r="495" ht="15" spans="1:10">
      <c r="A495" s="276">
        <f t="shared" si="28"/>
        <v>320108</v>
      </c>
      <c r="B495" s="277">
        <v>8</v>
      </c>
      <c r="C495" s="278">
        <v>3</v>
      </c>
      <c r="D495" s="106">
        <v>2</v>
      </c>
      <c r="E495" s="106">
        <f t="shared" si="29"/>
        <v>3201</v>
      </c>
      <c r="F495" s="46">
        <f ca="1">OFFSET(card!$A$1,MATCH(G495,card!B:B,0)-1,0)</f>
        <v>3007001</v>
      </c>
      <c r="G495" s="91" t="s">
        <v>488</v>
      </c>
      <c r="I495" s="91">
        <f ca="1">OFFSET(card!$J$1,MATCH(G495,card!B:B,0)-1,0)</f>
        <v>3</v>
      </c>
      <c r="J495" s="91">
        <f ca="1">OFFSET(card!$K$1,MATCH(G495,card!B:B,0)-1,0)</f>
        <v>1</v>
      </c>
    </row>
    <row r="496" ht="15" spans="1:10">
      <c r="A496" s="276">
        <f t="shared" si="28"/>
        <v>320109</v>
      </c>
      <c r="B496" s="277">
        <v>9</v>
      </c>
      <c r="C496" s="278">
        <v>3</v>
      </c>
      <c r="D496" s="106">
        <v>2</v>
      </c>
      <c r="E496" s="106">
        <f t="shared" si="29"/>
        <v>3201</v>
      </c>
      <c r="F496" s="46">
        <f ca="1">OFFSET(card!$A$1,MATCH(G496,card!B:B,0)-1,0)</f>
        <v>3008001</v>
      </c>
      <c r="G496" s="283" t="s">
        <v>298</v>
      </c>
      <c r="I496" s="91">
        <f ca="1">OFFSET(card!$J$1,MATCH(G496,card!B:B,0)-1,0)</f>
        <v>1</v>
      </c>
      <c r="J496" s="91">
        <f ca="1">OFFSET(card!$K$1,MATCH(G496,card!B:B,0)-1,0)</f>
        <v>2</v>
      </c>
    </row>
    <row r="497" ht="15" spans="1:10">
      <c r="A497" s="276">
        <f t="shared" si="28"/>
        <v>320110</v>
      </c>
      <c r="B497" s="277">
        <v>10</v>
      </c>
      <c r="C497" s="278">
        <v>3</v>
      </c>
      <c r="D497" s="106">
        <v>2</v>
      </c>
      <c r="E497" s="106">
        <f t="shared" si="29"/>
        <v>3201</v>
      </c>
      <c r="F497" s="46">
        <f ca="1">OFFSET(card!$A$1,MATCH(G497,card!B:B,0)-1,0)</f>
        <v>3004001</v>
      </c>
      <c r="G497" s="91" t="s">
        <v>851</v>
      </c>
      <c r="I497" s="91">
        <f ca="1">OFFSET(card!$J$1,MATCH(G497,card!B:B,0)-1,0)</f>
        <v>1</v>
      </c>
      <c r="J497" s="91">
        <f ca="1">OFFSET(card!$K$1,MATCH(G497,card!B:B,0)-1,0)</f>
        <v>1</v>
      </c>
    </row>
    <row r="498" ht="15" spans="1:10">
      <c r="A498" s="276">
        <f t="shared" si="28"/>
        <v>320201</v>
      </c>
      <c r="B498" s="277">
        <v>1</v>
      </c>
      <c r="C498" s="278">
        <v>3</v>
      </c>
      <c r="D498" s="106">
        <v>2</v>
      </c>
      <c r="E498" s="106">
        <f t="shared" ref="E498:E537" si="30">E488+1</f>
        <v>3202</v>
      </c>
      <c r="F498" s="46">
        <f ca="1">OFFSET(card!$A$1,MATCH(G498,card!B:B,0)-1,0)</f>
        <v>3001001</v>
      </c>
      <c r="G498" s="270" t="s">
        <v>490</v>
      </c>
      <c r="H498" s="91" t="s">
        <v>1493</v>
      </c>
      <c r="I498" s="91">
        <f ca="1">OFFSET(card!$J$1,MATCH(G498,card!B:B,0)-1,0)</f>
        <v>1</v>
      </c>
      <c r="J498" s="91">
        <f ca="1">OFFSET(card!$K$1,MATCH(G498,card!B:B,0)-1,0)</f>
        <v>1</v>
      </c>
    </row>
    <row r="499" ht="15" spans="1:10">
      <c r="A499" s="276">
        <f t="shared" si="28"/>
        <v>320202</v>
      </c>
      <c r="B499" s="277">
        <v>2</v>
      </c>
      <c r="C499" s="278">
        <v>3</v>
      </c>
      <c r="D499" s="106">
        <v>2</v>
      </c>
      <c r="E499" s="106">
        <f t="shared" si="30"/>
        <v>3202</v>
      </c>
      <c r="F499" s="46">
        <f ca="1">OFFSET(card!$A$1,MATCH(G499,card!B:B,0)-1,0)</f>
        <v>3014001</v>
      </c>
      <c r="G499" s="91" t="s">
        <v>361</v>
      </c>
      <c r="H499" s="91" t="s">
        <v>1493</v>
      </c>
      <c r="I499" s="91">
        <f ca="1">OFFSET(card!$J$1,MATCH(G499,card!B:B,0)-1,0)</f>
        <v>1</v>
      </c>
      <c r="J499" s="91">
        <f ca="1">OFFSET(card!$K$1,MATCH(G499,card!B:B,0)-1,0)</f>
        <v>2</v>
      </c>
    </row>
    <row r="500" ht="15" spans="1:10">
      <c r="A500" s="276">
        <f t="shared" si="28"/>
        <v>320203</v>
      </c>
      <c r="B500" s="277">
        <v>3</v>
      </c>
      <c r="C500" s="278">
        <v>3</v>
      </c>
      <c r="D500" s="106">
        <v>2</v>
      </c>
      <c r="E500" s="106">
        <f t="shared" si="30"/>
        <v>3202</v>
      </c>
      <c r="F500" s="46">
        <f ca="1">OFFSET(card!$A$1,MATCH(G500,card!B:B,0)-1,0)</f>
        <v>3013001</v>
      </c>
      <c r="G500" s="91" t="s">
        <v>359</v>
      </c>
      <c r="H500" s="91" t="s">
        <v>1493</v>
      </c>
      <c r="I500" s="91">
        <f ca="1">OFFSET(card!$J$1,MATCH(G500,card!B:B,0)-1,0)</f>
        <v>1</v>
      </c>
      <c r="J500" s="91">
        <f ca="1">OFFSET(card!$K$1,MATCH(G500,card!B:B,0)-1,0)</f>
        <v>1</v>
      </c>
    </row>
    <row r="501" ht="15" spans="1:10">
      <c r="A501" s="276">
        <f t="shared" si="28"/>
        <v>320204</v>
      </c>
      <c r="B501" s="277">
        <v>4</v>
      </c>
      <c r="C501" s="278">
        <v>3</v>
      </c>
      <c r="D501" s="106">
        <v>2</v>
      </c>
      <c r="E501" s="106">
        <f t="shared" si="30"/>
        <v>3202</v>
      </c>
      <c r="F501" s="46">
        <f ca="1">OFFSET(card!$A$1,MATCH(G501,card!B:B,0)-1,0)</f>
        <v>3015001</v>
      </c>
      <c r="G501" s="91" t="s">
        <v>367</v>
      </c>
      <c r="H501" s="91" t="s">
        <v>1493</v>
      </c>
      <c r="I501" s="91">
        <f ca="1">OFFSET(card!$J$1,MATCH(G501,card!B:B,0)-1,0)</f>
        <v>2</v>
      </c>
      <c r="J501" s="91">
        <f ca="1">OFFSET(card!$K$1,MATCH(G501,card!B:B,0)-1,0)</f>
        <v>1</v>
      </c>
    </row>
    <row r="502" ht="15" spans="1:10">
      <c r="A502" s="276">
        <f t="shared" si="28"/>
        <v>320205</v>
      </c>
      <c r="B502" s="277">
        <v>5</v>
      </c>
      <c r="C502" s="278">
        <v>3</v>
      </c>
      <c r="D502" s="106">
        <v>2</v>
      </c>
      <c r="E502" s="106">
        <f t="shared" si="30"/>
        <v>3202</v>
      </c>
      <c r="F502" s="46">
        <f ca="1">OFFSET(card!$A$1,MATCH(G502,card!B:B,0)-1,0)</f>
        <v>3001001</v>
      </c>
      <c r="G502" s="270" t="s">
        <v>490</v>
      </c>
      <c r="H502" s="91" t="s">
        <v>1493</v>
      </c>
      <c r="I502" s="91">
        <f ca="1">OFFSET(card!$J$1,MATCH(G502,card!B:B,0)-1,0)</f>
        <v>1</v>
      </c>
      <c r="J502" s="91">
        <f ca="1">OFFSET(card!$K$1,MATCH(G502,card!B:B,0)-1,0)</f>
        <v>1</v>
      </c>
    </row>
    <row r="503" ht="15" spans="1:10">
      <c r="A503" s="276">
        <f t="shared" si="28"/>
        <v>320206</v>
      </c>
      <c r="B503" s="277">
        <v>6</v>
      </c>
      <c r="C503" s="278">
        <v>3</v>
      </c>
      <c r="D503" s="106">
        <v>2</v>
      </c>
      <c r="E503" s="106">
        <f t="shared" si="30"/>
        <v>3202</v>
      </c>
      <c r="F503" s="46">
        <f ca="1">OFFSET(card!$A$1,MATCH(G503,card!B:B,0)-1,0)</f>
        <v>3014001</v>
      </c>
      <c r="G503" s="91" t="s">
        <v>361</v>
      </c>
      <c r="H503" s="91" t="s">
        <v>1493</v>
      </c>
      <c r="I503" s="91">
        <f ca="1">OFFSET(card!$J$1,MATCH(G503,card!B:B,0)-1,0)</f>
        <v>1</v>
      </c>
      <c r="J503" s="91">
        <f ca="1">OFFSET(card!$K$1,MATCH(G503,card!B:B,0)-1,0)</f>
        <v>2</v>
      </c>
    </row>
    <row r="504" ht="15" spans="1:10">
      <c r="A504" s="276">
        <f t="shared" si="28"/>
        <v>320207</v>
      </c>
      <c r="B504" s="277">
        <v>7</v>
      </c>
      <c r="C504" s="278">
        <v>3</v>
      </c>
      <c r="D504" s="106">
        <v>2</v>
      </c>
      <c r="E504" s="106">
        <f t="shared" si="30"/>
        <v>3202</v>
      </c>
      <c r="F504" s="46">
        <f ca="1">OFFSET(card!$A$1,MATCH(G504,card!B:B,0)-1,0)</f>
        <v>3013001</v>
      </c>
      <c r="G504" s="91" t="s">
        <v>359</v>
      </c>
      <c r="H504" s="91" t="s">
        <v>1493</v>
      </c>
      <c r="I504" s="91">
        <f ca="1">OFFSET(card!$J$1,MATCH(G504,card!B:B,0)-1,0)</f>
        <v>1</v>
      </c>
      <c r="J504" s="91">
        <f ca="1">OFFSET(card!$K$1,MATCH(G504,card!B:B,0)-1,0)</f>
        <v>1</v>
      </c>
    </row>
    <row r="505" ht="15" spans="1:10">
      <c r="A505" s="276">
        <f t="shared" si="28"/>
        <v>320208</v>
      </c>
      <c r="B505" s="277">
        <v>8</v>
      </c>
      <c r="C505" s="278">
        <v>3</v>
      </c>
      <c r="D505" s="106">
        <v>2</v>
      </c>
      <c r="E505" s="106">
        <f t="shared" si="30"/>
        <v>3202</v>
      </c>
      <c r="F505" s="46">
        <f ca="1">OFFSET(card!$A$1,MATCH(G505,card!B:B,0)-1,0)</f>
        <v>3015001</v>
      </c>
      <c r="G505" s="91" t="s">
        <v>367</v>
      </c>
      <c r="H505" s="91" t="s">
        <v>1493</v>
      </c>
      <c r="I505" s="91">
        <f ca="1">OFFSET(card!$J$1,MATCH(G505,card!B:B,0)-1,0)</f>
        <v>2</v>
      </c>
      <c r="J505" s="91">
        <f ca="1">OFFSET(card!$K$1,MATCH(G505,card!B:B,0)-1,0)</f>
        <v>1</v>
      </c>
    </row>
    <row r="506" ht="15" spans="1:10">
      <c r="A506" s="276">
        <f t="shared" si="28"/>
        <v>320209</v>
      </c>
      <c r="B506" s="277">
        <v>9</v>
      </c>
      <c r="C506" s="278">
        <v>3</v>
      </c>
      <c r="D506" s="106">
        <v>2</v>
      </c>
      <c r="E506" s="106">
        <f t="shared" si="30"/>
        <v>3202</v>
      </c>
      <c r="F506" s="46">
        <f ca="1">OFFSET(card!$A$1,MATCH(G506,card!B:B,0)-1,0)</f>
        <v>3015001</v>
      </c>
      <c r="G506" s="91" t="s">
        <v>367</v>
      </c>
      <c r="H506" s="91" t="s">
        <v>1493</v>
      </c>
      <c r="I506" s="91">
        <f ca="1">OFFSET(card!$J$1,MATCH(G506,card!B:B,0)-1,0)</f>
        <v>2</v>
      </c>
      <c r="J506" s="91">
        <f ca="1">OFFSET(card!$K$1,MATCH(G506,card!B:B,0)-1,0)</f>
        <v>1</v>
      </c>
    </row>
    <row r="507" ht="15" spans="1:10">
      <c r="A507" s="276">
        <f t="shared" si="28"/>
        <v>320210</v>
      </c>
      <c r="B507" s="277">
        <v>10</v>
      </c>
      <c r="C507" s="278">
        <v>3</v>
      </c>
      <c r="D507" s="106">
        <v>2</v>
      </c>
      <c r="E507" s="106">
        <f t="shared" si="30"/>
        <v>3202</v>
      </c>
      <c r="F507" s="46">
        <f ca="1">OFFSET(card!$A$1,MATCH(G507,card!B:B,0)-1,0)</f>
        <v>3014001</v>
      </c>
      <c r="G507" s="91" t="s">
        <v>361</v>
      </c>
      <c r="H507" s="91" t="s">
        <v>1493</v>
      </c>
      <c r="I507" s="91">
        <f ca="1">OFFSET(card!$J$1,MATCH(G507,card!B:B,0)-1,0)</f>
        <v>1</v>
      </c>
      <c r="J507" s="91">
        <f ca="1">OFFSET(card!$K$1,MATCH(G507,card!B:B,0)-1,0)</f>
        <v>2</v>
      </c>
    </row>
    <row r="508" ht="15" spans="1:10">
      <c r="A508" s="276">
        <f t="shared" si="28"/>
        <v>320301</v>
      </c>
      <c r="B508" s="277">
        <v>1</v>
      </c>
      <c r="C508" s="278">
        <v>3</v>
      </c>
      <c r="D508" s="106">
        <v>2</v>
      </c>
      <c r="E508" s="106">
        <f t="shared" si="30"/>
        <v>3203</v>
      </c>
      <c r="F508" s="46">
        <f ca="1">OFFSET(card!$A$1,MATCH(G508,card!B:B,0)-1,0)</f>
        <v>3001001</v>
      </c>
      <c r="G508" s="270" t="s">
        <v>490</v>
      </c>
      <c r="I508" s="91">
        <f ca="1">OFFSET(card!$J$1,MATCH(G508,card!B:B,0)-1,0)</f>
        <v>1</v>
      </c>
      <c r="J508" s="91">
        <f ca="1">OFFSET(card!$K$1,MATCH(G508,card!B:B,0)-1,0)</f>
        <v>1</v>
      </c>
    </row>
    <row r="509" ht="15" spans="1:10">
      <c r="A509" s="276">
        <f t="shared" si="28"/>
        <v>320302</v>
      </c>
      <c r="B509" s="277">
        <v>2</v>
      </c>
      <c r="C509" s="278">
        <v>3</v>
      </c>
      <c r="D509" s="106">
        <v>2</v>
      </c>
      <c r="E509" s="106">
        <f t="shared" si="30"/>
        <v>3203</v>
      </c>
      <c r="F509" s="46">
        <f ca="1">OFFSET(card!$A$1,MATCH(G509,card!B:B,0)-1,0)</f>
        <v>3022001</v>
      </c>
      <c r="G509" s="91" t="s">
        <v>476</v>
      </c>
      <c r="I509" s="91">
        <f ca="1">OFFSET(card!$J$1,MATCH(G509,card!B:B,0)-1,0)</f>
        <v>2</v>
      </c>
      <c r="J509" s="91">
        <f ca="1">OFFSET(card!$K$1,MATCH(G509,card!B:B,0)-1,0)</f>
        <v>1</v>
      </c>
    </row>
    <row r="510" ht="15" spans="1:10">
      <c r="A510" s="276">
        <f t="shared" si="28"/>
        <v>320303</v>
      </c>
      <c r="B510" s="277">
        <v>3</v>
      </c>
      <c r="C510" s="278">
        <v>3</v>
      </c>
      <c r="D510" s="106">
        <v>2</v>
      </c>
      <c r="E510" s="106">
        <f t="shared" si="30"/>
        <v>3203</v>
      </c>
      <c r="F510" s="46">
        <f ca="1">OFFSET(card!$A$1,MATCH(G510,card!B:B,0)-1,0)</f>
        <v>3023001</v>
      </c>
      <c r="G510" s="91" t="s">
        <v>451</v>
      </c>
      <c r="I510" s="91">
        <f ca="1">OFFSET(card!$J$1,MATCH(G510,card!B:B,0)-1,0)</f>
        <v>3</v>
      </c>
      <c r="J510" s="91">
        <f ca="1">OFFSET(card!$K$1,MATCH(G510,card!B:B,0)-1,0)</f>
        <v>2</v>
      </c>
    </row>
    <row r="511" ht="15" spans="1:10">
      <c r="A511" s="276">
        <f t="shared" si="28"/>
        <v>320304</v>
      </c>
      <c r="B511" s="277">
        <v>4</v>
      </c>
      <c r="C511" s="278">
        <v>3</v>
      </c>
      <c r="D511" s="106">
        <v>2</v>
      </c>
      <c r="E511" s="106">
        <f t="shared" si="30"/>
        <v>3203</v>
      </c>
      <c r="F511" s="46">
        <f ca="1">OFFSET(card!$A$1,MATCH(G511,card!B:B,0)-1,0)</f>
        <v>3025001</v>
      </c>
      <c r="G511" s="91" t="s">
        <v>435</v>
      </c>
      <c r="I511" s="91">
        <f ca="1">OFFSET(card!$J$1,MATCH(G511,card!B:B,0)-1,0)</f>
        <v>3</v>
      </c>
      <c r="J511" s="91">
        <f ca="1">OFFSET(card!$K$1,MATCH(G511,card!B:B,0)-1,0)</f>
        <v>2</v>
      </c>
    </row>
    <row r="512" ht="15" spans="1:10">
      <c r="A512" s="276">
        <f t="shared" si="28"/>
        <v>320305</v>
      </c>
      <c r="B512" s="277">
        <v>5</v>
      </c>
      <c r="C512" s="278">
        <v>3</v>
      </c>
      <c r="D512" s="106">
        <v>2</v>
      </c>
      <c r="E512" s="106">
        <f t="shared" si="30"/>
        <v>3203</v>
      </c>
      <c r="F512" s="46">
        <f ca="1">OFFSET(card!$A$1,MATCH(G512,card!B:B,0)-1,0)</f>
        <v>3001001</v>
      </c>
      <c r="G512" s="270" t="s">
        <v>490</v>
      </c>
      <c r="I512" s="91">
        <f ca="1">OFFSET(card!$J$1,MATCH(G512,card!B:B,0)-1,0)</f>
        <v>1</v>
      </c>
      <c r="J512" s="91">
        <f ca="1">OFFSET(card!$K$1,MATCH(G512,card!B:B,0)-1,0)</f>
        <v>1</v>
      </c>
    </row>
    <row r="513" ht="15" spans="1:10">
      <c r="A513" s="276">
        <f t="shared" si="28"/>
        <v>320306</v>
      </c>
      <c r="B513" s="277">
        <v>6</v>
      </c>
      <c r="C513" s="278">
        <v>3</v>
      </c>
      <c r="D513" s="106">
        <v>2</v>
      </c>
      <c r="E513" s="106">
        <f t="shared" si="30"/>
        <v>3203</v>
      </c>
      <c r="F513" s="46">
        <f ca="1">OFFSET(card!$A$1,MATCH(G513,card!B:B,0)-1,0)</f>
        <v>3022001</v>
      </c>
      <c r="G513" s="91" t="s">
        <v>476</v>
      </c>
      <c r="I513" s="91">
        <f ca="1">OFFSET(card!$J$1,MATCH(G513,card!B:B,0)-1,0)</f>
        <v>2</v>
      </c>
      <c r="J513" s="91">
        <f ca="1">OFFSET(card!$K$1,MATCH(G513,card!B:B,0)-1,0)</f>
        <v>1</v>
      </c>
    </row>
    <row r="514" ht="15" spans="1:10">
      <c r="A514" s="276">
        <f t="shared" si="28"/>
        <v>320307</v>
      </c>
      <c r="B514" s="277">
        <v>7</v>
      </c>
      <c r="C514" s="278">
        <v>3</v>
      </c>
      <c r="D514" s="106">
        <v>2</v>
      </c>
      <c r="E514" s="106">
        <f t="shared" si="30"/>
        <v>3203</v>
      </c>
      <c r="F514" s="46">
        <f ca="1">OFFSET(card!$A$1,MATCH(G514,card!B:B,0)-1,0)</f>
        <v>3023001</v>
      </c>
      <c r="G514" s="91" t="s">
        <v>451</v>
      </c>
      <c r="I514" s="91">
        <f ca="1">OFFSET(card!$J$1,MATCH(G514,card!B:B,0)-1,0)</f>
        <v>3</v>
      </c>
      <c r="J514" s="91">
        <f ca="1">OFFSET(card!$K$1,MATCH(G514,card!B:B,0)-1,0)</f>
        <v>2</v>
      </c>
    </row>
    <row r="515" ht="15" spans="1:10">
      <c r="A515" s="276">
        <f t="shared" si="28"/>
        <v>320308</v>
      </c>
      <c r="B515" s="277">
        <v>8</v>
      </c>
      <c r="C515" s="278">
        <v>3</v>
      </c>
      <c r="D515" s="106">
        <v>2</v>
      </c>
      <c r="E515" s="106">
        <f t="shared" si="30"/>
        <v>3203</v>
      </c>
      <c r="F515" s="46">
        <f ca="1">OFFSET(card!$A$1,MATCH(G515,card!B:B,0)-1,0)</f>
        <v>3025001</v>
      </c>
      <c r="G515" s="91" t="s">
        <v>435</v>
      </c>
      <c r="I515" s="91">
        <f ca="1">OFFSET(card!$J$1,MATCH(G515,card!B:B,0)-1,0)</f>
        <v>3</v>
      </c>
      <c r="J515" s="91">
        <f ca="1">OFFSET(card!$K$1,MATCH(G515,card!B:B,0)-1,0)</f>
        <v>2</v>
      </c>
    </row>
    <row r="516" ht="15" spans="1:10">
      <c r="A516" s="276">
        <f t="shared" si="28"/>
        <v>320309</v>
      </c>
      <c r="B516" s="277">
        <v>9</v>
      </c>
      <c r="C516" s="278">
        <v>3</v>
      </c>
      <c r="D516" s="106">
        <v>2</v>
      </c>
      <c r="E516" s="106">
        <f t="shared" si="30"/>
        <v>3203</v>
      </c>
      <c r="F516" s="46">
        <f ca="1">OFFSET(card!$A$1,MATCH(G516,card!B:B,0)-1,0)</f>
        <v>3025001</v>
      </c>
      <c r="G516" s="91" t="s">
        <v>435</v>
      </c>
      <c r="I516" s="91">
        <f ca="1">OFFSET(card!$J$1,MATCH(G516,card!B:B,0)-1,0)</f>
        <v>3</v>
      </c>
      <c r="J516" s="91">
        <f ca="1">OFFSET(card!$K$1,MATCH(G516,card!B:B,0)-1,0)</f>
        <v>2</v>
      </c>
    </row>
    <row r="517" ht="15" spans="1:10">
      <c r="A517" s="276">
        <f t="shared" si="28"/>
        <v>320310</v>
      </c>
      <c r="B517" s="277">
        <v>10</v>
      </c>
      <c r="C517" s="278">
        <v>3</v>
      </c>
      <c r="D517" s="106">
        <v>2</v>
      </c>
      <c r="E517" s="106">
        <f t="shared" si="30"/>
        <v>3203</v>
      </c>
      <c r="F517" s="46">
        <f ca="1">OFFSET(card!$A$1,MATCH(G517,card!B:B,0)-1,0)</f>
        <v>3022001</v>
      </c>
      <c r="G517" s="91" t="s">
        <v>476</v>
      </c>
      <c r="I517" s="91">
        <f ca="1">OFFSET(card!$J$1,MATCH(G517,card!B:B,0)-1,0)</f>
        <v>2</v>
      </c>
      <c r="J517" s="91">
        <f ca="1">OFFSET(card!$K$1,MATCH(G517,card!B:B,0)-1,0)</f>
        <v>1</v>
      </c>
    </row>
    <row r="518" ht="15" spans="1:10">
      <c r="A518" s="276">
        <f t="shared" si="28"/>
        <v>320401</v>
      </c>
      <c r="B518" s="277">
        <v>1</v>
      </c>
      <c r="C518" s="278">
        <v>3</v>
      </c>
      <c r="D518" s="106">
        <v>2</v>
      </c>
      <c r="E518" s="106">
        <f t="shared" si="30"/>
        <v>3204</v>
      </c>
      <c r="F518" s="46">
        <f ca="1">OFFSET(card!$A$1,MATCH(G518,card!B:B,0)-1,0)</f>
        <v>3022001</v>
      </c>
      <c r="G518" s="91" t="s">
        <v>476</v>
      </c>
      <c r="I518" s="91">
        <f ca="1">OFFSET(card!$J$1,MATCH(G518,card!B:B,0)-1,0)</f>
        <v>2</v>
      </c>
      <c r="J518" s="91">
        <f ca="1">OFFSET(card!$K$1,MATCH(G518,card!B:B,0)-1,0)</f>
        <v>1</v>
      </c>
    </row>
    <row r="519" ht="15" spans="1:10">
      <c r="A519" s="276">
        <f t="shared" si="28"/>
        <v>320402</v>
      </c>
      <c r="B519" s="277">
        <v>2</v>
      </c>
      <c r="C519" s="278">
        <v>3</v>
      </c>
      <c r="D519" s="106">
        <v>2</v>
      </c>
      <c r="E519" s="106">
        <f t="shared" si="30"/>
        <v>3204</v>
      </c>
      <c r="F519" s="46">
        <f ca="1">OFFSET(card!$A$1,MATCH(G519,card!B:B,0)-1,0)</f>
        <v>3023001</v>
      </c>
      <c r="G519" s="91" t="s">
        <v>451</v>
      </c>
      <c r="I519" s="91">
        <f ca="1">OFFSET(card!$J$1,MATCH(G519,card!B:B,0)-1,0)</f>
        <v>3</v>
      </c>
      <c r="J519" s="91">
        <f ca="1">OFFSET(card!$K$1,MATCH(G519,card!B:B,0)-1,0)</f>
        <v>2</v>
      </c>
    </row>
    <row r="520" ht="15" spans="1:10">
      <c r="A520" s="276">
        <f t="shared" si="28"/>
        <v>320403</v>
      </c>
      <c r="B520" s="277">
        <v>3</v>
      </c>
      <c r="C520" s="278">
        <v>3</v>
      </c>
      <c r="D520" s="106">
        <v>2</v>
      </c>
      <c r="E520" s="106">
        <f t="shared" si="30"/>
        <v>3204</v>
      </c>
      <c r="F520" s="46">
        <f ca="1">OFFSET(card!$A$1,MATCH(G520,card!B:B,0)-1,0)</f>
        <v>3025001</v>
      </c>
      <c r="G520" s="91" t="s">
        <v>435</v>
      </c>
      <c r="I520" s="91">
        <f ca="1">OFFSET(card!$J$1,MATCH(G520,card!B:B,0)-1,0)</f>
        <v>3</v>
      </c>
      <c r="J520" s="91">
        <f ca="1">OFFSET(card!$K$1,MATCH(G520,card!B:B,0)-1,0)</f>
        <v>2</v>
      </c>
    </row>
    <row r="521" ht="15" spans="1:10">
      <c r="A521" s="276">
        <f t="shared" si="28"/>
        <v>320404</v>
      </c>
      <c r="B521" s="277">
        <v>4</v>
      </c>
      <c r="C521" s="278">
        <v>3</v>
      </c>
      <c r="D521" s="106">
        <v>2</v>
      </c>
      <c r="E521" s="106">
        <f t="shared" si="30"/>
        <v>3204</v>
      </c>
      <c r="F521" s="46">
        <f ca="1">OFFSET(card!$A$1,MATCH(G521,card!B:B,0)-1,0)</f>
        <v>3024001</v>
      </c>
      <c r="G521" s="91" t="s">
        <v>453</v>
      </c>
      <c r="I521" s="91">
        <f ca="1">OFFSET(card!$J$1,MATCH(G521,card!B:B,0)-1,0)</f>
        <v>2</v>
      </c>
      <c r="J521" s="91">
        <f ca="1">OFFSET(card!$K$1,MATCH(G521,card!B:B,0)-1,0)</f>
        <v>3</v>
      </c>
    </row>
    <row r="522" ht="15" spans="1:10">
      <c r="A522" s="276">
        <f t="shared" si="28"/>
        <v>320405</v>
      </c>
      <c r="B522" s="277">
        <v>5</v>
      </c>
      <c r="C522" s="278">
        <v>3</v>
      </c>
      <c r="D522" s="106">
        <v>2</v>
      </c>
      <c r="E522" s="106">
        <f t="shared" si="30"/>
        <v>3204</v>
      </c>
      <c r="F522" s="46">
        <f ca="1">OFFSET(card!$A$1,MATCH(G522,card!B:B,0)-1,0)</f>
        <v>3022001</v>
      </c>
      <c r="G522" s="91" t="s">
        <v>476</v>
      </c>
      <c r="I522" s="91">
        <f ca="1">OFFSET(card!$J$1,MATCH(G522,card!B:B,0)-1,0)</f>
        <v>2</v>
      </c>
      <c r="J522" s="91">
        <f ca="1">OFFSET(card!$K$1,MATCH(G522,card!B:B,0)-1,0)</f>
        <v>1</v>
      </c>
    </row>
    <row r="523" ht="15" spans="1:10">
      <c r="A523" s="276">
        <f t="shared" si="28"/>
        <v>320406</v>
      </c>
      <c r="B523" s="277">
        <v>6</v>
      </c>
      <c r="C523" s="278">
        <v>3</v>
      </c>
      <c r="D523" s="106">
        <v>2</v>
      </c>
      <c r="E523" s="106">
        <f t="shared" si="30"/>
        <v>3204</v>
      </c>
      <c r="F523" s="46">
        <f ca="1">OFFSET(card!$A$1,MATCH(G523,card!B:B,0)-1,0)</f>
        <v>3023001</v>
      </c>
      <c r="G523" s="91" t="s">
        <v>451</v>
      </c>
      <c r="I523" s="91">
        <f ca="1">OFFSET(card!$J$1,MATCH(G523,card!B:B,0)-1,0)</f>
        <v>3</v>
      </c>
      <c r="J523" s="91">
        <f ca="1">OFFSET(card!$K$1,MATCH(G523,card!B:B,0)-1,0)</f>
        <v>2</v>
      </c>
    </row>
    <row r="524" ht="15" spans="1:10">
      <c r="A524" s="276">
        <f t="shared" si="28"/>
        <v>320407</v>
      </c>
      <c r="B524" s="277">
        <v>7</v>
      </c>
      <c r="C524" s="278">
        <v>3</v>
      </c>
      <c r="D524" s="106">
        <v>2</v>
      </c>
      <c r="E524" s="106">
        <f t="shared" si="30"/>
        <v>3204</v>
      </c>
      <c r="F524" s="46">
        <f ca="1">OFFSET(card!$A$1,MATCH(G524,card!B:B,0)-1,0)</f>
        <v>3025001</v>
      </c>
      <c r="G524" s="91" t="s">
        <v>435</v>
      </c>
      <c r="I524" s="91">
        <f ca="1">OFFSET(card!$J$1,MATCH(G524,card!B:B,0)-1,0)</f>
        <v>3</v>
      </c>
      <c r="J524" s="91">
        <f ca="1">OFFSET(card!$K$1,MATCH(G524,card!B:B,0)-1,0)</f>
        <v>2</v>
      </c>
    </row>
    <row r="525" ht="15" spans="1:10">
      <c r="A525" s="276">
        <f t="shared" si="28"/>
        <v>320408</v>
      </c>
      <c r="B525" s="277">
        <v>8</v>
      </c>
      <c r="C525" s="278">
        <v>3</v>
      </c>
      <c r="D525" s="106">
        <v>2</v>
      </c>
      <c r="E525" s="106">
        <f t="shared" si="30"/>
        <v>3204</v>
      </c>
      <c r="F525" s="46">
        <f ca="1">OFFSET(card!$A$1,MATCH(G525,card!B:B,0)-1,0)</f>
        <v>3024001</v>
      </c>
      <c r="G525" s="91" t="s">
        <v>453</v>
      </c>
      <c r="I525" s="91">
        <f ca="1">OFFSET(card!$J$1,MATCH(G525,card!B:B,0)-1,0)</f>
        <v>2</v>
      </c>
      <c r="J525" s="91">
        <f ca="1">OFFSET(card!$K$1,MATCH(G525,card!B:B,0)-1,0)</f>
        <v>3</v>
      </c>
    </row>
    <row r="526" ht="15" spans="1:10">
      <c r="A526" s="276">
        <f t="shared" si="28"/>
        <v>320409</v>
      </c>
      <c r="B526" s="277">
        <v>9</v>
      </c>
      <c r="C526" s="278">
        <v>3</v>
      </c>
      <c r="D526" s="106">
        <v>2</v>
      </c>
      <c r="E526" s="106">
        <f t="shared" si="30"/>
        <v>3204</v>
      </c>
      <c r="F526" s="46">
        <f ca="1">OFFSET(card!$A$1,MATCH(G526,card!B:B,0)-1,0)</f>
        <v>3025001</v>
      </c>
      <c r="G526" s="91" t="s">
        <v>435</v>
      </c>
      <c r="I526" s="91">
        <f ca="1">OFFSET(card!$J$1,MATCH(G526,card!B:B,0)-1,0)</f>
        <v>3</v>
      </c>
      <c r="J526" s="91">
        <f ca="1">OFFSET(card!$K$1,MATCH(G526,card!B:B,0)-1,0)</f>
        <v>2</v>
      </c>
    </row>
    <row r="527" ht="15" spans="1:10">
      <c r="A527" s="276">
        <f t="shared" si="28"/>
        <v>320410</v>
      </c>
      <c r="B527" s="277">
        <v>10</v>
      </c>
      <c r="C527" s="278">
        <v>3</v>
      </c>
      <c r="D527" s="106">
        <v>2</v>
      </c>
      <c r="E527" s="106">
        <f t="shared" si="30"/>
        <v>3204</v>
      </c>
      <c r="F527" s="46">
        <f ca="1">OFFSET(card!$A$1,MATCH(G527,card!B:B,0)-1,0)</f>
        <v>3024001</v>
      </c>
      <c r="G527" s="91" t="s">
        <v>453</v>
      </c>
      <c r="I527" s="91">
        <f ca="1">OFFSET(card!$J$1,MATCH(G527,card!B:B,0)-1,0)</f>
        <v>2</v>
      </c>
      <c r="J527" s="91">
        <f ca="1">OFFSET(card!$K$1,MATCH(G527,card!B:B,0)-1,0)</f>
        <v>3</v>
      </c>
    </row>
    <row r="528" ht="15" spans="1:10">
      <c r="A528" s="276">
        <f t="shared" si="28"/>
        <v>320501</v>
      </c>
      <c r="B528" s="277">
        <v>1</v>
      </c>
      <c r="C528" s="278">
        <v>3</v>
      </c>
      <c r="D528" s="106">
        <v>2</v>
      </c>
      <c r="E528" s="106">
        <f t="shared" si="30"/>
        <v>3205</v>
      </c>
      <c r="F528" s="46">
        <f ca="1">OFFSET(card!$A$1,MATCH(G528,card!B:B,0)-1,0)</f>
        <v>3008001</v>
      </c>
      <c r="G528" s="283" t="s">
        <v>298</v>
      </c>
      <c r="I528" s="91">
        <f ca="1">OFFSET(card!$J$1,MATCH(G528,card!B:B,0)-1,0)</f>
        <v>1</v>
      </c>
      <c r="J528" s="91">
        <f ca="1">OFFSET(card!$K$1,MATCH(G528,card!B:B,0)-1,0)</f>
        <v>2</v>
      </c>
    </row>
    <row r="529" ht="15" spans="1:10">
      <c r="A529" s="276">
        <f t="shared" si="28"/>
        <v>320502</v>
      </c>
      <c r="B529" s="277">
        <v>2</v>
      </c>
      <c r="C529" s="278">
        <v>3</v>
      </c>
      <c r="D529" s="106">
        <v>2</v>
      </c>
      <c r="E529" s="106">
        <f t="shared" si="30"/>
        <v>3205</v>
      </c>
      <c r="F529" s="46">
        <f ca="1">OFFSET(card!$A$1,MATCH(G529,card!B:B,0)-1,0)</f>
        <v>3010001</v>
      </c>
      <c r="G529" s="270" t="s">
        <v>506</v>
      </c>
      <c r="I529" s="91">
        <f ca="1">OFFSET(card!$J$1,MATCH(G529,card!B:B,0)-1,0)</f>
        <v>1</v>
      </c>
      <c r="J529" s="91">
        <f ca="1">OFFSET(card!$K$1,MATCH(G529,card!B:B,0)-1,0)</f>
        <v>2</v>
      </c>
    </row>
    <row r="530" ht="15" spans="1:10">
      <c r="A530" s="276">
        <f t="shared" si="28"/>
        <v>320503</v>
      </c>
      <c r="B530" s="277">
        <v>3</v>
      </c>
      <c r="C530" s="278">
        <v>3</v>
      </c>
      <c r="D530" s="106">
        <v>2</v>
      </c>
      <c r="E530" s="106">
        <f t="shared" si="30"/>
        <v>3205</v>
      </c>
      <c r="F530" s="46">
        <f ca="1">OFFSET(card!$A$1,MATCH(G530,card!B:B,0)-1,0)</f>
        <v>3007001</v>
      </c>
      <c r="G530" s="91" t="s">
        <v>488</v>
      </c>
      <c r="I530" s="91">
        <f ca="1">OFFSET(card!$J$1,MATCH(G530,card!B:B,0)-1,0)</f>
        <v>3</v>
      </c>
      <c r="J530" s="91">
        <f ca="1">OFFSET(card!$K$1,MATCH(G530,card!B:B,0)-1,0)</f>
        <v>1</v>
      </c>
    </row>
    <row r="531" ht="15" spans="1:10">
      <c r="A531" s="276">
        <f t="shared" si="28"/>
        <v>320504</v>
      </c>
      <c r="B531" s="277">
        <v>4</v>
      </c>
      <c r="C531" s="278">
        <v>3</v>
      </c>
      <c r="D531" s="106">
        <v>2</v>
      </c>
      <c r="E531" s="106">
        <f t="shared" si="30"/>
        <v>3205</v>
      </c>
      <c r="F531" s="46">
        <f ca="1">OFFSET(card!$A$1,MATCH(G531,card!B:B,0)-1,0)</f>
        <v>3005001</v>
      </c>
      <c r="G531" s="91" t="s">
        <v>419</v>
      </c>
      <c r="I531" s="91">
        <f ca="1">OFFSET(card!$J$1,MATCH(G531,card!B:B,0)-1,0)</f>
        <v>2</v>
      </c>
      <c r="J531" s="91">
        <f ca="1">OFFSET(card!$K$1,MATCH(G531,card!B:B,0)-1,0)</f>
        <v>2</v>
      </c>
    </row>
    <row r="532" ht="15" spans="1:10">
      <c r="A532" s="276">
        <f t="shared" si="28"/>
        <v>320505</v>
      </c>
      <c r="B532" s="277">
        <v>5</v>
      </c>
      <c r="C532" s="278">
        <v>3</v>
      </c>
      <c r="D532" s="106">
        <v>2</v>
      </c>
      <c r="E532" s="106">
        <f t="shared" si="30"/>
        <v>3205</v>
      </c>
      <c r="F532" s="46">
        <f ca="1">OFFSET(card!$A$1,MATCH(G532,card!B:B,0)-1,0)</f>
        <v>3008001</v>
      </c>
      <c r="G532" s="283" t="s">
        <v>298</v>
      </c>
      <c r="I532" s="91">
        <f ca="1">OFFSET(card!$J$1,MATCH(G532,card!B:B,0)-1,0)</f>
        <v>1</v>
      </c>
      <c r="J532" s="91">
        <f ca="1">OFFSET(card!$K$1,MATCH(G532,card!B:B,0)-1,0)</f>
        <v>2</v>
      </c>
    </row>
    <row r="533" ht="15" spans="1:10">
      <c r="A533" s="276">
        <f t="shared" si="28"/>
        <v>320506</v>
      </c>
      <c r="B533" s="277">
        <v>6</v>
      </c>
      <c r="C533" s="278">
        <v>3</v>
      </c>
      <c r="D533" s="106">
        <v>2</v>
      </c>
      <c r="E533" s="106">
        <f t="shared" si="30"/>
        <v>3205</v>
      </c>
      <c r="F533" s="46">
        <f ca="1">OFFSET(card!$A$1,MATCH(G533,card!B:B,0)-1,0)</f>
        <v>3010001</v>
      </c>
      <c r="G533" s="270" t="s">
        <v>506</v>
      </c>
      <c r="I533" s="91">
        <f ca="1">OFFSET(card!$J$1,MATCH(G533,card!B:B,0)-1,0)</f>
        <v>1</v>
      </c>
      <c r="J533" s="91">
        <f ca="1">OFFSET(card!$K$1,MATCH(G533,card!B:B,0)-1,0)</f>
        <v>2</v>
      </c>
    </row>
    <row r="534" ht="15" spans="1:10">
      <c r="A534" s="276">
        <f t="shared" si="28"/>
        <v>320507</v>
      </c>
      <c r="B534" s="277">
        <v>7</v>
      </c>
      <c r="C534" s="278">
        <v>3</v>
      </c>
      <c r="D534" s="106">
        <v>2</v>
      </c>
      <c r="E534" s="106">
        <f t="shared" si="30"/>
        <v>3205</v>
      </c>
      <c r="F534" s="46">
        <f ca="1">OFFSET(card!$A$1,MATCH(G534,card!B:B,0)-1,0)</f>
        <v>3007001</v>
      </c>
      <c r="G534" s="91" t="s">
        <v>488</v>
      </c>
      <c r="I534" s="91">
        <f ca="1">OFFSET(card!$J$1,MATCH(G534,card!B:B,0)-1,0)</f>
        <v>3</v>
      </c>
      <c r="J534" s="91">
        <f ca="1">OFFSET(card!$K$1,MATCH(G534,card!B:B,0)-1,0)</f>
        <v>1</v>
      </c>
    </row>
    <row r="535" ht="15" spans="1:10">
      <c r="A535" s="276">
        <f t="shared" si="28"/>
        <v>320508</v>
      </c>
      <c r="B535" s="277">
        <v>8</v>
      </c>
      <c r="C535" s="278">
        <v>3</v>
      </c>
      <c r="D535" s="106">
        <v>2</v>
      </c>
      <c r="E535" s="106">
        <f t="shared" si="30"/>
        <v>3205</v>
      </c>
      <c r="F535" s="46">
        <f ca="1">OFFSET(card!$A$1,MATCH(G535,card!B:B,0)-1,0)</f>
        <v>3005001</v>
      </c>
      <c r="G535" s="91" t="s">
        <v>419</v>
      </c>
      <c r="I535" s="91">
        <f ca="1">OFFSET(card!$J$1,MATCH(G535,card!B:B,0)-1,0)</f>
        <v>2</v>
      </c>
      <c r="J535" s="91">
        <f ca="1">OFFSET(card!$K$1,MATCH(G535,card!B:B,0)-1,0)</f>
        <v>2</v>
      </c>
    </row>
    <row r="536" ht="15" spans="1:10">
      <c r="A536" s="276">
        <f t="shared" si="28"/>
        <v>320509</v>
      </c>
      <c r="B536" s="277">
        <v>9</v>
      </c>
      <c r="C536" s="278">
        <v>3</v>
      </c>
      <c r="D536" s="106">
        <v>2</v>
      </c>
      <c r="E536" s="106">
        <f t="shared" si="30"/>
        <v>3205</v>
      </c>
      <c r="F536" s="46">
        <f ca="1">OFFSET(card!$A$1,MATCH(G536,card!B:B,0)-1,0)</f>
        <v>3007001</v>
      </c>
      <c r="G536" s="91" t="s">
        <v>488</v>
      </c>
      <c r="I536" s="91">
        <f ca="1">OFFSET(card!$J$1,MATCH(G536,card!B:B,0)-1,0)</f>
        <v>3</v>
      </c>
      <c r="J536" s="91">
        <f ca="1">OFFSET(card!$K$1,MATCH(G536,card!B:B,0)-1,0)</f>
        <v>1</v>
      </c>
    </row>
    <row r="537" ht="15" spans="1:10">
      <c r="A537" s="276">
        <f t="shared" si="28"/>
        <v>320510</v>
      </c>
      <c r="B537" s="277">
        <v>10</v>
      </c>
      <c r="C537" s="278">
        <v>3</v>
      </c>
      <c r="D537" s="106">
        <v>2</v>
      </c>
      <c r="E537" s="106">
        <f t="shared" si="30"/>
        <v>3205</v>
      </c>
      <c r="F537" s="46">
        <f ca="1">OFFSET(card!$A$1,MATCH(G537,card!B:B,0)-1,0)</f>
        <v>3005001</v>
      </c>
      <c r="G537" s="91" t="s">
        <v>419</v>
      </c>
      <c r="I537" s="91">
        <f ca="1">OFFSET(card!$J$1,MATCH(G537,card!B:B,0)-1,0)</f>
        <v>2</v>
      </c>
      <c r="J537" s="91">
        <f ca="1">OFFSET(card!$K$1,MATCH(G537,card!B:B,0)-1,0)</f>
        <v>2</v>
      </c>
    </row>
    <row r="538" ht="15" spans="1:10">
      <c r="A538" s="276">
        <f t="shared" ref="A538:A601" si="31">E538*100+B538</f>
        <v>330101</v>
      </c>
      <c r="B538" s="277">
        <v>1</v>
      </c>
      <c r="C538" s="278">
        <v>3</v>
      </c>
      <c r="D538" s="106">
        <v>3</v>
      </c>
      <c r="E538" s="106">
        <f t="shared" ref="E538:E547" si="32">C538*1000+D538*100+1</f>
        <v>3301</v>
      </c>
      <c r="F538" s="46">
        <f ca="1">OFFSET(card!$A$1,MATCH(G538,card!B:B,0)-1,0)</f>
        <v>3022001</v>
      </c>
      <c r="G538" s="91" t="s">
        <v>476</v>
      </c>
      <c r="I538" s="91">
        <f ca="1">OFFSET(card!$J$1,MATCH(G538,card!B:B,0)-1,0)</f>
        <v>2</v>
      </c>
      <c r="J538" s="91">
        <f ca="1">OFFSET(card!$K$1,MATCH(G538,card!B:B,0)-1,0)</f>
        <v>1</v>
      </c>
    </row>
    <row r="539" ht="15" spans="1:10">
      <c r="A539" s="276">
        <f t="shared" si="31"/>
        <v>330102</v>
      </c>
      <c r="B539" s="277">
        <v>2</v>
      </c>
      <c r="C539" s="278">
        <v>3</v>
      </c>
      <c r="D539" s="106">
        <v>3</v>
      </c>
      <c r="E539" s="106">
        <f t="shared" si="32"/>
        <v>3301</v>
      </c>
      <c r="F539" s="46">
        <f ca="1">OFFSET(card!$A$1,MATCH(G539,card!B:B,0)-1,0)</f>
        <v>3023001</v>
      </c>
      <c r="G539" s="91" t="s">
        <v>451</v>
      </c>
      <c r="I539" s="91">
        <f ca="1">OFFSET(card!$J$1,MATCH(G539,card!B:B,0)-1,0)</f>
        <v>3</v>
      </c>
      <c r="J539" s="91">
        <f ca="1">OFFSET(card!$K$1,MATCH(G539,card!B:B,0)-1,0)</f>
        <v>2</v>
      </c>
    </row>
    <row r="540" ht="15" spans="1:10">
      <c r="A540" s="276">
        <f t="shared" si="31"/>
        <v>330103</v>
      </c>
      <c r="B540" s="277">
        <v>3</v>
      </c>
      <c r="C540" s="278">
        <v>3</v>
      </c>
      <c r="D540" s="106">
        <v>3</v>
      </c>
      <c r="E540" s="106">
        <f t="shared" si="32"/>
        <v>3301</v>
      </c>
      <c r="F540" s="46">
        <f ca="1">OFFSET(card!$A$1,MATCH(G540,card!B:B,0)-1,0)</f>
        <v>3024001</v>
      </c>
      <c r="G540" s="91" t="s">
        <v>453</v>
      </c>
      <c r="I540" s="91">
        <f ca="1">OFFSET(card!$J$1,MATCH(G540,card!B:B,0)-1,0)</f>
        <v>2</v>
      </c>
      <c r="J540" s="91">
        <f ca="1">OFFSET(card!$K$1,MATCH(G540,card!B:B,0)-1,0)</f>
        <v>3</v>
      </c>
    </row>
    <row r="541" ht="15" spans="1:10">
      <c r="A541" s="276">
        <f t="shared" si="31"/>
        <v>330104</v>
      </c>
      <c r="B541" s="277">
        <v>4</v>
      </c>
      <c r="C541" s="278">
        <v>3</v>
      </c>
      <c r="D541" s="106">
        <v>3</v>
      </c>
      <c r="E541" s="106">
        <f t="shared" si="32"/>
        <v>3301</v>
      </c>
      <c r="F541" s="46">
        <f ca="1">OFFSET(card!$A$1,MATCH(G541,card!B:B,0)-1,0)</f>
        <v>3026001</v>
      </c>
      <c r="G541" s="91" t="s">
        <v>478</v>
      </c>
      <c r="I541" s="91">
        <f ca="1">OFFSET(card!$J$1,MATCH(G541,card!B:B,0)-1,0)</f>
        <v>3</v>
      </c>
      <c r="J541" s="91">
        <f ca="1">OFFSET(card!$K$1,MATCH(G541,card!B:B,0)-1,0)</f>
        <v>4</v>
      </c>
    </row>
    <row r="542" ht="15" spans="1:10">
      <c r="A542" s="276">
        <f t="shared" si="31"/>
        <v>330105</v>
      </c>
      <c r="B542" s="277">
        <v>5</v>
      </c>
      <c r="C542" s="278">
        <v>3</v>
      </c>
      <c r="D542" s="106">
        <v>3</v>
      </c>
      <c r="E542" s="106">
        <f t="shared" si="32"/>
        <v>3301</v>
      </c>
      <c r="F542" s="46">
        <f ca="1">OFFSET(card!$A$1,MATCH(G542,card!B:B,0)-1,0)</f>
        <v>3022001</v>
      </c>
      <c r="G542" s="91" t="s">
        <v>476</v>
      </c>
      <c r="I542" s="91">
        <f ca="1">OFFSET(card!$J$1,MATCH(G542,card!B:B,0)-1,0)</f>
        <v>2</v>
      </c>
      <c r="J542" s="91">
        <f ca="1">OFFSET(card!$K$1,MATCH(G542,card!B:B,0)-1,0)</f>
        <v>1</v>
      </c>
    </row>
    <row r="543" ht="15" spans="1:10">
      <c r="A543" s="276">
        <f t="shared" si="31"/>
        <v>330106</v>
      </c>
      <c r="B543" s="277">
        <v>6</v>
      </c>
      <c r="C543" s="278">
        <v>3</v>
      </c>
      <c r="D543" s="106">
        <v>3</v>
      </c>
      <c r="E543" s="106">
        <f t="shared" si="32"/>
        <v>3301</v>
      </c>
      <c r="F543" s="46">
        <f ca="1">OFFSET(card!$A$1,MATCH(G543,card!B:B,0)-1,0)</f>
        <v>3023001</v>
      </c>
      <c r="G543" s="91" t="s">
        <v>451</v>
      </c>
      <c r="I543" s="91">
        <f ca="1">OFFSET(card!$J$1,MATCH(G543,card!B:B,0)-1,0)</f>
        <v>3</v>
      </c>
      <c r="J543" s="91">
        <f ca="1">OFFSET(card!$K$1,MATCH(G543,card!B:B,0)-1,0)</f>
        <v>2</v>
      </c>
    </row>
    <row r="544" ht="15" spans="1:10">
      <c r="A544" s="276">
        <f t="shared" si="31"/>
        <v>330107</v>
      </c>
      <c r="B544" s="277">
        <v>7</v>
      </c>
      <c r="C544" s="278">
        <v>3</v>
      </c>
      <c r="D544" s="106">
        <v>3</v>
      </c>
      <c r="E544" s="106">
        <f t="shared" si="32"/>
        <v>3301</v>
      </c>
      <c r="F544" s="46">
        <f ca="1">OFFSET(card!$A$1,MATCH(G544,card!B:B,0)-1,0)</f>
        <v>3024001</v>
      </c>
      <c r="G544" s="91" t="s">
        <v>453</v>
      </c>
      <c r="I544" s="91">
        <f ca="1">OFFSET(card!$J$1,MATCH(G544,card!B:B,0)-1,0)</f>
        <v>2</v>
      </c>
      <c r="J544" s="91">
        <f ca="1">OFFSET(card!$K$1,MATCH(G544,card!B:B,0)-1,0)</f>
        <v>3</v>
      </c>
    </row>
    <row r="545" ht="15" spans="1:10">
      <c r="A545" s="276">
        <f t="shared" si="31"/>
        <v>330108</v>
      </c>
      <c r="B545" s="277">
        <v>8</v>
      </c>
      <c r="C545" s="278">
        <v>3</v>
      </c>
      <c r="D545" s="106">
        <v>3</v>
      </c>
      <c r="E545" s="106">
        <f t="shared" si="32"/>
        <v>3301</v>
      </c>
      <c r="F545" s="46">
        <f ca="1">OFFSET(card!$A$1,MATCH(G545,card!B:B,0)-1,0)</f>
        <v>3026001</v>
      </c>
      <c r="G545" s="91" t="s">
        <v>478</v>
      </c>
      <c r="I545" s="91">
        <f ca="1">OFFSET(card!$J$1,MATCH(G545,card!B:B,0)-1,0)</f>
        <v>3</v>
      </c>
      <c r="J545" s="91">
        <f ca="1">OFFSET(card!$K$1,MATCH(G545,card!B:B,0)-1,0)</f>
        <v>4</v>
      </c>
    </row>
    <row r="546" ht="15" spans="1:10">
      <c r="A546" s="276">
        <f t="shared" si="31"/>
        <v>330109</v>
      </c>
      <c r="B546" s="277">
        <v>9</v>
      </c>
      <c r="C546" s="278">
        <v>3</v>
      </c>
      <c r="D546" s="106">
        <v>3</v>
      </c>
      <c r="E546" s="106">
        <f t="shared" si="32"/>
        <v>3301</v>
      </c>
      <c r="F546" s="46">
        <f ca="1">OFFSET(card!$A$1,MATCH(G546,card!B:B,0)-1,0)</f>
        <v>3022001</v>
      </c>
      <c r="G546" s="91" t="s">
        <v>476</v>
      </c>
      <c r="I546" s="91">
        <f ca="1">OFFSET(card!$J$1,MATCH(G546,card!B:B,0)-1,0)</f>
        <v>2</v>
      </c>
      <c r="J546" s="91">
        <f ca="1">OFFSET(card!$K$1,MATCH(G546,card!B:B,0)-1,0)</f>
        <v>1</v>
      </c>
    </row>
    <row r="547" ht="15" spans="1:10">
      <c r="A547" s="276">
        <f t="shared" si="31"/>
        <v>330110</v>
      </c>
      <c r="B547" s="277">
        <v>10</v>
      </c>
      <c r="C547" s="278">
        <v>3</v>
      </c>
      <c r="D547" s="106">
        <v>3</v>
      </c>
      <c r="E547" s="106">
        <f t="shared" si="32"/>
        <v>3301</v>
      </c>
      <c r="F547" s="46">
        <f ca="1">OFFSET(card!$A$1,MATCH(G547,card!B:B,0)-1,0)</f>
        <v>3023001</v>
      </c>
      <c r="G547" s="91" t="s">
        <v>451</v>
      </c>
      <c r="I547" s="91">
        <f ca="1">OFFSET(card!$J$1,MATCH(G547,card!B:B,0)-1,0)</f>
        <v>3</v>
      </c>
      <c r="J547" s="91">
        <f ca="1">OFFSET(card!$K$1,MATCH(G547,card!B:B,0)-1,0)</f>
        <v>2</v>
      </c>
    </row>
    <row r="548" ht="15" spans="1:10">
      <c r="A548" s="276">
        <f t="shared" si="31"/>
        <v>330201</v>
      </c>
      <c r="B548" s="277">
        <v>1</v>
      </c>
      <c r="C548" s="278">
        <v>3</v>
      </c>
      <c r="D548" s="106">
        <v>3</v>
      </c>
      <c r="E548" s="106">
        <f t="shared" ref="E548:E567" si="33">E538+1</f>
        <v>3302</v>
      </c>
      <c r="F548" s="46">
        <f ca="1">OFFSET(card!$A$1,MATCH(G548,card!B:B,0)-1,0)</f>
        <v>3014001</v>
      </c>
      <c r="G548" s="91" t="s">
        <v>361</v>
      </c>
      <c r="H548" s="91" t="s">
        <v>1493</v>
      </c>
      <c r="I548" s="91">
        <f ca="1">OFFSET(card!$J$1,MATCH(G548,card!B:B,0)-1,0)</f>
        <v>1</v>
      </c>
      <c r="J548" s="91">
        <f ca="1">OFFSET(card!$K$1,MATCH(G548,card!B:B,0)-1,0)</f>
        <v>2</v>
      </c>
    </row>
    <row r="549" ht="15" spans="1:10">
      <c r="A549" s="276">
        <f t="shared" si="31"/>
        <v>330202</v>
      </c>
      <c r="B549" s="277">
        <v>2</v>
      </c>
      <c r="C549" s="278">
        <v>3</v>
      </c>
      <c r="D549" s="106">
        <v>3</v>
      </c>
      <c r="E549" s="106">
        <f t="shared" si="33"/>
        <v>3302</v>
      </c>
      <c r="F549" s="46">
        <f ca="1">OFFSET(card!$A$1,MATCH(G549,card!B:B,0)-1,0)</f>
        <v>3013001</v>
      </c>
      <c r="G549" s="91" t="s">
        <v>359</v>
      </c>
      <c r="H549" s="91" t="s">
        <v>1493</v>
      </c>
      <c r="I549" s="91">
        <f ca="1">OFFSET(card!$J$1,MATCH(G549,card!B:B,0)-1,0)</f>
        <v>1</v>
      </c>
      <c r="J549" s="91">
        <f ca="1">OFFSET(card!$K$1,MATCH(G549,card!B:B,0)-1,0)</f>
        <v>1</v>
      </c>
    </row>
    <row r="550" ht="15" spans="1:10">
      <c r="A550" s="276">
        <f t="shared" si="31"/>
        <v>330203</v>
      </c>
      <c r="B550" s="277">
        <v>3</v>
      </c>
      <c r="C550" s="278">
        <v>3</v>
      </c>
      <c r="D550" s="106">
        <v>3</v>
      </c>
      <c r="E550" s="106">
        <f t="shared" si="33"/>
        <v>3302</v>
      </c>
      <c r="F550" s="46">
        <f ca="1">OFFSET(card!$A$1,MATCH(G550,card!B:B,0)-1,0)</f>
        <v>3015001</v>
      </c>
      <c r="G550" s="91" t="s">
        <v>367</v>
      </c>
      <c r="H550" s="91" t="s">
        <v>1493</v>
      </c>
      <c r="I550" s="91">
        <f ca="1">OFFSET(card!$J$1,MATCH(G550,card!B:B,0)-1,0)</f>
        <v>2</v>
      </c>
      <c r="J550" s="91">
        <f ca="1">OFFSET(card!$K$1,MATCH(G550,card!B:B,0)-1,0)</f>
        <v>1</v>
      </c>
    </row>
    <row r="551" ht="15" spans="1:10">
      <c r="A551" s="276">
        <f t="shared" si="31"/>
        <v>330204</v>
      </c>
      <c r="B551" s="277">
        <v>4</v>
      </c>
      <c r="C551" s="278">
        <v>3</v>
      </c>
      <c r="D551" s="106">
        <v>3</v>
      </c>
      <c r="E551" s="106">
        <f t="shared" si="33"/>
        <v>3302</v>
      </c>
      <c r="F551" s="46">
        <f ca="1">OFFSET(card!$A$1,MATCH(G551,card!B:B,0)-1,0)</f>
        <v>3017001</v>
      </c>
      <c r="G551" s="91" t="s">
        <v>904</v>
      </c>
      <c r="H551" s="91" t="s">
        <v>1493</v>
      </c>
      <c r="I551" s="91">
        <f ca="1">OFFSET(card!$J$1,MATCH(G551,card!B:B,0)-1,0)</f>
        <v>3</v>
      </c>
      <c r="J551" s="91">
        <f ca="1">OFFSET(card!$K$1,MATCH(G551,card!B:B,0)-1,0)</f>
        <v>3</v>
      </c>
    </row>
    <row r="552" ht="15" spans="1:10">
      <c r="A552" s="276">
        <f t="shared" si="31"/>
        <v>330205</v>
      </c>
      <c r="B552" s="277">
        <v>5</v>
      </c>
      <c r="C552" s="278">
        <v>3</v>
      </c>
      <c r="D552" s="106">
        <v>3</v>
      </c>
      <c r="E552" s="106">
        <f t="shared" si="33"/>
        <v>3302</v>
      </c>
      <c r="F552" s="46">
        <f ca="1">OFFSET(card!$A$1,MATCH(G552,card!B:B,0)-1,0)</f>
        <v>3014001</v>
      </c>
      <c r="G552" s="91" t="s">
        <v>361</v>
      </c>
      <c r="H552" s="91" t="s">
        <v>1493</v>
      </c>
      <c r="I552" s="91">
        <f ca="1">OFFSET(card!$J$1,MATCH(G552,card!B:B,0)-1,0)</f>
        <v>1</v>
      </c>
      <c r="J552" s="91">
        <f ca="1">OFFSET(card!$K$1,MATCH(G552,card!B:B,0)-1,0)</f>
        <v>2</v>
      </c>
    </row>
    <row r="553" ht="15" spans="1:10">
      <c r="A553" s="276">
        <f t="shared" si="31"/>
        <v>330206</v>
      </c>
      <c r="B553" s="277">
        <v>6</v>
      </c>
      <c r="C553" s="278">
        <v>3</v>
      </c>
      <c r="D553" s="106">
        <v>3</v>
      </c>
      <c r="E553" s="106">
        <f t="shared" si="33"/>
        <v>3302</v>
      </c>
      <c r="F553" s="46">
        <f ca="1">OFFSET(card!$A$1,MATCH(G553,card!B:B,0)-1,0)</f>
        <v>3013001</v>
      </c>
      <c r="G553" s="91" t="s">
        <v>359</v>
      </c>
      <c r="H553" s="91" t="s">
        <v>1493</v>
      </c>
      <c r="I553" s="91">
        <f ca="1">OFFSET(card!$J$1,MATCH(G553,card!B:B,0)-1,0)</f>
        <v>1</v>
      </c>
      <c r="J553" s="91">
        <f ca="1">OFFSET(card!$K$1,MATCH(G553,card!B:B,0)-1,0)</f>
        <v>1</v>
      </c>
    </row>
    <row r="554" ht="15" spans="1:10">
      <c r="A554" s="276">
        <f t="shared" si="31"/>
        <v>330207</v>
      </c>
      <c r="B554" s="277">
        <v>7</v>
      </c>
      <c r="C554" s="278">
        <v>3</v>
      </c>
      <c r="D554" s="106">
        <v>3</v>
      </c>
      <c r="E554" s="106">
        <f t="shared" si="33"/>
        <v>3302</v>
      </c>
      <c r="F554" s="46">
        <f ca="1">OFFSET(card!$A$1,MATCH(G554,card!B:B,0)-1,0)</f>
        <v>3015001</v>
      </c>
      <c r="G554" s="91" t="s">
        <v>367</v>
      </c>
      <c r="H554" s="91" t="s">
        <v>1493</v>
      </c>
      <c r="I554" s="91">
        <f ca="1">OFFSET(card!$J$1,MATCH(G554,card!B:B,0)-1,0)</f>
        <v>2</v>
      </c>
      <c r="J554" s="91">
        <f ca="1">OFFSET(card!$K$1,MATCH(G554,card!B:B,0)-1,0)</f>
        <v>1</v>
      </c>
    </row>
    <row r="555" ht="15" spans="1:10">
      <c r="A555" s="276">
        <f t="shared" si="31"/>
        <v>330208</v>
      </c>
      <c r="B555" s="277">
        <v>8</v>
      </c>
      <c r="C555" s="278">
        <v>3</v>
      </c>
      <c r="D555" s="106">
        <v>3</v>
      </c>
      <c r="E555" s="106">
        <f t="shared" si="33"/>
        <v>3302</v>
      </c>
      <c r="F555" s="46">
        <f ca="1">OFFSET(card!$A$1,MATCH(G555,card!B:B,0)-1,0)</f>
        <v>3017001</v>
      </c>
      <c r="G555" s="91" t="s">
        <v>904</v>
      </c>
      <c r="H555" s="91" t="s">
        <v>1493</v>
      </c>
      <c r="I555" s="91">
        <f ca="1">OFFSET(card!$J$1,MATCH(G555,card!B:B,0)-1,0)</f>
        <v>3</v>
      </c>
      <c r="J555" s="91">
        <f ca="1">OFFSET(card!$K$1,MATCH(G555,card!B:B,0)-1,0)</f>
        <v>3</v>
      </c>
    </row>
    <row r="556" ht="15" spans="1:10">
      <c r="A556" s="276">
        <f t="shared" si="31"/>
        <v>330209</v>
      </c>
      <c r="B556" s="277">
        <v>9</v>
      </c>
      <c r="C556" s="278">
        <v>3</v>
      </c>
      <c r="D556" s="106">
        <v>3</v>
      </c>
      <c r="E556" s="106">
        <f t="shared" si="33"/>
        <v>3302</v>
      </c>
      <c r="F556" s="46">
        <f ca="1">OFFSET(card!$A$1,MATCH(G556,card!B:B,0)-1,0)</f>
        <v>3014001</v>
      </c>
      <c r="G556" s="91" t="s">
        <v>361</v>
      </c>
      <c r="H556" s="91" t="s">
        <v>1493</v>
      </c>
      <c r="I556" s="91">
        <f ca="1">OFFSET(card!$J$1,MATCH(G556,card!B:B,0)-1,0)</f>
        <v>1</v>
      </c>
      <c r="J556" s="91">
        <f ca="1">OFFSET(card!$K$1,MATCH(G556,card!B:B,0)-1,0)</f>
        <v>2</v>
      </c>
    </row>
    <row r="557" ht="15" spans="1:10">
      <c r="A557" s="276">
        <f t="shared" si="31"/>
        <v>330210</v>
      </c>
      <c r="B557" s="277">
        <v>10</v>
      </c>
      <c r="C557" s="278">
        <v>3</v>
      </c>
      <c r="D557" s="106">
        <v>3</v>
      </c>
      <c r="E557" s="106">
        <f t="shared" si="33"/>
        <v>3302</v>
      </c>
      <c r="F557" s="46">
        <f ca="1">OFFSET(card!$A$1,MATCH(G557,card!B:B,0)-1,0)</f>
        <v>3013001</v>
      </c>
      <c r="G557" s="91" t="s">
        <v>359</v>
      </c>
      <c r="H557" s="91" t="s">
        <v>1493</v>
      </c>
      <c r="I557" s="91">
        <f ca="1">OFFSET(card!$J$1,MATCH(G557,card!B:B,0)-1,0)</f>
        <v>1</v>
      </c>
      <c r="J557" s="91">
        <f ca="1">OFFSET(card!$K$1,MATCH(G557,card!B:B,0)-1,0)</f>
        <v>1</v>
      </c>
    </row>
    <row r="558" ht="15" spans="1:10">
      <c r="A558" s="276">
        <f t="shared" si="31"/>
        <v>330301</v>
      </c>
      <c r="B558" s="277">
        <v>1</v>
      </c>
      <c r="C558" s="278">
        <v>3</v>
      </c>
      <c r="D558" s="106">
        <v>3</v>
      </c>
      <c r="E558" s="106">
        <f t="shared" si="33"/>
        <v>3303</v>
      </c>
      <c r="F558" s="46">
        <f ca="1">OFFSET(card!$A$1,MATCH(G558,card!B:B,0)-1,0)</f>
        <v>3014001</v>
      </c>
      <c r="G558" s="91" t="s">
        <v>361</v>
      </c>
      <c r="H558" s="91" t="s">
        <v>1493</v>
      </c>
      <c r="I558" s="91">
        <f ca="1">OFFSET(card!$J$1,MATCH(G558,card!B:B,0)-1,0)</f>
        <v>1</v>
      </c>
      <c r="J558" s="91">
        <f ca="1">OFFSET(card!$K$1,MATCH(G558,card!B:B,0)-1,0)</f>
        <v>2</v>
      </c>
    </row>
    <row r="559" ht="15" spans="1:10">
      <c r="A559" s="276">
        <f t="shared" si="31"/>
        <v>330302</v>
      </c>
      <c r="B559" s="277">
        <v>2</v>
      </c>
      <c r="C559" s="278">
        <v>3</v>
      </c>
      <c r="D559" s="106">
        <v>3</v>
      </c>
      <c r="E559" s="106">
        <f t="shared" si="33"/>
        <v>3303</v>
      </c>
      <c r="F559" s="46">
        <f ca="1">OFFSET(card!$A$1,MATCH(G559,card!B:B,0)-1,0)</f>
        <v>3013001</v>
      </c>
      <c r="G559" s="91" t="s">
        <v>359</v>
      </c>
      <c r="H559" s="91" t="s">
        <v>1493</v>
      </c>
      <c r="I559" s="91">
        <f ca="1">OFFSET(card!$J$1,MATCH(G559,card!B:B,0)-1,0)</f>
        <v>1</v>
      </c>
      <c r="J559" s="91">
        <f ca="1">OFFSET(card!$K$1,MATCH(G559,card!B:B,0)-1,0)</f>
        <v>1</v>
      </c>
    </row>
    <row r="560" ht="15" spans="1:10">
      <c r="A560" s="276">
        <f t="shared" si="31"/>
        <v>330303</v>
      </c>
      <c r="B560" s="277">
        <v>3</v>
      </c>
      <c r="C560" s="278">
        <v>3</v>
      </c>
      <c r="D560" s="106">
        <v>3</v>
      </c>
      <c r="E560" s="106">
        <f t="shared" si="33"/>
        <v>3303</v>
      </c>
      <c r="F560" s="46">
        <f ca="1">OFFSET(card!$A$1,MATCH(G560,card!B:B,0)-1,0)</f>
        <v>3015001</v>
      </c>
      <c r="G560" s="91" t="s">
        <v>367</v>
      </c>
      <c r="H560" s="91" t="s">
        <v>1493</v>
      </c>
      <c r="I560" s="91">
        <f ca="1">OFFSET(card!$J$1,MATCH(G560,card!B:B,0)-1,0)</f>
        <v>2</v>
      </c>
      <c r="J560" s="91">
        <f ca="1">OFFSET(card!$K$1,MATCH(G560,card!B:B,0)-1,0)</f>
        <v>1</v>
      </c>
    </row>
    <row r="561" ht="15" spans="1:10">
      <c r="A561" s="276">
        <f t="shared" si="31"/>
        <v>330304</v>
      </c>
      <c r="B561" s="277">
        <v>4</v>
      </c>
      <c r="C561" s="278">
        <v>3</v>
      </c>
      <c r="D561" s="106">
        <v>3</v>
      </c>
      <c r="E561" s="106">
        <f t="shared" si="33"/>
        <v>3303</v>
      </c>
      <c r="F561" s="46">
        <f ca="1">OFFSET(card!$A$1,MATCH(G561,card!B:B,0)-1,0)</f>
        <v>3016001</v>
      </c>
      <c r="G561" s="91" t="s">
        <v>369</v>
      </c>
      <c r="H561" s="91" t="s">
        <v>1493</v>
      </c>
      <c r="I561" s="91">
        <f ca="1">OFFSET(card!$J$1,MATCH(G561,card!B:B,0)-1,0)</f>
        <v>2</v>
      </c>
      <c r="J561" s="91">
        <f ca="1">OFFSET(card!$K$1,MATCH(G561,card!B:B,0)-1,0)</f>
        <v>4</v>
      </c>
    </row>
    <row r="562" ht="15" spans="1:10">
      <c r="A562" s="276">
        <f t="shared" si="31"/>
        <v>330305</v>
      </c>
      <c r="B562" s="277">
        <v>5</v>
      </c>
      <c r="C562" s="278">
        <v>3</v>
      </c>
      <c r="D562" s="106">
        <v>3</v>
      </c>
      <c r="E562" s="106">
        <f t="shared" si="33"/>
        <v>3303</v>
      </c>
      <c r="F562" s="46">
        <f ca="1">OFFSET(card!$A$1,MATCH(G562,card!B:B,0)-1,0)</f>
        <v>3014001</v>
      </c>
      <c r="G562" s="91" t="s">
        <v>361</v>
      </c>
      <c r="H562" s="91" t="s">
        <v>1493</v>
      </c>
      <c r="I562" s="91">
        <f ca="1">OFFSET(card!$J$1,MATCH(G562,card!B:B,0)-1,0)</f>
        <v>1</v>
      </c>
      <c r="J562" s="91">
        <f ca="1">OFFSET(card!$K$1,MATCH(G562,card!B:B,0)-1,0)</f>
        <v>2</v>
      </c>
    </row>
    <row r="563" ht="15" spans="1:10">
      <c r="A563" s="276">
        <f t="shared" si="31"/>
        <v>330306</v>
      </c>
      <c r="B563" s="277">
        <v>6</v>
      </c>
      <c r="C563" s="278">
        <v>3</v>
      </c>
      <c r="D563" s="106">
        <v>3</v>
      </c>
      <c r="E563" s="106">
        <f t="shared" si="33"/>
        <v>3303</v>
      </c>
      <c r="F563" s="46">
        <f ca="1">OFFSET(card!$A$1,MATCH(G563,card!B:B,0)-1,0)</f>
        <v>3013001</v>
      </c>
      <c r="G563" s="91" t="s">
        <v>359</v>
      </c>
      <c r="H563" s="91" t="s">
        <v>1493</v>
      </c>
      <c r="I563" s="91">
        <f ca="1">OFFSET(card!$J$1,MATCH(G563,card!B:B,0)-1,0)</f>
        <v>1</v>
      </c>
      <c r="J563" s="91">
        <f ca="1">OFFSET(card!$K$1,MATCH(G563,card!B:B,0)-1,0)</f>
        <v>1</v>
      </c>
    </row>
    <row r="564" ht="15" spans="1:10">
      <c r="A564" s="276">
        <f t="shared" si="31"/>
        <v>330307</v>
      </c>
      <c r="B564" s="277">
        <v>7</v>
      </c>
      <c r="C564" s="278">
        <v>3</v>
      </c>
      <c r="D564" s="106">
        <v>3</v>
      </c>
      <c r="E564" s="106">
        <f t="shared" si="33"/>
        <v>3303</v>
      </c>
      <c r="F564" s="46">
        <f ca="1">OFFSET(card!$A$1,MATCH(G564,card!B:B,0)-1,0)</f>
        <v>3015001</v>
      </c>
      <c r="G564" s="91" t="s">
        <v>367</v>
      </c>
      <c r="H564" s="91" t="s">
        <v>1493</v>
      </c>
      <c r="I564" s="91">
        <f ca="1">OFFSET(card!$J$1,MATCH(G564,card!B:B,0)-1,0)</f>
        <v>2</v>
      </c>
      <c r="J564" s="91">
        <f ca="1">OFFSET(card!$K$1,MATCH(G564,card!B:B,0)-1,0)</f>
        <v>1</v>
      </c>
    </row>
    <row r="565" ht="15" spans="1:10">
      <c r="A565" s="276">
        <f t="shared" si="31"/>
        <v>330308</v>
      </c>
      <c r="B565" s="277">
        <v>8</v>
      </c>
      <c r="C565" s="278">
        <v>3</v>
      </c>
      <c r="D565" s="106">
        <v>3</v>
      </c>
      <c r="E565" s="106">
        <f t="shared" si="33"/>
        <v>3303</v>
      </c>
      <c r="F565" s="46">
        <f ca="1">OFFSET(card!$A$1,MATCH(G565,card!B:B,0)-1,0)</f>
        <v>3016001</v>
      </c>
      <c r="G565" s="91" t="s">
        <v>369</v>
      </c>
      <c r="H565" s="91" t="s">
        <v>1493</v>
      </c>
      <c r="I565" s="91">
        <f ca="1">OFFSET(card!$J$1,MATCH(G565,card!B:B,0)-1,0)</f>
        <v>2</v>
      </c>
      <c r="J565" s="91">
        <f ca="1">OFFSET(card!$K$1,MATCH(G565,card!B:B,0)-1,0)</f>
        <v>4</v>
      </c>
    </row>
    <row r="566" ht="15" spans="1:10">
      <c r="A566" s="276">
        <f t="shared" si="31"/>
        <v>330309</v>
      </c>
      <c r="B566" s="277">
        <v>9</v>
      </c>
      <c r="C566" s="278">
        <v>3</v>
      </c>
      <c r="D566" s="106">
        <v>3</v>
      </c>
      <c r="E566" s="106">
        <f t="shared" si="33"/>
        <v>3303</v>
      </c>
      <c r="F566" s="46">
        <f ca="1">OFFSET(card!$A$1,MATCH(G566,card!B:B,0)-1,0)</f>
        <v>3014001</v>
      </c>
      <c r="G566" s="91" t="s">
        <v>361</v>
      </c>
      <c r="H566" s="91" t="s">
        <v>1493</v>
      </c>
      <c r="I566" s="91">
        <f ca="1">OFFSET(card!$J$1,MATCH(G566,card!B:B,0)-1,0)</f>
        <v>1</v>
      </c>
      <c r="J566" s="91">
        <f ca="1">OFFSET(card!$K$1,MATCH(G566,card!B:B,0)-1,0)</f>
        <v>2</v>
      </c>
    </row>
    <row r="567" ht="15" spans="1:10">
      <c r="A567" s="276">
        <f t="shared" si="31"/>
        <v>330310</v>
      </c>
      <c r="B567" s="277">
        <v>10</v>
      </c>
      <c r="C567" s="278">
        <v>3</v>
      </c>
      <c r="D567" s="106">
        <v>3</v>
      </c>
      <c r="E567" s="106">
        <f t="shared" si="33"/>
        <v>3303</v>
      </c>
      <c r="F567" s="46">
        <f ca="1">OFFSET(card!$A$1,MATCH(G567,card!B:B,0)-1,0)</f>
        <v>3013001</v>
      </c>
      <c r="G567" s="91" t="s">
        <v>359</v>
      </c>
      <c r="H567" s="91" t="s">
        <v>1493</v>
      </c>
      <c r="I567" s="91">
        <f ca="1">OFFSET(card!$J$1,MATCH(G567,card!B:B,0)-1,0)</f>
        <v>1</v>
      </c>
      <c r="J567" s="91">
        <f ca="1">OFFSET(card!$K$1,MATCH(G567,card!B:B,0)-1,0)</f>
        <v>1</v>
      </c>
    </row>
    <row r="568" ht="15" spans="1:10">
      <c r="A568" s="276">
        <f t="shared" si="31"/>
        <v>410101</v>
      </c>
      <c r="B568" s="277">
        <v>1</v>
      </c>
      <c r="C568" s="278">
        <v>4</v>
      </c>
      <c r="D568" s="106">
        <v>1</v>
      </c>
      <c r="E568" s="106">
        <f t="shared" ref="E568:E577" si="34">C568*1000+D568*100+1</f>
        <v>4101</v>
      </c>
      <c r="F568" s="46">
        <f ca="1">OFFSET(card!$A$1,MATCH(G568,card!B:B,0)-1,0)</f>
        <v>30006001</v>
      </c>
      <c r="G568" s="270" t="s">
        <v>978</v>
      </c>
      <c r="H568" s="91" t="s">
        <v>1494</v>
      </c>
      <c r="I568" s="91">
        <f ca="1">OFFSET(card!$J$1,MATCH(G568,card!B:B,0)-1,0)</f>
        <v>1</v>
      </c>
      <c r="J568" s="91">
        <f ca="1">OFFSET(card!$K$1,MATCH(G568,card!B:B,0)-1,0)</f>
        <v>1</v>
      </c>
    </row>
    <row r="569" ht="15" spans="1:10">
      <c r="A569" s="276">
        <f t="shared" si="31"/>
        <v>410102</v>
      </c>
      <c r="B569" s="277">
        <v>2</v>
      </c>
      <c r="C569" s="278">
        <v>4</v>
      </c>
      <c r="D569" s="106">
        <v>1</v>
      </c>
      <c r="E569" s="106">
        <f t="shared" si="34"/>
        <v>4101</v>
      </c>
      <c r="F569" s="46">
        <f ca="1">OFFSET(card!$A$1,MATCH(G569,card!B:B,0)-1,0)</f>
        <v>30007001</v>
      </c>
      <c r="G569" s="270" t="s">
        <v>982</v>
      </c>
      <c r="H569" s="91" t="s">
        <v>1494</v>
      </c>
      <c r="I569" s="91">
        <f ca="1">OFFSET(card!$J$1,MATCH(G569,card!B:B,0)-1,0)</f>
        <v>1</v>
      </c>
      <c r="J569" s="91">
        <f ca="1">OFFSET(card!$K$1,MATCH(G569,card!B:B,0)-1,0)</f>
        <v>1</v>
      </c>
    </row>
    <row r="570" ht="15" spans="1:14">
      <c r="A570" s="276">
        <f t="shared" si="31"/>
        <v>410103</v>
      </c>
      <c r="B570" s="277">
        <v>3</v>
      </c>
      <c r="C570" s="278">
        <v>4</v>
      </c>
      <c r="D570" s="106">
        <v>1</v>
      </c>
      <c r="E570" s="106">
        <f t="shared" si="34"/>
        <v>4101</v>
      </c>
      <c r="F570" s="46">
        <f ca="1">OFFSET(card!$A$1,MATCH(G570,card!B:B,0)-1,0)</f>
        <v>10008001</v>
      </c>
      <c r="G570" s="270" t="s">
        <v>459</v>
      </c>
      <c r="H570" s="91" t="s">
        <v>1494</v>
      </c>
      <c r="I570" s="91">
        <f ca="1">OFFSET(card!$J$1,MATCH(G570,card!B:B,0)-1,0)</f>
        <v>1</v>
      </c>
      <c r="J570" s="91">
        <f ca="1">OFFSET(card!$K$1,MATCH(G570,card!B:B,0)-1,0)</f>
        <v>2</v>
      </c>
      <c r="L570" s="270" t="s">
        <v>962</v>
      </c>
      <c r="M570" s="270">
        <v>1</v>
      </c>
      <c r="N570" s="157">
        <v>3</v>
      </c>
    </row>
    <row r="571" ht="15" spans="1:14">
      <c r="A571" s="276">
        <f t="shared" si="31"/>
        <v>410104</v>
      </c>
      <c r="B571" s="277">
        <v>4</v>
      </c>
      <c r="C571" s="278">
        <v>4</v>
      </c>
      <c r="D571" s="106">
        <v>1</v>
      </c>
      <c r="E571" s="106">
        <f t="shared" si="34"/>
        <v>4101</v>
      </c>
      <c r="F571" s="46">
        <f ca="1">OFFSET(card!$A$1,MATCH(G571,card!B:B,0)-1,0)</f>
        <v>30006001</v>
      </c>
      <c r="G571" s="270" t="s">
        <v>978</v>
      </c>
      <c r="H571" s="91" t="s">
        <v>1494</v>
      </c>
      <c r="I571" s="91">
        <f ca="1">OFFSET(card!$J$1,MATCH(G571,card!B:B,0)-1,0)</f>
        <v>1</v>
      </c>
      <c r="J571" s="91">
        <f ca="1">OFFSET(card!$K$1,MATCH(G571,card!B:B,0)-1,0)</f>
        <v>1</v>
      </c>
      <c r="L571" s="270" t="s">
        <v>439</v>
      </c>
      <c r="M571" s="270">
        <v>1</v>
      </c>
      <c r="N571" s="157">
        <v>3</v>
      </c>
    </row>
    <row r="572" ht="15" spans="1:14">
      <c r="A572" s="276">
        <f t="shared" si="31"/>
        <v>410105</v>
      </c>
      <c r="B572" s="277">
        <v>5</v>
      </c>
      <c r="C572" s="278">
        <v>4</v>
      </c>
      <c r="D572" s="106">
        <v>1</v>
      </c>
      <c r="E572" s="106">
        <f t="shared" si="34"/>
        <v>4101</v>
      </c>
      <c r="F572" s="46">
        <f ca="1">OFFSET(card!$A$1,MATCH(G572,card!B:B,0)-1,0)</f>
        <v>30007001</v>
      </c>
      <c r="G572" s="270" t="s">
        <v>982</v>
      </c>
      <c r="H572" s="91" t="s">
        <v>1494</v>
      </c>
      <c r="I572" s="91">
        <f ca="1">OFFSET(card!$J$1,MATCH(G572,card!B:B,0)-1,0)</f>
        <v>1</v>
      </c>
      <c r="J572" s="91">
        <f ca="1">OFFSET(card!$K$1,MATCH(G572,card!B:B,0)-1,0)</f>
        <v>1</v>
      </c>
      <c r="L572" s="270" t="s">
        <v>455</v>
      </c>
      <c r="M572" s="270">
        <v>1</v>
      </c>
      <c r="N572" s="157">
        <v>1</v>
      </c>
    </row>
    <row r="573" ht="15" spans="1:14">
      <c r="A573" s="276">
        <f t="shared" si="31"/>
        <v>410106</v>
      </c>
      <c r="B573" s="277">
        <v>6</v>
      </c>
      <c r="C573" s="278">
        <v>4</v>
      </c>
      <c r="D573" s="106">
        <v>1</v>
      </c>
      <c r="E573" s="106">
        <f t="shared" si="34"/>
        <v>4101</v>
      </c>
      <c r="F573" s="46">
        <f ca="1">OFFSET(card!$A$1,MATCH(G573,card!B:B,0)-1,0)</f>
        <v>10008001</v>
      </c>
      <c r="G573" s="270" t="s">
        <v>459</v>
      </c>
      <c r="H573" s="91" t="s">
        <v>1494</v>
      </c>
      <c r="I573" s="91">
        <f ca="1">OFFSET(card!$J$1,MATCH(G573,card!B:B,0)-1,0)</f>
        <v>1</v>
      </c>
      <c r="J573" s="91">
        <f ca="1">OFFSET(card!$K$1,MATCH(G573,card!B:B,0)-1,0)</f>
        <v>2</v>
      </c>
      <c r="L573" s="270" t="s">
        <v>970</v>
      </c>
      <c r="M573" s="270">
        <v>1</v>
      </c>
      <c r="N573" s="157">
        <v>2</v>
      </c>
    </row>
    <row r="574" ht="15" spans="1:14">
      <c r="A574" s="276">
        <f t="shared" si="31"/>
        <v>410107</v>
      </c>
      <c r="B574" s="277">
        <v>7</v>
      </c>
      <c r="C574" s="278">
        <v>4</v>
      </c>
      <c r="D574" s="106">
        <v>1</v>
      </c>
      <c r="E574" s="106">
        <f t="shared" si="34"/>
        <v>4101</v>
      </c>
      <c r="F574" s="46">
        <f ca="1">OFFSET(card!$A$1,MATCH(G574,card!B:B,0)-1,0)</f>
        <v>10003001</v>
      </c>
      <c r="G574" s="270" t="s">
        <v>455</v>
      </c>
      <c r="H574" s="91" t="s">
        <v>1494</v>
      </c>
      <c r="I574" s="91">
        <f ca="1">OFFSET(card!$J$1,MATCH(G574,card!B:B,0)-1,0)</f>
        <v>1</v>
      </c>
      <c r="J574" s="91">
        <f ca="1">OFFSET(card!$K$1,MATCH(G574,card!B:B,0)-1,0)</f>
        <v>1</v>
      </c>
      <c r="L574" s="270" t="s">
        <v>974</v>
      </c>
      <c r="M574" s="270">
        <v>1</v>
      </c>
      <c r="N574" s="157">
        <v>3</v>
      </c>
    </row>
    <row r="575" ht="15" spans="1:14">
      <c r="A575" s="276">
        <f t="shared" si="31"/>
        <v>410108</v>
      </c>
      <c r="B575" s="277">
        <v>8</v>
      </c>
      <c r="C575" s="278">
        <v>4</v>
      </c>
      <c r="D575" s="106">
        <v>1</v>
      </c>
      <c r="E575" s="106">
        <f t="shared" si="34"/>
        <v>4101</v>
      </c>
      <c r="F575" s="46">
        <f ca="1">OFFSET(card!$A$1,MATCH(G575,card!B:B,0)-1,0)</f>
        <v>30006001</v>
      </c>
      <c r="G575" s="270" t="s">
        <v>978</v>
      </c>
      <c r="H575" s="91" t="s">
        <v>1494</v>
      </c>
      <c r="I575" s="91">
        <f ca="1">OFFSET(card!$J$1,MATCH(G575,card!B:B,0)-1,0)</f>
        <v>1</v>
      </c>
      <c r="J575" s="91">
        <f ca="1">OFFSET(card!$K$1,MATCH(G575,card!B:B,0)-1,0)</f>
        <v>1</v>
      </c>
      <c r="L575" s="270" t="s">
        <v>978</v>
      </c>
      <c r="M575" s="270">
        <v>1</v>
      </c>
      <c r="N575" s="157">
        <v>1</v>
      </c>
    </row>
    <row r="576" ht="15" spans="1:14">
      <c r="A576" s="276">
        <f t="shared" si="31"/>
        <v>410109</v>
      </c>
      <c r="B576" s="277">
        <v>9</v>
      </c>
      <c r="C576" s="278">
        <v>4</v>
      </c>
      <c r="D576" s="106">
        <v>1</v>
      </c>
      <c r="E576" s="106">
        <f t="shared" si="34"/>
        <v>4101</v>
      </c>
      <c r="F576" s="46">
        <f ca="1">OFFSET(card!$A$1,MATCH(G576,card!B:B,0)-1,0)</f>
        <v>10008001</v>
      </c>
      <c r="G576" s="270" t="s">
        <v>459</v>
      </c>
      <c r="H576" s="91" t="s">
        <v>1494</v>
      </c>
      <c r="I576" s="91">
        <f ca="1">OFFSET(card!$J$1,MATCH(G576,card!B:B,0)-1,0)</f>
        <v>1</v>
      </c>
      <c r="J576" s="91">
        <f ca="1">OFFSET(card!$K$1,MATCH(G576,card!B:B,0)-1,0)</f>
        <v>2</v>
      </c>
      <c r="L576" s="270" t="s">
        <v>982</v>
      </c>
      <c r="M576" s="270">
        <v>1</v>
      </c>
      <c r="N576" s="157">
        <v>1</v>
      </c>
    </row>
    <row r="577" ht="15" spans="1:14">
      <c r="A577" s="276">
        <f t="shared" si="31"/>
        <v>410110</v>
      </c>
      <c r="B577" s="277">
        <v>10</v>
      </c>
      <c r="C577" s="278">
        <v>4</v>
      </c>
      <c r="D577" s="106">
        <v>1</v>
      </c>
      <c r="E577" s="106">
        <f t="shared" si="34"/>
        <v>4101</v>
      </c>
      <c r="F577" s="46">
        <f ca="1">OFFSET(card!$A$1,MATCH(G577,card!B:B,0)-1,0)</f>
        <v>10008001</v>
      </c>
      <c r="G577" s="270" t="s">
        <v>459</v>
      </c>
      <c r="H577" s="91" t="s">
        <v>1494</v>
      </c>
      <c r="I577" s="91">
        <f ca="1">OFFSET(card!$J$1,MATCH(G577,card!B:B,0)-1,0)</f>
        <v>1</v>
      </c>
      <c r="J577" s="91">
        <f ca="1">OFFSET(card!$K$1,MATCH(G577,card!B:B,0)-1,0)</f>
        <v>2</v>
      </c>
      <c r="L577" s="270" t="s">
        <v>459</v>
      </c>
      <c r="M577" s="270">
        <v>1</v>
      </c>
      <c r="N577" s="157">
        <v>2</v>
      </c>
    </row>
    <row r="578" ht="15" spans="1:14">
      <c r="A578" s="276">
        <f t="shared" si="31"/>
        <v>410201</v>
      </c>
      <c r="B578" s="277">
        <v>1</v>
      </c>
      <c r="C578" s="278">
        <v>4</v>
      </c>
      <c r="D578" s="106">
        <v>3</v>
      </c>
      <c r="E578" s="106">
        <f t="shared" ref="E578:E607" si="35">E568+1</f>
        <v>4102</v>
      </c>
      <c r="F578" s="46">
        <f ca="1">OFFSET(card!$A$1,MATCH(G578,card!B:B,0)-1,0)</f>
        <v>30009001</v>
      </c>
      <c r="G578" s="284" t="s">
        <v>467</v>
      </c>
      <c r="H578" s="91" t="s">
        <v>1495</v>
      </c>
      <c r="I578" s="91">
        <f ca="1">OFFSET(card!$J$1,MATCH(G578,card!B:B,0)-1,0)</f>
        <v>1</v>
      </c>
      <c r="J578" s="91">
        <f ca="1">OFFSET(card!$K$1,MATCH(G578,card!B:B,0)-1,0)</f>
        <v>2</v>
      </c>
      <c r="L578" s="284" t="s">
        <v>467</v>
      </c>
      <c r="M578" s="270">
        <v>1</v>
      </c>
      <c r="N578" s="157">
        <v>2</v>
      </c>
    </row>
    <row r="579" ht="15" spans="1:14">
      <c r="A579" s="276">
        <f t="shared" si="31"/>
        <v>410202</v>
      </c>
      <c r="B579" s="277">
        <v>2</v>
      </c>
      <c r="C579" s="278">
        <v>4</v>
      </c>
      <c r="D579" s="106">
        <v>3</v>
      </c>
      <c r="E579" s="106">
        <f t="shared" si="35"/>
        <v>4102</v>
      </c>
      <c r="F579" s="46">
        <f ca="1">OFFSET(card!$A$1,MATCH(G579,card!B:B,0)-1,0)</f>
        <v>30010001</v>
      </c>
      <c r="G579" s="284" t="s">
        <v>469</v>
      </c>
      <c r="H579" s="91" t="s">
        <v>1495</v>
      </c>
      <c r="I579" s="91">
        <f ca="1">OFFSET(card!$J$1,MATCH(G579,card!B:B,0)-1,0)</f>
        <v>1</v>
      </c>
      <c r="J579" s="91">
        <f ca="1">OFFSET(card!$K$1,MATCH(G579,card!B:B,0)-1,0)</f>
        <v>2</v>
      </c>
      <c r="L579" s="284" t="s">
        <v>469</v>
      </c>
      <c r="M579" s="270">
        <v>1</v>
      </c>
      <c r="N579" s="157">
        <v>2</v>
      </c>
    </row>
    <row r="580" ht="15" spans="1:10">
      <c r="A580" s="276">
        <f t="shared" si="31"/>
        <v>410203</v>
      </c>
      <c r="B580" s="277">
        <v>3</v>
      </c>
      <c r="C580" s="278">
        <v>4</v>
      </c>
      <c r="D580" s="106">
        <v>3</v>
      </c>
      <c r="E580" s="106">
        <f t="shared" si="35"/>
        <v>4102</v>
      </c>
      <c r="F580" s="46">
        <f ca="1">OFFSET(card!$A$1,MATCH(G580,card!B:B,0)-1,0)</f>
        <v>30009001</v>
      </c>
      <c r="G580" s="284" t="s">
        <v>467</v>
      </c>
      <c r="H580" s="91" t="s">
        <v>1495</v>
      </c>
      <c r="I580" s="91">
        <f ca="1">OFFSET(card!$J$1,MATCH(G580,card!B:B,0)-1,0)</f>
        <v>1</v>
      </c>
      <c r="J580" s="91">
        <f ca="1">OFFSET(card!$K$1,MATCH(G580,card!B:B,0)-1,0)</f>
        <v>2</v>
      </c>
    </row>
    <row r="581" ht="15" spans="1:10">
      <c r="A581" s="276">
        <f t="shared" si="31"/>
        <v>410204</v>
      </c>
      <c r="B581" s="277">
        <v>4</v>
      </c>
      <c r="C581" s="278">
        <v>4</v>
      </c>
      <c r="D581" s="106">
        <v>3</v>
      </c>
      <c r="E581" s="106">
        <f t="shared" si="35"/>
        <v>4102</v>
      </c>
      <c r="F581" s="46">
        <f ca="1">OFFSET(card!$A$1,MATCH(G581,card!B:B,0)-1,0)</f>
        <v>30010001</v>
      </c>
      <c r="G581" s="284" t="s">
        <v>469</v>
      </c>
      <c r="H581" s="91" t="s">
        <v>1495</v>
      </c>
      <c r="I581" s="91">
        <f ca="1">OFFSET(card!$J$1,MATCH(G581,card!B:B,0)-1,0)</f>
        <v>1</v>
      </c>
      <c r="J581" s="91">
        <f ca="1">OFFSET(card!$K$1,MATCH(G581,card!B:B,0)-1,0)</f>
        <v>2</v>
      </c>
    </row>
    <row r="582" ht="15" spans="1:10">
      <c r="A582" s="276">
        <f t="shared" si="31"/>
        <v>410205</v>
      </c>
      <c r="B582" s="277">
        <v>5</v>
      </c>
      <c r="C582" s="278">
        <v>4</v>
      </c>
      <c r="D582" s="106">
        <v>3</v>
      </c>
      <c r="E582" s="106">
        <f t="shared" si="35"/>
        <v>4102</v>
      </c>
      <c r="F582" s="46">
        <f ca="1">OFFSET(card!$A$1,MATCH(G582,card!B:B,0)-1,0)</f>
        <v>30009001</v>
      </c>
      <c r="G582" s="284" t="s">
        <v>467</v>
      </c>
      <c r="H582" s="91" t="s">
        <v>1495</v>
      </c>
      <c r="I582" s="91">
        <f ca="1">OFFSET(card!$J$1,MATCH(G582,card!B:B,0)-1,0)</f>
        <v>1</v>
      </c>
      <c r="J582" s="91">
        <f ca="1">OFFSET(card!$K$1,MATCH(G582,card!B:B,0)-1,0)</f>
        <v>2</v>
      </c>
    </row>
    <row r="583" ht="15" spans="1:10">
      <c r="A583" s="276">
        <f t="shared" si="31"/>
        <v>410206</v>
      </c>
      <c r="B583" s="277">
        <v>6</v>
      </c>
      <c r="C583" s="278">
        <v>4</v>
      </c>
      <c r="D583" s="106">
        <v>3</v>
      </c>
      <c r="E583" s="106">
        <f t="shared" si="35"/>
        <v>4102</v>
      </c>
      <c r="F583" s="46">
        <f ca="1">OFFSET(card!$A$1,MATCH(G583,card!B:B,0)-1,0)</f>
        <v>30010001</v>
      </c>
      <c r="G583" s="284" t="s">
        <v>469</v>
      </c>
      <c r="H583" s="91" t="s">
        <v>1495</v>
      </c>
      <c r="I583" s="91">
        <f ca="1">OFFSET(card!$J$1,MATCH(G583,card!B:B,0)-1,0)</f>
        <v>1</v>
      </c>
      <c r="J583" s="91">
        <f ca="1">OFFSET(card!$K$1,MATCH(G583,card!B:B,0)-1,0)</f>
        <v>2</v>
      </c>
    </row>
    <row r="584" ht="15" spans="1:10">
      <c r="A584" s="276">
        <f t="shared" si="31"/>
        <v>410207</v>
      </c>
      <c r="B584" s="277">
        <v>7</v>
      </c>
      <c r="C584" s="278">
        <v>4</v>
      </c>
      <c r="D584" s="106">
        <v>3</v>
      </c>
      <c r="E584" s="106">
        <f t="shared" si="35"/>
        <v>4102</v>
      </c>
      <c r="F584" s="46">
        <f ca="1">OFFSET(card!$A$1,MATCH(G584,card!B:B,0)-1,0)</f>
        <v>30009001</v>
      </c>
      <c r="G584" s="284" t="s">
        <v>467</v>
      </c>
      <c r="H584" s="91" t="s">
        <v>1495</v>
      </c>
      <c r="I584" s="91">
        <f ca="1">OFFSET(card!$J$1,MATCH(G584,card!B:B,0)-1,0)</f>
        <v>1</v>
      </c>
      <c r="J584" s="91">
        <f ca="1">OFFSET(card!$K$1,MATCH(G584,card!B:B,0)-1,0)</f>
        <v>2</v>
      </c>
    </row>
    <row r="585" ht="15" spans="1:10">
      <c r="A585" s="276">
        <f t="shared" si="31"/>
        <v>410208</v>
      </c>
      <c r="B585" s="277">
        <v>8</v>
      </c>
      <c r="C585" s="278">
        <v>4</v>
      </c>
      <c r="D585" s="106">
        <v>3</v>
      </c>
      <c r="E585" s="106">
        <f t="shared" si="35"/>
        <v>4102</v>
      </c>
      <c r="F585" s="46">
        <f ca="1">OFFSET(card!$A$1,MATCH(G585,card!B:B,0)-1,0)</f>
        <v>30010001</v>
      </c>
      <c r="G585" s="284" t="s">
        <v>469</v>
      </c>
      <c r="H585" s="91" t="s">
        <v>1495</v>
      </c>
      <c r="I585" s="91">
        <f ca="1">OFFSET(card!$J$1,MATCH(G585,card!B:B,0)-1,0)</f>
        <v>1</v>
      </c>
      <c r="J585" s="91">
        <f ca="1">OFFSET(card!$K$1,MATCH(G585,card!B:B,0)-1,0)</f>
        <v>2</v>
      </c>
    </row>
    <row r="586" ht="15" spans="1:10">
      <c r="A586" s="276">
        <f t="shared" si="31"/>
        <v>410209</v>
      </c>
      <c r="B586" s="277">
        <v>9</v>
      </c>
      <c r="C586" s="278">
        <v>4</v>
      </c>
      <c r="D586" s="106">
        <v>3</v>
      </c>
      <c r="E586" s="106">
        <f t="shared" si="35"/>
        <v>4102</v>
      </c>
      <c r="F586" s="46">
        <f ca="1">OFFSET(card!$A$1,MATCH(G586,card!B:B,0)-1,0)</f>
        <v>30009001</v>
      </c>
      <c r="G586" s="284" t="s">
        <v>467</v>
      </c>
      <c r="H586" s="91" t="s">
        <v>1495</v>
      </c>
      <c r="I586" s="91">
        <f ca="1">OFFSET(card!$J$1,MATCH(G586,card!B:B,0)-1,0)</f>
        <v>1</v>
      </c>
      <c r="J586" s="91">
        <f ca="1">OFFSET(card!$K$1,MATCH(G586,card!B:B,0)-1,0)</f>
        <v>2</v>
      </c>
    </row>
    <row r="587" ht="15" spans="1:10">
      <c r="A587" s="276">
        <f t="shared" si="31"/>
        <v>410210</v>
      </c>
      <c r="B587" s="277">
        <v>10</v>
      </c>
      <c r="C587" s="278">
        <v>4</v>
      </c>
      <c r="D587" s="106">
        <v>3</v>
      </c>
      <c r="E587" s="106">
        <f t="shared" si="35"/>
        <v>4102</v>
      </c>
      <c r="F587" s="46">
        <f ca="1">OFFSET(card!$A$1,MATCH(G587,card!B:B,0)-1,0)</f>
        <v>30010001</v>
      </c>
      <c r="G587" s="284" t="s">
        <v>469</v>
      </c>
      <c r="H587" s="91" t="s">
        <v>1495</v>
      </c>
      <c r="I587" s="91">
        <f ca="1">OFFSET(card!$J$1,MATCH(G587,card!B:B,0)-1,0)</f>
        <v>1</v>
      </c>
      <c r="J587" s="91">
        <f ca="1">OFFSET(card!$K$1,MATCH(G587,card!B:B,0)-1,0)</f>
        <v>2</v>
      </c>
    </row>
    <row r="588" ht="15" spans="1:10">
      <c r="A588" s="276">
        <f t="shared" si="31"/>
        <v>410301</v>
      </c>
      <c r="B588" s="277">
        <v>1</v>
      </c>
      <c r="C588" s="278">
        <v>4</v>
      </c>
      <c r="D588" s="106">
        <v>3</v>
      </c>
      <c r="E588" s="106">
        <f t="shared" si="35"/>
        <v>4103</v>
      </c>
      <c r="F588" s="46">
        <f ca="1">OFFSET(card!$A$1,MATCH(G588,card!B:B,0)-1,0)</f>
        <v>10001001</v>
      </c>
      <c r="G588" s="270" t="s">
        <v>962</v>
      </c>
      <c r="H588" s="91" t="s">
        <v>1496</v>
      </c>
      <c r="I588" s="91">
        <f ca="1">OFFSET(card!$J$1,MATCH(G588,card!B:B,0)-1,0)</f>
        <v>1</v>
      </c>
      <c r="J588" s="91">
        <f ca="1">OFFSET(card!$K$1,MATCH(G588,card!B:B,0)-1,0)</f>
        <v>1</v>
      </c>
    </row>
    <row r="589" ht="15" spans="1:10">
      <c r="A589" s="276">
        <f t="shared" si="31"/>
        <v>410302</v>
      </c>
      <c r="B589" s="277">
        <v>2</v>
      </c>
      <c r="C589" s="278">
        <v>4</v>
      </c>
      <c r="D589" s="106">
        <v>3</v>
      </c>
      <c r="E589" s="106">
        <f t="shared" si="35"/>
        <v>4103</v>
      </c>
      <c r="F589" s="46">
        <f ca="1">OFFSET(card!$A$1,MATCH(G589,card!B:B,0)-1,0)</f>
        <v>10002001</v>
      </c>
      <c r="G589" s="270" t="s">
        <v>439</v>
      </c>
      <c r="H589" s="91" t="s">
        <v>1496</v>
      </c>
      <c r="I589" s="91">
        <f ca="1">OFFSET(card!$J$1,MATCH(G589,card!B:B,0)-1,0)</f>
        <v>1</v>
      </c>
      <c r="J589" s="91">
        <f ca="1">OFFSET(card!$K$1,MATCH(G589,card!B:B,0)-1,0)</f>
        <v>1</v>
      </c>
    </row>
    <row r="590" ht="15" spans="1:10">
      <c r="A590" s="276">
        <f t="shared" si="31"/>
        <v>410303</v>
      </c>
      <c r="B590" s="277">
        <v>3</v>
      </c>
      <c r="C590" s="278">
        <v>4</v>
      </c>
      <c r="D590" s="106">
        <v>3</v>
      </c>
      <c r="E590" s="106">
        <f t="shared" si="35"/>
        <v>4103</v>
      </c>
      <c r="F590" s="46">
        <f ca="1">OFFSET(card!$A$1,MATCH(G590,card!B:B,0)-1,0)</f>
        <v>10003001</v>
      </c>
      <c r="G590" s="270" t="s">
        <v>455</v>
      </c>
      <c r="H590" s="91" t="s">
        <v>1496</v>
      </c>
      <c r="I590" s="91">
        <f ca="1">OFFSET(card!$J$1,MATCH(G590,card!B:B,0)-1,0)</f>
        <v>1</v>
      </c>
      <c r="J590" s="91">
        <f ca="1">OFFSET(card!$K$1,MATCH(G590,card!B:B,0)-1,0)</f>
        <v>1</v>
      </c>
    </row>
    <row r="591" ht="15" spans="1:10">
      <c r="A591" s="276">
        <f t="shared" si="31"/>
        <v>410304</v>
      </c>
      <c r="B591" s="277">
        <v>4</v>
      </c>
      <c r="C591" s="278">
        <v>4</v>
      </c>
      <c r="D591" s="106">
        <v>3</v>
      </c>
      <c r="E591" s="106">
        <f t="shared" si="35"/>
        <v>4103</v>
      </c>
      <c r="F591" s="46">
        <f ca="1">OFFSET(card!$A$1,MATCH(G591,card!B:B,0)-1,0)</f>
        <v>10001001</v>
      </c>
      <c r="G591" s="270" t="s">
        <v>962</v>
      </c>
      <c r="H591" s="91" t="s">
        <v>1496</v>
      </c>
      <c r="I591" s="91">
        <f ca="1">OFFSET(card!$J$1,MATCH(G591,card!B:B,0)-1,0)</f>
        <v>1</v>
      </c>
      <c r="J591" s="91">
        <f ca="1">OFFSET(card!$K$1,MATCH(G591,card!B:B,0)-1,0)</f>
        <v>1</v>
      </c>
    </row>
    <row r="592" ht="15" spans="1:10">
      <c r="A592" s="276">
        <f t="shared" si="31"/>
        <v>410305</v>
      </c>
      <c r="B592" s="277">
        <v>5</v>
      </c>
      <c r="C592" s="278">
        <v>4</v>
      </c>
      <c r="D592" s="106">
        <v>3</v>
      </c>
      <c r="E592" s="106">
        <f t="shared" si="35"/>
        <v>4103</v>
      </c>
      <c r="F592" s="46">
        <f ca="1">OFFSET(card!$A$1,MATCH(G592,card!B:B,0)-1,0)</f>
        <v>10002001</v>
      </c>
      <c r="G592" s="270" t="s">
        <v>439</v>
      </c>
      <c r="H592" s="91" t="s">
        <v>1496</v>
      </c>
      <c r="I592" s="91">
        <f ca="1">OFFSET(card!$J$1,MATCH(G592,card!B:B,0)-1,0)</f>
        <v>1</v>
      </c>
      <c r="J592" s="91">
        <f ca="1">OFFSET(card!$K$1,MATCH(G592,card!B:B,0)-1,0)</f>
        <v>1</v>
      </c>
    </row>
    <row r="593" ht="15" spans="1:10">
      <c r="A593" s="276">
        <f t="shared" si="31"/>
        <v>410306</v>
      </c>
      <c r="B593" s="277">
        <v>6</v>
      </c>
      <c r="C593" s="278">
        <v>4</v>
      </c>
      <c r="D593" s="106">
        <v>3</v>
      </c>
      <c r="E593" s="106">
        <f t="shared" si="35"/>
        <v>4103</v>
      </c>
      <c r="F593" s="46">
        <f ca="1">OFFSET(card!$A$1,MATCH(G593,card!B:B,0)-1,0)</f>
        <v>10003001</v>
      </c>
      <c r="G593" s="270" t="s">
        <v>455</v>
      </c>
      <c r="H593" s="91" t="s">
        <v>1496</v>
      </c>
      <c r="I593" s="91">
        <f ca="1">OFFSET(card!$J$1,MATCH(G593,card!B:B,0)-1,0)</f>
        <v>1</v>
      </c>
      <c r="J593" s="91">
        <f ca="1">OFFSET(card!$K$1,MATCH(G593,card!B:B,0)-1,0)</f>
        <v>1</v>
      </c>
    </row>
    <row r="594" ht="15" spans="1:10">
      <c r="A594" s="276">
        <f t="shared" si="31"/>
        <v>410307</v>
      </c>
      <c r="B594" s="277">
        <v>7</v>
      </c>
      <c r="C594" s="278">
        <v>4</v>
      </c>
      <c r="D594" s="106">
        <v>3</v>
      </c>
      <c r="E594" s="106">
        <f t="shared" si="35"/>
        <v>4103</v>
      </c>
      <c r="F594" s="46">
        <f ca="1">OFFSET(card!$A$1,MATCH(G594,card!B:B,0)-1,0)</f>
        <v>10001001</v>
      </c>
      <c r="G594" s="270" t="s">
        <v>962</v>
      </c>
      <c r="H594" s="91" t="s">
        <v>1496</v>
      </c>
      <c r="I594" s="91">
        <f ca="1">OFFSET(card!$J$1,MATCH(G594,card!B:B,0)-1,0)</f>
        <v>1</v>
      </c>
      <c r="J594" s="91">
        <f ca="1">OFFSET(card!$K$1,MATCH(G594,card!B:B,0)-1,0)</f>
        <v>1</v>
      </c>
    </row>
    <row r="595" ht="15" spans="1:10">
      <c r="A595" s="276">
        <f t="shared" si="31"/>
        <v>410308</v>
      </c>
      <c r="B595" s="277">
        <v>8</v>
      </c>
      <c r="C595" s="278">
        <v>4</v>
      </c>
      <c r="D595" s="106">
        <v>3</v>
      </c>
      <c r="E595" s="106">
        <f t="shared" si="35"/>
        <v>4103</v>
      </c>
      <c r="F595" s="46">
        <f ca="1">OFFSET(card!$A$1,MATCH(G595,card!B:B,0)-1,0)</f>
        <v>10002001</v>
      </c>
      <c r="G595" s="270" t="s">
        <v>439</v>
      </c>
      <c r="H595" s="91" t="s">
        <v>1496</v>
      </c>
      <c r="I595" s="91">
        <f ca="1">OFFSET(card!$J$1,MATCH(G595,card!B:B,0)-1,0)</f>
        <v>1</v>
      </c>
      <c r="J595" s="91">
        <f ca="1">OFFSET(card!$K$1,MATCH(G595,card!B:B,0)-1,0)</f>
        <v>1</v>
      </c>
    </row>
    <row r="596" ht="15" spans="1:10">
      <c r="A596" s="276">
        <f t="shared" si="31"/>
        <v>410309</v>
      </c>
      <c r="B596" s="277">
        <v>9</v>
      </c>
      <c r="C596" s="278">
        <v>4</v>
      </c>
      <c r="D596" s="106">
        <v>3</v>
      </c>
      <c r="E596" s="106">
        <f t="shared" si="35"/>
        <v>4103</v>
      </c>
      <c r="F596" s="46">
        <f ca="1">OFFSET(card!$A$1,MATCH(G596,card!B:B,0)-1,0)</f>
        <v>10003001</v>
      </c>
      <c r="G596" s="270" t="s">
        <v>455</v>
      </c>
      <c r="H596" s="91" t="s">
        <v>1496</v>
      </c>
      <c r="I596" s="91">
        <f ca="1">OFFSET(card!$J$1,MATCH(G596,card!B:B,0)-1,0)</f>
        <v>1</v>
      </c>
      <c r="J596" s="91">
        <f ca="1">OFFSET(card!$K$1,MATCH(G596,card!B:B,0)-1,0)</f>
        <v>1</v>
      </c>
    </row>
    <row r="597" ht="15" spans="1:10">
      <c r="A597" s="276">
        <f t="shared" si="31"/>
        <v>410310</v>
      </c>
      <c r="B597" s="277">
        <v>10</v>
      </c>
      <c r="C597" s="278">
        <v>4</v>
      </c>
      <c r="D597" s="106">
        <v>3</v>
      </c>
      <c r="E597" s="106">
        <f t="shared" si="35"/>
        <v>4103</v>
      </c>
      <c r="F597" s="46">
        <f ca="1">OFFSET(card!$A$1,MATCH(G597,card!B:B,0)-1,0)</f>
        <v>10008001</v>
      </c>
      <c r="G597" s="270" t="s">
        <v>459</v>
      </c>
      <c r="H597" s="91" t="s">
        <v>1496</v>
      </c>
      <c r="I597" s="91">
        <f ca="1">OFFSET(card!$J$1,MATCH(G597,card!B:B,0)-1,0)</f>
        <v>1</v>
      </c>
      <c r="J597" s="91">
        <f ca="1">OFFSET(card!$K$1,MATCH(G597,card!B:B,0)-1,0)</f>
        <v>2</v>
      </c>
    </row>
    <row r="598" ht="15" spans="1:10">
      <c r="A598" s="276">
        <f t="shared" si="31"/>
        <v>410401</v>
      </c>
      <c r="B598" s="277">
        <v>1</v>
      </c>
      <c r="C598" s="278">
        <v>4</v>
      </c>
      <c r="D598" s="106">
        <v>3</v>
      </c>
      <c r="E598" s="106">
        <f t="shared" si="35"/>
        <v>4104</v>
      </c>
      <c r="F598" s="46">
        <f ca="1">OFFSET(card!$A$1,MATCH(G598,card!B:B,0)-1,0)</f>
        <v>30004001</v>
      </c>
      <c r="G598" s="270" t="s">
        <v>970</v>
      </c>
      <c r="H598" s="91" t="s">
        <v>1497</v>
      </c>
      <c r="I598" s="91">
        <f ca="1">OFFSET(card!$J$1,MATCH(G598,card!B:B,0)-1,0)</f>
        <v>1</v>
      </c>
      <c r="J598" s="91">
        <f ca="1">OFFSET(card!$K$1,MATCH(G598,card!B:B,0)-1,0)</f>
        <v>1</v>
      </c>
    </row>
    <row r="599" ht="15" spans="1:10">
      <c r="A599" s="276">
        <f t="shared" si="31"/>
        <v>410402</v>
      </c>
      <c r="B599" s="277">
        <v>2</v>
      </c>
      <c r="C599" s="278">
        <v>4</v>
      </c>
      <c r="D599" s="106">
        <v>3</v>
      </c>
      <c r="E599" s="106">
        <f t="shared" si="35"/>
        <v>4104</v>
      </c>
      <c r="F599" s="46">
        <f ca="1">OFFSET(card!$A$1,MATCH(G599,card!B:B,0)-1,0)</f>
        <v>30005001</v>
      </c>
      <c r="G599" s="270" t="s">
        <v>974</v>
      </c>
      <c r="H599" s="91" t="s">
        <v>1497</v>
      </c>
      <c r="I599" s="91">
        <f ca="1">OFFSET(card!$J$1,MATCH(G599,card!B:B,0)-1,0)</f>
        <v>1</v>
      </c>
      <c r="J599" s="91">
        <f ca="1">OFFSET(card!$K$1,MATCH(G599,card!B:B,0)-1,0)</f>
        <v>1</v>
      </c>
    </row>
    <row r="600" ht="15" spans="1:10">
      <c r="A600" s="276">
        <f t="shared" si="31"/>
        <v>410403</v>
      </c>
      <c r="B600" s="277">
        <v>3</v>
      </c>
      <c r="C600" s="278">
        <v>4</v>
      </c>
      <c r="D600" s="106">
        <v>3</v>
      </c>
      <c r="E600" s="106">
        <f t="shared" si="35"/>
        <v>4104</v>
      </c>
      <c r="F600" s="46">
        <f ca="1">OFFSET(card!$A$1,MATCH(G600,card!B:B,0)-1,0)</f>
        <v>30006001</v>
      </c>
      <c r="G600" s="270" t="s">
        <v>978</v>
      </c>
      <c r="H600" s="91" t="s">
        <v>1497</v>
      </c>
      <c r="I600" s="91">
        <f ca="1">OFFSET(card!$J$1,MATCH(G600,card!B:B,0)-1,0)</f>
        <v>1</v>
      </c>
      <c r="J600" s="91">
        <f ca="1">OFFSET(card!$K$1,MATCH(G600,card!B:B,0)-1,0)</f>
        <v>1</v>
      </c>
    </row>
    <row r="601" ht="15" spans="1:10">
      <c r="A601" s="276">
        <f t="shared" si="31"/>
        <v>410404</v>
      </c>
      <c r="B601" s="277">
        <v>4</v>
      </c>
      <c r="C601" s="278">
        <v>4</v>
      </c>
      <c r="D601" s="106">
        <v>3</v>
      </c>
      <c r="E601" s="106">
        <f t="shared" si="35"/>
        <v>4104</v>
      </c>
      <c r="F601" s="46">
        <f ca="1">OFFSET(card!$A$1,MATCH(G601,card!B:B,0)-1,0)</f>
        <v>3014001</v>
      </c>
      <c r="G601" s="91" t="s">
        <v>361</v>
      </c>
      <c r="H601" s="91" t="s">
        <v>1497</v>
      </c>
      <c r="I601" s="91">
        <f ca="1">OFFSET(card!$J$1,MATCH(G601,card!B:B,0)-1,0)</f>
        <v>1</v>
      </c>
      <c r="J601" s="91">
        <f ca="1">OFFSET(card!$K$1,MATCH(G601,card!B:B,0)-1,0)</f>
        <v>2</v>
      </c>
    </row>
    <row r="602" ht="15" spans="1:10">
      <c r="A602" s="276">
        <f t="shared" ref="A602:A607" si="36">E602*100+B602</f>
        <v>410405</v>
      </c>
      <c r="B602" s="277">
        <v>5</v>
      </c>
      <c r="C602" s="278">
        <v>4</v>
      </c>
      <c r="D602" s="106">
        <v>3</v>
      </c>
      <c r="E602" s="106">
        <f t="shared" si="35"/>
        <v>4104</v>
      </c>
      <c r="F602" s="46">
        <f ca="1">OFFSET(card!$A$1,MATCH(G602,card!B:B,0)-1,0)</f>
        <v>3013001</v>
      </c>
      <c r="G602" s="91" t="s">
        <v>359</v>
      </c>
      <c r="H602" s="91" t="s">
        <v>1497</v>
      </c>
      <c r="I602" s="91">
        <f ca="1">OFFSET(card!$J$1,MATCH(G602,card!B:B,0)-1,0)</f>
        <v>1</v>
      </c>
      <c r="J602" s="91">
        <f ca="1">OFFSET(card!$K$1,MATCH(G602,card!B:B,0)-1,0)</f>
        <v>1</v>
      </c>
    </row>
    <row r="603" ht="15" spans="1:10">
      <c r="A603" s="276">
        <f t="shared" si="36"/>
        <v>410406</v>
      </c>
      <c r="B603" s="277">
        <v>6</v>
      </c>
      <c r="C603" s="278">
        <v>4</v>
      </c>
      <c r="D603" s="106">
        <v>3</v>
      </c>
      <c r="E603" s="106">
        <f t="shared" si="35"/>
        <v>4104</v>
      </c>
      <c r="F603" s="46">
        <f ca="1">OFFSET(card!$A$1,MATCH(G603,card!B:B,0)-1,0)</f>
        <v>30004001</v>
      </c>
      <c r="G603" s="270" t="s">
        <v>970</v>
      </c>
      <c r="H603" s="91" t="s">
        <v>1497</v>
      </c>
      <c r="I603" s="91">
        <f ca="1">OFFSET(card!$J$1,MATCH(G603,card!B:B,0)-1,0)</f>
        <v>1</v>
      </c>
      <c r="J603" s="91">
        <f ca="1">OFFSET(card!$K$1,MATCH(G603,card!B:B,0)-1,0)</f>
        <v>1</v>
      </c>
    </row>
    <row r="604" ht="15" spans="1:10">
      <c r="A604" s="276">
        <f t="shared" si="36"/>
        <v>410407</v>
      </c>
      <c r="B604" s="277">
        <v>7</v>
      </c>
      <c r="C604" s="278">
        <v>4</v>
      </c>
      <c r="D604" s="106">
        <v>3</v>
      </c>
      <c r="E604" s="106">
        <f t="shared" si="35"/>
        <v>4104</v>
      </c>
      <c r="F604" s="46">
        <f ca="1">OFFSET(card!$A$1,MATCH(G604,card!B:B,0)-1,0)</f>
        <v>30005001</v>
      </c>
      <c r="G604" s="270" t="s">
        <v>974</v>
      </c>
      <c r="H604" s="91" t="s">
        <v>1497</v>
      </c>
      <c r="I604" s="91">
        <f ca="1">OFFSET(card!$J$1,MATCH(G604,card!B:B,0)-1,0)</f>
        <v>1</v>
      </c>
      <c r="J604" s="91">
        <f ca="1">OFFSET(card!$K$1,MATCH(G604,card!B:B,0)-1,0)</f>
        <v>1</v>
      </c>
    </row>
    <row r="605" ht="15" spans="1:10">
      <c r="A605" s="276">
        <f t="shared" si="36"/>
        <v>410408</v>
      </c>
      <c r="B605" s="277">
        <v>8</v>
      </c>
      <c r="C605" s="278">
        <v>4</v>
      </c>
      <c r="D605" s="106">
        <v>3</v>
      </c>
      <c r="E605" s="106">
        <f t="shared" si="35"/>
        <v>4104</v>
      </c>
      <c r="F605" s="46">
        <f ca="1">OFFSET(card!$A$1,MATCH(G605,card!B:B,0)-1,0)</f>
        <v>30006001</v>
      </c>
      <c r="G605" s="270" t="s">
        <v>978</v>
      </c>
      <c r="H605" s="91" t="s">
        <v>1497</v>
      </c>
      <c r="I605" s="91">
        <f ca="1">OFFSET(card!$J$1,MATCH(G605,card!B:B,0)-1,0)</f>
        <v>1</v>
      </c>
      <c r="J605" s="91">
        <f ca="1">OFFSET(card!$K$1,MATCH(G605,card!B:B,0)-1,0)</f>
        <v>1</v>
      </c>
    </row>
    <row r="606" ht="15" spans="1:10">
      <c r="A606" s="276">
        <f t="shared" si="36"/>
        <v>410409</v>
      </c>
      <c r="B606" s="277">
        <v>9</v>
      </c>
      <c r="C606" s="278">
        <v>4</v>
      </c>
      <c r="D606" s="106">
        <v>3</v>
      </c>
      <c r="E606" s="106">
        <f t="shared" si="35"/>
        <v>4104</v>
      </c>
      <c r="F606" s="46">
        <f ca="1">OFFSET(card!$A$1,MATCH(G606,card!B:B,0)-1,0)</f>
        <v>3014001</v>
      </c>
      <c r="G606" s="91" t="s">
        <v>361</v>
      </c>
      <c r="H606" s="91" t="s">
        <v>1497</v>
      </c>
      <c r="I606" s="91">
        <f ca="1">OFFSET(card!$J$1,MATCH(G606,card!B:B,0)-1,0)</f>
        <v>1</v>
      </c>
      <c r="J606" s="91">
        <f ca="1">OFFSET(card!$K$1,MATCH(G606,card!B:B,0)-1,0)</f>
        <v>2</v>
      </c>
    </row>
    <row r="607" ht="15" spans="1:10">
      <c r="A607" s="276">
        <f t="shared" si="36"/>
        <v>410410</v>
      </c>
      <c r="B607" s="277">
        <v>10</v>
      </c>
      <c r="C607" s="278">
        <v>4</v>
      </c>
      <c r="D607" s="106">
        <v>3</v>
      </c>
      <c r="E607" s="106">
        <f t="shared" si="35"/>
        <v>4104</v>
      </c>
      <c r="F607" s="46">
        <f ca="1">OFFSET(card!$A$1,MATCH(G607,card!B:B,0)-1,0)</f>
        <v>3013001</v>
      </c>
      <c r="G607" s="91" t="s">
        <v>359</v>
      </c>
      <c r="H607" s="91" t="s">
        <v>1497</v>
      </c>
      <c r="I607" s="91">
        <f ca="1">OFFSET(card!$J$1,MATCH(G607,card!B:B,0)-1,0)</f>
        <v>1</v>
      </c>
      <c r="J607" s="91">
        <f ca="1">OFFSET(card!$K$1,MATCH(G607,card!B:B,0)-1,0)</f>
        <v>1</v>
      </c>
    </row>
  </sheetData>
  <autoFilter xmlns:etc="http://www.wps.cn/officeDocument/2017/etCustomData" ref="A5:N607" etc:filterBottomFollowUsedRange="0">
    <extLst/>
  </autoFilter>
  <sortState ref="K402:L430">
    <sortCondition ref="L402:L430"/>
  </sortState>
  <conditionalFormatting sqref="G398">
    <cfRule type="duplicateValues" dxfId="9" priority="86"/>
  </conditionalFormatting>
  <conditionalFormatting sqref="K401">
    <cfRule type="duplicateValues" dxfId="9" priority="90"/>
  </conditionalFormatting>
  <conditionalFormatting sqref="G402">
    <cfRule type="duplicateValues" dxfId="9" priority="85"/>
  </conditionalFormatting>
  <conditionalFormatting sqref="G406">
    <cfRule type="duplicateValues" dxfId="9" priority="84"/>
  </conditionalFormatting>
  <conditionalFormatting sqref="G408">
    <cfRule type="duplicateValues" dxfId="9" priority="83"/>
  </conditionalFormatting>
  <conditionalFormatting sqref="K410">
    <cfRule type="duplicateValues" dxfId="9" priority="91"/>
  </conditionalFormatting>
  <conditionalFormatting sqref="G412">
    <cfRule type="duplicateValues" dxfId="9" priority="82"/>
  </conditionalFormatting>
  <conditionalFormatting sqref="G416">
    <cfRule type="duplicateValues" dxfId="9" priority="81"/>
  </conditionalFormatting>
  <conditionalFormatting sqref="G418">
    <cfRule type="duplicateValues" dxfId="9" priority="80"/>
  </conditionalFormatting>
  <conditionalFormatting sqref="G422">
    <cfRule type="duplicateValues" dxfId="9" priority="79"/>
  </conditionalFormatting>
  <conditionalFormatting sqref="G426">
    <cfRule type="duplicateValues" dxfId="9" priority="78"/>
  </conditionalFormatting>
  <conditionalFormatting sqref="G428">
    <cfRule type="duplicateValues" dxfId="9" priority="77"/>
  </conditionalFormatting>
  <conditionalFormatting sqref="G432">
    <cfRule type="duplicateValues" dxfId="9" priority="76"/>
  </conditionalFormatting>
  <conditionalFormatting sqref="G436">
    <cfRule type="duplicateValues" dxfId="9" priority="75"/>
  </conditionalFormatting>
  <conditionalFormatting sqref="G448">
    <cfRule type="duplicateValues" dxfId="9" priority="74"/>
  </conditionalFormatting>
  <conditionalFormatting sqref="G452">
    <cfRule type="duplicateValues" dxfId="9" priority="73"/>
  </conditionalFormatting>
  <conditionalFormatting sqref="G456">
    <cfRule type="duplicateValues" dxfId="9" priority="72"/>
  </conditionalFormatting>
  <conditionalFormatting sqref="G458">
    <cfRule type="duplicateValues" dxfId="9" priority="70"/>
  </conditionalFormatting>
  <conditionalFormatting sqref="G461">
    <cfRule type="duplicateValues" dxfId="9" priority="71"/>
  </conditionalFormatting>
  <conditionalFormatting sqref="G462">
    <cfRule type="duplicateValues" dxfId="9" priority="68"/>
  </conditionalFormatting>
  <conditionalFormatting sqref="G465">
    <cfRule type="duplicateValues" dxfId="9" priority="69"/>
  </conditionalFormatting>
  <conditionalFormatting sqref="G466">
    <cfRule type="duplicateValues" dxfId="9" priority="66"/>
  </conditionalFormatting>
  <conditionalFormatting sqref="G467">
    <cfRule type="duplicateValues" dxfId="9" priority="65"/>
  </conditionalFormatting>
  <conditionalFormatting sqref="G480">
    <cfRule type="duplicateValues" dxfId="9" priority="64"/>
  </conditionalFormatting>
  <conditionalFormatting sqref="G484">
    <cfRule type="duplicateValues" dxfId="9" priority="63"/>
  </conditionalFormatting>
  <conditionalFormatting sqref="G486">
    <cfRule type="duplicateValues" dxfId="9" priority="61"/>
  </conditionalFormatting>
  <conditionalFormatting sqref="G498">
    <cfRule type="duplicateValues" dxfId="9" priority="60"/>
  </conditionalFormatting>
  <conditionalFormatting sqref="G502">
    <cfRule type="duplicateValues" dxfId="9" priority="59"/>
  </conditionalFormatting>
  <conditionalFormatting sqref="G508">
    <cfRule type="duplicateValues" dxfId="9" priority="56"/>
  </conditionalFormatting>
  <conditionalFormatting sqref="G509">
    <cfRule type="duplicateValues" dxfId="9" priority="57"/>
  </conditionalFormatting>
  <conditionalFormatting sqref="G512">
    <cfRule type="duplicateValues" dxfId="9" priority="54"/>
  </conditionalFormatting>
  <conditionalFormatting sqref="G513">
    <cfRule type="duplicateValues" dxfId="9" priority="55"/>
  </conditionalFormatting>
  <conditionalFormatting sqref="G517">
    <cfRule type="duplicateValues" dxfId="9" priority="53"/>
  </conditionalFormatting>
  <conditionalFormatting sqref="G518">
    <cfRule type="duplicateValues" dxfId="9" priority="51"/>
  </conditionalFormatting>
  <conditionalFormatting sqref="G522">
    <cfRule type="duplicateValues" dxfId="9" priority="50"/>
  </conditionalFormatting>
  <conditionalFormatting sqref="G538">
    <cfRule type="duplicateValues" dxfId="9" priority="48"/>
  </conditionalFormatting>
  <conditionalFormatting sqref="G542">
    <cfRule type="duplicateValues" dxfId="9" priority="47"/>
  </conditionalFormatting>
  <conditionalFormatting sqref="G546">
    <cfRule type="duplicateValues" dxfId="9" priority="46"/>
  </conditionalFormatting>
  <conditionalFormatting sqref="G570">
    <cfRule type="duplicateValues" dxfId="9" priority="32"/>
  </conditionalFormatting>
  <conditionalFormatting sqref="G573">
    <cfRule type="duplicateValues" dxfId="9" priority="30"/>
  </conditionalFormatting>
  <conditionalFormatting sqref="G574">
    <cfRule type="duplicateValues" dxfId="9" priority="29"/>
  </conditionalFormatting>
  <conditionalFormatting sqref="G575">
    <cfRule type="duplicateValues" dxfId="9" priority="27"/>
  </conditionalFormatting>
  <conditionalFormatting sqref="L577">
    <cfRule type="duplicateValues" dxfId="9" priority="43"/>
  </conditionalFormatting>
  <conditionalFormatting sqref="G597">
    <cfRule type="duplicateValues" dxfId="9" priority="11"/>
  </conditionalFormatting>
  <conditionalFormatting sqref="G599">
    <cfRule type="duplicateValues" dxfId="9" priority="4"/>
  </conditionalFormatting>
  <conditionalFormatting sqref="G600">
    <cfRule type="duplicateValues" dxfId="9" priority="3"/>
  </conditionalFormatting>
  <conditionalFormatting sqref="G604">
    <cfRule type="duplicateValues" dxfId="9" priority="2"/>
  </conditionalFormatting>
  <conditionalFormatting sqref="G605">
    <cfRule type="duplicateValues" dxfId="9" priority="1"/>
  </conditionalFormatting>
  <conditionalFormatting sqref="A6:A27">
    <cfRule type="duplicateValues" dxfId="9" priority="853"/>
    <cfRule type="duplicateValues" dxfId="9" priority="854"/>
  </conditionalFormatting>
  <conditionalFormatting sqref="A28:A247">
    <cfRule type="duplicateValues" dxfId="9" priority="699"/>
    <cfRule type="duplicateValues" dxfId="9" priority="700"/>
  </conditionalFormatting>
  <conditionalFormatting sqref="A248:A257">
    <cfRule type="duplicateValues" dxfId="9" priority="284"/>
    <cfRule type="duplicateValues" dxfId="9" priority="285"/>
  </conditionalFormatting>
  <conditionalFormatting sqref="A258:A267">
    <cfRule type="duplicateValues" dxfId="9" priority="278"/>
    <cfRule type="duplicateValues" dxfId="9" priority="279"/>
  </conditionalFormatting>
  <conditionalFormatting sqref="A268:A277">
    <cfRule type="duplicateValues" dxfId="9" priority="272"/>
    <cfRule type="duplicateValues" dxfId="9" priority="273"/>
  </conditionalFormatting>
  <conditionalFormatting sqref="A278:A287">
    <cfRule type="duplicateValues" dxfId="9" priority="266"/>
    <cfRule type="duplicateValues" dxfId="9" priority="267"/>
  </conditionalFormatting>
  <conditionalFormatting sqref="A288:A297">
    <cfRule type="duplicateValues" dxfId="9" priority="260"/>
    <cfRule type="duplicateValues" dxfId="9" priority="261"/>
  </conditionalFormatting>
  <conditionalFormatting sqref="A298:A307">
    <cfRule type="duplicateValues" dxfId="9" priority="248"/>
    <cfRule type="duplicateValues" dxfId="9" priority="249"/>
  </conditionalFormatting>
  <conditionalFormatting sqref="A308:A317">
    <cfRule type="duplicateValues" dxfId="9" priority="242"/>
    <cfRule type="duplicateValues" dxfId="9" priority="243"/>
  </conditionalFormatting>
  <conditionalFormatting sqref="A318:A327">
    <cfRule type="duplicateValues" dxfId="9" priority="236"/>
    <cfRule type="duplicateValues" dxfId="9" priority="237"/>
  </conditionalFormatting>
  <conditionalFormatting sqref="A328:A337">
    <cfRule type="duplicateValues" dxfId="9" priority="230"/>
    <cfRule type="duplicateValues" dxfId="9" priority="231"/>
  </conditionalFormatting>
  <conditionalFormatting sqref="A338:A347">
    <cfRule type="duplicateValues" dxfId="9" priority="224"/>
    <cfRule type="duplicateValues" dxfId="9" priority="225"/>
  </conditionalFormatting>
  <conditionalFormatting sqref="A348:A357">
    <cfRule type="duplicateValues" dxfId="9" priority="218"/>
    <cfRule type="duplicateValues" dxfId="9" priority="219"/>
  </conditionalFormatting>
  <conditionalFormatting sqref="A358:A367">
    <cfRule type="duplicateValues" dxfId="9" priority="212"/>
    <cfRule type="duplicateValues" dxfId="9" priority="213"/>
  </conditionalFormatting>
  <conditionalFormatting sqref="A368:A377">
    <cfRule type="duplicateValues" dxfId="9" priority="206"/>
    <cfRule type="duplicateValues" dxfId="9" priority="207"/>
  </conditionalFormatting>
  <conditionalFormatting sqref="A378:A387">
    <cfRule type="duplicateValues" dxfId="9" priority="200"/>
    <cfRule type="duplicateValues" dxfId="9" priority="201"/>
  </conditionalFormatting>
  <conditionalFormatting sqref="A388:A397">
    <cfRule type="duplicateValues" dxfId="9" priority="194"/>
    <cfRule type="duplicateValues" dxfId="9" priority="195"/>
  </conditionalFormatting>
  <conditionalFormatting sqref="A398:A427">
    <cfRule type="duplicateValues" dxfId="9" priority="188"/>
    <cfRule type="duplicateValues" dxfId="9" priority="189"/>
  </conditionalFormatting>
  <conditionalFormatting sqref="A428:A437">
    <cfRule type="duplicateValues" dxfId="9" priority="178"/>
    <cfRule type="duplicateValues" dxfId="9" priority="179"/>
  </conditionalFormatting>
  <conditionalFormatting sqref="A438:A447">
    <cfRule type="duplicateValues" dxfId="9" priority="172"/>
    <cfRule type="duplicateValues" dxfId="9" priority="173"/>
  </conditionalFormatting>
  <conditionalFormatting sqref="A448:A457">
    <cfRule type="duplicateValues" dxfId="9" priority="166"/>
    <cfRule type="duplicateValues" dxfId="9" priority="167"/>
  </conditionalFormatting>
  <conditionalFormatting sqref="A458:A467">
    <cfRule type="duplicateValues" dxfId="9" priority="160"/>
    <cfRule type="duplicateValues" dxfId="9" priority="161"/>
  </conditionalFormatting>
  <conditionalFormatting sqref="A468:A477">
    <cfRule type="duplicateValues" dxfId="9" priority="154"/>
    <cfRule type="duplicateValues" dxfId="9" priority="155"/>
  </conditionalFormatting>
  <conditionalFormatting sqref="A478:A487">
    <cfRule type="duplicateValues" dxfId="9" priority="148"/>
    <cfRule type="duplicateValues" dxfId="9" priority="149"/>
  </conditionalFormatting>
  <conditionalFormatting sqref="A488:A497">
    <cfRule type="duplicateValues" dxfId="9" priority="142"/>
    <cfRule type="duplicateValues" dxfId="9" priority="143"/>
  </conditionalFormatting>
  <conditionalFormatting sqref="A498:A507">
    <cfRule type="duplicateValues" dxfId="9" priority="136"/>
    <cfRule type="duplicateValues" dxfId="9" priority="137"/>
  </conditionalFormatting>
  <conditionalFormatting sqref="A508:A517">
    <cfRule type="duplicateValues" dxfId="9" priority="130"/>
    <cfRule type="duplicateValues" dxfId="9" priority="131"/>
  </conditionalFormatting>
  <conditionalFormatting sqref="A518:A527">
    <cfRule type="duplicateValues" dxfId="9" priority="124"/>
    <cfRule type="duplicateValues" dxfId="9" priority="125"/>
  </conditionalFormatting>
  <conditionalFormatting sqref="A528:A537">
    <cfRule type="duplicateValues" dxfId="9" priority="118"/>
    <cfRule type="duplicateValues" dxfId="9" priority="119"/>
  </conditionalFormatting>
  <conditionalFormatting sqref="A538:A547">
    <cfRule type="duplicateValues" dxfId="9" priority="106"/>
    <cfRule type="duplicateValues" dxfId="9" priority="107"/>
  </conditionalFormatting>
  <conditionalFormatting sqref="A548:A557">
    <cfRule type="duplicateValues" dxfId="9" priority="100"/>
    <cfRule type="duplicateValues" dxfId="9" priority="101"/>
  </conditionalFormatting>
  <conditionalFormatting sqref="A558:A567">
    <cfRule type="duplicateValues" dxfId="9" priority="94"/>
    <cfRule type="duplicateValues" dxfId="9" priority="95"/>
  </conditionalFormatting>
  <conditionalFormatting sqref="A568:A577">
    <cfRule type="duplicateValues" dxfId="9" priority="39"/>
    <cfRule type="duplicateValues" dxfId="9" priority="40"/>
  </conditionalFormatting>
  <conditionalFormatting sqref="A578:A587">
    <cfRule type="duplicateValues" dxfId="9" priority="23"/>
    <cfRule type="duplicateValues" dxfId="9" priority="24"/>
  </conditionalFormatting>
  <conditionalFormatting sqref="A588:A597">
    <cfRule type="duplicateValues" dxfId="9" priority="16"/>
    <cfRule type="duplicateValues" dxfId="9" priority="17"/>
  </conditionalFormatting>
  <conditionalFormatting sqref="A598:A607">
    <cfRule type="duplicateValues" dxfId="9" priority="7"/>
    <cfRule type="duplicateValues" dxfId="9" priority="8"/>
  </conditionalFormatting>
  <conditionalFormatting sqref="B38:B47">
    <cfRule type="duplicateValues" dxfId="9" priority="692"/>
    <cfRule type="duplicateValues" dxfId="9" priority="693"/>
  </conditionalFormatting>
  <conditionalFormatting sqref="B48:B57">
    <cfRule type="duplicateValues" dxfId="9" priority="688"/>
    <cfRule type="duplicateValues" dxfId="9" priority="689"/>
  </conditionalFormatting>
  <conditionalFormatting sqref="B58:B67">
    <cfRule type="duplicateValues" dxfId="9" priority="678"/>
    <cfRule type="duplicateValues" dxfId="9" priority="679"/>
  </conditionalFormatting>
  <conditionalFormatting sqref="B68:B77">
    <cfRule type="duplicateValues" dxfId="9" priority="670"/>
    <cfRule type="duplicateValues" dxfId="9" priority="671"/>
  </conditionalFormatting>
  <conditionalFormatting sqref="B78:B87">
    <cfRule type="duplicateValues" dxfId="9" priority="664"/>
    <cfRule type="duplicateValues" dxfId="9" priority="665"/>
  </conditionalFormatting>
  <conditionalFormatting sqref="B88:B97">
    <cfRule type="duplicateValues" dxfId="9" priority="657"/>
    <cfRule type="duplicateValues" dxfId="9" priority="658"/>
  </conditionalFormatting>
  <conditionalFormatting sqref="B98:B107">
    <cfRule type="duplicateValues" dxfId="9" priority="651"/>
    <cfRule type="duplicateValues" dxfId="9" priority="652"/>
  </conditionalFormatting>
  <conditionalFormatting sqref="B108:B117">
    <cfRule type="duplicateValues" dxfId="9" priority="647"/>
    <cfRule type="duplicateValues" dxfId="9" priority="648"/>
  </conditionalFormatting>
  <conditionalFormatting sqref="B118:B127">
    <cfRule type="duplicateValues" dxfId="9" priority="645"/>
    <cfRule type="duplicateValues" dxfId="9" priority="646"/>
  </conditionalFormatting>
  <conditionalFormatting sqref="B128:B137">
    <cfRule type="duplicateValues" dxfId="9" priority="643"/>
    <cfRule type="duplicateValues" dxfId="9" priority="644"/>
  </conditionalFormatting>
  <conditionalFormatting sqref="B138:B147">
    <cfRule type="duplicateValues" dxfId="9" priority="641"/>
    <cfRule type="duplicateValues" dxfId="9" priority="642"/>
  </conditionalFormatting>
  <conditionalFormatting sqref="B148:B157">
    <cfRule type="duplicateValues" dxfId="9" priority="639"/>
    <cfRule type="duplicateValues" dxfId="9" priority="640"/>
  </conditionalFormatting>
  <conditionalFormatting sqref="B158:B167">
    <cfRule type="duplicateValues" dxfId="9" priority="637"/>
    <cfRule type="duplicateValues" dxfId="9" priority="638"/>
  </conditionalFormatting>
  <conditionalFormatting sqref="B168:B177">
    <cfRule type="duplicateValues" dxfId="9" priority="635"/>
    <cfRule type="duplicateValues" dxfId="9" priority="636"/>
  </conditionalFormatting>
  <conditionalFormatting sqref="B178:B187">
    <cfRule type="duplicateValues" dxfId="9" priority="633"/>
    <cfRule type="duplicateValues" dxfId="9" priority="634"/>
  </conditionalFormatting>
  <conditionalFormatting sqref="B188:B197">
    <cfRule type="duplicateValues" dxfId="9" priority="631"/>
    <cfRule type="duplicateValues" dxfId="9" priority="632"/>
  </conditionalFormatting>
  <conditionalFormatting sqref="B198:B207">
    <cfRule type="duplicateValues" dxfId="9" priority="629"/>
    <cfRule type="duplicateValues" dxfId="9" priority="630"/>
  </conditionalFormatting>
  <conditionalFormatting sqref="B208:B217">
    <cfRule type="duplicateValues" dxfId="9" priority="627"/>
    <cfRule type="duplicateValues" dxfId="9" priority="628"/>
  </conditionalFormatting>
  <conditionalFormatting sqref="B218:B227">
    <cfRule type="duplicateValues" dxfId="9" priority="292"/>
    <cfRule type="duplicateValues" dxfId="9" priority="293"/>
  </conditionalFormatting>
  <conditionalFormatting sqref="B228:B237">
    <cfRule type="duplicateValues" dxfId="9" priority="290"/>
    <cfRule type="duplicateValues" dxfId="9" priority="291"/>
  </conditionalFormatting>
  <conditionalFormatting sqref="B238:B247">
    <cfRule type="duplicateValues" dxfId="9" priority="288"/>
    <cfRule type="duplicateValues" dxfId="9" priority="289"/>
  </conditionalFormatting>
  <conditionalFormatting sqref="B248:B257">
    <cfRule type="duplicateValues" dxfId="9" priority="282"/>
    <cfRule type="duplicateValues" dxfId="9" priority="283"/>
  </conditionalFormatting>
  <conditionalFormatting sqref="B258:B267">
    <cfRule type="duplicateValues" dxfId="9" priority="276"/>
    <cfRule type="duplicateValues" dxfId="9" priority="277"/>
  </conditionalFormatting>
  <conditionalFormatting sqref="B268:B277">
    <cfRule type="duplicateValues" dxfId="9" priority="270"/>
    <cfRule type="duplicateValues" dxfId="9" priority="271"/>
  </conditionalFormatting>
  <conditionalFormatting sqref="B278:B287">
    <cfRule type="duplicateValues" dxfId="9" priority="264"/>
    <cfRule type="duplicateValues" dxfId="9" priority="265"/>
  </conditionalFormatting>
  <conditionalFormatting sqref="B288:B297">
    <cfRule type="duplicateValues" dxfId="9" priority="258"/>
    <cfRule type="duplicateValues" dxfId="9" priority="259"/>
  </conditionalFormatting>
  <conditionalFormatting sqref="B298:B307">
    <cfRule type="duplicateValues" dxfId="9" priority="246"/>
    <cfRule type="duplicateValues" dxfId="9" priority="247"/>
  </conditionalFormatting>
  <conditionalFormatting sqref="B308:B317">
    <cfRule type="duplicateValues" dxfId="9" priority="240"/>
    <cfRule type="duplicateValues" dxfId="9" priority="241"/>
  </conditionalFormatting>
  <conditionalFormatting sqref="B318:B327">
    <cfRule type="duplicateValues" dxfId="9" priority="234"/>
    <cfRule type="duplicateValues" dxfId="9" priority="235"/>
  </conditionalFormatting>
  <conditionalFormatting sqref="B328:B337">
    <cfRule type="duplicateValues" dxfId="9" priority="228"/>
    <cfRule type="duplicateValues" dxfId="9" priority="229"/>
  </conditionalFormatting>
  <conditionalFormatting sqref="B338:B347">
    <cfRule type="duplicateValues" dxfId="9" priority="222"/>
    <cfRule type="duplicateValues" dxfId="9" priority="223"/>
  </conditionalFormatting>
  <conditionalFormatting sqref="B348:B357">
    <cfRule type="duplicateValues" dxfId="9" priority="216"/>
    <cfRule type="duplicateValues" dxfId="9" priority="217"/>
  </conditionalFormatting>
  <conditionalFormatting sqref="B358:B367">
    <cfRule type="duplicateValues" dxfId="9" priority="210"/>
    <cfRule type="duplicateValues" dxfId="9" priority="211"/>
  </conditionalFormatting>
  <conditionalFormatting sqref="B368:B377">
    <cfRule type="duplicateValues" dxfId="9" priority="204"/>
    <cfRule type="duplicateValues" dxfId="9" priority="205"/>
  </conditionalFormatting>
  <conditionalFormatting sqref="B378:B387">
    <cfRule type="duplicateValues" dxfId="9" priority="198"/>
    <cfRule type="duplicateValues" dxfId="9" priority="199"/>
  </conditionalFormatting>
  <conditionalFormatting sqref="B388:B397">
    <cfRule type="duplicateValues" dxfId="9" priority="192"/>
    <cfRule type="duplicateValues" dxfId="9" priority="193"/>
  </conditionalFormatting>
  <conditionalFormatting sqref="B398:B407">
    <cfRule type="duplicateValues" dxfId="9" priority="186"/>
    <cfRule type="duplicateValues" dxfId="9" priority="187"/>
  </conditionalFormatting>
  <conditionalFormatting sqref="B408:B417">
    <cfRule type="duplicateValues" dxfId="9" priority="184"/>
    <cfRule type="duplicateValues" dxfId="9" priority="185"/>
  </conditionalFormatting>
  <conditionalFormatting sqref="B418:B427">
    <cfRule type="duplicateValues" dxfId="9" priority="182"/>
    <cfRule type="duplicateValues" dxfId="9" priority="183"/>
  </conditionalFormatting>
  <conditionalFormatting sqref="B428:B437">
    <cfRule type="duplicateValues" dxfId="9" priority="176"/>
    <cfRule type="duplicateValues" dxfId="9" priority="177"/>
  </conditionalFormatting>
  <conditionalFormatting sqref="B438:B447">
    <cfRule type="duplicateValues" dxfId="9" priority="170"/>
    <cfRule type="duplicateValues" dxfId="9" priority="171"/>
  </conditionalFormatting>
  <conditionalFormatting sqref="B448:B457">
    <cfRule type="duplicateValues" dxfId="9" priority="164"/>
    <cfRule type="duplicateValues" dxfId="9" priority="165"/>
  </conditionalFormatting>
  <conditionalFormatting sqref="B458:B467">
    <cfRule type="duplicateValues" dxfId="9" priority="158"/>
    <cfRule type="duplicateValues" dxfId="9" priority="159"/>
  </conditionalFormatting>
  <conditionalFormatting sqref="B468:B477">
    <cfRule type="duplicateValues" dxfId="9" priority="152"/>
    <cfRule type="duplicateValues" dxfId="9" priority="153"/>
  </conditionalFormatting>
  <conditionalFormatting sqref="B478:B487">
    <cfRule type="duplicateValues" dxfId="9" priority="146"/>
    <cfRule type="duplicateValues" dxfId="9" priority="147"/>
  </conditionalFormatting>
  <conditionalFormatting sqref="B488:B497">
    <cfRule type="duplicateValues" dxfId="9" priority="140"/>
    <cfRule type="duplicateValues" dxfId="9" priority="141"/>
  </conditionalFormatting>
  <conditionalFormatting sqref="B498:B507">
    <cfRule type="duplicateValues" dxfId="9" priority="134"/>
    <cfRule type="duplicateValues" dxfId="9" priority="135"/>
  </conditionalFormatting>
  <conditionalFormatting sqref="B508:B517">
    <cfRule type="duplicateValues" dxfId="9" priority="128"/>
    <cfRule type="duplicateValues" dxfId="9" priority="129"/>
  </conditionalFormatting>
  <conditionalFormatting sqref="B518:B527">
    <cfRule type="duplicateValues" dxfId="9" priority="122"/>
    <cfRule type="duplicateValues" dxfId="9" priority="123"/>
  </conditionalFormatting>
  <conditionalFormatting sqref="B528:B537">
    <cfRule type="duplicateValues" dxfId="9" priority="116"/>
    <cfRule type="duplicateValues" dxfId="9" priority="117"/>
  </conditionalFormatting>
  <conditionalFormatting sqref="B538:B547">
    <cfRule type="duplicateValues" dxfId="9" priority="104"/>
    <cfRule type="duplicateValues" dxfId="9" priority="105"/>
  </conditionalFormatting>
  <conditionalFormatting sqref="B548:B557">
    <cfRule type="duplicateValues" dxfId="9" priority="98"/>
    <cfRule type="duplicateValues" dxfId="9" priority="99"/>
  </conditionalFormatting>
  <conditionalFormatting sqref="B558:B567">
    <cfRule type="duplicateValues" dxfId="9" priority="92"/>
    <cfRule type="duplicateValues" dxfId="9" priority="93"/>
  </conditionalFormatting>
  <conditionalFormatting sqref="B568:B577">
    <cfRule type="duplicateValues" dxfId="9" priority="37"/>
    <cfRule type="duplicateValues" dxfId="9" priority="38"/>
  </conditionalFormatting>
  <conditionalFormatting sqref="B578:B587">
    <cfRule type="duplicateValues" dxfId="9" priority="21"/>
    <cfRule type="duplicateValues" dxfId="9" priority="22"/>
  </conditionalFormatting>
  <conditionalFormatting sqref="B588:B597">
    <cfRule type="duplicateValues" dxfId="9" priority="14"/>
    <cfRule type="duplicateValues" dxfId="9" priority="15"/>
  </conditionalFormatting>
  <conditionalFormatting sqref="B598:B607">
    <cfRule type="duplicateValues" dxfId="9" priority="5"/>
    <cfRule type="duplicateValues" dxfId="9" priority="6"/>
  </conditionalFormatting>
  <conditionalFormatting sqref="C248:C257">
    <cfRule type="duplicateValues" dxfId="9" priority="286"/>
    <cfRule type="duplicateValues" dxfId="9" priority="287"/>
  </conditionalFormatting>
  <conditionalFormatting sqref="C258:C267">
    <cfRule type="duplicateValues" dxfId="9" priority="280"/>
    <cfRule type="duplicateValues" dxfId="9" priority="281"/>
  </conditionalFormatting>
  <conditionalFormatting sqref="C268:C277">
    <cfRule type="duplicateValues" dxfId="9" priority="274"/>
    <cfRule type="duplicateValues" dxfId="9" priority="275"/>
  </conditionalFormatting>
  <conditionalFormatting sqref="C278:C287">
    <cfRule type="duplicateValues" dxfId="9" priority="268"/>
    <cfRule type="duplicateValues" dxfId="9" priority="269"/>
  </conditionalFormatting>
  <conditionalFormatting sqref="C288:C297">
    <cfRule type="duplicateValues" dxfId="9" priority="262"/>
    <cfRule type="duplicateValues" dxfId="9" priority="263"/>
  </conditionalFormatting>
  <conditionalFormatting sqref="C298:C307">
    <cfRule type="duplicateValues" dxfId="9" priority="250"/>
    <cfRule type="duplicateValues" dxfId="9" priority="251"/>
  </conditionalFormatting>
  <conditionalFormatting sqref="C308:C317">
    <cfRule type="duplicateValues" dxfId="9" priority="244"/>
    <cfRule type="duplicateValues" dxfId="9" priority="245"/>
  </conditionalFormatting>
  <conditionalFormatting sqref="C318:C327">
    <cfRule type="duplicateValues" dxfId="9" priority="238"/>
    <cfRule type="duplicateValues" dxfId="9" priority="239"/>
  </conditionalFormatting>
  <conditionalFormatting sqref="C328:C337">
    <cfRule type="duplicateValues" dxfId="9" priority="232"/>
    <cfRule type="duplicateValues" dxfId="9" priority="233"/>
  </conditionalFormatting>
  <conditionalFormatting sqref="C338:C347">
    <cfRule type="duplicateValues" dxfId="9" priority="226"/>
    <cfRule type="duplicateValues" dxfId="9" priority="227"/>
  </conditionalFormatting>
  <conditionalFormatting sqref="C348:C357">
    <cfRule type="duplicateValues" dxfId="9" priority="220"/>
    <cfRule type="duplicateValues" dxfId="9" priority="221"/>
  </conditionalFormatting>
  <conditionalFormatting sqref="C358:C367">
    <cfRule type="duplicateValues" dxfId="9" priority="214"/>
    <cfRule type="duplicateValues" dxfId="9" priority="215"/>
  </conditionalFormatting>
  <conditionalFormatting sqref="C368:C377">
    <cfRule type="duplicateValues" dxfId="9" priority="208"/>
    <cfRule type="duplicateValues" dxfId="9" priority="209"/>
  </conditionalFormatting>
  <conditionalFormatting sqref="C378:C387">
    <cfRule type="duplicateValues" dxfId="9" priority="202"/>
    <cfRule type="duplicateValues" dxfId="9" priority="203"/>
  </conditionalFormatting>
  <conditionalFormatting sqref="C388:C397">
    <cfRule type="duplicateValues" dxfId="9" priority="196"/>
    <cfRule type="duplicateValues" dxfId="9" priority="197"/>
  </conditionalFormatting>
  <conditionalFormatting sqref="C398:C567">
    <cfRule type="duplicateValues" dxfId="9" priority="190"/>
    <cfRule type="duplicateValues" dxfId="9" priority="191"/>
  </conditionalFormatting>
  <conditionalFormatting sqref="C568:C587">
    <cfRule type="duplicateValues" dxfId="9" priority="41"/>
    <cfRule type="duplicateValues" dxfId="9" priority="42"/>
  </conditionalFormatting>
  <conditionalFormatting sqref="C588:C597">
    <cfRule type="duplicateValues" dxfId="9" priority="18"/>
    <cfRule type="duplicateValues" dxfId="9" priority="19"/>
  </conditionalFormatting>
  <conditionalFormatting sqref="C598:C607">
    <cfRule type="duplicateValues" dxfId="9" priority="9"/>
    <cfRule type="duplicateValues" dxfId="9" priority="10"/>
  </conditionalFormatting>
  <conditionalFormatting sqref="G568:G569">
    <cfRule type="duplicateValues" dxfId="9" priority="33"/>
  </conditionalFormatting>
  <conditionalFormatting sqref="G571:G572">
    <cfRule type="duplicateValues" dxfId="9" priority="31"/>
  </conditionalFormatting>
  <conditionalFormatting sqref="G576:G577">
    <cfRule type="duplicateValues" dxfId="9" priority="28"/>
  </conditionalFormatting>
  <conditionalFormatting sqref="G589:G590">
    <cfRule type="duplicateValues" dxfId="9" priority="20"/>
  </conditionalFormatting>
  <conditionalFormatting sqref="G592:G593">
    <cfRule type="duplicateValues" dxfId="9" priority="13"/>
  </conditionalFormatting>
  <conditionalFormatting sqref="G595:G596">
    <cfRule type="duplicateValues" dxfId="9" priority="12"/>
  </conditionalFormatting>
  <conditionalFormatting sqref="L575:L576">
    <cfRule type="duplicateValues" dxfId="9" priority="44"/>
  </conditionalFormatting>
  <conditionalFormatting sqref="A1:A5 B1:C27">
    <cfRule type="duplicateValues" dxfId="9" priority="850"/>
  </conditionalFormatting>
  <conditionalFormatting sqref="B6:C27">
    <cfRule type="duplicateValues" dxfId="9" priority="847"/>
  </conditionalFormatting>
  <conditionalFormatting sqref="H6:H17 H23:H26">
    <cfRule type="duplicateValues" dxfId="9" priority="430"/>
  </conditionalFormatting>
  <conditionalFormatting sqref="B28:C37 C38:C247">
    <cfRule type="duplicateValues" dxfId="9" priority="701"/>
    <cfRule type="duplicateValues" dxfId="9" priority="702"/>
  </conditionalFormatting>
  <conditionalFormatting sqref="L46 L42:L43">
    <cfRule type="duplicateValues" dxfId="9" priority="294"/>
  </conditionalFormatting>
  <conditionalFormatting sqref="L571:L572 L574">
    <cfRule type="duplicateValues" dxfId="9" priority="45"/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W682"/>
  <sheetViews>
    <sheetView zoomScale="85" zoomScaleNormal="85" workbookViewId="0">
      <pane xSplit="3" ySplit="5" topLeftCell="D360" activePane="bottomRight" state="frozen"/>
      <selection/>
      <selection pane="topRight"/>
      <selection pane="bottomLeft"/>
      <selection pane="bottomRight" activeCell="C366" sqref="C366"/>
    </sheetView>
  </sheetViews>
  <sheetFormatPr defaultColWidth="9" defaultRowHeight="15"/>
  <cols>
    <col min="1" max="1" width="11.2477876106195" style="1" customWidth="1"/>
    <col min="2" max="2" width="15.2477876106195" style="1" customWidth="1"/>
    <col min="3" max="3" width="23.5044247787611" style="1" customWidth="1"/>
    <col min="4" max="4" width="9.87610619469027" style="1" customWidth="1"/>
    <col min="5" max="5" width="9" style="1"/>
    <col min="6" max="6" width="13.1238938053097" style="1" customWidth="1"/>
    <col min="7" max="10" width="14.8761061946903" style="1" customWidth="1"/>
    <col min="11" max="11" width="9" style="1"/>
    <col min="12" max="15" width="13.7522123893805" style="1" customWidth="1"/>
    <col min="16" max="16" width="14" style="216" customWidth="1"/>
    <col min="17" max="17" width="8.12389380530973" style="3" customWidth="1"/>
    <col min="18" max="18" width="8.6283185840708" style="3" customWidth="1"/>
    <col min="19" max="16384" width="9" style="1"/>
  </cols>
  <sheetData>
    <row r="1" spans="1:20">
      <c r="A1" s="46" t="s">
        <v>1498</v>
      </c>
      <c r="B1" s="68"/>
      <c r="C1" s="68"/>
      <c r="D1" s="68"/>
      <c r="E1" s="68"/>
      <c r="F1" s="68"/>
      <c r="G1" s="68"/>
      <c r="H1" s="68"/>
      <c r="I1" s="68"/>
      <c r="J1" s="68"/>
      <c r="K1" s="46"/>
      <c r="L1" s="46"/>
      <c r="M1" s="46"/>
      <c r="N1" s="46"/>
      <c r="O1" s="46"/>
      <c r="T1" s="236" t="s">
        <v>1499</v>
      </c>
    </row>
    <row r="2" s="3" customFormat="1" ht="108.75" customHeight="1" spans="1:20">
      <c r="A2" s="3" t="s">
        <v>270</v>
      </c>
      <c r="B2" s="198" t="s">
        <v>1500</v>
      </c>
      <c r="C2" s="198"/>
      <c r="D2" s="198" t="s">
        <v>1501</v>
      </c>
      <c r="E2" s="198" t="s">
        <v>1502</v>
      </c>
      <c r="F2" s="217" t="s">
        <v>1503</v>
      </c>
      <c r="G2" s="198" t="s">
        <v>1504</v>
      </c>
      <c r="H2" s="218" t="s">
        <v>1505</v>
      </c>
      <c r="I2" s="198" t="s">
        <v>1506</v>
      </c>
      <c r="J2" s="198" t="s">
        <v>1507</v>
      </c>
      <c r="K2" s="3" t="s">
        <v>1093</v>
      </c>
      <c r="L2" s="3" t="s">
        <v>1508</v>
      </c>
      <c r="N2" s="206" t="s">
        <v>1509</v>
      </c>
      <c r="O2" s="206" t="s">
        <v>1510</v>
      </c>
      <c r="P2" s="233" t="s">
        <v>1511</v>
      </c>
      <c r="Q2" s="198" t="s">
        <v>1512</v>
      </c>
      <c r="R2" s="49" t="s">
        <v>1513</v>
      </c>
      <c r="S2" s="198" t="s">
        <v>1514</v>
      </c>
      <c r="T2" s="237" t="s">
        <v>1515</v>
      </c>
    </row>
    <row r="3" ht="16.5" spans="1:20">
      <c r="A3" s="46" t="s">
        <v>109</v>
      </c>
      <c r="B3" s="198" t="s">
        <v>110</v>
      </c>
      <c r="C3" s="198"/>
      <c r="D3" s="68"/>
      <c r="E3" s="46" t="s">
        <v>109</v>
      </c>
      <c r="F3" s="219" t="s">
        <v>110</v>
      </c>
      <c r="G3" s="68" t="s">
        <v>110</v>
      </c>
      <c r="H3" s="220" t="s">
        <v>110</v>
      </c>
      <c r="I3" s="220" t="s">
        <v>110</v>
      </c>
      <c r="J3" s="220" t="s">
        <v>110</v>
      </c>
      <c r="K3" s="46" t="s">
        <v>109</v>
      </c>
      <c r="L3" s="46" t="s">
        <v>109</v>
      </c>
      <c r="M3" s="46"/>
      <c r="N3" s="207"/>
      <c r="O3" s="207" t="s">
        <v>109</v>
      </c>
      <c r="P3" s="216" t="s">
        <v>109</v>
      </c>
      <c r="Q3" s="198" t="s">
        <v>109</v>
      </c>
      <c r="R3" s="46" t="s">
        <v>109</v>
      </c>
      <c r="S3" s="198" t="s">
        <v>109</v>
      </c>
      <c r="T3" s="237" t="s">
        <v>109</v>
      </c>
    </row>
    <row r="4" ht="30" spans="1:20">
      <c r="A4" s="1" t="s">
        <v>270</v>
      </c>
      <c r="B4" s="198" t="s">
        <v>64</v>
      </c>
      <c r="C4" s="198"/>
      <c r="D4" s="199"/>
      <c r="E4" s="199" t="s">
        <v>40</v>
      </c>
      <c r="F4" s="221" t="s">
        <v>1516</v>
      </c>
      <c r="G4" s="199" t="s">
        <v>1517</v>
      </c>
      <c r="H4" s="220" t="s">
        <v>1518</v>
      </c>
      <c r="I4" s="199" t="s">
        <v>1519</v>
      </c>
      <c r="J4" s="199" t="s">
        <v>1520</v>
      </c>
      <c r="K4" s="1" t="s">
        <v>557</v>
      </c>
      <c r="L4" s="1" t="s">
        <v>1521</v>
      </c>
      <c r="N4" s="97"/>
      <c r="O4" s="97" t="s">
        <v>1522</v>
      </c>
      <c r="P4" s="216" t="s">
        <v>22</v>
      </c>
      <c r="Q4" s="198" t="s">
        <v>560</v>
      </c>
      <c r="R4" s="46" t="s">
        <v>559</v>
      </c>
      <c r="S4" s="198" t="s">
        <v>1523</v>
      </c>
      <c r="T4" s="237" t="s">
        <v>1524</v>
      </c>
    </row>
    <row r="5" ht="30" spans="1:20">
      <c r="A5" s="1" t="s">
        <v>270</v>
      </c>
      <c r="B5" s="198"/>
      <c r="C5" s="198"/>
      <c r="D5" s="199"/>
      <c r="E5" s="199"/>
      <c r="F5" s="199"/>
      <c r="G5" s="199"/>
      <c r="H5" s="199"/>
      <c r="I5" s="199"/>
      <c r="J5" s="199"/>
      <c r="K5" s="1" t="s">
        <v>557</v>
      </c>
      <c r="L5" s="1" t="s">
        <v>1521</v>
      </c>
      <c r="N5" s="97"/>
      <c r="O5" s="97" t="s">
        <v>1522</v>
      </c>
      <c r="P5" s="216" t="s">
        <v>22</v>
      </c>
      <c r="Q5" s="198" t="s">
        <v>560</v>
      </c>
      <c r="R5" s="46" t="s">
        <v>559</v>
      </c>
      <c r="S5" s="198" t="s">
        <v>1523</v>
      </c>
      <c r="T5" s="237" t="s">
        <v>1524</v>
      </c>
    </row>
    <row r="6" ht="16.5" spans="1:23">
      <c r="A6" s="1">
        <v>1</v>
      </c>
      <c r="B6" s="11" t="s">
        <v>1525</v>
      </c>
      <c r="C6" s="222" t="s">
        <v>1526</v>
      </c>
      <c r="D6" s="213" t="s">
        <v>1527</v>
      </c>
      <c r="E6" s="213">
        <f ca="1">OFFSET(model!$A$1,MATCH(D6,model!B:B,0)-1,0)</f>
        <v>5</v>
      </c>
      <c r="F6" s="1" t="s">
        <v>1528</v>
      </c>
      <c r="G6" s="213" t="s">
        <v>1529</v>
      </c>
      <c r="H6" s="220" t="s">
        <v>1530</v>
      </c>
      <c r="I6" s="220" t="s">
        <v>1531</v>
      </c>
      <c r="J6" s="220" t="s">
        <v>1532</v>
      </c>
      <c r="K6" s="1">
        <v>1</v>
      </c>
      <c r="L6" s="1">
        <v>205</v>
      </c>
      <c r="M6" s="1">
        <f t="shared" ref="M6:M21" si="0">K6*1000+L6</f>
        <v>1205</v>
      </c>
      <c r="N6" s="107" t="e">
        <f ca="1">OFFSET(npc_level_config!$T$1,MATCH(M6,npc_level_config!A:A,0)-1,0)</f>
        <v>#VALUE!</v>
      </c>
      <c r="O6" s="107" t="e">
        <f ca="1">ROUND(N6,-1)</f>
        <v>#VALUE!</v>
      </c>
      <c r="P6" s="216">
        <v>2104</v>
      </c>
      <c r="Q6" s="3">
        <f ca="1">IF(S6=0,6,OFFSET(passive_type!$J$1,MATCH(S6,passive_type!A:A,0)-1,0))</f>
        <v>1</v>
      </c>
      <c r="R6" s="3">
        <f ca="1">OFFSET(battle_group!$C$1,MATCH(P6,battle_group!E:E,0)-1,0)</f>
        <v>2</v>
      </c>
      <c r="S6" s="1">
        <f ca="1">OFFSET(passive_type!$A$1,MATCH(U6,passive_type!B:B,0)-1,0)</f>
        <v>2102</v>
      </c>
      <c r="T6" s="238">
        <v>20101</v>
      </c>
      <c r="U6" s="239" t="s">
        <v>1533</v>
      </c>
      <c r="W6" s="1">
        <v>632</v>
      </c>
    </row>
    <row r="7" ht="27.75" spans="1:21">
      <c r="A7" s="1">
        <v>2</v>
      </c>
      <c r="B7" s="11" t="s">
        <v>1534</v>
      </c>
      <c r="C7" s="11" t="s">
        <v>1535</v>
      </c>
      <c r="D7" s="213" t="s">
        <v>1536</v>
      </c>
      <c r="E7" s="213">
        <f ca="1">OFFSET(model!$A$1,MATCH(D7,model!B:B,0)-1,0)</f>
        <v>11</v>
      </c>
      <c r="F7" s="1" t="s">
        <v>1528</v>
      </c>
      <c r="G7" s="213" t="s">
        <v>1537</v>
      </c>
      <c r="H7" s="220" t="s">
        <v>1530</v>
      </c>
      <c r="I7" s="220" t="s">
        <v>1531</v>
      </c>
      <c r="J7" s="220" t="s">
        <v>1532</v>
      </c>
      <c r="K7" s="1">
        <v>1</v>
      </c>
      <c r="L7" s="1">
        <v>208</v>
      </c>
      <c r="M7" s="1">
        <f t="shared" si="0"/>
        <v>1208</v>
      </c>
      <c r="N7" s="107" t="e">
        <f ca="1">OFFSET(npc_level_config!$T$1,MATCH(M7,npc_level_config!A:A,0)-1,0)</f>
        <v>#VALUE!</v>
      </c>
      <c r="O7" s="107" t="e">
        <f ca="1" t="shared" ref="O7:O21" si="1">ROUND(N7,-1)</f>
        <v>#VALUE!</v>
      </c>
      <c r="P7" s="216">
        <v>1104</v>
      </c>
      <c r="Q7" s="3">
        <f ca="1">IF(S7=0,6,OFFSET(passive_type!$J$1,MATCH(S7,passive_type!A:A,0)-1,0))</f>
        <v>5</v>
      </c>
      <c r="R7" s="3">
        <f ca="1">OFFSET(battle_group!$C$1,MATCH(P7,battle_group!E:E,0)-1,0)</f>
        <v>1</v>
      </c>
      <c r="S7" s="1">
        <f ca="1">OFFSET(passive_type!$A$1,MATCH(U7,passive_type!B:B,0)-1,0)</f>
        <v>1101</v>
      </c>
      <c r="T7" s="238">
        <v>20102</v>
      </c>
      <c r="U7" s="240" t="s">
        <v>1538</v>
      </c>
    </row>
    <row r="8" ht="16.5" spans="1:21">
      <c r="A8" s="1">
        <v>3</v>
      </c>
      <c r="B8" s="11" t="s">
        <v>1539</v>
      </c>
      <c r="C8" s="66" t="s">
        <v>1540</v>
      </c>
      <c r="D8" s="1" t="s">
        <v>1541</v>
      </c>
      <c r="E8" s="213">
        <f ca="1">OFFSET(model!$A$1,MATCH(D8,model!B:B,0)-1,0)</f>
        <v>58</v>
      </c>
      <c r="F8" s="1" t="s">
        <v>1528</v>
      </c>
      <c r="G8" s="213" t="s">
        <v>1542</v>
      </c>
      <c r="H8" s="220" t="s">
        <v>1530</v>
      </c>
      <c r="I8" s="220" t="s">
        <v>1531</v>
      </c>
      <c r="J8" s="220" t="s">
        <v>1532</v>
      </c>
      <c r="K8" s="1">
        <v>1</v>
      </c>
      <c r="L8" s="1">
        <v>210</v>
      </c>
      <c r="M8" s="1">
        <f t="shared" si="0"/>
        <v>1210</v>
      </c>
      <c r="N8" s="107" t="e">
        <f ca="1">OFFSET(npc_level_config!$T$1,MATCH(M8,npc_level_config!A:A,0)-1,0)</f>
        <v>#VALUE!</v>
      </c>
      <c r="O8" s="107" t="e">
        <f ca="1" t="shared" si="1"/>
        <v>#VALUE!</v>
      </c>
      <c r="P8" s="216">
        <v>3105</v>
      </c>
      <c r="Q8" s="3">
        <f ca="1">IF(S8=0,6,OFFSET(passive_type!$J$1,MATCH(S8,passive_type!A:A,0)-1,0))</f>
        <v>3</v>
      </c>
      <c r="R8" s="3">
        <f ca="1">OFFSET(battle_group!$C$1,MATCH(P8,battle_group!E:E,0)-1,0)</f>
        <v>3</v>
      </c>
      <c r="S8" s="1">
        <f ca="1">OFFSET(passive_type!$A$1,MATCH(U8,passive_type!B:B,0)-1,0)</f>
        <v>3101</v>
      </c>
      <c r="T8" s="238">
        <v>20103</v>
      </c>
      <c r="U8" s="241" t="s">
        <v>1543</v>
      </c>
    </row>
    <row r="9" ht="27.75" spans="1:21">
      <c r="A9" s="1">
        <v>4</v>
      </c>
      <c r="B9" s="11" t="s">
        <v>1544</v>
      </c>
      <c r="C9" s="66" t="s">
        <v>1545</v>
      </c>
      <c r="D9" s="213" t="s">
        <v>1546</v>
      </c>
      <c r="E9" s="213">
        <f ca="1">OFFSET(model!$A$1,MATCH(D9,model!B:B,0)-1,0)</f>
        <v>13</v>
      </c>
      <c r="F9" s="1" t="s">
        <v>1528</v>
      </c>
      <c r="G9" s="213" t="s">
        <v>1547</v>
      </c>
      <c r="H9" s="220" t="s">
        <v>1530</v>
      </c>
      <c r="I9" s="220" t="s">
        <v>1531</v>
      </c>
      <c r="J9" s="220" t="s">
        <v>1532</v>
      </c>
      <c r="K9" s="1">
        <v>2</v>
      </c>
      <c r="L9" s="1">
        <v>204</v>
      </c>
      <c r="M9" s="1">
        <f t="shared" si="0"/>
        <v>2204</v>
      </c>
      <c r="N9" s="107" t="e">
        <f ca="1">OFFSET(npc_level_config!$T$1,MATCH(M9,npc_level_config!A:A,0)-1,0)</f>
        <v>#VALUE!</v>
      </c>
      <c r="O9" s="107" t="e">
        <f ca="1" t="shared" si="1"/>
        <v>#VALUE!</v>
      </c>
      <c r="P9" s="216">
        <v>3203</v>
      </c>
      <c r="Q9" s="3">
        <f ca="1">IF(S9=0,6,OFFSET(passive_type!$J$1,MATCH(S9,passive_type!A:A,0)-1,0))</f>
        <v>2</v>
      </c>
      <c r="R9" s="3">
        <f ca="1">OFFSET(battle_group!$C$1,MATCH(P9,battle_group!E:E,0)-1,0)</f>
        <v>3</v>
      </c>
      <c r="S9" s="1">
        <f ca="1">OFFSET(passive_type!$A$1,MATCH(U9,passive_type!B:B,0)-1,0)</f>
        <v>3102</v>
      </c>
      <c r="T9" s="238">
        <v>20104</v>
      </c>
      <c r="U9" s="240" t="s">
        <v>1548</v>
      </c>
    </row>
    <row r="10" ht="27.75" spans="1:21">
      <c r="A10" s="1">
        <v>5</v>
      </c>
      <c r="B10" s="11" t="s">
        <v>1549</v>
      </c>
      <c r="C10" s="66" t="s">
        <v>1550</v>
      </c>
      <c r="D10" s="213" t="s">
        <v>1551</v>
      </c>
      <c r="E10" s="213">
        <f ca="1">OFFSET(model!$A$1,MATCH(D10,model!B:B,0)-1,0)</f>
        <v>15</v>
      </c>
      <c r="F10" s="1" t="s">
        <v>1528</v>
      </c>
      <c r="G10" s="213" t="s">
        <v>1552</v>
      </c>
      <c r="H10" s="220" t="s">
        <v>1530</v>
      </c>
      <c r="I10" s="220" t="s">
        <v>1531</v>
      </c>
      <c r="J10" s="220" t="s">
        <v>1532</v>
      </c>
      <c r="K10" s="1">
        <v>2</v>
      </c>
      <c r="L10" s="1">
        <v>207</v>
      </c>
      <c r="M10" s="1">
        <f t="shared" si="0"/>
        <v>2207</v>
      </c>
      <c r="N10" s="107" t="e">
        <f ca="1">OFFSET(npc_level_config!$T$1,MATCH(M10,npc_level_config!A:A,0)-1,0)</f>
        <v>#VALUE!</v>
      </c>
      <c r="O10" s="107" t="e">
        <f ca="1" t="shared" si="1"/>
        <v>#VALUE!</v>
      </c>
      <c r="P10" s="216">
        <v>2203</v>
      </c>
      <c r="Q10" s="3">
        <f ca="1">IF(S10=0,6,OFFSET(passive_type!$J$1,MATCH(S10,passive_type!A:A,0)-1,0))</f>
        <v>1</v>
      </c>
      <c r="R10" s="3">
        <f ca="1">OFFSET(battle_group!$C$1,MATCH(P10,battle_group!E:E,0)-1,0)</f>
        <v>2</v>
      </c>
      <c r="S10" s="1">
        <f ca="1">OFFSET(passive_type!$A$1,MATCH(U10,passive_type!B:B,0)-1,0)</f>
        <v>2101</v>
      </c>
      <c r="T10" s="238">
        <v>20105</v>
      </c>
      <c r="U10" s="239" t="s">
        <v>1553</v>
      </c>
    </row>
    <row r="11" ht="16.5" spans="1:21">
      <c r="A11" s="1">
        <v>6</v>
      </c>
      <c r="B11" s="11" t="s">
        <v>1554</v>
      </c>
      <c r="C11" s="66" t="s">
        <v>1555</v>
      </c>
      <c r="D11" s="223" t="s">
        <v>1556</v>
      </c>
      <c r="E11" s="213">
        <f ca="1">OFFSET(model!$A$1,MATCH(D11,model!B:B,0)-1,0)</f>
        <v>72</v>
      </c>
      <c r="F11" s="1" t="s">
        <v>1528</v>
      </c>
      <c r="G11" s="213" t="s">
        <v>1557</v>
      </c>
      <c r="H11" s="220" t="s">
        <v>1530</v>
      </c>
      <c r="I11" s="220" t="s">
        <v>1531</v>
      </c>
      <c r="J11" s="220" t="s">
        <v>1532</v>
      </c>
      <c r="K11" s="1">
        <v>2</v>
      </c>
      <c r="L11" s="1">
        <v>210</v>
      </c>
      <c r="M11" s="1">
        <f t="shared" si="0"/>
        <v>2210</v>
      </c>
      <c r="N11" s="107" t="e">
        <f ca="1">OFFSET(npc_level_config!$T$1,MATCH(M11,npc_level_config!A:A,0)-1,0)</f>
        <v>#VALUE!</v>
      </c>
      <c r="O11" s="107" t="e">
        <f ca="1" t="shared" si="1"/>
        <v>#VALUE!</v>
      </c>
      <c r="P11" s="216">
        <v>1203</v>
      </c>
      <c r="Q11" s="3">
        <f ca="1">IF(S11=0,6,OFFSET(passive_type!$J$1,MATCH(S11,passive_type!A:A,0)-1,0))</f>
        <v>4</v>
      </c>
      <c r="R11" s="3">
        <f ca="1">OFFSET(battle_group!$C$1,MATCH(P11,battle_group!E:E,0)-1,0)</f>
        <v>1</v>
      </c>
      <c r="S11" s="1">
        <f ca="1">OFFSET(passive_type!$A$1,MATCH(U11,passive_type!B:B,0)-1,0)</f>
        <v>1102</v>
      </c>
      <c r="T11" s="238">
        <v>20106</v>
      </c>
      <c r="U11" s="240" t="s">
        <v>1558</v>
      </c>
    </row>
    <row r="12" ht="16.5" spans="1:21">
      <c r="A12" s="1">
        <v>7</v>
      </c>
      <c r="B12" s="11" t="s">
        <v>1559</v>
      </c>
      <c r="C12" s="66" t="s">
        <v>1560</v>
      </c>
      <c r="D12" s="1" t="s">
        <v>1561</v>
      </c>
      <c r="E12" s="213">
        <f ca="1">OFFSET(model!$A$1,MATCH(D12,model!B:B,0)-1,0)</f>
        <v>10</v>
      </c>
      <c r="F12" s="1" t="s">
        <v>1528</v>
      </c>
      <c r="G12" s="213" t="s">
        <v>1562</v>
      </c>
      <c r="H12" s="220" t="s">
        <v>1530</v>
      </c>
      <c r="I12" s="220" t="s">
        <v>1531</v>
      </c>
      <c r="J12" s="220" t="s">
        <v>1532</v>
      </c>
      <c r="K12" s="1">
        <v>3</v>
      </c>
      <c r="L12" s="1">
        <v>204</v>
      </c>
      <c r="M12" s="1">
        <f t="shared" si="0"/>
        <v>3204</v>
      </c>
      <c r="N12" s="107" t="e">
        <f ca="1">OFFSET(npc_level_config!$T$1,MATCH(M12,npc_level_config!A:A,0)-1,0)</f>
        <v>#VALUE!</v>
      </c>
      <c r="O12" s="107" t="e">
        <f ca="1" t="shared" si="1"/>
        <v>#VALUE!</v>
      </c>
      <c r="P12" s="216">
        <v>2302</v>
      </c>
      <c r="Q12" s="3">
        <f ca="1">IF(S12=0,6,OFFSET(passive_type!$J$1,MATCH(S12,passive_type!A:A,0)-1,0))</f>
        <v>1</v>
      </c>
      <c r="R12" s="3">
        <f ca="1">OFFSET(battle_group!$C$1,MATCH(P12,battle_group!E:E,0)-1,0)</f>
        <v>2</v>
      </c>
      <c r="S12" s="1">
        <f ca="1">OFFSET(passive_type!$A$1,MATCH(U12,passive_type!B:B,0)-1,0)</f>
        <v>2104</v>
      </c>
      <c r="T12" s="238">
        <v>20107</v>
      </c>
      <c r="U12" s="240" t="s">
        <v>1563</v>
      </c>
    </row>
    <row r="13" ht="16.5" spans="1:21">
      <c r="A13" s="1">
        <v>8</v>
      </c>
      <c r="B13" s="11" t="s">
        <v>1564</v>
      </c>
      <c r="C13" s="66" t="s">
        <v>1565</v>
      </c>
      <c r="D13" s="145" t="s">
        <v>1564</v>
      </c>
      <c r="E13" s="213">
        <f ca="1">OFFSET(model!$A$1,MATCH(D13,model!B:B,0)-1,0)</f>
        <v>9</v>
      </c>
      <c r="F13" s="1" t="s">
        <v>1528</v>
      </c>
      <c r="G13" s="213" t="s">
        <v>1566</v>
      </c>
      <c r="H13" s="220" t="s">
        <v>1530</v>
      </c>
      <c r="I13" s="220" t="s">
        <v>1531</v>
      </c>
      <c r="J13" s="220" t="s">
        <v>1532</v>
      </c>
      <c r="K13" s="1">
        <v>3</v>
      </c>
      <c r="L13" s="1">
        <v>207</v>
      </c>
      <c r="M13" s="1">
        <f t="shared" si="0"/>
        <v>3207</v>
      </c>
      <c r="N13" s="107" t="e">
        <f ca="1">OFFSET(npc_level_config!$T$1,MATCH(M13,npc_level_config!A:A,0)-1,0)</f>
        <v>#VALUE!</v>
      </c>
      <c r="O13" s="107" t="e">
        <f ca="1" t="shared" si="1"/>
        <v>#VALUE!</v>
      </c>
      <c r="P13" s="216">
        <v>3303</v>
      </c>
      <c r="Q13" s="3">
        <f ca="1">IF(S13=0,6,OFFSET(passive_type!$J$1,MATCH(S13,passive_type!A:A,0)-1,0))</f>
        <v>3</v>
      </c>
      <c r="R13" s="3">
        <f ca="1">OFFSET(battle_group!$C$1,MATCH(P13,battle_group!E:E,0)-1,0)</f>
        <v>3</v>
      </c>
      <c r="S13" s="1">
        <f ca="1">OFFSET(passive_type!$A$1,MATCH(U13,passive_type!B:B,0)-1,0)</f>
        <v>3104</v>
      </c>
      <c r="T13" s="238">
        <v>20108</v>
      </c>
      <c r="U13" s="240" t="s">
        <v>1567</v>
      </c>
    </row>
    <row r="14" ht="27.75" spans="1:21">
      <c r="A14" s="1">
        <v>9</v>
      </c>
      <c r="B14" s="11" t="s">
        <v>1568</v>
      </c>
      <c r="C14" s="66" t="s">
        <v>1569</v>
      </c>
      <c r="D14" s="213" t="s">
        <v>1570</v>
      </c>
      <c r="E14" s="213">
        <f ca="1">OFFSET(model!$A$1,MATCH(D14,model!B:B,0)-1,0)</f>
        <v>3</v>
      </c>
      <c r="F14" s="1" t="s">
        <v>1528</v>
      </c>
      <c r="G14" s="213" t="s">
        <v>1571</v>
      </c>
      <c r="H14" s="220" t="s">
        <v>1530</v>
      </c>
      <c r="I14" s="220" t="s">
        <v>1531</v>
      </c>
      <c r="J14" s="220" t="s">
        <v>1532</v>
      </c>
      <c r="K14" s="1">
        <v>3</v>
      </c>
      <c r="L14" s="1">
        <v>210</v>
      </c>
      <c r="M14" s="1">
        <f t="shared" si="0"/>
        <v>3210</v>
      </c>
      <c r="N14" s="107" t="e">
        <f ca="1">OFFSET(npc_level_config!$T$1,MATCH(M14,npc_level_config!A:A,0)-1,0)</f>
        <v>#VALUE!</v>
      </c>
      <c r="O14" s="107" t="e">
        <f ca="1" t="shared" si="1"/>
        <v>#VALUE!</v>
      </c>
      <c r="P14" s="216">
        <v>1303</v>
      </c>
      <c r="Q14" s="3">
        <f ca="1">IF(S14=0,6,OFFSET(passive_type!$J$1,MATCH(S14,passive_type!A:A,0)-1,0))</f>
        <v>2</v>
      </c>
      <c r="R14" s="3">
        <f ca="1">OFFSET(battle_group!$C$1,MATCH(P14,battle_group!E:E,0)-1,0)</f>
        <v>1</v>
      </c>
      <c r="S14" s="1">
        <f ca="1">OFFSET(passive_type!$A$1,MATCH(U14,passive_type!B:B,0)-1,0)</f>
        <v>1103</v>
      </c>
      <c r="T14" s="238">
        <v>20109</v>
      </c>
      <c r="U14" s="240" t="s">
        <v>1572</v>
      </c>
    </row>
    <row r="15" spans="1:20">
      <c r="A15" s="224">
        <v>10</v>
      </c>
      <c r="B15" s="217" t="s">
        <v>1573</v>
      </c>
      <c r="C15" s="224" t="s">
        <v>1574</v>
      </c>
      <c r="D15" s="215" t="s">
        <v>1575</v>
      </c>
      <c r="E15" s="215">
        <f ca="1">OFFSET(model!$A$1,MATCH(D15,model!B:B,0)-1,0)</f>
        <v>2</v>
      </c>
      <c r="F15" s="224" t="s">
        <v>1528</v>
      </c>
      <c r="G15" s="215" t="s">
        <v>1576</v>
      </c>
      <c r="H15" s="215"/>
      <c r="I15" s="215"/>
      <c r="J15" s="215"/>
      <c r="K15" s="224">
        <v>1</v>
      </c>
      <c r="L15" s="224">
        <v>210</v>
      </c>
      <c r="M15" s="224">
        <f t="shared" si="0"/>
        <v>1210</v>
      </c>
      <c r="N15" s="107" t="e">
        <f ca="1">OFFSET(npc_level_config!$T$1,MATCH(M15,npc_level_config!A:A,0)-1,0)</f>
        <v>#VALUE!</v>
      </c>
      <c r="O15" s="224" t="e">
        <f ca="1" t="shared" si="1"/>
        <v>#VALUE!</v>
      </c>
      <c r="P15" s="234">
        <v>19000</v>
      </c>
      <c r="Q15" s="193">
        <f ca="1">IF(S15=0,6,OFFSET(passive_type!$J$1,MATCH(S15,passive_type!A:A,0)-1,0))</f>
        <v>6</v>
      </c>
      <c r="R15" s="3" t="e">
        <f ca="1">OFFSET(battle_group!$C$1,MATCH(P15,battle_group!E:E,0)-1,0)</f>
        <v>#N/A</v>
      </c>
      <c r="S15" s="224">
        <v>0</v>
      </c>
      <c r="T15" s="242">
        <v>20110</v>
      </c>
    </row>
    <row r="16" ht="15.75" spans="1:20">
      <c r="A16" s="224">
        <v>11</v>
      </c>
      <c r="B16" s="217" t="s">
        <v>1577</v>
      </c>
      <c r="C16" s="225" t="s">
        <v>1578</v>
      </c>
      <c r="D16" s="215" t="s">
        <v>1575</v>
      </c>
      <c r="E16" s="215">
        <f ca="1">OFFSET(model!$A$1,MATCH(D16,model!B:B,0)-1,0)</f>
        <v>2</v>
      </c>
      <c r="F16" s="224" t="s">
        <v>1528</v>
      </c>
      <c r="G16" s="215" t="s">
        <v>1579</v>
      </c>
      <c r="H16" s="215"/>
      <c r="I16" s="215"/>
      <c r="J16" s="215"/>
      <c r="K16" s="224">
        <v>1</v>
      </c>
      <c r="L16" s="224">
        <v>211</v>
      </c>
      <c r="M16" s="224">
        <f t="shared" si="0"/>
        <v>1211</v>
      </c>
      <c r="N16" s="107" t="e">
        <f ca="1">OFFSET(npc_level_config!$T$1,MATCH(M16,npc_level_config!A:A,0)-1,0)</f>
        <v>#VALUE!</v>
      </c>
      <c r="O16" s="224" t="e">
        <f ca="1" t="shared" si="1"/>
        <v>#VALUE!</v>
      </c>
      <c r="P16" s="234">
        <v>20000</v>
      </c>
      <c r="Q16" s="193">
        <f ca="1">IF(S16=0,6,OFFSET(passive_type!$J$1,MATCH(S16,passive_type!A:A,0)-1,0))</f>
        <v>6</v>
      </c>
      <c r="R16" s="3" t="e">
        <f ca="1">OFFSET(battle_group!$C$1,MATCH(P16,battle_group!E:E,0)-1,0)</f>
        <v>#N/A</v>
      </c>
      <c r="S16" s="224">
        <v>0</v>
      </c>
      <c r="T16" s="242">
        <v>20111</v>
      </c>
    </row>
    <row r="17" ht="27.75" spans="1:21">
      <c r="A17" s="224">
        <v>12</v>
      </c>
      <c r="B17" s="217" t="s">
        <v>1580</v>
      </c>
      <c r="C17" s="224" t="s">
        <v>1581</v>
      </c>
      <c r="D17" s="215" t="s">
        <v>1570</v>
      </c>
      <c r="E17" s="215">
        <f ca="1">OFFSET(model!$A$1,MATCH(D17,model!B:B,0)-1,0)</f>
        <v>3</v>
      </c>
      <c r="F17" s="224" t="s">
        <v>1528</v>
      </c>
      <c r="G17" s="215" t="s">
        <v>1582</v>
      </c>
      <c r="H17" s="215"/>
      <c r="I17" s="215"/>
      <c r="J17" s="215"/>
      <c r="K17" s="224">
        <v>1</v>
      </c>
      <c r="L17" s="224">
        <v>212</v>
      </c>
      <c r="M17" s="224">
        <f t="shared" si="0"/>
        <v>1212</v>
      </c>
      <c r="N17" s="107" t="e">
        <f ca="1">OFFSET(npc_level_config!$T$1,MATCH(M17,npc_level_config!A:A,0)-1,0)</f>
        <v>#VALUE!</v>
      </c>
      <c r="O17" s="224" t="e">
        <f ca="1" t="shared" si="1"/>
        <v>#VALUE!</v>
      </c>
      <c r="P17" s="234">
        <v>21000</v>
      </c>
      <c r="Q17" s="193">
        <f ca="1">IF(S17=0,6,OFFSET(passive_type!$J$1,MATCH(S17,passive_type!A:A,0)-1,0))</f>
        <v>1</v>
      </c>
      <c r="R17" s="3" t="e">
        <f ca="1">OFFSET(battle_group!$C$1,MATCH(P17,battle_group!E:E,0)-1,0)</f>
        <v>#N/A</v>
      </c>
      <c r="S17" s="224">
        <f ca="1">OFFSET(passive_type!$A$1,MATCH(U17,passive_type!B:B,0)-1,0)</f>
        <v>2101</v>
      </c>
      <c r="T17" s="242">
        <v>20112</v>
      </c>
      <c r="U17" s="165" t="s">
        <v>1553</v>
      </c>
    </row>
    <row r="18" spans="1:20">
      <c r="A18" s="224">
        <v>13</v>
      </c>
      <c r="B18" s="217" t="s">
        <v>1583</v>
      </c>
      <c r="C18" s="224" t="s">
        <v>1584</v>
      </c>
      <c r="D18" s="215" t="s">
        <v>1585</v>
      </c>
      <c r="E18" s="215">
        <f ca="1">OFFSET(model!$A$1,MATCH(D18,model!B:B,0)-1,0)</f>
        <v>1</v>
      </c>
      <c r="F18" s="224" t="s">
        <v>1528</v>
      </c>
      <c r="G18" s="215" t="s">
        <v>1586</v>
      </c>
      <c r="H18" s="215"/>
      <c r="I18" s="215"/>
      <c r="J18" s="215"/>
      <c r="K18" s="224">
        <v>2</v>
      </c>
      <c r="L18" s="224">
        <v>201</v>
      </c>
      <c r="M18" s="224">
        <f t="shared" si="0"/>
        <v>2201</v>
      </c>
      <c r="N18" s="107" t="e">
        <f ca="1">OFFSET(npc_level_config!$T$1,MATCH(M18,npc_level_config!A:A,0)-1,0)</f>
        <v>#VALUE!</v>
      </c>
      <c r="O18" s="224" t="e">
        <f ca="1" t="shared" si="1"/>
        <v>#VALUE!</v>
      </c>
      <c r="P18" s="234">
        <v>26000</v>
      </c>
      <c r="Q18" s="193">
        <f ca="1">IF(S18=0,6,OFFSET(passive_type!$J$1,MATCH(S18,passive_type!A:A,0)-1,0))</f>
        <v>6</v>
      </c>
      <c r="R18" s="3" t="e">
        <f ca="1">OFFSET(battle_group!$C$1,MATCH(P18,battle_group!E:E,0)-1,0)</f>
        <v>#N/A</v>
      </c>
      <c r="S18" s="224">
        <v>0</v>
      </c>
      <c r="T18" s="242">
        <v>20117</v>
      </c>
    </row>
    <row r="19" spans="1:20">
      <c r="A19" s="224">
        <v>14</v>
      </c>
      <c r="B19" s="217" t="s">
        <v>1587</v>
      </c>
      <c r="C19" s="226" t="s">
        <v>1588</v>
      </c>
      <c r="D19" s="215" t="s">
        <v>1575</v>
      </c>
      <c r="E19" s="215">
        <f ca="1">OFFSET(model!$A$1,MATCH(D19,model!B:B,0)-1,0)</f>
        <v>2</v>
      </c>
      <c r="F19" s="224" t="s">
        <v>1528</v>
      </c>
      <c r="G19" s="215" t="s">
        <v>1589</v>
      </c>
      <c r="H19" s="215"/>
      <c r="I19" s="215"/>
      <c r="J19" s="215"/>
      <c r="K19" s="224">
        <v>2</v>
      </c>
      <c r="L19" s="224">
        <v>202</v>
      </c>
      <c r="M19" s="224">
        <f t="shared" si="0"/>
        <v>2202</v>
      </c>
      <c r="N19" s="107" t="e">
        <f ca="1">OFFSET(npc_level_config!$T$1,MATCH(M19,npc_level_config!A:A,0)-1,0)</f>
        <v>#VALUE!</v>
      </c>
      <c r="O19" s="224" t="e">
        <f ca="1" t="shared" si="1"/>
        <v>#VALUE!</v>
      </c>
      <c r="P19" s="234">
        <v>27000</v>
      </c>
      <c r="Q19" s="193">
        <f ca="1">IF(S19=0,6,OFFSET(passive_type!$J$1,MATCH(S19,passive_type!A:A,0)-1,0))</f>
        <v>6</v>
      </c>
      <c r="R19" s="3" t="e">
        <f ca="1">OFFSET(battle_group!$C$1,MATCH(P19,battle_group!E:E,0)-1,0)</f>
        <v>#N/A</v>
      </c>
      <c r="S19" s="224">
        <v>0</v>
      </c>
      <c r="T19" s="242">
        <v>20118</v>
      </c>
    </row>
    <row r="20" ht="27.75" spans="1:20">
      <c r="A20" s="224">
        <v>15</v>
      </c>
      <c r="B20" s="217" t="s">
        <v>1590</v>
      </c>
      <c r="C20" s="226" t="s">
        <v>1591</v>
      </c>
      <c r="D20" s="215" t="s">
        <v>1570</v>
      </c>
      <c r="E20" s="215">
        <f ca="1">OFFSET(model!$A$1,MATCH(D20,model!B:B,0)-1,0)</f>
        <v>3</v>
      </c>
      <c r="F20" s="224" t="s">
        <v>1528</v>
      </c>
      <c r="G20" s="215" t="s">
        <v>1592</v>
      </c>
      <c r="H20" s="215"/>
      <c r="I20" s="215"/>
      <c r="J20" s="215"/>
      <c r="K20" s="224">
        <v>2</v>
      </c>
      <c r="L20" s="224">
        <v>203</v>
      </c>
      <c r="M20" s="224">
        <f t="shared" si="0"/>
        <v>2203</v>
      </c>
      <c r="N20" s="107" t="e">
        <f ca="1">OFFSET(npc_level_config!$T$1,MATCH(M20,npc_level_config!A:A,0)-1,0)</f>
        <v>#VALUE!</v>
      </c>
      <c r="O20" s="224" t="e">
        <f ca="1" t="shared" si="1"/>
        <v>#VALUE!</v>
      </c>
      <c r="P20" s="234">
        <v>28000</v>
      </c>
      <c r="Q20" s="193">
        <f ca="1">IF(S20=0,6,OFFSET(passive_type!$J$1,MATCH(S20,passive_type!A:A,0)-1,0))</f>
        <v>6</v>
      </c>
      <c r="R20" s="3" t="e">
        <f ca="1">OFFSET(battle_group!$C$1,MATCH(P20,battle_group!E:E,0)-1,0)</f>
        <v>#N/A</v>
      </c>
      <c r="S20" s="224">
        <v>0</v>
      </c>
      <c r="T20" s="242">
        <v>20119</v>
      </c>
    </row>
    <row r="21" ht="27.75" spans="1:21">
      <c r="A21" s="224">
        <v>16</v>
      </c>
      <c r="B21" s="217" t="s">
        <v>1593</v>
      </c>
      <c r="C21" s="226" t="s">
        <v>1594</v>
      </c>
      <c r="D21" s="215" t="s">
        <v>1595</v>
      </c>
      <c r="E21" s="215">
        <f ca="1">OFFSET(model!$A$1,MATCH(D21,model!B:B,0)-1,0)</f>
        <v>14</v>
      </c>
      <c r="F21" s="224" t="s">
        <v>1528</v>
      </c>
      <c r="G21" s="215" t="s">
        <v>1596</v>
      </c>
      <c r="H21" s="215"/>
      <c r="I21" s="215"/>
      <c r="J21" s="215"/>
      <c r="K21" s="224">
        <v>2</v>
      </c>
      <c r="L21" s="224">
        <v>204</v>
      </c>
      <c r="M21" s="224">
        <f t="shared" si="0"/>
        <v>2204</v>
      </c>
      <c r="N21" s="107" t="e">
        <f ca="1">OFFSET(npc_level_config!$T$1,MATCH(M21,npc_level_config!A:A,0)-1,0)</f>
        <v>#VALUE!</v>
      </c>
      <c r="O21" s="224" t="e">
        <f ca="1" t="shared" si="1"/>
        <v>#VALUE!</v>
      </c>
      <c r="P21" s="234">
        <v>29000</v>
      </c>
      <c r="Q21" s="193" t="e">
        <f ca="1">IF(S21=0,6,OFFSET(passive_type!$J$1,MATCH(S21,passive_type!A:A,0)-1,0))</f>
        <v>#N/A</v>
      </c>
      <c r="R21" s="3" t="e">
        <f ca="1">OFFSET(battle_group!$C$1,MATCH(P21,battle_group!E:E,0)-1,0)</f>
        <v>#N/A</v>
      </c>
      <c r="S21" s="224" t="e">
        <f ca="1">OFFSET(passive_type!$A$1,MATCH(U21,passive_type!B:B,0)-1,0)</f>
        <v>#N/A</v>
      </c>
      <c r="T21" s="242">
        <v>20120</v>
      </c>
      <c r="U21" s="1" t="s">
        <v>1597</v>
      </c>
    </row>
    <row r="22" ht="15.75" spans="1:20">
      <c r="A22" s="224">
        <v>19</v>
      </c>
      <c r="B22" s="217" t="s">
        <v>1598</v>
      </c>
      <c r="C22" s="226" t="s">
        <v>1599</v>
      </c>
      <c r="D22" s="227" t="s">
        <v>1600</v>
      </c>
      <c r="E22" s="215">
        <f ca="1">OFFSET(model!$A$1,MATCH(D22,model!B:B,0)-1,0)</f>
        <v>66</v>
      </c>
      <c r="F22" s="224" t="s">
        <v>1528</v>
      </c>
      <c r="G22" s="215" t="s">
        <v>1601</v>
      </c>
      <c r="H22" s="215"/>
      <c r="I22" s="215"/>
      <c r="J22" s="215"/>
      <c r="K22" s="224">
        <v>2</v>
      </c>
      <c r="L22" s="224">
        <v>207</v>
      </c>
      <c r="M22" s="224">
        <f t="shared" ref="M22:M68" si="2">K22*1000+L22</f>
        <v>2207</v>
      </c>
      <c r="N22" s="107" t="e">
        <f ca="1">OFFSET(npc_level_config!$T$1,MATCH(M22,npc_level_config!A:A,0)-1,0)</f>
        <v>#VALUE!</v>
      </c>
      <c r="O22" s="224" t="e">
        <f ca="1" t="shared" ref="O22:O39" si="3">ROUND(N22,-1)</f>
        <v>#VALUE!</v>
      </c>
      <c r="P22" s="234">
        <v>32000</v>
      </c>
      <c r="Q22" s="193">
        <f ca="1">IF(S22=0,6,OFFSET(passive_type!$J$1,MATCH(S22,passive_type!A:A,0)-1,0))</f>
        <v>6</v>
      </c>
      <c r="R22" s="3" t="e">
        <f ca="1">OFFSET(battle_group!$C$1,MATCH(P22,battle_group!E:E,0)-1,0)</f>
        <v>#N/A</v>
      </c>
      <c r="S22" s="224">
        <v>0</v>
      </c>
      <c r="T22" s="242">
        <v>20123</v>
      </c>
    </row>
    <row r="23" ht="15.75" spans="1:21">
      <c r="A23" s="224">
        <v>20</v>
      </c>
      <c r="B23" s="217" t="s">
        <v>1602</v>
      </c>
      <c r="C23" s="226" t="s">
        <v>1603</v>
      </c>
      <c r="D23" s="227" t="s">
        <v>1604</v>
      </c>
      <c r="E23" s="215">
        <f ca="1">OFFSET(model!$A$1,MATCH(D23,model!B:B,0)-1,0)</f>
        <v>75</v>
      </c>
      <c r="F23" s="224" t="s">
        <v>1528</v>
      </c>
      <c r="G23" s="215" t="s">
        <v>1601</v>
      </c>
      <c r="H23" s="215"/>
      <c r="I23" s="215"/>
      <c r="J23" s="215"/>
      <c r="K23" s="224">
        <v>2</v>
      </c>
      <c r="L23" s="224">
        <v>208</v>
      </c>
      <c r="M23" s="224">
        <f t="shared" si="2"/>
        <v>2208</v>
      </c>
      <c r="N23" s="107" t="e">
        <f ca="1">OFFSET(npc_level_config!$T$1,MATCH(M23,npc_level_config!A:A,0)-1,0)</f>
        <v>#VALUE!</v>
      </c>
      <c r="O23" s="224" t="e">
        <f ca="1" t="shared" si="3"/>
        <v>#VALUE!</v>
      </c>
      <c r="P23" s="234">
        <v>33000</v>
      </c>
      <c r="Q23" s="193" t="e">
        <f ca="1">IF(S23=0,6,OFFSET(passive_type!$J$1,MATCH(S23,passive_type!A:A,0)-1,0))</f>
        <v>#N/A</v>
      </c>
      <c r="R23" s="3" t="e">
        <f ca="1">OFFSET(battle_group!$C$1,MATCH(P23,battle_group!E:E,0)-1,0)</f>
        <v>#N/A</v>
      </c>
      <c r="S23" s="224" t="e">
        <f ca="1">OFFSET(passive_type!$A$1,MATCH(U23,passive_type!B:B,0)-1,0)</f>
        <v>#N/A</v>
      </c>
      <c r="T23" s="242">
        <v>20124</v>
      </c>
      <c r="U23" s="1" t="s">
        <v>1605</v>
      </c>
    </row>
    <row r="24" ht="27.75" spans="1:20">
      <c r="A24" s="224">
        <v>21</v>
      </c>
      <c r="B24" s="217" t="s">
        <v>1606</v>
      </c>
      <c r="C24" s="226" t="s">
        <v>1607</v>
      </c>
      <c r="D24" s="215" t="s">
        <v>1536</v>
      </c>
      <c r="E24" s="215">
        <f ca="1">OFFSET(model!$A$1,MATCH(D24,model!B:B,0)-1,0)</f>
        <v>11</v>
      </c>
      <c r="F24" s="224" t="s">
        <v>1528</v>
      </c>
      <c r="G24" s="215" t="s">
        <v>1608</v>
      </c>
      <c r="H24" s="215"/>
      <c r="I24" s="215"/>
      <c r="J24" s="215"/>
      <c r="K24" s="224">
        <v>2</v>
      </c>
      <c r="L24" s="224">
        <v>209</v>
      </c>
      <c r="M24" s="224">
        <f t="shared" si="2"/>
        <v>2209</v>
      </c>
      <c r="N24" s="107" t="e">
        <f ca="1">OFFSET(npc_level_config!$T$1,MATCH(M24,npc_level_config!A:A,0)-1,0)</f>
        <v>#VALUE!</v>
      </c>
      <c r="O24" s="224" t="e">
        <f ca="1" t="shared" si="3"/>
        <v>#VALUE!</v>
      </c>
      <c r="P24" s="234">
        <v>22000</v>
      </c>
      <c r="Q24" s="193">
        <f ca="1">IF(S24=0,6,OFFSET(passive_type!$J$1,MATCH(S24,passive_type!A:A,0)-1,0))</f>
        <v>6</v>
      </c>
      <c r="R24" s="3" t="e">
        <f ca="1">OFFSET(battle_group!$C$1,MATCH(P24,battle_group!E:E,0)-1,0)</f>
        <v>#N/A</v>
      </c>
      <c r="S24" s="224">
        <v>0</v>
      </c>
      <c r="T24" s="242">
        <v>20113</v>
      </c>
    </row>
    <row r="25" ht="27.75" spans="1:20">
      <c r="A25" s="224">
        <v>22</v>
      </c>
      <c r="B25" s="217" t="s">
        <v>1609</v>
      </c>
      <c r="C25" s="226" t="s">
        <v>1610</v>
      </c>
      <c r="D25" s="215" t="s">
        <v>1546</v>
      </c>
      <c r="E25" s="215">
        <f ca="1">OFFSET(model!$A$1,MATCH(D25,model!B:B,0)-1,0)</f>
        <v>13</v>
      </c>
      <c r="F25" s="224" t="s">
        <v>1528</v>
      </c>
      <c r="G25" s="215" t="s">
        <v>1611</v>
      </c>
      <c r="H25" s="215"/>
      <c r="I25" s="215"/>
      <c r="J25" s="215"/>
      <c r="K25" s="224">
        <v>2</v>
      </c>
      <c r="L25" s="224">
        <v>210</v>
      </c>
      <c r="M25" s="224">
        <f t="shared" si="2"/>
        <v>2210</v>
      </c>
      <c r="N25" s="107" t="e">
        <f ca="1">OFFSET(npc_level_config!$T$1,MATCH(M25,npc_level_config!A:A,0)-1,0)</f>
        <v>#VALUE!</v>
      </c>
      <c r="O25" s="224" t="e">
        <f ca="1" t="shared" si="3"/>
        <v>#VALUE!</v>
      </c>
      <c r="P25" s="234">
        <v>23000</v>
      </c>
      <c r="Q25" s="193">
        <f ca="1">IF(S25=0,6,OFFSET(passive_type!$J$1,MATCH(S25,passive_type!A:A,0)-1,0))</f>
        <v>6</v>
      </c>
      <c r="R25" s="3" t="e">
        <f ca="1">OFFSET(battle_group!$C$1,MATCH(P25,battle_group!E:E,0)-1,0)</f>
        <v>#N/A</v>
      </c>
      <c r="S25" s="224">
        <v>0</v>
      </c>
      <c r="T25" s="242">
        <v>20114</v>
      </c>
    </row>
    <row r="26" ht="27.75" spans="1:20">
      <c r="A26" s="224">
        <v>23</v>
      </c>
      <c r="B26" s="217" t="s">
        <v>1549</v>
      </c>
      <c r="C26" s="226" t="s">
        <v>1612</v>
      </c>
      <c r="D26" s="215" t="s">
        <v>1546</v>
      </c>
      <c r="E26" s="215">
        <f ca="1">OFFSET(model!$A$1,MATCH(D26,model!B:B,0)-1,0)</f>
        <v>13</v>
      </c>
      <c r="F26" s="224" t="s">
        <v>1528</v>
      </c>
      <c r="G26" s="215" t="s">
        <v>1613</v>
      </c>
      <c r="H26" s="215"/>
      <c r="I26" s="215"/>
      <c r="J26" s="215"/>
      <c r="K26" s="224">
        <v>2</v>
      </c>
      <c r="L26" s="224">
        <v>211</v>
      </c>
      <c r="M26" s="224">
        <f t="shared" si="2"/>
        <v>2211</v>
      </c>
      <c r="N26" s="107" t="e">
        <f ca="1">OFFSET(npc_level_config!$T$1,MATCH(M26,npc_level_config!A:A,0)-1,0)</f>
        <v>#VALUE!</v>
      </c>
      <c r="O26" s="224" t="e">
        <f ca="1" t="shared" si="3"/>
        <v>#VALUE!</v>
      </c>
      <c r="P26" s="234">
        <v>24000</v>
      </c>
      <c r="Q26" s="193">
        <f ca="1">IF(S26=0,6,OFFSET(passive_type!$J$1,MATCH(S26,passive_type!A:A,0)-1,0))</f>
        <v>6</v>
      </c>
      <c r="R26" s="3" t="e">
        <f ca="1">OFFSET(battle_group!$C$1,MATCH(P26,battle_group!E:E,0)-1,0)</f>
        <v>#N/A</v>
      </c>
      <c r="S26" s="224">
        <v>0</v>
      </c>
      <c r="T26" s="242">
        <v>20115</v>
      </c>
    </row>
    <row r="27" ht="27.75" spans="1:21">
      <c r="A27" s="224">
        <v>24</v>
      </c>
      <c r="B27" s="217" t="s">
        <v>1614</v>
      </c>
      <c r="C27" s="226" t="s">
        <v>1615</v>
      </c>
      <c r="D27" s="215" t="s">
        <v>1551</v>
      </c>
      <c r="E27" s="215">
        <f ca="1">OFFSET(model!$A$1,MATCH(D27,model!B:B,0)-1,0)</f>
        <v>15</v>
      </c>
      <c r="F27" s="224" t="s">
        <v>1528</v>
      </c>
      <c r="G27" s="215" t="s">
        <v>1616</v>
      </c>
      <c r="H27" s="215"/>
      <c r="I27" s="215"/>
      <c r="J27" s="215"/>
      <c r="K27" s="224">
        <v>2</v>
      </c>
      <c r="L27" s="224">
        <v>212</v>
      </c>
      <c r="M27" s="224">
        <f t="shared" si="2"/>
        <v>2212</v>
      </c>
      <c r="N27" s="107" t="e">
        <f ca="1">OFFSET(npc_level_config!$T$1,MATCH(M27,npc_level_config!A:A,0)-1,0)</f>
        <v>#VALUE!</v>
      </c>
      <c r="O27" s="224" t="e">
        <f ca="1" t="shared" si="3"/>
        <v>#VALUE!</v>
      </c>
      <c r="P27" s="234">
        <v>25000</v>
      </c>
      <c r="Q27" s="193" t="e">
        <f ca="1">IF(S27=0,6,OFFSET(passive_type!$J$1,MATCH(S27,passive_type!A:A,0)-1,0))</f>
        <v>#N/A</v>
      </c>
      <c r="R27" s="3" t="e">
        <f ca="1">OFFSET(battle_group!$C$1,MATCH(P27,battle_group!E:E,0)-1,0)</f>
        <v>#N/A</v>
      </c>
      <c r="S27" s="224" t="e">
        <f ca="1">OFFSET(passive_type!$A$1,MATCH(U27,passive_type!B:B,0)-1,0)</f>
        <v>#N/A</v>
      </c>
      <c r="T27" s="242">
        <v>20116</v>
      </c>
      <c r="U27" s="165" t="s">
        <v>1617</v>
      </c>
    </row>
    <row r="28" ht="27.75" spans="1:21">
      <c r="A28" s="224">
        <v>25</v>
      </c>
      <c r="B28" s="217" t="s">
        <v>1618</v>
      </c>
      <c r="C28" s="226" t="s">
        <v>1619</v>
      </c>
      <c r="D28" s="215" t="s">
        <v>1536</v>
      </c>
      <c r="E28" s="215">
        <f ca="1">OFFSET(model!$A$1,MATCH(D28,model!B:B,0)-1,0)</f>
        <v>11</v>
      </c>
      <c r="F28" s="224" t="s">
        <v>1528</v>
      </c>
      <c r="G28" s="215" t="s">
        <v>1620</v>
      </c>
      <c r="H28" s="215"/>
      <c r="I28" s="215"/>
      <c r="J28" s="215"/>
      <c r="K28" s="224">
        <v>3</v>
      </c>
      <c r="L28" s="224">
        <v>201</v>
      </c>
      <c r="M28" s="224">
        <f t="shared" si="2"/>
        <v>3201</v>
      </c>
      <c r="N28" s="107" t="e">
        <f ca="1">OFFSET(npc_level_config!$T$1,MATCH(M28,npc_level_config!A:A,0)-1,0)</f>
        <v>#VALUE!</v>
      </c>
      <c r="O28" s="224" t="e">
        <f ca="1" t="shared" si="3"/>
        <v>#VALUE!</v>
      </c>
      <c r="P28" s="234">
        <v>42000</v>
      </c>
      <c r="Q28" s="193">
        <f ca="1">IF(S28=0,6,OFFSET(passive_type!$J$1,MATCH(S28,passive_type!A:A,0)-1,0))</f>
        <v>6</v>
      </c>
      <c r="R28" s="3" t="e">
        <f ca="1">OFFSET(battle_group!$C$1,MATCH(P28,battle_group!E:E,0)-1,0)</f>
        <v>#N/A</v>
      </c>
      <c r="S28" s="224">
        <v>0</v>
      </c>
      <c r="T28" s="242">
        <v>20133</v>
      </c>
      <c r="U28" s="1">
        <v>0</v>
      </c>
    </row>
    <row r="29" ht="27.75" spans="1:21">
      <c r="A29" s="224">
        <v>26</v>
      </c>
      <c r="B29" s="217" t="s">
        <v>1621</v>
      </c>
      <c r="C29" s="226" t="s">
        <v>1622</v>
      </c>
      <c r="D29" s="215" t="s">
        <v>1570</v>
      </c>
      <c r="E29" s="215">
        <f ca="1">OFFSET(model!$A$1,MATCH(D29,model!B:B,0)-1,0)</f>
        <v>3</v>
      </c>
      <c r="F29" s="224" t="s">
        <v>1528</v>
      </c>
      <c r="G29" s="215" t="s">
        <v>1623</v>
      </c>
      <c r="H29" s="215"/>
      <c r="I29" s="215"/>
      <c r="J29" s="215"/>
      <c r="K29" s="224">
        <v>3</v>
      </c>
      <c r="L29" s="224">
        <v>202</v>
      </c>
      <c r="M29" s="224">
        <f t="shared" si="2"/>
        <v>3202</v>
      </c>
      <c r="N29" s="107" t="e">
        <f ca="1">OFFSET(npc_level_config!$T$1,MATCH(M29,npc_level_config!A:A,0)-1,0)</f>
        <v>#VALUE!</v>
      </c>
      <c r="O29" s="224" t="e">
        <f ca="1" t="shared" si="3"/>
        <v>#VALUE!</v>
      </c>
      <c r="P29" s="234">
        <v>43000</v>
      </c>
      <c r="Q29" s="193">
        <f ca="1">IF(S29=0,6,OFFSET(passive_type!$J$1,MATCH(S29,passive_type!A:A,0)-1,0))</f>
        <v>6</v>
      </c>
      <c r="R29" s="3" t="e">
        <f ca="1">OFFSET(battle_group!$C$1,MATCH(P29,battle_group!E:E,0)-1,0)</f>
        <v>#N/A</v>
      </c>
      <c r="S29" s="224">
        <v>0</v>
      </c>
      <c r="T29" s="242">
        <v>20134</v>
      </c>
      <c r="U29" s="165"/>
    </row>
    <row r="30" ht="15.75" spans="1:21">
      <c r="A30" s="224">
        <v>27</v>
      </c>
      <c r="B30" s="217" t="s">
        <v>1624</v>
      </c>
      <c r="C30" s="226" t="s">
        <v>1625</v>
      </c>
      <c r="D30" s="227" t="s">
        <v>1556</v>
      </c>
      <c r="E30" s="215">
        <f ca="1">OFFSET(model!$A$1,MATCH(D30,model!B:B,0)-1,0)</f>
        <v>72</v>
      </c>
      <c r="F30" s="224" t="s">
        <v>1528</v>
      </c>
      <c r="G30" s="215" t="s">
        <v>1557</v>
      </c>
      <c r="H30" s="215"/>
      <c r="I30" s="215"/>
      <c r="J30" s="215"/>
      <c r="K30" s="224">
        <v>3</v>
      </c>
      <c r="L30" s="224">
        <v>203</v>
      </c>
      <c r="M30" s="224">
        <f t="shared" si="2"/>
        <v>3203</v>
      </c>
      <c r="N30" s="107" t="e">
        <f ca="1">OFFSET(npc_level_config!$T$1,MATCH(M30,npc_level_config!A:A,0)-1,0)</f>
        <v>#VALUE!</v>
      </c>
      <c r="O30" s="224" t="e">
        <f ca="1" t="shared" si="3"/>
        <v>#VALUE!</v>
      </c>
      <c r="P30" s="234">
        <v>4103</v>
      </c>
      <c r="Q30" s="193">
        <f ca="1">IF(S30=0,6,OFFSET(passive_type!$J$1,MATCH(S30,passive_type!A:A,0)-1,0))</f>
        <v>6</v>
      </c>
      <c r="R30" s="3">
        <f ca="1">OFFSET(battle_group!$C$1,MATCH(P30,battle_group!E:E,0)-1,0)</f>
        <v>4</v>
      </c>
      <c r="S30" s="224">
        <v>0</v>
      </c>
      <c r="T30" s="242">
        <v>20135</v>
      </c>
      <c r="U30" s="165"/>
    </row>
    <row r="31" ht="27.75" spans="1:21">
      <c r="A31" s="224">
        <v>28</v>
      </c>
      <c r="B31" s="217" t="s">
        <v>1626</v>
      </c>
      <c r="C31" s="226" t="s">
        <v>1627</v>
      </c>
      <c r="D31" s="215" t="s">
        <v>1551</v>
      </c>
      <c r="E31" s="215">
        <f ca="1">OFFSET(model!$A$1,MATCH(D31,model!B:B,0)-1,0)</f>
        <v>15</v>
      </c>
      <c r="F31" s="224" t="s">
        <v>1528</v>
      </c>
      <c r="G31" s="215" t="s">
        <v>1628</v>
      </c>
      <c r="H31" s="215"/>
      <c r="I31" s="215"/>
      <c r="J31" s="215"/>
      <c r="K31" s="224">
        <v>3</v>
      </c>
      <c r="L31" s="224">
        <v>204</v>
      </c>
      <c r="M31" s="224">
        <f t="shared" si="2"/>
        <v>3204</v>
      </c>
      <c r="N31" s="107" t="e">
        <f ca="1">OFFSET(npc_level_config!$T$1,MATCH(M31,npc_level_config!A:A,0)-1,0)</f>
        <v>#VALUE!</v>
      </c>
      <c r="O31" s="224" t="e">
        <f ca="1" t="shared" si="3"/>
        <v>#VALUE!</v>
      </c>
      <c r="P31" s="234">
        <v>45000</v>
      </c>
      <c r="Q31" s="193" t="e">
        <f ca="1">IF(S31=0,6,OFFSET(passive_type!$J$1,MATCH(S31,passive_type!A:A,0)-1,0))</f>
        <v>#N/A</v>
      </c>
      <c r="R31" s="3" t="e">
        <f ca="1">OFFSET(battle_group!$C$1,MATCH(P31,battle_group!E:E,0)-1,0)</f>
        <v>#N/A</v>
      </c>
      <c r="S31" s="224" t="e">
        <f ca="1">OFFSET(passive_type!$A$1,MATCH(U31,passive_type!B:B,0)-1,0)</f>
        <v>#N/A</v>
      </c>
      <c r="T31" s="242">
        <v>20136</v>
      </c>
      <c r="U31" s="165" t="s">
        <v>1629</v>
      </c>
    </row>
    <row r="32" spans="1:20">
      <c r="A32" s="224">
        <v>29</v>
      </c>
      <c r="B32" s="217" t="s">
        <v>1630</v>
      </c>
      <c r="C32" s="226" t="s">
        <v>1631</v>
      </c>
      <c r="D32" s="215" t="s">
        <v>1527</v>
      </c>
      <c r="E32" s="215">
        <f ca="1">OFFSET(model!$A$1,MATCH(D32,model!B:B,0)-1,0)</f>
        <v>5</v>
      </c>
      <c r="F32" s="224" t="s">
        <v>1528</v>
      </c>
      <c r="G32" s="215" t="s">
        <v>1529</v>
      </c>
      <c r="H32" s="215"/>
      <c r="I32" s="215"/>
      <c r="J32" s="215"/>
      <c r="K32" s="224">
        <v>3</v>
      </c>
      <c r="L32" s="224">
        <v>205</v>
      </c>
      <c r="M32" s="224">
        <f t="shared" si="2"/>
        <v>3205</v>
      </c>
      <c r="N32" s="107" t="e">
        <f ca="1">OFFSET(npc_level_config!$T$1,MATCH(M32,npc_level_config!A:A,0)-1,0)</f>
        <v>#VALUE!</v>
      </c>
      <c r="O32" s="224" t="e">
        <f ca="1" t="shared" si="3"/>
        <v>#VALUE!</v>
      </c>
      <c r="P32" s="234">
        <v>38000</v>
      </c>
      <c r="Q32" s="193">
        <f ca="1">IF(S32=0,6,OFFSET(passive_type!$J$1,MATCH(S32,passive_type!A:A,0)-1,0))</f>
        <v>6</v>
      </c>
      <c r="R32" s="3" t="e">
        <f ca="1">OFFSET(battle_group!$C$1,MATCH(P32,battle_group!E:E,0)-1,0)</f>
        <v>#N/A</v>
      </c>
      <c r="S32" s="224">
        <v>0</v>
      </c>
      <c r="T32" s="242">
        <v>20129</v>
      </c>
    </row>
    <row r="33" spans="1:20">
      <c r="A33" s="224">
        <v>30</v>
      </c>
      <c r="B33" s="217" t="s">
        <v>1632</v>
      </c>
      <c r="C33" s="226" t="s">
        <v>1633</v>
      </c>
      <c r="D33" s="215" t="s">
        <v>1634</v>
      </c>
      <c r="E33" s="215">
        <f ca="1">OFFSET(model!$A$1,MATCH(D33,model!B:B,0)-1,0)</f>
        <v>6</v>
      </c>
      <c r="F33" s="224" t="s">
        <v>1528</v>
      </c>
      <c r="G33" s="215" t="s">
        <v>1635</v>
      </c>
      <c r="H33" s="215"/>
      <c r="I33" s="215"/>
      <c r="J33" s="215"/>
      <c r="K33" s="224">
        <v>3</v>
      </c>
      <c r="L33" s="224">
        <v>206</v>
      </c>
      <c r="M33" s="224">
        <f t="shared" si="2"/>
        <v>3206</v>
      </c>
      <c r="N33" s="107" t="e">
        <f ca="1">OFFSET(npc_level_config!$T$1,MATCH(M33,npc_level_config!A:A,0)-1,0)</f>
        <v>#VALUE!</v>
      </c>
      <c r="O33" s="224" t="e">
        <f ca="1" t="shared" si="3"/>
        <v>#VALUE!</v>
      </c>
      <c r="P33" s="234">
        <v>39000</v>
      </c>
      <c r="Q33" s="193">
        <f ca="1">IF(S33=0,6,OFFSET(passive_type!$J$1,MATCH(S33,passive_type!A:A,0)-1,0))</f>
        <v>6</v>
      </c>
      <c r="R33" s="3" t="e">
        <f ca="1">OFFSET(battle_group!$C$1,MATCH(P33,battle_group!E:E,0)-1,0)</f>
        <v>#N/A</v>
      </c>
      <c r="S33" s="224">
        <v>0</v>
      </c>
      <c r="T33" s="242">
        <v>20130</v>
      </c>
    </row>
    <row r="34" ht="27.75" spans="1:20">
      <c r="A34" s="224">
        <v>31</v>
      </c>
      <c r="B34" s="217" t="s">
        <v>1636</v>
      </c>
      <c r="C34" s="226" t="s">
        <v>1637</v>
      </c>
      <c r="D34" s="215" t="s">
        <v>1638</v>
      </c>
      <c r="E34" s="215">
        <f ca="1">OFFSET(model!$A$1,MATCH(D34,model!B:B,0)-1,0)</f>
        <v>18</v>
      </c>
      <c r="F34" s="224" t="s">
        <v>1528</v>
      </c>
      <c r="G34" s="215" t="s">
        <v>1639</v>
      </c>
      <c r="H34" s="215"/>
      <c r="I34" s="215"/>
      <c r="J34" s="215"/>
      <c r="K34" s="224">
        <v>3</v>
      </c>
      <c r="L34" s="224">
        <v>207</v>
      </c>
      <c r="M34" s="224">
        <f t="shared" si="2"/>
        <v>3207</v>
      </c>
      <c r="N34" s="107" t="e">
        <f ca="1">OFFSET(npc_level_config!$T$1,MATCH(M34,npc_level_config!A:A,0)-1,0)</f>
        <v>#VALUE!</v>
      </c>
      <c r="O34" s="224" t="e">
        <f ca="1" t="shared" si="3"/>
        <v>#VALUE!</v>
      </c>
      <c r="P34" s="234">
        <v>40000</v>
      </c>
      <c r="Q34" s="193">
        <f ca="1">IF(S34=0,6,OFFSET(passive_type!$J$1,MATCH(S34,passive_type!A:A,0)-1,0))</f>
        <v>6</v>
      </c>
      <c r="R34" s="3" t="e">
        <f ca="1">OFFSET(battle_group!$C$1,MATCH(P34,battle_group!E:E,0)-1,0)</f>
        <v>#N/A</v>
      </c>
      <c r="S34" s="224">
        <v>0</v>
      </c>
      <c r="T34" s="242">
        <v>20131</v>
      </c>
    </row>
    <row r="35" ht="27.75" spans="1:21">
      <c r="A35" s="224">
        <v>32</v>
      </c>
      <c r="B35" s="217" t="s">
        <v>1640</v>
      </c>
      <c r="C35" s="226" t="s">
        <v>1641</v>
      </c>
      <c r="D35" s="215" t="s">
        <v>1642</v>
      </c>
      <c r="E35" s="215">
        <f ca="1">OFFSET(model!$A$1,MATCH(D35,model!B:B,0)-1,0)</f>
        <v>19</v>
      </c>
      <c r="F35" s="224" t="s">
        <v>1528</v>
      </c>
      <c r="G35" s="215" t="s">
        <v>1643</v>
      </c>
      <c r="H35" s="215"/>
      <c r="I35" s="215"/>
      <c r="J35" s="215"/>
      <c r="K35" s="224">
        <v>3</v>
      </c>
      <c r="L35" s="224">
        <v>208</v>
      </c>
      <c r="M35" s="224">
        <f t="shared" si="2"/>
        <v>3208</v>
      </c>
      <c r="N35" s="107" t="e">
        <f ca="1">OFFSET(npc_level_config!$T$1,MATCH(M35,npc_level_config!A:A,0)-1,0)</f>
        <v>#VALUE!</v>
      </c>
      <c r="O35" s="224" t="e">
        <f ca="1" t="shared" si="3"/>
        <v>#VALUE!</v>
      </c>
      <c r="P35" s="234">
        <v>41000</v>
      </c>
      <c r="Q35" s="193" t="e">
        <f ca="1">IF(S35=0,6,OFFSET(passive_type!$J$1,MATCH(S35,passive_type!A:A,0)-1,0))</f>
        <v>#N/A</v>
      </c>
      <c r="R35" s="3" t="e">
        <f ca="1">OFFSET(battle_group!$C$1,MATCH(P35,battle_group!E:E,0)-1,0)</f>
        <v>#N/A</v>
      </c>
      <c r="S35" s="224" t="e">
        <f ca="1">OFFSET(passive_type!$A$1,MATCH(U35,passive_type!B:B,0)-1,0)</f>
        <v>#N/A</v>
      </c>
      <c r="T35" s="242">
        <v>20132</v>
      </c>
      <c r="U35" s="243" t="s">
        <v>1644</v>
      </c>
    </row>
    <row r="36" ht="27.75" spans="1:20">
      <c r="A36" s="224">
        <v>33</v>
      </c>
      <c r="B36" s="217" t="s">
        <v>1645</v>
      </c>
      <c r="C36" s="226" t="s">
        <v>1646</v>
      </c>
      <c r="D36" s="215" t="s">
        <v>1647</v>
      </c>
      <c r="E36" s="215">
        <f ca="1">OFFSET(model!$A$1,MATCH(D36,model!B:B,0)-1,0)</f>
        <v>17</v>
      </c>
      <c r="F36" s="224" t="s">
        <v>1528</v>
      </c>
      <c r="G36" s="215" t="s">
        <v>1648</v>
      </c>
      <c r="H36" s="215"/>
      <c r="I36" s="215"/>
      <c r="J36" s="215"/>
      <c r="K36" s="224">
        <v>3</v>
      </c>
      <c r="L36" s="224">
        <v>209</v>
      </c>
      <c r="M36" s="224">
        <f t="shared" si="2"/>
        <v>3209</v>
      </c>
      <c r="N36" s="107" t="e">
        <f ca="1">OFFSET(npc_level_config!$T$1,MATCH(M36,npc_level_config!A:A,0)-1,0)</f>
        <v>#VALUE!</v>
      </c>
      <c r="O36" s="224" t="e">
        <f ca="1" t="shared" si="3"/>
        <v>#VALUE!</v>
      </c>
      <c r="P36" s="234">
        <v>34000</v>
      </c>
      <c r="Q36" s="193">
        <f ca="1">IF(S36=0,6,OFFSET(passive_type!$J$1,MATCH(S36,passive_type!A:A,0)-1,0))</f>
        <v>6</v>
      </c>
      <c r="R36" s="3" t="e">
        <f ca="1">OFFSET(battle_group!$C$1,MATCH(P36,battle_group!E:E,0)-1,0)</f>
        <v>#N/A</v>
      </c>
      <c r="S36" s="224">
        <v>0</v>
      </c>
      <c r="T36" s="242">
        <v>20125</v>
      </c>
    </row>
    <row r="37" ht="27.75" spans="1:20">
      <c r="A37" s="224">
        <v>34</v>
      </c>
      <c r="B37" s="226" t="s">
        <v>1649</v>
      </c>
      <c r="C37" s="226" t="s">
        <v>1650</v>
      </c>
      <c r="D37" s="215" t="s">
        <v>1595</v>
      </c>
      <c r="E37" s="215">
        <f ca="1">OFFSET(model!$A$1,MATCH(D37,model!B:B,0)-1,0)</f>
        <v>14</v>
      </c>
      <c r="F37" s="224" t="s">
        <v>1528</v>
      </c>
      <c r="G37" s="215" t="s">
        <v>1651</v>
      </c>
      <c r="H37" s="215"/>
      <c r="I37" s="215"/>
      <c r="J37" s="215"/>
      <c r="K37" s="224">
        <v>3</v>
      </c>
      <c r="L37" s="224">
        <v>210</v>
      </c>
      <c r="M37" s="224">
        <f t="shared" si="2"/>
        <v>3210</v>
      </c>
      <c r="N37" s="107" t="e">
        <f ca="1">OFFSET(npc_level_config!$T$1,MATCH(M37,npc_level_config!A:A,0)-1,0)</f>
        <v>#VALUE!</v>
      </c>
      <c r="O37" s="224" t="e">
        <f ca="1" t="shared" si="3"/>
        <v>#VALUE!</v>
      </c>
      <c r="P37" s="234">
        <v>35000</v>
      </c>
      <c r="Q37" s="193">
        <f ca="1">IF(S37=0,6,OFFSET(passive_type!$J$1,MATCH(S37,passive_type!A:A,0)-1,0))</f>
        <v>6</v>
      </c>
      <c r="R37" s="3" t="e">
        <f ca="1">OFFSET(battle_group!$C$1,MATCH(P37,battle_group!E:E,0)-1,0)</f>
        <v>#N/A</v>
      </c>
      <c r="S37" s="224">
        <v>0</v>
      </c>
      <c r="T37" s="242">
        <v>20126</v>
      </c>
    </row>
    <row r="38" ht="27.75" spans="1:20">
      <c r="A38" s="224">
        <v>35</v>
      </c>
      <c r="B38" s="226" t="s">
        <v>1652</v>
      </c>
      <c r="C38" s="226" t="s">
        <v>1653</v>
      </c>
      <c r="D38" s="215" t="s">
        <v>1654</v>
      </c>
      <c r="E38" s="215">
        <f ca="1">OFFSET(model!$A$1,MATCH(D38,model!B:B,0)-1,0)</f>
        <v>20</v>
      </c>
      <c r="F38" s="224" t="s">
        <v>1528</v>
      </c>
      <c r="G38" s="215" t="s">
        <v>1655</v>
      </c>
      <c r="H38" s="215"/>
      <c r="I38" s="215"/>
      <c r="J38" s="215"/>
      <c r="K38" s="224">
        <v>3</v>
      </c>
      <c r="L38" s="224">
        <v>211</v>
      </c>
      <c r="M38" s="224">
        <f t="shared" si="2"/>
        <v>3211</v>
      </c>
      <c r="N38" s="107" t="e">
        <f ca="1">OFFSET(npc_level_config!$T$1,MATCH(M38,npc_level_config!A:A,0)-1,0)</f>
        <v>#VALUE!</v>
      </c>
      <c r="O38" s="224" t="e">
        <f ca="1" t="shared" si="3"/>
        <v>#VALUE!</v>
      </c>
      <c r="P38" s="234">
        <v>36000</v>
      </c>
      <c r="Q38" s="193">
        <f ca="1">IF(S38=0,6,OFFSET(passive_type!$J$1,MATCH(S38,passive_type!A:A,0)-1,0))</f>
        <v>6</v>
      </c>
      <c r="R38" s="3" t="e">
        <f ca="1">OFFSET(battle_group!$C$1,MATCH(P38,battle_group!E:E,0)-1,0)</f>
        <v>#N/A</v>
      </c>
      <c r="S38" s="224">
        <v>0</v>
      </c>
      <c r="T38" s="242">
        <v>20127</v>
      </c>
    </row>
    <row r="39" ht="27.75" spans="1:21">
      <c r="A39" s="224">
        <v>36</v>
      </c>
      <c r="B39" s="217" t="s">
        <v>1656</v>
      </c>
      <c r="C39" s="226" t="s">
        <v>1657</v>
      </c>
      <c r="D39" s="215" t="s">
        <v>1654</v>
      </c>
      <c r="E39" s="215">
        <f ca="1">OFFSET(model!$A$1,MATCH(D39,model!B:B,0)-1,0)</f>
        <v>20</v>
      </c>
      <c r="F39" s="224" t="s">
        <v>1528</v>
      </c>
      <c r="G39" s="215" t="s">
        <v>1658</v>
      </c>
      <c r="H39" s="215"/>
      <c r="I39" s="215"/>
      <c r="J39" s="215"/>
      <c r="K39" s="224">
        <v>3</v>
      </c>
      <c r="L39" s="224">
        <v>212</v>
      </c>
      <c r="M39" s="224">
        <f t="shared" si="2"/>
        <v>3212</v>
      </c>
      <c r="N39" s="107" t="e">
        <f ca="1">OFFSET(npc_level_config!$T$1,MATCH(M39,npc_level_config!A:A,0)-1,0)</f>
        <v>#VALUE!</v>
      </c>
      <c r="O39" s="224" t="e">
        <f ca="1" t="shared" si="3"/>
        <v>#VALUE!</v>
      </c>
      <c r="P39" s="234">
        <v>37000</v>
      </c>
      <c r="Q39" s="193" t="e">
        <f ca="1">IF(S39=0,6,OFFSET(passive_type!$J$1,MATCH(S39,passive_type!A:A,0)-1,0))</f>
        <v>#N/A</v>
      </c>
      <c r="R39" s="3" t="e">
        <f ca="1">OFFSET(battle_group!$C$1,MATCH(P39,battle_group!E:E,0)-1,0)</f>
        <v>#N/A</v>
      </c>
      <c r="S39" s="224" t="e">
        <f ca="1">OFFSET(passive_type!$A$1,MATCH(U39,passive_type!B:B,0)-1,0)</f>
        <v>#N/A</v>
      </c>
      <c r="T39" s="242">
        <v>20128</v>
      </c>
      <c r="U39" t="s">
        <v>1659</v>
      </c>
    </row>
    <row r="40" ht="16.5" spans="1:23">
      <c r="A40" s="107">
        <v>1001</v>
      </c>
      <c r="B40" s="213" t="s">
        <v>1660</v>
      </c>
      <c r="C40" s="228" t="s">
        <v>1661</v>
      </c>
      <c r="D40" s="213" t="s">
        <v>1660</v>
      </c>
      <c r="E40" s="213">
        <f ca="1">OFFSET(model!$A$1,MATCH(D40,model!B:B,0)-1,0)</f>
        <v>26</v>
      </c>
      <c r="F40" s="107" t="s">
        <v>1528</v>
      </c>
      <c r="G40" s="213" t="s">
        <v>1576</v>
      </c>
      <c r="H40" s="220" t="s">
        <v>1662</v>
      </c>
      <c r="I40" s="213"/>
      <c r="J40" s="213"/>
      <c r="K40" s="107">
        <v>1</v>
      </c>
      <c r="L40" s="107">
        <v>115</v>
      </c>
      <c r="M40" s="107">
        <f t="shared" si="2"/>
        <v>1115</v>
      </c>
      <c r="N40" s="107" t="e">
        <f ca="1">OFFSET(npc_level_config!$T$1,MATCH(M40,npc_level_config!A:A,0)-1,0)</f>
        <v>#VALUE!</v>
      </c>
      <c r="O40" s="107" t="e">
        <f ca="1" t="shared" ref="O40:O68" si="4">ROUND(N40,-1)</f>
        <v>#VALUE!</v>
      </c>
      <c r="P40" s="235">
        <v>14000</v>
      </c>
      <c r="Q40" s="134">
        <f ca="1">IF(S40=0,6,OFFSET(passive_type!$J$1,MATCH(S40,passive_type!A:A,0)-1,0))</f>
        <v>6</v>
      </c>
      <c r="R40" s="3" t="e">
        <f ca="1">OFFSET(battle_group!$C$1,MATCH(P40,battle_group!E:E,0)-1,0)</f>
        <v>#N/A</v>
      </c>
      <c r="S40" s="107">
        <v>0</v>
      </c>
      <c r="T40" s="244">
        <v>20137</v>
      </c>
      <c r="U40" s="166"/>
      <c r="W40" s="245"/>
    </row>
    <row r="41" spans="1:23">
      <c r="A41" s="224">
        <v>1002</v>
      </c>
      <c r="B41" s="229" t="s">
        <v>1663</v>
      </c>
      <c r="C41" s="226" t="s">
        <v>1664</v>
      </c>
      <c r="D41" s="215" t="s">
        <v>1575</v>
      </c>
      <c r="E41" s="215">
        <f ca="1">OFFSET(model!$A$1,MATCH(D41,model!B:B,0)-1,0)</f>
        <v>2</v>
      </c>
      <c r="F41" s="224" t="s">
        <v>1528</v>
      </c>
      <c r="G41" s="215" t="s">
        <v>1576</v>
      </c>
      <c r="H41" s="215"/>
      <c r="I41" s="215"/>
      <c r="J41" s="215"/>
      <c r="K41" s="224">
        <v>1</v>
      </c>
      <c r="L41" s="224">
        <v>116</v>
      </c>
      <c r="M41" s="224">
        <f t="shared" si="2"/>
        <v>1116</v>
      </c>
      <c r="N41" s="107" t="e">
        <f ca="1">OFFSET(npc_level_config!$T$1,MATCH(M41,npc_level_config!A:A,0)-1,0)</f>
        <v>#VALUE!</v>
      </c>
      <c r="O41" s="224" t="e">
        <f ca="1" t="shared" si="4"/>
        <v>#VALUE!</v>
      </c>
      <c r="P41" s="234">
        <v>18000</v>
      </c>
      <c r="Q41" s="193">
        <f ca="1">IF(S41=0,6,OFFSET(passive_type!$J$1,MATCH(S41,passive_type!A:A,0)-1,0))</f>
        <v>6</v>
      </c>
      <c r="R41" s="3" t="e">
        <f ca="1">OFFSET(battle_group!$C$1,MATCH(P41,battle_group!E:E,0)-1,0)</f>
        <v>#N/A</v>
      </c>
      <c r="S41" s="224">
        <v>0</v>
      </c>
      <c r="T41" s="242">
        <v>20138</v>
      </c>
      <c r="U41" s="166"/>
      <c r="W41" s="245"/>
    </row>
    <row r="42" spans="1:23">
      <c r="A42" s="224">
        <v>1003</v>
      </c>
      <c r="B42" s="229" t="s">
        <v>1665</v>
      </c>
      <c r="C42" s="226" t="s">
        <v>1664</v>
      </c>
      <c r="D42" s="181" t="s">
        <v>1665</v>
      </c>
      <c r="E42" s="215">
        <f ca="1">OFFSET(model!$A$1,MATCH(D42,model!B:B,0)-1,0)</f>
        <v>40</v>
      </c>
      <c r="F42" s="224" t="s">
        <v>1528</v>
      </c>
      <c r="G42" s="215" t="s">
        <v>1579</v>
      </c>
      <c r="H42" s="215"/>
      <c r="I42" s="215"/>
      <c r="J42" s="215"/>
      <c r="K42" s="224">
        <v>1</v>
      </c>
      <c r="L42" s="224">
        <v>117</v>
      </c>
      <c r="M42" s="224">
        <f t="shared" si="2"/>
        <v>1117</v>
      </c>
      <c r="N42" s="107" t="e">
        <f ca="1">OFFSET(npc_level_config!$T$1,MATCH(M42,npc_level_config!A:A,0)-1,0)</f>
        <v>#VALUE!</v>
      </c>
      <c r="O42" s="224" t="e">
        <f ca="1" t="shared" si="4"/>
        <v>#VALUE!</v>
      </c>
      <c r="P42" s="234">
        <v>31000</v>
      </c>
      <c r="Q42" s="193">
        <f ca="1">IF(S42=0,6,OFFSET(passive_type!$J$1,MATCH(S42,passive_type!A:A,0)-1,0))</f>
        <v>6</v>
      </c>
      <c r="R42" s="3" t="e">
        <f ca="1">OFFSET(battle_group!$C$1,MATCH(P42,battle_group!E:E,0)-1,0)</f>
        <v>#N/A</v>
      </c>
      <c r="S42" s="224">
        <v>0</v>
      </c>
      <c r="T42" s="242">
        <v>20137</v>
      </c>
      <c r="U42" s="166"/>
      <c r="W42" s="245"/>
    </row>
    <row r="43" ht="27.75" spans="1:23">
      <c r="A43" s="224">
        <v>1004</v>
      </c>
      <c r="B43" s="215" t="s">
        <v>1666</v>
      </c>
      <c r="C43" s="226" t="s">
        <v>1664</v>
      </c>
      <c r="D43" s="215" t="s">
        <v>1570</v>
      </c>
      <c r="E43" s="215">
        <f ca="1">OFFSET(model!$A$1,MATCH(D43,model!B:B,0)-1,0)</f>
        <v>3</v>
      </c>
      <c r="F43" s="224" t="s">
        <v>1528</v>
      </c>
      <c r="G43" s="215" t="s">
        <v>1623</v>
      </c>
      <c r="H43" s="215"/>
      <c r="I43" s="215"/>
      <c r="J43" s="215"/>
      <c r="K43" s="224">
        <v>1</v>
      </c>
      <c r="L43" s="224">
        <v>118</v>
      </c>
      <c r="M43" s="224">
        <f t="shared" si="2"/>
        <v>1118</v>
      </c>
      <c r="N43" s="107" t="e">
        <f ca="1">OFFSET(npc_level_config!$T$1,MATCH(M43,npc_level_config!A:A,0)-1,0)</f>
        <v>#VALUE!</v>
      </c>
      <c r="O43" s="224" t="e">
        <f ca="1" t="shared" si="4"/>
        <v>#VALUE!</v>
      </c>
      <c r="P43" s="234">
        <v>30000</v>
      </c>
      <c r="Q43" s="193">
        <f ca="1">IF(S43=0,6,OFFSET(passive_type!$J$1,MATCH(S43,passive_type!A:A,0)-1,0))</f>
        <v>6</v>
      </c>
      <c r="R43" s="3" t="e">
        <f ca="1">OFFSET(battle_group!$C$1,MATCH(P43,battle_group!E:E,0)-1,0)</f>
        <v>#N/A</v>
      </c>
      <c r="S43" s="224">
        <v>0</v>
      </c>
      <c r="T43" s="242">
        <v>20138</v>
      </c>
      <c r="U43" s="166"/>
      <c r="W43" s="245"/>
    </row>
    <row r="44" ht="27.75" spans="1:23">
      <c r="A44" s="224">
        <v>1011</v>
      </c>
      <c r="B44" s="217" t="s">
        <v>1667</v>
      </c>
      <c r="C44" s="226" t="s">
        <v>1668</v>
      </c>
      <c r="D44" s="215" t="s">
        <v>1536</v>
      </c>
      <c r="E44" s="215">
        <f ca="1">OFFSET(model!$A$1,MATCH(D44,model!B:B,0)-1,0)</f>
        <v>11</v>
      </c>
      <c r="F44" s="224" t="s">
        <v>1528</v>
      </c>
      <c r="G44" s="215" t="s">
        <v>1648</v>
      </c>
      <c r="H44" s="215"/>
      <c r="I44" s="215"/>
      <c r="J44" s="215"/>
      <c r="K44" s="224">
        <v>1</v>
      </c>
      <c r="L44" s="224">
        <v>118</v>
      </c>
      <c r="M44" s="224">
        <f t="shared" si="2"/>
        <v>1118</v>
      </c>
      <c r="N44" s="107" t="e">
        <f ca="1">OFFSET(npc_level_config!$T$1,MATCH(M44,npc_level_config!A:A,0)-1,0)</f>
        <v>#VALUE!</v>
      </c>
      <c r="O44" s="224" t="e">
        <f ca="1" t="shared" si="4"/>
        <v>#VALUE!</v>
      </c>
      <c r="P44" s="234">
        <v>11000</v>
      </c>
      <c r="Q44" s="193">
        <f ca="1">IF(S44=0,6,OFFSET(passive_type!$J$1,MATCH(S44,passive_type!A:A,0)-1,0))</f>
        <v>6</v>
      </c>
      <c r="R44" s="3" t="e">
        <f ca="1">OFFSET(battle_group!$C$1,MATCH(P44,battle_group!E:E,0)-1,0)</f>
        <v>#N/A</v>
      </c>
      <c r="S44" s="224">
        <v>0</v>
      </c>
      <c r="T44" s="242">
        <v>20144</v>
      </c>
      <c r="U44" s="166"/>
      <c r="W44" s="245"/>
    </row>
    <row r="45" ht="27.75" spans="1:23">
      <c r="A45" s="224">
        <v>1012</v>
      </c>
      <c r="B45" s="217" t="s">
        <v>1649</v>
      </c>
      <c r="C45" s="226" t="s">
        <v>1668</v>
      </c>
      <c r="D45" s="215" t="s">
        <v>1669</v>
      </c>
      <c r="E45" s="215">
        <f ca="1">OFFSET(model!$A$1,MATCH(D45,model!B:B,0)-1,0)</f>
        <v>12</v>
      </c>
      <c r="F45" s="224" t="s">
        <v>1528</v>
      </c>
      <c r="G45" s="215" t="s">
        <v>1670</v>
      </c>
      <c r="H45" s="215"/>
      <c r="I45" s="215"/>
      <c r="J45" s="215"/>
      <c r="K45" s="224">
        <v>1</v>
      </c>
      <c r="L45" s="224">
        <v>119</v>
      </c>
      <c r="M45" s="224">
        <f t="shared" si="2"/>
        <v>1119</v>
      </c>
      <c r="N45" s="107" t="e">
        <f ca="1">OFFSET(npc_level_config!$T$1,MATCH(M45,npc_level_config!A:A,0)-1,0)</f>
        <v>#VALUE!</v>
      </c>
      <c r="O45" s="224" t="e">
        <f ca="1" t="shared" si="4"/>
        <v>#VALUE!</v>
      </c>
      <c r="P45" s="234">
        <v>16000</v>
      </c>
      <c r="Q45" s="193">
        <f ca="1">IF(S45=0,6,OFFSET(passive_type!$J$1,MATCH(S45,passive_type!A:A,0)-1,0))</f>
        <v>6</v>
      </c>
      <c r="R45" s="3" t="e">
        <f ca="1">OFFSET(battle_group!$C$1,MATCH(P45,battle_group!E:E,0)-1,0)</f>
        <v>#N/A</v>
      </c>
      <c r="S45" s="224">
        <v>0</v>
      </c>
      <c r="T45" s="242">
        <v>20145</v>
      </c>
      <c r="U45" s="166"/>
      <c r="W45" s="245"/>
    </row>
    <row r="46" ht="27.75" spans="1:23">
      <c r="A46" s="224">
        <v>1013</v>
      </c>
      <c r="B46" s="217" t="s">
        <v>1671</v>
      </c>
      <c r="C46" s="226" t="s">
        <v>1668</v>
      </c>
      <c r="D46" s="215" t="s">
        <v>1546</v>
      </c>
      <c r="E46" s="215">
        <f ca="1">OFFSET(model!$A$1,MATCH(D46,model!B:B,0)-1,0)</f>
        <v>13</v>
      </c>
      <c r="F46" s="224" t="s">
        <v>1528</v>
      </c>
      <c r="G46" s="215" t="s">
        <v>1611</v>
      </c>
      <c r="H46" s="215"/>
      <c r="I46" s="215"/>
      <c r="J46" s="215"/>
      <c r="K46" s="224">
        <v>1</v>
      </c>
      <c r="L46" s="224">
        <v>120</v>
      </c>
      <c r="M46" s="224">
        <f t="shared" si="2"/>
        <v>1120</v>
      </c>
      <c r="N46" s="107" t="e">
        <f ca="1">OFFSET(npc_level_config!$T$1,MATCH(M46,npc_level_config!A:A,0)-1,0)</f>
        <v>#VALUE!</v>
      </c>
      <c r="O46" s="224" t="e">
        <f ca="1" t="shared" si="4"/>
        <v>#VALUE!</v>
      </c>
      <c r="P46" s="234">
        <v>24000</v>
      </c>
      <c r="Q46" s="193">
        <f ca="1">IF(S46=0,6,OFFSET(passive_type!$J$1,MATCH(S46,passive_type!A:A,0)-1,0))</f>
        <v>6</v>
      </c>
      <c r="R46" s="3" t="e">
        <f ca="1">OFFSET(battle_group!$C$1,MATCH(P46,battle_group!E:E,0)-1,0)</f>
        <v>#N/A</v>
      </c>
      <c r="S46" s="224">
        <v>0</v>
      </c>
      <c r="T46" s="242">
        <v>20146</v>
      </c>
      <c r="U46" s="166"/>
      <c r="W46" s="245"/>
    </row>
    <row r="47" spans="1:20">
      <c r="A47" s="224">
        <v>1021</v>
      </c>
      <c r="B47" s="224" t="s">
        <v>1672</v>
      </c>
      <c r="C47" s="224" t="s">
        <v>1673</v>
      </c>
      <c r="D47" s="215" t="s">
        <v>1585</v>
      </c>
      <c r="E47" s="215">
        <f ca="1">OFFSET(model!$A$1,MATCH(D47,model!B:B,0)-1,0)</f>
        <v>1</v>
      </c>
      <c r="F47" s="224" t="s">
        <v>1528</v>
      </c>
      <c r="G47" s="215" t="s">
        <v>1648</v>
      </c>
      <c r="H47" s="215"/>
      <c r="I47" s="215"/>
      <c r="J47" s="215"/>
      <c r="K47" s="224">
        <v>1</v>
      </c>
      <c r="L47" s="224">
        <v>129</v>
      </c>
      <c r="M47" s="224">
        <f t="shared" si="2"/>
        <v>1129</v>
      </c>
      <c r="N47" s="107" t="e">
        <f ca="1">OFFSET(npc_level_config!$T$1,MATCH(M47,npc_level_config!A:A,0)-1,0)</f>
        <v>#VALUE!</v>
      </c>
      <c r="O47" s="224" t="e">
        <f ca="1" t="shared" si="4"/>
        <v>#VALUE!</v>
      </c>
      <c r="P47" s="234">
        <v>20000</v>
      </c>
      <c r="Q47" s="193">
        <f ca="1">IF(S47=0,6,OFFSET(passive_type!$J$1,MATCH(S47,passive_type!A:A,0)-1,0))</f>
        <v>6</v>
      </c>
      <c r="R47" s="3" t="e">
        <f ca="1">OFFSET(battle_group!$C$1,MATCH(P47,battle_group!E:E,0)-1,0)</f>
        <v>#N/A</v>
      </c>
      <c r="S47" s="224">
        <v>0</v>
      </c>
      <c r="T47" s="242">
        <v>20137</v>
      </c>
    </row>
    <row r="48" ht="27.75" spans="1:20">
      <c r="A48" s="224">
        <v>1022</v>
      </c>
      <c r="B48" s="224" t="s">
        <v>1674</v>
      </c>
      <c r="C48" s="224" t="s">
        <v>1673</v>
      </c>
      <c r="D48" s="215" t="s">
        <v>1546</v>
      </c>
      <c r="E48" s="215">
        <f ca="1">OFFSET(model!$A$1,MATCH(D48,model!B:B,0)-1,0)</f>
        <v>13</v>
      </c>
      <c r="F48" s="224" t="s">
        <v>1528</v>
      </c>
      <c r="G48" s="215" t="s">
        <v>1616</v>
      </c>
      <c r="H48" s="215"/>
      <c r="I48" s="215"/>
      <c r="J48" s="215"/>
      <c r="K48" s="224">
        <v>1</v>
      </c>
      <c r="L48" s="224">
        <v>130</v>
      </c>
      <c r="M48" s="224">
        <f t="shared" si="2"/>
        <v>1130</v>
      </c>
      <c r="N48" s="107" t="e">
        <f ca="1">OFFSET(npc_level_config!$T$1,MATCH(M48,npc_level_config!A:A,0)-1,0)</f>
        <v>#VALUE!</v>
      </c>
      <c r="O48" s="224" t="e">
        <f ca="1" t="shared" si="4"/>
        <v>#VALUE!</v>
      </c>
      <c r="P48" s="234">
        <v>17000</v>
      </c>
      <c r="Q48" s="193">
        <f ca="1">IF(S48=0,6,OFFSET(passive_type!$J$1,MATCH(S48,passive_type!A:A,0)-1,0))</f>
        <v>6</v>
      </c>
      <c r="R48" s="3" t="e">
        <f ca="1">OFFSET(battle_group!$C$1,MATCH(P48,battle_group!E:E,0)-1,0)</f>
        <v>#N/A</v>
      </c>
      <c r="S48" s="224">
        <v>0</v>
      </c>
      <c r="T48" s="242">
        <v>20142</v>
      </c>
    </row>
    <row r="49" ht="27.75" spans="1:20">
      <c r="A49" s="224">
        <v>1023</v>
      </c>
      <c r="B49" s="224" t="s">
        <v>1675</v>
      </c>
      <c r="C49" s="224" t="s">
        <v>1673</v>
      </c>
      <c r="D49" s="215" t="s">
        <v>1638</v>
      </c>
      <c r="E49" s="215">
        <f ca="1">OFFSET(model!$A$1,MATCH(D49,model!B:B,0)-1,0)</f>
        <v>18</v>
      </c>
      <c r="F49" s="224" t="s">
        <v>1528</v>
      </c>
      <c r="G49" s="215" t="s">
        <v>1676</v>
      </c>
      <c r="H49" s="215"/>
      <c r="I49" s="215"/>
      <c r="J49" s="215"/>
      <c r="K49" s="224">
        <v>1</v>
      </c>
      <c r="L49" s="224">
        <v>130</v>
      </c>
      <c r="M49" s="224">
        <f t="shared" si="2"/>
        <v>1130</v>
      </c>
      <c r="N49" s="107" t="e">
        <f ca="1">OFFSET(npc_level_config!$T$1,MATCH(M49,npc_level_config!A:A,0)-1,0)</f>
        <v>#VALUE!</v>
      </c>
      <c r="O49" s="224" t="e">
        <f ca="1" t="shared" si="4"/>
        <v>#VALUE!</v>
      </c>
      <c r="P49" s="234">
        <v>14000</v>
      </c>
      <c r="Q49" s="193">
        <f ca="1">IF(S49=0,6,OFFSET(passive_type!$J$1,MATCH(S49,passive_type!A:A,0)-1,0))</f>
        <v>6</v>
      </c>
      <c r="R49" s="3" t="e">
        <f ca="1">OFFSET(battle_group!$C$1,MATCH(P49,battle_group!E:E,0)-1,0)</f>
        <v>#N/A</v>
      </c>
      <c r="S49" s="224">
        <v>0</v>
      </c>
      <c r="T49" s="242">
        <v>20141</v>
      </c>
    </row>
    <row r="50" spans="1:20">
      <c r="A50" s="224">
        <v>1024</v>
      </c>
      <c r="B50" s="224" t="s">
        <v>1677</v>
      </c>
      <c r="C50" s="224" t="s">
        <v>1673</v>
      </c>
      <c r="D50" s="215" t="s">
        <v>1677</v>
      </c>
      <c r="E50" s="215">
        <f ca="1">OFFSET(model!$A$1,MATCH(D50,model!B:B,0)-1,0)</f>
        <v>4</v>
      </c>
      <c r="F50" s="224" t="s">
        <v>1528</v>
      </c>
      <c r="G50" s="215" t="s">
        <v>1557</v>
      </c>
      <c r="H50" s="215"/>
      <c r="I50" s="215"/>
      <c r="J50" s="215"/>
      <c r="K50" s="224">
        <v>1</v>
      </c>
      <c r="L50" s="224">
        <v>131</v>
      </c>
      <c r="M50" s="224">
        <f t="shared" si="2"/>
        <v>1131</v>
      </c>
      <c r="N50" s="107" t="e">
        <f ca="1">OFFSET(npc_level_config!$T$1,MATCH(M50,npc_level_config!A:A,0)-1,0)</f>
        <v>#VALUE!</v>
      </c>
      <c r="O50" s="224" t="e">
        <f ca="1" t="shared" si="4"/>
        <v>#VALUE!</v>
      </c>
      <c r="P50" s="234">
        <v>4103</v>
      </c>
      <c r="Q50" s="193">
        <f ca="1">IF(S50=0,6,OFFSET(passive_type!$J$1,MATCH(S50,passive_type!A:A,0)-1,0))</f>
        <v>6</v>
      </c>
      <c r="R50" s="3">
        <f ca="1">OFFSET(battle_group!$C$1,MATCH(P50,battle_group!E:E,0)-1,0)</f>
        <v>4</v>
      </c>
      <c r="S50" s="224">
        <v>0</v>
      </c>
      <c r="T50" s="242">
        <v>20103</v>
      </c>
    </row>
    <row r="51" spans="1:20">
      <c r="A51" s="224">
        <v>1031</v>
      </c>
      <c r="B51" s="224" t="s">
        <v>1678</v>
      </c>
      <c r="C51" s="230" t="s">
        <v>1679</v>
      </c>
      <c r="D51" s="215" t="s">
        <v>1497</v>
      </c>
      <c r="E51" s="215">
        <f ca="1">OFFSET(model!$A$1,MATCH(D51,model!B:B,0)-1,0)</f>
        <v>8</v>
      </c>
      <c r="F51" s="224" t="s">
        <v>1528</v>
      </c>
      <c r="G51" s="215" t="s">
        <v>1601</v>
      </c>
      <c r="H51" s="215"/>
      <c r="I51" s="215"/>
      <c r="J51" s="215"/>
      <c r="K51" s="224">
        <v>2</v>
      </c>
      <c r="L51" s="224">
        <v>205</v>
      </c>
      <c r="M51" s="224">
        <f t="shared" si="2"/>
        <v>2205</v>
      </c>
      <c r="N51" s="107" t="e">
        <f ca="1">OFFSET(npc_level_config!$T$1,MATCH(M51,npc_level_config!A:A,0)-1,0)</f>
        <v>#VALUE!</v>
      </c>
      <c r="O51" s="224" t="e">
        <f ca="1" t="shared" si="4"/>
        <v>#VALUE!</v>
      </c>
      <c r="P51" s="234">
        <v>32000</v>
      </c>
      <c r="Q51" s="193">
        <f ca="1">IF(S51=0,6,OFFSET(passive_type!$J$1,MATCH(S51,passive_type!A:A,0)-1,0))</f>
        <v>6</v>
      </c>
      <c r="R51" s="3" t="e">
        <f ca="1">OFFSET(battle_group!$C$1,MATCH(P51,battle_group!E:E,0)-1,0)</f>
        <v>#N/A</v>
      </c>
      <c r="S51" s="224">
        <v>0</v>
      </c>
      <c r="T51" s="242">
        <v>20103</v>
      </c>
    </row>
    <row r="52" ht="15.75" spans="1:20">
      <c r="A52" s="224">
        <v>1032</v>
      </c>
      <c r="B52" s="224" t="s">
        <v>1680</v>
      </c>
      <c r="C52" s="230" t="s">
        <v>1679</v>
      </c>
      <c r="D52" s="227" t="s">
        <v>1681</v>
      </c>
      <c r="E52" s="215">
        <f ca="1">OFFSET(model!$A$1,MATCH(D52,model!B:B,0)-1,0)</f>
        <v>65</v>
      </c>
      <c r="F52" s="224" t="s">
        <v>1528</v>
      </c>
      <c r="G52" s="215" t="s">
        <v>1601</v>
      </c>
      <c r="H52" s="215"/>
      <c r="I52" s="215"/>
      <c r="J52" s="215"/>
      <c r="K52" s="224">
        <v>2</v>
      </c>
      <c r="L52" s="224">
        <v>206</v>
      </c>
      <c r="M52" s="224">
        <f t="shared" si="2"/>
        <v>2206</v>
      </c>
      <c r="N52" s="107" t="e">
        <f ca="1">OFFSET(npc_level_config!$T$1,MATCH(M52,npc_level_config!A:A,0)-1,0)</f>
        <v>#VALUE!</v>
      </c>
      <c r="O52" s="224" t="e">
        <f ca="1" t="shared" si="4"/>
        <v>#VALUE!</v>
      </c>
      <c r="P52" s="234">
        <v>32000</v>
      </c>
      <c r="Q52" s="193">
        <f ca="1">IF(S52=0,6,OFFSET(passive_type!$J$1,MATCH(S52,passive_type!A:A,0)-1,0))</f>
        <v>6</v>
      </c>
      <c r="R52" s="3" t="e">
        <f ca="1">OFFSET(battle_group!$C$1,MATCH(P52,battle_group!E:E,0)-1,0)</f>
        <v>#N/A</v>
      </c>
      <c r="S52" s="224">
        <v>0</v>
      </c>
      <c r="T52" s="242">
        <v>20103</v>
      </c>
    </row>
    <row r="53" ht="15.75" spans="1:20">
      <c r="A53" s="224">
        <v>1033</v>
      </c>
      <c r="B53" s="224" t="s">
        <v>1682</v>
      </c>
      <c r="C53" s="230" t="s">
        <v>1679</v>
      </c>
      <c r="D53" s="227" t="s">
        <v>1600</v>
      </c>
      <c r="E53" s="215">
        <f ca="1">OFFSET(model!$A$1,MATCH(D53,model!B:B,0)-1,0)</f>
        <v>66</v>
      </c>
      <c r="F53" s="224" t="s">
        <v>1528</v>
      </c>
      <c r="G53" s="215" t="s">
        <v>1601</v>
      </c>
      <c r="H53" s="215"/>
      <c r="I53" s="215"/>
      <c r="J53" s="215"/>
      <c r="K53" s="224">
        <v>2</v>
      </c>
      <c r="L53" s="224">
        <v>207</v>
      </c>
      <c r="M53" s="224">
        <f t="shared" si="2"/>
        <v>2207</v>
      </c>
      <c r="N53" s="107" t="e">
        <f ca="1">OFFSET(npc_level_config!$T$1,MATCH(M53,npc_level_config!A:A,0)-1,0)</f>
        <v>#VALUE!</v>
      </c>
      <c r="O53" s="224" t="e">
        <f ca="1" t="shared" si="4"/>
        <v>#VALUE!</v>
      </c>
      <c r="P53" s="234">
        <v>33000</v>
      </c>
      <c r="Q53" s="193">
        <f ca="1">IF(S53=0,6,OFFSET(passive_type!$J$1,MATCH(S53,passive_type!A:A,0)-1,0))</f>
        <v>6</v>
      </c>
      <c r="R53" s="3" t="e">
        <f ca="1">OFFSET(battle_group!$C$1,MATCH(P53,battle_group!E:E,0)-1,0)</f>
        <v>#N/A</v>
      </c>
      <c r="S53" s="224">
        <v>0</v>
      </c>
      <c r="T53" s="242">
        <v>20103</v>
      </c>
    </row>
    <row r="54" spans="1:20">
      <c r="A54" s="224">
        <v>1034</v>
      </c>
      <c r="B54" s="224" t="s">
        <v>1541</v>
      </c>
      <c r="C54" s="230" t="s">
        <v>1679</v>
      </c>
      <c r="D54" s="224" t="s">
        <v>1541</v>
      </c>
      <c r="E54" s="215">
        <f ca="1">OFFSET(model!$A$1,MATCH(D54,model!B:B,0)-1,0)</f>
        <v>58</v>
      </c>
      <c r="F54" s="224" t="s">
        <v>1528</v>
      </c>
      <c r="G54" s="215" t="s">
        <v>1542</v>
      </c>
      <c r="H54" s="215"/>
      <c r="I54" s="215"/>
      <c r="J54" s="215"/>
      <c r="K54" s="224">
        <v>2</v>
      </c>
      <c r="L54" s="224">
        <v>208</v>
      </c>
      <c r="M54" s="224">
        <f t="shared" si="2"/>
        <v>2208</v>
      </c>
      <c r="N54" s="107" t="e">
        <f ca="1">OFFSET(npc_level_config!$T$1,MATCH(M54,npc_level_config!A:A,0)-1,0)</f>
        <v>#VALUE!</v>
      </c>
      <c r="O54" s="224" t="e">
        <f ca="1" t="shared" si="4"/>
        <v>#VALUE!</v>
      </c>
      <c r="P54" s="234">
        <v>33000</v>
      </c>
      <c r="Q54" s="193">
        <f ca="1">IF(S54=0,6,OFFSET(passive_type!$J$1,MATCH(S54,passive_type!A:A,0)-1,0))</f>
        <v>6</v>
      </c>
      <c r="R54" s="3" t="e">
        <f ca="1">OFFSET(battle_group!$C$1,MATCH(P54,battle_group!E:E,0)-1,0)</f>
        <v>#N/A</v>
      </c>
      <c r="S54" s="224">
        <v>0</v>
      </c>
      <c r="T54" s="242">
        <v>20103</v>
      </c>
    </row>
    <row r="55" spans="1:20">
      <c r="A55" s="224">
        <v>1041</v>
      </c>
      <c r="B55" s="231" t="s">
        <v>1564</v>
      </c>
      <c r="C55" s="232" t="s">
        <v>1683</v>
      </c>
      <c r="D55" s="231" t="s">
        <v>1564</v>
      </c>
      <c r="E55" s="215">
        <f ca="1">OFFSET(model!$A$1,MATCH(D55,model!B:B,0)-1,0)</f>
        <v>9</v>
      </c>
      <c r="F55" s="224" t="s">
        <v>1528</v>
      </c>
      <c r="G55" s="215" t="s">
        <v>1566</v>
      </c>
      <c r="H55" s="215"/>
      <c r="I55" s="215"/>
      <c r="J55" s="215"/>
      <c r="K55" s="224">
        <v>2</v>
      </c>
      <c r="L55" s="224">
        <v>201</v>
      </c>
      <c r="M55" s="224">
        <f t="shared" si="2"/>
        <v>2201</v>
      </c>
      <c r="N55" s="107" t="e">
        <f ca="1">OFFSET(npc_level_config!$T$1,MATCH(M55,npc_level_config!A:A,0)-1,0)</f>
        <v>#VALUE!</v>
      </c>
      <c r="O55" s="224" t="e">
        <f ca="1" t="shared" si="4"/>
        <v>#VALUE!</v>
      </c>
      <c r="P55" s="234">
        <v>39000</v>
      </c>
      <c r="Q55" s="193">
        <f ca="1">IF(S55=0,6,OFFSET(passive_type!$J$1,MATCH(S55,passive_type!A:A,0)-1,0))</f>
        <v>6</v>
      </c>
      <c r="R55" s="3" t="e">
        <f ca="1">OFFSET(battle_group!$C$1,MATCH(P55,battle_group!E:E,0)-1,0)</f>
        <v>#N/A</v>
      </c>
      <c r="S55" s="224">
        <v>0</v>
      </c>
      <c r="T55" s="242">
        <v>20103</v>
      </c>
    </row>
    <row r="56" spans="1:20">
      <c r="A56" s="224">
        <v>1042</v>
      </c>
      <c r="B56" s="224" t="s">
        <v>1561</v>
      </c>
      <c r="C56" s="232" t="s">
        <v>1683</v>
      </c>
      <c r="D56" s="224" t="s">
        <v>1561</v>
      </c>
      <c r="E56" s="215">
        <f ca="1">OFFSET(model!$A$1,MATCH(D56,model!B:B,0)-1,0)</f>
        <v>10</v>
      </c>
      <c r="F56" s="224" t="s">
        <v>1528</v>
      </c>
      <c r="G56" s="215" t="s">
        <v>1562</v>
      </c>
      <c r="H56" s="215"/>
      <c r="I56" s="215"/>
      <c r="J56" s="215"/>
      <c r="K56" s="224">
        <v>2</v>
      </c>
      <c r="L56" s="224">
        <v>202</v>
      </c>
      <c r="M56" s="224">
        <f t="shared" si="2"/>
        <v>2202</v>
      </c>
      <c r="N56" s="107" t="e">
        <f ca="1">OFFSET(npc_level_config!$T$1,MATCH(M56,npc_level_config!A:A,0)-1,0)</f>
        <v>#VALUE!</v>
      </c>
      <c r="O56" s="224" t="e">
        <f ca="1" t="shared" si="4"/>
        <v>#VALUE!</v>
      </c>
      <c r="P56" s="234">
        <v>34000</v>
      </c>
      <c r="Q56" s="193">
        <f ca="1">IF(S56=0,6,OFFSET(passive_type!$J$1,MATCH(S56,passive_type!A:A,0)-1,0))</f>
        <v>6</v>
      </c>
      <c r="R56" s="3" t="e">
        <f ca="1">OFFSET(battle_group!$C$1,MATCH(P56,battle_group!E:E,0)-1,0)</f>
        <v>#N/A</v>
      </c>
      <c r="S56" s="224">
        <v>0</v>
      </c>
      <c r="T56" s="242">
        <v>20161</v>
      </c>
    </row>
    <row r="57" spans="1:20">
      <c r="A57" s="224">
        <v>1043</v>
      </c>
      <c r="B57" s="224" t="s">
        <v>1684</v>
      </c>
      <c r="C57" s="232" t="s">
        <v>1683</v>
      </c>
      <c r="D57" s="231" t="s">
        <v>1564</v>
      </c>
      <c r="E57" s="215">
        <f ca="1">OFFSET(model!$A$1,MATCH(D57,model!B:B,0)-1,0)</f>
        <v>9</v>
      </c>
      <c r="F57" s="224" t="s">
        <v>1528</v>
      </c>
      <c r="G57" s="215" t="s">
        <v>1566</v>
      </c>
      <c r="H57" s="215"/>
      <c r="I57" s="215"/>
      <c r="J57" s="215"/>
      <c r="K57" s="224">
        <v>2</v>
      </c>
      <c r="L57" s="224">
        <v>202</v>
      </c>
      <c r="M57" s="224">
        <f t="shared" si="2"/>
        <v>2202</v>
      </c>
      <c r="N57" s="107" t="e">
        <f ca="1">OFFSET(npc_level_config!$T$1,MATCH(M57,npc_level_config!A:A,0)-1,0)</f>
        <v>#VALUE!</v>
      </c>
      <c r="O57" s="224" t="e">
        <f ca="1" t="shared" si="4"/>
        <v>#VALUE!</v>
      </c>
      <c r="P57" s="234">
        <v>39000</v>
      </c>
      <c r="Q57" s="193">
        <f ca="1">IF(S57=0,6,OFFSET(passive_type!$J$1,MATCH(S57,passive_type!A:A,0)-1,0))</f>
        <v>6</v>
      </c>
      <c r="R57" s="3" t="e">
        <f ca="1">OFFSET(battle_group!$C$1,MATCH(P57,battle_group!E:E,0)-1,0)</f>
        <v>#N/A</v>
      </c>
      <c r="S57" s="224">
        <v>0</v>
      </c>
      <c r="T57" s="242">
        <v>20161</v>
      </c>
    </row>
    <row r="58" ht="15.75" spans="1:20">
      <c r="A58" s="224">
        <v>1044</v>
      </c>
      <c r="B58" s="224" t="s">
        <v>1685</v>
      </c>
      <c r="C58" s="232" t="s">
        <v>1683</v>
      </c>
      <c r="D58" s="227" t="s">
        <v>1686</v>
      </c>
      <c r="E58" s="215">
        <f ca="1">OFFSET(model!$A$1,MATCH(D58,model!B:B,0)-1,0)</f>
        <v>70</v>
      </c>
      <c r="F58" s="224" t="s">
        <v>1528</v>
      </c>
      <c r="G58" s="215" t="s">
        <v>1687</v>
      </c>
      <c r="H58" s="215"/>
      <c r="I58" s="215"/>
      <c r="J58" s="215"/>
      <c r="K58" s="224">
        <v>2</v>
      </c>
      <c r="L58" s="224">
        <v>203</v>
      </c>
      <c r="M58" s="224">
        <f t="shared" si="2"/>
        <v>2203</v>
      </c>
      <c r="N58" s="107" t="e">
        <f ca="1">OFFSET(npc_level_config!$T$1,MATCH(M58,npc_level_config!A:A,0)-1,0)</f>
        <v>#VALUE!</v>
      </c>
      <c r="O58" s="224" t="e">
        <f ca="1" t="shared" si="4"/>
        <v>#VALUE!</v>
      </c>
      <c r="P58" s="216">
        <v>1107</v>
      </c>
      <c r="Q58" s="193">
        <f ca="1">IF(S58=0,6,OFFSET(passive_type!$J$1,MATCH(S58,passive_type!A:A,0)-1,0))</f>
        <v>6</v>
      </c>
      <c r="R58" s="3">
        <f ca="1">OFFSET(battle_group!$C$1,MATCH(P58,battle_group!E:E,0)-1,0)</f>
        <v>1</v>
      </c>
      <c r="S58" s="224">
        <v>0</v>
      </c>
      <c r="T58" s="242">
        <v>20103</v>
      </c>
    </row>
    <row r="59" ht="15.75" spans="1:20">
      <c r="A59" s="224">
        <v>1045</v>
      </c>
      <c r="B59" s="224" t="s">
        <v>1688</v>
      </c>
      <c r="C59" s="232" t="s">
        <v>1683</v>
      </c>
      <c r="D59" s="227" t="s">
        <v>1689</v>
      </c>
      <c r="E59" s="215">
        <f ca="1">OFFSET(model!$A$1,MATCH(D59,model!B:B,0)-1,0)</f>
        <v>77</v>
      </c>
      <c r="F59" s="224" t="s">
        <v>1528</v>
      </c>
      <c r="G59" s="215" t="s">
        <v>1690</v>
      </c>
      <c r="H59" s="215"/>
      <c r="I59" s="215"/>
      <c r="J59" s="215"/>
      <c r="K59" s="224">
        <v>2</v>
      </c>
      <c r="L59" s="224">
        <v>204</v>
      </c>
      <c r="M59" s="224">
        <f t="shared" si="2"/>
        <v>2204</v>
      </c>
      <c r="N59" s="107" t="e">
        <f ca="1">OFFSET(npc_level_config!$T$1,MATCH(M59,npc_level_config!A:A,0)-1,0)</f>
        <v>#VALUE!</v>
      </c>
      <c r="O59" s="224" t="e">
        <f ca="1" t="shared" si="4"/>
        <v>#VALUE!</v>
      </c>
      <c r="P59" s="234">
        <v>4103</v>
      </c>
      <c r="Q59" s="193">
        <f ca="1">IF(S59=0,6,OFFSET(passive_type!$J$1,MATCH(S59,passive_type!A:A,0)-1,0))</f>
        <v>6</v>
      </c>
      <c r="R59" s="3">
        <f ca="1">OFFSET(battle_group!$C$1,MATCH(P59,battle_group!E:E,0)-1,0)</f>
        <v>4</v>
      </c>
      <c r="S59" s="224">
        <v>0</v>
      </c>
      <c r="T59" s="242">
        <v>20162</v>
      </c>
    </row>
    <row r="60" spans="1:20">
      <c r="A60" s="224">
        <v>1051</v>
      </c>
      <c r="B60" s="215" t="s">
        <v>1585</v>
      </c>
      <c r="C60" s="224" t="s">
        <v>1691</v>
      </c>
      <c r="D60" s="215" t="s">
        <v>1585</v>
      </c>
      <c r="E60" s="215">
        <f ca="1">OFFSET(model!$A$1,MATCH(D60,model!B:B,0)-1,0)</f>
        <v>1</v>
      </c>
      <c r="F60" s="224" t="s">
        <v>1528</v>
      </c>
      <c r="G60" s="215" t="s">
        <v>1692</v>
      </c>
      <c r="H60" s="215"/>
      <c r="I60" s="215"/>
      <c r="J60" s="215"/>
      <c r="K60" s="224">
        <v>2</v>
      </c>
      <c r="L60" s="224">
        <v>204</v>
      </c>
      <c r="M60" s="224">
        <f t="shared" si="2"/>
        <v>2204</v>
      </c>
      <c r="N60" s="107" t="e">
        <f ca="1">OFFSET(npc_level_config!$T$1,MATCH(M60,npc_level_config!A:A,0)-1,0)</f>
        <v>#VALUE!</v>
      </c>
      <c r="O60" s="224" t="e">
        <f ca="1" t="shared" si="4"/>
        <v>#VALUE!</v>
      </c>
      <c r="P60" s="234">
        <v>26000</v>
      </c>
      <c r="Q60" s="193">
        <f ca="1">IF(S60=0,6,OFFSET(passive_type!$J$1,MATCH(S60,passive_type!A:A,0)-1,0))</f>
        <v>6</v>
      </c>
      <c r="R60" s="3" t="e">
        <f ca="1">OFFSET(battle_group!$C$1,MATCH(P60,battle_group!E:E,0)-1,0)</f>
        <v>#N/A</v>
      </c>
      <c r="S60" s="224">
        <v>0</v>
      </c>
      <c r="T60" s="242">
        <v>20163</v>
      </c>
    </row>
    <row r="61" spans="1:20">
      <c r="A61" s="224">
        <v>1052</v>
      </c>
      <c r="B61" s="215" t="s">
        <v>1575</v>
      </c>
      <c r="C61" s="224" t="s">
        <v>1691</v>
      </c>
      <c r="D61" s="215" t="s">
        <v>1575</v>
      </c>
      <c r="E61" s="215">
        <f ca="1">OFFSET(model!$A$1,MATCH(D61,model!B:B,0)-1,0)</f>
        <v>2</v>
      </c>
      <c r="F61" s="224" t="s">
        <v>1528</v>
      </c>
      <c r="G61" s="215" t="s">
        <v>1693</v>
      </c>
      <c r="H61" s="215"/>
      <c r="I61" s="215"/>
      <c r="J61" s="215"/>
      <c r="K61" s="224">
        <v>2</v>
      </c>
      <c r="L61" s="224">
        <v>204</v>
      </c>
      <c r="M61" s="224">
        <f t="shared" si="2"/>
        <v>2204</v>
      </c>
      <c r="N61" s="107" t="e">
        <f ca="1">OFFSET(npc_level_config!$T$1,MATCH(M61,npc_level_config!A:A,0)-1,0)</f>
        <v>#VALUE!</v>
      </c>
      <c r="O61" s="224" t="e">
        <f ca="1" t="shared" si="4"/>
        <v>#VALUE!</v>
      </c>
      <c r="P61" s="234">
        <v>29000</v>
      </c>
      <c r="Q61" s="193">
        <f ca="1">IF(S61=0,6,OFFSET(passive_type!$J$1,MATCH(S61,passive_type!A:A,0)-1,0))</f>
        <v>6</v>
      </c>
      <c r="R61" s="3" t="e">
        <f ca="1">OFFSET(battle_group!$C$1,MATCH(P61,battle_group!E:E,0)-1,0)</f>
        <v>#N/A</v>
      </c>
      <c r="S61" s="224">
        <v>0</v>
      </c>
      <c r="T61" s="242">
        <v>20163</v>
      </c>
    </row>
    <row r="62" ht="27.75" spans="1:20">
      <c r="A62" s="224">
        <v>1053</v>
      </c>
      <c r="B62" s="215" t="s">
        <v>1570</v>
      </c>
      <c r="C62" s="224" t="s">
        <v>1691</v>
      </c>
      <c r="D62" s="215" t="s">
        <v>1570</v>
      </c>
      <c r="E62" s="215">
        <f ca="1">OFFSET(model!$A$1,MATCH(D62,model!B:B,0)-1,0)</f>
        <v>3</v>
      </c>
      <c r="F62" s="224" t="s">
        <v>1528</v>
      </c>
      <c r="G62" s="215" t="s">
        <v>1694</v>
      </c>
      <c r="H62" s="215"/>
      <c r="I62" s="215"/>
      <c r="J62" s="215"/>
      <c r="K62" s="224">
        <v>2</v>
      </c>
      <c r="L62" s="224">
        <v>205</v>
      </c>
      <c r="M62" s="224">
        <f t="shared" si="2"/>
        <v>2205</v>
      </c>
      <c r="N62" s="107" t="e">
        <f ca="1">OFFSET(npc_level_config!$T$1,MATCH(M62,npc_level_config!A:A,0)-1,0)</f>
        <v>#VALUE!</v>
      </c>
      <c r="O62" s="224" t="e">
        <f ca="1" t="shared" si="4"/>
        <v>#VALUE!</v>
      </c>
      <c r="P62" s="234">
        <v>30000</v>
      </c>
      <c r="Q62" s="193">
        <f ca="1">IF(S62=0,6,OFFSET(passive_type!$J$1,MATCH(S62,passive_type!A:A,0)-1,0))</f>
        <v>6</v>
      </c>
      <c r="R62" s="3" t="e">
        <f ca="1">OFFSET(battle_group!$C$1,MATCH(P62,battle_group!E:E,0)-1,0)</f>
        <v>#N/A</v>
      </c>
      <c r="S62" s="224">
        <v>0</v>
      </c>
      <c r="T62" s="242">
        <v>20163</v>
      </c>
    </row>
    <row r="63" spans="1:20">
      <c r="A63" s="224">
        <v>1054</v>
      </c>
      <c r="B63" s="224" t="s">
        <v>1695</v>
      </c>
      <c r="C63" s="224" t="s">
        <v>1691</v>
      </c>
      <c r="D63" s="181" t="s">
        <v>1665</v>
      </c>
      <c r="E63" s="215">
        <f ca="1">OFFSET(model!$A$1,MATCH(D63,model!B:B,0)-1,0)</f>
        <v>40</v>
      </c>
      <c r="F63" s="224" t="s">
        <v>1528</v>
      </c>
      <c r="G63" s="215" t="s">
        <v>1643</v>
      </c>
      <c r="H63" s="215"/>
      <c r="I63" s="215"/>
      <c r="J63" s="215"/>
      <c r="K63" s="224">
        <v>2</v>
      </c>
      <c r="L63" s="224">
        <v>205</v>
      </c>
      <c r="M63" s="224">
        <f t="shared" si="2"/>
        <v>2205</v>
      </c>
      <c r="N63" s="107" t="e">
        <f ca="1">OFFSET(npc_level_config!$T$1,MATCH(M63,npc_level_config!A:A,0)-1,0)</f>
        <v>#VALUE!</v>
      </c>
      <c r="O63" s="224" t="e">
        <f ca="1" t="shared" si="4"/>
        <v>#VALUE!</v>
      </c>
      <c r="P63" s="234">
        <v>31000</v>
      </c>
      <c r="Q63" s="193">
        <f ca="1">IF(S63=0,6,OFFSET(passive_type!$J$1,MATCH(S63,passive_type!A:A,0)-1,0))</f>
        <v>6</v>
      </c>
      <c r="R63" s="3" t="e">
        <f ca="1">OFFSET(battle_group!$C$1,MATCH(P63,battle_group!E:E,0)-1,0)</f>
        <v>#N/A</v>
      </c>
      <c r="S63" s="224">
        <v>0</v>
      </c>
      <c r="T63" s="242">
        <v>20163</v>
      </c>
    </row>
    <row r="64" spans="1:20">
      <c r="A64" s="224">
        <v>1061</v>
      </c>
      <c r="B64" s="215" t="s">
        <v>1527</v>
      </c>
      <c r="C64" s="232" t="s">
        <v>1673</v>
      </c>
      <c r="D64" s="215" t="s">
        <v>1527</v>
      </c>
      <c r="E64" s="215">
        <f ca="1">OFFSET(model!$A$1,MATCH(D64,model!B:B,0)-1,0)</f>
        <v>5</v>
      </c>
      <c r="F64" s="224" t="s">
        <v>1528</v>
      </c>
      <c r="G64" s="215" t="s">
        <v>1529</v>
      </c>
      <c r="H64" s="215"/>
      <c r="I64" s="215"/>
      <c r="J64" s="215"/>
      <c r="K64" s="224">
        <v>2</v>
      </c>
      <c r="L64" s="224">
        <v>125</v>
      </c>
      <c r="M64" s="224">
        <f t="shared" si="2"/>
        <v>2125</v>
      </c>
      <c r="N64" s="107" t="e">
        <f ca="1">OFFSET(npc_level_config!$T$1,MATCH(M64,npc_level_config!A:A,0)-1,0)</f>
        <v>#VALUE!</v>
      </c>
      <c r="O64" s="224" t="e">
        <f ca="1" t="shared" si="4"/>
        <v>#VALUE!</v>
      </c>
      <c r="P64" s="234">
        <v>38000</v>
      </c>
      <c r="Q64" s="193">
        <f ca="1">IF(S64=0,6,OFFSET(passive_type!$J$1,MATCH(S64,passive_type!A:A,0)-1,0))</f>
        <v>6</v>
      </c>
      <c r="R64" s="3" t="e">
        <f ca="1">OFFSET(battle_group!$C$1,MATCH(P64,battle_group!E:E,0)-1,0)</f>
        <v>#N/A</v>
      </c>
      <c r="S64" s="224">
        <v>0</v>
      </c>
      <c r="T64" s="242">
        <v>20161</v>
      </c>
    </row>
    <row r="65" spans="1:20">
      <c r="A65" s="224">
        <v>1062</v>
      </c>
      <c r="B65" s="224" t="s">
        <v>1696</v>
      </c>
      <c r="C65" s="232" t="s">
        <v>1673</v>
      </c>
      <c r="D65" s="224" t="s">
        <v>1494</v>
      </c>
      <c r="E65" s="215">
        <f ca="1">OFFSET(model!$A$1,MATCH(D65,model!B:B,0)-1,0)</f>
        <v>42</v>
      </c>
      <c r="F65" s="224" t="s">
        <v>1528</v>
      </c>
      <c r="G65" s="215" t="s">
        <v>1697</v>
      </c>
      <c r="H65" s="215"/>
      <c r="I65" s="215"/>
      <c r="J65" s="215"/>
      <c r="K65" s="224">
        <v>2</v>
      </c>
      <c r="L65" s="224">
        <v>124</v>
      </c>
      <c r="M65" s="224">
        <f t="shared" si="2"/>
        <v>2124</v>
      </c>
      <c r="N65" s="107" t="e">
        <f ca="1">OFFSET(npc_level_config!$T$1,MATCH(M65,npc_level_config!A:A,0)-1,0)</f>
        <v>#VALUE!</v>
      </c>
      <c r="O65" s="224" t="e">
        <f ca="1" t="shared" si="4"/>
        <v>#VALUE!</v>
      </c>
      <c r="P65" s="234">
        <v>600000</v>
      </c>
      <c r="Q65" s="193">
        <f ca="1">IF(S65=0,6,OFFSET(passive_type!$J$1,MATCH(S65,passive_type!A:A,0)-1,0))</f>
        <v>6</v>
      </c>
      <c r="R65" s="3" t="e">
        <f ca="1">OFFSET(battle_group!$C$1,MATCH(P65,battle_group!E:E,0)-1,0)</f>
        <v>#N/A</v>
      </c>
      <c r="S65" s="224">
        <v>0</v>
      </c>
      <c r="T65" s="242">
        <v>20139</v>
      </c>
    </row>
    <row r="66" spans="1:20">
      <c r="A66" s="224">
        <v>1063</v>
      </c>
      <c r="B66" s="224" t="s">
        <v>1561</v>
      </c>
      <c r="C66" s="232" t="s">
        <v>1673</v>
      </c>
      <c r="D66" s="224" t="s">
        <v>1561</v>
      </c>
      <c r="E66" s="215">
        <f ca="1">OFFSET(model!$A$1,MATCH(D66,model!B:B,0)-1,0)</f>
        <v>10</v>
      </c>
      <c r="F66" s="224" t="s">
        <v>1528</v>
      </c>
      <c r="G66" s="215" t="s">
        <v>1562</v>
      </c>
      <c r="H66" s="215"/>
      <c r="I66" s="215"/>
      <c r="J66" s="215"/>
      <c r="K66" s="224">
        <v>2</v>
      </c>
      <c r="L66" s="224">
        <v>125</v>
      </c>
      <c r="M66" s="224">
        <f t="shared" si="2"/>
        <v>2125</v>
      </c>
      <c r="N66" s="107" t="e">
        <f ca="1">OFFSET(npc_level_config!$T$1,MATCH(M66,npc_level_config!A:A,0)-1,0)</f>
        <v>#VALUE!</v>
      </c>
      <c r="O66" s="224" t="e">
        <f ca="1" t="shared" si="4"/>
        <v>#VALUE!</v>
      </c>
      <c r="P66" s="234">
        <v>34000</v>
      </c>
      <c r="Q66" s="193">
        <f ca="1">IF(S66=0,6,OFFSET(passive_type!$J$1,MATCH(S66,passive_type!A:A,0)-1,0))</f>
        <v>6</v>
      </c>
      <c r="R66" s="3" t="e">
        <f ca="1">OFFSET(battle_group!$C$1,MATCH(P66,battle_group!E:E,0)-1,0)</f>
        <v>#N/A</v>
      </c>
      <c r="S66" s="224">
        <v>0</v>
      </c>
      <c r="T66" s="242">
        <v>20161</v>
      </c>
    </row>
    <row r="67" ht="15.75" spans="1:20">
      <c r="A67" s="224">
        <v>1064</v>
      </c>
      <c r="B67" s="227" t="s">
        <v>1556</v>
      </c>
      <c r="C67" s="232" t="s">
        <v>1673</v>
      </c>
      <c r="D67" s="227" t="s">
        <v>1556</v>
      </c>
      <c r="E67" s="215">
        <f ca="1">OFFSET(model!$A$1,MATCH(D67,model!B:B,0)-1,0)</f>
        <v>72</v>
      </c>
      <c r="F67" s="224" t="s">
        <v>1528</v>
      </c>
      <c r="G67" s="215" t="s">
        <v>1557</v>
      </c>
      <c r="H67" s="215"/>
      <c r="I67" s="215"/>
      <c r="J67" s="215"/>
      <c r="K67" s="224">
        <v>2</v>
      </c>
      <c r="L67" s="224">
        <v>126</v>
      </c>
      <c r="M67" s="224">
        <f t="shared" si="2"/>
        <v>2126</v>
      </c>
      <c r="N67" s="107" t="e">
        <f ca="1">OFFSET(npc_level_config!$T$1,MATCH(M67,npc_level_config!A:A,0)-1,0)</f>
        <v>#VALUE!</v>
      </c>
      <c r="O67" s="224" t="e">
        <f ca="1" t="shared" si="4"/>
        <v>#VALUE!</v>
      </c>
      <c r="P67" s="234">
        <v>4103</v>
      </c>
      <c r="Q67" s="193">
        <f ca="1">IF(S67=0,6,OFFSET(passive_type!$J$1,MATCH(S67,passive_type!A:A,0)-1,0))</f>
        <v>6</v>
      </c>
      <c r="R67" s="3">
        <f ca="1">OFFSET(battle_group!$C$1,MATCH(P67,battle_group!E:E,0)-1,0)</f>
        <v>4</v>
      </c>
      <c r="S67" s="224">
        <v>0</v>
      </c>
      <c r="T67" s="242">
        <v>20161</v>
      </c>
    </row>
    <row r="68" spans="1:20">
      <c r="A68" s="224">
        <v>1071</v>
      </c>
      <c r="B68" s="229" t="s">
        <v>1698</v>
      </c>
      <c r="C68" s="226" t="s">
        <v>1699</v>
      </c>
      <c r="D68" s="215" t="s">
        <v>1585</v>
      </c>
      <c r="E68" s="215">
        <f ca="1">OFFSET(model!$A$1,MATCH(D68,model!B:B,0)-1,0)</f>
        <v>1</v>
      </c>
      <c r="F68" s="224" t="s">
        <v>1528</v>
      </c>
      <c r="G68" s="215" t="s">
        <v>1576</v>
      </c>
      <c r="H68" s="215"/>
      <c r="I68" s="215"/>
      <c r="J68" s="215"/>
      <c r="K68" s="224">
        <v>1</v>
      </c>
      <c r="L68" s="224">
        <v>132</v>
      </c>
      <c r="M68" s="224">
        <f t="shared" si="2"/>
        <v>1132</v>
      </c>
      <c r="N68" s="107" t="e">
        <f ca="1">OFFSET(npc_level_config!$T$1,MATCH(M68,npc_level_config!A:A,0)-1,0)</f>
        <v>#VALUE!</v>
      </c>
      <c r="O68" s="224" t="e">
        <f ca="1" t="shared" si="4"/>
        <v>#VALUE!</v>
      </c>
      <c r="P68" s="234">
        <v>14000</v>
      </c>
      <c r="Q68" s="193">
        <f ca="1">IF(S68=0,6,OFFSET(passive_type!$J$1,MATCH(S68,passive_type!A:A,0)-1,0))</f>
        <v>6</v>
      </c>
      <c r="R68" s="3" t="e">
        <f ca="1">OFFSET(battle_group!$C$1,MATCH(P68,battle_group!E:E,0)-1,0)</f>
        <v>#N/A</v>
      </c>
      <c r="S68" s="224">
        <v>0</v>
      </c>
      <c r="T68" s="242">
        <v>20137</v>
      </c>
    </row>
    <row r="69" spans="1:20">
      <c r="A69" s="224">
        <v>1072</v>
      </c>
      <c r="B69" s="229" t="s">
        <v>1663</v>
      </c>
      <c r="C69" s="226" t="s">
        <v>1699</v>
      </c>
      <c r="D69" s="215" t="s">
        <v>1575</v>
      </c>
      <c r="E69" s="215">
        <f ca="1">OFFSET(model!$A$1,MATCH(D69,model!B:B,0)-1,0)</f>
        <v>2</v>
      </c>
      <c r="F69" s="224" t="s">
        <v>1528</v>
      </c>
      <c r="G69" s="215" t="s">
        <v>1576</v>
      </c>
      <c r="H69" s="215"/>
      <c r="I69" s="215"/>
      <c r="J69" s="215"/>
      <c r="K69" s="224">
        <v>1</v>
      </c>
      <c r="L69" s="224">
        <v>132</v>
      </c>
      <c r="M69" s="224">
        <f t="shared" ref="M69:M125" si="5">K69*1000+L69</f>
        <v>1132</v>
      </c>
      <c r="N69" s="107" t="e">
        <f ca="1">OFFSET(npc_level_config!$T$1,MATCH(M69,npc_level_config!A:A,0)-1,0)</f>
        <v>#VALUE!</v>
      </c>
      <c r="O69" s="224" t="e">
        <f ca="1" t="shared" ref="O69:O104" si="6">ROUND(N69,-1)</f>
        <v>#VALUE!</v>
      </c>
      <c r="P69" s="234">
        <v>18000</v>
      </c>
      <c r="Q69" s="193">
        <f ca="1">IF(S69=0,6,OFFSET(passive_type!$J$1,MATCH(S69,passive_type!A:A,0)-1,0))</f>
        <v>6</v>
      </c>
      <c r="R69" s="3" t="e">
        <f ca="1">OFFSET(battle_group!$C$1,MATCH(P69,battle_group!E:E,0)-1,0)</f>
        <v>#N/A</v>
      </c>
      <c r="S69" s="224">
        <v>0</v>
      </c>
      <c r="T69" s="242">
        <v>20138</v>
      </c>
    </row>
    <row r="70" spans="1:20">
      <c r="A70" s="224">
        <v>1073</v>
      </c>
      <c r="B70" s="229" t="s">
        <v>1665</v>
      </c>
      <c r="C70" s="226" t="s">
        <v>1699</v>
      </c>
      <c r="D70" s="181" t="s">
        <v>1665</v>
      </c>
      <c r="E70" s="215">
        <f ca="1">OFFSET(model!$A$1,MATCH(D70,model!B:B,0)-1,0)</f>
        <v>40</v>
      </c>
      <c r="F70" s="224" t="s">
        <v>1528</v>
      </c>
      <c r="G70" s="215" t="s">
        <v>1579</v>
      </c>
      <c r="H70" s="215"/>
      <c r="I70" s="215"/>
      <c r="J70" s="215"/>
      <c r="K70" s="224">
        <v>1</v>
      </c>
      <c r="L70" s="224">
        <v>132</v>
      </c>
      <c r="M70" s="224">
        <f t="shared" si="5"/>
        <v>1132</v>
      </c>
      <c r="N70" s="107" t="e">
        <f ca="1">OFFSET(npc_level_config!$T$1,MATCH(M70,npc_level_config!A:A,0)-1,0)</f>
        <v>#VALUE!</v>
      </c>
      <c r="O70" s="224" t="e">
        <f ca="1" t="shared" si="6"/>
        <v>#VALUE!</v>
      </c>
      <c r="P70" s="234">
        <v>31000</v>
      </c>
      <c r="Q70" s="193">
        <f ca="1">IF(S70=0,6,OFFSET(passive_type!$J$1,MATCH(S70,passive_type!A:A,0)-1,0))</f>
        <v>6</v>
      </c>
      <c r="R70" s="3" t="e">
        <f ca="1">OFFSET(battle_group!$C$1,MATCH(P70,battle_group!E:E,0)-1,0)</f>
        <v>#N/A</v>
      </c>
      <c r="S70" s="224">
        <v>0</v>
      </c>
      <c r="T70" s="242">
        <v>20137</v>
      </c>
    </row>
    <row r="71" ht="27.75" spans="1:20">
      <c r="A71" s="224">
        <v>1074</v>
      </c>
      <c r="B71" s="215" t="s">
        <v>1666</v>
      </c>
      <c r="C71" s="226" t="s">
        <v>1699</v>
      </c>
      <c r="D71" s="215" t="s">
        <v>1570</v>
      </c>
      <c r="E71" s="215">
        <f ca="1">OFFSET(model!$A$1,MATCH(D71,model!B:B,0)-1,0)</f>
        <v>3</v>
      </c>
      <c r="F71" s="224" t="s">
        <v>1528</v>
      </c>
      <c r="G71" s="215" t="s">
        <v>1623</v>
      </c>
      <c r="H71" s="215"/>
      <c r="I71" s="215"/>
      <c r="J71" s="215"/>
      <c r="K71" s="224">
        <v>1</v>
      </c>
      <c r="L71" s="224">
        <v>133</v>
      </c>
      <c r="M71" s="224">
        <f t="shared" si="5"/>
        <v>1133</v>
      </c>
      <c r="N71" s="107" t="e">
        <f ca="1">OFFSET(npc_level_config!$T$1,MATCH(M71,npc_level_config!A:A,0)-1,0)</f>
        <v>#VALUE!</v>
      </c>
      <c r="O71" s="224" t="e">
        <f ca="1" t="shared" si="6"/>
        <v>#VALUE!</v>
      </c>
      <c r="P71" s="234">
        <v>30000</v>
      </c>
      <c r="Q71" s="193">
        <f ca="1">IF(S71=0,6,OFFSET(passive_type!$J$1,MATCH(S71,passive_type!A:A,0)-1,0))</f>
        <v>6</v>
      </c>
      <c r="R71" s="3" t="e">
        <f ca="1">OFFSET(battle_group!$C$1,MATCH(P71,battle_group!E:E,0)-1,0)</f>
        <v>#N/A</v>
      </c>
      <c r="S71" s="224">
        <v>0</v>
      </c>
      <c r="T71" s="242">
        <v>20138</v>
      </c>
    </row>
    <row r="72" spans="1:20">
      <c r="A72" s="224">
        <v>1075</v>
      </c>
      <c r="B72" s="231" t="s">
        <v>1564</v>
      </c>
      <c r="C72" s="232" t="s">
        <v>1683</v>
      </c>
      <c r="D72" s="231" t="s">
        <v>1564</v>
      </c>
      <c r="E72" s="215">
        <f ca="1">OFFSET(model!$A$1,MATCH(D72,model!B:B,0)-1,0)</f>
        <v>9</v>
      </c>
      <c r="F72" s="224" t="s">
        <v>1528</v>
      </c>
      <c r="G72" s="215" t="s">
        <v>1566</v>
      </c>
      <c r="H72" s="215"/>
      <c r="I72" s="215"/>
      <c r="J72" s="215"/>
      <c r="K72" s="224">
        <v>2</v>
      </c>
      <c r="L72" s="224">
        <v>117</v>
      </c>
      <c r="M72" s="224">
        <f t="shared" si="5"/>
        <v>2117</v>
      </c>
      <c r="N72" s="107" t="e">
        <f ca="1">OFFSET(npc_level_config!$T$1,MATCH(M72,npc_level_config!A:A,0)-1,0)</f>
        <v>#VALUE!</v>
      </c>
      <c r="O72" s="224" t="e">
        <f ca="1" t="shared" si="6"/>
        <v>#VALUE!</v>
      </c>
      <c r="P72" s="234">
        <v>39000</v>
      </c>
      <c r="Q72" s="193">
        <f ca="1">IF(S72=0,6,OFFSET(passive_type!$J$1,MATCH(S72,passive_type!A:A,0)-1,0))</f>
        <v>6</v>
      </c>
      <c r="R72" s="3" t="e">
        <f ca="1">OFFSET(battle_group!$C$1,MATCH(P72,battle_group!E:E,0)-1,0)</f>
        <v>#N/A</v>
      </c>
      <c r="S72" s="224">
        <v>0</v>
      </c>
      <c r="T72" s="242">
        <v>20103</v>
      </c>
    </row>
    <row r="73" spans="1:20">
      <c r="A73" s="224">
        <v>1076</v>
      </c>
      <c r="B73" s="224" t="s">
        <v>1561</v>
      </c>
      <c r="C73" s="232" t="s">
        <v>1683</v>
      </c>
      <c r="D73" s="224" t="s">
        <v>1561</v>
      </c>
      <c r="E73" s="215">
        <f ca="1">OFFSET(model!$A$1,MATCH(D73,model!B:B,0)-1,0)</f>
        <v>10</v>
      </c>
      <c r="F73" s="224" t="s">
        <v>1528</v>
      </c>
      <c r="G73" s="215" t="s">
        <v>1562</v>
      </c>
      <c r="H73" s="215"/>
      <c r="I73" s="215"/>
      <c r="J73" s="215"/>
      <c r="K73" s="224">
        <v>2</v>
      </c>
      <c r="L73" s="224">
        <v>118</v>
      </c>
      <c r="M73" s="224">
        <f t="shared" si="5"/>
        <v>2118</v>
      </c>
      <c r="N73" s="107" t="e">
        <f ca="1">OFFSET(npc_level_config!$T$1,MATCH(M73,npc_level_config!A:A,0)-1,0)</f>
        <v>#VALUE!</v>
      </c>
      <c r="O73" s="224" t="e">
        <f ca="1" t="shared" si="6"/>
        <v>#VALUE!</v>
      </c>
      <c r="P73" s="234">
        <v>34000</v>
      </c>
      <c r="Q73" s="193">
        <f ca="1">IF(S73=0,6,OFFSET(passive_type!$J$1,MATCH(S73,passive_type!A:A,0)-1,0))</f>
        <v>6</v>
      </c>
      <c r="R73" s="3" t="e">
        <f ca="1">OFFSET(battle_group!$C$1,MATCH(P73,battle_group!E:E,0)-1,0)</f>
        <v>#N/A</v>
      </c>
      <c r="S73" s="224">
        <v>0</v>
      </c>
      <c r="T73" s="242">
        <v>20161</v>
      </c>
    </row>
    <row r="74" spans="1:20">
      <c r="A74" s="224">
        <v>1077</v>
      </c>
      <c r="B74" s="224" t="s">
        <v>1684</v>
      </c>
      <c r="C74" s="232" t="s">
        <v>1683</v>
      </c>
      <c r="D74" s="231" t="s">
        <v>1564</v>
      </c>
      <c r="E74" s="215">
        <f ca="1">OFFSET(model!$A$1,MATCH(D74,model!B:B,0)-1,0)</f>
        <v>9</v>
      </c>
      <c r="F74" s="224" t="s">
        <v>1528</v>
      </c>
      <c r="G74" s="215" t="s">
        <v>1566</v>
      </c>
      <c r="H74" s="215"/>
      <c r="I74" s="215"/>
      <c r="J74" s="215"/>
      <c r="K74" s="224">
        <v>2</v>
      </c>
      <c r="L74" s="224">
        <v>119</v>
      </c>
      <c r="M74" s="224">
        <f t="shared" si="5"/>
        <v>2119</v>
      </c>
      <c r="N74" s="107" t="e">
        <f ca="1">OFFSET(npc_level_config!$T$1,MATCH(M74,npc_level_config!A:A,0)-1,0)</f>
        <v>#VALUE!</v>
      </c>
      <c r="O74" s="224" t="e">
        <f ca="1" t="shared" si="6"/>
        <v>#VALUE!</v>
      </c>
      <c r="P74" s="234">
        <v>39000</v>
      </c>
      <c r="Q74" s="193">
        <f ca="1">IF(S74=0,6,OFFSET(passive_type!$J$1,MATCH(S74,passive_type!A:A,0)-1,0))</f>
        <v>6</v>
      </c>
      <c r="R74" s="3" t="e">
        <f ca="1">OFFSET(battle_group!$C$1,MATCH(P74,battle_group!E:E,0)-1,0)</f>
        <v>#N/A</v>
      </c>
      <c r="S74" s="224">
        <v>0</v>
      </c>
      <c r="T74" s="242">
        <v>20161</v>
      </c>
    </row>
    <row r="75" ht="15.75" spans="1:20">
      <c r="A75" s="224">
        <v>1078</v>
      </c>
      <c r="B75" s="224" t="s">
        <v>1685</v>
      </c>
      <c r="C75" s="232" t="s">
        <v>1683</v>
      </c>
      <c r="D75" s="227" t="s">
        <v>1686</v>
      </c>
      <c r="E75" s="215">
        <f ca="1">OFFSET(model!$A$1,MATCH(D75,model!B:B,0)-1,0)</f>
        <v>70</v>
      </c>
      <c r="F75" s="224" t="s">
        <v>1528</v>
      </c>
      <c r="G75" s="215" t="s">
        <v>1687</v>
      </c>
      <c r="H75" s="215"/>
      <c r="I75" s="215"/>
      <c r="J75" s="215"/>
      <c r="K75" s="224">
        <v>2</v>
      </c>
      <c r="L75" s="224">
        <v>120</v>
      </c>
      <c r="M75" s="224">
        <f t="shared" si="5"/>
        <v>2120</v>
      </c>
      <c r="N75" s="107" t="e">
        <f ca="1">OFFSET(npc_level_config!$T$1,MATCH(M75,npc_level_config!A:A,0)-1,0)</f>
        <v>#VALUE!</v>
      </c>
      <c r="O75" s="224" t="e">
        <f ca="1" t="shared" si="6"/>
        <v>#VALUE!</v>
      </c>
      <c r="P75" s="216">
        <v>1107</v>
      </c>
      <c r="Q75" s="193">
        <f ca="1">IF(S75=0,6,OFFSET(passive_type!$J$1,MATCH(S75,passive_type!A:A,0)-1,0))</f>
        <v>6</v>
      </c>
      <c r="R75" s="3">
        <f ca="1">OFFSET(battle_group!$C$1,MATCH(P75,battle_group!E:E,0)-1,0)</f>
        <v>1</v>
      </c>
      <c r="S75" s="224">
        <v>0</v>
      </c>
      <c r="T75" s="242">
        <v>20103</v>
      </c>
    </row>
    <row r="76" ht="15.75" spans="1:20">
      <c r="A76" s="224">
        <v>1079</v>
      </c>
      <c r="B76" s="224" t="s">
        <v>1688</v>
      </c>
      <c r="C76" s="232" t="s">
        <v>1683</v>
      </c>
      <c r="D76" s="227" t="s">
        <v>1689</v>
      </c>
      <c r="E76" s="215">
        <f ca="1">OFFSET(model!$A$1,MATCH(D76,model!B:B,0)-1,0)</f>
        <v>77</v>
      </c>
      <c r="F76" s="224" t="s">
        <v>1528</v>
      </c>
      <c r="G76" s="215" t="s">
        <v>1690</v>
      </c>
      <c r="H76" s="215"/>
      <c r="I76" s="215"/>
      <c r="J76" s="215"/>
      <c r="K76" s="224">
        <v>2</v>
      </c>
      <c r="L76" s="224">
        <v>120</v>
      </c>
      <c r="M76" s="224">
        <f t="shared" si="5"/>
        <v>2120</v>
      </c>
      <c r="N76" s="107" t="e">
        <f ca="1">OFFSET(npc_level_config!$T$1,MATCH(M76,npc_level_config!A:A,0)-1,0)</f>
        <v>#VALUE!</v>
      </c>
      <c r="O76" s="224" t="e">
        <f ca="1" t="shared" si="6"/>
        <v>#VALUE!</v>
      </c>
      <c r="P76" s="234">
        <v>4103</v>
      </c>
      <c r="Q76" s="193">
        <f ca="1">IF(S76=0,6,OFFSET(passive_type!$J$1,MATCH(S76,passive_type!A:A,0)-1,0))</f>
        <v>6</v>
      </c>
      <c r="R76" s="3">
        <f ca="1">OFFSET(battle_group!$C$1,MATCH(P76,battle_group!E:E,0)-1,0)</f>
        <v>4</v>
      </c>
      <c r="S76" s="224">
        <v>0</v>
      </c>
      <c r="T76" s="242">
        <v>20162</v>
      </c>
    </row>
    <row r="77" spans="1:20">
      <c r="A77" s="224">
        <v>1080</v>
      </c>
      <c r="B77" s="231" t="s">
        <v>1564</v>
      </c>
      <c r="C77" s="232" t="s">
        <v>1683</v>
      </c>
      <c r="D77" s="231" t="s">
        <v>1564</v>
      </c>
      <c r="E77" s="215">
        <f ca="1">OFFSET(model!$A$1,MATCH(D77,model!B:B,0)-1,0)</f>
        <v>9</v>
      </c>
      <c r="F77" s="224" t="s">
        <v>1528</v>
      </c>
      <c r="G77" s="215" t="s">
        <v>1566</v>
      </c>
      <c r="H77" s="215"/>
      <c r="I77" s="215"/>
      <c r="J77" s="215"/>
      <c r="K77" s="224">
        <v>2</v>
      </c>
      <c r="L77" s="224">
        <v>132</v>
      </c>
      <c r="M77" s="224">
        <f t="shared" si="5"/>
        <v>2132</v>
      </c>
      <c r="N77" s="107" t="e">
        <f ca="1">OFFSET(npc_level_config!$T$1,MATCH(M77,npc_level_config!A:A,0)-1,0)</f>
        <v>#VALUE!</v>
      </c>
      <c r="O77" s="224" t="e">
        <f ca="1" t="shared" si="6"/>
        <v>#VALUE!</v>
      </c>
      <c r="P77" s="234">
        <v>39000</v>
      </c>
      <c r="Q77" s="193">
        <f ca="1">IF(S77=0,6,OFFSET(passive_type!$J$1,MATCH(S77,passive_type!A:A,0)-1,0))</f>
        <v>6</v>
      </c>
      <c r="R77" s="3" t="e">
        <f ca="1">OFFSET(battle_group!$C$1,MATCH(P77,battle_group!E:E,0)-1,0)</f>
        <v>#N/A</v>
      </c>
      <c r="S77" s="224">
        <v>0</v>
      </c>
      <c r="T77" s="242">
        <v>20103</v>
      </c>
    </row>
    <row r="78" spans="1:20">
      <c r="A78" s="224">
        <v>1081</v>
      </c>
      <c r="B78" s="224" t="s">
        <v>1561</v>
      </c>
      <c r="C78" s="232" t="s">
        <v>1683</v>
      </c>
      <c r="D78" s="224" t="s">
        <v>1561</v>
      </c>
      <c r="E78" s="215">
        <f ca="1">OFFSET(model!$A$1,MATCH(D78,model!B:B,0)-1,0)</f>
        <v>10</v>
      </c>
      <c r="F78" s="224" t="s">
        <v>1528</v>
      </c>
      <c r="G78" s="215" t="s">
        <v>1562</v>
      </c>
      <c r="H78" s="215"/>
      <c r="I78" s="215"/>
      <c r="J78" s="215"/>
      <c r="K78" s="224">
        <v>2</v>
      </c>
      <c r="L78" s="224">
        <v>132</v>
      </c>
      <c r="M78" s="224">
        <f t="shared" si="5"/>
        <v>2132</v>
      </c>
      <c r="N78" s="107" t="e">
        <f ca="1">OFFSET(npc_level_config!$T$1,MATCH(M78,npc_level_config!A:A,0)-1,0)</f>
        <v>#VALUE!</v>
      </c>
      <c r="O78" s="224" t="e">
        <f ca="1" t="shared" si="6"/>
        <v>#VALUE!</v>
      </c>
      <c r="P78" s="234">
        <v>34000</v>
      </c>
      <c r="Q78" s="193">
        <f ca="1">IF(S78=0,6,OFFSET(passive_type!$J$1,MATCH(S78,passive_type!A:A,0)-1,0))</f>
        <v>6</v>
      </c>
      <c r="R78" s="3" t="e">
        <f ca="1">OFFSET(battle_group!$C$1,MATCH(P78,battle_group!E:E,0)-1,0)</f>
        <v>#N/A</v>
      </c>
      <c r="S78" s="224">
        <v>0</v>
      </c>
      <c r="T78" s="242">
        <v>20161</v>
      </c>
    </row>
    <row r="79" spans="1:20">
      <c r="A79" s="224">
        <v>1082</v>
      </c>
      <c r="B79" s="224" t="s">
        <v>1684</v>
      </c>
      <c r="C79" s="232" t="s">
        <v>1683</v>
      </c>
      <c r="D79" s="231" t="s">
        <v>1564</v>
      </c>
      <c r="E79" s="215">
        <f ca="1">OFFSET(model!$A$1,MATCH(D79,model!B:B,0)-1,0)</f>
        <v>9</v>
      </c>
      <c r="F79" s="224" t="s">
        <v>1528</v>
      </c>
      <c r="G79" s="215" t="s">
        <v>1566</v>
      </c>
      <c r="H79" s="215"/>
      <c r="I79" s="215"/>
      <c r="J79" s="215"/>
      <c r="K79" s="224">
        <v>2</v>
      </c>
      <c r="L79" s="224">
        <v>132</v>
      </c>
      <c r="M79" s="224">
        <f t="shared" si="5"/>
        <v>2132</v>
      </c>
      <c r="N79" s="107" t="e">
        <f ca="1">OFFSET(npc_level_config!$T$1,MATCH(M79,npc_level_config!A:A,0)-1,0)</f>
        <v>#VALUE!</v>
      </c>
      <c r="O79" s="224" t="e">
        <f ca="1" t="shared" si="6"/>
        <v>#VALUE!</v>
      </c>
      <c r="P79" s="234">
        <v>39000</v>
      </c>
      <c r="Q79" s="193">
        <f ca="1">IF(S79=0,6,OFFSET(passive_type!$J$1,MATCH(S79,passive_type!A:A,0)-1,0))</f>
        <v>6</v>
      </c>
      <c r="R79" s="3" t="e">
        <f ca="1">OFFSET(battle_group!$C$1,MATCH(P79,battle_group!E:E,0)-1,0)</f>
        <v>#N/A</v>
      </c>
      <c r="S79" s="224">
        <v>0</v>
      </c>
      <c r="T79" s="242">
        <v>20161</v>
      </c>
    </row>
    <row r="80" ht="15.75" spans="1:20">
      <c r="A80" s="224">
        <v>1083</v>
      </c>
      <c r="B80" s="224" t="s">
        <v>1685</v>
      </c>
      <c r="C80" s="232" t="s">
        <v>1683</v>
      </c>
      <c r="D80" s="227" t="s">
        <v>1686</v>
      </c>
      <c r="E80" s="215">
        <f ca="1">OFFSET(model!$A$1,MATCH(D80,model!B:B,0)-1,0)</f>
        <v>70</v>
      </c>
      <c r="F80" s="224" t="s">
        <v>1528</v>
      </c>
      <c r="G80" s="215" t="s">
        <v>1687</v>
      </c>
      <c r="H80" s="215"/>
      <c r="I80" s="215"/>
      <c r="J80" s="215"/>
      <c r="K80" s="224">
        <v>2</v>
      </c>
      <c r="L80" s="224">
        <v>132</v>
      </c>
      <c r="M80" s="224">
        <f t="shared" si="5"/>
        <v>2132</v>
      </c>
      <c r="N80" s="107" t="e">
        <f ca="1">OFFSET(npc_level_config!$T$1,MATCH(M80,npc_level_config!A:A,0)-1,0)</f>
        <v>#VALUE!</v>
      </c>
      <c r="O80" s="224" t="e">
        <f ca="1" t="shared" si="6"/>
        <v>#VALUE!</v>
      </c>
      <c r="P80" s="216">
        <v>1107</v>
      </c>
      <c r="Q80" s="193">
        <f ca="1">IF(S80=0,6,OFFSET(passive_type!$J$1,MATCH(S80,passive_type!A:A,0)-1,0))</f>
        <v>6</v>
      </c>
      <c r="R80" s="3">
        <f ca="1">OFFSET(battle_group!$C$1,MATCH(P80,battle_group!E:E,0)-1,0)</f>
        <v>1</v>
      </c>
      <c r="S80" s="224">
        <v>0</v>
      </c>
      <c r="T80" s="242">
        <v>20103</v>
      </c>
    </row>
    <row r="81" ht="15.75" spans="1:20">
      <c r="A81" s="224">
        <v>1084</v>
      </c>
      <c r="B81" s="224" t="s">
        <v>1688</v>
      </c>
      <c r="C81" s="232" t="s">
        <v>1683</v>
      </c>
      <c r="D81" s="227" t="s">
        <v>1689</v>
      </c>
      <c r="E81" s="215">
        <f ca="1">OFFSET(model!$A$1,MATCH(D81,model!B:B,0)-1,0)</f>
        <v>77</v>
      </c>
      <c r="F81" s="224" t="s">
        <v>1528</v>
      </c>
      <c r="G81" s="215" t="s">
        <v>1690</v>
      </c>
      <c r="H81" s="215"/>
      <c r="I81" s="215"/>
      <c r="J81" s="215"/>
      <c r="K81" s="224">
        <v>2</v>
      </c>
      <c r="L81" s="224">
        <v>133</v>
      </c>
      <c r="M81" s="224">
        <f t="shared" si="5"/>
        <v>2133</v>
      </c>
      <c r="N81" s="107" t="e">
        <f ca="1">OFFSET(npc_level_config!$T$1,MATCH(M81,npc_level_config!A:A,0)-1,0)</f>
        <v>#VALUE!</v>
      </c>
      <c r="O81" s="224" t="e">
        <f ca="1" t="shared" si="6"/>
        <v>#VALUE!</v>
      </c>
      <c r="P81" s="234">
        <v>4103</v>
      </c>
      <c r="Q81" s="193">
        <f ca="1">IF(S81=0,6,OFFSET(passive_type!$J$1,MATCH(S81,passive_type!A:A,0)-1,0))</f>
        <v>6</v>
      </c>
      <c r="R81" s="3">
        <f ca="1">OFFSET(battle_group!$C$1,MATCH(P81,battle_group!E:E,0)-1,0)</f>
        <v>4</v>
      </c>
      <c r="S81" s="224">
        <v>0</v>
      </c>
      <c r="T81" s="242">
        <v>20162</v>
      </c>
    </row>
    <row r="82" spans="1:20">
      <c r="A82" s="224">
        <v>1085</v>
      </c>
      <c r="B82" s="231" t="s">
        <v>1564</v>
      </c>
      <c r="C82" s="232" t="s">
        <v>1683</v>
      </c>
      <c r="D82" s="231" t="s">
        <v>1564</v>
      </c>
      <c r="E82" s="215">
        <f ca="1">OFFSET(model!$A$1,MATCH(D82,model!B:B,0)-1,0)</f>
        <v>9</v>
      </c>
      <c r="F82" s="224" t="s">
        <v>1528</v>
      </c>
      <c r="G82" s="215" t="s">
        <v>1566</v>
      </c>
      <c r="H82" s="215"/>
      <c r="I82" s="215"/>
      <c r="J82" s="215"/>
      <c r="K82" s="224">
        <v>3</v>
      </c>
      <c r="L82" s="250">
        <v>106</v>
      </c>
      <c r="M82" s="224">
        <f t="shared" si="5"/>
        <v>3106</v>
      </c>
      <c r="N82" s="107" t="e">
        <f ca="1">OFFSET(npc_level_config!$T$1,MATCH(M82,npc_level_config!A:A,0)-1,0)</f>
        <v>#VALUE!</v>
      </c>
      <c r="O82" s="224" t="e">
        <f ca="1" t="shared" si="6"/>
        <v>#VALUE!</v>
      </c>
      <c r="P82" s="234">
        <v>39000</v>
      </c>
      <c r="Q82" s="193">
        <f ca="1">IF(S82=0,6,OFFSET(passive_type!$J$1,MATCH(S82,passive_type!A:A,0)-1,0))</f>
        <v>6</v>
      </c>
      <c r="R82" s="3" t="e">
        <f ca="1">OFFSET(battle_group!$C$1,MATCH(P82,battle_group!E:E,0)-1,0)</f>
        <v>#N/A</v>
      </c>
      <c r="S82" s="224">
        <v>0</v>
      </c>
      <c r="T82" s="242">
        <v>20103</v>
      </c>
    </row>
    <row r="83" spans="1:20">
      <c r="A83" s="224">
        <v>1086</v>
      </c>
      <c r="B83" s="224" t="s">
        <v>1561</v>
      </c>
      <c r="C83" s="232" t="s">
        <v>1683</v>
      </c>
      <c r="D83" s="224" t="s">
        <v>1561</v>
      </c>
      <c r="E83" s="215">
        <f ca="1">OFFSET(model!$A$1,MATCH(D83,model!B:B,0)-1,0)</f>
        <v>10</v>
      </c>
      <c r="F83" s="224" t="s">
        <v>1528</v>
      </c>
      <c r="G83" s="215" t="s">
        <v>1562</v>
      </c>
      <c r="H83" s="215"/>
      <c r="I83" s="215"/>
      <c r="J83" s="215"/>
      <c r="K83" s="224">
        <v>3</v>
      </c>
      <c r="L83" s="250">
        <v>106</v>
      </c>
      <c r="M83" s="224">
        <f t="shared" si="5"/>
        <v>3106</v>
      </c>
      <c r="N83" s="107" t="e">
        <f ca="1">OFFSET(npc_level_config!$T$1,MATCH(M83,npc_level_config!A:A,0)-1,0)</f>
        <v>#VALUE!</v>
      </c>
      <c r="O83" s="224" t="e">
        <f ca="1" t="shared" si="6"/>
        <v>#VALUE!</v>
      </c>
      <c r="P83" s="234">
        <v>34000</v>
      </c>
      <c r="Q83" s="193">
        <f ca="1">IF(S83=0,6,OFFSET(passive_type!$J$1,MATCH(S83,passive_type!A:A,0)-1,0))</f>
        <v>6</v>
      </c>
      <c r="R83" s="3" t="e">
        <f ca="1">OFFSET(battle_group!$C$1,MATCH(P83,battle_group!E:E,0)-1,0)</f>
        <v>#N/A</v>
      </c>
      <c r="S83" s="224">
        <v>0</v>
      </c>
      <c r="T83" s="242">
        <v>20161</v>
      </c>
    </row>
    <row r="84" spans="1:20">
      <c r="A84" s="224">
        <v>1087</v>
      </c>
      <c r="B84" s="224" t="s">
        <v>1684</v>
      </c>
      <c r="C84" s="232" t="s">
        <v>1683</v>
      </c>
      <c r="D84" s="231" t="s">
        <v>1564</v>
      </c>
      <c r="E84" s="215">
        <f ca="1">OFFSET(model!$A$1,MATCH(D84,model!B:B,0)-1,0)</f>
        <v>9</v>
      </c>
      <c r="F84" s="224" t="s">
        <v>1528</v>
      </c>
      <c r="G84" s="215" t="s">
        <v>1566</v>
      </c>
      <c r="H84" s="215"/>
      <c r="I84" s="215"/>
      <c r="J84" s="215"/>
      <c r="K84" s="224">
        <v>3</v>
      </c>
      <c r="L84" s="250">
        <v>106</v>
      </c>
      <c r="M84" s="224">
        <f t="shared" si="5"/>
        <v>3106</v>
      </c>
      <c r="N84" s="107" t="e">
        <f ca="1">OFFSET(npc_level_config!$T$1,MATCH(M84,npc_level_config!A:A,0)-1,0)</f>
        <v>#VALUE!</v>
      </c>
      <c r="O84" s="224" t="e">
        <f ca="1" t="shared" si="6"/>
        <v>#VALUE!</v>
      </c>
      <c r="P84" s="234">
        <v>39000</v>
      </c>
      <c r="Q84" s="193">
        <f ca="1">IF(S84=0,6,OFFSET(passive_type!$J$1,MATCH(S84,passive_type!A:A,0)-1,0))</f>
        <v>6</v>
      </c>
      <c r="R84" s="3" t="e">
        <f ca="1">OFFSET(battle_group!$C$1,MATCH(P84,battle_group!E:E,0)-1,0)</f>
        <v>#N/A</v>
      </c>
      <c r="S84" s="224">
        <v>0</v>
      </c>
      <c r="T84" s="242">
        <v>20161</v>
      </c>
    </row>
    <row r="85" ht="15.75" spans="1:20">
      <c r="A85" s="224">
        <v>1088</v>
      </c>
      <c r="B85" s="224" t="s">
        <v>1685</v>
      </c>
      <c r="C85" s="232" t="s">
        <v>1683</v>
      </c>
      <c r="D85" s="227" t="s">
        <v>1686</v>
      </c>
      <c r="E85" s="215">
        <f ca="1">OFFSET(model!$A$1,MATCH(D85,model!B:B,0)-1,0)</f>
        <v>70</v>
      </c>
      <c r="F85" s="224" t="s">
        <v>1528</v>
      </c>
      <c r="G85" s="215" t="s">
        <v>1687</v>
      </c>
      <c r="H85" s="215"/>
      <c r="I85" s="215"/>
      <c r="J85" s="215"/>
      <c r="K85" s="224">
        <v>3</v>
      </c>
      <c r="L85" s="250">
        <v>106</v>
      </c>
      <c r="M85" s="224">
        <f t="shared" si="5"/>
        <v>3106</v>
      </c>
      <c r="N85" s="107" t="e">
        <f ca="1">OFFSET(npc_level_config!$T$1,MATCH(M85,npc_level_config!A:A,0)-1,0)</f>
        <v>#VALUE!</v>
      </c>
      <c r="O85" s="224" t="e">
        <f ca="1" t="shared" si="6"/>
        <v>#VALUE!</v>
      </c>
      <c r="P85" s="216">
        <v>1107</v>
      </c>
      <c r="Q85" s="193">
        <f ca="1">IF(S85=0,6,OFFSET(passive_type!$J$1,MATCH(S85,passive_type!A:A,0)-1,0))</f>
        <v>6</v>
      </c>
      <c r="R85" s="3">
        <f ca="1">OFFSET(battle_group!$C$1,MATCH(P85,battle_group!E:E,0)-1,0)</f>
        <v>1</v>
      </c>
      <c r="S85" s="224">
        <v>0</v>
      </c>
      <c r="T85" s="242">
        <v>20103</v>
      </c>
    </row>
    <row r="86" ht="15.75" spans="1:20">
      <c r="A86" s="224">
        <v>1089</v>
      </c>
      <c r="B86" s="224" t="s">
        <v>1688</v>
      </c>
      <c r="C86" s="232" t="s">
        <v>1683</v>
      </c>
      <c r="D86" s="227" t="s">
        <v>1689</v>
      </c>
      <c r="E86" s="215">
        <f ca="1">OFFSET(model!$A$1,MATCH(D86,model!B:B,0)-1,0)</f>
        <v>77</v>
      </c>
      <c r="F86" s="224" t="s">
        <v>1528</v>
      </c>
      <c r="G86" s="215" t="s">
        <v>1690</v>
      </c>
      <c r="H86" s="215"/>
      <c r="I86" s="215"/>
      <c r="J86" s="215"/>
      <c r="K86" s="224">
        <v>3</v>
      </c>
      <c r="L86" s="250">
        <v>107</v>
      </c>
      <c r="M86" s="224">
        <f t="shared" si="5"/>
        <v>3107</v>
      </c>
      <c r="N86" s="107" t="e">
        <f ca="1">OFFSET(npc_level_config!$T$1,MATCH(M86,npc_level_config!A:A,0)-1,0)</f>
        <v>#VALUE!</v>
      </c>
      <c r="O86" s="224" t="e">
        <f ca="1" t="shared" si="6"/>
        <v>#VALUE!</v>
      </c>
      <c r="P86" s="234">
        <v>4103</v>
      </c>
      <c r="Q86" s="193">
        <f ca="1">IF(S86=0,6,OFFSET(passive_type!$J$1,MATCH(S86,passive_type!A:A,0)-1,0))</f>
        <v>6</v>
      </c>
      <c r="R86" s="3">
        <f ca="1">OFFSET(battle_group!$C$1,MATCH(P86,battle_group!E:E,0)-1,0)</f>
        <v>4</v>
      </c>
      <c r="S86" s="224">
        <v>0</v>
      </c>
      <c r="T86" s="242">
        <v>20162</v>
      </c>
    </row>
    <row r="87" spans="1:20">
      <c r="A87" s="224">
        <v>1090</v>
      </c>
      <c r="B87" s="215" t="s">
        <v>1585</v>
      </c>
      <c r="C87" s="224" t="s">
        <v>1691</v>
      </c>
      <c r="D87" s="215" t="s">
        <v>1585</v>
      </c>
      <c r="E87" s="215">
        <f ca="1">OFFSET(model!$A$1,MATCH(D87,model!B:B,0)-1,0)</f>
        <v>1</v>
      </c>
      <c r="F87" s="224" t="s">
        <v>1528</v>
      </c>
      <c r="G87" s="215" t="s">
        <v>1692</v>
      </c>
      <c r="H87" s="215"/>
      <c r="I87" s="215"/>
      <c r="J87" s="215"/>
      <c r="K87" s="224">
        <v>3</v>
      </c>
      <c r="L87" s="224">
        <v>114</v>
      </c>
      <c r="M87" s="224">
        <f t="shared" si="5"/>
        <v>3114</v>
      </c>
      <c r="N87" s="107" t="e">
        <f ca="1">OFFSET(npc_level_config!$T$1,MATCH(M87,npc_level_config!A:A,0)-1,0)</f>
        <v>#VALUE!</v>
      </c>
      <c r="O87" s="224" t="e">
        <f ca="1" t="shared" si="6"/>
        <v>#VALUE!</v>
      </c>
      <c r="P87" s="234">
        <v>26000</v>
      </c>
      <c r="Q87" s="193">
        <f ca="1">IF(S87=0,6,OFFSET(passive_type!$J$1,MATCH(S87,passive_type!A:A,0)-1,0))</f>
        <v>6</v>
      </c>
      <c r="R87" s="3" t="e">
        <f ca="1">OFFSET(battle_group!$C$1,MATCH(P87,battle_group!E:E,0)-1,0)</f>
        <v>#N/A</v>
      </c>
      <c r="S87" s="224">
        <v>0</v>
      </c>
      <c r="T87" s="242">
        <v>20163</v>
      </c>
    </row>
    <row r="88" spans="1:20">
      <c r="A88" s="224">
        <v>1091</v>
      </c>
      <c r="B88" s="215" t="s">
        <v>1575</v>
      </c>
      <c r="C88" s="224" t="s">
        <v>1691</v>
      </c>
      <c r="D88" s="215" t="s">
        <v>1575</v>
      </c>
      <c r="E88" s="215">
        <f ca="1">OFFSET(model!$A$1,MATCH(D88,model!B:B,0)-1,0)</f>
        <v>2</v>
      </c>
      <c r="F88" s="224" t="s">
        <v>1528</v>
      </c>
      <c r="G88" s="215" t="s">
        <v>1693</v>
      </c>
      <c r="H88" s="215"/>
      <c r="I88" s="215"/>
      <c r="J88" s="215"/>
      <c r="K88" s="224">
        <v>3</v>
      </c>
      <c r="L88" s="224">
        <v>114</v>
      </c>
      <c r="M88" s="224">
        <f t="shared" si="5"/>
        <v>3114</v>
      </c>
      <c r="N88" s="107" t="e">
        <f ca="1">OFFSET(npc_level_config!$T$1,MATCH(M88,npc_level_config!A:A,0)-1,0)</f>
        <v>#VALUE!</v>
      </c>
      <c r="O88" s="224" t="e">
        <f ca="1" t="shared" si="6"/>
        <v>#VALUE!</v>
      </c>
      <c r="P88" s="234">
        <v>29000</v>
      </c>
      <c r="Q88" s="193">
        <f ca="1">IF(S88=0,6,OFFSET(passive_type!$J$1,MATCH(S88,passive_type!A:A,0)-1,0))</f>
        <v>6</v>
      </c>
      <c r="R88" s="3" t="e">
        <f ca="1">OFFSET(battle_group!$C$1,MATCH(P88,battle_group!E:E,0)-1,0)</f>
        <v>#N/A</v>
      </c>
      <c r="S88" s="224">
        <v>0</v>
      </c>
      <c r="T88" s="242">
        <v>20163</v>
      </c>
    </row>
    <row r="89" ht="27.75" spans="1:20">
      <c r="A89" s="224">
        <v>1092</v>
      </c>
      <c r="B89" s="215" t="s">
        <v>1570</v>
      </c>
      <c r="C89" s="224" t="s">
        <v>1691</v>
      </c>
      <c r="D89" s="215" t="s">
        <v>1570</v>
      </c>
      <c r="E89" s="215">
        <f ca="1">OFFSET(model!$A$1,MATCH(D89,model!B:B,0)-1,0)</f>
        <v>3</v>
      </c>
      <c r="F89" s="224" t="s">
        <v>1528</v>
      </c>
      <c r="G89" s="215" t="s">
        <v>1694</v>
      </c>
      <c r="H89" s="215"/>
      <c r="I89" s="215"/>
      <c r="J89" s="215"/>
      <c r="K89" s="224">
        <v>3</v>
      </c>
      <c r="L89" s="224">
        <v>114</v>
      </c>
      <c r="M89" s="224">
        <f t="shared" si="5"/>
        <v>3114</v>
      </c>
      <c r="N89" s="107" t="e">
        <f ca="1">OFFSET(npc_level_config!$T$1,MATCH(M89,npc_level_config!A:A,0)-1,0)</f>
        <v>#VALUE!</v>
      </c>
      <c r="O89" s="224" t="e">
        <f ca="1" t="shared" si="6"/>
        <v>#VALUE!</v>
      </c>
      <c r="P89" s="234">
        <v>30000</v>
      </c>
      <c r="Q89" s="193">
        <f ca="1">IF(S89=0,6,OFFSET(passive_type!$J$1,MATCH(S89,passive_type!A:A,0)-1,0))</f>
        <v>6</v>
      </c>
      <c r="R89" s="3" t="e">
        <f ca="1">OFFSET(battle_group!$C$1,MATCH(P89,battle_group!E:E,0)-1,0)</f>
        <v>#N/A</v>
      </c>
      <c r="S89" s="224">
        <v>0</v>
      </c>
      <c r="T89" s="242">
        <v>20163</v>
      </c>
    </row>
    <row r="90" spans="1:20">
      <c r="A90" s="224">
        <v>1093</v>
      </c>
      <c r="B90" s="224" t="s">
        <v>1695</v>
      </c>
      <c r="C90" s="224" t="s">
        <v>1691</v>
      </c>
      <c r="D90" s="181" t="s">
        <v>1665</v>
      </c>
      <c r="E90" s="215">
        <f ca="1">OFFSET(model!$A$1,MATCH(D90,model!B:B,0)-1,0)</f>
        <v>40</v>
      </c>
      <c r="F90" s="224" t="s">
        <v>1528</v>
      </c>
      <c r="G90" s="215" t="s">
        <v>1643</v>
      </c>
      <c r="H90" s="215"/>
      <c r="I90" s="215"/>
      <c r="J90" s="215"/>
      <c r="K90" s="224">
        <v>3</v>
      </c>
      <c r="L90" s="224">
        <v>115</v>
      </c>
      <c r="M90" s="224">
        <f t="shared" si="5"/>
        <v>3115</v>
      </c>
      <c r="N90" s="107" t="e">
        <f ca="1">OFFSET(npc_level_config!$T$1,MATCH(M90,npc_level_config!A:A,0)-1,0)</f>
        <v>#VALUE!</v>
      </c>
      <c r="O90" s="224" t="e">
        <f ca="1" t="shared" si="6"/>
        <v>#VALUE!</v>
      </c>
      <c r="P90" s="234">
        <v>31000</v>
      </c>
      <c r="Q90" s="193">
        <f ca="1">IF(S90=0,6,OFFSET(passive_type!$J$1,MATCH(S90,passive_type!A:A,0)-1,0))</f>
        <v>6</v>
      </c>
      <c r="R90" s="3" t="e">
        <f ca="1">OFFSET(battle_group!$C$1,MATCH(P90,battle_group!E:E,0)-1,0)</f>
        <v>#N/A</v>
      </c>
      <c r="S90" s="224">
        <v>0</v>
      </c>
      <c r="T90" s="242">
        <v>20163</v>
      </c>
    </row>
    <row r="91" spans="1:20">
      <c r="A91" s="224">
        <v>1094</v>
      </c>
      <c r="B91" s="231" t="s">
        <v>1564</v>
      </c>
      <c r="C91" s="232" t="s">
        <v>1683</v>
      </c>
      <c r="D91" s="231" t="s">
        <v>1564</v>
      </c>
      <c r="E91" s="215">
        <f ca="1">OFFSET(model!$A$1,MATCH(D91,model!B:B,0)-1,0)</f>
        <v>9</v>
      </c>
      <c r="F91" s="224" t="s">
        <v>1528</v>
      </c>
      <c r="G91" s="215" t="s">
        <v>1566</v>
      </c>
      <c r="H91" s="215"/>
      <c r="I91" s="215"/>
      <c r="J91" s="215"/>
      <c r="K91" s="224">
        <v>3</v>
      </c>
      <c r="L91" s="250">
        <v>121</v>
      </c>
      <c r="M91" s="224">
        <f t="shared" si="5"/>
        <v>3121</v>
      </c>
      <c r="N91" s="107" t="e">
        <f ca="1">OFFSET(npc_level_config!$T$1,MATCH(M91,npc_level_config!A:A,0)-1,0)</f>
        <v>#VALUE!</v>
      </c>
      <c r="O91" s="224" t="e">
        <f ca="1" t="shared" si="6"/>
        <v>#VALUE!</v>
      </c>
      <c r="P91" s="234">
        <v>39000</v>
      </c>
      <c r="Q91" s="193">
        <f ca="1">IF(S91=0,6,OFFSET(passive_type!$J$1,MATCH(S91,passive_type!A:A,0)-1,0))</f>
        <v>6</v>
      </c>
      <c r="R91" s="3" t="e">
        <f ca="1">OFFSET(battle_group!$C$1,MATCH(P91,battle_group!E:E,0)-1,0)</f>
        <v>#N/A</v>
      </c>
      <c r="S91" s="224">
        <v>0</v>
      </c>
      <c r="T91" s="242">
        <v>20103</v>
      </c>
    </row>
    <row r="92" spans="1:20">
      <c r="A92" s="224">
        <v>1095</v>
      </c>
      <c r="B92" s="224" t="s">
        <v>1561</v>
      </c>
      <c r="C92" s="232" t="s">
        <v>1683</v>
      </c>
      <c r="D92" s="224" t="s">
        <v>1561</v>
      </c>
      <c r="E92" s="215">
        <f ca="1">OFFSET(model!$A$1,MATCH(D92,model!B:B,0)-1,0)</f>
        <v>10</v>
      </c>
      <c r="F92" s="224" t="s">
        <v>1528</v>
      </c>
      <c r="G92" s="215" t="s">
        <v>1562</v>
      </c>
      <c r="H92" s="215"/>
      <c r="I92" s="215"/>
      <c r="J92" s="215"/>
      <c r="K92" s="224">
        <v>3</v>
      </c>
      <c r="L92" s="250">
        <v>121</v>
      </c>
      <c r="M92" s="224">
        <f t="shared" si="5"/>
        <v>3121</v>
      </c>
      <c r="N92" s="107" t="e">
        <f ca="1">OFFSET(npc_level_config!$T$1,MATCH(M92,npc_level_config!A:A,0)-1,0)</f>
        <v>#VALUE!</v>
      </c>
      <c r="O92" s="224" t="e">
        <f ca="1" t="shared" si="6"/>
        <v>#VALUE!</v>
      </c>
      <c r="P92" s="234">
        <v>34000</v>
      </c>
      <c r="Q92" s="193">
        <f ca="1">IF(S92=0,6,OFFSET(passive_type!$J$1,MATCH(S92,passive_type!A:A,0)-1,0))</f>
        <v>6</v>
      </c>
      <c r="R92" s="3" t="e">
        <f ca="1">OFFSET(battle_group!$C$1,MATCH(P92,battle_group!E:E,0)-1,0)</f>
        <v>#N/A</v>
      </c>
      <c r="S92" s="224">
        <v>0</v>
      </c>
      <c r="T92" s="242">
        <v>20161</v>
      </c>
    </row>
    <row r="93" spans="1:20">
      <c r="A93" s="224">
        <v>1096</v>
      </c>
      <c r="B93" s="224" t="s">
        <v>1684</v>
      </c>
      <c r="C93" s="232" t="s">
        <v>1683</v>
      </c>
      <c r="D93" s="231" t="s">
        <v>1564</v>
      </c>
      <c r="E93" s="215">
        <f ca="1">OFFSET(model!$A$1,MATCH(D93,model!B:B,0)-1,0)</f>
        <v>9</v>
      </c>
      <c r="F93" s="224" t="s">
        <v>1528</v>
      </c>
      <c r="G93" s="215" t="s">
        <v>1566</v>
      </c>
      <c r="H93" s="215"/>
      <c r="I93" s="215"/>
      <c r="J93" s="215"/>
      <c r="K93" s="224">
        <v>3</v>
      </c>
      <c r="L93" s="250">
        <v>121</v>
      </c>
      <c r="M93" s="224">
        <f t="shared" si="5"/>
        <v>3121</v>
      </c>
      <c r="N93" s="107" t="e">
        <f ca="1">OFFSET(npc_level_config!$T$1,MATCH(M93,npc_level_config!A:A,0)-1,0)</f>
        <v>#VALUE!</v>
      </c>
      <c r="O93" s="224" t="e">
        <f ca="1" t="shared" si="6"/>
        <v>#VALUE!</v>
      </c>
      <c r="P93" s="234">
        <v>39000</v>
      </c>
      <c r="Q93" s="193">
        <f ca="1">IF(S93=0,6,OFFSET(passive_type!$J$1,MATCH(S93,passive_type!A:A,0)-1,0))</f>
        <v>6</v>
      </c>
      <c r="R93" s="3" t="e">
        <f ca="1">OFFSET(battle_group!$C$1,MATCH(P93,battle_group!E:E,0)-1,0)</f>
        <v>#N/A</v>
      </c>
      <c r="S93" s="224">
        <v>0</v>
      </c>
      <c r="T93" s="242">
        <v>20161</v>
      </c>
    </row>
    <row r="94" ht="15.75" spans="1:20">
      <c r="A94" s="224">
        <v>1097</v>
      </c>
      <c r="B94" s="224" t="s">
        <v>1685</v>
      </c>
      <c r="C94" s="232" t="s">
        <v>1683</v>
      </c>
      <c r="D94" s="227" t="s">
        <v>1686</v>
      </c>
      <c r="E94" s="215">
        <f ca="1">OFFSET(model!$A$1,MATCH(D94,model!B:B,0)-1,0)</f>
        <v>70</v>
      </c>
      <c r="F94" s="224" t="s">
        <v>1528</v>
      </c>
      <c r="G94" s="215" t="s">
        <v>1687</v>
      </c>
      <c r="H94" s="215"/>
      <c r="I94" s="215"/>
      <c r="J94" s="215"/>
      <c r="K94" s="224">
        <v>3</v>
      </c>
      <c r="L94" s="250">
        <v>121</v>
      </c>
      <c r="M94" s="224">
        <f t="shared" si="5"/>
        <v>3121</v>
      </c>
      <c r="N94" s="107" t="e">
        <f ca="1">OFFSET(npc_level_config!$T$1,MATCH(M94,npc_level_config!A:A,0)-1,0)</f>
        <v>#VALUE!</v>
      </c>
      <c r="O94" s="224" t="e">
        <f ca="1" t="shared" si="6"/>
        <v>#VALUE!</v>
      </c>
      <c r="P94" s="216">
        <v>1107</v>
      </c>
      <c r="Q94" s="193">
        <f ca="1">IF(S94=0,6,OFFSET(passive_type!$J$1,MATCH(S94,passive_type!A:A,0)-1,0))</f>
        <v>6</v>
      </c>
      <c r="R94" s="3">
        <f ca="1">OFFSET(battle_group!$C$1,MATCH(P94,battle_group!E:E,0)-1,0)</f>
        <v>1</v>
      </c>
      <c r="S94" s="224">
        <v>0</v>
      </c>
      <c r="T94" s="242">
        <v>20103</v>
      </c>
    </row>
    <row r="95" ht="15.75" spans="1:20">
      <c r="A95" s="224">
        <v>1098</v>
      </c>
      <c r="B95" s="224" t="s">
        <v>1688</v>
      </c>
      <c r="C95" s="232" t="s">
        <v>1683</v>
      </c>
      <c r="D95" s="227" t="s">
        <v>1689</v>
      </c>
      <c r="E95" s="215">
        <f ca="1">OFFSET(model!$A$1,MATCH(D95,model!B:B,0)-1,0)</f>
        <v>77</v>
      </c>
      <c r="F95" s="224" t="s">
        <v>1528</v>
      </c>
      <c r="G95" s="215" t="s">
        <v>1690</v>
      </c>
      <c r="H95" s="215"/>
      <c r="I95" s="215"/>
      <c r="J95" s="215"/>
      <c r="K95" s="224">
        <v>3</v>
      </c>
      <c r="L95" s="250">
        <v>122</v>
      </c>
      <c r="M95" s="224">
        <f t="shared" si="5"/>
        <v>3122</v>
      </c>
      <c r="N95" s="107" t="e">
        <f ca="1">OFFSET(npc_level_config!$T$1,MATCH(M95,npc_level_config!A:A,0)-1,0)</f>
        <v>#VALUE!</v>
      </c>
      <c r="O95" s="224" t="e">
        <f ca="1" t="shared" si="6"/>
        <v>#VALUE!</v>
      </c>
      <c r="P95" s="234">
        <v>4103</v>
      </c>
      <c r="Q95" s="193">
        <f ca="1">IF(S95=0,6,OFFSET(passive_type!$J$1,MATCH(S95,passive_type!A:A,0)-1,0))</f>
        <v>6</v>
      </c>
      <c r="R95" s="3">
        <f ca="1">OFFSET(battle_group!$C$1,MATCH(P95,battle_group!E:E,0)-1,0)</f>
        <v>4</v>
      </c>
      <c r="S95" s="224">
        <v>0</v>
      </c>
      <c r="T95" s="242">
        <v>20162</v>
      </c>
    </row>
    <row r="96" spans="1:20">
      <c r="A96" s="224">
        <v>1099</v>
      </c>
      <c r="B96" s="215" t="s">
        <v>1527</v>
      </c>
      <c r="C96" s="232" t="s">
        <v>1673</v>
      </c>
      <c r="D96" s="215" t="s">
        <v>1527</v>
      </c>
      <c r="E96" s="215">
        <f ca="1">OFFSET(model!$A$1,MATCH(D96,model!B:B,0)-1,0)</f>
        <v>5</v>
      </c>
      <c r="F96" s="224" t="s">
        <v>1528</v>
      </c>
      <c r="G96" s="215" t="s">
        <v>1529</v>
      </c>
      <c r="H96" s="215"/>
      <c r="I96" s="215"/>
      <c r="J96" s="215"/>
      <c r="K96" s="224">
        <v>3</v>
      </c>
      <c r="L96" s="224">
        <v>128</v>
      </c>
      <c r="M96" s="224">
        <f t="shared" si="5"/>
        <v>3128</v>
      </c>
      <c r="N96" s="107" t="e">
        <f ca="1">OFFSET(npc_level_config!$T$1,MATCH(M96,npc_level_config!A:A,0)-1,0)</f>
        <v>#VALUE!</v>
      </c>
      <c r="O96" s="224" t="e">
        <f ca="1" t="shared" si="6"/>
        <v>#VALUE!</v>
      </c>
      <c r="P96" s="234">
        <v>38000</v>
      </c>
      <c r="Q96" s="193">
        <f ca="1">IF(S96=0,6,OFFSET(passive_type!$J$1,MATCH(S96,passive_type!A:A,0)-1,0))</f>
        <v>6</v>
      </c>
      <c r="R96" s="3" t="e">
        <f ca="1">OFFSET(battle_group!$C$1,MATCH(P96,battle_group!E:E,0)-1,0)</f>
        <v>#N/A</v>
      </c>
      <c r="S96" s="224">
        <v>0</v>
      </c>
      <c r="T96" s="242">
        <v>20161</v>
      </c>
    </row>
    <row r="97" spans="1:20">
      <c r="A97" s="224">
        <v>1100</v>
      </c>
      <c r="B97" s="224" t="s">
        <v>1696</v>
      </c>
      <c r="C97" s="232" t="s">
        <v>1673</v>
      </c>
      <c r="D97" s="224" t="s">
        <v>1494</v>
      </c>
      <c r="E97" s="215">
        <f ca="1">OFFSET(model!$A$1,MATCH(D97,model!B:B,0)-1,0)</f>
        <v>42</v>
      </c>
      <c r="F97" s="224" t="s">
        <v>1528</v>
      </c>
      <c r="G97" s="215" t="s">
        <v>1697</v>
      </c>
      <c r="H97" s="215"/>
      <c r="I97" s="215"/>
      <c r="J97" s="215"/>
      <c r="K97" s="224">
        <v>3</v>
      </c>
      <c r="L97" s="224">
        <v>128</v>
      </c>
      <c r="M97" s="224">
        <f t="shared" si="5"/>
        <v>3128</v>
      </c>
      <c r="N97" s="107" t="e">
        <f ca="1">OFFSET(npc_level_config!$T$1,MATCH(M97,npc_level_config!A:A,0)-1,0)</f>
        <v>#VALUE!</v>
      </c>
      <c r="O97" s="224" t="e">
        <f ca="1" t="shared" si="6"/>
        <v>#VALUE!</v>
      </c>
      <c r="P97" s="234">
        <v>600000</v>
      </c>
      <c r="Q97" s="193">
        <f ca="1">IF(S97=0,6,OFFSET(passive_type!$J$1,MATCH(S97,passive_type!A:A,0)-1,0))</f>
        <v>6</v>
      </c>
      <c r="R97" s="3" t="e">
        <f ca="1">OFFSET(battle_group!$C$1,MATCH(P97,battle_group!E:E,0)-1,0)</f>
        <v>#N/A</v>
      </c>
      <c r="S97" s="224">
        <v>0</v>
      </c>
      <c r="T97" s="242">
        <v>20139</v>
      </c>
    </row>
    <row r="98" spans="1:20">
      <c r="A98" s="224">
        <v>1101</v>
      </c>
      <c r="B98" s="224" t="s">
        <v>1561</v>
      </c>
      <c r="C98" s="232" t="s">
        <v>1673</v>
      </c>
      <c r="D98" s="224" t="s">
        <v>1561</v>
      </c>
      <c r="E98" s="215">
        <f ca="1">OFFSET(model!$A$1,MATCH(D98,model!B:B,0)-1,0)</f>
        <v>10</v>
      </c>
      <c r="F98" s="224" t="s">
        <v>1528</v>
      </c>
      <c r="G98" s="215" t="s">
        <v>1562</v>
      </c>
      <c r="H98" s="215"/>
      <c r="I98" s="215"/>
      <c r="J98" s="215"/>
      <c r="K98" s="224">
        <v>3</v>
      </c>
      <c r="L98" s="224">
        <v>128</v>
      </c>
      <c r="M98" s="224">
        <f t="shared" si="5"/>
        <v>3128</v>
      </c>
      <c r="N98" s="107" t="e">
        <f ca="1">OFFSET(npc_level_config!$T$1,MATCH(M98,npc_level_config!A:A,0)-1,0)</f>
        <v>#VALUE!</v>
      </c>
      <c r="O98" s="224" t="e">
        <f ca="1" t="shared" si="6"/>
        <v>#VALUE!</v>
      </c>
      <c r="P98" s="234">
        <v>34000</v>
      </c>
      <c r="Q98" s="193">
        <f ca="1">IF(S98=0,6,OFFSET(passive_type!$J$1,MATCH(S98,passive_type!A:A,0)-1,0))</f>
        <v>6</v>
      </c>
      <c r="R98" s="3" t="e">
        <f ca="1">OFFSET(battle_group!$C$1,MATCH(P98,battle_group!E:E,0)-1,0)</f>
        <v>#N/A</v>
      </c>
      <c r="S98" s="224">
        <v>0</v>
      </c>
      <c r="T98" s="242">
        <v>20161</v>
      </c>
    </row>
    <row r="99" ht="15.75" spans="1:20">
      <c r="A99" s="224">
        <v>1102</v>
      </c>
      <c r="B99" s="227" t="s">
        <v>1556</v>
      </c>
      <c r="C99" s="232" t="s">
        <v>1673</v>
      </c>
      <c r="D99" s="227" t="s">
        <v>1556</v>
      </c>
      <c r="E99" s="215">
        <f ca="1">OFFSET(model!$A$1,MATCH(D99,model!B:B,0)-1,0)</f>
        <v>72</v>
      </c>
      <c r="F99" s="224" t="s">
        <v>1528</v>
      </c>
      <c r="G99" s="215" t="s">
        <v>1557</v>
      </c>
      <c r="H99" s="215"/>
      <c r="I99" s="215"/>
      <c r="J99" s="215"/>
      <c r="K99" s="224">
        <v>3</v>
      </c>
      <c r="L99" s="224">
        <v>128</v>
      </c>
      <c r="M99" s="224">
        <f t="shared" si="5"/>
        <v>3128</v>
      </c>
      <c r="N99" s="107" t="e">
        <f ca="1">OFFSET(npc_level_config!$T$1,MATCH(M99,npc_level_config!A:A,0)-1,0)</f>
        <v>#VALUE!</v>
      </c>
      <c r="O99" s="224" t="e">
        <f ca="1" t="shared" si="6"/>
        <v>#VALUE!</v>
      </c>
      <c r="P99" s="234">
        <v>4103</v>
      </c>
      <c r="Q99" s="193">
        <f ca="1">IF(S99=0,6,OFFSET(passive_type!$J$1,MATCH(S99,passive_type!A:A,0)-1,0))</f>
        <v>6</v>
      </c>
      <c r="R99" s="3">
        <f ca="1">OFFSET(battle_group!$C$1,MATCH(P99,battle_group!E:E,0)-1,0)</f>
        <v>4</v>
      </c>
      <c r="S99" s="224">
        <v>0</v>
      </c>
      <c r="T99" s="242">
        <v>20161</v>
      </c>
    </row>
    <row r="100" spans="1:20">
      <c r="A100" s="224">
        <v>1103</v>
      </c>
      <c r="B100" s="231" t="s">
        <v>1564</v>
      </c>
      <c r="C100" s="232" t="s">
        <v>1683</v>
      </c>
      <c r="D100" s="231" t="s">
        <v>1564</v>
      </c>
      <c r="E100" s="215">
        <f ca="1">OFFSET(model!$A$1,MATCH(D100,model!B:B,0)-1,0)</f>
        <v>9</v>
      </c>
      <c r="F100" s="224" t="s">
        <v>1528</v>
      </c>
      <c r="G100" s="215" t="s">
        <v>1566</v>
      </c>
      <c r="H100" s="215"/>
      <c r="I100" s="215"/>
      <c r="J100" s="215"/>
      <c r="K100" s="224">
        <v>3</v>
      </c>
      <c r="L100" s="250">
        <v>132</v>
      </c>
      <c r="M100" s="224">
        <f t="shared" si="5"/>
        <v>3132</v>
      </c>
      <c r="N100" s="107" t="e">
        <f ca="1">OFFSET(npc_level_config!$T$1,MATCH(M100,npc_level_config!A:A,0)-1,0)</f>
        <v>#VALUE!</v>
      </c>
      <c r="O100" s="224" t="e">
        <f ca="1" t="shared" si="6"/>
        <v>#VALUE!</v>
      </c>
      <c r="P100" s="234">
        <v>39000</v>
      </c>
      <c r="Q100" s="193">
        <f ca="1">IF(S100=0,6,OFFSET(passive_type!$J$1,MATCH(S100,passive_type!A:A,0)-1,0))</f>
        <v>6</v>
      </c>
      <c r="R100" s="3" t="e">
        <f ca="1">OFFSET(battle_group!$C$1,MATCH(P100,battle_group!E:E,0)-1,0)</f>
        <v>#N/A</v>
      </c>
      <c r="S100" s="224">
        <v>0</v>
      </c>
      <c r="T100" s="242">
        <v>20103</v>
      </c>
    </row>
    <row r="101" spans="1:20">
      <c r="A101" s="224">
        <v>1104</v>
      </c>
      <c r="B101" s="224" t="s">
        <v>1561</v>
      </c>
      <c r="C101" s="232" t="s">
        <v>1683</v>
      </c>
      <c r="D101" s="224" t="s">
        <v>1561</v>
      </c>
      <c r="E101" s="215">
        <f ca="1">OFFSET(model!$A$1,MATCH(D101,model!B:B,0)-1,0)</f>
        <v>10</v>
      </c>
      <c r="F101" s="224" t="s">
        <v>1528</v>
      </c>
      <c r="G101" s="215" t="s">
        <v>1562</v>
      </c>
      <c r="H101" s="215"/>
      <c r="I101" s="215"/>
      <c r="J101" s="215"/>
      <c r="K101" s="224">
        <v>3</v>
      </c>
      <c r="L101" s="250">
        <v>132</v>
      </c>
      <c r="M101" s="224">
        <f t="shared" si="5"/>
        <v>3132</v>
      </c>
      <c r="N101" s="107" t="e">
        <f ca="1">OFFSET(npc_level_config!$T$1,MATCH(M101,npc_level_config!A:A,0)-1,0)</f>
        <v>#VALUE!</v>
      </c>
      <c r="O101" s="224" t="e">
        <f ca="1" t="shared" si="6"/>
        <v>#VALUE!</v>
      </c>
      <c r="P101" s="234">
        <v>34000</v>
      </c>
      <c r="Q101" s="193">
        <f ca="1">IF(S101=0,6,OFFSET(passive_type!$J$1,MATCH(S101,passive_type!A:A,0)-1,0))</f>
        <v>6</v>
      </c>
      <c r="R101" s="3" t="e">
        <f ca="1">OFFSET(battle_group!$C$1,MATCH(P101,battle_group!E:E,0)-1,0)</f>
        <v>#N/A</v>
      </c>
      <c r="S101" s="224">
        <v>0</v>
      </c>
      <c r="T101" s="242">
        <v>20161</v>
      </c>
    </row>
    <row r="102" spans="1:20">
      <c r="A102" s="224">
        <v>1105</v>
      </c>
      <c r="B102" s="224" t="s">
        <v>1684</v>
      </c>
      <c r="C102" s="232" t="s">
        <v>1683</v>
      </c>
      <c r="D102" s="231" t="s">
        <v>1564</v>
      </c>
      <c r="E102" s="215">
        <f ca="1">OFFSET(model!$A$1,MATCH(D102,model!B:B,0)-1,0)</f>
        <v>9</v>
      </c>
      <c r="F102" s="224" t="s">
        <v>1528</v>
      </c>
      <c r="G102" s="215" t="s">
        <v>1566</v>
      </c>
      <c r="H102" s="215"/>
      <c r="I102" s="215"/>
      <c r="J102" s="215"/>
      <c r="K102" s="224">
        <v>3</v>
      </c>
      <c r="L102" s="250">
        <v>132</v>
      </c>
      <c r="M102" s="224">
        <f t="shared" si="5"/>
        <v>3132</v>
      </c>
      <c r="N102" s="107" t="e">
        <f ca="1">OFFSET(npc_level_config!$T$1,MATCH(M102,npc_level_config!A:A,0)-1,0)</f>
        <v>#VALUE!</v>
      </c>
      <c r="O102" s="224" t="e">
        <f ca="1" t="shared" si="6"/>
        <v>#VALUE!</v>
      </c>
      <c r="P102" s="234">
        <v>39000</v>
      </c>
      <c r="Q102" s="193">
        <f ca="1">IF(S102=0,6,OFFSET(passive_type!$J$1,MATCH(S102,passive_type!A:A,0)-1,0))</f>
        <v>6</v>
      </c>
      <c r="R102" s="3" t="e">
        <f ca="1">OFFSET(battle_group!$C$1,MATCH(P102,battle_group!E:E,0)-1,0)</f>
        <v>#N/A</v>
      </c>
      <c r="S102" s="224">
        <v>0</v>
      </c>
      <c r="T102" s="242">
        <v>20161</v>
      </c>
    </row>
    <row r="103" ht="15.75" spans="1:20">
      <c r="A103" s="224">
        <v>1106</v>
      </c>
      <c r="B103" s="224" t="s">
        <v>1685</v>
      </c>
      <c r="C103" s="232" t="s">
        <v>1683</v>
      </c>
      <c r="D103" s="227" t="s">
        <v>1686</v>
      </c>
      <c r="E103" s="215">
        <f ca="1">OFFSET(model!$A$1,MATCH(D103,model!B:B,0)-1,0)</f>
        <v>70</v>
      </c>
      <c r="F103" s="224" t="s">
        <v>1528</v>
      </c>
      <c r="G103" s="215" t="s">
        <v>1687</v>
      </c>
      <c r="H103" s="215"/>
      <c r="I103" s="215"/>
      <c r="J103" s="215"/>
      <c r="K103" s="224">
        <v>3</v>
      </c>
      <c r="L103" s="250">
        <v>132</v>
      </c>
      <c r="M103" s="224">
        <f t="shared" si="5"/>
        <v>3132</v>
      </c>
      <c r="N103" s="107" t="e">
        <f ca="1">OFFSET(npc_level_config!$T$1,MATCH(M103,npc_level_config!A:A,0)-1,0)</f>
        <v>#VALUE!</v>
      </c>
      <c r="O103" s="224" t="e">
        <f ca="1" t="shared" si="6"/>
        <v>#VALUE!</v>
      </c>
      <c r="P103" s="216">
        <v>1107</v>
      </c>
      <c r="Q103" s="193">
        <f ca="1">IF(S103=0,6,OFFSET(passive_type!$J$1,MATCH(S103,passive_type!A:A,0)-1,0))</f>
        <v>6</v>
      </c>
      <c r="R103" s="3">
        <f ca="1">OFFSET(battle_group!$C$1,MATCH(P103,battle_group!E:E,0)-1,0)</f>
        <v>1</v>
      </c>
      <c r="S103" s="224">
        <v>0</v>
      </c>
      <c r="T103" s="242">
        <v>20103</v>
      </c>
    </row>
    <row r="104" ht="15.75" spans="1:20">
      <c r="A104" s="224">
        <v>1107</v>
      </c>
      <c r="B104" s="224" t="s">
        <v>1688</v>
      </c>
      <c r="C104" s="232" t="s">
        <v>1683</v>
      </c>
      <c r="D104" s="227" t="s">
        <v>1689</v>
      </c>
      <c r="E104" s="215">
        <f ca="1">OFFSET(model!$A$1,MATCH(D104,model!B:B,0)-1,0)</f>
        <v>77</v>
      </c>
      <c r="F104" s="224" t="s">
        <v>1528</v>
      </c>
      <c r="G104" s="215" t="s">
        <v>1690</v>
      </c>
      <c r="H104" s="215"/>
      <c r="I104" s="215"/>
      <c r="J104" s="215"/>
      <c r="K104" s="224">
        <v>3</v>
      </c>
      <c r="L104" s="250">
        <v>133</v>
      </c>
      <c r="M104" s="224">
        <f t="shared" si="5"/>
        <v>3133</v>
      </c>
      <c r="N104" s="107" t="e">
        <f ca="1">OFFSET(npc_level_config!$T$1,MATCH(M104,npc_level_config!A:A,0)-1,0)</f>
        <v>#VALUE!</v>
      </c>
      <c r="O104" s="224" t="e">
        <f ca="1" t="shared" si="6"/>
        <v>#VALUE!</v>
      </c>
      <c r="P104" s="234">
        <v>4103</v>
      </c>
      <c r="Q104" s="193">
        <f ca="1">IF(S104=0,6,OFFSET(passive_type!$J$1,MATCH(S104,passive_type!A:A,0)-1,0))</f>
        <v>6</v>
      </c>
      <c r="R104" s="3">
        <f ca="1">OFFSET(battle_group!$C$1,MATCH(P104,battle_group!E:E,0)-1,0)</f>
        <v>4</v>
      </c>
      <c r="S104" s="224">
        <v>0</v>
      </c>
      <c r="T104" s="242">
        <v>20162</v>
      </c>
    </row>
    <row r="105" ht="15.75" spans="1:20">
      <c r="A105" s="1">
        <v>2071</v>
      </c>
      <c r="B105" s="223" t="s">
        <v>1700</v>
      </c>
      <c r="C105" s="1" t="s">
        <v>1701</v>
      </c>
      <c r="D105" t="s">
        <v>1702</v>
      </c>
      <c r="E105" s="213">
        <f ca="1">OFFSET(model!$A$1,MATCH(D105,model!B:B,0)-1,0)</f>
        <v>47</v>
      </c>
      <c r="F105" s="1" t="s">
        <v>1528</v>
      </c>
      <c r="G105" s="213" t="s">
        <v>1703</v>
      </c>
      <c r="H105" s="213"/>
      <c r="I105" s="213"/>
      <c r="J105" s="213"/>
      <c r="K105" s="1">
        <v>1</v>
      </c>
      <c r="L105" s="77">
        <v>36</v>
      </c>
      <c r="M105" s="1">
        <f t="shared" si="5"/>
        <v>1036</v>
      </c>
      <c r="N105" s="107" t="e">
        <f ca="1">OFFSET(npc_level_config!$T$1,MATCH(M105,npc_level_config!A:A,0)-1,0)</f>
        <v>#VALUE!</v>
      </c>
      <c r="O105" s="107" t="e">
        <f ca="1" t="shared" ref="O105:O129" si="7">ROUND(N105,-1)</f>
        <v>#VALUE!</v>
      </c>
      <c r="P105" s="216">
        <v>1101</v>
      </c>
      <c r="Q105" s="3">
        <f ca="1">IF(S105=0,6,OFFSET(passive_type!$J$1,MATCH(S105,passive_type!A:A,0)-1,0))</f>
        <v>6</v>
      </c>
      <c r="R105" s="3">
        <f ca="1">OFFSET(battle_group!$C$1,MATCH(P105,battle_group!E:E,0)-1,0)</f>
        <v>1</v>
      </c>
      <c r="S105" s="1">
        <v>0</v>
      </c>
      <c r="T105" s="238">
        <v>20211</v>
      </c>
    </row>
    <row r="106" ht="27.75" spans="1:20">
      <c r="A106" s="1">
        <v>2085</v>
      </c>
      <c r="B106" s="246" t="s">
        <v>1704</v>
      </c>
      <c r="C106" s="1" t="s">
        <v>1701</v>
      </c>
      <c r="D106" s="213" t="s">
        <v>1546</v>
      </c>
      <c r="E106" s="213">
        <f ca="1">OFFSET(model!$A$1,MATCH(D106,model!B:B,0)-1,0)</f>
        <v>13</v>
      </c>
      <c r="F106" s="1" t="s">
        <v>1528</v>
      </c>
      <c r="G106" s="214" t="s">
        <v>1705</v>
      </c>
      <c r="H106" s="214"/>
      <c r="I106" s="214"/>
      <c r="J106" s="214"/>
      <c r="K106" s="1">
        <v>1</v>
      </c>
      <c r="L106" s="1">
        <v>37</v>
      </c>
      <c r="M106" s="1">
        <f t="shared" si="5"/>
        <v>1037</v>
      </c>
      <c r="N106" s="107">
        <f ca="1">OFFSET(npc_level_config!$T$1,MATCH(M106,npc_level_config!A:A,0)-1,0)</f>
        <v>9000</v>
      </c>
      <c r="O106" s="107">
        <v>9000</v>
      </c>
      <c r="P106" s="106">
        <v>2101</v>
      </c>
      <c r="Q106" s="3">
        <f ca="1">IF(S106=0,6,OFFSET(passive_type!$J$1,MATCH(S106,passive_type!A:A,0)-1,0))</f>
        <v>6</v>
      </c>
      <c r="R106" s="3">
        <f ca="1">OFFSET(battle_group!$C$1,MATCH(P106,battle_group!E:E,0)-1,0)</f>
        <v>2</v>
      </c>
      <c r="T106" s="236">
        <v>80071</v>
      </c>
    </row>
    <row r="107" ht="27.75" spans="1:20">
      <c r="A107" s="1">
        <v>2086</v>
      </c>
      <c r="B107" s="246" t="s">
        <v>1704</v>
      </c>
      <c r="C107" s="1" t="s">
        <v>1701</v>
      </c>
      <c r="D107" s="213" t="s">
        <v>1546</v>
      </c>
      <c r="E107" s="213">
        <f ca="1">OFFSET(model!$A$1,MATCH(D107,model!B:B,0)-1,0)</f>
        <v>13</v>
      </c>
      <c r="F107" s="1" t="s">
        <v>1528</v>
      </c>
      <c r="G107" s="214" t="s">
        <v>1705</v>
      </c>
      <c r="H107" s="214"/>
      <c r="I107" s="214"/>
      <c r="J107" s="214"/>
      <c r="K107" s="1">
        <v>1</v>
      </c>
      <c r="L107" s="1">
        <v>38</v>
      </c>
      <c r="M107" s="1">
        <f t="shared" si="5"/>
        <v>1038</v>
      </c>
      <c r="N107" s="107">
        <f ca="1">OFFSET(npc_level_config!$T$1,MATCH(M107,npc_level_config!A:A,0)-1,0)</f>
        <v>9000</v>
      </c>
      <c r="O107" s="107">
        <v>9000</v>
      </c>
      <c r="P107" s="106">
        <v>2101</v>
      </c>
      <c r="Q107" s="3">
        <f ca="1">IF(S107=0,6,OFFSET(passive_type!$J$1,MATCH(S107,passive_type!A:A,0)-1,0))</f>
        <v>6</v>
      </c>
      <c r="R107" s="3">
        <f ca="1">OFFSET(battle_group!$C$1,MATCH(P107,battle_group!E:E,0)-1,0)</f>
        <v>2</v>
      </c>
      <c r="T107" s="236">
        <v>80071</v>
      </c>
    </row>
    <row r="108" ht="27.75" spans="1:20">
      <c r="A108" s="224">
        <v>2017</v>
      </c>
      <c r="B108" s="224" t="s">
        <v>1706</v>
      </c>
      <c r="C108" s="224" t="s">
        <v>1707</v>
      </c>
      <c r="D108" s="215" t="s">
        <v>1546</v>
      </c>
      <c r="E108" s="215">
        <f ca="1">OFFSET(model!$A$1,MATCH(D108,model!B:B,0)-1,0)</f>
        <v>13</v>
      </c>
      <c r="F108" s="224" t="s">
        <v>1528</v>
      </c>
      <c r="G108" s="215" t="s">
        <v>1708</v>
      </c>
      <c r="H108" s="215"/>
      <c r="I108" s="215"/>
      <c r="J108" s="215"/>
      <c r="K108" s="224">
        <v>1</v>
      </c>
      <c r="L108" s="224">
        <v>201</v>
      </c>
      <c r="M108" s="224">
        <f t="shared" si="5"/>
        <v>1201</v>
      </c>
      <c r="N108" s="107" t="e">
        <f ca="1">OFFSET(npc_level_config!$T$1,MATCH(M108,npc_level_config!A:A,0)-1,0)</f>
        <v>#VALUE!</v>
      </c>
      <c r="O108" s="224" t="e">
        <f ca="1" t="shared" si="7"/>
        <v>#VALUE!</v>
      </c>
      <c r="P108" s="234">
        <v>14000</v>
      </c>
      <c r="Q108" s="193">
        <f ca="1">IF(S108=0,6,OFFSET(passive_type!$J$1,MATCH(S108,passive_type!A:A,0)-1,0))</f>
        <v>6</v>
      </c>
      <c r="R108" s="3" t="e">
        <f ca="1">OFFSET(battle_group!$C$1,MATCH(P108,battle_group!E:E,0)-1,0)</f>
        <v>#N/A</v>
      </c>
      <c r="S108" s="224">
        <v>0</v>
      </c>
      <c r="T108" s="242">
        <v>20136</v>
      </c>
    </row>
    <row r="109" spans="1:20">
      <c r="A109" s="1">
        <v>2018</v>
      </c>
      <c r="B109" s="1" t="s">
        <v>1709</v>
      </c>
      <c r="C109" s="1" t="s">
        <v>1710</v>
      </c>
      <c r="D109" t="s">
        <v>1711</v>
      </c>
      <c r="E109" s="213">
        <f ca="1">OFFSET(model!$A$1,MATCH(D109,model!B:B,0)-1,0)</f>
        <v>31</v>
      </c>
      <c r="F109" s="1" t="s">
        <v>1528</v>
      </c>
      <c r="G109" s="213" t="s">
        <v>1712</v>
      </c>
      <c r="H109" s="213"/>
      <c r="I109" s="213"/>
      <c r="J109" s="213"/>
      <c r="K109" s="107">
        <v>1</v>
      </c>
      <c r="L109" s="1">
        <v>207</v>
      </c>
      <c r="M109" s="1">
        <f t="shared" si="5"/>
        <v>1207</v>
      </c>
      <c r="N109" s="107" t="e">
        <f ca="1">OFFSET(npc_level_config!$T$1,MATCH(M109,npc_level_config!A:A,0)-1,0)</f>
        <v>#VALUE!</v>
      </c>
      <c r="O109" s="107" t="e">
        <f ca="1" t="shared" si="7"/>
        <v>#VALUE!</v>
      </c>
      <c r="P109" s="216">
        <v>2102</v>
      </c>
      <c r="Q109" s="3">
        <f ca="1">IF(S109=0,6,OFFSET(passive_type!$J$1,MATCH(S109,passive_type!A:A,0)-1,0))</f>
        <v>6</v>
      </c>
      <c r="R109" s="3">
        <f ca="1">OFFSET(battle_group!$C$1,MATCH(P109,battle_group!E:E,0)-1,0)</f>
        <v>2</v>
      </c>
      <c r="S109" s="1">
        <v>0</v>
      </c>
      <c r="T109" s="238">
        <v>20147</v>
      </c>
    </row>
    <row r="110" spans="1:20">
      <c r="A110" s="1">
        <v>2019</v>
      </c>
      <c r="B110" s="1" t="s">
        <v>1713</v>
      </c>
      <c r="C110" s="1" t="s">
        <v>1714</v>
      </c>
      <c r="D110" t="s">
        <v>1711</v>
      </c>
      <c r="E110" s="213">
        <f ca="1">OFFSET(model!$A$1,MATCH(D110,model!B:B,0)-1,0)</f>
        <v>31</v>
      </c>
      <c r="F110" s="1" t="s">
        <v>1528</v>
      </c>
      <c r="G110" s="213" t="s">
        <v>1712</v>
      </c>
      <c r="H110" s="213"/>
      <c r="I110" s="213"/>
      <c r="J110" s="213"/>
      <c r="K110" s="1">
        <v>1</v>
      </c>
      <c r="L110" s="1">
        <v>208</v>
      </c>
      <c r="M110" s="1">
        <f t="shared" si="5"/>
        <v>1208</v>
      </c>
      <c r="N110" s="107" t="e">
        <f ca="1">OFFSET(npc_level_config!$T$1,MATCH(M110,npc_level_config!A:A,0)-1,0)</f>
        <v>#VALUE!</v>
      </c>
      <c r="O110" s="107" t="e">
        <f ca="1" t="shared" si="7"/>
        <v>#VALUE!</v>
      </c>
      <c r="P110" s="216">
        <v>2103</v>
      </c>
      <c r="Q110" s="3">
        <f ca="1">IF(S110=0,6,OFFSET(passive_type!$J$1,MATCH(S110,passive_type!A:A,0)-1,0))</f>
        <v>6</v>
      </c>
      <c r="R110" s="3">
        <f ca="1">OFFSET(battle_group!$C$1,MATCH(P110,battle_group!E:E,0)-1,0)</f>
        <v>2</v>
      </c>
      <c r="S110" s="1">
        <v>0</v>
      </c>
      <c r="T110" s="238">
        <v>20147</v>
      </c>
    </row>
    <row r="111" spans="1:20">
      <c r="A111" s="1">
        <v>2020</v>
      </c>
      <c r="B111" s="1" t="s">
        <v>1715</v>
      </c>
      <c r="C111" s="1" t="s">
        <v>1716</v>
      </c>
      <c r="D111" t="s">
        <v>1711</v>
      </c>
      <c r="E111" s="213">
        <f ca="1">OFFSET(model!$A$1,MATCH(D111,model!B:B,0)-1,0)</f>
        <v>31</v>
      </c>
      <c r="F111" s="1" t="s">
        <v>1528</v>
      </c>
      <c r="G111" s="213" t="s">
        <v>1712</v>
      </c>
      <c r="H111" s="213"/>
      <c r="I111" s="213"/>
      <c r="J111" s="213"/>
      <c r="K111" s="107">
        <v>1</v>
      </c>
      <c r="L111" s="1">
        <v>209</v>
      </c>
      <c r="M111" s="1">
        <f t="shared" si="5"/>
        <v>1209</v>
      </c>
      <c r="N111" s="107" t="e">
        <f ca="1">OFFSET(npc_level_config!$T$1,MATCH(M111,npc_level_config!A:A,0)-1,0)</f>
        <v>#VALUE!</v>
      </c>
      <c r="O111" s="107" t="e">
        <f ca="1" t="shared" si="7"/>
        <v>#VALUE!</v>
      </c>
      <c r="P111" s="216">
        <v>2104</v>
      </c>
      <c r="Q111" s="3">
        <f ca="1">IF(S111=0,6,OFFSET(passive_type!$J$1,MATCH(S111,passive_type!A:A,0)-1,0))</f>
        <v>6</v>
      </c>
      <c r="R111" s="3">
        <f ca="1">OFFSET(battle_group!$C$1,MATCH(P111,battle_group!E:E,0)-1,0)</f>
        <v>2</v>
      </c>
      <c r="S111" s="1">
        <v>0</v>
      </c>
      <c r="T111" s="238">
        <v>20147</v>
      </c>
    </row>
    <row r="112" spans="1:20">
      <c r="A112" s="1">
        <v>2021</v>
      </c>
      <c r="B112" s="1" t="s">
        <v>1717</v>
      </c>
      <c r="C112" s="1" t="s">
        <v>1718</v>
      </c>
      <c r="D112" t="s">
        <v>1711</v>
      </c>
      <c r="E112" s="213">
        <f ca="1">OFFSET(model!$A$1,MATCH(D112,model!B:B,0)-1,0)</f>
        <v>31</v>
      </c>
      <c r="F112" s="1" t="s">
        <v>1528</v>
      </c>
      <c r="G112" s="213" t="s">
        <v>1712</v>
      </c>
      <c r="H112" s="213"/>
      <c r="I112" s="213"/>
      <c r="J112" s="213"/>
      <c r="K112" s="1">
        <v>1</v>
      </c>
      <c r="L112" s="1">
        <v>211</v>
      </c>
      <c r="M112" s="1">
        <f t="shared" si="5"/>
        <v>1211</v>
      </c>
      <c r="N112" s="107" t="e">
        <f ca="1">OFFSET(npc_level_config!$T$1,MATCH(M112,npc_level_config!A:A,0)-1,0)</f>
        <v>#VALUE!</v>
      </c>
      <c r="O112" s="107" t="e">
        <f ca="1" t="shared" si="7"/>
        <v>#VALUE!</v>
      </c>
      <c r="P112" s="216">
        <v>2105</v>
      </c>
      <c r="Q112" s="3">
        <f ca="1">IF(S112=0,6,OFFSET(passive_type!$J$1,MATCH(S112,passive_type!A:A,0)-1,0))</f>
        <v>6</v>
      </c>
      <c r="R112" s="3">
        <f ca="1">OFFSET(battle_group!$C$1,MATCH(P112,battle_group!E:E,0)-1,0)</f>
        <v>2</v>
      </c>
      <c r="S112" s="1">
        <v>0</v>
      </c>
      <c r="T112" s="238">
        <v>20147</v>
      </c>
    </row>
    <row r="113" spans="1:20">
      <c r="A113" s="1">
        <v>2022</v>
      </c>
      <c r="B113" s="1" t="s">
        <v>1719</v>
      </c>
      <c r="C113" s="1" t="s">
        <v>1720</v>
      </c>
      <c r="D113" s="1" t="s">
        <v>1721</v>
      </c>
      <c r="E113" s="213">
        <f ca="1">OFFSET(model!$A$1,MATCH(D113,model!B:B,0)-1,0)</f>
        <v>55</v>
      </c>
      <c r="F113" s="1" t="s">
        <v>1528</v>
      </c>
      <c r="G113" s="213" t="s">
        <v>1592</v>
      </c>
      <c r="H113" s="213"/>
      <c r="I113" s="213"/>
      <c r="J113" s="213"/>
      <c r="K113" s="107">
        <v>1</v>
      </c>
      <c r="L113" s="1">
        <v>212</v>
      </c>
      <c r="M113" s="1">
        <f t="shared" si="5"/>
        <v>1212</v>
      </c>
      <c r="N113" s="107" t="e">
        <f ca="1">OFFSET(npc_level_config!$T$1,MATCH(M113,npc_level_config!A:A,0)-1,0)</f>
        <v>#VALUE!</v>
      </c>
      <c r="O113" s="107" t="e">
        <f ca="1" t="shared" si="7"/>
        <v>#VALUE!</v>
      </c>
      <c r="P113" s="216">
        <v>2106</v>
      </c>
      <c r="Q113" s="3">
        <f ca="1">IF(S113=0,6,OFFSET(passive_type!$J$1,MATCH(S113,passive_type!A:A,0)-1,0))</f>
        <v>6</v>
      </c>
      <c r="R113" s="3">
        <f ca="1">OFFSET(battle_group!$C$1,MATCH(P113,battle_group!E:E,0)-1,0)</f>
        <v>2</v>
      </c>
      <c r="S113" s="1">
        <v>0</v>
      </c>
      <c r="T113" s="238">
        <v>20148</v>
      </c>
    </row>
    <row r="114" ht="27.75" spans="1:20">
      <c r="A114" s="1">
        <v>2023</v>
      </c>
      <c r="B114" s="1" t="s">
        <v>1722</v>
      </c>
      <c r="C114" s="1" t="s">
        <v>1722</v>
      </c>
      <c r="D114" s="213" t="s">
        <v>1536</v>
      </c>
      <c r="E114" s="213">
        <f ca="1">OFFSET(model!$A$1,MATCH(D114,model!B:B,0)-1,0)</f>
        <v>11</v>
      </c>
      <c r="F114" s="1" t="s">
        <v>1528</v>
      </c>
      <c r="G114" s="213" t="s">
        <v>1620</v>
      </c>
      <c r="H114" s="213"/>
      <c r="I114" s="213"/>
      <c r="J114" s="213"/>
      <c r="K114" s="1">
        <v>1</v>
      </c>
      <c r="L114" s="1">
        <v>210</v>
      </c>
      <c r="M114" s="1">
        <f t="shared" si="5"/>
        <v>1210</v>
      </c>
      <c r="N114" s="107" t="e">
        <f ca="1">OFFSET(npc_level_config!$T$1,MATCH(M114,npc_level_config!A:A,0)-1,0)</f>
        <v>#VALUE!</v>
      </c>
      <c r="O114" s="107" t="e">
        <f ca="1" t="shared" si="7"/>
        <v>#VALUE!</v>
      </c>
      <c r="P114" s="216">
        <v>1101</v>
      </c>
      <c r="Q114" s="3">
        <f ca="1">IF(S114=0,6,OFFSET(passive_type!$J$1,MATCH(S114,passive_type!A:A,0)-1,0))</f>
        <v>6</v>
      </c>
      <c r="R114" s="3">
        <f ca="1">OFFSET(battle_group!$C$1,MATCH(P114,battle_group!E:E,0)-1,0)</f>
        <v>1</v>
      </c>
      <c r="S114" s="1">
        <v>0</v>
      </c>
      <c r="T114" s="238">
        <v>20137</v>
      </c>
    </row>
    <row r="115" spans="1:20">
      <c r="A115" s="1">
        <v>2024</v>
      </c>
      <c r="B115" s="1" t="s">
        <v>1723</v>
      </c>
      <c r="C115" t="s">
        <v>1724</v>
      </c>
      <c r="D115" t="s">
        <v>1702</v>
      </c>
      <c r="E115" s="213">
        <f ca="1">OFFSET(model!$A$1,MATCH(D115,model!B:B,0)-1,0)</f>
        <v>47</v>
      </c>
      <c r="F115" s="1" t="s">
        <v>1528</v>
      </c>
      <c r="G115" s="213" t="s">
        <v>1620</v>
      </c>
      <c r="H115" s="213"/>
      <c r="I115" s="213"/>
      <c r="J115" s="213"/>
      <c r="K115" s="107">
        <v>1</v>
      </c>
      <c r="L115" s="1">
        <v>211</v>
      </c>
      <c r="M115" s="1">
        <f t="shared" si="5"/>
        <v>1211</v>
      </c>
      <c r="N115" s="107" t="e">
        <f ca="1">OFFSET(npc_level_config!$T$1,MATCH(M115,npc_level_config!A:A,0)-1,0)</f>
        <v>#VALUE!</v>
      </c>
      <c r="O115" s="107" t="e">
        <f ca="1" t="shared" si="7"/>
        <v>#VALUE!</v>
      </c>
      <c r="P115" s="216">
        <v>1102</v>
      </c>
      <c r="Q115" s="3">
        <f ca="1">IF(S115=0,6,OFFSET(passive_type!$J$1,MATCH(S115,passive_type!A:A,0)-1,0))</f>
        <v>6</v>
      </c>
      <c r="R115" s="3">
        <f ca="1">OFFSET(battle_group!$C$1,MATCH(P115,battle_group!E:E,0)-1,0)</f>
        <v>1</v>
      </c>
      <c r="S115" s="1">
        <v>0</v>
      </c>
      <c r="T115" s="238">
        <v>20138</v>
      </c>
    </row>
    <row r="116" spans="1:20">
      <c r="A116" s="1">
        <v>2025</v>
      </c>
      <c r="B116" s="1" t="s">
        <v>1725</v>
      </c>
      <c r="C116" t="s">
        <v>1724</v>
      </c>
      <c r="D116" t="s">
        <v>1726</v>
      </c>
      <c r="E116" s="213">
        <f ca="1">OFFSET(model!$A$1,MATCH(D116,model!B:B,0)-1,0)</f>
        <v>45</v>
      </c>
      <c r="F116" s="1" t="s">
        <v>1528</v>
      </c>
      <c r="G116" s="213" t="s">
        <v>1727</v>
      </c>
      <c r="H116" s="213"/>
      <c r="I116" s="213"/>
      <c r="J116" s="213"/>
      <c r="K116" s="107">
        <v>2</v>
      </c>
      <c r="L116" s="1">
        <v>203</v>
      </c>
      <c r="M116" s="1">
        <f t="shared" si="5"/>
        <v>2203</v>
      </c>
      <c r="N116" s="107" t="e">
        <f ca="1">OFFSET(npc_level_config!$T$1,MATCH(M116,npc_level_config!A:A,0)-1,0)</f>
        <v>#VALUE!</v>
      </c>
      <c r="O116" s="107" t="e">
        <f ca="1" t="shared" si="7"/>
        <v>#VALUE!</v>
      </c>
      <c r="P116" s="216">
        <v>3201</v>
      </c>
      <c r="Q116" s="3">
        <f ca="1">IF(S116=0,6,OFFSET(passive_type!$J$1,MATCH(S116,passive_type!A:A,0)-1,0))</f>
        <v>6</v>
      </c>
      <c r="R116" s="3">
        <f ca="1">OFFSET(battle_group!$C$1,MATCH(P116,battle_group!E:E,0)-1,0)</f>
        <v>3</v>
      </c>
      <c r="S116" s="1">
        <v>0</v>
      </c>
      <c r="T116" s="238">
        <v>20149</v>
      </c>
    </row>
    <row r="117" spans="1:20">
      <c r="A117" s="1">
        <v>2026</v>
      </c>
      <c r="B117" s="1" t="s">
        <v>1728</v>
      </c>
      <c r="C117" t="s">
        <v>1724</v>
      </c>
      <c r="D117" t="s">
        <v>1729</v>
      </c>
      <c r="E117" s="213">
        <f ca="1">OFFSET(model!$A$1,MATCH(D117,model!B:B,0)-1,0)</f>
        <v>46</v>
      </c>
      <c r="F117" s="1" t="s">
        <v>1528</v>
      </c>
      <c r="G117" s="213" t="s">
        <v>1730</v>
      </c>
      <c r="H117" s="213"/>
      <c r="I117" s="213"/>
      <c r="J117" s="213"/>
      <c r="K117" s="1">
        <v>2</v>
      </c>
      <c r="L117" s="1">
        <v>204</v>
      </c>
      <c r="M117" s="1">
        <f t="shared" si="5"/>
        <v>2204</v>
      </c>
      <c r="N117" s="107" t="e">
        <f ca="1">OFFSET(npc_level_config!$T$1,MATCH(M117,npc_level_config!A:A,0)-1,0)</f>
        <v>#VALUE!</v>
      </c>
      <c r="O117" s="107" t="e">
        <f ca="1" t="shared" si="7"/>
        <v>#VALUE!</v>
      </c>
      <c r="P117" s="216">
        <v>3202</v>
      </c>
      <c r="Q117" s="3">
        <f ca="1">IF(S117=0,6,OFFSET(passive_type!$J$1,MATCH(S117,passive_type!A:A,0)-1,0))</f>
        <v>6</v>
      </c>
      <c r="R117" s="3">
        <f ca="1">OFFSET(battle_group!$C$1,MATCH(P117,battle_group!E:E,0)-1,0)</f>
        <v>3</v>
      </c>
      <c r="S117" s="1">
        <v>0</v>
      </c>
      <c r="T117" s="238">
        <v>20149</v>
      </c>
    </row>
    <row r="118" spans="1:20">
      <c r="A118" s="1">
        <v>2027</v>
      </c>
      <c r="B118" s="1" t="s">
        <v>1731</v>
      </c>
      <c r="C118" t="s">
        <v>1724</v>
      </c>
      <c r="D118" t="s">
        <v>1702</v>
      </c>
      <c r="E118" s="213">
        <f ca="1">OFFSET(model!$A$1,MATCH(D118,model!B:B,0)-1,0)</f>
        <v>47</v>
      </c>
      <c r="F118" s="1" t="s">
        <v>1528</v>
      </c>
      <c r="G118" s="213" t="s">
        <v>1703</v>
      </c>
      <c r="H118" s="213"/>
      <c r="I118" s="213"/>
      <c r="J118" s="213"/>
      <c r="K118" s="107">
        <v>2</v>
      </c>
      <c r="L118" s="1">
        <v>205</v>
      </c>
      <c r="M118" s="1">
        <f t="shared" si="5"/>
        <v>2205</v>
      </c>
      <c r="N118" s="107" t="e">
        <f ca="1">OFFSET(npc_level_config!$T$1,MATCH(M118,npc_level_config!A:A,0)-1,0)</f>
        <v>#VALUE!</v>
      </c>
      <c r="O118" s="107" t="e">
        <f ca="1" t="shared" si="7"/>
        <v>#VALUE!</v>
      </c>
      <c r="P118" s="216">
        <v>1203</v>
      </c>
      <c r="Q118" s="3">
        <f ca="1">IF(S118=0,6,OFFSET(passive_type!$J$1,MATCH(S118,passive_type!A:A,0)-1,0))</f>
        <v>6</v>
      </c>
      <c r="R118" s="3">
        <f ca="1">OFFSET(battle_group!$C$1,MATCH(P118,battle_group!E:E,0)-1,0)</f>
        <v>1</v>
      </c>
      <c r="S118" s="1">
        <v>0</v>
      </c>
      <c r="T118" s="238">
        <v>20150</v>
      </c>
    </row>
    <row r="119" spans="1:20">
      <c r="A119" s="1">
        <v>2028</v>
      </c>
      <c r="B119" s="1" t="s">
        <v>1732</v>
      </c>
      <c r="C119" s="1" t="s">
        <v>1732</v>
      </c>
      <c r="D119" t="s">
        <v>1733</v>
      </c>
      <c r="E119" s="213">
        <f ca="1">OFFSET(model!$A$1,MATCH(D119,model!B:B,0)-1,0)</f>
        <v>38</v>
      </c>
      <c r="F119" s="1" t="s">
        <v>1528</v>
      </c>
      <c r="G119" s="213" t="s">
        <v>1734</v>
      </c>
      <c r="H119" s="213"/>
      <c r="I119" s="213"/>
      <c r="J119" s="213"/>
      <c r="K119" s="1">
        <v>2</v>
      </c>
      <c r="L119" s="1">
        <v>202</v>
      </c>
      <c r="M119" s="1">
        <f t="shared" si="5"/>
        <v>2202</v>
      </c>
      <c r="N119" s="107" t="e">
        <f ca="1">OFFSET(npc_level_config!$T$1,MATCH(M119,npc_level_config!A:A,0)-1,0)</f>
        <v>#VALUE!</v>
      </c>
      <c r="O119" s="107" t="e">
        <f ca="1" t="shared" si="7"/>
        <v>#VALUE!</v>
      </c>
      <c r="P119" s="216">
        <v>1204</v>
      </c>
      <c r="Q119" s="3">
        <f ca="1">IF(S119=0,6,OFFSET(passive_type!$J$1,MATCH(S119,passive_type!A:A,0)-1,0))</f>
        <v>6</v>
      </c>
      <c r="R119" s="3">
        <f ca="1">OFFSET(battle_group!$C$1,MATCH(P119,battle_group!E:E,0)-1,0)</f>
        <v>1</v>
      </c>
      <c r="S119" s="1">
        <v>0</v>
      </c>
      <c r="T119" s="238">
        <v>20138</v>
      </c>
    </row>
    <row r="120" spans="1:20">
      <c r="A120" s="224">
        <v>2035</v>
      </c>
      <c r="B120" s="224" t="s">
        <v>1735</v>
      </c>
      <c r="C120" s="247" t="s">
        <v>1736</v>
      </c>
      <c r="D120" s="181" t="s">
        <v>1711</v>
      </c>
      <c r="E120" s="215">
        <f ca="1">OFFSET(model!$A$1,MATCH(D120,model!B:B,0)-1,0)</f>
        <v>31</v>
      </c>
      <c r="F120" s="224" t="s">
        <v>1528</v>
      </c>
      <c r="G120" s="215" t="s">
        <v>1592</v>
      </c>
      <c r="H120" s="215"/>
      <c r="I120" s="215"/>
      <c r="J120" s="215"/>
      <c r="K120" s="224">
        <v>1</v>
      </c>
      <c r="L120" s="224">
        <v>204</v>
      </c>
      <c r="M120" s="224">
        <f t="shared" si="5"/>
        <v>1204</v>
      </c>
      <c r="N120" s="107" t="e">
        <f ca="1">OFFSET(npc_level_config!$T$1,MATCH(M120,npc_level_config!A:A,0)-1,0)</f>
        <v>#VALUE!</v>
      </c>
      <c r="O120" s="224" t="e">
        <f ca="1" t="shared" si="7"/>
        <v>#VALUE!</v>
      </c>
      <c r="P120" s="234">
        <v>60200</v>
      </c>
      <c r="Q120" s="193">
        <f ca="1">IF(S120=0,6,OFFSET(passive_type!$J$1,MATCH(S120,passive_type!A:A,0)-1,0))</f>
        <v>6</v>
      </c>
      <c r="R120" s="3" t="e">
        <f ca="1">OFFSET(battle_group!$C$1,MATCH(P120,battle_group!E:E,0)-1,0)</f>
        <v>#N/A</v>
      </c>
      <c r="S120" s="224">
        <v>0</v>
      </c>
      <c r="T120" s="242">
        <v>20152</v>
      </c>
    </row>
    <row r="121" spans="1:20">
      <c r="A121" s="224">
        <v>2036</v>
      </c>
      <c r="B121" s="224" t="s">
        <v>1737</v>
      </c>
      <c r="C121" s="224" t="s">
        <v>1738</v>
      </c>
      <c r="D121" s="181" t="s">
        <v>1739</v>
      </c>
      <c r="E121" s="215">
        <f ca="1">OFFSET(model!$A$1,MATCH(D121,model!B:B,0)-1,0)</f>
        <v>30</v>
      </c>
      <c r="F121" s="224" t="s">
        <v>1528</v>
      </c>
      <c r="G121" s="215" t="s">
        <v>1592</v>
      </c>
      <c r="H121" s="215"/>
      <c r="I121" s="215"/>
      <c r="J121" s="215"/>
      <c r="K121" s="224">
        <v>1</v>
      </c>
      <c r="L121" s="224">
        <v>210</v>
      </c>
      <c r="M121" s="224">
        <f t="shared" si="5"/>
        <v>1210</v>
      </c>
      <c r="N121" s="107" t="e">
        <f ca="1">OFFSET(npc_level_config!$T$1,MATCH(M121,npc_level_config!A:A,0)-1,0)</f>
        <v>#VALUE!</v>
      </c>
      <c r="O121" s="224" t="e">
        <f ca="1" t="shared" si="7"/>
        <v>#VALUE!</v>
      </c>
      <c r="P121" s="234">
        <v>27000</v>
      </c>
      <c r="Q121" s="193">
        <f ca="1">IF(S121=0,6,OFFSET(passive_type!$J$1,MATCH(S121,passive_type!A:A,0)-1,0))</f>
        <v>6</v>
      </c>
      <c r="R121" s="3" t="e">
        <f ca="1">OFFSET(battle_group!$C$1,MATCH(P121,battle_group!E:E,0)-1,0)</f>
        <v>#N/A</v>
      </c>
      <c r="S121" s="224">
        <v>0</v>
      </c>
      <c r="T121" s="242">
        <v>20153</v>
      </c>
    </row>
    <row r="122" spans="1:20">
      <c r="A122" s="224">
        <v>2037</v>
      </c>
      <c r="B122" s="224" t="s">
        <v>1740</v>
      </c>
      <c r="C122" s="224" t="s">
        <v>1741</v>
      </c>
      <c r="D122" s="181" t="s">
        <v>1742</v>
      </c>
      <c r="E122" s="215">
        <f ca="1">OFFSET(model!$A$1,MATCH(D122,model!B:B,0)-1,0)</f>
        <v>41</v>
      </c>
      <c r="F122" s="224" t="s">
        <v>1528</v>
      </c>
      <c r="G122" s="215" t="s">
        <v>1692</v>
      </c>
      <c r="H122" s="215"/>
      <c r="I122" s="215"/>
      <c r="J122" s="215"/>
      <c r="K122" s="224">
        <v>1</v>
      </c>
      <c r="L122" s="224">
        <v>209</v>
      </c>
      <c r="M122" s="224">
        <f t="shared" si="5"/>
        <v>1209</v>
      </c>
      <c r="N122" s="107" t="e">
        <f ca="1">OFFSET(npc_level_config!$T$1,MATCH(M122,npc_level_config!A:A,0)-1,0)</f>
        <v>#VALUE!</v>
      </c>
      <c r="O122" s="224" t="e">
        <f ca="1" t="shared" si="7"/>
        <v>#VALUE!</v>
      </c>
      <c r="P122" s="234">
        <v>23000</v>
      </c>
      <c r="Q122" s="193">
        <f ca="1">IF(S122=0,6,OFFSET(passive_type!$J$1,MATCH(S122,passive_type!A:A,0)-1,0))</f>
        <v>6</v>
      </c>
      <c r="R122" s="3" t="e">
        <f ca="1">OFFSET(battle_group!$C$1,MATCH(P122,battle_group!E:E,0)-1,0)</f>
        <v>#N/A</v>
      </c>
      <c r="S122" s="224">
        <v>0</v>
      </c>
      <c r="T122" s="242">
        <v>20154</v>
      </c>
    </row>
    <row r="123" ht="15.75" spans="1:20">
      <c r="A123" s="1">
        <v>2078</v>
      </c>
      <c r="B123" s="1" t="s">
        <v>1743</v>
      </c>
      <c r="C123" s="145" t="s">
        <v>1744</v>
      </c>
      <c r="D123" t="s">
        <v>1702</v>
      </c>
      <c r="E123" s="213">
        <f ca="1">OFFSET(model!$A$1,MATCH(D123,model!B:B,0)-1,0)</f>
        <v>47</v>
      </c>
      <c r="F123" s="1" t="s">
        <v>1528</v>
      </c>
      <c r="G123" s="214" t="s">
        <v>1745</v>
      </c>
      <c r="H123" s="214"/>
      <c r="I123" s="214"/>
      <c r="J123" s="214"/>
      <c r="K123" s="1">
        <v>2</v>
      </c>
      <c r="L123" s="1">
        <v>202</v>
      </c>
      <c r="M123" s="1">
        <f t="shared" si="5"/>
        <v>2202</v>
      </c>
      <c r="N123" s="107" t="e">
        <f ca="1">OFFSET(npc_level_config!$T$1,MATCH(M123,npc_level_config!A:A,0)-1,0)</f>
        <v>#VALUE!</v>
      </c>
      <c r="O123" s="107" t="e">
        <f ca="1" t="shared" si="7"/>
        <v>#VALUE!</v>
      </c>
      <c r="P123" s="216">
        <v>1204</v>
      </c>
      <c r="Q123" s="3">
        <f ca="1">IF(S123=0,6,OFFSET(passive_type!$J$1,MATCH(S123,passive_type!A:A,0)-1,0))</f>
        <v>6</v>
      </c>
      <c r="R123" s="3">
        <f ca="1">OFFSET(battle_group!$C$1,MATCH(P123,battle_group!E:E,0)-1,0)</f>
        <v>1</v>
      </c>
      <c r="T123" s="236">
        <v>869</v>
      </c>
    </row>
    <row r="124" spans="1:20">
      <c r="A124" s="224">
        <v>2038</v>
      </c>
      <c r="B124" s="224" t="s">
        <v>1746</v>
      </c>
      <c r="C124" s="224" t="s">
        <v>1747</v>
      </c>
      <c r="D124" s="224" t="s">
        <v>1746</v>
      </c>
      <c r="E124" s="215">
        <f ca="1">OFFSET(model!$A$1,MATCH(D124,model!B:B,0)-1,0)</f>
        <v>49</v>
      </c>
      <c r="F124" s="224" t="s">
        <v>1528</v>
      </c>
      <c r="G124" s="215" t="s">
        <v>1748</v>
      </c>
      <c r="H124" s="215"/>
      <c r="I124" s="215"/>
      <c r="J124" s="215"/>
      <c r="K124" s="224">
        <v>2</v>
      </c>
      <c r="L124" s="224">
        <v>204</v>
      </c>
      <c r="M124" s="224">
        <f t="shared" si="5"/>
        <v>2204</v>
      </c>
      <c r="N124" s="107" t="e">
        <f ca="1">OFFSET(npc_level_config!$T$1,MATCH(M124,npc_level_config!A:A,0)-1,0)</f>
        <v>#VALUE!</v>
      </c>
      <c r="O124" s="224" t="e">
        <f ca="1" t="shared" si="7"/>
        <v>#VALUE!</v>
      </c>
      <c r="P124" s="234">
        <v>28000</v>
      </c>
      <c r="Q124" s="193">
        <f ca="1">IF(S124=0,6,OFFSET(passive_type!$J$1,MATCH(S124,passive_type!A:A,0)-1,0))</f>
        <v>6</v>
      </c>
      <c r="R124" s="3" t="e">
        <f ca="1">OFFSET(battle_group!$C$1,MATCH(P124,battle_group!E:E,0)-1,0)</f>
        <v>#N/A</v>
      </c>
      <c r="S124" s="224">
        <v>0</v>
      </c>
      <c r="T124" s="242">
        <v>20155</v>
      </c>
    </row>
    <row r="125" spans="1:20">
      <c r="A125" s="248">
        <v>2040</v>
      </c>
      <c r="B125" s="248" t="s">
        <v>1749</v>
      </c>
      <c r="C125" s="248" t="s">
        <v>1750</v>
      </c>
      <c r="D125" s="248" t="s">
        <v>1749</v>
      </c>
      <c r="E125" s="249">
        <v>51</v>
      </c>
      <c r="F125" s="248" t="s">
        <v>1528</v>
      </c>
      <c r="G125" s="249" t="s">
        <v>1751</v>
      </c>
      <c r="H125" s="249"/>
      <c r="I125" s="249"/>
      <c r="J125" s="249"/>
      <c r="K125" s="248">
        <v>2</v>
      </c>
      <c r="L125" s="248">
        <v>210</v>
      </c>
      <c r="M125" s="107">
        <f t="shared" si="5"/>
        <v>2210</v>
      </c>
      <c r="N125" s="107" t="e">
        <f ca="1">OFFSET(npc_level_config!$T$1,MATCH(M125,npc_level_config!A:A,0)-1,0)</f>
        <v>#VALUE!</v>
      </c>
      <c r="O125" s="107" t="e">
        <f ca="1" t="shared" si="7"/>
        <v>#VALUE!</v>
      </c>
      <c r="P125" s="235">
        <v>3301</v>
      </c>
      <c r="Q125" s="244">
        <v>6</v>
      </c>
      <c r="R125" s="3">
        <f ca="1">OFFSET(battle_group!$C$1,MATCH(P125,battle_group!E:E,0)-1,0)</f>
        <v>3</v>
      </c>
      <c r="S125" s="248">
        <v>0</v>
      </c>
      <c r="T125" s="244">
        <v>130029</v>
      </c>
    </row>
    <row r="126" spans="1:20">
      <c r="A126" s="224">
        <v>2042</v>
      </c>
      <c r="B126" s="224" t="s">
        <v>1541</v>
      </c>
      <c r="C126" s="224" t="s">
        <v>1752</v>
      </c>
      <c r="D126" s="224" t="s">
        <v>1541</v>
      </c>
      <c r="E126" s="215">
        <f ca="1">OFFSET(model!$A$1,MATCH(D126,model!B:B,0)-1,0)</f>
        <v>58</v>
      </c>
      <c r="F126" s="224" t="s">
        <v>1528</v>
      </c>
      <c r="G126" s="215" t="s">
        <v>1542</v>
      </c>
      <c r="H126" s="215"/>
      <c r="I126" s="215"/>
      <c r="J126" s="215"/>
      <c r="K126" s="224">
        <v>2</v>
      </c>
      <c r="L126" s="224">
        <v>211</v>
      </c>
      <c r="M126" s="224">
        <f t="shared" ref="M126:M154" si="8">K126*1000+L126</f>
        <v>2211</v>
      </c>
      <c r="N126" s="107" t="e">
        <f ca="1">OFFSET(npc_level_config!$T$1,MATCH(M126,npc_level_config!A:A,0)-1,0)</f>
        <v>#VALUE!</v>
      </c>
      <c r="O126" s="224" t="e">
        <f ca="1" t="shared" si="7"/>
        <v>#VALUE!</v>
      </c>
      <c r="P126" s="234">
        <v>32000</v>
      </c>
      <c r="Q126" s="193">
        <f ca="1">IF(S126=0,6,OFFSET(passive_type!$J$1,MATCH(S126,passive_type!A:A,0)-1,0))</f>
        <v>6</v>
      </c>
      <c r="R126" s="3" t="e">
        <f ca="1">OFFSET(battle_group!$C$1,MATCH(P126,battle_group!E:E,0)-1,0)</f>
        <v>#N/A</v>
      </c>
      <c r="S126" s="224">
        <v>0</v>
      </c>
      <c r="T126" s="242">
        <v>20159</v>
      </c>
    </row>
    <row r="127" spans="1:20">
      <c r="A127" s="224">
        <v>2043</v>
      </c>
      <c r="B127" s="224" t="s">
        <v>1753</v>
      </c>
      <c r="C127" s="224" t="s">
        <v>1754</v>
      </c>
      <c r="D127" s="224" t="s">
        <v>1753</v>
      </c>
      <c r="E127" s="215">
        <f ca="1">OFFSET(model!$A$1,MATCH(D127,model!B:B,0)-1,0)</f>
        <v>24</v>
      </c>
      <c r="F127" s="224" t="s">
        <v>1528</v>
      </c>
      <c r="G127" s="215" t="s">
        <v>1755</v>
      </c>
      <c r="H127" s="215"/>
      <c r="I127" s="215"/>
      <c r="J127" s="215"/>
      <c r="K127" s="224">
        <v>2</v>
      </c>
      <c r="L127" s="224">
        <v>212</v>
      </c>
      <c r="M127" s="224">
        <f t="shared" si="8"/>
        <v>2212</v>
      </c>
      <c r="N127" s="107" t="e">
        <f ca="1">OFFSET(npc_level_config!$T$1,MATCH(M127,npc_level_config!A:A,0)-1,0)</f>
        <v>#VALUE!</v>
      </c>
      <c r="O127" s="224" t="e">
        <f ca="1" t="shared" si="7"/>
        <v>#VALUE!</v>
      </c>
      <c r="P127" s="234">
        <v>20000</v>
      </c>
      <c r="Q127" s="193">
        <f ca="1">IF(S127=0,6,OFFSET(passive_type!$J$1,MATCH(S127,passive_type!A:A,0)-1,0))</f>
        <v>6</v>
      </c>
      <c r="R127" s="3" t="e">
        <f ca="1">OFFSET(battle_group!$C$1,MATCH(P127,battle_group!E:E,0)-1,0)</f>
        <v>#N/A</v>
      </c>
      <c r="S127" s="224">
        <v>0</v>
      </c>
      <c r="T127" s="242">
        <v>20160</v>
      </c>
    </row>
    <row r="128" spans="1:20">
      <c r="A128" s="224">
        <v>2044</v>
      </c>
      <c r="B128" s="224" t="s">
        <v>1756</v>
      </c>
      <c r="C128" s="224" t="s">
        <v>1757</v>
      </c>
      <c r="D128" s="224" t="s">
        <v>1756</v>
      </c>
      <c r="E128" s="215">
        <f ca="1">OFFSET(model!$A$1,MATCH(D128,model!B:B,0)-1,0)</f>
        <v>23</v>
      </c>
      <c r="F128" s="224" t="s">
        <v>1528</v>
      </c>
      <c r="G128" s="215" t="s">
        <v>1758</v>
      </c>
      <c r="H128" s="215"/>
      <c r="I128" s="215"/>
      <c r="J128" s="215"/>
      <c r="K128" s="224">
        <v>2</v>
      </c>
      <c r="L128" s="224">
        <v>204</v>
      </c>
      <c r="M128" s="224">
        <f t="shared" si="8"/>
        <v>2204</v>
      </c>
      <c r="N128" s="107" t="e">
        <f ca="1">OFFSET(npc_level_config!$T$1,MATCH(M128,npc_level_config!A:A,0)-1,0)</f>
        <v>#VALUE!</v>
      </c>
      <c r="O128" s="224" t="e">
        <f ca="1" t="shared" si="7"/>
        <v>#VALUE!</v>
      </c>
      <c r="P128" s="234">
        <v>10000</v>
      </c>
      <c r="Q128" s="193">
        <f ca="1">IF(S128=0,6,OFFSET(passive_type!$J$1,MATCH(S128,passive_type!A:A,0)-1,0))</f>
        <v>6</v>
      </c>
      <c r="R128" s="3" t="e">
        <f ca="1">OFFSET(battle_group!$C$1,MATCH(P128,battle_group!E:E,0)-1,0)</f>
        <v>#N/A</v>
      </c>
      <c r="S128" s="224">
        <v>0</v>
      </c>
      <c r="T128" s="242">
        <v>20136</v>
      </c>
    </row>
    <row r="129" ht="27.75" spans="1:20">
      <c r="A129" s="224">
        <v>2069</v>
      </c>
      <c r="B129" s="224" t="s">
        <v>1759</v>
      </c>
      <c r="C129" s="230" t="s">
        <v>1760</v>
      </c>
      <c r="D129" s="215" t="s">
        <v>1546</v>
      </c>
      <c r="E129" s="215">
        <f ca="1">OFFSET(model!$A$1,MATCH(D129,model!B:B,0)-1,0)</f>
        <v>13</v>
      </c>
      <c r="F129" s="224" t="s">
        <v>1528</v>
      </c>
      <c r="G129" s="215" t="s">
        <v>1613</v>
      </c>
      <c r="H129" s="215"/>
      <c r="I129" s="215"/>
      <c r="J129" s="215"/>
      <c r="K129" s="224">
        <v>2</v>
      </c>
      <c r="L129" s="224">
        <v>210</v>
      </c>
      <c r="M129" s="224">
        <f t="shared" si="8"/>
        <v>2210</v>
      </c>
      <c r="N129" s="107" t="e">
        <f ca="1">OFFSET(npc_level_config!$T$1,MATCH(M129,npc_level_config!A:A,0)-1,0)</f>
        <v>#VALUE!</v>
      </c>
      <c r="O129" s="224" t="e">
        <f ca="1" t="shared" si="7"/>
        <v>#VALUE!</v>
      </c>
      <c r="P129" s="258">
        <v>23000</v>
      </c>
      <c r="Q129" s="193">
        <f ca="1">IF(S129=0,6,OFFSET(passive_type!$J$1,MATCH(S129,passive_type!A:A,0)-1,0))</f>
        <v>6</v>
      </c>
      <c r="R129" s="3" t="e">
        <f ca="1">OFFSET(battle_group!$C$1,MATCH(P129,battle_group!E:E,0)-1,0)</f>
        <v>#N/A</v>
      </c>
      <c r="S129" s="224">
        <v>0</v>
      </c>
      <c r="T129" s="242">
        <v>20184</v>
      </c>
    </row>
    <row r="130" spans="1:20">
      <c r="A130" s="224">
        <v>2070</v>
      </c>
      <c r="B130" s="224" t="s">
        <v>1761</v>
      </c>
      <c r="C130" s="230" t="s">
        <v>1762</v>
      </c>
      <c r="D130" s="224" t="s">
        <v>1763</v>
      </c>
      <c r="E130" s="215">
        <f ca="1">OFFSET(model!$A$1,MATCH(D130,model!B:B,0)-1,0)</f>
        <v>7</v>
      </c>
      <c r="F130" s="224" t="s">
        <v>1528</v>
      </c>
      <c r="G130" s="215" t="s">
        <v>1589</v>
      </c>
      <c r="H130" s="215"/>
      <c r="I130" s="215"/>
      <c r="J130" s="215"/>
      <c r="K130" s="224">
        <v>2</v>
      </c>
      <c r="L130" s="224">
        <v>212</v>
      </c>
      <c r="M130" s="224">
        <f t="shared" si="8"/>
        <v>2212</v>
      </c>
      <c r="N130" s="107" t="e">
        <f ca="1">OFFSET(npc_level_config!$T$1,MATCH(M130,npc_level_config!A:A,0)-1,0)</f>
        <v>#VALUE!</v>
      </c>
      <c r="O130" s="224" t="e">
        <f ca="1" t="shared" ref="O130:O142" si="9">ROUND(N130,-1)</f>
        <v>#VALUE!</v>
      </c>
      <c r="P130" s="216">
        <v>1107</v>
      </c>
      <c r="Q130" s="193">
        <f ca="1">IF(S130=0,6,OFFSET(passive_type!$J$1,MATCH(S130,passive_type!A:A,0)-1,0))</f>
        <v>6</v>
      </c>
      <c r="R130" s="3">
        <f ca="1">OFFSET(battle_group!$C$1,MATCH(P130,battle_group!E:E,0)-1,0)</f>
        <v>1</v>
      </c>
      <c r="S130" s="224">
        <v>0</v>
      </c>
      <c r="T130" s="242">
        <v>20207</v>
      </c>
    </row>
    <row r="131" ht="27.75" spans="1:20">
      <c r="A131" s="1">
        <v>2079</v>
      </c>
      <c r="B131" s="1" t="s">
        <v>1764</v>
      </c>
      <c r="C131" s="145" t="s">
        <v>1765</v>
      </c>
      <c r="D131" s="213" t="s">
        <v>1551</v>
      </c>
      <c r="E131" s="213">
        <f ca="1">OFFSET(model!$A$1,MATCH(D131,model!B:B,0)-1,0)</f>
        <v>15</v>
      </c>
      <c r="F131" s="1" t="s">
        <v>1528</v>
      </c>
      <c r="G131" s="1" t="s">
        <v>1628</v>
      </c>
      <c r="K131" s="1">
        <v>2</v>
      </c>
      <c r="L131" s="1">
        <v>205</v>
      </c>
      <c r="M131" s="1">
        <f t="shared" si="8"/>
        <v>2205</v>
      </c>
      <c r="N131" s="107" t="e">
        <f ca="1">OFFSET(npc_level_config!$T$1,MATCH(M131,npc_level_config!A:A,0)-1,0)</f>
        <v>#VALUE!</v>
      </c>
      <c r="O131" s="107" t="e">
        <f ca="1" t="shared" si="9"/>
        <v>#VALUE!</v>
      </c>
      <c r="P131" s="106">
        <v>3203</v>
      </c>
      <c r="Q131" s="3">
        <f ca="1">IF(S131=0,6,OFFSET(passive_type!$J$1,MATCH(S131,passive_type!A:A,0)-1,0))</f>
        <v>6</v>
      </c>
      <c r="R131" s="3">
        <f ca="1">OFFSET(battle_group!$C$1,MATCH(P131,battle_group!E:E,0)-1,0)</f>
        <v>3</v>
      </c>
      <c r="T131" s="238">
        <v>20220</v>
      </c>
    </row>
    <row r="132" ht="27.75" spans="1:20">
      <c r="A132" s="1">
        <v>2080</v>
      </c>
      <c r="B132" s="1" t="s">
        <v>1766</v>
      </c>
      <c r="C132" s="145" t="s">
        <v>1767</v>
      </c>
      <c r="D132" s="213" t="s">
        <v>1768</v>
      </c>
      <c r="E132" s="213">
        <f ca="1">OFFSET(model!$A$1,MATCH(D132,model!B:B,0)-1,0)</f>
        <v>16</v>
      </c>
      <c r="F132" s="1" t="s">
        <v>1528</v>
      </c>
      <c r="G132" s="1" t="s">
        <v>1769</v>
      </c>
      <c r="K132" s="1">
        <v>2</v>
      </c>
      <c r="L132" s="1">
        <v>206</v>
      </c>
      <c r="M132" s="1">
        <f t="shared" si="8"/>
        <v>2206</v>
      </c>
      <c r="N132" s="107" t="e">
        <f ca="1">OFFSET(npc_level_config!$T$1,MATCH(M132,npc_level_config!A:A,0)-1,0)</f>
        <v>#VALUE!</v>
      </c>
      <c r="O132" s="107" t="e">
        <f ca="1" t="shared" si="9"/>
        <v>#VALUE!</v>
      </c>
      <c r="P132" s="106">
        <v>3204</v>
      </c>
      <c r="Q132" s="3">
        <f ca="1">IF(S132=0,6,OFFSET(passive_type!$J$1,MATCH(S132,passive_type!A:A,0)-1,0))</f>
        <v>6</v>
      </c>
      <c r="R132" s="3">
        <f ca="1">OFFSET(battle_group!$C$1,MATCH(P132,battle_group!E:E,0)-1,0)</f>
        <v>3</v>
      </c>
      <c r="T132" s="238">
        <v>20235</v>
      </c>
    </row>
    <row r="133" ht="27.75" spans="1:20">
      <c r="A133" s="1">
        <v>2081</v>
      </c>
      <c r="B133" s="1" t="s">
        <v>1770</v>
      </c>
      <c r="C133" s="145" t="s">
        <v>1771</v>
      </c>
      <c r="D133" s="213" t="s">
        <v>1551</v>
      </c>
      <c r="E133" s="213">
        <f ca="1">OFFSET(model!$A$1,MATCH(D133,model!B:B,0)-1,0)</f>
        <v>15</v>
      </c>
      <c r="F133" s="1" t="s">
        <v>1528</v>
      </c>
      <c r="G133" s="214" t="s">
        <v>1772</v>
      </c>
      <c r="H133" s="214"/>
      <c r="I133" s="214"/>
      <c r="J133" s="214"/>
      <c r="K133" s="1">
        <v>2</v>
      </c>
      <c r="L133" s="1">
        <v>207</v>
      </c>
      <c r="M133" s="1">
        <f t="shared" si="8"/>
        <v>2207</v>
      </c>
      <c r="N133" s="107" t="e">
        <f ca="1">OFFSET(npc_level_config!$T$1,MATCH(M133,npc_level_config!A:A,0)-1,0)</f>
        <v>#VALUE!</v>
      </c>
      <c r="O133" s="107" t="e">
        <f ca="1" t="shared" si="9"/>
        <v>#VALUE!</v>
      </c>
      <c r="P133" s="216">
        <v>3106</v>
      </c>
      <c r="Q133" s="3">
        <f ca="1">IF(S133=0,6,OFFSET(passive_type!$J$1,MATCH(S133,passive_type!A:A,0)-1,0))</f>
        <v>6</v>
      </c>
      <c r="R133" s="3">
        <f ca="1">OFFSET(battle_group!$C$1,MATCH(P133,battle_group!E:E,0)-1,0)</f>
        <v>3</v>
      </c>
      <c r="T133" s="238">
        <v>20225</v>
      </c>
    </row>
    <row r="134" ht="27.75" spans="1:20">
      <c r="A134" s="1">
        <v>2082</v>
      </c>
      <c r="B134" s="1" t="s">
        <v>1773</v>
      </c>
      <c r="C134" s="145" t="s">
        <v>1774</v>
      </c>
      <c r="D134" s="213" t="s">
        <v>1768</v>
      </c>
      <c r="E134" s="213">
        <f ca="1">OFFSET(model!$A$1,MATCH(D134,model!B:B,0)-1,0)</f>
        <v>16</v>
      </c>
      <c r="F134" s="1" t="s">
        <v>1528</v>
      </c>
      <c r="G134" s="214" t="s">
        <v>1655</v>
      </c>
      <c r="H134" s="214"/>
      <c r="I134" s="214"/>
      <c r="J134" s="214"/>
      <c r="K134" s="1">
        <v>2</v>
      </c>
      <c r="L134" s="1">
        <v>208</v>
      </c>
      <c r="M134" s="1">
        <f t="shared" si="8"/>
        <v>2208</v>
      </c>
      <c r="N134" s="107" t="e">
        <f ca="1">OFFSET(npc_level_config!$T$1,MATCH(M134,npc_level_config!A:A,0)-1,0)</f>
        <v>#VALUE!</v>
      </c>
      <c r="O134" s="107" t="e">
        <f ca="1" t="shared" si="9"/>
        <v>#VALUE!</v>
      </c>
      <c r="P134" s="106">
        <v>3202</v>
      </c>
      <c r="Q134" s="3">
        <f ca="1">IF(S134=0,6,OFFSET(passive_type!$J$1,MATCH(S134,passive_type!A:A,0)-1,0))</f>
        <v>6</v>
      </c>
      <c r="R134" s="3">
        <f ca="1">OFFSET(battle_group!$C$1,MATCH(P134,battle_group!E:E,0)-1,0)</f>
        <v>3</v>
      </c>
      <c r="T134" s="238">
        <v>20240</v>
      </c>
    </row>
    <row r="135" ht="27.75" spans="1:20">
      <c r="A135" s="1">
        <v>2083</v>
      </c>
      <c r="B135" s="1" t="s">
        <v>1593</v>
      </c>
      <c r="C135" s="145" t="s">
        <v>1775</v>
      </c>
      <c r="D135" s="213" t="s">
        <v>1546</v>
      </c>
      <c r="E135" s="213">
        <f ca="1">OFFSET(model!$A$1,MATCH(D135,model!B:B,0)-1,0)</f>
        <v>13</v>
      </c>
      <c r="F135" s="1" t="s">
        <v>1528</v>
      </c>
      <c r="G135" s="214" t="s">
        <v>1705</v>
      </c>
      <c r="H135" s="214"/>
      <c r="I135" s="214"/>
      <c r="J135" s="214"/>
      <c r="K135" s="1">
        <v>2</v>
      </c>
      <c r="L135" s="1">
        <v>209</v>
      </c>
      <c r="M135" s="1">
        <f t="shared" si="8"/>
        <v>2209</v>
      </c>
      <c r="N135" s="107" t="e">
        <f ca="1">OFFSET(npc_level_config!$T$1,MATCH(M135,npc_level_config!A:A,0)-1,0)</f>
        <v>#VALUE!</v>
      </c>
      <c r="O135" s="107" t="e">
        <f ca="1" t="shared" si="9"/>
        <v>#VALUE!</v>
      </c>
      <c r="P135" s="216">
        <v>1201</v>
      </c>
      <c r="Q135" s="3">
        <f ca="1">IF(S135=0,6,OFFSET(passive_type!$J$1,MATCH(S135,passive_type!A:A,0)-1,0))</f>
        <v>6</v>
      </c>
      <c r="R135" s="3">
        <f ca="1">OFFSET(battle_group!$C$1,MATCH(P135,battle_group!E:E,0)-1,0)</f>
        <v>1</v>
      </c>
      <c r="T135" s="238">
        <v>20230</v>
      </c>
    </row>
    <row r="136" ht="27.75" spans="1:20">
      <c r="A136" s="1">
        <v>2084</v>
      </c>
      <c r="B136" s="1" t="s">
        <v>1776</v>
      </c>
      <c r="C136" s="145" t="s">
        <v>1777</v>
      </c>
      <c r="D136" s="213" t="s">
        <v>1595</v>
      </c>
      <c r="E136" s="213">
        <f ca="1">OFFSET(model!$A$1,MATCH(D136,model!B:B,0)-1,0)</f>
        <v>14</v>
      </c>
      <c r="F136" s="1" t="s">
        <v>1528</v>
      </c>
      <c r="G136" s="214" t="s">
        <v>1596</v>
      </c>
      <c r="H136" s="214"/>
      <c r="I136" s="214"/>
      <c r="J136" s="214"/>
      <c r="K136" s="1">
        <v>2</v>
      </c>
      <c r="L136" s="1">
        <v>210</v>
      </c>
      <c r="M136" s="1">
        <f t="shared" si="8"/>
        <v>2210</v>
      </c>
      <c r="N136" s="107" t="e">
        <f ca="1">OFFSET(npc_level_config!$T$1,MATCH(M136,npc_level_config!A:A,0)-1,0)</f>
        <v>#VALUE!</v>
      </c>
      <c r="O136" s="107" t="e">
        <f ca="1" t="shared" si="9"/>
        <v>#VALUE!</v>
      </c>
      <c r="P136" s="216">
        <v>1202</v>
      </c>
      <c r="Q136" s="3">
        <f ca="1">IF(S136=0,6,OFFSET(passive_type!$J$1,MATCH(S136,passive_type!A:A,0)-1,0))</f>
        <v>6</v>
      </c>
      <c r="R136" s="3">
        <f ca="1">OFFSET(battle_group!$C$1,MATCH(P136,battle_group!E:E,0)-1,0)</f>
        <v>1</v>
      </c>
      <c r="T136" s="238">
        <v>20245</v>
      </c>
    </row>
    <row r="137" ht="27.75" spans="1:20">
      <c r="A137" s="1">
        <v>2087</v>
      </c>
      <c r="B137" s="1" t="s">
        <v>1778</v>
      </c>
      <c r="C137" s="205" t="s">
        <v>1779</v>
      </c>
      <c r="D137" s="213" t="s">
        <v>1642</v>
      </c>
      <c r="E137" s="213">
        <f ca="1">OFFSET(model!$A$1,MATCH(D137,model!B:B,0)-1,0)</f>
        <v>19</v>
      </c>
      <c r="F137" s="1" t="s">
        <v>1528</v>
      </c>
      <c r="G137" s="251" t="s">
        <v>1643</v>
      </c>
      <c r="H137" s="251"/>
      <c r="I137" s="251"/>
      <c r="J137" s="251"/>
      <c r="K137" s="1">
        <v>2</v>
      </c>
      <c r="L137" s="1">
        <v>201</v>
      </c>
      <c r="M137" s="1">
        <f t="shared" si="8"/>
        <v>2201</v>
      </c>
      <c r="N137" s="107" t="e">
        <f ca="1">OFFSET(npc_level_config!$T$1,MATCH(M137,npc_level_config!A:A,0)-1,0)</f>
        <v>#VALUE!</v>
      </c>
      <c r="O137" s="107" t="e">
        <f ca="1" t="shared" si="9"/>
        <v>#VALUE!</v>
      </c>
      <c r="P137" s="216">
        <v>1203</v>
      </c>
      <c r="Q137" s="3">
        <f ca="1">IF(S137=0,6,OFFSET(passive_type!$J$1,MATCH(S137,passive_type!A:A,0)-1,0))</f>
        <v>6</v>
      </c>
      <c r="R137" s="3">
        <f ca="1">OFFSET(battle_group!$C$1,MATCH(P137,battle_group!E:E,0)-1,0)</f>
        <v>1</v>
      </c>
      <c r="T137" s="238">
        <v>20272</v>
      </c>
    </row>
    <row r="138" spans="1:20">
      <c r="A138" s="1">
        <v>2088</v>
      </c>
      <c r="B138" s="224" t="s">
        <v>1780</v>
      </c>
      <c r="C138" s="230" t="s">
        <v>1781</v>
      </c>
      <c r="D138" s="224" t="s">
        <v>1782</v>
      </c>
      <c r="E138" s="215">
        <f ca="1">OFFSET(model!$A$1,MATCH(D138,model!B:B,0)-1,0)</f>
        <v>53</v>
      </c>
      <c r="F138" s="224" t="s">
        <v>1528</v>
      </c>
      <c r="G138" s="252" t="s">
        <v>1783</v>
      </c>
      <c r="H138" s="252"/>
      <c r="I138" s="252"/>
      <c r="J138" s="252"/>
      <c r="K138" s="224">
        <v>2</v>
      </c>
      <c r="L138" s="224">
        <v>204</v>
      </c>
      <c r="M138" s="224">
        <f t="shared" si="8"/>
        <v>2204</v>
      </c>
      <c r="N138" s="107" t="e">
        <f ca="1">OFFSET(npc_level_config!$T$1,MATCH(M138,npc_level_config!A:A,0)-1,0)</f>
        <v>#VALUE!</v>
      </c>
      <c r="O138" s="224" t="e">
        <f ca="1" t="shared" si="9"/>
        <v>#VALUE!</v>
      </c>
      <c r="P138" s="258">
        <v>44000</v>
      </c>
      <c r="Q138" s="193">
        <f ca="1">IF(S138=0,6,OFFSET(passive_type!$J$1,MATCH(S138,passive_type!A:A,0)-1,0))</f>
        <v>6</v>
      </c>
      <c r="R138" s="3" t="e">
        <f ca="1">OFFSET(battle_group!$C$1,MATCH(P138,battle_group!E:E,0)-1,0)</f>
        <v>#N/A</v>
      </c>
      <c r="S138" s="224"/>
      <c r="T138" s="242">
        <v>20286</v>
      </c>
    </row>
    <row r="139" ht="15.75" spans="1:20">
      <c r="A139" s="1">
        <v>2089</v>
      </c>
      <c r="B139" s="224" t="s">
        <v>1784</v>
      </c>
      <c r="C139" s="230" t="s">
        <v>1785</v>
      </c>
      <c r="D139" s="224" t="s">
        <v>1784</v>
      </c>
      <c r="E139" s="215">
        <f ca="1">OFFSET(model!$A$1,MATCH(D139,model!B:B,0)-1,0)</f>
        <v>60</v>
      </c>
      <c r="F139" s="224" t="s">
        <v>1528</v>
      </c>
      <c r="G139" s="253" t="s">
        <v>1786</v>
      </c>
      <c r="H139" s="253"/>
      <c r="I139" s="253"/>
      <c r="J139" s="253"/>
      <c r="K139" s="224">
        <v>4</v>
      </c>
      <c r="L139" s="224">
        <v>212</v>
      </c>
      <c r="M139" s="224">
        <f t="shared" si="8"/>
        <v>4212</v>
      </c>
      <c r="N139" s="107" t="e">
        <f ca="1">OFFSET(npc_level_config!$T$1,MATCH(M139,npc_level_config!A:A,0)-1,0)</f>
        <v>#VALUE!</v>
      </c>
      <c r="O139" s="224" t="e">
        <f ca="1" t="shared" si="9"/>
        <v>#VALUE!</v>
      </c>
      <c r="P139" s="234">
        <v>44000</v>
      </c>
      <c r="Q139" s="193">
        <f ca="1">IF(S139=0,6,OFFSET(passive_type!$J$1,MATCH(S139,passive_type!A:A,0)-1,0))</f>
        <v>6</v>
      </c>
      <c r="R139" s="3" t="e">
        <f ca="1">OFFSET(battle_group!$C$1,MATCH(P139,battle_group!E:E,0)-1,0)</f>
        <v>#N/A</v>
      </c>
      <c r="S139" s="224"/>
      <c r="T139" s="242"/>
    </row>
    <row r="140" spans="1:20">
      <c r="A140" s="1">
        <v>2090</v>
      </c>
      <c r="B140" s="215" t="s">
        <v>1541</v>
      </c>
      <c r="C140" s="230" t="s">
        <v>1787</v>
      </c>
      <c r="D140" s="215" t="s">
        <v>1541</v>
      </c>
      <c r="E140" s="215">
        <f ca="1">OFFSET(model!$A$1,MATCH(D140,model!B:B,0)-1,0)</f>
        <v>58</v>
      </c>
      <c r="F140" s="224" t="s">
        <v>1528</v>
      </c>
      <c r="G140" s="224" t="s">
        <v>1542</v>
      </c>
      <c r="H140" s="224"/>
      <c r="I140" s="224"/>
      <c r="J140" s="224"/>
      <c r="K140" s="224">
        <v>2</v>
      </c>
      <c r="L140" s="224">
        <v>211</v>
      </c>
      <c r="M140" s="224">
        <f t="shared" si="8"/>
        <v>2211</v>
      </c>
      <c r="N140" s="107" t="e">
        <f ca="1">OFFSET(npc_level_config!$T$1,MATCH(M140,npc_level_config!A:A,0)-1,0)</f>
        <v>#VALUE!</v>
      </c>
      <c r="O140" s="224" t="e">
        <f ca="1" t="shared" si="9"/>
        <v>#VALUE!</v>
      </c>
      <c r="P140" s="234">
        <v>33000</v>
      </c>
      <c r="Q140" s="193">
        <f ca="1">IF(S140=0,6,OFFSET(passive_type!$J$1,MATCH(S140,passive_type!A:A,0)-1,0))</f>
        <v>6</v>
      </c>
      <c r="R140" s="3" t="e">
        <f ca="1">OFFSET(battle_group!$C$1,MATCH(P140,battle_group!E:E,0)-1,0)</f>
        <v>#N/A</v>
      </c>
      <c r="S140" s="224"/>
      <c r="T140" s="242">
        <v>20159</v>
      </c>
    </row>
    <row r="141" spans="1:20">
      <c r="A141" s="1">
        <v>2091</v>
      </c>
      <c r="B141" s="224" t="s">
        <v>1636</v>
      </c>
      <c r="C141" s="254" t="s">
        <v>1636</v>
      </c>
      <c r="D141" s="224" t="s">
        <v>1636</v>
      </c>
      <c r="E141" s="215">
        <f ca="1">OFFSET(model!$A$1,MATCH(D141,model!B:B,0)-1,0)</f>
        <v>63</v>
      </c>
      <c r="F141" s="224" t="s">
        <v>1528</v>
      </c>
      <c r="G141" s="252" t="s">
        <v>1586</v>
      </c>
      <c r="H141" s="252"/>
      <c r="I141" s="252"/>
      <c r="J141" s="252"/>
      <c r="K141" s="224">
        <v>3</v>
      </c>
      <c r="L141" s="224">
        <v>207</v>
      </c>
      <c r="M141" s="224">
        <f t="shared" si="8"/>
        <v>3207</v>
      </c>
      <c r="N141" s="107" t="e">
        <f ca="1">OFFSET(npc_level_config!$T$1,MATCH(M141,npc_level_config!A:A,0)-1,0)</f>
        <v>#VALUE!</v>
      </c>
      <c r="O141" s="224" t="e">
        <f ca="1" t="shared" si="9"/>
        <v>#VALUE!</v>
      </c>
      <c r="P141" s="234">
        <v>40000</v>
      </c>
      <c r="Q141" s="193">
        <f ca="1">IF(S141=0,6,OFFSET(passive_type!$J$1,MATCH(S141,passive_type!A:A,0)-1,0))</f>
        <v>6</v>
      </c>
      <c r="R141" s="3" t="e">
        <f ca="1">OFFSET(battle_group!$C$1,MATCH(P141,battle_group!E:E,0)-1,0)</f>
        <v>#N/A</v>
      </c>
      <c r="S141" s="224"/>
      <c r="T141" s="242">
        <v>20137</v>
      </c>
    </row>
    <row r="142" spans="1:20">
      <c r="A142" s="1">
        <v>2092</v>
      </c>
      <c r="B142" s="224" t="s">
        <v>1672</v>
      </c>
      <c r="C142" s="254" t="s">
        <v>1788</v>
      </c>
      <c r="D142" s="215" t="s">
        <v>1575</v>
      </c>
      <c r="E142" s="215">
        <f ca="1">OFFSET(model!$A$1,MATCH(D142,model!B:B,0)-1,0)</f>
        <v>2</v>
      </c>
      <c r="F142" s="224" t="s">
        <v>1528</v>
      </c>
      <c r="G142" s="252" t="s">
        <v>1693</v>
      </c>
      <c r="H142" s="252"/>
      <c r="I142" s="252"/>
      <c r="J142" s="252"/>
      <c r="K142" s="224">
        <v>3</v>
      </c>
      <c r="L142" s="224">
        <v>208</v>
      </c>
      <c r="M142" s="224">
        <f t="shared" si="8"/>
        <v>3208</v>
      </c>
      <c r="N142" s="107" t="e">
        <f ca="1">OFFSET(npc_level_config!$T$1,MATCH(M142,npc_level_config!A:A,0)-1,0)</f>
        <v>#VALUE!</v>
      </c>
      <c r="O142" s="224" t="e">
        <f ca="1" t="shared" si="9"/>
        <v>#VALUE!</v>
      </c>
      <c r="P142" s="234">
        <v>31000</v>
      </c>
      <c r="Q142" s="193">
        <f ca="1">IF(S142=0,6,OFFSET(passive_type!$J$1,MATCH(S142,passive_type!A:A,0)-1,0))</f>
        <v>6</v>
      </c>
      <c r="R142" s="3" t="e">
        <f ca="1">OFFSET(battle_group!$C$1,MATCH(P142,battle_group!E:E,0)-1,0)</f>
        <v>#N/A</v>
      </c>
      <c r="S142" s="224"/>
      <c r="T142" s="242">
        <v>20137</v>
      </c>
    </row>
    <row r="143" spans="1:20">
      <c r="A143" s="1">
        <v>2096</v>
      </c>
      <c r="B143" s="224" t="s">
        <v>1789</v>
      </c>
      <c r="C143" s="254" t="s">
        <v>1790</v>
      </c>
      <c r="D143" s="224" t="s">
        <v>1789</v>
      </c>
      <c r="E143" s="215">
        <f ca="1">OFFSET(model!$A$1,MATCH(D143,model!B:B,0)-1,0)</f>
        <v>61</v>
      </c>
      <c r="F143" s="224" t="s">
        <v>1528</v>
      </c>
      <c r="G143" s="252" t="s">
        <v>1628</v>
      </c>
      <c r="H143" s="252"/>
      <c r="I143" s="252"/>
      <c r="J143" s="252"/>
      <c r="K143" s="224">
        <v>3</v>
      </c>
      <c r="L143" s="224">
        <v>212</v>
      </c>
      <c r="M143" s="224">
        <f t="shared" si="8"/>
        <v>3212</v>
      </c>
      <c r="N143" s="107" t="e">
        <f ca="1">OFFSET(npc_level_config!$T$1,MATCH(M143,npc_level_config!A:A,0)-1,0)</f>
        <v>#VALUE!</v>
      </c>
      <c r="O143" s="224" t="e">
        <f ca="1" t="shared" ref="O143:O154" si="10">ROUND(N143,-1)</f>
        <v>#VALUE!</v>
      </c>
      <c r="P143" s="234">
        <v>45000</v>
      </c>
      <c r="Q143" s="193">
        <f ca="1">IF(S143=0,6,OFFSET(passive_type!$J$1,MATCH(S143,passive_type!A:A,0)-1,0))</f>
        <v>6</v>
      </c>
      <c r="R143" s="3" t="e">
        <f ca="1">OFFSET(battle_group!$C$1,MATCH(P143,battle_group!E:E,0)-1,0)</f>
        <v>#N/A</v>
      </c>
      <c r="S143" s="224"/>
      <c r="T143" s="242">
        <v>60715</v>
      </c>
    </row>
    <row r="144" spans="1:20">
      <c r="A144" s="1">
        <v>2097</v>
      </c>
      <c r="B144" s="224" t="s">
        <v>1789</v>
      </c>
      <c r="C144" s="254" t="s">
        <v>1790</v>
      </c>
      <c r="D144" s="224" t="s">
        <v>1789</v>
      </c>
      <c r="E144" s="215">
        <f ca="1">OFFSET(model!$A$1,MATCH(D144,model!B:B,0)-1,0)</f>
        <v>61</v>
      </c>
      <c r="F144" s="224" t="s">
        <v>1528</v>
      </c>
      <c r="G144" s="252" t="s">
        <v>1628</v>
      </c>
      <c r="H144" s="252"/>
      <c r="I144" s="252"/>
      <c r="J144" s="252"/>
      <c r="K144" s="224">
        <v>3</v>
      </c>
      <c r="L144" s="224">
        <v>212</v>
      </c>
      <c r="M144" s="224">
        <f t="shared" si="8"/>
        <v>3212</v>
      </c>
      <c r="N144" s="107" t="e">
        <f ca="1">OFFSET(npc_level_config!$T$1,MATCH(M144,npc_level_config!A:A,0)-1,0)</f>
        <v>#VALUE!</v>
      </c>
      <c r="O144" s="224" t="e">
        <f ca="1" t="shared" si="10"/>
        <v>#VALUE!</v>
      </c>
      <c r="P144" s="234">
        <v>45000</v>
      </c>
      <c r="Q144" s="193">
        <f ca="1">IF(S144=0,6,OFFSET(passive_type!$J$1,MATCH(S144,passive_type!A:A,0)-1,0))</f>
        <v>6</v>
      </c>
      <c r="R144" s="3" t="e">
        <f ca="1">OFFSET(battle_group!$C$1,MATCH(P144,battle_group!E:E,0)-1,0)</f>
        <v>#N/A</v>
      </c>
      <c r="S144" s="224"/>
      <c r="T144" s="242">
        <v>60716</v>
      </c>
    </row>
    <row r="145" spans="1:20">
      <c r="A145" s="1">
        <v>2098</v>
      </c>
      <c r="B145" s="1" t="s">
        <v>1791</v>
      </c>
      <c r="C145" s="145" t="s">
        <v>1792</v>
      </c>
      <c r="D145" t="s">
        <v>1711</v>
      </c>
      <c r="E145" s="213">
        <f ca="1">OFFSET(model!$A$1,MATCH(D145,model!B:B,0)-1,0)</f>
        <v>31</v>
      </c>
      <c r="F145" s="1" t="s">
        <v>1528</v>
      </c>
      <c r="G145" s="255"/>
      <c r="H145" s="255"/>
      <c r="I145" s="255"/>
      <c r="J145" s="255"/>
      <c r="K145" s="1">
        <v>3</v>
      </c>
      <c r="L145" s="1">
        <v>207</v>
      </c>
      <c r="M145" s="1">
        <f t="shared" si="8"/>
        <v>3207</v>
      </c>
      <c r="N145" s="107" t="e">
        <f ca="1">OFFSET(npc_level_config!$T$1,MATCH(M145,npc_level_config!A:A,0)-1,0)</f>
        <v>#VALUE!</v>
      </c>
      <c r="O145" s="107" t="e">
        <f ca="1" t="shared" si="10"/>
        <v>#VALUE!</v>
      </c>
      <c r="P145" s="216">
        <v>1301</v>
      </c>
      <c r="Q145" s="3">
        <f ca="1">IF(S145=0,6,OFFSET(passive_type!$J$1,MATCH(S145,passive_type!A:A,0)-1,0))</f>
        <v>6</v>
      </c>
      <c r="R145" s="3">
        <f ca="1">OFFSET(battle_group!$C$1,MATCH(P145,battle_group!E:E,0)-1,0)</f>
        <v>1</v>
      </c>
      <c r="T145" s="238">
        <v>60802</v>
      </c>
    </row>
    <row r="146" spans="1:20">
      <c r="A146" s="1">
        <v>2099</v>
      </c>
      <c r="B146" s="1" t="s">
        <v>1793</v>
      </c>
      <c r="C146" s="145" t="s">
        <v>1794</v>
      </c>
      <c r="D146" s="1" t="s">
        <v>1795</v>
      </c>
      <c r="E146" s="213">
        <f ca="1">OFFSET(model!$A$1,MATCH(D146,model!B:B,0)-1,0)</f>
        <v>64</v>
      </c>
      <c r="F146" s="1" t="s">
        <v>1528</v>
      </c>
      <c r="G146" s="255"/>
      <c r="H146" s="255"/>
      <c r="I146" s="255"/>
      <c r="J146" s="255"/>
      <c r="K146" s="1">
        <v>3</v>
      </c>
      <c r="L146" s="1">
        <v>208</v>
      </c>
      <c r="M146" s="1">
        <f t="shared" si="8"/>
        <v>3208</v>
      </c>
      <c r="N146" s="107" t="e">
        <f ca="1">OFFSET(npc_level_config!$T$1,MATCH(M146,npc_level_config!A:A,0)-1,0)</f>
        <v>#VALUE!</v>
      </c>
      <c r="O146" s="107" t="e">
        <f ca="1" t="shared" si="10"/>
        <v>#VALUE!</v>
      </c>
      <c r="P146" s="216">
        <v>1302</v>
      </c>
      <c r="Q146" s="3">
        <f ca="1">IF(S146=0,6,OFFSET(passive_type!$J$1,MATCH(S146,passive_type!A:A,0)-1,0))</f>
        <v>6</v>
      </c>
      <c r="R146" s="3">
        <f ca="1">OFFSET(battle_group!$C$1,MATCH(P146,battle_group!E:E,0)-1,0)</f>
        <v>1</v>
      </c>
      <c r="T146" s="238">
        <v>60820</v>
      </c>
    </row>
    <row r="147" spans="1:20">
      <c r="A147" s="1">
        <v>2100</v>
      </c>
      <c r="B147" s="224" t="s">
        <v>1746</v>
      </c>
      <c r="C147" s="247" t="s">
        <v>1796</v>
      </c>
      <c r="D147" s="224" t="s">
        <v>1746</v>
      </c>
      <c r="E147" s="215">
        <f ca="1">OFFSET(model!$A$1,MATCH(D147,model!B:B,0)-1,0)</f>
        <v>49</v>
      </c>
      <c r="F147" s="224" t="s">
        <v>1528</v>
      </c>
      <c r="G147" s="252"/>
      <c r="H147" s="252"/>
      <c r="I147" s="252"/>
      <c r="J147" s="252"/>
      <c r="K147" s="224">
        <v>3</v>
      </c>
      <c r="L147" s="224">
        <v>203</v>
      </c>
      <c r="M147" s="224">
        <f t="shared" si="8"/>
        <v>3203</v>
      </c>
      <c r="N147" s="107" t="e">
        <f ca="1">OFFSET(npc_level_config!$T$1,MATCH(M147,npc_level_config!A:A,0)-1,0)</f>
        <v>#VALUE!</v>
      </c>
      <c r="O147" s="224" t="e">
        <f ca="1" t="shared" si="10"/>
        <v>#VALUE!</v>
      </c>
      <c r="P147" s="234">
        <v>28000</v>
      </c>
      <c r="Q147" s="193">
        <f ca="1">IF(S147=0,6,OFFSET(passive_type!$J$1,MATCH(S147,passive_type!A:A,0)-1,0))</f>
        <v>6</v>
      </c>
      <c r="R147" s="3" t="e">
        <f ca="1">OFFSET(battle_group!$C$1,MATCH(P147,battle_group!E:E,0)-1,0)</f>
        <v>#N/A</v>
      </c>
      <c r="S147" s="224"/>
      <c r="T147" s="242">
        <v>60863</v>
      </c>
    </row>
    <row r="148" spans="1:20">
      <c r="A148" s="1">
        <v>2101</v>
      </c>
      <c r="B148" s="1" t="s">
        <v>1797</v>
      </c>
      <c r="C148" s="11" t="s">
        <v>1798</v>
      </c>
      <c r="D148" t="s">
        <v>1494</v>
      </c>
      <c r="E148" s="213">
        <f ca="1">OFFSET(model!$A$1,MATCH(D148,model!B:B,0)-1,0)</f>
        <v>42</v>
      </c>
      <c r="F148" s="1" t="s">
        <v>1528</v>
      </c>
      <c r="G148" s="255"/>
      <c r="H148" s="255"/>
      <c r="I148" s="255"/>
      <c r="J148" s="255"/>
      <c r="K148" s="1">
        <v>3</v>
      </c>
      <c r="L148" s="1">
        <v>201</v>
      </c>
      <c r="M148" s="1">
        <f t="shared" si="8"/>
        <v>3201</v>
      </c>
      <c r="N148" s="107" t="e">
        <f ca="1">OFFSET(npc_level_config!$T$1,MATCH(M148,npc_level_config!A:A,0)-1,0)</f>
        <v>#VALUE!</v>
      </c>
      <c r="O148" s="107" t="e">
        <f ca="1" t="shared" si="10"/>
        <v>#VALUE!</v>
      </c>
      <c r="P148" s="216">
        <v>4101</v>
      </c>
      <c r="Q148" s="3">
        <f ca="1">IF(S148=0,6,OFFSET(passive_type!$J$1,MATCH(S148,passive_type!A:A,0)-1,0))</f>
        <v>6</v>
      </c>
      <c r="R148" s="3">
        <f ca="1">OFFSET(battle_group!$C$1,MATCH(P148,battle_group!E:E,0)-1,0)</f>
        <v>4</v>
      </c>
      <c r="T148" s="238">
        <v>60849</v>
      </c>
    </row>
    <row r="149" spans="1:20">
      <c r="A149" s="1">
        <v>2102</v>
      </c>
      <c r="B149" s="1" t="s">
        <v>1799</v>
      </c>
      <c r="C149" s="11" t="s">
        <v>1799</v>
      </c>
      <c r="D149" s="1" t="s">
        <v>1800</v>
      </c>
      <c r="E149" s="213">
        <f ca="1">OFFSET(model!$A$1,MATCH(D149,model!B:B,0)-1,0)</f>
        <v>74</v>
      </c>
      <c r="F149" s="1" t="s">
        <v>1528</v>
      </c>
      <c r="G149" s="213" t="s">
        <v>1697</v>
      </c>
      <c r="H149" s="213"/>
      <c r="I149" s="213"/>
      <c r="J149" s="213"/>
      <c r="K149" s="1">
        <v>3</v>
      </c>
      <c r="L149" s="1">
        <v>202</v>
      </c>
      <c r="M149" s="1">
        <f t="shared" si="8"/>
        <v>3202</v>
      </c>
      <c r="N149" s="107" t="e">
        <f ca="1">OFFSET(npc_level_config!$T$1,MATCH(M149,npc_level_config!A:A,0)-1,0)</f>
        <v>#VALUE!</v>
      </c>
      <c r="O149" s="107" t="e">
        <f ca="1" t="shared" si="10"/>
        <v>#VALUE!</v>
      </c>
      <c r="P149" s="216">
        <v>4101</v>
      </c>
      <c r="Q149" s="3">
        <f ca="1">IF(S149=0,6,OFFSET(passive_type!$J$1,MATCH(S149,passive_type!A:A,0)-1,0))</f>
        <v>6</v>
      </c>
      <c r="R149" s="3">
        <f ca="1">OFFSET(battle_group!$C$1,MATCH(P149,battle_group!E:E,0)-1,0)</f>
        <v>4</v>
      </c>
      <c r="T149" s="238">
        <v>60852</v>
      </c>
    </row>
    <row r="150" spans="1:20">
      <c r="A150" s="1">
        <v>2103</v>
      </c>
      <c r="B150" s="1" t="s">
        <v>1801</v>
      </c>
      <c r="C150" s="11" t="s">
        <v>1802</v>
      </c>
      <c r="D150" s="1" t="s">
        <v>1803</v>
      </c>
      <c r="E150" s="213">
        <f ca="1">OFFSET(model!$A$1,MATCH(D150,model!B:B,0)-1,0)</f>
        <v>67</v>
      </c>
      <c r="F150" s="1" t="s">
        <v>1528</v>
      </c>
      <c r="G150" s="255"/>
      <c r="H150" s="255"/>
      <c r="I150" s="255"/>
      <c r="J150" s="255"/>
      <c r="K150" s="1">
        <v>3</v>
      </c>
      <c r="L150" s="1">
        <v>204</v>
      </c>
      <c r="M150" s="1">
        <f t="shared" si="8"/>
        <v>3204</v>
      </c>
      <c r="N150" s="107" t="e">
        <f ca="1">OFFSET(npc_level_config!$T$1,MATCH(M150,npc_level_config!A:A,0)-1,0)</f>
        <v>#VALUE!</v>
      </c>
      <c r="O150" s="107" t="e">
        <f ca="1" t="shared" si="10"/>
        <v>#VALUE!</v>
      </c>
      <c r="P150" s="216">
        <v>3101</v>
      </c>
      <c r="Q150" s="3">
        <f ca="1">IF(S150=0,6,OFFSET(passive_type!$J$1,MATCH(S150,passive_type!A:A,0)-1,0))</f>
        <v>6</v>
      </c>
      <c r="R150" s="3">
        <f ca="1">OFFSET(battle_group!$C$1,MATCH(P150,battle_group!E:E,0)-1,0)</f>
        <v>3</v>
      </c>
      <c r="T150" s="238">
        <v>60855</v>
      </c>
    </row>
    <row r="151" spans="1:20">
      <c r="A151" s="224">
        <v>2104</v>
      </c>
      <c r="B151" s="224" t="s">
        <v>1804</v>
      </c>
      <c r="C151" s="247" t="s">
        <v>1805</v>
      </c>
      <c r="D151" s="224" t="s">
        <v>1721</v>
      </c>
      <c r="E151" s="215">
        <f ca="1">OFFSET(model!$A$1,MATCH(D151,model!B:B,0)-1,0)</f>
        <v>55</v>
      </c>
      <c r="F151" s="224" t="s">
        <v>1528</v>
      </c>
      <c r="G151" s="252"/>
      <c r="H151" s="252"/>
      <c r="I151" s="252"/>
      <c r="J151" s="252"/>
      <c r="K151" s="224">
        <v>3</v>
      </c>
      <c r="L151" s="224">
        <v>209</v>
      </c>
      <c r="M151" s="224">
        <f t="shared" si="8"/>
        <v>3209</v>
      </c>
      <c r="N151" s="107" t="e">
        <f ca="1">OFFSET(npc_level_config!$T$1,MATCH(M151,npc_level_config!A:A,0)-1,0)</f>
        <v>#VALUE!</v>
      </c>
      <c r="O151" s="224" t="e">
        <f ca="1" t="shared" si="10"/>
        <v>#VALUE!</v>
      </c>
      <c r="P151" s="234">
        <v>28000</v>
      </c>
      <c r="Q151" s="193">
        <f ca="1">IF(S151=0,6,OFFSET(passive_type!$J$1,MATCH(S151,passive_type!A:A,0)-1,0))</f>
        <v>6</v>
      </c>
      <c r="R151" s="3" t="e">
        <f ca="1">OFFSET(battle_group!$C$1,MATCH(P151,battle_group!E:E,0)-1,0)</f>
        <v>#N/A</v>
      </c>
      <c r="S151" s="224"/>
      <c r="T151" s="242">
        <v>60858</v>
      </c>
    </row>
    <row r="152" spans="1:20">
      <c r="A152" s="224">
        <v>2105</v>
      </c>
      <c r="B152" s="224" t="s">
        <v>1806</v>
      </c>
      <c r="C152" s="247" t="s">
        <v>1807</v>
      </c>
      <c r="D152" s="224" t="s">
        <v>1721</v>
      </c>
      <c r="E152" s="215">
        <f ca="1">OFFSET(model!$A$1,MATCH(D152,model!B:B,0)-1,0)</f>
        <v>55</v>
      </c>
      <c r="F152" s="224" t="s">
        <v>1528</v>
      </c>
      <c r="G152" s="252"/>
      <c r="H152" s="252"/>
      <c r="I152" s="252"/>
      <c r="J152" s="252"/>
      <c r="K152" s="224">
        <v>3</v>
      </c>
      <c r="L152" s="224">
        <v>210</v>
      </c>
      <c r="M152" s="224">
        <f t="shared" si="8"/>
        <v>3210</v>
      </c>
      <c r="N152" s="107" t="e">
        <f ca="1">OFFSET(npc_level_config!$T$1,MATCH(M152,npc_level_config!A:A,0)-1,0)</f>
        <v>#VALUE!</v>
      </c>
      <c r="O152" s="224" t="e">
        <f ca="1" t="shared" si="10"/>
        <v>#VALUE!</v>
      </c>
      <c r="P152" s="234">
        <v>28000</v>
      </c>
      <c r="Q152" s="193">
        <f ca="1">IF(S152=0,6,OFFSET(passive_type!$J$1,MATCH(S152,passive_type!A:A,0)-1,0))</f>
        <v>6</v>
      </c>
      <c r="R152" s="3" t="e">
        <f ca="1">OFFSET(battle_group!$C$1,MATCH(P152,battle_group!E:E,0)-1,0)</f>
        <v>#N/A</v>
      </c>
      <c r="S152" s="224"/>
      <c r="T152" s="242">
        <v>60861</v>
      </c>
    </row>
    <row r="153" spans="1:20">
      <c r="A153" s="224">
        <v>2106</v>
      </c>
      <c r="B153" s="224" t="s">
        <v>1746</v>
      </c>
      <c r="C153" s="247" t="s">
        <v>1808</v>
      </c>
      <c r="D153" s="224" t="s">
        <v>1746</v>
      </c>
      <c r="E153" s="215">
        <f ca="1">OFFSET(model!$A$1,MATCH(D153,model!B:B,0)-1,0)</f>
        <v>49</v>
      </c>
      <c r="F153" s="224" t="s">
        <v>1528</v>
      </c>
      <c r="G153" s="252"/>
      <c r="H153" s="252"/>
      <c r="I153" s="252"/>
      <c r="J153" s="252"/>
      <c r="K153" s="224">
        <v>3</v>
      </c>
      <c r="L153" s="224">
        <v>211</v>
      </c>
      <c r="M153" s="224">
        <f t="shared" si="8"/>
        <v>3211</v>
      </c>
      <c r="N153" s="107" t="e">
        <f ca="1">OFFSET(npc_level_config!$T$1,MATCH(M153,npc_level_config!A:A,0)-1,0)</f>
        <v>#VALUE!</v>
      </c>
      <c r="O153" s="224" t="e">
        <f ca="1" t="shared" si="10"/>
        <v>#VALUE!</v>
      </c>
      <c r="P153" s="234">
        <v>28000</v>
      </c>
      <c r="Q153" s="193">
        <f ca="1">IF(S153=0,6,OFFSET(passive_type!$J$1,MATCH(S153,passive_type!A:A,0)-1,0))</f>
        <v>6</v>
      </c>
      <c r="R153" s="3" t="e">
        <f ca="1">OFFSET(battle_group!$C$1,MATCH(P153,battle_group!E:E,0)-1,0)</f>
        <v>#N/A</v>
      </c>
      <c r="S153" s="224"/>
      <c r="T153" s="242">
        <v>60863</v>
      </c>
    </row>
    <row r="154" spans="1:21">
      <c r="A154" s="224">
        <v>2107</v>
      </c>
      <c r="B154" s="224" t="s">
        <v>1809</v>
      </c>
      <c r="C154" s="247" t="s">
        <v>1810</v>
      </c>
      <c r="D154" s="224" t="s">
        <v>1721</v>
      </c>
      <c r="E154" s="215">
        <f ca="1">OFFSET(model!$A$1,MATCH(D154,model!B:B,0)-1,0)</f>
        <v>55</v>
      </c>
      <c r="F154" s="224" t="s">
        <v>1528</v>
      </c>
      <c r="G154" s="252"/>
      <c r="H154" s="252"/>
      <c r="I154" s="252"/>
      <c r="J154" s="252"/>
      <c r="K154" s="224">
        <v>3</v>
      </c>
      <c r="L154" s="224">
        <v>206</v>
      </c>
      <c r="M154" s="224">
        <f t="shared" si="8"/>
        <v>3206</v>
      </c>
      <c r="N154" s="107" t="e">
        <f ca="1">OFFSET(npc_level_config!$T$1,MATCH(M154,npc_level_config!A:A,0)-1,0)</f>
        <v>#VALUE!</v>
      </c>
      <c r="O154" s="224" t="e">
        <f ca="1" t="shared" si="10"/>
        <v>#VALUE!</v>
      </c>
      <c r="P154" s="234">
        <v>601000</v>
      </c>
      <c r="Q154" s="193">
        <f ca="1">IF(S154=0,6,OFFSET(passive_type!$J$1,MATCH(S154,passive_type!A:A,0)-1,0))</f>
        <v>6</v>
      </c>
      <c r="R154" s="3" t="e">
        <f ca="1">OFFSET(battle_group!$C$1,MATCH(P154,battle_group!E:E,0)-1,0)</f>
        <v>#N/A</v>
      </c>
      <c r="S154" s="224"/>
      <c r="T154" s="242">
        <v>60878</v>
      </c>
      <c r="U154" s="224"/>
    </row>
    <row r="155" ht="15.75" spans="1:20">
      <c r="A155" s="1">
        <v>2108</v>
      </c>
      <c r="B155" s="245" t="s">
        <v>1811</v>
      </c>
      <c r="C155" s="256"/>
      <c r="D155" s="213" t="s">
        <v>1812</v>
      </c>
      <c r="E155" s="213">
        <f ca="1">OFFSET(model!$A$1,MATCH(D155,model!B:B,0)-1,0)</f>
        <v>80</v>
      </c>
      <c r="F155" s="107" t="s">
        <v>1528</v>
      </c>
      <c r="G155" s="223" t="s">
        <v>1813</v>
      </c>
      <c r="H155" s="223"/>
      <c r="I155" s="223"/>
      <c r="J155" s="223"/>
      <c r="K155" s="1">
        <v>1</v>
      </c>
      <c r="L155" s="1">
        <v>101</v>
      </c>
      <c r="N155" s="107"/>
      <c r="O155" s="107"/>
      <c r="R155" s="3" t="e">
        <f ca="1">OFFSET(battle_group!$C$1,MATCH(P155,battle_group!E:E,0)-1,0)</f>
        <v>#N/A</v>
      </c>
      <c r="T155" s="238"/>
    </row>
    <row r="156" ht="15.75" spans="1:20">
      <c r="A156" s="1">
        <v>2109</v>
      </c>
      <c r="B156" s="245" t="s">
        <v>1814</v>
      </c>
      <c r="C156" s="256"/>
      <c r="D156" s="213" t="s">
        <v>1815</v>
      </c>
      <c r="E156" s="213">
        <f ca="1">OFFSET(model!$A$1,MATCH(D156,model!B:B,0)-1,0)</f>
        <v>27</v>
      </c>
      <c r="F156" s="107" t="s">
        <v>1528</v>
      </c>
      <c r="G156" s="223" t="s">
        <v>1816</v>
      </c>
      <c r="H156" s="223"/>
      <c r="I156" s="223"/>
      <c r="J156" s="223"/>
      <c r="K156" s="1">
        <v>1</v>
      </c>
      <c r="L156" s="1">
        <v>101</v>
      </c>
      <c r="N156" s="107"/>
      <c r="O156" s="107"/>
      <c r="R156" s="3" t="e">
        <f ca="1">OFFSET(battle_group!$C$1,MATCH(P156,battle_group!E:E,0)-1,0)</f>
        <v>#N/A</v>
      </c>
      <c r="T156" s="238"/>
    </row>
    <row r="157" ht="15.75" spans="1:20">
      <c r="A157" s="1">
        <v>2110</v>
      </c>
      <c r="B157" s="245" t="s">
        <v>1817</v>
      </c>
      <c r="C157" s="256"/>
      <c r="D157" s="213" t="s">
        <v>1818</v>
      </c>
      <c r="E157" s="213">
        <f ca="1">OFFSET(model!$A$1,MATCH(D157,model!B:B,0)-1,0)</f>
        <v>81</v>
      </c>
      <c r="F157" s="107" t="s">
        <v>1528</v>
      </c>
      <c r="G157" s="223" t="s">
        <v>1819</v>
      </c>
      <c r="H157" s="223"/>
      <c r="I157" s="223"/>
      <c r="J157" s="223"/>
      <c r="K157" s="1">
        <v>1</v>
      </c>
      <c r="L157" s="1">
        <v>101</v>
      </c>
      <c r="N157" s="107"/>
      <c r="O157" s="107"/>
      <c r="R157" s="3" t="e">
        <f ca="1">OFFSET(battle_group!$C$1,MATCH(P157,battle_group!E:E,0)-1,0)</f>
        <v>#N/A</v>
      </c>
      <c r="T157" s="238"/>
    </row>
    <row r="158" ht="15.75" spans="1:18">
      <c r="A158" s="1">
        <v>2111</v>
      </c>
      <c r="B158" s="1" t="s">
        <v>1820</v>
      </c>
      <c r="C158" s="1" t="s">
        <v>1821</v>
      </c>
      <c r="D158" s="1" t="s">
        <v>1820</v>
      </c>
      <c r="E158" s="213">
        <f ca="1">OFFSET(model!$A$1,MATCH(D158,model!B:B,0)-1,0)</f>
        <v>78</v>
      </c>
      <c r="G158" s="223" t="s">
        <v>1822</v>
      </c>
      <c r="H158" s="223"/>
      <c r="I158" s="223"/>
      <c r="J158" s="223"/>
      <c r="K158" s="1">
        <v>1</v>
      </c>
      <c r="L158" s="1">
        <v>118</v>
      </c>
      <c r="M158" s="1">
        <f t="shared" ref="M158:M163" si="11">K158*1000+L158</f>
        <v>1118</v>
      </c>
      <c r="N158" s="107" t="e">
        <f ca="1">OFFSET(npc_level_config!$T$1,MATCH(M158,npc_level_config!A:A,0)-1,0)</f>
        <v>#VALUE!</v>
      </c>
      <c r="O158" s="107" t="e">
        <f ca="1">ROUND(N158,-1)</f>
        <v>#VALUE!</v>
      </c>
      <c r="P158" s="106">
        <f>P148+1</f>
        <v>4102</v>
      </c>
      <c r="R158" s="3">
        <f ca="1">OFFSET(battle_group!$C$1,MATCH(P158,battle_group!E:E,0)-1,0)</f>
        <v>4</v>
      </c>
    </row>
    <row r="159" ht="15.75" spans="1:20">
      <c r="A159" s="1">
        <v>2112</v>
      </c>
      <c r="B159" s="223" t="s">
        <v>1823</v>
      </c>
      <c r="C159" s="213" t="s">
        <v>1763</v>
      </c>
      <c r="D159" s="213" t="s">
        <v>1763</v>
      </c>
      <c r="E159" s="213">
        <f ca="1">OFFSET(model!$A$1,MATCH(D159,model!B:B,0)-1,0)</f>
        <v>7</v>
      </c>
      <c r="G159" s="215" t="s">
        <v>1687</v>
      </c>
      <c r="H159" s="215"/>
      <c r="I159" s="215"/>
      <c r="J159" s="215"/>
      <c r="K159" s="1">
        <v>1</v>
      </c>
      <c r="L159" s="1">
        <v>210</v>
      </c>
      <c r="M159" s="1">
        <f t="shared" si="11"/>
        <v>1210</v>
      </c>
      <c r="N159" s="107" t="e">
        <f ca="1">OFFSET(npc_level_config!$T$1,MATCH(M159,npc_level_config!A:A,0)-1,0)</f>
        <v>#VALUE!</v>
      </c>
      <c r="O159" s="107" t="e">
        <f ca="1">ROUND(N159,-1)</f>
        <v>#VALUE!</v>
      </c>
      <c r="P159" s="216">
        <v>1107</v>
      </c>
      <c r="R159" s="3">
        <f ca="1">OFFSET(battle_group!$C$1,MATCH(P159,battle_group!E:E,0)-1,0)</f>
        <v>1</v>
      </c>
      <c r="T159" s="1">
        <v>130023</v>
      </c>
    </row>
    <row r="160" spans="1:20">
      <c r="A160" s="1">
        <v>3001</v>
      </c>
      <c r="B160" s="245" t="s">
        <v>1824</v>
      </c>
      <c r="C160" s="256" t="s">
        <v>1825</v>
      </c>
      <c r="D160" s="213" t="s">
        <v>1585</v>
      </c>
      <c r="E160" s="213">
        <f ca="1">OFFSET(model!$A$1,MATCH(D160,model!B:B,0)-1,0)</f>
        <v>1</v>
      </c>
      <c r="F160" s="1" t="s">
        <v>1528</v>
      </c>
      <c r="G160" s="213" t="s">
        <v>1576</v>
      </c>
      <c r="H160" s="213"/>
      <c r="I160" s="213"/>
      <c r="J160" s="213"/>
      <c r="K160" s="1">
        <v>1</v>
      </c>
      <c r="L160" s="1">
        <v>101</v>
      </c>
      <c r="M160" s="1">
        <f t="shared" si="11"/>
        <v>1101</v>
      </c>
      <c r="N160" s="107" t="e">
        <f ca="1">OFFSET(npc_level_config!$T$1,MATCH(M160,npc_level_config!A:A,0)-1,0)</f>
        <v>#VALUE!</v>
      </c>
      <c r="O160" s="107" t="e">
        <f ca="1" t="shared" ref="O160:O187" si="12">ROUND(N160,-1)</f>
        <v>#VALUE!</v>
      </c>
      <c r="P160" s="216">
        <v>2101</v>
      </c>
      <c r="Q160" s="3">
        <f ca="1">IF(S160=0,6,OFFSET(passive_type!$J$1,MATCH(S160,passive_type!A:A,0)-1,0))</f>
        <v>6</v>
      </c>
      <c r="R160" s="3">
        <f ca="1">OFFSET(battle_group!$C$1,MATCH(P160,battle_group!E:E,0)-1,0)</f>
        <v>2</v>
      </c>
      <c r="S160" s="1">
        <v>0</v>
      </c>
      <c r="T160" s="238">
        <v>20137</v>
      </c>
    </row>
    <row r="161" spans="1:20">
      <c r="A161" s="1">
        <v>3002</v>
      </c>
      <c r="B161" s="245" t="s">
        <v>1826</v>
      </c>
      <c r="C161" s="66" t="s">
        <v>1826</v>
      </c>
      <c r="D161" t="s">
        <v>1827</v>
      </c>
      <c r="E161" s="213">
        <f ca="1">OFFSET(model!$A$1,MATCH(D161,model!B:B,0)-1,0)</f>
        <v>33</v>
      </c>
      <c r="F161" s="1" t="s">
        <v>1528</v>
      </c>
      <c r="G161" s="213" t="s">
        <v>1579</v>
      </c>
      <c r="H161" s="213"/>
      <c r="I161" s="213"/>
      <c r="J161" s="213"/>
      <c r="K161" s="1">
        <v>1</v>
      </c>
      <c r="L161" s="1">
        <v>102</v>
      </c>
      <c r="M161" s="1">
        <f t="shared" si="11"/>
        <v>1102</v>
      </c>
      <c r="N161" s="107" t="e">
        <f ca="1">OFFSET(npc_level_config!$T$1,MATCH(M161,npc_level_config!A:A,0)-1,0)</f>
        <v>#VALUE!</v>
      </c>
      <c r="O161" s="107" t="e">
        <f ca="1" t="shared" si="12"/>
        <v>#VALUE!</v>
      </c>
      <c r="P161" s="216">
        <v>1102</v>
      </c>
      <c r="Q161" s="3">
        <f ca="1">IF(S161=0,6,OFFSET(passive_type!$J$1,MATCH(S161,passive_type!A:A,0)-1,0))</f>
        <v>6</v>
      </c>
      <c r="R161" s="3">
        <f ca="1">OFFSET(battle_group!$C$1,MATCH(P161,battle_group!E:E,0)-1,0)</f>
        <v>1</v>
      </c>
      <c r="S161" s="1">
        <v>0</v>
      </c>
      <c r="T161" s="238">
        <v>20138</v>
      </c>
    </row>
    <row r="162" spans="1:20">
      <c r="A162" s="1">
        <v>3003</v>
      </c>
      <c r="B162" s="245" t="s">
        <v>1797</v>
      </c>
      <c r="C162" s="66" t="s">
        <v>1828</v>
      </c>
      <c r="D162" t="s">
        <v>1494</v>
      </c>
      <c r="E162" s="213">
        <f ca="1">OFFSET(model!$A$1,MATCH(D162,model!B:B,0)-1,0)</f>
        <v>42</v>
      </c>
      <c r="F162" s="1" t="s">
        <v>1528</v>
      </c>
      <c r="G162" s="213" t="s">
        <v>1697</v>
      </c>
      <c r="H162" s="213"/>
      <c r="I162" s="213"/>
      <c r="J162" s="213"/>
      <c r="K162" s="1">
        <v>1</v>
      </c>
      <c r="L162" s="1">
        <v>103</v>
      </c>
      <c r="M162" s="1">
        <f t="shared" si="11"/>
        <v>1103</v>
      </c>
      <c r="N162" s="107" t="e">
        <f ca="1">OFFSET(npc_level_config!$T$1,MATCH(M162,npc_level_config!A:A,0)-1,0)</f>
        <v>#VALUE!</v>
      </c>
      <c r="O162" s="107" t="e">
        <f ca="1" t="shared" si="12"/>
        <v>#VALUE!</v>
      </c>
      <c r="P162" s="216">
        <v>4101</v>
      </c>
      <c r="Q162" s="3">
        <f ca="1">IF(S162=0,6,OFFSET(passive_type!$J$1,MATCH(S162,passive_type!A:A,0)-1,0))</f>
        <v>6</v>
      </c>
      <c r="R162" s="3">
        <f ca="1">OFFSET(battle_group!$C$1,MATCH(P162,battle_group!E:E,0)-1,0)</f>
        <v>4</v>
      </c>
      <c r="S162" s="1">
        <v>0</v>
      </c>
      <c r="T162" s="238">
        <v>20139</v>
      </c>
    </row>
    <row r="163" spans="1:20">
      <c r="A163" s="1">
        <v>3004</v>
      </c>
      <c r="B163" s="245" t="s">
        <v>1829</v>
      </c>
      <c r="C163" s="11" t="s">
        <v>1830</v>
      </c>
      <c r="D163" t="s">
        <v>1742</v>
      </c>
      <c r="E163" s="213">
        <f ca="1">OFFSET(model!$A$1,MATCH(D163,model!B:B,0)-1,0)</f>
        <v>41</v>
      </c>
      <c r="F163" s="1" t="s">
        <v>1528</v>
      </c>
      <c r="G163" s="213" t="s">
        <v>1571</v>
      </c>
      <c r="H163" s="213"/>
      <c r="I163" s="213"/>
      <c r="J163" s="213"/>
      <c r="K163" s="1">
        <v>1</v>
      </c>
      <c r="L163" s="1">
        <v>104</v>
      </c>
      <c r="M163" s="1">
        <f t="shared" si="11"/>
        <v>1104</v>
      </c>
      <c r="N163" s="107" t="e">
        <f ca="1">OFFSET(npc_level_config!$T$1,MATCH(M163,npc_level_config!A:A,0)-1,0)</f>
        <v>#VALUE!</v>
      </c>
      <c r="O163" s="107" t="e">
        <f ca="1" t="shared" si="12"/>
        <v>#VALUE!</v>
      </c>
      <c r="P163" s="216">
        <v>1103</v>
      </c>
      <c r="Q163" s="3">
        <f ca="1">IF(S163=0,6,OFFSET(passive_type!$J$1,MATCH(S163,passive_type!A:A,0)-1,0))</f>
        <v>6</v>
      </c>
      <c r="R163" s="3">
        <f ca="1">OFFSET(battle_group!$C$1,MATCH(P163,battle_group!E:E,0)-1,0)</f>
        <v>1</v>
      </c>
      <c r="S163" s="1">
        <v>0</v>
      </c>
      <c r="T163" s="238">
        <v>20154</v>
      </c>
    </row>
    <row r="164" spans="1:20">
      <c r="A164" s="1">
        <v>3005</v>
      </c>
      <c r="B164" s="245" t="s">
        <v>1831</v>
      </c>
      <c r="C164" s="11" t="s">
        <v>1832</v>
      </c>
      <c r="D164" t="s">
        <v>1665</v>
      </c>
      <c r="E164" s="213">
        <f ca="1">OFFSET(model!$A$1,MATCH(D164,model!B:B,0)-1,0)</f>
        <v>40</v>
      </c>
      <c r="F164" s="1" t="s">
        <v>1528</v>
      </c>
      <c r="G164" s="213" t="s">
        <v>1623</v>
      </c>
      <c r="H164" s="213"/>
      <c r="I164" s="213"/>
      <c r="J164" s="213"/>
      <c r="K164" s="1">
        <v>1</v>
      </c>
      <c r="L164" s="1">
        <v>105</v>
      </c>
      <c r="M164" s="1">
        <f t="shared" ref="M164:M207" si="13">K164*1000+L164</f>
        <v>1105</v>
      </c>
      <c r="N164" s="107" t="e">
        <f ca="1">OFFSET(npc_level_config!$T$1,MATCH(M164,npc_level_config!A:A,0)-1,0)</f>
        <v>#VALUE!</v>
      </c>
      <c r="O164" s="107" t="e">
        <f ca="1" t="shared" si="12"/>
        <v>#VALUE!</v>
      </c>
      <c r="P164" s="216">
        <v>1101</v>
      </c>
      <c r="Q164" s="3">
        <f ca="1">IF(S164=0,6,OFFSET(passive_type!$J$1,MATCH(S164,passive_type!A:A,0)-1,0))</f>
        <v>6</v>
      </c>
      <c r="R164" s="3">
        <f ca="1">OFFSET(battle_group!$C$1,MATCH(P164,battle_group!E:E,0)-1,0)</f>
        <v>1</v>
      </c>
      <c r="S164" s="1">
        <v>0</v>
      </c>
      <c r="T164" s="238">
        <v>20138</v>
      </c>
    </row>
    <row r="165" spans="1:20">
      <c r="A165" s="1">
        <v>3006</v>
      </c>
      <c r="B165" s="245" t="s">
        <v>1833</v>
      </c>
      <c r="C165" s="256" t="s">
        <v>1825</v>
      </c>
      <c r="D165" s="213" t="s">
        <v>1585</v>
      </c>
      <c r="E165" s="213">
        <f ca="1">OFFSET(model!$A$1,MATCH(D165,model!B:B,0)-1,0)</f>
        <v>1</v>
      </c>
      <c r="F165" s="1" t="s">
        <v>1528</v>
      </c>
      <c r="G165" s="213" t="s">
        <v>1576</v>
      </c>
      <c r="H165" s="213"/>
      <c r="I165" s="213"/>
      <c r="J165" s="213"/>
      <c r="K165" s="1">
        <v>1</v>
      </c>
      <c r="L165" s="1">
        <v>106</v>
      </c>
      <c r="M165" s="1">
        <f t="shared" si="13"/>
        <v>1106</v>
      </c>
      <c r="N165" s="107" t="e">
        <f ca="1">OFFSET(npc_level_config!$T$1,MATCH(M165,npc_level_config!A:A,0)-1,0)</f>
        <v>#VALUE!</v>
      </c>
      <c r="O165" s="107" t="e">
        <f ca="1" t="shared" si="12"/>
        <v>#VALUE!</v>
      </c>
      <c r="P165" s="216">
        <v>2102</v>
      </c>
      <c r="Q165" s="3">
        <f ca="1">IF(S165=0,6,OFFSET(passive_type!$J$1,MATCH(S165,passive_type!A:A,0)-1,0))</f>
        <v>6</v>
      </c>
      <c r="R165" s="3">
        <f ca="1">OFFSET(battle_group!$C$1,MATCH(P165,battle_group!E:E,0)-1,0)</f>
        <v>2</v>
      </c>
      <c r="S165" s="1">
        <v>0</v>
      </c>
      <c r="T165" s="238">
        <v>20137</v>
      </c>
    </row>
    <row r="166" ht="15.75" spans="1:20">
      <c r="A166" s="1">
        <v>3007</v>
      </c>
      <c r="B166" s="245" t="s">
        <v>1834</v>
      </c>
      <c r="C166" s="66" t="s">
        <v>1828</v>
      </c>
      <c r="D166" s="223" t="s">
        <v>1800</v>
      </c>
      <c r="E166" s="213">
        <f ca="1">OFFSET(model!$A$1,MATCH(D166,model!B:B,0)-1,0)</f>
        <v>74</v>
      </c>
      <c r="F166" s="1" t="s">
        <v>1528</v>
      </c>
      <c r="G166" s="213" t="s">
        <v>1697</v>
      </c>
      <c r="H166" s="213"/>
      <c r="I166" s="213"/>
      <c r="J166" s="213"/>
      <c r="K166" s="1">
        <v>1</v>
      </c>
      <c r="L166" s="1">
        <v>107</v>
      </c>
      <c r="M166" s="1">
        <f t="shared" si="13"/>
        <v>1107</v>
      </c>
      <c r="N166" s="107" t="e">
        <f ca="1">OFFSET(npc_level_config!$T$1,MATCH(M166,npc_level_config!A:A,0)-1,0)</f>
        <v>#VALUE!</v>
      </c>
      <c r="O166" s="107" t="e">
        <f ca="1" t="shared" si="12"/>
        <v>#VALUE!</v>
      </c>
      <c r="P166" s="216">
        <v>4101</v>
      </c>
      <c r="Q166" s="3">
        <f ca="1">IF(S166=0,6,OFFSET(passive_type!$J$1,MATCH(S166,passive_type!A:A,0)-1,0))</f>
        <v>6</v>
      </c>
      <c r="R166" s="3">
        <f ca="1">OFFSET(battle_group!$C$1,MATCH(P166,battle_group!E:E,0)-1,0)</f>
        <v>4</v>
      </c>
      <c r="S166" s="1">
        <v>0</v>
      </c>
      <c r="T166" s="238">
        <v>20139</v>
      </c>
    </row>
    <row r="167" spans="1:20">
      <c r="A167" s="1">
        <v>3008</v>
      </c>
      <c r="B167" s="245" t="s">
        <v>1835</v>
      </c>
      <c r="C167" s="11" t="s">
        <v>1830</v>
      </c>
      <c r="D167" s="213" t="s">
        <v>1585</v>
      </c>
      <c r="E167" s="213">
        <f ca="1">OFFSET(model!$A$1,MATCH(D167,model!B:B,0)-1,0)</f>
        <v>1</v>
      </c>
      <c r="F167" s="1" t="s">
        <v>1528</v>
      </c>
      <c r="G167" s="213" t="s">
        <v>1576</v>
      </c>
      <c r="H167" s="213"/>
      <c r="I167" s="213"/>
      <c r="J167" s="213"/>
      <c r="K167" s="1">
        <v>1</v>
      </c>
      <c r="L167" s="1">
        <v>108</v>
      </c>
      <c r="M167" s="1">
        <f t="shared" si="13"/>
        <v>1108</v>
      </c>
      <c r="N167" s="107" t="e">
        <f ca="1">OFFSET(npc_level_config!$T$1,MATCH(M167,npc_level_config!A:A,0)-1,0)</f>
        <v>#VALUE!</v>
      </c>
      <c r="O167" s="107" t="e">
        <f ca="1" t="shared" si="12"/>
        <v>#VALUE!</v>
      </c>
      <c r="P167" s="216">
        <v>2103</v>
      </c>
      <c r="Q167" s="3">
        <f ca="1">IF(S167=0,6,OFFSET(passive_type!$J$1,MATCH(S167,passive_type!A:A,0)-1,0))</f>
        <v>6</v>
      </c>
      <c r="R167" s="3">
        <f ca="1">OFFSET(battle_group!$C$1,MATCH(P167,battle_group!E:E,0)-1,0)</f>
        <v>2</v>
      </c>
      <c r="S167" s="1">
        <v>0</v>
      </c>
      <c r="T167" s="238">
        <v>20137</v>
      </c>
    </row>
    <row r="168" spans="1:20">
      <c r="A168" s="1">
        <v>3009</v>
      </c>
      <c r="B168" s="245" t="s">
        <v>1836</v>
      </c>
      <c r="C168" s="66" t="s">
        <v>1826</v>
      </c>
      <c r="D168" t="s">
        <v>1827</v>
      </c>
      <c r="E168" s="213">
        <f ca="1">OFFSET(model!$A$1,MATCH(D168,model!B:B,0)-1,0)</f>
        <v>33</v>
      </c>
      <c r="F168" s="1" t="s">
        <v>1528</v>
      </c>
      <c r="G168" s="213" t="s">
        <v>1579</v>
      </c>
      <c r="H168" s="213"/>
      <c r="I168" s="213"/>
      <c r="J168" s="213"/>
      <c r="K168" s="1">
        <v>1</v>
      </c>
      <c r="L168" s="1">
        <v>109</v>
      </c>
      <c r="M168" s="1">
        <f t="shared" si="13"/>
        <v>1109</v>
      </c>
      <c r="N168" s="107" t="e">
        <f ca="1">OFFSET(npc_level_config!$T$1,MATCH(M168,npc_level_config!A:A,0)-1,0)</f>
        <v>#VALUE!</v>
      </c>
      <c r="O168" s="107" t="e">
        <f ca="1" t="shared" si="12"/>
        <v>#VALUE!</v>
      </c>
      <c r="P168" s="216">
        <v>1104</v>
      </c>
      <c r="Q168" s="3">
        <f ca="1">IF(S168=0,6,OFFSET(passive_type!$J$1,MATCH(S168,passive_type!A:A,0)-1,0))</f>
        <v>6</v>
      </c>
      <c r="R168" s="3">
        <f ca="1">OFFSET(battle_group!$C$1,MATCH(P168,battle_group!E:E,0)-1,0)</f>
        <v>1</v>
      </c>
      <c r="S168" s="1">
        <v>0</v>
      </c>
      <c r="T168" s="238">
        <v>20138</v>
      </c>
    </row>
    <row r="169" spans="1:20">
      <c r="A169" s="1">
        <v>3010</v>
      </c>
      <c r="B169" s="1" t="s">
        <v>1837</v>
      </c>
      <c r="C169" s="66" t="s">
        <v>1838</v>
      </c>
      <c r="D169" t="s">
        <v>1742</v>
      </c>
      <c r="E169" s="213">
        <f ca="1">OFFSET(model!$A$1,MATCH(D169,model!B:B,0)-1,0)</f>
        <v>41</v>
      </c>
      <c r="F169" s="1" t="s">
        <v>1528</v>
      </c>
      <c r="G169" s="213" t="s">
        <v>1692</v>
      </c>
      <c r="H169" s="213"/>
      <c r="I169" s="213"/>
      <c r="J169" s="213"/>
      <c r="K169" s="1">
        <v>1</v>
      </c>
      <c r="L169" s="1">
        <v>110</v>
      </c>
      <c r="M169" s="1">
        <f t="shared" si="13"/>
        <v>1110</v>
      </c>
      <c r="N169" s="107" t="e">
        <f ca="1">OFFSET(npc_level_config!$T$1,MATCH(M169,npc_level_config!A:A,0)-1,0)</f>
        <v>#VALUE!</v>
      </c>
      <c r="O169" s="107" t="e">
        <f ca="1" t="shared" si="12"/>
        <v>#VALUE!</v>
      </c>
      <c r="P169" s="216">
        <v>1102</v>
      </c>
      <c r="Q169" s="3">
        <f ca="1">IF(S169=0,6,OFFSET(passive_type!$J$1,MATCH(S169,passive_type!A:A,0)-1,0))</f>
        <v>6</v>
      </c>
      <c r="R169" s="3">
        <f ca="1">OFFSET(battle_group!$C$1,MATCH(P169,battle_group!E:E,0)-1,0)</f>
        <v>1</v>
      </c>
      <c r="S169" s="1">
        <v>0</v>
      </c>
      <c r="T169" s="238">
        <v>20154</v>
      </c>
    </row>
    <row r="170" spans="1:20">
      <c r="A170" s="1">
        <v>3011</v>
      </c>
      <c r="B170" s="245" t="s">
        <v>1839</v>
      </c>
      <c r="C170" s="11" t="s">
        <v>1832</v>
      </c>
      <c r="D170" s="213" t="s">
        <v>1634</v>
      </c>
      <c r="E170" s="213">
        <f ca="1">OFFSET(model!$A$1,MATCH(D170,model!B:B,0)-1,0)</f>
        <v>6</v>
      </c>
      <c r="F170" s="1" t="s">
        <v>1528</v>
      </c>
      <c r="G170" s="213" t="s">
        <v>1635</v>
      </c>
      <c r="H170" s="213"/>
      <c r="I170" s="213"/>
      <c r="J170" s="213"/>
      <c r="K170" s="1">
        <v>1</v>
      </c>
      <c r="L170" s="1">
        <v>111</v>
      </c>
      <c r="M170" s="1">
        <f t="shared" si="13"/>
        <v>1111</v>
      </c>
      <c r="N170" s="107" t="e">
        <f ca="1">OFFSET(npc_level_config!$T$1,MATCH(M170,npc_level_config!A:A,0)-1,0)</f>
        <v>#VALUE!</v>
      </c>
      <c r="O170" s="107" t="e">
        <f ca="1" t="shared" si="12"/>
        <v>#VALUE!</v>
      </c>
      <c r="P170" s="216">
        <v>3101</v>
      </c>
      <c r="Q170" s="3">
        <f ca="1">IF(S170=0,6,OFFSET(passive_type!$J$1,MATCH(S170,passive_type!A:A,0)-1,0))</f>
        <v>6</v>
      </c>
      <c r="R170" s="3">
        <f ca="1">OFFSET(battle_group!$C$1,MATCH(P170,battle_group!E:E,0)-1,0)</f>
        <v>3</v>
      </c>
      <c r="S170" s="1">
        <v>0</v>
      </c>
      <c r="T170" s="238">
        <v>20140</v>
      </c>
    </row>
    <row r="171" spans="1:20">
      <c r="A171" s="1">
        <v>3012</v>
      </c>
      <c r="B171" s="245" t="s">
        <v>1840</v>
      </c>
      <c r="C171" s="256" t="s">
        <v>1825</v>
      </c>
      <c r="D171" s="213" t="s">
        <v>1585</v>
      </c>
      <c r="E171" s="213">
        <f ca="1">OFFSET(model!$A$1,MATCH(D171,model!B:B,0)-1,0)</f>
        <v>1</v>
      </c>
      <c r="F171" s="1" t="s">
        <v>1528</v>
      </c>
      <c r="G171" s="213" t="s">
        <v>1576</v>
      </c>
      <c r="H171" s="213"/>
      <c r="I171" s="213"/>
      <c r="J171" s="213"/>
      <c r="K171" s="1">
        <v>1</v>
      </c>
      <c r="L171" s="1">
        <v>112</v>
      </c>
      <c r="M171" s="1">
        <f t="shared" si="13"/>
        <v>1112</v>
      </c>
      <c r="N171" s="107" t="e">
        <f ca="1">OFFSET(npc_level_config!$T$1,MATCH(M171,npc_level_config!A:A,0)-1,0)</f>
        <v>#VALUE!</v>
      </c>
      <c r="O171" s="107" t="e">
        <f ca="1" t="shared" si="12"/>
        <v>#VALUE!</v>
      </c>
      <c r="P171" s="216">
        <v>3102</v>
      </c>
      <c r="Q171" s="3">
        <f ca="1">IF(S171=0,6,OFFSET(passive_type!$J$1,MATCH(S171,passive_type!A:A,0)-1,0))</f>
        <v>6</v>
      </c>
      <c r="R171" s="3">
        <f ca="1">OFFSET(battle_group!$C$1,MATCH(P171,battle_group!E:E,0)-1,0)</f>
        <v>3</v>
      </c>
      <c r="S171" s="1">
        <v>0</v>
      </c>
      <c r="T171" s="238">
        <v>20137</v>
      </c>
    </row>
    <row r="172" spans="1:20">
      <c r="A172" s="1">
        <v>3013</v>
      </c>
      <c r="B172" s="245" t="s">
        <v>1841</v>
      </c>
      <c r="C172" s="11" t="s">
        <v>1830</v>
      </c>
      <c r="D172" s="213" t="s">
        <v>1585</v>
      </c>
      <c r="E172" s="213">
        <f ca="1">OFFSET(model!$A$1,MATCH(D172,model!B:B,0)-1,0)</f>
        <v>1</v>
      </c>
      <c r="F172" s="1" t="s">
        <v>1528</v>
      </c>
      <c r="G172" s="213" t="s">
        <v>1576</v>
      </c>
      <c r="H172" s="213"/>
      <c r="I172" s="213"/>
      <c r="J172" s="213"/>
      <c r="K172" s="1">
        <v>1</v>
      </c>
      <c r="L172" s="1">
        <v>113</v>
      </c>
      <c r="M172" s="1">
        <f t="shared" si="13"/>
        <v>1113</v>
      </c>
      <c r="N172" s="107" t="e">
        <f ca="1">OFFSET(npc_level_config!$T$1,MATCH(M172,npc_level_config!A:A,0)-1,0)</f>
        <v>#VALUE!</v>
      </c>
      <c r="O172" s="107" t="e">
        <f ca="1" t="shared" si="12"/>
        <v>#VALUE!</v>
      </c>
      <c r="P172" s="216">
        <v>2103</v>
      </c>
      <c r="Q172" s="3">
        <f ca="1">IF(S172=0,6,OFFSET(passive_type!$J$1,MATCH(S172,passive_type!A:A,0)-1,0))</f>
        <v>6</v>
      </c>
      <c r="R172" s="3">
        <f ca="1">OFFSET(battle_group!$C$1,MATCH(P172,battle_group!E:E,0)-1,0)</f>
        <v>2</v>
      </c>
      <c r="S172" s="1">
        <v>0</v>
      </c>
      <c r="T172" s="238">
        <v>20137</v>
      </c>
    </row>
    <row r="173" ht="27.75" spans="1:20">
      <c r="A173" s="1">
        <v>3014</v>
      </c>
      <c r="B173" s="245" t="s">
        <v>1649</v>
      </c>
      <c r="C173" s="11" t="s">
        <v>1842</v>
      </c>
      <c r="D173" s="213" t="s">
        <v>1546</v>
      </c>
      <c r="E173" s="213">
        <f ca="1">OFFSET(model!$A$1,MATCH(D173,model!B:B,0)-1,0)</f>
        <v>13</v>
      </c>
      <c r="F173" s="1" t="s">
        <v>1528</v>
      </c>
      <c r="G173" s="213" t="s">
        <v>1670</v>
      </c>
      <c r="H173" s="213"/>
      <c r="I173" s="213"/>
      <c r="J173" s="213"/>
      <c r="K173" s="1">
        <v>1</v>
      </c>
      <c r="L173" s="1">
        <v>114</v>
      </c>
      <c r="M173" s="1">
        <f t="shared" si="13"/>
        <v>1114</v>
      </c>
      <c r="N173" s="107" t="e">
        <f ca="1">OFFSET(npc_level_config!$T$1,MATCH(M173,npc_level_config!A:A,0)-1,0)</f>
        <v>#VALUE!</v>
      </c>
      <c r="O173" s="107" t="e">
        <f ca="1" t="shared" si="12"/>
        <v>#VALUE!</v>
      </c>
      <c r="P173" s="216">
        <v>3103</v>
      </c>
      <c r="Q173" s="3">
        <f ca="1">IF(S173=0,6,OFFSET(passive_type!$J$1,MATCH(S173,passive_type!A:A,0)-1,0))</f>
        <v>6</v>
      </c>
      <c r="R173" s="3">
        <f ca="1">OFFSET(battle_group!$C$1,MATCH(P173,battle_group!E:E,0)-1,0)</f>
        <v>3</v>
      </c>
      <c r="S173" s="1">
        <v>0</v>
      </c>
      <c r="T173" s="259">
        <v>20142</v>
      </c>
    </row>
    <row r="174" spans="1:20">
      <c r="A174" s="1">
        <v>3015</v>
      </c>
      <c r="B174" s="245" t="s">
        <v>1843</v>
      </c>
      <c r="C174" s="66" t="s">
        <v>1838</v>
      </c>
      <c r="D174" t="s">
        <v>1742</v>
      </c>
      <c r="E174" s="213">
        <f ca="1">OFFSET(model!$A$1,MATCH(D174,model!B:B,0)-1,0)</f>
        <v>41</v>
      </c>
      <c r="F174" s="1" t="s">
        <v>1528</v>
      </c>
      <c r="G174" s="213" t="s">
        <v>1571</v>
      </c>
      <c r="H174" s="213"/>
      <c r="I174" s="213"/>
      <c r="J174" s="213"/>
      <c r="K174" s="1">
        <v>1</v>
      </c>
      <c r="L174" s="1">
        <v>115</v>
      </c>
      <c r="M174" s="1">
        <f t="shared" si="13"/>
        <v>1115</v>
      </c>
      <c r="N174" s="107" t="e">
        <f ca="1">OFFSET(npc_level_config!$T$1,MATCH(M174,npc_level_config!A:A,0)-1,0)</f>
        <v>#VALUE!</v>
      </c>
      <c r="O174" s="107" t="e">
        <f ca="1" t="shared" si="12"/>
        <v>#VALUE!</v>
      </c>
      <c r="P174" s="216">
        <v>1105</v>
      </c>
      <c r="Q174" s="3">
        <f ca="1">IF(S174=0,6,OFFSET(passive_type!$J$1,MATCH(S174,passive_type!A:A,0)-1,0))</f>
        <v>6</v>
      </c>
      <c r="R174" s="3">
        <f ca="1">OFFSET(battle_group!$C$1,MATCH(P174,battle_group!E:E,0)-1,0)</f>
        <v>1</v>
      </c>
      <c r="S174" s="1">
        <v>0</v>
      </c>
      <c r="T174" s="238">
        <v>20137</v>
      </c>
    </row>
    <row r="175" spans="1:20">
      <c r="A175" s="1">
        <v>3016</v>
      </c>
      <c r="B175" s="245" t="s">
        <v>1844</v>
      </c>
      <c r="C175" s="66" t="s">
        <v>1845</v>
      </c>
      <c r="D175" s="213" t="s">
        <v>1527</v>
      </c>
      <c r="E175" s="213">
        <f ca="1">OFFSET(model!$A$1,MATCH(D175,model!B:B,0)-1,0)</f>
        <v>5</v>
      </c>
      <c r="F175" s="1" t="s">
        <v>1528</v>
      </c>
      <c r="G175" s="213" t="s">
        <v>1529</v>
      </c>
      <c r="H175" s="213"/>
      <c r="I175" s="213"/>
      <c r="J175" s="213"/>
      <c r="K175" s="1">
        <v>1</v>
      </c>
      <c r="L175" s="1">
        <v>116</v>
      </c>
      <c r="M175" s="1">
        <f t="shared" si="13"/>
        <v>1116</v>
      </c>
      <c r="N175" s="107" t="e">
        <f ca="1">OFFSET(npc_level_config!$T$1,MATCH(M175,npc_level_config!A:A,0)-1,0)</f>
        <v>#VALUE!</v>
      </c>
      <c r="O175" s="107" t="e">
        <f ca="1" t="shared" si="12"/>
        <v>#VALUE!</v>
      </c>
      <c r="P175" s="216">
        <v>2104</v>
      </c>
      <c r="Q175" s="3">
        <f ca="1">IF(S175=0,6,OFFSET(passive_type!$J$1,MATCH(S175,passive_type!A:A,0)-1,0))</f>
        <v>6</v>
      </c>
      <c r="R175" s="3">
        <f ca="1">OFFSET(battle_group!$C$1,MATCH(P175,battle_group!E:E,0)-1,0)</f>
        <v>2</v>
      </c>
      <c r="S175" s="1">
        <v>0</v>
      </c>
      <c r="T175" s="238">
        <v>20103</v>
      </c>
    </row>
    <row r="176" ht="27.75" spans="1:20">
      <c r="A176" s="1">
        <v>3017</v>
      </c>
      <c r="B176" s="245" t="s">
        <v>1846</v>
      </c>
      <c r="C176" s="11" t="s">
        <v>1847</v>
      </c>
      <c r="D176" s="213" t="s">
        <v>1642</v>
      </c>
      <c r="E176" s="213">
        <f ca="1">OFFSET(model!$A$1,MATCH(D176,model!B:B,0)-1,0)</f>
        <v>19</v>
      </c>
      <c r="F176" s="1" t="s">
        <v>1528</v>
      </c>
      <c r="G176" s="213" t="s">
        <v>1848</v>
      </c>
      <c r="H176" s="213"/>
      <c r="I176" s="213"/>
      <c r="J176" s="213"/>
      <c r="K176" s="1">
        <v>1</v>
      </c>
      <c r="L176" s="1">
        <v>117</v>
      </c>
      <c r="M176" s="1">
        <f t="shared" si="13"/>
        <v>1117</v>
      </c>
      <c r="N176" s="107" t="e">
        <f ca="1">OFFSET(npc_level_config!$T$1,MATCH(M176,npc_level_config!A:A,0)-1,0)</f>
        <v>#VALUE!</v>
      </c>
      <c r="O176" s="107" t="e">
        <f ca="1" t="shared" si="12"/>
        <v>#VALUE!</v>
      </c>
      <c r="P176" s="216">
        <v>3109</v>
      </c>
      <c r="Q176" s="3">
        <f ca="1">IF(S176=0,6,OFFSET(passive_type!$J$1,MATCH(S176,passive_type!A:A,0)-1,0))</f>
        <v>6</v>
      </c>
      <c r="R176" s="3">
        <f ca="1">OFFSET(battle_group!$C$1,MATCH(P176,battle_group!E:E,0)-1,0)</f>
        <v>3</v>
      </c>
      <c r="S176" s="1">
        <v>0</v>
      </c>
      <c r="T176" s="259">
        <v>20141</v>
      </c>
    </row>
    <row r="177" ht="27.75" spans="1:20">
      <c r="A177" s="1">
        <v>3018</v>
      </c>
      <c r="B177" s="245" t="s">
        <v>1649</v>
      </c>
      <c r="C177" s="11" t="s">
        <v>1847</v>
      </c>
      <c r="D177" s="213" t="s">
        <v>1546</v>
      </c>
      <c r="E177" s="213">
        <f ca="1">OFFSET(model!$A$1,MATCH(D177,model!B:B,0)-1,0)</f>
        <v>13</v>
      </c>
      <c r="F177" s="1" t="s">
        <v>1528</v>
      </c>
      <c r="G177" s="213" t="s">
        <v>1670</v>
      </c>
      <c r="H177" s="213"/>
      <c r="I177" s="213"/>
      <c r="J177" s="213"/>
      <c r="K177" s="1">
        <v>1</v>
      </c>
      <c r="L177" s="1">
        <v>117</v>
      </c>
      <c r="M177" s="1">
        <f t="shared" si="13"/>
        <v>1117</v>
      </c>
      <c r="N177" s="107" t="e">
        <f ca="1">OFFSET(npc_level_config!$T$1,MATCH(M177,npc_level_config!A:A,0)-1,0)</f>
        <v>#VALUE!</v>
      </c>
      <c r="O177" s="107" t="e">
        <f ca="1" t="shared" si="12"/>
        <v>#VALUE!</v>
      </c>
      <c r="P177" s="216">
        <v>3103</v>
      </c>
      <c r="Q177" s="3">
        <f ca="1">IF(S177=0,6,OFFSET(passive_type!$J$1,MATCH(S177,passive_type!A:A,0)-1,0))</f>
        <v>6</v>
      </c>
      <c r="R177" s="3">
        <f ca="1">OFFSET(battle_group!$C$1,MATCH(P177,battle_group!E:E,0)-1,0)</f>
        <v>3</v>
      </c>
      <c r="S177" s="1">
        <v>0</v>
      </c>
      <c r="T177" s="259">
        <v>20142</v>
      </c>
    </row>
    <row r="178" spans="1:20">
      <c r="A178" s="1">
        <v>3019</v>
      </c>
      <c r="B178" s="245" t="s">
        <v>1849</v>
      </c>
      <c r="C178" s="11" t="s">
        <v>1832</v>
      </c>
      <c r="D178" s="213" t="s">
        <v>1634</v>
      </c>
      <c r="E178" s="213">
        <f ca="1">OFFSET(model!$A$1,MATCH(D178,model!B:B,0)-1,0)</f>
        <v>6</v>
      </c>
      <c r="F178" s="1" t="s">
        <v>1528</v>
      </c>
      <c r="G178" s="213" t="s">
        <v>1635</v>
      </c>
      <c r="H178" s="213"/>
      <c r="I178" s="213"/>
      <c r="J178" s="213"/>
      <c r="K178" s="1">
        <v>1</v>
      </c>
      <c r="L178" s="1">
        <v>118</v>
      </c>
      <c r="M178" s="1">
        <f t="shared" si="13"/>
        <v>1118</v>
      </c>
      <c r="N178" s="107" t="e">
        <f ca="1">OFFSET(npc_level_config!$T$1,MATCH(M178,npc_level_config!A:A,0)-1,0)</f>
        <v>#VALUE!</v>
      </c>
      <c r="O178" s="107" t="e">
        <f ca="1" t="shared" si="12"/>
        <v>#VALUE!</v>
      </c>
      <c r="P178" s="216">
        <v>3108</v>
      </c>
      <c r="Q178" s="3">
        <f ca="1">IF(S178=0,6,OFFSET(passive_type!$J$1,MATCH(S178,passive_type!A:A,0)-1,0))</f>
        <v>6</v>
      </c>
      <c r="R178" s="3">
        <f ca="1">OFFSET(battle_group!$C$1,MATCH(P178,battle_group!E:E,0)-1,0)</f>
        <v>3</v>
      </c>
      <c r="S178" s="1">
        <v>0</v>
      </c>
      <c r="T178" s="238">
        <v>20140</v>
      </c>
    </row>
    <row r="179" ht="27.75" spans="1:20">
      <c r="A179" s="1">
        <v>3020</v>
      </c>
      <c r="B179" s="245" t="s">
        <v>1850</v>
      </c>
      <c r="C179" s="11" t="s">
        <v>1851</v>
      </c>
      <c r="D179" s="213" t="s">
        <v>1642</v>
      </c>
      <c r="E179" s="213">
        <f ca="1">OFFSET(model!$A$1,MATCH(D179,model!B:B,0)-1,0)</f>
        <v>19</v>
      </c>
      <c r="F179" s="1" t="s">
        <v>1528</v>
      </c>
      <c r="G179" s="213" t="s">
        <v>1848</v>
      </c>
      <c r="H179" s="213"/>
      <c r="I179" s="213"/>
      <c r="J179" s="213"/>
      <c r="K179" s="1">
        <v>1</v>
      </c>
      <c r="L179" s="1">
        <v>119</v>
      </c>
      <c r="M179" s="1">
        <f t="shared" si="13"/>
        <v>1119</v>
      </c>
      <c r="N179" s="107" t="e">
        <f ca="1">OFFSET(npc_level_config!$T$1,MATCH(M179,npc_level_config!A:A,0)-1,0)</f>
        <v>#VALUE!</v>
      </c>
      <c r="O179" s="107" t="e">
        <f ca="1" t="shared" si="12"/>
        <v>#VALUE!</v>
      </c>
      <c r="P179" s="216">
        <v>3105</v>
      </c>
      <c r="Q179" s="3">
        <f ca="1">IF(S179=0,6,OFFSET(passive_type!$J$1,MATCH(S179,passive_type!A:A,0)-1,0))</f>
        <v>6</v>
      </c>
      <c r="R179" s="3">
        <f ca="1">OFFSET(battle_group!$C$1,MATCH(P179,battle_group!E:E,0)-1,0)</f>
        <v>3</v>
      </c>
      <c r="S179" s="1">
        <v>0</v>
      </c>
      <c r="T179" s="259">
        <v>20141</v>
      </c>
    </row>
    <row r="180" spans="1:20">
      <c r="A180" s="1">
        <v>3021</v>
      </c>
      <c r="B180" s="245" t="s">
        <v>1852</v>
      </c>
      <c r="C180" s="66" t="s">
        <v>1826</v>
      </c>
      <c r="D180" t="s">
        <v>1827</v>
      </c>
      <c r="E180" s="213">
        <f ca="1">OFFSET(model!$A$1,MATCH(D180,model!B:B,0)-1,0)</f>
        <v>33</v>
      </c>
      <c r="F180" s="1" t="s">
        <v>1528</v>
      </c>
      <c r="G180" s="213" t="s">
        <v>1579</v>
      </c>
      <c r="H180" s="213"/>
      <c r="I180" s="213"/>
      <c r="J180" s="213"/>
      <c r="K180" s="1">
        <v>1</v>
      </c>
      <c r="L180" s="1">
        <v>120</v>
      </c>
      <c r="M180" s="1">
        <f t="shared" si="13"/>
        <v>1120</v>
      </c>
      <c r="N180" s="107" t="e">
        <f ca="1">OFFSET(npc_level_config!$T$1,MATCH(M180,npc_level_config!A:A,0)-1,0)</f>
        <v>#VALUE!</v>
      </c>
      <c r="O180" s="107" t="e">
        <f ca="1" t="shared" si="12"/>
        <v>#VALUE!</v>
      </c>
      <c r="P180" s="216">
        <v>1107</v>
      </c>
      <c r="Q180" s="3">
        <f ca="1">IF(S180=0,6,OFFSET(passive_type!$J$1,MATCH(S180,passive_type!A:A,0)-1,0))</f>
        <v>6</v>
      </c>
      <c r="R180" s="3">
        <f ca="1">OFFSET(battle_group!$C$1,MATCH(P180,battle_group!E:E,0)-1,0)</f>
        <v>1</v>
      </c>
      <c r="S180" s="1">
        <v>0</v>
      </c>
      <c r="T180" s="238">
        <v>20138</v>
      </c>
    </row>
    <row r="181" spans="1:20">
      <c r="A181" s="1">
        <v>3022</v>
      </c>
      <c r="B181" s="145" t="s">
        <v>1853</v>
      </c>
      <c r="C181" s="11" t="s">
        <v>1832</v>
      </c>
      <c r="D181" s="145" t="s">
        <v>1564</v>
      </c>
      <c r="E181" s="213">
        <f ca="1">OFFSET(model!$A$1,MATCH(D181,model!B:B,0)-1,0)</f>
        <v>9</v>
      </c>
      <c r="F181" s="1" t="s">
        <v>1528</v>
      </c>
      <c r="G181" s="213" t="s">
        <v>1566</v>
      </c>
      <c r="H181" s="213"/>
      <c r="I181" s="213"/>
      <c r="J181" s="213"/>
      <c r="K181" s="1">
        <v>1</v>
      </c>
      <c r="L181" s="1">
        <v>121</v>
      </c>
      <c r="M181" s="1">
        <f t="shared" si="13"/>
        <v>1121</v>
      </c>
      <c r="N181" s="107" t="e">
        <f ca="1">OFFSET(npc_level_config!$T$1,MATCH(M181,npc_level_config!A:A,0)-1,0)</f>
        <v>#VALUE!</v>
      </c>
      <c r="O181" s="107" t="e">
        <f ca="1" t="shared" si="12"/>
        <v>#VALUE!</v>
      </c>
      <c r="P181" s="216">
        <v>3106</v>
      </c>
      <c r="Q181" s="3">
        <f ca="1">IF(S181=0,6,OFFSET(passive_type!$J$1,MATCH(S181,passive_type!A:A,0)-1,0))</f>
        <v>6</v>
      </c>
      <c r="R181" s="3">
        <f ca="1">OFFSET(battle_group!$C$1,MATCH(P181,battle_group!E:E,0)-1,0)</f>
        <v>3</v>
      </c>
      <c r="S181" s="1">
        <v>0</v>
      </c>
      <c r="T181" s="238">
        <v>20161</v>
      </c>
    </row>
    <row r="182" ht="27.75" spans="1:20">
      <c r="A182" s="1">
        <v>3023</v>
      </c>
      <c r="B182" s="1" t="s">
        <v>1854</v>
      </c>
      <c r="C182" s="11" t="s">
        <v>1847</v>
      </c>
      <c r="D182" s="213" t="s">
        <v>1638</v>
      </c>
      <c r="E182" s="213">
        <f ca="1">OFFSET(model!$A$1,MATCH(D182,model!B:B,0)-1,0)</f>
        <v>18</v>
      </c>
      <c r="F182" s="1" t="s">
        <v>1528</v>
      </c>
      <c r="G182" s="213" t="s">
        <v>1676</v>
      </c>
      <c r="H182" s="213"/>
      <c r="I182" s="213"/>
      <c r="J182" s="213"/>
      <c r="K182" s="1">
        <v>1</v>
      </c>
      <c r="L182" s="1">
        <v>123</v>
      </c>
      <c r="M182" s="1">
        <f t="shared" si="13"/>
        <v>1123</v>
      </c>
      <c r="N182" s="107" t="e">
        <f ca="1">OFFSET(npc_level_config!$T$1,MATCH(M182,npc_level_config!A:A,0)-1,0)</f>
        <v>#VALUE!</v>
      </c>
      <c r="O182" s="107" t="e">
        <f ca="1" t="shared" si="12"/>
        <v>#VALUE!</v>
      </c>
      <c r="P182" s="216">
        <v>3106</v>
      </c>
      <c r="Q182" s="3">
        <f ca="1">IF(S182=0,6,OFFSET(passive_type!$J$1,MATCH(S182,passive_type!A:A,0)-1,0))</f>
        <v>6</v>
      </c>
      <c r="R182" s="3">
        <f ca="1">OFFSET(battle_group!$C$1,MATCH(P182,battle_group!E:E,0)-1,0)</f>
        <v>3</v>
      </c>
      <c r="S182" s="1">
        <v>0</v>
      </c>
      <c r="T182" s="238">
        <v>20137</v>
      </c>
    </row>
    <row r="183" ht="27.75" spans="1:20">
      <c r="A183" s="1">
        <v>3024</v>
      </c>
      <c r="B183" s="1" t="s">
        <v>1855</v>
      </c>
      <c r="C183" s="11" t="s">
        <v>1847</v>
      </c>
      <c r="D183" s="213" t="s">
        <v>1546</v>
      </c>
      <c r="E183" s="213">
        <f ca="1">OFFSET(model!$A$1,MATCH(D183,model!B:B,0)-1,0)</f>
        <v>13</v>
      </c>
      <c r="F183" s="1" t="s">
        <v>1528</v>
      </c>
      <c r="G183" s="213" t="s">
        <v>1616</v>
      </c>
      <c r="H183" s="213"/>
      <c r="I183" s="213"/>
      <c r="J183" s="213"/>
      <c r="K183" s="1">
        <v>1</v>
      </c>
      <c r="L183" s="1">
        <v>122</v>
      </c>
      <c r="M183" s="1">
        <f t="shared" si="13"/>
        <v>1122</v>
      </c>
      <c r="N183" s="107" t="e">
        <f ca="1">OFFSET(npc_level_config!$T$1,MATCH(M183,npc_level_config!A:A,0)-1,0)</f>
        <v>#VALUE!</v>
      </c>
      <c r="O183" s="107" t="e">
        <f ca="1" t="shared" si="12"/>
        <v>#VALUE!</v>
      </c>
      <c r="P183" s="216">
        <v>3106</v>
      </c>
      <c r="Q183" s="3">
        <f ca="1">IF(S183=0,6,OFFSET(passive_type!$J$1,MATCH(S183,passive_type!A:A,0)-1,0))</f>
        <v>6</v>
      </c>
      <c r="R183" s="3">
        <f ca="1">OFFSET(battle_group!$C$1,MATCH(P183,battle_group!E:E,0)-1,0)</f>
        <v>3</v>
      </c>
      <c r="S183" s="1">
        <v>0</v>
      </c>
      <c r="T183" s="238">
        <v>20138</v>
      </c>
    </row>
    <row r="184" ht="15.75" spans="1:20">
      <c r="A184" s="1">
        <v>3025</v>
      </c>
      <c r="B184" s="245" t="s">
        <v>1856</v>
      </c>
      <c r="C184" s="66" t="s">
        <v>1828</v>
      </c>
      <c r="D184" s="223" t="s">
        <v>1800</v>
      </c>
      <c r="E184" s="213">
        <f ca="1">OFFSET(model!$A$1,MATCH(D184,model!B:B,0)-1,0)</f>
        <v>74</v>
      </c>
      <c r="F184" s="1" t="s">
        <v>1528</v>
      </c>
      <c r="G184" s="213" t="s">
        <v>1697</v>
      </c>
      <c r="H184" s="213"/>
      <c r="I184" s="213"/>
      <c r="J184" s="213"/>
      <c r="K184" s="1">
        <v>1</v>
      </c>
      <c r="L184" s="1">
        <v>124</v>
      </c>
      <c r="M184" s="1">
        <f t="shared" si="13"/>
        <v>1124</v>
      </c>
      <c r="N184" s="107" t="e">
        <f ca="1">OFFSET(npc_level_config!$T$1,MATCH(M184,npc_level_config!A:A,0)-1,0)</f>
        <v>#VALUE!</v>
      </c>
      <c r="O184" s="107" t="e">
        <f ca="1" t="shared" si="12"/>
        <v>#VALUE!</v>
      </c>
      <c r="P184" s="216">
        <v>4101</v>
      </c>
      <c r="Q184" s="3">
        <f ca="1">IF(S184=0,6,OFFSET(passive_type!$J$1,MATCH(S184,passive_type!A:A,0)-1,0))</f>
        <v>6</v>
      </c>
      <c r="R184" s="3">
        <f ca="1">OFFSET(battle_group!$C$1,MATCH(P184,battle_group!E:E,0)-1,0)</f>
        <v>4</v>
      </c>
      <c r="S184" s="1">
        <v>0</v>
      </c>
      <c r="T184" s="238">
        <v>20139</v>
      </c>
    </row>
    <row r="185" spans="1:20">
      <c r="A185" s="1">
        <v>3026</v>
      </c>
      <c r="B185" s="198" t="s">
        <v>1857</v>
      </c>
      <c r="C185" s="66" t="s">
        <v>1838</v>
      </c>
      <c r="D185" s="213" t="s">
        <v>1585</v>
      </c>
      <c r="E185" s="213">
        <f ca="1">OFFSET(model!$A$1,MATCH(D185,model!B:B,0)-1,0)</f>
        <v>1</v>
      </c>
      <c r="F185" s="1" t="s">
        <v>1528</v>
      </c>
      <c r="G185" s="213" t="s">
        <v>1571</v>
      </c>
      <c r="H185" s="213"/>
      <c r="I185" s="213"/>
      <c r="J185" s="213"/>
      <c r="K185" s="1">
        <v>1</v>
      </c>
      <c r="L185" s="1">
        <v>125</v>
      </c>
      <c r="M185" s="1">
        <f t="shared" si="13"/>
        <v>1125</v>
      </c>
      <c r="N185" s="107" t="e">
        <f ca="1">OFFSET(npc_level_config!$T$1,MATCH(M185,npc_level_config!A:A,0)-1,0)</f>
        <v>#VALUE!</v>
      </c>
      <c r="O185" s="107" t="e">
        <f ca="1" t="shared" si="12"/>
        <v>#VALUE!</v>
      </c>
      <c r="P185" s="216">
        <v>1108</v>
      </c>
      <c r="Q185" s="3">
        <f ca="1">IF(S185=0,6,OFFSET(passive_type!$J$1,MATCH(S185,passive_type!A:A,0)-1,0))</f>
        <v>6</v>
      </c>
      <c r="R185" s="3">
        <f ca="1">OFFSET(battle_group!$C$1,MATCH(P185,battle_group!E:E,0)-1,0)</f>
        <v>1</v>
      </c>
      <c r="S185" s="1">
        <v>0</v>
      </c>
      <c r="T185" s="238">
        <v>20109</v>
      </c>
    </row>
    <row r="186" ht="27.75" spans="1:20">
      <c r="A186" s="1">
        <v>3027</v>
      </c>
      <c r="B186" s="257" t="s">
        <v>1649</v>
      </c>
      <c r="C186" s="11" t="s">
        <v>1842</v>
      </c>
      <c r="D186" s="213" t="s">
        <v>1595</v>
      </c>
      <c r="E186" s="213">
        <f ca="1">OFFSET(model!$A$1,MATCH(D186,model!B:B,0)-1,0)</f>
        <v>14</v>
      </c>
      <c r="F186" s="1" t="s">
        <v>1528</v>
      </c>
      <c r="G186" s="213" t="s">
        <v>1651</v>
      </c>
      <c r="H186" s="213"/>
      <c r="I186" s="213"/>
      <c r="J186" s="213"/>
      <c r="K186" s="1">
        <v>1</v>
      </c>
      <c r="L186" s="1">
        <v>126</v>
      </c>
      <c r="M186" s="1">
        <f t="shared" si="13"/>
        <v>1126</v>
      </c>
      <c r="N186" s="107" t="e">
        <f ca="1">OFFSET(npc_level_config!$T$1,MATCH(M186,npc_level_config!A:A,0)-1,0)</f>
        <v>#VALUE!</v>
      </c>
      <c r="O186" s="107" t="e">
        <f ca="1" t="shared" si="12"/>
        <v>#VALUE!</v>
      </c>
      <c r="P186" s="216">
        <v>3103</v>
      </c>
      <c r="Q186" s="3">
        <f ca="1">IF(S186=0,6,OFFSET(passive_type!$J$1,MATCH(S186,passive_type!A:A,0)-1,0))</f>
        <v>6</v>
      </c>
      <c r="R186" s="3">
        <f ca="1">OFFSET(battle_group!$C$1,MATCH(P186,battle_group!E:E,0)-1,0)</f>
        <v>3</v>
      </c>
      <c r="S186" s="1">
        <v>0</v>
      </c>
      <c r="T186" s="259">
        <v>20142</v>
      </c>
    </row>
    <row r="187" ht="15.75" spans="1:20">
      <c r="A187" s="1">
        <v>3029</v>
      </c>
      <c r="B187" s="245" t="s">
        <v>1858</v>
      </c>
      <c r="C187" s="66" t="s">
        <v>1845</v>
      </c>
      <c r="D187" s="223" t="s">
        <v>1686</v>
      </c>
      <c r="E187" s="213">
        <f ca="1">OFFSET(model!$A$1,MATCH(D187,model!B:B,0)-1,0)</f>
        <v>70</v>
      </c>
      <c r="F187" s="1" t="s">
        <v>1528</v>
      </c>
      <c r="G187" s="213" t="s">
        <v>1687</v>
      </c>
      <c r="H187" s="213"/>
      <c r="I187" s="213"/>
      <c r="J187" s="213"/>
      <c r="K187" s="1">
        <v>1</v>
      </c>
      <c r="L187" s="1">
        <v>127</v>
      </c>
      <c r="M187" s="1">
        <f t="shared" si="13"/>
        <v>1127</v>
      </c>
      <c r="N187" s="107" t="e">
        <f ca="1">OFFSET(npc_level_config!$T$1,MATCH(M187,npc_level_config!A:A,0)-1,0)</f>
        <v>#VALUE!</v>
      </c>
      <c r="O187" s="107" t="e">
        <f ca="1" t="shared" si="12"/>
        <v>#VALUE!</v>
      </c>
      <c r="P187" s="216">
        <v>1107</v>
      </c>
      <c r="Q187" s="3">
        <f ca="1">IF(S187=0,6,OFFSET(passive_type!$J$1,MATCH(S187,passive_type!A:A,0)-1,0))</f>
        <v>6</v>
      </c>
      <c r="R187" s="3">
        <f ca="1">OFFSET(battle_group!$C$1,MATCH(P187,battle_group!E:E,0)-1,0)</f>
        <v>1</v>
      </c>
      <c r="S187" s="1">
        <v>0</v>
      </c>
      <c r="T187" s="238">
        <v>20103</v>
      </c>
    </row>
    <row r="188" ht="15.75" spans="2:20">
      <c r="B188" s="245"/>
      <c r="C188" s="66"/>
      <c r="D188" s="223"/>
      <c r="E188" s="213"/>
      <c r="G188" s="213"/>
      <c r="H188" s="213"/>
      <c r="I188" s="213"/>
      <c r="J188" s="213"/>
      <c r="M188" s="1">
        <f t="shared" si="13"/>
        <v>0</v>
      </c>
      <c r="N188" s="107" t="e">
        <f ca="1">OFFSET(npc_level_config!$T$1,MATCH(M188,npc_level_config!A:A,0)-1,0)</f>
        <v>#N/A</v>
      </c>
      <c r="O188" s="107" t="e">
        <f ca="1" t="shared" ref="O188:O199" si="14">ROUND(N188,-1)</f>
        <v>#N/A</v>
      </c>
      <c r="R188" s="3" t="e">
        <f ca="1">OFFSET(battle_group!$C$1,MATCH(P188,battle_group!E:E,0)-1,0)</f>
        <v>#N/A</v>
      </c>
      <c r="T188" s="238"/>
    </row>
    <row r="189" spans="1:20">
      <c r="A189" s="1">
        <v>3030</v>
      </c>
      <c r="B189" s="245" t="s">
        <v>1859</v>
      </c>
      <c r="C189" s="11" t="s">
        <v>1830</v>
      </c>
      <c r="D189" s="213" t="s">
        <v>1585</v>
      </c>
      <c r="E189" s="213">
        <f ca="1">OFFSET(model!$A$1,MATCH(D189,model!B:B,0)-1,0)</f>
        <v>1</v>
      </c>
      <c r="F189" s="1" t="s">
        <v>1528</v>
      </c>
      <c r="G189" s="213" t="s">
        <v>1576</v>
      </c>
      <c r="H189" s="213"/>
      <c r="I189" s="213"/>
      <c r="J189" s="213"/>
      <c r="K189" s="1">
        <v>1</v>
      </c>
      <c r="L189" s="1">
        <v>129</v>
      </c>
      <c r="M189" s="1">
        <f t="shared" si="13"/>
        <v>1129</v>
      </c>
      <c r="N189" s="107" t="e">
        <f ca="1">OFFSET(npc_level_config!$T$1,MATCH(M189,npc_level_config!A:A,0)-1,0)</f>
        <v>#VALUE!</v>
      </c>
      <c r="O189" s="107" t="e">
        <f ca="1" t="shared" si="14"/>
        <v>#VALUE!</v>
      </c>
      <c r="P189" s="216">
        <v>1108</v>
      </c>
      <c r="Q189" s="3">
        <f ca="1">IF(S189=0,6,OFFSET(passive_type!$J$1,MATCH(S189,passive_type!A:A,0)-1,0))</f>
        <v>6</v>
      </c>
      <c r="R189" s="3">
        <f ca="1">OFFSET(battle_group!$C$1,MATCH(P189,battle_group!E:E,0)-1,0)</f>
        <v>1</v>
      </c>
      <c r="S189" s="1">
        <v>0</v>
      </c>
      <c r="T189" s="238">
        <v>20138</v>
      </c>
    </row>
    <row r="190" spans="1:20">
      <c r="A190" s="1">
        <v>3031</v>
      </c>
      <c r="B190" s="245" t="s">
        <v>1860</v>
      </c>
      <c r="C190" s="11" t="s">
        <v>1832</v>
      </c>
      <c r="D190" s="213" t="s">
        <v>1575</v>
      </c>
      <c r="E190" s="213">
        <f ca="1">OFFSET(model!$A$1,MATCH(D190,model!B:B,0)-1,0)</f>
        <v>2</v>
      </c>
      <c r="F190" s="1" t="s">
        <v>1528</v>
      </c>
      <c r="G190" s="213" t="s">
        <v>1579</v>
      </c>
      <c r="H190" s="213"/>
      <c r="I190" s="213"/>
      <c r="J190" s="213"/>
      <c r="K190" s="1">
        <v>1</v>
      </c>
      <c r="L190" s="1">
        <v>130</v>
      </c>
      <c r="M190" s="1">
        <f t="shared" si="13"/>
        <v>1130</v>
      </c>
      <c r="N190" s="107" t="e">
        <f ca="1">OFFSET(npc_level_config!$T$1,MATCH(M190,npc_level_config!A:A,0)-1,0)</f>
        <v>#VALUE!</v>
      </c>
      <c r="O190" s="107" t="e">
        <f ca="1" t="shared" si="14"/>
        <v>#VALUE!</v>
      </c>
      <c r="P190" s="216">
        <v>1109</v>
      </c>
      <c r="Q190" s="3">
        <f ca="1">IF(S190=0,6,OFFSET(passive_type!$J$1,MATCH(S190,passive_type!A:A,0)-1,0))</f>
        <v>6</v>
      </c>
      <c r="R190" s="3">
        <f ca="1">OFFSET(battle_group!$C$1,MATCH(P190,battle_group!E:E,0)-1,0)</f>
        <v>1</v>
      </c>
      <c r="S190" s="1">
        <v>0</v>
      </c>
      <c r="T190" s="238">
        <v>20138</v>
      </c>
    </row>
    <row r="191" spans="1:20">
      <c r="A191" s="1">
        <v>3032</v>
      </c>
      <c r="B191" s="1" t="s">
        <v>1861</v>
      </c>
      <c r="C191" s="256" t="s">
        <v>1825</v>
      </c>
      <c r="D191" t="s">
        <v>1742</v>
      </c>
      <c r="E191" s="213">
        <f ca="1">OFFSET(model!$A$1,MATCH(D191,model!B:B,0)-1,0)</f>
        <v>41</v>
      </c>
      <c r="F191" s="1" t="s">
        <v>1528</v>
      </c>
      <c r="G191" s="213" t="s">
        <v>1571</v>
      </c>
      <c r="H191" s="213"/>
      <c r="I191" s="213"/>
      <c r="J191" s="213"/>
      <c r="K191" s="1">
        <v>1</v>
      </c>
      <c r="L191" s="1">
        <v>131</v>
      </c>
      <c r="M191" s="1">
        <f t="shared" si="13"/>
        <v>1131</v>
      </c>
      <c r="N191" s="107" t="e">
        <f ca="1">OFFSET(npc_level_config!$T$1,MATCH(M191,npc_level_config!A:A,0)-1,0)</f>
        <v>#VALUE!</v>
      </c>
      <c r="O191" s="107" t="e">
        <f ca="1" t="shared" si="14"/>
        <v>#VALUE!</v>
      </c>
      <c r="P191" s="216">
        <v>2105</v>
      </c>
      <c r="Q191" s="3">
        <f ca="1">IF(S191=0,6,OFFSET(passive_type!$J$1,MATCH(S191,passive_type!A:A,0)-1,0))</f>
        <v>6</v>
      </c>
      <c r="R191" s="3">
        <f ca="1">OFFSET(battle_group!$C$1,MATCH(P191,battle_group!E:E,0)-1,0)</f>
        <v>2</v>
      </c>
      <c r="S191" s="1">
        <v>0</v>
      </c>
      <c r="T191" s="238">
        <v>20137</v>
      </c>
    </row>
    <row r="192" ht="27.75" spans="1:20">
      <c r="A192" s="1">
        <v>3033</v>
      </c>
      <c r="B192" s="213" t="s">
        <v>1570</v>
      </c>
      <c r="C192" s="66" t="s">
        <v>1826</v>
      </c>
      <c r="D192" s="213" t="s">
        <v>1570</v>
      </c>
      <c r="E192" s="213">
        <f ca="1">OFFSET(model!$A$1,MATCH(D192,model!B:B,0)-1,0)</f>
        <v>3</v>
      </c>
      <c r="F192" s="1" t="s">
        <v>1528</v>
      </c>
      <c r="G192" s="213" t="s">
        <v>1694</v>
      </c>
      <c r="H192" s="213"/>
      <c r="I192" s="213"/>
      <c r="J192" s="213"/>
      <c r="K192" s="1">
        <v>1</v>
      </c>
      <c r="L192" s="1">
        <v>132</v>
      </c>
      <c r="M192" s="1">
        <f t="shared" si="13"/>
        <v>1132</v>
      </c>
      <c r="N192" s="107" t="e">
        <f ca="1">OFFSET(npc_level_config!$T$1,MATCH(M192,npc_level_config!A:A,0)-1,0)</f>
        <v>#VALUE!</v>
      </c>
      <c r="O192" s="107" t="e">
        <f ca="1" t="shared" si="14"/>
        <v>#VALUE!</v>
      </c>
      <c r="P192" s="216">
        <v>3107</v>
      </c>
      <c r="Q192" s="3">
        <f ca="1">IF(S192=0,6,OFFSET(passive_type!$J$1,MATCH(S192,passive_type!A:A,0)-1,0))</f>
        <v>6</v>
      </c>
      <c r="R192" s="3">
        <f ca="1">OFFSET(battle_group!$C$1,MATCH(P192,battle_group!E:E,0)-1,0)</f>
        <v>3</v>
      </c>
      <c r="S192" s="1">
        <v>0</v>
      </c>
      <c r="T192" s="238">
        <v>20138</v>
      </c>
    </row>
    <row r="193" ht="27.75" spans="1:20">
      <c r="A193" s="1">
        <v>3034</v>
      </c>
      <c r="B193" s="1" t="s">
        <v>1862</v>
      </c>
      <c r="C193" s="66" t="s">
        <v>1838</v>
      </c>
      <c r="D193" s="213" t="s">
        <v>1546</v>
      </c>
      <c r="E193" s="213">
        <f ca="1">OFFSET(model!$A$1,MATCH(D193,model!B:B,0)-1,0)</f>
        <v>13</v>
      </c>
      <c r="F193" s="1" t="s">
        <v>1528</v>
      </c>
      <c r="G193" s="214" t="s">
        <v>1705</v>
      </c>
      <c r="H193" s="214"/>
      <c r="I193" s="214"/>
      <c r="J193" s="214"/>
      <c r="K193" s="1">
        <v>1</v>
      </c>
      <c r="L193" s="1">
        <v>133</v>
      </c>
      <c r="M193" s="1">
        <f t="shared" si="13"/>
        <v>1133</v>
      </c>
      <c r="N193" s="107" t="e">
        <f ca="1">OFFSET(npc_level_config!$T$1,MATCH(M193,npc_level_config!A:A,0)-1,0)</f>
        <v>#VALUE!</v>
      </c>
      <c r="O193" s="107" t="e">
        <f ca="1" t="shared" si="14"/>
        <v>#VALUE!</v>
      </c>
      <c r="P193" s="106">
        <v>3107</v>
      </c>
      <c r="Q193" s="3">
        <f ca="1">IF(S193=0,6,OFFSET(passive_type!$J$1,MATCH(S193,passive_type!A:A,0)-1,0))</f>
        <v>6</v>
      </c>
      <c r="R193" s="3">
        <f ca="1">OFFSET(battle_group!$C$1,MATCH(P193,battle_group!E:E,0)-1,0)</f>
        <v>3</v>
      </c>
      <c r="T193" s="236">
        <v>80071</v>
      </c>
    </row>
    <row r="194" spans="1:20">
      <c r="A194" s="1">
        <v>3035</v>
      </c>
      <c r="B194" s="66" t="s">
        <v>1863</v>
      </c>
      <c r="C194" s="66" t="s">
        <v>1845</v>
      </c>
      <c r="D194" t="s">
        <v>1827</v>
      </c>
      <c r="E194" s="213">
        <f ca="1">OFFSET(model!$A$1,MATCH(D194,model!B:B,0)-1,0)</f>
        <v>33</v>
      </c>
      <c r="F194" s="1" t="s">
        <v>1528</v>
      </c>
      <c r="G194" s="213" t="s">
        <v>1579</v>
      </c>
      <c r="H194" s="213"/>
      <c r="I194" s="213"/>
      <c r="J194" s="213"/>
      <c r="K194" s="1">
        <v>1</v>
      </c>
      <c r="L194" s="1">
        <v>134</v>
      </c>
      <c r="M194" s="1">
        <f t="shared" si="13"/>
        <v>1134</v>
      </c>
      <c r="N194" s="107" t="e">
        <f ca="1">OFFSET(npc_level_config!$T$1,MATCH(M194,npc_level_config!A:A,0)-1,0)</f>
        <v>#VALUE!</v>
      </c>
      <c r="O194" s="107" t="e">
        <f ca="1" t="shared" si="14"/>
        <v>#VALUE!</v>
      </c>
      <c r="P194" s="216">
        <v>2106</v>
      </c>
      <c r="Q194" s="3">
        <f ca="1">IF(S194=0,6,OFFSET(passive_type!$J$1,MATCH(S194,passive_type!A:A,0)-1,0))</f>
        <v>6</v>
      </c>
      <c r="R194" s="3">
        <f ca="1">OFFSET(battle_group!$C$1,MATCH(P194,battle_group!E:E,0)-1,0)</f>
        <v>2</v>
      </c>
      <c r="S194" s="1">
        <v>0</v>
      </c>
      <c r="T194" s="238">
        <v>20138</v>
      </c>
    </row>
    <row r="195" ht="27.75" spans="1:20">
      <c r="A195" s="1">
        <v>3036</v>
      </c>
      <c r="B195" s="256" t="s">
        <v>1864</v>
      </c>
      <c r="C195" s="256" t="s">
        <v>1825</v>
      </c>
      <c r="D195" s="213" t="s">
        <v>1642</v>
      </c>
      <c r="E195" s="213">
        <f ca="1">OFFSET(model!$A$1,MATCH(D195,model!B:B,0)-1,0)</f>
        <v>19</v>
      </c>
      <c r="F195" s="1" t="s">
        <v>1528</v>
      </c>
      <c r="G195" s="213" t="s">
        <v>1676</v>
      </c>
      <c r="H195" s="213"/>
      <c r="I195" s="213"/>
      <c r="J195" s="213"/>
      <c r="K195" s="1">
        <v>2</v>
      </c>
      <c r="L195" s="1">
        <v>101</v>
      </c>
      <c r="M195" s="1">
        <f t="shared" si="13"/>
        <v>2101</v>
      </c>
      <c r="N195" s="107" t="e">
        <f ca="1">OFFSET(npc_level_config!$T$1,MATCH(M195,npc_level_config!A:A,0)-1,0)</f>
        <v>#VALUE!</v>
      </c>
      <c r="O195" s="107" t="e">
        <f ca="1" t="shared" si="14"/>
        <v>#VALUE!</v>
      </c>
      <c r="P195" s="216">
        <v>3201</v>
      </c>
      <c r="Q195" s="3">
        <f ca="1">IF(S195=0,6,OFFSET(passive_type!$J$1,MATCH(S195,passive_type!A:A,0)-1,0))</f>
        <v>6</v>
      </c>
      <c r="R195" s="3">
        <f ca="1">OFFSET(battle_group!$C$1,MATCH(P195,battle_group!E:E,0)-1,0)</f>
        <v>3</v>
      </c>
      <c r="S195" s="1">
        <v>0</v>
      </c>
      <c r="T195" s="238">
        <v>20137</v>
      </c>
    </row>
    <row r="196" spans="5:20">
      <c r="E196" s="213"/>
      <c r="M196" s="1">
        <f t="shared" si="13"/>
        <v>0</v>
      </c>
      <c r="N196" s="107" t="e">
        <f ca="1">OFFSET(npc_level_config!$T$1,MATCH(M196,npc_level_config!A:A,0)-1,0)</f>
        <v>#N/A</v>
      </c>
      <c r="O196" s="107" t="e">
        <f ca="1" t="shared" si="14"/>
        <v>#N/A</v>
      </c>
      <c r="Q196" s="3">
        <f ca="1">IF(S196=0,6,OFFSET(passive_type!$J$1,MATCH(S196,passive_type!A:A,0)-1,0))</f>
        <v>6</v>
      </c>
      <c r="R196" s="3" t="e">
        <f ca="1">OFFSET(battle_group!$C$1,MATCH(P196,battle_group!E:E,0)-1,0)</f>
        <v>#N/A</v>
      </c>
      <c r="T196" s="236"/>
    </row>
    <row r="197" ht="27.75" spans="1:20">
      <c r="A197" s="1">
        <v>3038</v>
      </c>
      <c r="B197" s="11" t="s">
        <v>1854</v>
      </c>
      <c r="C197" s="11" t="s">
        <v>1865</v>
      </c>
      <c r="D197" s="213" t="s">
        <v>1546</v>
      </c>
      <c r="E197" s="213">
        <f ca="1">OFFSET(model!$A$1,MATCH(D197,model!B:B,0)-1,0)</f>
        <v>13</v>
      </c>
      <c r="F197" s="1" t="s">
        <v>1528</v>
      </c>
      <c r="G197" s="213" t="s">
        <v>1628</v>
      </c>
      <c r="H197" s="213"/>
      <c r="I197" s="213"/>
      <c r="J197" s="213"/>
      <c r="K197" s="1">
        <v>2</v>
      </c>
      <c r="L197" s="1">
        <v>103</v>
      </c>
      <c r="M197" s="1">
        <f t="shared" si="13"/>
        <v>2103</v>
      </c>
      <c r="N197" s="107" t="e">
        <f ca="1">OFFSET(npc_level_config!$T$1,MATCH(M197,npc_level_config!A:A,0)-1,0)</f>
        <v>#VALUE!</v>
      </c>
      <c r="O197" s="107" t="e">
        <f ca="1" t="shared" si="14"/>
        <v>#VALUE!</v>
      </c>
      <c r="P197" s="216">
        <v>3202</v>
      </c>
      <c r="Q197" s="3">
        <f ca="1">IF(S197=0,6,OFFSET(passive_type!$J$1,MATCH(S197,passive_type!A:A,0)-1,0))</f>
        <v>6</v>
      </c>
      <c r="R197" s="3">
        <f ca="1">OFFSET(battle_group!$C$1,MATCH(P197,battle_group!E:E,0)-1,0)</f>
        <v>3</v>
      </c>
      <c r="S197" s="1">
        <v>0</v>
      </c>
      <c r="T197" s="238">
        <v>20137</v>
      </c>
    </row>
    <row r="198" ht="27.75" spans="1:20">
      <c r="A198" s="1">
        <v>3039</v>
      </c>
      <c r="B198" s="11" t="s">
        <v>1866</v>
      </c>
      <c r="C198" s="66" t="s">
        <v>1826</v>
      </c>
      <c r="D198" s="213" t="s">
        <v>1638</v>
      </c>
      <c r="E198" s="213">
        <f ca="1">OFFSET(model!$A$1,MATCH(D198,model!B:B,0)-1,0)</f>
        <v>18</v>
      </c>
      <c r="F198" s="1" t="s">
        <v>1528</v>
      </c>
      <c r="G198" s="213" t="s">
        <v>1867</v>
      </c>
      <c r="H198" s="213"/>
      <c r="I198" s="213"/>
      <c r="J198" s="213"/>
      <c r="K198" s="1">
        <v>2</v>
      </c>
      <c r="L198" s="1">
        <v>104</v>
      </c>
      <c r="M198" s="1">
        <f t="shared" si="13"/>
        <v>2104</v>
      </c>
      <c r="N198" s="107" t="e">
        <f ca="1">OFFSET(npc_level_config!$T$1,MATCH(M198,npc_level_config!A:A,0)-1,0)</f>
        <v>#VALUE!</v>
      </c>
      <c r="O198" s="107" t="e">
        <f ca="1" t="shared" si="14"/>
        <v>#VALUE!</v>
      </c>
      <c r="P198" s="216">
        <v>3202</v>
      </c>
      <c r="Q198" s="3">
        <f ca="1">IF(S198=0,6,OFFSET(passive_type!$J$1,MATCH(S198,passive_type!A:A,0)-1,0))</f>
        <v>6</v>
      </c>
      <c r="R198" s="3">
        <f ca="1">OFFSET(battle_group!$C$1,MATCH(P198,battle_group!E:E,0)-1,0)</f>
        <v>3</v>
      </c>
      <c r="S198" s="1">
        <v>0</v>
      </c>
      <c r="T198" s="238">
        <v>20138</v>
      </c>
    </row>
    <row r="199" spans="1:20">
      <c r="A199" s="1">
        <v>3040</v>
      </c>
      <c r="B199" s="245" t="s">
        <v>1868</v>
      </c>
      <c r="C199" s="11" t="s">
        <v>1830</v>
      </c>
      <c r="D199" t="s">
        <v>1711</v>
      </c>
      <c r="E199" s="213">
        <f ca="1">OFFSET(model!$A$1,MATCH(D199,model!B:B,0)-1,0)</f>
        <v>31</v>
      </c>
      <c r="F199" s="1" t="s">
        <v>1528</v>
      </c>
      <c r="G199" s="213" t="s">
        <v>1712</v>
      </c>
      <c r="H199" s="213"/>
      <c r="I199" s="213"/>
      <c r="J199" s="213"/>
      <c r="K199" s="1">
        <v>2</v>
      </c>
      <c r="L199" s="1">
        <v>105</v>
      </c>
      <c r="M199" s="1">
        <f t="shared" si="13"/>
        <v>2105</v>
      </c>
      <c r="N199" s="107" t="e">
        <f ca="1">OFFSET(npc_level_config!$T$1,MATCH(M199,npc_level_config!A:A,0)-1,0)</f>
        <v>#VALUE!</v>
      </c>
      <c r="O199" s="107" t="e">
        <f ca="1" t="shared" si="14"/>
        <v>#VALUE!</v>
      </c>
      <c r="P199" s="216">
        <v>2206</v>
      </c>
      <c r="Q199" s="3">
        <f ca="1">IF(S199=0,6,OFFSET(passive_type!$J$1,MATCH(S199,passive_type!A:A,0)-1,0))</f>
        <v>6</v>
      </c>
      <c r="R199" s="3">
        <f ca="1">OFFSET(battle_group!$C$1,MATCH(P199,battle_group!E:E,0)-1,0)</f>
        <v>2</v>
      </c>
      <c r="S199" s="1">
        <v>0</v>
      </c>
      <c r="T199" s="238">
        <v>20138</v>
      </c>
    </row>
    <row r="200" ht="27.75" spans="1:20">
      <c r="A200" s="1">
        <v>3041</v>
      </c>
      <c r="B200" s="256" t="s">
        <v>1850</v>
      </c>
      <c r="C200" s="256" t="s">
        <v>1869</v>
      </c>
      <c r="D200" s="213" t="s">
        <v>1642</v>
      </c>
      <c r="E200" s="213">
        <f ca="1">OFFSET(model!$A$1,MATCH(D200,model!B:B,0)-1,0)</f>
        <v>19</v>
      </c>
      <c r="F200" s="1" t="s">
        <v>1528</v>
      </c>
      <c r="G200" s="213" t="s">
        <v>1848</v>
      </c>
      <c r="H200" s="213"/>
      <c r="I200" s="213"/>
      <c r="J200" s="213"/>
      <c r="K200" s="1">
        <v>2</v>
      </c>
      <c r="L200" s="1">
        <v>106</v>
      </c>
      <c r="M200" s="1">
        <f t="shared" si="13"/>
        <v>2106</v>
      </c>
      <c r="N200" s="107" t="e">
        <f ca="1">OFFSET(npc_level_config!$T$1,MATCH(M200,npc_level_config!A:A,0)-1,0)</f>
        <v>#VALUE!</v>
      </c>
      <c r="O200" s="107" t="e">
        <f ca="1" t="shared" ref="O200:O207" si="15">ROUND(N200,-1)</f>
        <v>#VALUE!</v>
      </c>
      <c r="P200" s="216">
        <v>3203</v>
      </c>
      <c r="Q200" s="3">
        <f ca="1">IF(S200=0,6,OFFSET(passive_type!$J$1,MATCH(S200,passive_type!A:A,0)-1,0))</f>
        <v>6</v>
      </c>
      <c r="R200" s="3">
        <f ca="1">OFFSET(battle_group!$C$1,MATCH(P200,battle_group!E:E,0)-1,0)</f>
        <v>3</v>
      </c>
      <c r="S200" s="1">
        <v>0</v>
      </c>
      <c r="T200" s="259">
        <v>20141</v>
      </c>
    </row>
    <row r="201" ht="15.75" spans="1:20">
      <c r="A201" s="1">
        <v>3042</v>
      </c>
      <c r="B201" s="11" t="s">
        <v>1870</v>
      </c>
      <c r="C201" s="11" t="s">
        <v>1832</v>
      </c>
      <c r="D201" s="223" t="s">
        <v>1871</v>
      </c>
      <c r="E201" s="213">
        <f ca="1">OFFSET(model!$A$1,MATCH(D201,model!B:B,0)-1,0)</f>
        <v>76</v>
      </c>
      <c r="F201" s="1" t="s">
        <v>1528</v>
      </c>
      <c r="G201" s="213" t="s">
        <v>1566</v>
      </c>
      <c r="H201" s="213"/>
      <c r="I201" s="213"/>
      <c r="J201" s="213"/>
      <c r="K201" s="1">
        <v>2</v>
      </c>
      <c r="L201" s="1">
        <v>107</v>
      </c>
      <c r="M201" s="1">
        <f t="shared" si="13"/>
        <v>2107</v>
      </c>
      <c r="N201" s="107" t="e">
        <f ca="1">OFFSET(npc_level_config!$T$1,MATCH(M201,npc_level_config!A:A,0)-1,0)</f>
        <v>#VALUE!</v>
      </c>
      <c r="O201" s="107" t="e">
        <f ca="1" t="shared" si="15"/>
        <v>#VALUE!</v>
      </c>
      <c r="P201" s="216">
        <v>3202</v>
      </c>
      <c r="Q201" s="3">
        <f ca="1">IF(S201=0,6,OFFSET(passive_type!$J$1,MATCH(S201,passive_type!A:A,0)-1,0))</f>
        <v>6</v>
      </c>
      <c r="R201" s="3">
        <f ca="1">OFFSET(battle_group!$C$1,MATCH(P201,battle_group!E:E,0)-1,0)</f>
        <v>3</v>
      </c>
      <c r="S201" s="1">
        <v>0</v>
      </c>
      <c r="T201" s="238">
        <v>20103</v>
      </c>
    </row>
    <row r="202" spans="1:20">
      <c r="A202" s="1">
        <v>3043</v>
      </c>
      <c r="B202" s="11" t="s">
        <v>1872</v>
      </c>
      <c r="C202" s="11" t="s">
        <v>1851</v>
      </c>
      <c r="D202" t="s">
        <v>1872</v>
      </c>
      <c r="E202" s="213">
        <f ca="1">OFFSET(model!$A$1,MATCH(D202,model!B:B,0)-1,0)</f>
        <v>39</v>
      </c>
      <c r="F202" s="1" t="s">
        <v>1528</v>
      </c>
      <c r="G202" s="1" t="s">
        <v>1873</v>
      </c>
      <c r="K202" s="1">
        <v>2</v>
      </c>
      <c r="L202" s="1">
        <v>108</v>
      </c>
      <c r="M202" s="1">
        <f t="shared" si="13"/>
        <v>2108</v>
      </c>
      <c r="N202" s="107" t="e">
        <f ca="1">OFFSET(npc_level_config!$T$1,MATCH(M202,npc_level_config!A:A,0)-1,0)</f>
        <v>#VALUE!</v>
      </c>
      <c r="O202" s="107" t="e">
        <f ca="1" t="shared" si="15"/>
        <v>#VALUE!</v>
      </c>
      <c r="P202" s="216">
        <v>1202</v>
      </c>
      <c r="Q202" s="3">
        <f ca="1">IF(S202=0,6,OFFSET(passive_type!$J$1,MATCH(S202,passive_type!A:A,0)-1,0))</f>
        <v>6</v>
      </c>
      <c r="R202" s="3">
        <f ca="1">OFFSET(battle_group!$C$1,MATCH(P202,battle_group!E:E,0)-1,0)</f>
        <v>1</v>
      </c>
      <c r="S202" s="1">
        <v>0</v>
      </c>
      <c r="T202" s="259">
        <v>20141</v>
      </c>
    </row>
    <row r="203" spans="1:20">
      <c r="A203" s="1">
        <v>3044</v>
      </c>
      <c r="B203" s="245" t="s">
        <v>1549</v>
      </c>
      <c r="C203" s="11" t="s">
        <v>1842</v>
      </c>
      <c r="D203" s="205" t="s">
        <v>1874</v>
      </c>
      <c r="E203" s="213">
        <f ca="1">OFFSET(model!$A$1,MATCH(D203,model!B:B,0)-1,0)</f>
        <v>57</v>
      </c>
      <c r="F203" s="1" t="s">
        <v>1528</v>
      </c>
      <c r="G203" s="213" t="s">
        <v>1616</v>
      </c>
      <c r="H203" s="213"/>
      <c r="I203" s="213"/>
      <c r="J203" s="213"/>
      <c r="K203" s="1">
        <v>2</v>
      </c>
      <c r="L203" s="1">
        <v>109</v>
      </c>
      <c r="M203" s="1">
        <f t="shared" si="13"/>
        <v>2109</v>
      </c>
      <c r="N203" s="107" t="e">
        <f ca="1">OFFSET(npc_level_config!$T$1,MATCH(M203,npc_level_config!A:A,0)-1,0)</f>
        <v>#VALUE!</v>
      </c>
      <c r="O203" s="107" t="e">
        <f ca="1" t="shared" si="15"/>
        <v>#VALUE!</v>
      </c>
      <c r="P203" s="216">
        <v>3202</v>
      </c>
      <c r="Q203" s="3">
        <f ca="1">IF(S203=0,6,OFFSET(passive_type!$J$1,MATCH(S203,passive_type!A:A,0)-1,0))</f>
        <v>6</v>
      </c>
      <c r="R203" s="3">
        <f ca="1">OFFSET(battle_group!$C$1,MATCH(P203,battle_group!E:E,0)-1,0)</f>
        <v>3</v>
      </c>
      <c r="S203" s="1">
        <v>0</v>
      </c>
      <c r="T203" s="238">
        <v>20142</v>
      </c>
    </row>
    <row r="204" ht="27.75" spans="1:20">
      <c r="A204" s="1">
        <v>3045</v>
      </c>
      <c r="B204" s="245" t="s">
        <v>1850</v>
      </c>
      <c r="C204" s="11" t="s">
        <v>1847</v>
      </c>
      <c r="D204" s="213" t="s">
        <v>1642</v>
      </c>
      <c r="E204" s="213">
        <f ca="1">OFFSET(model!$A$1,MATCH(D204,model!B:B,0)-1,0)</f>
        <v>19</v>
      </c>
      <c r="F204" s="1" t="s">
        <v>1528</v>
      </c>
      <c r="G204" s="213" t="s">
        <v>1676</v>
      </c>
      <c r="H204" s="213"/>
      <c r="I204" s="213"/>
      <c r="J204" s="213"/>
      <c r="K204" s="1">
        <v>2</v>
      </c>
      <c r="L204" s="1">
        <v>111</v>
      </c>
      <c r="M204" s="1">
        <f t="shared" si="13"/>
        <v>2111</v>
      </c>
      <c r="N204" s="107" t="e">
        <f ca="1">OFFSET(npc_level_config!$T$1,MATCH(M204,npc_level_config!A:A,0)-1,0)</f>
        <v>#VALUE!</v>
      </c>
      <c r="O204" s="107" t="e">
        <f ca="1" t="shared" si="15"/>
        <v>#VALUE!</v>
      </c>
      <c r="P204" s="216">
        <v>3204</v>
      </c>
      <c r="Q204" s="3">
        <f ca="1">IF(S204=0,6,OFFSET(passive_type!$J$1,MATCH(S204,passive_type!A:A,0)-1,0))</f>
        <v>6</v>
      </c>
      <c r="R204" s="3">
        <f ca="1">OFFSET(battle_group!$C$1,MATCH(P204,battle_group!E:E,0)-1,0)</f>
        <v>3</v>
      </c>
      <c r="S204" s="1">
        <v>0</v>
      </c>
      <c r="T204" s="238">
        <v>20141</v>
      </c>
    </row>
    <row r="205" ht="27.75" spans="1:20">
      <c r="A205" s="1">
        <v>3046</v>
      </c>
      <c r="B205" s="245" t="s">
        <v>1549</v>
      </c>
      <c r="C205" s="11" t="s">
        <v>1847</v>
      </c>
      <c r="D205" s="213" t="s">
        <v>1546</v>
      </c>
      <c r="E205" s="213">
        <f ca="1">OFFSET(model!$A$1,MATCH(D205,model!B:B,0)-1,0)</f>
        <v>13</v>
      </c>
      <c r="F205" s="1" t="s">
        <v>1528</v>
      </c>
      <c r="G205" s="213" t="s">
        <v>1616</v>
      </c>
      <c r="H205" s="213"/>
      <c r="I205" s="213"/>
      <c r="J205" s="213"/>
      <c r="K205" s="1">
        <v>2</v>
      </c>
      <c r="L205" s="1">
        <v>110</v>
      </c>
      <c r="M205" s="1">
        <f t="shared" si="13"/>
        <v>2110</v>
      </c>
      <c r="N205" s="107" t="e">
        <f ca="1">OFFSET(npc_level_config!$T$1,MATCH(M205,npc_level_config!A:A,0)-1,0)</f>
        <v>#VALUE!</v>
      </c>
      <c r="O205" s="107" t="e">
        <f ca="1" t="shared" si="15"/>
        <v>#VALUE!</v>
      </c>
      <c r="P205" s="216">
        <v>2203</v>
      </c>
      <c r="Q205" s="3">
        <f ca="1">IF(S205=0,6,OFFSET(passive_type!$J$1,MATCH(S205,passive_type!A:A,0)-1,0))</f>
        <v>6</v>
      </c>
      <c r="R205" s="3">
        <f ca="1">OFFSET(battle_group!$C$1,MATCH(P205,battle_group!E:E,0)-1,0)</f>
        <v>2</v>
      </c>
      <c r="S205" s="1">
        <v>0</v>
      </c>
      <c r="T205" s="238">
        <v>20142</v>
      </c>
    </row>
    <row r="206" spans="1:20">
      <c r="A206" s="1">
        <v>3047</v>
      </c>
      <c r="B206" s="245" t="s">
        <v>1875</v>
      </c>
      <c r="C206" s="11" t="s">
        <v>1830</v>
      </c>
      <c r="D206" s="213" t="s">
        <v>1575</v>
      </c>
      <c r="E206" s="213">
        <f ca="1">OFFSET(model!$A$1,MATCH(D206,model!B:B,0)-1,0)</f>
        <v>2</v>
      </c>
      <c r="F206" s="1" t="s">
        <v>1528</v>
      </c>
      <c r="G206" s="213" t="s">
        <v>1579</v>
      </c>
      <c r="H206" s="213"/>
      <c r="I206" s="213"/>
      <c r="J206" s="213"/>
      <c r="K206" s="1">
        <v>2</v>
      </c>
      <c r="L206" s="1">
        <v>112</v>
      </c>
      <c r="M206" s="1">
        <f t="shared" si="13"/>
        <v>2112</v>
      </c>
      <c r="N206" s="107" t="e">
        <f ca="1">OFFSET(npc_level_config!$T$1,MATCH(M206,npc_level_config!A:A,0)-1,0)</f>
        <v>#VALUE!</v>
      </c>
      <c r="O206" s="107" t="e">
        <f ca="1" t="shared" si="15"/>
        <v>#VALUE!</v>
      </c>
      <c r="P206" s="216">
        <v>1202</v>
      </c>
      <c r="Q206" s="3">
        <f ca="1">IF(S206=0,6,OFFSET(passive_type!$J$1,MATCH(S206,passive_type!A:A,0)-1,0))</f>
        <v>6</v>
      </c>
      <c r="R206" s="3">
        <f ca="1">OFFSET(battle_group!$C$1,MATCH(P206,battle_group!E:E,0)-1,0)</f>
        <v>1</v>
      </c>
      <c r="S206" s="1">
        <v>0</v>
      </c>
      <c r="T206" s="238">
        <v>20138</v>
      </c>
    </row>
    <row r="207" spans="1:20">
      <c r="A207" s="1">
        <v>3048</v>
      </c>
      <c r="B207" s="213" t="s">
        <v>1875</v>
      </c>
      <c r="C207" s="256" t="s">
        <v>1825</v>
      </c>
      <c r="D207" s="213" t="s">
        <v>1585</v>
      </c>
      <c r="E207" s="213">
        <f ca="1">OFFSET(model!$A$1,MATCH(D207,model!B:B,0)-1,0)</f>
        <v>1</v>
      </c>
      <c r="F207" s="1" t="s">
        <v>1528</v>
      </c>
      <c r="G207" s="213" t="s">
        <v>1692</v>
      </c>
      <c r="H207" s="213"/>
      <c r="I207" s="213"/>
      <c r="J207" s="213"/>
      <c r="K207" s="1">
        <v>2</v>
      </c>
      <c r="L207" s="1">
        <v>113</v>
      </c>
      <c r="M207" s="1">
        <f t="shared" si="13"/>
        <v>2113</v>
      </c>
      <c r="N207" s="107" t="e">
        <f ca="1">OFFSET(npc_level_config!$T$1,MATCH(M207,npc_level_config!A:A,0)-1,0)</f>
        <v>#VALUE!</v>
      </c>
      <c r="O207" s="107" t="e">
        <f ca="1" t="shared" si="15"/>
        <v>#VALUE!</v>
      </c>
      <c r="P207" s="216">
        <v>1203</v>
      </c>
      <c r="Q207" s="3">
        <f ca="1">IF(S207=0,6,OFFSET(passive_type!$J$1,MATCH(S207,passive_type!A:A,0)-1,0))</f>
        <v>6</v>
      </c>
      <c r="R207" s="3">
        <f ca="1">OFFSET(battle_group!$C$1,MATCH(P207,battle_group!E:E,0)-1,0)</f>
        <v>1</v>
      </c>
      <c r="S207" s="1">
        <v>0</v>
      </c>
      <c r="T207" s="238">
        <v>20137</v>
      </c>
    </row>
    <row r="208" ht="15.75" spans="1:20">
      <c r="A208" s="1">
        <v>3049</v>
      </c>
      <c r="B208" s="1" t="s">
        <v>1876</v>
      </c>
      <c r="C208" s="256" t="s">
        <v>1877</v>
      </c>
      <c r="D208" s="223" t="s">
        <v>1878</v>
      </c>
      <c r="E208" s="213">
        <f ca="1">OFFSET(model!$A$1,MATCH(D208,model!B:B,0)-1,0)</f>
        <v>68</v>
      </c>
      <c r="F208" s="1" t="s">
        <v>1528</v>
      </c>
      <c r="G208" s="213" t="s">
        <v>1562</v>
      </c>
      <c r="H208" s="213"/>
      <c r="I208" s="213"/>
      <c r="J208" s="213"/>
      <c r="K208" s="1">
        <v>2</v>
      </c>
      <c r="L208" s="1">
        <v>114</v>
      </c>
      <c r="M208" s="1">
        <f t="shared" ref="M208:M239" si="16">K208*1000+L208</f>
        <v>2114</v>
      </c>
      <c r="N208" s="107" t="e">
        <f ca="1">OFFSET(npc_level_config!$T$1,MATCH(M208,npc_level_config!A:A,0)-1,0)</f>
        <v>#VALUE!</v>
      </c>
      <c r="O208" s="107" t="e">
        <f ca="1" t="shared" ref="O208:O263" si="17">ROUND(N208,-1)</f>
        <v>#VALUE!</v>
      </c>
      <c r="P208" s="216">
        <v>3202</v>
      </c>
      <c r="Q208" s="3">
        <f ca="1">IF(S208=0,6,OFFSET(passive_type!$J$1,MATCH(S208,passive_type!A:A,0)-1,0))</f>
        <v>6</v>
      </c>
      <c r="R208" s="3">
        <f ca="1">OFFSET(battle_group!$C$1,MATCH(P208,battle_group!E:E,0)-1,0)</f>
        <v>3</v>
      </c>
      <c r="S208" s="1">
        <v>0</v>
      </c>
      <c r="T208" s="238">
        <v>20103</v>
      </c>
    </row>
    <row r="209" spans="1:20">
      <c r="A209" s="1">
        <v>3050</v>
      </c>
      <c r="B209" s="11" t="s">
        <v>1872</v>
      </c>
      <c r="C209" s="256" t="s">
        <v>1869</v>
      </c>
      <c r="D209" t="s">
        <v>1872</v>
      </c>
      <c r="E209" s="213">
        <f ca="1">OFFSET(model!$A$1,MATCH(D209,model!B:B,0)-1,0)</f>
        <v>39</v>
      </c>
      <c r="F209" s="1" t="s">
        <v>1528</v>
      </c>
      <c r="G209" s="1" t="s">
        <v>1873</v>
      </c>
      <c r="K209" s="1">
        <v>2</v>
      </c>
      <c r="L209" s="1">
        <v>115</v>
      </c>
      <c r="M209" s="1">
        <f t="shared" si="16"/>
        <v>2115</v>
      </c>
      <c r="N209" s="107" t="e">
        <f ca="1">OFFSET(npc_level_config!$T$1,MATCH(M209,npc_level_config!A:A,0)-1,0)</f>
        <v>#VALUE!</v>
      </c>
      <c r="O209" s="107" t="e">
        <f ca="1" t="shared" si="17"/>
        <v>#VALUE!</v>
      </c>
      <c r="P209" s="216">
        <v>1202</v>
      </c>
      <c r="Q209" s="3">
        <f ca="1">IF(S209=0,6,OFFSET(passive_type!$J$1,MATCH(S209,passive_type!A:A,0)-1,0))</f>
        <v>6</v>
      </c>
      <c r="R209" s="3">
        <f ca="1">OFFSET(battle_group!$C$1,MATCH(P209,battle_group!E:E,0)-1,0)</f>
        <v>1</v>
      </c>
      <c r="S209" s="1">
        <v>0</v>
      </c>
      <c r="T209" s="238">
        <v>20137</v>
      </c>
    </row>
    <row r="210" spans="1:20">
      <c r="A210" s="1">
        <v>3051</v>
      </c>
      <c r="B210" s="256" t="s">
        <v>1879</v>
      </c>
      <c r="C210" s="256" t="s">
        <v>1880</v>
      </c>
      <c r="D210" t="s">
        <v>1881</v>
      </c>
      <c r="E210" s="213">
        <f ca="1">OFFSET(model!$A$1,MATCH(D210,model!B:B,0)-1,0)</f>
        <v>34</v>
      </c>
      <c r="F210" s="1" t="s">
        <v>1528</v>
      </c>
      <c r="G210" s="213" t="s">
        <v>1616</v>
      </c>
      <c r="H210" s="213"/>
      <c r="I210" s="213"/>
      <c r="J210" s="213"/>
      <c r="K210" s="1">
        <v>2</v>
      </c>
      <c r="L210" s="1">
        <v>116</v>
      </c>
      <c r="M210" s="1">
        <f t="shared" si="16"/>
        <v>2116</v>
      </c>
      <c r="N210" s="107" t="e">
        <f ca="1">OFFSET(npc_level_config!$T$1,MATCH(M210,npc_level_config!A:A,0)-1,0)</f>
        <v>#VALUE!</v>
      </c>
      <c r="O210" s="107" t="e">
        <f ca="1" t="shared" si="17"/>
        <v>#VALUE!</v>
      </c>
      <c r="P210" s="216">
        <v>1204</v>
      </c>
      <c r="Q210" s="3">
        <f ca="1">IF(S210=0,6,OFFSET(passive_type!$J$1,MATCH(S210,passive_type!A:A,0)-1,0))</f>
        <v>6</v>
      </c>
      <c r="R210" s="3">
        <f ca="1">OFFSET(battle_group!$C$1,MATCH(P210,battle_group!E:E,0)-1,0)</f>
        <v>1</v>
      </c>
      <c r="S210" s="1">
        <v>0</v>
      </c>
      <c r="T210" s="238">
        <v>20142</v>
      </c>
    </row>
    <row r="211" spans="1:20">
      <c r="A211" s="1">
        <v>3052</v>
      </c>
      <c r="B211" s="1" t="s">
        <v>1882</v>
      </c>
      <c r="C211" s="66" t="s">
        <v>1826</v>
      </c>
      <c r="D211" t="s">
        <v>1729</v>
      </c>
      <c r="E211" s="213">
        <f ca="1">OFFSET(model!$A$1,MATCH(D211,model!B:B,0)-1,0)</f>
        <v>46</v>
      </c>
      <c r="F211" s="1" t="s">
        <v>1528</v>
      </c>
      <c r="G211" s="213" t="s">
        <v>1730</v>
      </c>
      <c r="H211" s="213"/>
      <c r="I211" s="213"/>
      <c r="J211" s="213"/>
      <c r="K211" s="1">
        <v>2</v>
      </c>
      <c r="L211" s="1">
        <v>117</v>
      </c>
      <c r="M211" s="1">
        <f t="shared" si="16"/>
        <v>2117</v>
      </c>
      <c r="N211" s="107" t="e">
        <f ca="1">OFFSET(npc_level_config!$T$1,MATCH(M211,npc_level_config!A:A,0)-1,0)</f>
        <v>#VALUE!</v>
      </c>
      <c r="O211" s="107" t="e">
        <f ca="1" t="shared" si="17"/>
        <v>#VALUE!</v>
      </c>
      <c r="P211" s="216">
        <v>3201</v>
      </c>
      <c r="Q211" s="3">
        <f ca="1">IF(S211=0,6,OFFSET(passive_type!$J$1,MATCH(S211,passive_type!A:A,0)-1,0))</f>
        <v>6</v>
      </c>
      <c r="R211" s="3">
        <f ca="1">OFFSET(battle_group!$C$1,MATCH(P211,battle_group!E:E,0)-1,0)</f>
        <v>3</v>
      </c>
      <c r="S211" s="1">
        <v>0</v>
      </c>
      <c r="T211" s="238">
        <v>20138</v>
      </c>
    </row>
    <row r="212" ht="27.75" spans="1:20">
      <c r="A212" s="1">
        <v>3053</v>
      </c>
      <c r="B212" s="245" t="s">
        <v>1883</v>
      </c>
      <c r="C212" s="11" t="s">
        <v>1865</v>
      </c>
      <c r="D212" s="213" t="s">
        <v>1884</v>
      </c>
      <c r="E212" s="213">
        <f ca="1">OFFSET(model!$A$1,MATCH(D212,model!B:B,0)-1,0)</f>
        <v>21</v>
      </c>
      <c r="F212" s="1" t="s">
        <v>1528</v>
      </c>
      <c r="G212" s="213" t="s">
        <v>1885</v>
      </c>
      <c r="H212" s="213"/>
      <c r="I212" s="213"/>
      <c r="J212" s="213"/>
      <c r="K212" s="1">
        <v>2</v>
      </c>
      <c r="L212" s="1">
        <v>118</v>
      </c>
      <c r="M212" s="1">
        <f t="shared" si="16"/>
        <v>2118</v>
      </c>
      <c r="N212" s="107" t="e">
        <f ca="1">OFFSET(npc_level_config!$T$1,MATCH(M212,npc_level_config!A:A,0)-1,0)</f>
        <v>#VALUE!</v>
      </c>
      <c r="O212" s="107" t="e">
        <f ca="1" t="shared" si="17"/>
        <v>#VALUE!</v>
      </c>
      <c r="P212" s="216">
        <v>3205</v>
      </c>
      <c r="Q212" s="3">
        <f ca="1">IF(S212=0,6,OFFSET(passive_type!$J$1,MATCH(S212,passive_type!A:A,0)-1,0))</f>
        <v>6</v>
      </c>
      <c r="R212" s="3">
        <f ca="1">OFFSET(battle_group!$C$1,MATCH(P212,battle_group!E:E,0)-1,0)</f>
        <v>3</v>
      </c>
      <c r="S212" s="1">
        <v>0</v>
      </c>
      <c r="T212" s="259">
        <v>20141</v>
      </c>
    </row>
    <row r="213" spans="1:20">
      <c r="A213" s="1">
        <v>3054</v>
      </c>
      <c r="B213" s="11" t="s">
        <v>1886</v>
      </c>
      <c r="C213" s="11" t="s">
        <v>1851</v>
      </c>
      <c r="D213" t="s">
        <v>1872</v>
      </c>
      <c r="E213" s="213">
        <f ca="1">OFFSET(model!$A$1,MATCH(D213,model!B:B,0)-1,0)</f>
        <v>39</v>
      </c>
      <c r="F213" s="1" t="s">
        <v>1528</v>
      </c>
      <c r="G213" s="1" t="s">
        <v>1873</v>
      </c>
      <c r="K213" s="1">
        <v>2</v>
      </c>
      <c r="L213" s="1">
        <v>119</v>
      </c>
      <c r="M213" s="1">
        <f t="shared" si="16"/>
        <v>2119</v>
      </c>
      <c r="N213" s="107" t="e">
        <f ca="1">OFFSET(npc_level_config!$T$1,MATCH(M213,npc_level_config!A:A,0)-1,0)</f>
        <v>#VALUE!</v>
      </c>
      <c r="O213" s="107" t="e">
        <f ca="1" t="shared" si="17"/>
        <v>#VALUE!</v>
      </c>
      <c r="P213" s="216">
        <v>1202</v>
      </c>
      <c r="Q213" s="3">
        <f ca="1">IF(S213=0,6,OFFSET(passive_type!$J$1,MATCH(S213,passive_type!A:A,0)-1,0))</f>
        <v>6</v>
      </c>
      <c r="R213" s="3">
        <f ca="1">OFFSET(battle_group!$C$1,MATCH(P213,battle_group!E:E,0)-1,0)</f>
        <v>1</v>
      </c>
      <c r="S213" s="1">
        <v>0</v>
      </c>
      <c r="T213" s="259">
        <v>20141</v>
      </c>
    </row>
    <row r="214" spans="1:20">
      <c r="A214" s="1">
        <v>3055</v>
      </c>
      <c r="B214" s="1" t="s">
        <v>1887</v>
      </c>
      <c r="C214" s="11" t="s">
        <v>1888</v>
      </c>
      <c r="D214" s="1" t="s">
        <v>1753</v>
      </c>
      <c r="E214" s="213">
        <f ca="1">OFFSET(model!$A$1,MATCH(D214,model!B:B,0)-1,0)</f>
        <v>24</v>
      </c>
      <c r="F214" s="1" t="s">
        <v>1528</v>
      </c>
      <c r="G214" s="213" t="s">
        <v>1755</v>
      </c>
      <c r="H214" s="213"/>
      <c r="I214" s="213"/>
      <c r="J214" s="213"/>
      <c r="K214" s="1">
        <v>2</v>
      </c>
      <c r="L214" s="1">
        <v>120</v>
      </c>
      <c r="M214" s="1">
        <f t="shared" si="16"/>
        <v>2120</v>
      </c>
      <c r="N214" s="107" t="e">
        <f ca="1">OFFSET(npc_level_config!$T$1,MATCH(M214,npc_level_config!A:A,0)-1,0)</f>
        <v>#VALUE!</v>
      </c>
      <c r="O214" s="107" t="e">
        <f ca="1" t="shared" si="17"/>
        <v>#VALUE!</v>
      </c>
      <c r="P214" s="216">
        <v>3203</v>
      </c>
      <c r="Q214" s="3">
        <f ca="1">IF(S214=0,6,OFFSET(passive_type!$J$1,MATCH(S214,passive_type!A:A,0)-1,0))</f>
        <v>6</v>
      </c>
      <c r="R214" s="3">
        <f ca="1">OFFSET(battle_group!$C$1,MATCH(P214,battle_group!E:E,0)-1,0)</f>
        <v>3</v>
      </c>
      <c r="S214" s="1">
        <v>0</v>
      </c>
      <c r="T214" s="238">
        <v>20150</v>
      </c>
    </row>
    <row r="215" spans="1:20">
      <c r="A215" s="1">
        <v>3056</v>
      </c>
      <c r="B215" s="1" t="s">
        <v>1889</v>
      </c>
      <c r="C215" s="66" t="s">
        <v>1826</v>
      </c>
      <c r="D215" t="s">
        <v>1827</v>
      </c>
      <c r="E215" s="213">
        <f ca="1">OFFSET(model!$A$1,MATCH(D215,model!B:B,0)-1,0)</f>
        <v>33</v>
      </c>
      <c r="F215" s="1" t="s">
        <v>1528</v>
      </c>
      <c r="G215" s="213" t="s">
        <v>1579</v>
      </c>
      <c r="H215" s="213"/>
      <c r="I215" s="213"/>
      <c r="J215" s="213"/>
      <c r="K215" s="1">
        <v>2</v>
      </c>
      <c r="L215" s="1">
        <v>121</v>
      </c>
      <c r="M215" s="1">
        <f t="shared" si="16"/>
        <v>2121</v>
      </c>
      <c r="N215" s="107" t="e">
        <f ca="1">OFFSET(npc_level_config!$T$1,MATCH(M215,npc_level_config!A:A,0)-1,0)</f>
        <v>#VALUE!</v>
      </c>
      <c r="O215" s="107" t="e">
        <f ca="1" t="shared" si="17"/>
        <v>#VALUE!</v>
      </c>
      <c r="P215" s="216">
        <v>1202</v>
      </c>
      <c r="Q215" s="3">
        <f ca="1">IF(S215=0,6,OFFSET(passive_type!$J$1,MATCH(S215,passive_type!A:A,0)-1,0))</f>
        <v>6</v>
      </c>
      <c r="R215" s="3">
        <f ca="1">OFFSET(battle_group!$C$1,MATCH(P215,battle_group!E:E,0)-1,0)</f>
        <v>1</v>
      </c>
      <c r="S215" s="1">
        <v>0</v>
      </c>
      <c r="T215" s="238">
        <v>20138</v>
      </c>
    </row>
    <row r="216" spans="1:20">
      <c r="A216" s="1">
        <v>3057</v>
      </c>
      <c r="B216" s="1" t="s">
        <v>1890</v>
      </c>
      <c r="C216" s="66" t="s">
        <v>1845</v>
      </c>
      <c r="D216" t="s">
        <v>1665</v>
      </c>
      <c r="E216" s="213">
        <f ca="1">OFFSET(model!$A$1,MATCH(D216,model!B:B,0)-1,0)</f>
        <v>40</v>
      </c>
      <c r="F216" s="1" t="s">
        <v>1528</v>
      </c>
      <c r="G216" s="213" t="s">
        <v>1623</v>
      </c>
      <c r="H216" s="213"/>
      <c r="I216" s="213"/>
      <c r="J216" s="213"/>
      <c r="K216" s="1">
        <v>2</v>
      </c>
      <c r="L216" s="1">
        <v>122</v>
      </c>
      <c r="M216" s="1">
        <f t="shared" si="16"/>
        <v>2122</v>
      </c>
      <c r="N216" s="107" t="e">
        <f ca="1">OFFSET(npc_level_config!$T$1,MATCH(M216,npc_level_config!A:A,0)-1,0)</f>
        <v>#VALUE!</v>
      </c>
      <c r="O216" s="107" t="e">
        <f ca="1" t="shared" si="17"/>
        <v>#VALUE!</v>
      </c>
      <c r="P216" s="216">
        <v>1201</v>
      </c>
      <c r="Q216" s="3">
        <f ca="1">IF(S216=0,6,OFFSET(passive_type!$J$1,MATCH(S216,passive_type!A:A,0)-1,0))</f>
        <v>6</v>
      </c>
      <c r="R216" s="3">
        <f ca="1">OFFSET(battle_group!$C$1,MATCH(P216,battle_group!E:E,0)-1,0)</f>
        <v>1</v>
      </c>
      <c r="S216" s="1">
        <v>0</v>
      </c>
      <c r="T216" s="238">
        <v>20138</v>
      </c>
    </row>
    <row r="217" spans="1:20">
      <c r="A217" s="1">
        <v>3058</v>
      </c>
      <c r="B217" s="1" t="s">
        <v>1891</v>
      </c>
      <c r="C217" s="11" t="s">
        <v>1892</v>
      </c>
      <c r="D217" s="213" t="s">
        <v>1497</v>
      </c>
      <c r="E217" s="213">
        <f ca="1">OFFSET(model!$A$1,MATCH(D217,model!B:B,0)-1,0)</f>
        <v>8</v>
      </c>
      <c r="F217" s="1" t="s">
        <v>1528</v>
      </c>
      <c r="G217" s="213" t="s">
        <v>1601</v>
      </c>
      <c r="H217" s="213"/>
      <c r="I217" s="213"/>
      <c r="J217" s="213"/>
      <c r="K217" s="1">
        <v>2</v>
      </c>
      <c r="L217" s="1">
        <v>123</v>
      </c>
      <c r="M217" s="1">
        <f t="shared" si="16"/>
        <v>2123</v>
      </c>
      <c r="N217" s="107" t="e">
        <f ca="1">OFFSET(npc_level_config!$T$1,MATCH(M217,npc_level_config!A:A,0)-1,0)</f>
        <v>#VALUE!</v>
      </c>
      <c r="O217" s="107" t="e">
        <f ca="1" t="shared" si="17"/>
        <v>#VALUE!</v>
      </c>
      <c r="P217" s="216">
        <v>4104</v>
      </c>
      <c r="Q217" s="3">
        <f ca="1">IF(S217=0,6,OFFSET(passive_type!$J$1,MATCH(S217,passive_type!A:A,0)-1,0))</f>
        <v>6</v>
      </c>
      <c r="R217" s="3">
        <f ca="1">OFFSET(battle_group!$C$1,MATCH(P217,battle_group!E:E,0)-1,0)</f>
        <v>4</v>
      </c>
      <c r="S217" s="1">
        <v>0</v>
      </c>
      <c r="T217" s="238">
        <v>20137</v>
      </c>
    </row>
    <row r="218" ht="15.75" spans="1:20">
      <c r="A218" s="1">
        <v>3059</v>
      </c>
      <c r="B218" s="1" t="s">
        <v>1893</v>
      </c>
      <c r="C218" s="11" t="s">
        <v>1832</v>
      </c>
      <c r="D218" s="223" t="s">
        <v>1878</v>
      </c>
      <c r="E218" s="213">
        <f ca="1">OFFSET(model!$A$1,MATCH(D218,model!B:B,0)-1,0)</f>
        <v>68</v>
      </c>
      <c r="F218" s="1" t="s">
        <v>1528</v>
      </c>
      <c r="G218" s="213" t="s">
        <v>1562</v>
      </c>
      <c r="H218" s="213"/>
      <c r="I218" s="213"/>
      <c r="J218" s="213"/>
      <c r="K218" s="1">
        <v>2</v>
      </c>
      <c r="L218" s="1">
        <v>124</v>
      </c>
      <c r="M218" s="1">
        <f t="shared" si="16"/>
        <v>2124</v>
      </c>
      <c r="N218" s="107" t="e">
        <f ca="1">OFFSET(npc_level_config!$T$1,MATCH(M218,npc_level_config!A:A,0)-1,0)</f>
        <v>#VALUE!</v>
      </c>
      <c r="O218" s="107" t="e">
        <f ca="1" t="shared" si="17"/>
        <v>#VALUE!</v>
      </c>
      <c r="P218" s="216">
        <v>4104</v>
      </c>
      <c r="Q218" s="3">
        <f ca="1">IF(S218=0,6,OFFSET(passive_type!$J$1,MATCH(S218,passive_type!A:A,0)-1,0))</f>
        <v>6</v>
      </c>
      <c r="R218" s="3">
        <f ca="1">OFFSET(battle_group!$C$1,MATCH(P218,battle_group!E:E,0)-1,0)</f>
        <v>4</v>
      </c>
      <c r="S218" s="1">
        <v>0</v>
      </c>
      <c r="T218" s="238">
        <v>20103</v>
      </c>
    </row>
    <row r="219" spans="1:20">
      <c r="A219" s="1">
        <v>3060</v>
      </c>
      <c r="B219" s="1" t="s">
        <v>1894</v>
      </c>
      <c r="C219" s="256" t="s">
        <v>1825</v>
      </c>
      <c r="D219" s="213" t="s">
        <v>1585</v>
      </c>
      <c r="E219" s="213">
        <f ca="1">OFFSET(model!$A$1,MATCH(D219,model!B:B,0)-1,0)</f>
        <v>1</v>
      </c>
      <c r="F219" s="1" t="s">
        <v>1528</v>
      </c>
      <c r="G219" s="213" t="s">
        <v>1692</v>
      </c>
      <c r="H219" s="213"/>
      <c r="I219" s="213"/>
      <c r="J219" s="213"/>
      <c r="K219" s="1">
        <v>2</v>
      </c>
      <c r="L219" s="1">
        <v>125</v>
      </c>
      <c r="M219" s="1">
        <f t="shared" si="16"/>
        <v>2125</v>
      </c>
      <c r="N219" s="107" t="e">
        <f ca="1">OFFSET(npc_level_config!$T$1,MATCH(M219,npc_level_config!A:A,0)-1,0)</f>
        <v>#VALUE!</v>
      </c>
      <c r="O219" s="107" t="e">
        <f ca="1" t="shared" si="17"/>
        <v>#VALUE!</v>
      </c>
      <c r="P219" s="216">
        <v>2201</v>
      </c>
      <c r="Q219" s="3">
        <f ca="1">IF(S219=0,6,OFFSET(passive_type!$J$1,MATCH(S219,passive_type!A:A,0)-1,0))</f>
        <v>6</v>
      </c>
      <c r="R219" s="3">
        <f ca="1">OFFSET(battle_group!$C$1,MATCH(P219,battle_group!E:E,0)-1,0)</f>
        <v>2</v>
      </c>
      <c r="S219" s="1">
        <v>0</v>
      </c>
      <c r="T219" s="238">
        <v>20137</v>
      </c>
    </row>
    <row r="220" ht="27.75" spans="1:20">
      <c r="A220" s="1">
        <v>3061</v>
      </c>
      <c r="B220" s="1" t="s">
        <v>1895</v>
      </c>
      <c r="C220" s="11" t="s">
        <v>1865</v>
      </c>
      <c r="D220" s="213" t="s">
        <v>1595</v>
      </c>
      <c r="E220" s="213">
        <f ca="1">OFFSET(model!$A$1,MATCH(D220,model!B:B,0)-1,0)</f>
        <v>14</v>
      </c>
      <c r="F220" s="1" t="s">
        <v>1528</v>
      </c>
      <c r="G220" s="213" t="s">
        <v>1670</v>
      </c>
      <c r="H220" s="213"/>
      <c r="I220" s="213"/>
      <c r="J220" s="213"/>
      <c r="K220" s="1">
        <v>2</v>
      </c>
      <c r="L220" s="1">
        <v>126</v>
      </c>
      <c r="M220" s="1">
        <f t="shared" si="16"/>
        <v>2126</v>
      </c>
      <c r="N220" s="107" t="e">
        <f ca="1">OFFSET(npc_level_config!$T$1,MATCH(M220,npc_level_config!A:A,0)-1,0)</f>
        <v>#VALUE!</v>
      </c>
      <c r="O220" s="107" t="e">
        <f ca="1" t="shared" si="17"/>
        <v>#VALUE!</v>
      </c>
      <c r="P220" s="216">
        <v>2201</v>
      </c>
      <c r="Q220" s="3">
        <f ca="1">IF(S220=0,6,OFFSET(passive_type!$J$1,MATCH(S220,passive_type!A:A,0)-1,0))</f>
        <v>6</v>
      </c>
      <c r="R220" s="3">
        <f ca="1">OFFSET(battle_group!$C$1,MATCH(P220,battle_group!E:E,0)-1,0)</f>
        <v>2</v>
      </c>
      <c r="S220" s="1">
        <v>0</v>
      </c>
      <c r="T220" s="238">
        <v>20142</v>
      </c>
    </row>
    <row r="221" spans="1:20">
      <c r="A221" s="1">
        <v>3062</v>
      </c>
      <c r="B221" s="1" t="s">
        <v>1896</v>
      </c>
      <c r="C221" s="66" t="s">
        <v>1838</v>
      </c>
      <c r="D221" t="s">
        <v>1665</v>
      </c>
      <c r="E221" s="213">
        <f ca="1">OFFSET(model!$A$1,MATCH(D221,model!B:B,0)-1,0)</f>
        <v>40</v>
      </c>
      <c r="F221" s="1" t="s">
        <v>1528</v>
      </c>
      <c r="G221" s="213" t="s">
        <v>1623</v>
      </c>
      <c r="H221" s="213"/>
      <c r="I221" s="213"/>
      <c r="J221" s="213"/>
      <c r="K221" s="1">
        <v>2</v>
      </c>
      <c r="L221" s="1">
        <v>127</v>
      </c>
      <c r="M221" s="1">
        <f t="shared" si="16"/>
        <v>2127</v>
      </c>
      <c r="N221" s="107" t="e">
        <f ca="1">OFFSET(npc_level_config!$T$1,MATCH(M221,npc_level_config!A:A,0)-1,0)</f>
        <v>#VALUE!</v>
      </c>
      <c r="O221" s="107" t="e">
        <f ca="1" t="shared" si="17"/>
        <v>#VALUE!</v>
      </c>
      <c r="P221" s="216">
        <v>2201</v>
      </c>
      <c r="Q221" s="3">
        <f ca="1">IF(S221=0,6,OFFSET(passive_type!$J$1,MATCH(S221,passive_type!A:A,0)-1,0))</f>
        <v>6</v>
      </c>
      <c r="R221" s="3">
        <f ca="1">OFFSET(battle_group!$C$1,MATCH(P221,battle_group!E:E,0)-1,0)</f>
        <v>2</v>
      </c>
      <c r="S221" s="1">
        <v>0</v>
      </c>
      <c r="T221" s="238">
        <v>20138</v>
      </c>
    </row>
    <row r="222" ht="27.75" spans="1:20">
      <c r="A222" s="1">
        <v>3063</v>
      </c>
      <c r="B222" s="1" t="s">
        <v>1897</v>
      </c>
      <c r="C222" s="11" t="s">
        <v>1830</v>
      </c>
      <c r="D222" s="213" t="s">
        <v>1570</v>
      </c>
      <c r="E222" s="213">
        <f ca="1">OFFSET(model!$A$1,MATCH(D222,model!B:B,0)-1,0)</f>
        <v>3</v>
      </c>
      <c r="F222" s="1" t="s">
        <v>1528</v>
      </c>
      <c r="G222" s="213" t="s">
        <v>1694</v>
      </c>
      <c r="H222" s="213"/>
      <c r="I222" s="213"/>
      <c r="J222" s="213"/>
      <c r="K222" s="1">
        <v>2</v>
      </c>
      <c r="L222" s="1">
        <v>128</v>
      </c>
      <c r="M222" s="1">
        <f t="shared" si="16"/>
        <v>2128</v>
      </c>
      <c r="N222" s="107" t="e">
        <f ca="1">OFFSET(npc_level_config!$T$1,MATCH(M222,npc_level_config!A:A,0)-1,0)</f>
        <v>#VALUE!</v>
      </c>
      <c r="O222" s="107" t="e">
        <f ca="1" t="shared" si="17"/>
        <v>#VALUE!</v>
      </c>
      <c r="P222" s="216">
        <v>2201</v>
      </c>
      <c r="Q222" s="3">
        <f ca="1">IF(S222=0,6,OFFSET(passive_type!$J$1,MATCH(S222,passive_type!A:A,0)-1,0))</f>
        <v>6</v>
      </c>
      <c r="R222" s="3">
        <f ca="1">OFFSET(battle_group!$C$1,MATCH(P222,battle_group!E:E,0)-1,0)</f>
        <v>2</v>
      </c>
      <c r="S222" s="1">
        <v>0</v>
      </c>
      <c r="T222" s="238">
        <v>20137</v>
      </c>
    </row>
    <row r="223" ht="15.75" spans="1:20">
      <c r="A223" s="1">
        <v>3064</v>
      </c>
      <c r="B223" s="1" t="s">
        <v>1898</v>
      </c>
      <c r="C223" s="11" t="s">
        <v>1832</v>
      </c>
      <c r="D223" s="223" t="s">
        <v>1871</v>
      </c>
      <c r="E223" s="213">
        <f ca="1">OFFSET(model!$A$1,MATCH(D223,model!B:B,0)-1,0)</f>
        <v>76</v>
      </c>
      <c r="F223" s="1" t="s">
        <v>1528</v>
      </c>
      <c r="G223" s="213" t="s">
        <v>1566</v>
      </c>
      <c r="H223" s="213"/>
      <c r="I223" s="213"/>
      <c r="J223" s="213"/>
      <c r="K223" s="1">
        <v>2</v>
      </c>
      <c r="L223" s="1">
        <v>129</v>
      </c>
      <c r="M223" s="1">
        <f t="shared" si="16"/>
        <v>2129</v>
      </c>
      <c r="N223" s="107" t="e">
        <f ca="1">OFFSET(npc_level_config!$T$1,MATCH(M223,npc_level_config!A:A,0)-1,0)</f>
        <v>#VALUE!</v>
      </c>
      <c r="O223" s="107" t="e">
        <f ca="1" t="shared" si="17"/>
        <v>#VALUE!</v>
      </c>
      <c r="P223" s="216">
        <v>3202</v>
      </c>
      <c r="Q223" s="3">
        <f ca="1">IF(S223=0,6,OFFSET(passive_type!$J$1,MATCH(S223,passive_type!A:A,0)-1,0))</f>
        <v>6</v>
      </c>
      <c r="R223" s="3">
        <f ca="1">OFFSET(battle_group!$C$1,MATCH(P223,battle_group!E:E,0)-1,0)</f>
        <v>3</v>
      </c>
      <c r="S223" s="1">
        <v>0</v>
      </c>
      <c r="T223" s="238">
        <v>20103</v>
      </c>
    </row>
    <row r="224" spans="1:20">
      <c r="A224" s="1">
        <v>3065</v>
      </c>
      <c r="B224" s="1" t="s">
        <v>1899</v>
      </c>
      <c r="C224" s="11" t="s">
        <v>1892</v>
      </c>
      <c r="D224" t="s">
        <v>1872</v>
      </c>
      <c r="E224" s="213">
        <f ca="1">OFFSET(model!$A$1,MATCH(D224,model!B:B,0)-1,0)</f>
        <v>39</v>
      </c>
      <c r="F224" s="1" t="s">
        <v>1528</v>
      </c>
      <c r="G224" s="1" t="s">
        <v>1873</v>
      </c>
      <c r="K224" s="1">
        <v>2</v>
      </c>
      <c r="L224" s="1">
        <v>130</v>
      </c>
      <c r="M224" s="1">
        <f t="shared" si="16"/>
        <v>2130</v>
      </c>
      <c r="N224" s="107" t="e">
        <f ca="1">OFFSET(npc_level_config!$T$1,MATCH(M224,npc_level_config!A:A,0)-1,0)</f>
        <v>#VALUE!</v>
      </c>
      <c r="O224" s="107" t="e">
        <f ca="1" t="shared" si="17"/>
        <v>#VALUE!</v>
      </c>
      <c r="P224" s="216">
        <v>1202</v>
      </c>
      <c r="Q224" s="3">
        <f ca="1">IF(S224=0,6,OFFSET(passive_type!$J$1,MATCH(S224,passive_type!A:A,0)-1,0))</f>
        <v>6</v>
      </c>
      <c r="R224" s="3">
        <f ca="1">OFFSET(battle_group!$C$1,MATCH(P224,battle_group!E:E,0)-1,0)</f>
        <v>1</v>
      </c>
      <c r="S224" s="1">
        <v>0</v>
      </c>
      <c r="T224" s="238">
        <v>20137</v>
      </c>
    </row>
    <row r="225" ht="27.75" spans="1:20">
      <c r="A225" s="1">
        <v>3066</v>
      </c>
      <c r="B225" s="1" t="s">
        <v>1900</v>
      </c>
      <c r="C225" s="11" t="s">
        <v>1847</v>
      </c>
      <c r="D225" s="213" t="s">
        <v>1638</v>
      </c>
      <c r="E225" s="213">
        <f ca="1">OFFSET(model!$A$1,MATCH(D225,model!B:B,0)-1,0)</f>
        <v>18</v>
      </c>
      <c r="F225" s="1" t="s">
        <v>1528</v>
      </c>
      <c r="G225" s="213" t="s">
        <v>1676</v>
      </c>
      <c r="H225" s="213"/>
      <c r="I225" s="213"/>
      <c r="J225" s="213"/>
      <c r="K225" s="1">
        <v>2</v>
      </c>
      <c r="L225" s="1">
        <v>132</v>
      </c>
      <c r="M225" s="1">
        <f t="shared" si="16"/>
        <v>2132</v>
      </c>
      <c r="N225" s="107" t="e">
        <f ca="1">OFFSET(npc_level_config!$T$1,MATCH(M225,npc_level_config!A:A,0)-1,0)</f>
        <v>#VALUE!</v>
      </c>
      <c r="O225" s="107" t="e">
        <f ca="1" t="shared" si="17"/>
        <v>#VALUE!</v>
      </c>
      <c r="P225" s="216">
        <v>4104</v>
      </c>
      <c r="Q225" s="3">
        <f ca="1">IF(S225=0,6,OFFSET(passive_type!$J$1,MATCH(S225,passive_type!A:A,0)-1,0))</f>
        <v>6</v>
      </c>
      <c r="R225" s="3">
        <f ca="1">OFFSET(battle_group!$C$1,MATCH(P225,battle_group!E:E,0)-1,0)</f>
        <v>4</v>
      </c>
      <c r="S225" s="1">
        <v>0</v>
      </c>
      <c r="T225" s="259">
        <v>20141</v>
      </c>
    </row>
    <row r="226" ht="27.75" spans="1:20">
      <c r="A226" s="1">
        <v>3067</v>
      </c>
      <c r="B226" s="1" t="s">
        <v>1901</v>
      </c>
      <c r="C226" s="11" t="s">
        <v>1847</v>
      </c>
      <c r="D226" s="213" t="s">
        <v>1546</v>
      </c>
      <c r="E226" s="213">
        <f ca="1">OFFSET(model!$A$1,MATCH(D226,model!B:B,0)-1,0)</f>
        <v>13</v>
      </c>
      <c r="F226" s="1" t="s">
        <v>1528</v>
      </c>
      <c r="G226" s="213" t="s">
        <v>1616</v>
      </c>
      <c r="H226" s="213"/>
      <c r="I226" s="213"/>
      <c r="J226" s="213"/>
      <c r="K226" s="1">
        <v>2</v>
      </c>
      <c r="L226" s="1">
        <v>131</v>
      </c>
      <c r="M226" s="1">
        <f t="shared" si="16"/>
        <v>2131</v>
      </c>
      <c r="N226" s="107" t="e">
        <f ca="1">OFFSET(npc_level_config!$T$1,MATCH(M226,npc_level_config!A:A,0)-1,0)</f>
        <v>#VALUE!</v>
      </c>
      <c r="O226" s="107" t="e">
        <f ca="1" t="shared" si="17"/>
        <v>#VALUE!</v>
      </c>
      <c r="P226" s="216">
        <v>2205</v>
      </c>
      <c r="Q226" s="3">
        <f ca="1">IF(S226=0,6,OFFSET(passive_type!$J$1,MATCH(S226,passive_type!A:A,0)-1,0))</f>
        <v>6</v>
      </c>
      <c r="R226" s="3">
        <f ca="1">OFFSET(battle_group!$C$1,MATCH(P226,battle_group!E:E,0)-1,0)</f>
        <v>2</v>
      </c>
      <c r="S226" s="1">
        <v>0</v>
      </c>
      <c r="T226" s="238">
        <v>20142</v>
      </c>
    </row>
    <row r="227" ht="15.75" spans="1:20">
      <c r="A227" s="1">
        <v>3068</v>
      </c>
      <c r="B227" s="1" t="s">
        <v>1902</v>
      </c>
      <c r="C227" s="256" t="s">
        <v>1877</v>
      </c>
      <c r="D227" s="223" t="s">
        <v>1689</v>
      </c>
      <c r="E227" s="213">
        <f ca="1">OFFSET(model!$A$1,MATCH(D227,model!B:B,0)-1,0)</f>
        <v>77</v>
      </c>
      <c r="F227" s="1" t="s">
        <v>1528</v>
      </c>
      <c r="G227" s="213" t="s">
        <v>1557</v>
      </c>
      <c r="H227" s="213"/>
      <c r="I227" s="213"/>
      <c r="J227" s="213"/>
      <c r="K227" s="1">
        <v>2</v>
      </c>
      <c r="L227" s="1">
        <v>133</v>
      </c>
      <c r="M227" s="1">
        <f t="shared" si="16"/>
        <v>2133</v>
      </c>
      <c r="N227" s="107" t="e">
        <f ca="1">OFFSET(npc_level_config!$T$1,MATCH(M227,npc_level_config!A:A,0)-1,0)</f>
        <v>#VALUE!</v>
      </c>
      <c r="O227" s="107" t="e">
        <f ca="1" t="shared" si="17"/>
        <v>#VALUE!</v>
      </c>
      <c r="P227" s="216">
        <v>4103</v>
      </c>
      <c r="Q227" s="3">
        <f ca="1">IF(S227=0,6,OFFSET(passive_type!$J$1,MATCH(S227,passive_type!A:A,0)-1,0))</f>
        <v>6</v>
      </c>
      <c r="R227" s="3">
        <f ca="1">OFFSET(battle_group!$C$1,MATCH(P227,battle_group!E:E,0)-1,0)</f>
        <v>4</v>
      </c>
      <c r="S227" s="1">
        <v>0</v>
      </c>
      <c r="T227" s="238">
        <v>20138</v>
      </c>
    </row>
    <row r="228" ht="15.75" spans="1:20">
      <c r="A228" s="1">
        <v>3069</v>
      </c>
      <c r="B228" s="1" t="s">
        <v>1903</v>
      </c>
      <c r="C228" s="66" t="s">
        <v>1845</v>
      </c>
      <c r="D228" s="223" t="s">
        <v>1686</v>
      </c>
      <c r="E228" s="213">
        <f ca="1">OFFSET(model!$A$1,MATCH(D228,model!B:B,0)-1,0)</f>
        <v>70</v>
      </c>
      <c r="F228" s="1" t="s">
        <v>1528</v>
      </c>
      <c r="G228" s="213" t="s">
        <v>1687</v>
      </c>
      <c r="H228" s="213"/>
      <c r="I228" s="213"/>
      <c r="J228" s="213"/>
      <c r="K228" s="1">
        <v>2</v>
      </c>
      <c r="L228" s="1">
        <v>134</v>
      </c>
      <c r="M228" s="1">
        <f t="shared" si="16"/>
        <v>2134</v>
      </c>
      <c r="N228" s="107" t="e">
        <f ca="1">OFFSET(npc_level_config!$T$1,MATCH(M228,npc_level_config!A:A,0)-1,0)</f>
        <v>#VALUE!</v>
      </c>
      <c r="O228" s="107" t="e">
        <f ca="1" t="shared" si="17"/>
        <v>#VALUE!</v>
      </c>
      <c r="P228" s="216">
        <v>1202</v>
      </c>
      <c r="Q228" s="3">
        <f ca="1">IF(S228=0,6,OFFSET(passive_type!$J$1,MATCH(S228,passive_type!A:A,0)-1,0))</f>
        <v>6</v>
      </c>
      <c r="R228" s="3">
        <f ca="1">OFFSET(battle_group!$C$1,MATCH(P228,battle_group!E:E,0)-1,0)</f>
        <v>1</v>
      </c>
      <c r="S228" s="1">
        <v>0</v>
      </c>
      <c r="T228" s="238">
        <v>20103</v>
      </c>
    </row>
    <row r="229" spans="1:20">
      <c r="A229" s="1">
        <v>3070</v>
      </c>
      <c r="B229" s="1" t="s">
        <v>1904</v>
      </c>
      <c r="C229" s="256" t="s">
        <v>1825</v>
      </c>
      <c r="D229" s="213" t="s">
        <v>1575</v>
      </c>
      <c r="E229" s="213">
        <f ca="1">OFFSET(model!$A$1,MATCH(D229,model!B:B,0)-1,0)</f>
        <v>2</v>
      </c>
      <c r="F229" s="1" t="s">
        <v>1528</v>
      </c>
      <c r="G229" s="213" t="s">
        <v>1693</v>
      </c>
      <c r="H229" s="213"/>
      <c r="I229" s="213"/>
      <c r="J229" s="213"/>
      <c r="K229" s="1">
        <v>3</v>
      </c>
      <c r="L229" s="78">
        <v>101</v>
      </c>
      <c r="M229" s="1">
        <f t="shared" si="16"/>
        <v>3101</v>
      </c>
      <c r="N229" s="107" t="e">
        <f ca="1">OFFSET(npc_level_config!$T$1,MATCH(M229,npc_level_config!A:A,0)-1,0)</f>
        <v>#VALUE!</v>
      </c>
      <c r="O229" s="107" t="e">
        <f ca="1" t="shared" si="17"/>
        <v>#VALUE!</v>
      </c>
      <c r="P229" s="216">
        <v>4104</v>
      </c>
      <c r="Q229" s="3">
        <f ca="1">IF(S229=0,6,OFFSET(passive_type!$J$1,MATCH(S229,passive_type!A:A,0)-1,0))</f>
        <v>6</v>
      </c>
      <c r="R229" s="3">
        <f ca="1">OFFSET(battle_group!$C$1,MATCH(P229,battle_group!E:E,0)-1,0)</f>
        <v>4</v>
      </c>
      <c r="S229" s="1">
        <v>0</v>
      </c>
      <c r="T229" s="238">
        <v>20137</v>
      </c>
    </row>
    <row r="230" spans="1:20">
      <c r="A230" s="1">
        <v>3071</v>
      </c>
      <c r="B230" s="1" t="s">
        <v>1905</v>
      </c>
      <c r="C230" s="11" t="s">
        <v>1865</v>
      </c>
      <c r="D230" t="s">
        <v>1827</v>
      </c>
      <c r="E230" s="213">
        <f ca="1">OFFSET(model!$A$1,MATCH(D230,model!B:B,0)-1,0)</f>
        <v>33</v>
      </c>
      <c r="F230" s="1" t="s">
        <v>1528</v>
      </c>
      <c r="G230" s="213" t="s">
        <v>1579</v>
      </c>
      <c r="H230" s="213"/>
      <c r="I230" s="213"/>
      <c r="J230" s="213"/>
      <c r="K230" s="1">
        <v>3</v>
      </c>
      <c r="L230" s="78">
        <v>102</v>
      </c>
      <c r="M230" s="1">
        <f t="shared" si="16"/>
        <v>3102</v>
      </c>
      <c r="N230" s="107" t="e">
        <f ca="1">OFFSET(npc_level_config!$T$1,MATCH(M230,npc_level_config!A:A,0)-1,0)</f>
        <v>#VALUE!</v>
      </c>
      <c r="O230" s="107" t="e">
        <f ca="1" t="shared" si="17"/>
        <v>#VALUE!</v>
      </c>
      <c r="P230" s="216">
        <v>4104</v>
      </c>
      <c r="Q230" s="3">
        <f ca="1">IF(S230=0,6,OFFSET(passive_type!$J$1,MATCH(S230,passive_type!A:A,0)-1,0))</f>
        <v>6</v>
      </c>
      <c r="R230" s="3">
        <f ca="1">OFFSET(battle_group!$C$1,MATCH(P230,battle_group!E:E,0)-1,0)</f>
        <v>4</v>
      </c>
      <c r="S230" s="1">
        <v>0</v>
      </c>
      <c r="T230" s="238">
        <v>20138</v>
      </c>
    </row>
    <row r="231" spans="1:20">
      <c r="A231" s="1">
        <v>3072</v>
      </c>
      <c r="B231" s="1" t="s">
        <v>1906</v>
      </c>
      <c r="C231" s="66" t="s">
        <v>1826</v>
      </c>
      <c r="D231" s="213" t="s">
        <v>1575</v>
      </c>
      <c r="E231" s="213">
        <f ca="1">OFFSET(model!$A$1,MATCH(D231,model!B:B,0)-1,0)</f>
        <v>2</v>
      </c>
      <c r="F231" s="1" t="s">
        <v>1528</v>
      </c>
      <c r="G231" s="213" t="s">
        <v>1693</v>
      </c>
      <c r="H231" s="213"/>
      <c r="I231" s="213"/>
      <c r="J231" s="213"/>
      <c r="K231" s="1">
        <v>3</v>
      </c>
      <c r="L231" s="78">
        <v>103</v>
      </c>
      <c r="M231" s="1">
        <f t="shared" si="16"/>
        <v>3103</v>
      </c>
      <c r="N231" s="107" t="e">
        <f ca="1">OFFSET(npc_level_config!$T$1,MATCH(M231,npc_level_config!A:A,0)-1,0)</f>
        <v>#VALUE!</v>
      </c>
      <c r="O231" s="107" t="e">
        <f ca="1" t="shared" si="17"/>
        <v>#VALUE!</v>
      </c>
      <c r="P231" s="216">
        <v>4104</v>
      </c>
      <c r="Q231" s="3">
        <f ca="1">IF(S231=0,6,OFFSET(passive_type!$J$1,MATCH(S231,passive_type!A:A,0)-1,0))</f>
        <v>6</v>
      </c>
      <c r="R231" s="3">
        <f ca="1">OFFSET(battle_group!$C$1,MATCH(P231,battle_group!E:E,0)-1,0)</f>
        <v>4</v>
      </c>
      <c r="S231" s="1">
        <v>0</v>
      </c>
      <c r="T231" s="238">
        <v>20138</v>
      </c>
    </row>
    <row r="232" spans="1:20">
      <c r="A232" s="1">
        <v>3073</v>
      </c>
      <c r="B232" s="1" t="s">
        <v>1907</v>
      </c>
      <c r="C232" s="11" t="s">
        <v>1830</v>
      </c>
      <c r="D232" s="213" t="s">
        <v>1585</v>
      </c>
      <c r="E232" s="213">
        <f ca="1">OFFSET(model!$A$1,MATCH(D232,model!B:B,0)-1,0)</f>
        <v>1</v>
      </c>
      <c r="F232" s="1" t="s">
        <v>1528</v>
      </c>
      <c r="G232" s="213" t="s">
        <v>1692</v>
      </c>
      <c r="H232" s="213"/>
      <c r="I232" s="213"/>
      <c r="J232" s="213"/>
      <c r="K232" s="1">
        <v>3</v>
      </c>
      <c r="L232" s="78">
        <v>104</v>
      </c>
      <c r="M232" s="1">
        <f t="shared" si="16"/>
        <v>3104</v>
      </c>
      <c r="N232" s="107" t="e">
        <f ca="1">OFFSET(npc_level_config!$T$1,MATCH(M232,npc_level_config!A:A,0)-1,0)</f>
        <v>#VALUE!</v>
      </c>
      <c r="O232" s="107" t="e">
        <f ca="1" t="shared" si="17"/>
        <v>#VALUE!</v>
      </c>
      <c r="P232" s="216">
        <v>4104</v>
      </c>
      <c r="Q232" s="3">
        <f ca="1">IF(S232=0,6,OFFSET(passive_type!$J$1,MATCH(S232,passive_type!A:A,0)-1,0))</f>
        <v>6</v>
      </c>
      <c r="R232" s="3">
        <f ca="1">OFFSET(battle_group!$C$1,MATCH(P232,battle_group!E:E,0)-1,0)</f>
        <v>4</v>
      </c>
      <c r="S232" s="1">
        <v>0</v>
      </c>
      <c r="T232" s="238">
        <v>20137</v>
      </c>
    </row>
    <row r="233" ht="27.75" spans="1:20">
      <c r="A233" s="1">
        <v>3074</v>
      </c>
      <c r="B233" s="1" t="s">
        <v>1908</v>
      </c>
      <c r="C233" s="256" t="s">
        <v>1869</v>
      </c>
      <c r="D233" s="213" t="s">
        <v>1642</v>
      </c>
      <c r="E233" s="213">
        <f ca="1">OFFSET(model!$A$1,MATCH(D233,model!B:B,0)-1,0)</f>
        <v>19</v>
      </c>
      <c r="F233" s="1" t="s">
        <v>1528</v>
      </c>
      <c r="G233" s="213" t="s">
        <v>1676</v>
      </c>
      <c r="H233" s="213"/>
      <c r="I233" s="213"/>
      <c r="J233" s="213"/>
      <c r="K233" s="1">
        <v>3</v>
      </c>
      <c r="L233" s="78">
        <v>105</v>
      </c>
      <c r="M233" s="1">
        <f t="shared" si="16"/>
        <v>3105</v>
      </c>
      <c r="N233" s="107" t="e">
        <f ca="1">OFFSET(npc_level_config!$T$1,MATCH(M233,npc_level_config!A:A,0)-1,0)</f>
        <v>#VALUE!</v>
      </c>
      <c r="O233" s="107" t="e">
        <f ca="1" t="shared" si="17"/>
        <v>#VALUE!</v>
      </c>
      <c r="P233" s="216">
        <v>4104</v>
      </c>
      <c r="Q233" s="3">
        <f ca="1">IF(S233=0,6,OFFSET(passive_type!$J$1,MATCH(S233,passive_type!A:A,0)-1,0))</f>
        <v>6</v>
      </c>
      <c r="R233" s="3">
        <f ca="1">OFFSET(battle_group!$C$1,MATCH(P233,battle_group!E:E,0)-1,0)</f>
        <v>4</v>
      </c>
      <c r="S233" s="1">
        <v>0</v>
      </c>
      <c r="T233" s="238">
        <v>20141</v>
      </c>
    </row>
    <row r="234" ht="27.75" spans="1:20">
      <c r="A234" s="1">
        <v>3075</v>
      </c>
      <c r="B234" s="1" t="s">
        <v>1897</v>
      </c>
      <c r="C234" s="11" t="s">
        <v>1832</v>
      </c>
      <c r="D234" s="213" t="s">
        <v>1570</v>
      </c>
      <c r="E234" s="213">
        <f ca="1">OFFSET(model!$A$1,MATCH(D234,model!B:B,0)-1,0)</f>
        <v>3</v>
      </c>
      <c r="F234" s="1" t="s">
        <v>1528</v>
      </c>
      <c r="G234" s="213" t="s">
        <v>1694</v>
      </c>
      <c r="H234" s="213"/>
      <c r="I234" s="213"/>
      <c r="J234" s="213"/>
      <c r="K234" s="1">
        <v>3</v>
      </c>
      <c r="L234" s="78">
        <v>106</v>
      </c>
      <c r="M234" s="1">
        <f t="shared" si="16"/>
        <v>3106</v>
      </c>
      <c r="N234" s="107" t="e">
        <f ca="1">OFFSET(npc_level_config!$T$1,MATCH(M234,npc_level_config!A:A,0)-1,0)</f>
        <v>#VALUE!</v>
      </c>
      <c r="O234" s="107" t="e">
        <f ca="1" t="shared" si="17"/>
        <v>#VALUE!</v>
      </c>
      <c r="P234" s="216">
        <v>4104</v>
      </c>
      <c r="Q234" s="3">
        <f ca="1">IF(S234=0,6,OFFSET(passive_type!$J$1,MATCH(S234,passive_type!A:A,0)-1,0))</f>
        <v>6</v>
      </c>
      <c r="R234" s="3">
        <f ca="1">OFFSET(battle_group!$C$1,MATCH(P234,battle_group!E:E,0)-1,0)</f>
        <v>4</v>
      </c>
      <c r="S234" s="1">
        <v>0</v>
      </c>
      <c r="T234" s="238">
        <v>20138</v>
      </c>
    </row>
    <row r="235" ht="27.75" spans="1:20">
      <c r="A235" s="1">
        <v>3076</v>
      </c>
      <c r="B235" s="1" t="s">
        <v>1909</v>
      </c>
      <c r="C235" s="11" t="s">
        <v>1842</v>
      </c>
      <c r="D235" s="213" t="s">
        <v>1768</v>
      </c>
      <c r="E235" s="213">
        <f ca="1">OFFSET(model!$A$1,MATCH(D235,model!B:B,0)-1,0)</f>
        <v>16</v>
      </c>
      <c r="F235" s="1" t="s">
        <v>1528</v>
      </c>
      <c r="G235" s="1" t="s">
        <v>1769</v>
      </c>
      <c r="K235" s="1">
        <v>3</v>
      </c>
      <c r="L235" s="78">
        <v>107</v>
      </c>
      <c r="M235" s="1">
        <f t="shared" si="16"/>
        <v>3107</v>
      </c>
      <c r="N235" s="107" t="e">
        <f ca="1">OFFSET(npc_level_config!$T$1,MATCH(M235,npc_level_config!A:A,0)-1,0)</f>
        <v>#VALUE!</v>
      </c>
      <c r="O235" s="107" t="e">
        <f ca="1" t="shared" si="17"/>
        <v>#VALUE!</v>
      </c>
      <c r="P235" s="216">
        <v>3302</v>
      </c>
      <c r="Q235" s="3">
        <f ca="1">IF(S235=0,6,OFFSET(passive_type!$J$1,MATCH(S235,passive_type!A:A,0)-1,0))</f>
        <v>6</v>
      </c>
      <c r="R235" s="3">
        <f ca="1">OFFSET(battle_group!$C$1,MATCH(P235,battle_group!E:E,0)-1,0)</f>
        <v>3</v>
      </c>
      <c r="S235" s="1">
        <v>0</v>
      </c>
      <c r="T235" s="238">
        <v>20142</v>
      </c>
    </row>
    <row r="236" ht="27.75" spans="1:20">
      <c r="A236" s="1">
        <v>3077</v>
      </c>
      <c r="B236" s="1" t="s">
        <v>1900</v>
      </c>
      <c r="C236" s="11" t="s">
        <v>1851</v>
      </c>
      <c r="D236" s="213" t="s">
        <v>1884</v>
      </c>
      <c r="E236" s="213">
        <f ca="1">OFFSET(model!$A$1,MATCH(D236,model!B:B,0)-1,0)</f>
        <v>21</v>
      </c>
      <c r="F236" s="1" t="s">
        <v>1528</v>
      </c>
      <c r="G236" s="213" t="s">
        <v>1848</v>
      </c>
      <c r="H236" s="213"/>
      <c r="I236" s="213"/>
      <c r="J236" s="213"/>
      <c r="K236" s="1">
        <v>3</v>
      </c>
      <c r="L236" s="78">
        <v>110</v>
      </c>
      <c r="M236" s="1">
        <f t="shared" si="16"/>
        <v>3110</v>
      </c>
      <c r="N236" s="107" t="e">
        <f ca="1">OFFSET(npc_level_config!$T$1,MATCH(M236,npc_level_config!A:A,0)-1,0)</f>
        <v>#VALUE!</v>
      </c>
      <c r="O236" s="107" t="e">
        <f ca="1" t="shared" si="17"/>
        <v>#VALUE!</v>
      </c>
      <c r="P236" s="216">
        <v>4104</v>
      </c>
      <c r="Q236" s="3">
        <f ca="1">IF(S236=0,6,OFFSET(passive_type!$J$1,MATCH(S236,passive_type!A:A,0)-1,0))</f>
        <v>6</v>
      </c>
      <c r="R236" s="3">
        <f ca="1">OFFSET(battle_group!$C$1,MATCH(P236,battle_group!E:E,0)-1,0)</f>
        <v>4</v>
      </c>
      <c r="S236" s="1">
        <v>0</v>
      </c>
      <c r="T236" s="259">
        <v>20141</v>
      </c>
    </row>
    <row r="237" ht="27.75" spans="1:20">
      <c r="A237" s="1">
        <v>3078</v>
      </c>
      <c r="B237" s="1" t="s">
        <v>1900</v>
      </c>
      <c r="C237" s="11" t="s">
        <v>1847</v>
      </c>
      <c r="D237" s="213" t="s">
        <v>1638</v>
      </c>
      <c r="E237" s="213">
        <f ca="1">OFFSET(model!$A$1,MATCH(D237,model!B:B,0)-1,0)</f>
        <v>18</v>
      </c>
      <c r="F237" s="1" t="s">
        <v>1528</v>
      </c>
      <c r="G237" s="213" t="s">
        <v>1676</v>
      </c>
      <c r="H237" s="213"/>
      <c r="I237" s="213"/>
      <c r="J237" s="213"/>
      <c r="K237" s="1">
        <v>3</v>
      </c>
      <c r="L237" s="78">
        <v>112</v>
      </c>
      <c r="M237" s="1">
        <f t="shared" si="16"/>
        <v>3112</v>
      </c>
      <c r="N237" s="107" t="e">
        <f ca="1">OFFSET(npc_level_config!$T$1,MATCH(M237,npc_level_config!A:A,0)-1,0)</f>
        <v>#VALUE!</v>
      </c>
      <c r="O237" s="107" t="e">
        <f ca="1" t="shared" si="17"/>
        <v>#VALUE!</v>
      </c>
      <c r="P237" s="216">
        <v>4104</v>
      </c>
      <c r="Q237" s="3">
        <f ca="1">IF(S237=0,6,OFFSET(passive_type!$J$1,MATCH(S237,passive_type!A:A,0)-1,0))</f>
        <v>6</v>
      </c>
      <c r="R237" s="3">
        <f ca="1">OFFSET(battle_group!$C$1,MATCH(P237,battle_group!E:E,0)-1,0)</f>
        <v>4</v>
      </c>
      <c r="S237" s="1">
        <v>0</v>
      </c>
      <c r="T237" s="259">
        <v>20141</v>
      </c>
    </row>
    <row r="238" ht="27.75" spans="1:20">
      <c r="A238" s="1">
        <v>3079</v>
      </c>
      <c r="B238" s="1" t="s">
        <v>1909</v>
      </c>
      <c r="C238" s="11" t="s">
        <v>1847</v>
      </c>
      <c r="D238" s="213" t="s">
        <v>1546</v>
      </c>
      <c r="E238" s="213">
        <f ca="1">OFFSET(model!$A$1,MATCH(D238,model!B:B,0)-1,0)</f>
        <v>13</v>
      </c>
      <c r="F238" s="1" t="s">
        <v>1528</v>
      </c>
      <c r="G238" s="213" t="s">
        <v>1616</v>
      </c>
      <c r="H238" s="213"/>
      <c r="I238" s="213"/>
      <c r="J238" s="213"/>
      <c r="K238" s="1">
        <v>3</v>
      </c>
      <c r="L238" s="78">
        <v>111</v>
      </c>
      <c r="M238" s="1">
        <f t="shared" si="16"/>
        <v>3111</v>
      </c>
      <c r="N238" s="107" t="e">
        <f ca="1">OFFSET(npc_level_config!$T$1,MATCH(M238,npc_level_config!A:A,0)-1,0)</f>
        <v>#VALUE!</v>
      </c>
      <c r="O238" s="107" t="e">
        <f ca="1" t="shared" si="17"/>
        <v>#VALUE!</v>
      </c>
      <c r="P238" s="216">
        <v>3302</v>
      </c>
      <c r="Q238" s="3">
        <f ca="1">IF(S238=0,6,OFFSET(passive_type!$J$1,MATCH(S238,passive_type!A:A,0)-1,0))</f>
        <v>6</v>
      </c>
      <c r="R238" s="3">
        <f ca="1">OFFSET(battle_group!$C$1,MATCH(P238,battle_group!E:E,0)-1,0)</f>
        <v>3</v>
      </c>
      <c r="S238" s="1">
        <v>0</v>
      </c>
      <c r="T238" s="238">
        <v>20138</v>
      </c>
    </row>
    <row r="239" spans="1:20">
      <c r="A239" s="1">
        <v>3080</v>
      </c>
      <c r="B239" s="1" t="s">
        <v>1910</v>
      </c>
      <c r="C239" s="11" t="s">
        <v>1830</v>
      </c>
      <c r="D239" s="213" t="s">
        <v>1575</v>
      </c>
      <c r="E239" s="213">
        <f ca="1">OFFSET(model!$A$1,MATCH(D239,model!B:B,0)-1,0)</f>
        <v>2</v>
      </c>
      <c r="F239" s="1" t="s">
        <v>1528</v>
      </c>
      <c r="G239" s="213" t="s">
        <v>1693</v>
      </c>
      <c r="H239" s="213"/>
      <c r="I239" s="213"/>
      <c r="J239" s="213"/>
      <c r="K239" s="1">
        <v>3</v>
      </c>
      <c r="L239" s="78">
        <v>113</v>
      </c>
      <c r="M239" s="1">
        <f t="shared" si="16"/>
        <v>3113</v>
      </c>
      <c r="N239" s="107" t="e">
        <f ca="1">OFFSET(npc_level_config!$T$1,MATCH(M239,npc_level_config!A:A,0)-1,0)</f>
        <v>#VALUE!</v>
      </c>
      <c r="O239" s="107" t="e">
        <f ca="1" t="shared" si="17"/>
        <v>#VALUE!</v>
      </c>
      <c r="P239" s="216">
        <v>4104</v>
      </c>
      <c r="Q239" s="3">
        <f ca="1">IF(S239=0,6,OFFSET(passive_type!$J$1,MATCH(S239,passive_type!A:A,0)-1,0))</f>
        <v>6</v>
      </c>
      <c r="R239" s="3">
        <f ca="1">OFFSET(battle_group!$C$1,MATCH(P239,battle_group!E:E,0)-1,0)</f>
        <v>4</v>
      </c>
      <c r="S239" s="1">
        <v>0</v>
      </c>
      <c r="T239" s="238">
        <v>20138</v>
      </c>
    </row>
    <row r="240" spans="1:20">
      <c r="A240" s="1">
        <v>3081</v>
      </c>
      <c r="B240" s="1" t="s">
        <v>1889</v>
      </c>
      <c r="C240" s="256" t="s">
        <v>1825</v>
      </c>
      <c r="D240" s="213" t="s">
        <v>1585</v>
      </c>
      <c r="E240" s="213">
        <f ca="1">OFFSET(model!$A$1,MATCH(D240,model!B:B,0)-1,0)</f>
        <v>1</v>
      </c>
      <c r="F240" s="1" t="s">
        <v>1528</v>
      </c>
      <c r="G240" s="213" t="s">
        <v>1692</v>
      </c>
      <c r="H240" s="213"/>
      <c r="I240" s="213"/>
      <c r="J240" s="213"/>
      <c r="K240" s="1">
        <v>3</v>
      </c>
      <c r="L240" s="78">
        <v>114</v>
      </c>
      <c r="M240" s="1">
        <f t="shared" ref="M240:M263" si="18">K240*1000+L240</f>
        <v>3114</v>
      </c>
      <c r="N240" s="107" t="e">
        <f ca="1">OFFSET(npc_level_config!$T$1,MATCH(M240,npc_level_config!A:A,0)-1,0)</f>
        <v>#VALUE!</v>
      </c>
      <c r="O240" s="107" t="e">
        <f ca="1" t="shared" si="17"/>
        <v>#VALUE!</v>
      </c>
      <c r="P240" s="216">
        <v>4104</v>
      </c>
      <c r="Q240" s="3">
        <f ca="1">IF(S240=0,6,OFFSET(passive_type!$J$1,MATCH(S240,passive_type!A:A,0)-1,0))</f>
        <v>6</v>
      </c>
      <c r="R240" s="3">
        <f ca="1">OFFSET(battle_group!$C$1,MATCH(P240,battle_group!E:E,0)-1,0)</f>
        <v>4</v>
      </c>
      <c r="S240" s="1">
        <v>0</v>
      </c>
      <c r="T240" s="238">
        <v>20137</v>
      </c>
    </row>
    <row r="241" spans="1:20">
      <c r="A241" s="1">
        <v>3082</v>
      </c>
      <c r="B241" s="1" t="s">
        <v>1911</v>
      </c>
      <c r="C241" s="256" t="s">
        <v>1877</v>
      </c>
      <c r="D241" s="213" t="s">
        <v>1677</v>
      </c>
      <c r="E241" s="213">
        <f ca="1">OFFSET(model!$A$1,MATCH(D241,model!B:B,0)-1,0)</f>
        <v>4</v>
      </c>
      <c r="F241" s="1" t="s">
        <v>1528</v>
      </c>
      <c r="G241" s="213" t="s">
        <v>1557</v>
      </c>
      <c r="H241" s="213"/>
      <c r="I241" s="213"/>
      <c r="J241" s="213"/>
      <c r="K241" s="1">
        <v>3</v>
      </c>
      <c r="L241" s="78">
        <v>115</v>
      </c>
      <c r="M241" s="1">
        <f t="shared" si="18"/>
        <v>3115</v>
      </c>
      <c r="N241" s="107" t="e">
        <f ca="1">OFFSET(npc_level_config!$T$1,MATCH(M241,npc_level_config!A:A,0)-1,0)</f>
        <v>#VALUE!</v>
      </c>
      <c r="O241" s="107" t="e">
        <f ca="1" t="shared" si="17"/>
        <v>#VALUE!</v>
      </c>
      <c r="P241" s="216">
        <v>4103</v>
      </c>
      <c r="Q241" s="3">
        <f ca="1">IF(S241=0,6,OFFSET(passive_type!$J$1,MATCH(S241,passive_type!A:A,0)-1,0))</f>
        <v>6</v>
      </c>
      <c r="R241" s="3">
        <f ca="1">OFFSET(battle_group!$C$1,MATCH(P241,battle_group!E:E,0)-1,0)</f>
        <v>4</v>
      </c>
      <c r="S241" s="1">
        <v>0</v>
      </c>
      <c r="T241" s="238">
        <v>20103</v>
      </c>
    </row>
    <row r="242" spans="1:20">
      <c r="A242" s="1">
        <v>3083</v>
      </c>
      <c r="B242" s="66" t="s">
        <v>1912</v>
      </c>
      <c r="C242" s="1" t="s">
        <v>1913</v>
      </c>
      <c r="D242" s="1" t="s">
        <v>1721</v>
      </c>
      <c r="E242" s="213">
        <f ca="1">OFFSET(model!$A$1,MATCH(D242,model!B:B,0)-1,0)</f>
        <v>55</v>
      </c>
      <c r="F242" s="1" t="s">
        <v>1528</v>
      </c>
      <c r="G242" s="213" t="s">
        <v>1885</v>
      </c>
      <c r="H242" s="213"/>
      <c r="I242" s="213"/>
      <c r="J242" s="213"/>
      <c r="K242" s="1">
        <v>3</v>
      </c>
      <c r="L242" s="78">
        <v>116</v>
      </c>
      <c r="M242" s="1">
        <f t="shared" si="18"/>
        <v>3116</v>
      </c>
      <c r="N242" s="107" t="e">
        <f ca="1">OFFSET(npc_level_config!$T$1,MATCH(M242,npc_level_config!A:A,0)-1,0)</f>
        <v>#VALUE!</v>
      </c>
      <c r="O242" s="107" t="e">
        <f ca="1" t="shared" si="17"/>
        <v>#VALUE!</v>
      </c>
      <c r="P242" s="216">
        <v>4104</v>
      </c>
      <c r="Q242" s="3">
        <f ca="1">IF(S242=0,6,OFFSET(passive_type!$J$1,MATCH(S242,passive_type!A:A,0)-1,0))</f>
        <v>6</v>
      </c>
      <c r="R242" s="3">
        <f ca="1">OFFSET(battle_group!$C$1,MATCH(P242,battle_group!E:E,0)-1,0)</f>
        <v>4</v>
      </c>
      <c r="S242" s="1">
        <v>0</v>
      </c>
      <c r="T242" s="238">
        <v>20103</v>
      </c>
    </row>
    <row r="243" ht="27.75" spans="1:20">
      <c r="A243" s="1">
        <v>3084</v>
      </c>
      <c r="B243" s="1" t="s">
        <v>1914</v>
      </c>
      <c r="C243" s="256" t="s">
        <v>1880</v>
      </c>
      <c r="D243" s="213" t="s">
        <v>1551</v>
      </c>
      <c r="E243" s="213">
        <f ca="1">OFFSET(model!$A$1,MATCH(D243,model!B:B,0)-1,0)</f>
        <v>15</v>
      </c>
      <c r="F243" s="1" t="s">
        <v>1528</v>
      </c>
      <c r="G243" s="214" t="s">
        <v>1772</v>
      </c>
      <c r="H243" s="214"/>
      <c r="I243" s="214"/>
      <c r="J243" s="214"/>
      <c r="K243" s="1">
        <v>3</v>
      </c>
      <c r="L243" s="78">
        <v>117</v>
      </c>
      <c r="M243" s="1">
        <f t="shared" si="18"/>
        <v>3117</v>
      </c>
      <c r="N243" s="107" t="e">
        <f ca="1">OFFSET(npc_level_config!$T$1,MATCH(M243,npc_level_config!A:A,0)-1,0)</f>
        <v>#VALUE!</v>
      </c>
      <c r="O243" s="107" t="e">
        <f ca="1" t="shared" si="17"/>
        <v>#VALUE!</v>
      </c>
      <c r="P243" s="216">
        <v>2302</v>
      </c>
      <c r="Q243" s="3">
        <f ca="1">IF(S243=0,6,OFFSET(passive_type!$J$1,MATCH(S243,passive_type!A:A,0)-1,0))</f>
        <v>6</v>
      </c>
      <c r="R243" s="3">
        <f ca="1">OFFSET(battle_group!$C$1,MATCH(P243,battle_group!E:E,0)-1,0)</f>
        <v>2</v>
      </c>
      <c r="T243" s="238">
        <v>20142</v>
      </c>
    </row>
    <row r="244" spans="1:20">
      <c r="A244" s="1">
        <v>3085</v>
      </c>
      <c r="B244" s="1" t="s">
        <v>1915</v>
      </c>
      <c r="C244" s="66" t="s">
        <v>1826</v>
      </c>
      <c r="D244" s="213" t="s">
        <v>1585</v>
      </c>
      <c r="E244" s="213">
        <f ca="1">OFFSET(model!$A$1,MATCH(D244,model!B:B,0)-1,0)</f>
        <v>1</v>
      </c>
      <c r="F244" s="1" t="s">
        <v>1528</v>
      </c>
      <c r="G244" s="213" t="s">
        <v>1692</v>
      </c>
      <c r="H244" s="213"/>
      <c r="I244" s="213"/>
      <c r="J244" s="213"/>
      <c r="K244" s="1">
        <v>3</v>
      </c>
      <c r="L244" s="78">
        <v>118</v>
      </c>
      <c r="M244" s="1">
        <f t="shared" si="18"/>
        <v>3118</v>
      </c>
      <c r="N244" s="107" t="e">
        <f ca="1">OFFSET(npc_level_config!$T$1,MATCH(M244,npc_level_config!A:A,0)-1,0)</f>
        <v>#VALUE!</v>
      </c>
      <c r="O244" s="107" t="e">
        <f ca="1" t="shared" si="17"/>
        <v>#VALUE!</v>
      </c>
      <c r="P244" s="216">
        <v>4104</v>
      </c>
      <c r="Q244" s="3">
        <f ca="1">IF(S244=0,6,OFFSET(passive_type!$J$1,MATCH(S244,passive_type!A:A,0)-1,0))</f>
        <v>6</v>
      </c>
      <c r="R244" s="3">
        <f ca="1">OFFSET(battle_group!$C$1,MATCH(P244,battle_group!E:E,0)-1,0)</f>
        <v>4</v>
      </c>
      <c r="S244" s="1">
        <v>0</v>
      </c>
      <c r="T244" s="238">
        <v>20138</v>
      </c>
    </row>
    <row r="245" ht="27.75" spans="1:20">
      <c r="A245" s="1">
        <v>3086</v>
      </c>
      <c r="B245" s="1" t="s">
        <v>1916</v>
      </c>
      <c r="C245" s="11" t="s">
        <v>1865</v>
      </c>
      <c r="D245" s="213" t="s">
        <v>1768</v>
      </c>
      <c r="E245" s="213">
        <f ca="1">OFFSET(model!$A$1,MATCH(D245,model!B:B,0)-1,0)</f>
        <v>16</v>
      </c>
      <c r="F245" s="1" t="s">
        <v>1528</v>
      </c>
      <c r="G245" s="214" t="s">
        <v>1655</v>
      </c>
      <c r="H245" s="214"/>
      <c r="I245" s="214"/>
      <c r="J245" s="214"/>
      <c r="K245" s="1">
        <v>3</v>
      </c>
      <c r="L245" s="78">
        <v>119</v>
      </c>
      <c r="M245" s="1">
        <f t="shared" si="18"/>
        <v>3119</v>
      </c>
      <c r="N245" s="107" t="e">
        <f ca="1">OFFSET(npc_level_config!$T$1,MATCH(M245,npc_level_config!A:A,0)-1,0)</f>
        <v>#VALUE!</v>
      </c>
      <c r="O245" s="107" t="e">
        <f ca="1" t="shared" si="17"/>
        <v>#VALUE!</v>
      </c>
      <c r="P245" s="106">
        <v>2301</v>
      </c>
      <c r="Q245" s="3">
        <f ca="1">IF(S245=0,6,OFFSET(passive_type!$J$1,MATCH(S245,passive_type!A:A,0)-1,0))</f>
        <v>6</v>
      </c>
      <c r="R245" s="3">
        <f ca="1">OFFSET(battle_group!$C$1,MATCH(P245,battle_group!E:E,0)-1,0)</f>
        <v>2</v>
      </c>
      <c r="T245" s="238">
        <v>20240</v>
      </c>
    </row>
    <row r="246" ht="27.75" spans="1:20">
      <c r="A246" s="1">
        <v>3087</v>
      </c>
      <c r="B246" s="1" t="s">
        <v>1917</v>
      </c>
      <c r="C246" s="11" t="s">
        <v>1842</v>
      </c>
      <c r="D246" s="213" t="s">
        <v>1546</v>
      </c>
      <c r="E246" s="213">
        <f ca="1">OFFSET(model!$A$1,MATCH(D246,model!B:B,0)-1,0)</f>
        <v>13</v>
      </c>
      <c r="F246" s="1" t="s">
        <v>1528</v>
      </c>
      <c r="G246" s="214" t="s">
        <v>1705</v>
      </c>
      <c r="H246" s="214"/>
      <c r="I246" s="214"/>
      <c r="J246" s="214"/>
      <c r="K246" s="1">
        <v>3</v>
      </c>
      <c r="L246" s="78">
        <v>120</v>
      </c>
      <c r="M246" s="1">
        <f t="shared" si="18"/>
        <v>3120</v>
      </c>
      <c r="N246" s="107" t="e">
        <f ca="1">OFFSET(npc_level_config!$T$1,MATCH(M246,npc_level_config!A:A,0)-1,0)</f>
        <v>#VALUE!</v>
      </c>
      <c r="O246" s="107" t="e">
        <f ca="1" t="shared" si="17"/>
        <v>#VALUE!</v>
      </c>
      <c r="P246" s="216">
        <v>1302</v>
      </c>
      <c r="Q246" s="3">
        <f ca="1">IF(S246=0,6,OFFSET(passive_type!$J$1,MATCH(S246,passive_type!A:A,0)-1,0))</f>
        <v>6</v>
      </c>
      <c r="R246" s="3">
        <f ca="1">OFFSET(battle_group!$C$1,MATCH(P246,battle_group!E:E,0)-1,0)</f>
        <v>1</v>
      </c>
      <c r="T246" s="238">
        <v>20142</v>
      </c>
    </row>
    <row r="247" ht="15.75" spans="1:20">
      <c r="A247" s="1">
        <v>3088</v>
      </c>
      <c r="B247" s="1" t="s">
        <v>1918</v>
      </c>
      <c r="C247" s="11" t="s">
        <v>1888</v>
      </c>
      <c r="D247" t="s">
        <v>1702</v>
      </c>
      <c r="E247" s="213">
        <f ca="1">OFFSET(model!$A$1,MATCH(D247,model!B:B,0)-1,0)</f>
        <v>47</v>
      </c>
      <c r="F247" s="1" t="s">
        <v>1528</v>
      </c>
      <c r="G247" s="214" t="s">
        <v>1745</v>
      </c>
      <c r="H247" s="214"/>
      <c r="I247" s="214"/>
      <c r="J247" s="214"/>
      <c r="K247" s="1">
        <v>3</v>
      </c>
      <c r="L247" s="78">
        <v>121</v>
      </c>
      <c r="M247" s="1">
        <f t="shared" si="18"/>
        <v>3121</v>
      </c>
      <c r="N247" s="107" t="e">
        <f ca="1">OFFSET(npc_level_config!$T$1,MATCH(M247,npc_level_config!A:A,0)-1,0)</f>
        <v>#VALUE!</v>
      </c>
      <c r="O247" s="107" t="e">
        <f ca="1" t="shared" si="17"/>
        <v>#VALUE!</v>
      </c>
      <c r="P247" s="216">
        <v>4104</v>
      </c>
      <c r="Q247" s="3">
        <f ca="1">IF(S247=0,6,OFFSET(passive_type!$J$1,MATCH(S247,passive_type!A:A,0)-1,0))</f>
        <v>6</v>
      </c>
      <c r="R247" s="3">
        <f ca="1">OFFSET(battle_group!$C$1,MATCH(P247,battle_group!E:E,0)-1,0)</f>
        <v>4</v>
      </c>
      <c r="T247" s="236">
        <v>869</v>
      </c>
    </row>
    <row r="248" spans="1:20">
      <c r="A248" s="1">
        <v>3089</v>
      </c>
      <c r="B248" s="1" t="s">
        <v>1919</v>
      </c>
      <c r="C248" s="66" t="s">
        <v>1826</v>
      </c>
      <c r="D248" s="213" t="s">
        <v>1575</v>
      </c>
      <c r="E248" s="213">
        <f ca="1">OFFSET(model!$A$1,MATCH(D248,model!B:B,0)-1,0)</f>
        <v>2</v>
      </c>
      <c r="F248" s="1" t="s">
        <v>1528</v>
      </c>
      <c r="G248" s="213" t="s">
        <v>1693</v>
      </c>
      <c r="H248" s="213"/>
      <c r="I248" s="213"/>
      <c r="J248" s="213"/>
      <c r="K248" s="1">
        <v>3</v>
      </c>
      <c r="L248" s="78">
        <v>122</v>
      </c>
      <c r="M248" s="1">
        <f t="shared" si="18"/>
        <v>3122</v>
      </c>
      <c r="N248" s="107" t="e">
        <f ca="1">OFFSET(npc_level_config!$T$1,MATCH(M248,npc_level_config!A:A,0)-1,0)</f>
        <v>#VALUE!</v>
      </c>
      <c r="O248" s="107" t="e">
        <f ca="1" t="shared" si="17"/>
        <v>#VALUE!</v>
      </c>
      <c r="P248" s="216">
        <v>4104</v>
      </c>
      <c r="Q248" s="3">
        <f ca="1">IF(S248=0,6,OFFSET(passive_type!$J$1,MATCH(S248,passive_type!A:A,0)-1,0))</f>
        <v>6</v>
      </c>
      <c r="R248" s="3">
        <f ca="1">OFFSET(battle_group!$C$1,MATCH(P248,battle_group!E:E,0)-1,0)</f>
        <v>4</v>
      </c>
      <c r="S248" s="1">
        <v>0</v>
      </c>
      <c r="T248" s="238">
        <v>20138</v>
      </c>
    </row>
    <row r="249" ht="15.75" spans="1:20">
      <c r="A249" s="1">
        <v>3090</v>
      </c>
      <c r="B249" s="1" t="s">
        <v>1920</v>
      </c>
      <c r="C249" s="11" t="s">
        <v>1892</v>
      </c>
      <c r="D249" s="223" t="s">
        <v>1681</v>
      </c>
      <c r="E249" s="213">
        <f ca="1">OFFSET(model!$A$1,MATCH(D249,model!B:B,0)-1,0)</f>
        <v>65</v>
      </c>
      <c r="F249" s="1" t="s">
        <v>1528</v>
      </c>
      <c r="G249" s="213" t="s">
        <v>1601</v>
      </c>
      <c r="H249" s="213"/>
      <c r="I249" s="213"/>
      <c r="J249" s="213"/>
      <c r="K249" s="1">
        <v>3</v>
      </c>
      <c r="L249" s="78">
        <v>123</v>
      </c>
      <c r="M249" s="1">
        <f t="shared" si="18"/>
        <v>3123</v>
      </c>
      <c r="N249" s="107" t="e">
        <f ca="1">OFFSET(npc_level_config!$T$1,MATCH(M249,npc_level_config!A:A,0)-1,0)</f>
        <v>#VALUE!</v>
      </c>
      <c r="O249" s="107" t="e">
        <f ca="1" t="shared" si="17"/>
        <v>#VALUE!</v>
      </c>
      <c r="P249" s="216">
        <v>4104</v>
      </c>
      <c r="Q249" s="3">
        <f ca="1">IF(S249=0,6,OFFSET(passive_type!$J$1,MATCH(S249,passive_type!A:A,0)-1,0))</f>
        <v>6</v>
      </c>
      <c r="R249" s="3">
        <f ca="1">OFFSET(battle_group!$C$1,MATCH(P249,battle_group!E:E,0)-1,0)</f>
        <v>4</v>
      </c>
      <c r="S249" s="1">
        <v>0</v>
      </c>
      <c r="T249" s="238">
        <v>20137</v>
      </c>
    </row>
    <row r="250" ht="15.75" spans="1:20">
      <c r="A250" s="1">
        <v>3091</v>
      </c>
      <c r="B250" s="1" t="s">
        <v>1921</v>
      </c>
      <c r="C250" s="66" t="s">
        <v>1845</v>
      </c>
      <c r="D250" s="223" t="s">
        <v>1922</v>
      </c>
      <c r="E250" s="213">
        <f ca="1">OFFSET(model!$A$1,MATCH(D250,model!B:B,0)-1,0)</f>
        <v>71</v>
      </c>
      <c r="F250" s="1" t="s">
        <v>1528</v>
      </c>
      <c r="G250" s="213" t="s">
        <v>1529</v>
      </c>
      <c r="H250" s="213"/>
      <c r="I250" s="213"/>
      <c r="J250" s="213"/>
      <c r="K250" s="1">
        <v>3</v>
      </c>
      <c r="L250" s="78">
        <v>124</v>
      </c>
      <c r="M250" s="1">
        <f t="shared" si="18"/>
        <v>3124</v>
      </c>
      <c r="N250" s="107" t="e">
        <f ca="1">OFFSET(npc_level_config!$T$1,MATCH(M250,npc_level_config!A:A,0)-1,0)</f>
        <v>#VALUE!</v>
      </c>
      <c r="O250" s="107" t="e">
        <f ca="1" t="shared" si="17"/>
        <v>#VALUE!</v>
      </c>
      <c r="P250" s="216">
        <v>4104</v>
      </c>
      <c r="Q250" s="3">
        <f ca="1">IF(S250=0,6,OFFSET(passive_type!$J$1,MATCH(S250,passive_type!A:A,0)-1,0))</f>
        <v>6</v>
      </c>
      <c r="R250" s="3">
        <f ca="1">OFFSET(battle_group!$C$1,MATCH(P250,battle_group!E:E,0)-1,0)</f>
        <v>4</v>
      </c>
      <c r="S250" s="1">
        <v>0</v>
      </c>
      <c r="T250" s="238">
        <v>20138</v>
      </c>
    </row>
    <row r="251" ht="15.75" spans="1:20">
      <c r="A251" s="1">
        <v>3092</v>
      </c>
      <c r="B251" s="1" t="s">
        <v>1923</v>
      </c>
      <c r="C251" s="11" t="s">
        <v>1832</v>
      </c>
      <c r="D251" s="223" t="s">
        <v>1871</v>
      </c>
      <c r="E251" s="213">
        <f ca="1">OFFSET(model!$A$1,MATCH(D251,model!B:B,0)-1,0)</f>
        <v>76</v>
      </c>
      <c r="F251" s="1" t="s">
        <v>1528</v>
      </c>
      <c r="G251" s="213" t="s">
        <v>1566</v>
      </c>
      <c r="H251" s="213"/>
      <c r="I251" s="213"/>
      <c r="J251" s="213"/>
      <c r="K251" s="1">
        <v>3</v>
      </c>
      <c r="L251" s="78">
        <v>125</v>
      </c>
      <c r="M251" s="1">
        <f t="shared" si="18"/>
        <v>3125</v>
      </c>
      <c r="N251" s="107" t="e">
        <f ca="1">OFFSET(npc_level_config!$T$1,MATCH(M251,npc_level_config!A:A,0)-1,0)</f>
        <v>#VALUE!</v>
      </c>
      <c r="O251" s="107" t="e">
        <f ca="1" t="shared" si="17"/>
        <v>#VALUE!</v>
      </c>
      <c r="P251" s="216">
        <v>3302</v>
      </c>
      <c r="Q251" s="3">
        <f ca="1">IF(S251=0,6,OFFSET(passive_type!$J$1,MATCH(S251,passive_type!A:A,0)-1,0))</f>
        <v>6</v>
      </c>
      <c r="R251" s="3">
        <f ca="1">OFFSET(battle_group!$C$1,MATCH(P251,battle_group!E:E,0)-1,0)</f>
        <v>3</v>
      </c>
      <c r="S251" s="1">
        <v>0</v>
      </c>
      <c r="T251" s="238">
        <v>20103</v>
      </c>
    </row>
    <row r="252" spans="1:20">
      <c r="A252" s="1">
        <v>3093</v>
      </c>
      <c r="B252" s="1" t="s">
        <v>1924</v>
      </c>
      <c r="C252" s="256" t="s">
        <v>1825</v>
      </c>
      <c r="D252" s="213" t="s">
        <v>1585</v>
      </c>
      <c r="E252" s="213">
        <f ca="1">OFFSET(model!$A$1,MATCH(D252,model!B:B,0)-1,0)</f>
        <v>1</v>
      </c>
      <c r="F252" s="1" t="s">
        <v>1528</v>
      </c>
      <c r="G252" s="213" t="s">
        <v>1692</v>
      </c>
      <c r="H252" s="213"/>
      <c r="I252" s="213"/>
      <c r="J252" s="213"/>
      <c r="K252" s="1">
        <v>3</v>
      </c>
      <c r="L252" s="78">
        <v>126</v>
      </c>
      <c r="M252" s="1">
        <f t="shared" si="18"/>
        <v>3126</v>
      </c>
      <c r="N252" s="107" t="e">
        <f ca="1">OFFSET(npc_level_config!$T$1,MATCH(M252,npc_level_config!A:A,0)-1,0)</f>
        <v>#VALUE!</v>
      </c>
      <c r="O252" s="107" t="e">
        <f ca="1" t="shared" si="17"/>
        <v>#VALUE!</v>
      </c>
      <c r="P252" s="216">
        <v>4104</v>
      </c>
      <c r="Q252" s="3">
        <f ca="1">IF(S252=0,6,OFFSET(passive_type!$J$1,MATCH(S252,passive_type!A:A,0)-1,0))</f>
        <v>6</v>
      </c>
      <c r="R252" s="3">
        <f ca="1">OFFSET(battle_group!$C$1,MATCH(P252,battle_group!E:E,0)-1,0)</f>
        <v>4</v>
      </c>
      <c r="S252" s="1">
        <v>0</v>
      </c>
      <c r="T252" s="238">
        <v>20137</v>
      </c>
    </row>
    <row r="253" spans="1:20">
      <c r="A253" s="1">
        <v>3094</v>
      </c>
      <c r="B253" s="1" t="s">
        <v>1905</v>
      </c>
      <c r="C253" s="11" t="s">
        <v>1865</v>
      </c>
      <c r="D253" t="s">
        <v>1726</v>
      </c>
      <c r="E253" s="213">
        <f ca="1">OFFSET(model!$A$1,MATCH(D253,model!B:B,0)-1,0)</f>
        <v>45</v>
      </c>
      <c r="F253" s="1" t="s">
        <v>1528</v>
      </c>
      <c r="G253" s="213" t="s">
        <v>1727</v>
      </c>
      <c r="H253" s="213"/>
      <c r="I253" s="213"/>
      <c r="J253" s="213"/>
      <c r="K253" s="1">
        <v>3</v>
      </c>
      <c r="L253" s="78">
        <v>127</v>
      </c>
      <c r="M253" s="1">
        <f t="shared" si="18"/>
        <v>3127</v>
      </c>
      <c r="N253" s="107" t="e">
        <f ca="1">OFFSET(npc_level_config!$T$1,MATCH(M253,npc_level_config!A:A,0)-1,0)</f>
        <v>#VALUE!</v>
      </c>
      <c r="O253" s="107" t="e">
        <f ca="1" t="shared" si="17"/>
        <v>#VALUE!</v>
      </c>
      <c r="P253" s="216">
        <v>4104</v>
      </c>
      <c r="Q253" s="3">
        <f ca="1">IF(S253=0,6,OFFSET(passive_type!$J$1,MATCH(S253,passive_type!A:A,0)-1,0))</f>
        <v>6</v>
      </c>
      <c r="R253" s="3">
        <f ca="1">OFFSET(battle_group!$C$1,MATCH(P253,battle_group!E:E,0)-1,0)</f>
        <v>4</v>
      </c>
      <c r="S253" s="1">
        <v>0</v>
      </c>
      <c r="T253" s="238">
        <v>20149</v>
      </c>
    </row>
    <row r="254" spans="1:20">
      <c r="A254" s="1">
        <v>3095</v>
      </c>
      <c r="B254" s="1" t="s">
        <v>1925</v>
      </c>
      <c r="C254" s="66" t="s">
        <v>1838</v>
      </c>
      <c r="D254" s="213" t="s">
        <v>1575</v>
      </c>
      <c r="E254" s="213">
        <f ca="1">OFFSET(model!$A$1,MATCH(D254,model!B:B,0)-1,0)</f>
        <v>2</v>
      </c>
      <c r="F254" s="1" t="s">
        <v>1528</v>
      </c>
      <c r="G254" s="213" t="s">
        <v>1693</v>
      </c>
      <c r="H254" s="213"/>
      <c r="I254" s="213"/>
      <c r="J254" s="213"/>
      <c r="K254" s="1">
        <v>3</v>
      </c>
      <c r="L254" s="78">
        <v>128</v>
      </c>
      <c r="M254" s="1">
        <f t="shared" si="18"/>
        <v>3128</v>
      </c>
      <c r="N254" s="107" t="e">
        <f ca="1">OFFSET(npc_level_config!$T$1,MATCH(M254,npc_level_config!A:A,0)-1,0)</f>
        <v>#VALUE!</v>
      </c>
      <c r="O254" s="107" t="e">
        <f ca="1" t="shared" si="17"/>
        <v>#VALUE!</v>
      </c>
      <c r="P254" s="216">
        <v>4104</v>
      </c>
      <c r="Q254" s="3">
        <f ca="1">IF(S254=0,6,OFFSET(passive_type!$J$1,MATCH(S254,passive_type!A:A,0)-1,0))</f>
        <v>6</v>
      </c>
      <c r="R254" s="3">
        <f ca="1">OFFSET(battle_group!$C$1,MATCH(P254,battle_group!E:E,0)-1,0)</f>
        <v>4</v>
      </c>
      <c r="S254" s="1">
        <v>0</v>
      </c>
      <c r="T254" s="238">
        <v>20103</v>
      </c>
    </row>
    <row r="255" spans="1:20">
      <c r="A255" s="1">
        <v>3096</v>
      </c>
      <c r="B255" s="1" t="s">
        <v>1926</v>
      </c>
      <c r="C255" s="11" t="s">
        <v>1830</v>
      </c>
      <c r="D255" s="213" t="s">
        <v>1585</v>
      </c>
      <c r="E255" s="213">
        <f ca="1">OFFSET(model!$A$1,MATCH(D255,model!B:B,0)-1,0)</f>
        <v>1</v>
      </c>
      <c r="F255" s="1" t="s">
        <v>1528</v>
      </c>
      <c r="G255" s="213" t="s">
        <v>1692</v>
      </c>
      <c r="H255" s="213"/>
      <c r="I255" s="213"/>
      <c r="J255" s="213"/>
      <c r="K255" s="1">
        <v>3</v>
      </c>
      <c r="L255" s="78">
        <v>129</v>
      </c>
      <c r="M255" s="1">
        <f t="shared" si="18"/>
        <v>3129</v>
      </c>
      <c r="N255" s="107" t="e">
        <f ca="1">OFFSET(npc_level_config!$T$1,MATCH(M255,npc_level_config!A:A,0)-1,0)</f>
        <v>#VALUE!</v>
      </c>
      <c r="O255" s="107" t="e">
        <f ca="1" t="shared" si="17"/>
        <v>#VALUE!</v>
      </c>
      <c r="P255" s="216">
        <v>4104</v>
      </c>
      <c r="Q255" s="3">
        <f ca="1">IF(S255=0,6,OFFSET(passive_type!$J$1,MATCH(S255,passive_type!A:A,0)-1,0))</f>
        <v>6</v>
      </c>
      <c r="R255" s="3">
        <f ca="1">OFFSET(battle_group!$C$1,MATCH(P255,battle_group!E:E,0)-1,0)</f>
        <v>4</v>
      </c>
      <c r="S255" s="1">
        <v>0</v>
      </c>
      <c r="T255" s="238">
        <v>20138</v>
      </c>
    </row>
    <row r="256" ht="15.75" spans="1:20">
      <c r="A256" s="1">
        <v>3097</v>
      </c>
      <c r="B256" s="1" t="s">
        <v>1927</v>
      </c>
      <c r="C256" s="11" t="s">
        <v>1832</v>
      </c>
      <c r="D256" s="223" t="s">
        <v>1928</v>
      </c>
      <c r="E256" s="213">
        <f ca="1">OFFSET(model!$A$1,MATCH(D256,model!B:B,0)-1,0)</f>
        <v>69</v>
      </c>
      <c r="F256" s="1" t="s">
        <v>1528</v>
      </c>
      <c r="G256" s="213" t="s">
        <v>1562</v>
      </c>
      <c r="H256" s="213"/>
      <c r="I256" s="213"/>
      <c r="J256" s="213"/>
      <c r="K256" s="1">
        <v>3</v>
      </c>
      <c r="L256" s="78">
        <v>130</v>
      </c>
      <c r="M256" s="1">
        <f t="shared" si="18"/>
        <v>3130</v>
      </c>
      <c r="N256" s="107" t="e">
        <f ca="1">OFFSET(npc_level_config!$T$1,MATCH(M256,npc_level_config!A:A,0)-1,0)</f>
        <v>#VALUE!</v>
      </c>
      <c r="O256" s="107" t="e">
        <f ca="1" t="shared" si="17"/>
        <v>#VALUE!</v>
      </c>
      <c r="P256" s="216">
        <v>4104</v>
      </c>
      <c r="Q256" s="3">
        <f ca="1">IF(S256=0,6,OFFSET(passive_type!$J$1,MATCH(S256,passive_type!A:A,0)-1,0))</f>
        <v>6</v>
      </c>
      <c r="R256" s="3">
        <f ca="1">OFFSET(battle_group!$C$1,MATCH(P256,battle_group!E:E,0)-1,0)</f>
        <v>4</v>
      </c>
      <c r="S256" s="1">
        <v>0</v>
      </c>
      <c r="T256" s="238">
        <v>20103</v>
      </c>
    </row>
    <row r="257" spans="1:20">
      <c r="A257" s="1">
        <v>3098</v>
      </c>
      <c r="B257" s="1" t="s">
        <v>1929</v>
      </c>
      <c r="C257" s="11" t="s">
        <v>1892</v>
      </c>
      <c r="D257" t="s">
        <v>1872</v>
      </c>
      <c r="E257" s="213">
        <f ca="1">OFFSET(model!$A$1,MATCH(D257,model!B:B,0)-1,0)</f>
        <v>39</v>
      </c>
      <c r="F257" s="1" t="s">
        <v>1528</v>
      </c>
      <c r="G257" s="1" t="s">
        <v>1873</v>
      </c>
      <c r="K257" s="1">
        <v>3</v>
      </c>
      <c r="L257" s="78">
        <v>131</v>
      </c>
      <c r="M257" s="1">
        <f t="shared" si="18"/>
        <v>3131</v>
      </c>
      <c r="N257" s="107" t="e">
        <f ca="1">OFFSET(npc_level_config!$T$1,MATCH(M257,npc_level_config!A:A,0)-1,0)</f>
        <v>#VALUE!</v>
      </c>
      <c r="O257" s="107" t="e">
        <f ca="1" t="shared" si="17"/>
        <v>#VALUE!</v>
      </c>
      <c r="P257" s="216">
        <v>1304</v>
      </c>
      <c r="Q257" s="3">
        <f ca="1">IF(S257=0,6,OFFSET(passive_type!$J$1,MATCH(S257,passive_type!A:A,0)-1,0))</f>
        <v>6</v>
      </c>
      <c r="R257" s="3">
        <f ca="1">OFFSET(battle_group!$C$1,MATCH(P257,battle_group!E:E,0)-1,0)</f>
        <v>1</v>
      </c>
      <c r="S257" s="1">
        <v>0</v>
      </c>
      <c r="T257" s="259">
        <v>20141</v>
      </c>
    </row>
    <row r="258" ht="27.75" spans="1:20">
      <c r="A258" s="1">
        <v>3099</v>
      </c>
      <c r="B258" s="1" t="s">
        <v>1930</v>
      </c>
      <c r="C258" s="11" t="s">
        <v>1847</v>
      </c>
      <c r="D258" s="213" t="s">
        <v>1638</v>
      </c>
      <c r="E258" s="213">
        <f ca="1">OFFSET(model!$A$1,MATCH(D258,model!B:B,0)-1,0)</f>
        <v>18</v>
      </c>
      <c r="F258" s="1" t="s">
        <v>1528</v>
      </c>
      <c r="G258" s="213" t="s">
        <v>1676</v>
      </c>
      <c r="H258" s="213"/>
      <c r="I258" s="213"/>
      <c r="J258" s="213"/>
      <c r="K258" s="1">
        <v>3</v>
      </c>
      <c r="L258" s="78">
        <v>133</v>
      </c>
      <c r="M258" s="1">
        <f t="shared" si="18"/>
        <v>3133</v>
      </c>
      <c r="N258" s="107" t="e">
        <f ca="1">OFFSET(npc_level_config!$T$1,MATCH(M258,npc_level_config!A:A,0)-1,0)</f>
        <v>#VALUE!</v>
      </c>
      <c r="O258" s="107" t="e">
        <f ca="1" t="shared" si="17"/>
        <v>#VALUE!</v>
      </c>
      <c r="P258" s="216">
        <v>3302</v>
      </c>
      <c r="Q258" s="3">
        <f ca="1">IF(S258=0,6,OFFSET(passive_type!$J$1,MATCH(S258,passive_type!A:A,0)-1,0))</f>
        <v>6</v>
      </c>
      <c r="R258" s="3">
        <f ca="1">OFFSET(battle_group!$C$1,MATCH(P258,battle_group!E:E,0)-1,0)</f>
        <v>3</v>
      </c>
      <c r="S258" s="1">
        <v>0</v>
      </c>
      <c r="T258" s="259">
        <v>20141</v>
      </c>
    </row>
    <row r="259" ht="27.75" spans="1:20">
      <c r="A259" s="1">
        <v>3100</v>
      </c>
      <c r="B259" s="1" t="s">
        <v>1931</v>
      </c>
      <c r="C259" s="11" t="s">
        <v>1847</v>
      </c>
      <c r="D259" s="213" t="s">
        <v>1546</v>
      </c>
      <c r="E259" s="213">
        <f ca="1">OFFSET(model!$A$1,MATCH(D259,model!B:B,0)-1,0)</f>
        <v>13</v>
      </c>
      <c r="F259" s="1" t="s">
        <v>1528</v>
      </c>
      <c r="G259" s="213" t="s">
        <v>1616</v>
      </c>
      <c r="H259" s="213"/>
      <c r="I259" s="213"/>
      <c r="J259" s="213"/>
      <c r="K259" s="1">
        <v>3</v>
      </c>
      <c r="L259" s="78">
        <v>132</v>
      </c>
      <c r="M259" s="1">
        <f t="shared" si="18"/>
        <v>3132</v>
      </c>
      <c r="N259" s="107" t="e">
        <f ca="1">OFFSET(npc_level_config!$T$1,MATCH(M259,npc_level_config!A:A,0)-1,0)</f>
        <v>#VALUE!</v>
      </c>
      <c r="O259" s="107" t="e">
        <f ca="1" t="shared" si="17"/>
        <v>#VALUE!</v>
      </c>
      <c r="P259" s="216">
        <v>1303</v>
      </c>
      <c r="Q259" s="3">
        <f ca="1">IF(S259=0,6,OFFSET(passive_type!$J$1,MATCH(S259,passive_type!A:A,0)-1,0))</f>
        <v>6</v>
      </c>
      <c r="R259" s="3">
        <f ca="1">OFFSET(battle_group!$C$1,MATCH(P259,battle_group!E:E,0)-1,0)</f>
        <v>1</v>
      </c>
      <c r="S259" s="1">
        <v>0</v>
      </c>
      <c r="T259" s="238">
        <v>20142</v>
      </c>
    </row>
    <row r="260" ht="15.75" spans="1:20">
      <c r="A260" s="1">
        <v>3101</v>
      </c>
      <c r="B260" s="1" t="s">
        <v>1932</v>
      </c>
      <c r="C260" s="256" t="s">
        <v>1877</v>
      </c>
      <c r="D260" s="223" t="s">
        <v>1922</v>
      </c>
      <c r="E260" s="213">
        <f ca="1">OFFSET(model!$A$1,MATCH(D260,model!B:B,0)-1,0)</f>
        <v>71</v>
      </c>
      <c r="F260" s="1" t="s">
        <v>1528</v>
      </c>
      <c r="G260" s="213" t="s">
        <v>1529</v>
      </c>
      <c r="H260" s="213"/>
      <c r="I260" s="213"/>
      <c r="J260" s="213"/>
      <c r="K260" s="1">
        <v>3</v>
      </c>
      <c r="L260" s="78">
        <v>133</v>
      </c>
      <c r="M260" s="1">
        <f t="shared" si="18"/>
        <v>3133</v>
      </c>
      <c r="N260" s="107" t="e">
        <f ca="1">OFFSET(npc_level_config!$T$1,MATCH(M260,npc_level_config!A:A,0)-1,0)</f>
        <v>#VALUE!</v>
      </c>
      <c r="O260" s="107" t="e">
        <f ca="1" t="shared" si="17"/>
        <v>#VALUE!</v>
      </c>
      <c r="P260" s="216">
        <v>2301</v>
      </c>
      <c r="Q260" s="3">
        <f ca="1">IF(S260=0,6,OFFSET(passive_type!$J$1,MATCH(S260,passive_type!A:A,0)-1,0))</f>
        <v>6</v>
      </c>
      <c r="R260" s="3">
        <f ca="1">OFFSET(battle_group!$C$1,MATCH(P260,battle_group!E:E,0)-1,0)</f>
        <v>2</v>
      </c>
      <c r="S260" s="1">
        <v>0</v>
      </c>
      <c r="T260" s="238">
        <v>20103</v>
      </c>
    </row>
    <row r="261" spans="1:20">
      <c r="A261" s="1">
        <v>3102</v>
      </c>
      <c r="B261" s="1" t="s">
        <v>1933</v>
      </c>
      <c r="C261" s="66" t="s">
        <v>1845</v>
      </c>
      <c r="D261" s="1" t="s">
        <v>1763</v>
      </c>
      <c r="E261" s="213">
        <f ca="1">OFFSET(model!$A$1,MATCH(D261,model!B:B,0)-1,0)</f>
        <v>7</v>
      </c>
      <c r="F261" s="1" t="s">
        <v>1528</v>
      </c>
      <c r="G261" s="213" t="s">
        <v>1687</v>
      </c>
      <c r="H261" s="213"/>
      <c r="I261" s="213"/>
      <c r="J261" s="213"/>
      <c r="K261" s="1">
        <v>3</v>
      </c>
      <c r="L261" s="78">
        <v>133</v>
      </c>
      <c r="M261" s="1">
        <f t="shared" si="18"/>
        <v>3133</v>
      </c>
      <c r="N261" s="107" t="e">
        <f ca="1">OFFSET(npc_level_config!$T$1,MATCH(M261,npc_level_config!A:A,0)-1,0)</f>
        <v>#VALUE!</v>
      </c>
      <c r="O261" s="107" t="e">
        <f ca="1" t="shared" si="17"/>
        <v>#VALUE!</v>
      </c>
      <c r="P261" s="216">
        <v>1301</v>
      </c>
      <c r="Q261" s="3">
        <f ca="1">IF(S261=0,6,OFFSET(passive_type!$J$1,MATCH(S261,passive_type!A:A,0)-1,0))</f>
        <v>6</v>
      </c>
      <c r="R261" s="3">
        <f ca="1">OFFSET(battle_group!$C$1,MATCH(P261,battle_group!E:E,0)-1,0)</f>
        <v>1</v>
      </c>
      <c r="S261" s="1">
        <v>0</v>
      </c>
      <c r="T261" s="238">
        <v>20103</v>
      </c>
    </row>
    <row r="262" ht="27.75" spans="1:20">
      <c r="A262" s="1">
        <v>3103</v>
      </c>
      <c r="B262" s="1" t="s">
        <v>1931</v>
      </c>
      <c r="C262" s="11" t="s">
        <v>1847</v>
      </c>
      <c r="D262" s="213" t="s">
        <v>1546</v>
      </c>
      <c r="E262" s="213">
        <f ca="1">OFFSET(model!$A$1,MATCH(D262,model!B:B,0)-1,0)</f>
        <v>13</v>
      </c>
      <c r="F262" s="1" t="s">
        <v>1528</v>
      </c>
      <c r="G262" s="213" t="s">
        <v>1616</v>
      </c>
      <c r="H262" s="213"/>
      <c r="I262" s="213"/>
      <c r="J262" s="213"/>
      <c r="K262" s="1">
        <v>3</v>
      </c>
      <c r="L262" s="78">
        <v>108</v>
      </c>
      <c r="M262" s="1">
        <f t="shared" si="18"/>
        <v>3108</v>
      </c>
      <c r="N262" s="107" t="e">
        <f ca="1">OFFSET(npc_level_config!$T$1,MATCH(M262,npc_level_config!A:A,0)-1,0)</f>
        <v>#VALUE!</v>
      </c>
      <c r="O262" s="107" t="e">
        <f ca="1" t="shared" si="17"/>
        <v>#VALUE!</v>
      </c>
      <c r="P262" s="216">
        <v>1303</v>
      </c>
      <c r="Q262" s="3">
        <f ca="1">IF(S262=0,6,OFFSET(passive_type!$J$1,MATCH(S262,passive_type!A:A,0)-1,0))</f>
        <v>6</v>
      </c>
      <c r="R262" s="3">
        <f ca="1">OFFSET(battle_group!$C$1,MATCH(P262,battle_group!E:E,0)-1,0)</f>
        <v>1</v>
      </c>
      <c r="S262" s="1">
        <v>0</v>
      </c>
      <c r="T262" s="238">
        <v>20142</v>
      </c>
    </row>
    <row r="263" ht="27.75" spans="1:20">
      <c r="A263" s="1">
        <v>3104</v>
      </c>
      <c r="B263" s="213" t="s">
        <v>1570</v>
      </c>
      <c r="C263" s="11" t="s">
        <v>1830</v>
      </c>
      <c r="D263" s="213" t="s">
        <v>1570</v>
      </c>
      <c r="E263" s="213">
        <f ca="1">OFFSET(model!$A$1,MATCH(D263,model!B:B,0)-1,0)</f>
        <v>3</v>
      </c>
      <c r="F263" s="1" t="s">
        <v>1528</v>
      </c>
      <c r="G263" s="213" t="s">
        <v>1693</v>
      </c>
      <c r="H263" s="213"/>
      <c r="I263" s="213"/>
      <c r="J263" s="213"/>
      <c r="K263" s="1">
        <v>3</v>
      </c>
      <c r="L263" s="78">
        <v>109</v>
      </c>
      <c r="M263" s="1">
        <f t="shared" si="18"/>
        <v>3109</v>
      </c>
      <c r="N263" s="107" t="e">
        <f ca="1">OFFSET(npc_level_config!$T$1,MATCH(M263,npc_level_config!A:A,0)-1,0)</f>
        <v>#VALUE!</v>
      </c>
      <c r="O263" s="107" t="e">
        <f ca="1" t="shared" si="17"/>
        <v>#VALUE!</v>
      </c>
      <c r="P263" s="216">
        <v>2302</v>
      </c>
      <c r="Q263" s="3">
        <f ca="1">IF(S263=0,6,OFFSET(passive_type!$J$1,MATCH(S263,passive_type!A:A,0)-1,0))</f>
        <v>6</v>
      </c>
      <c r="R263" s="3">
        <f ca="1">OFFSET(battle_group!$C$1,MATCH(P263,battle_group!E:E,0)-1,0)</f>
        <v>2</v>
      </c>
      <c r="S263" s="1">
        <v>0</v>
      </c>
      <c r="T263" s="238">
        <v>20138</v>
      </c>
    </row>
    <row r="264" spans="2:20">
      <c r="B264" s="213"/>
      <c r="C264" s="11"/>
      <c r="D264" s="213"/>
      <c r="E264" s="213"/>
      <c r="G264" s="213"/>
      <c r="H264" s="213"/>
      <c r="I264" s="213"/>
      <c r="J264" s="213"/>
      <c r="L264" s="78"/>
      <c r="N264" s="107"/>
      <c r="O264" s="107"/>
      <c r="T264" s="238"/>
    </row>
    <row r="265" spans="2:20">
      <c r="B265" s="213"/>
      <c r="C265" s="11"/>
      <c r="D265" s="213"/>
      <c r="E265" s="213"/>
      <c r="G265" s="213"/>
      <c r="H265" s="213"/>
      <c r="I265" s="213"/>
      <c r="J265" s="213"/>
      <c r="L265" s="78"/>
      <c r="N265" s="107"/>
      <c r="O265" s="107"/>
      <c r="T265" s="238"/>
    </row>
    <row r="266" spans="2:20">
      <c r="B266" s="213"/>
      <c r="C266" s="11"/>
      <c r="D266" s="213"/>
      <c r="E266" s="213"/>
      <c r="G266" s="213"/>
      <c r="H266" s="213"/>
      <c r="I266" s="213"/>
      <c r="J266" s="213"/>
      <c r="L266" s="78"/>
      <c r="N266" s="107"/>
      <c r="O266" s="107"/>
      <c r="T266" s="238"/>
    </row>
    <row r="267" spans="2:20">
      <c r="B267" s="213"/>
      <c r="C267" s="11"/>
      <c r="D267" s="213"/>
      <c r="E267" s="213"/>
      <c r="G267" s="213"/>
      <c r="H267" s="213"/>
      <c r="I267" s="213"/>
      <c r="J267" s="213"/>
      <c r="L267" s="78"/>
      <c r="N267" s="107"/>
      <c r="O267" s="107"/>
      <c r="T267" s="238"/>
    </row>
    <row r="268" spans="2:20">
      <c r="B268" s="213"/>
      <c r="C268" s="11"/>
      <c r="D268" s="213"/>
      <c r="E268" s="213"/>
      <c r="G268" s="213"/>
      <c r="H268" s="213"/>
      <c r="I268" s="213"/>
      <c r="J268" s="213"/>
      <c r="L268" s="78"/>
      <c r="N268" s="107"/>
      <c r="O268" s="107"/>
      <c r="T268" s="238"/>
    </row>
    <row r="269" spans="2:20">
      <c r="B269" s="213"/>
      <c r="C269" s="11"/>
      <c r="D269" s="213"/>
      <c r="E269" s="213"/>
      <c r="G269" s="213"/>
      <c r="H269" s="213"/>
      <c r="I269" s="213"/>
      <c r="J269" s="213"/>
      <c r="L269" s="78"/>
      <c r="N269" s="107"/>
      <c r="O269" s="107"/>
      <c r="T269" s="238"/>
    </row>
    <row r="270" ht="16.5" spans="1:21">
      <c r="A270" s="1">
        <v>4001</v>
      </c>
      <c r="B270" s="1" t="s">
        <v>1934</v>
      </c>
      <c r="C270" s="1" t="s">
        <v>1935</v>
      </c>
      <c r="D270" s="1" t="s">
        <v>1922</v>
      </c>
      <c r="E270" s="213">
        <f ca="1">OFFSET(model!$A$1,MATCH(D270,model!B:B,0)-1,0)</f>
        <v>71</v>
      </c>
      <c r="G270" s="1" t="s">
        <v>1529</v>
      </c>
      <c r="H270" s="213" t="s">
        <v>1936</v>
      </c>
      <c r="I270" s="220" t="s">
        <v>1937</v>
      </c>
      <c r="J270" s="1" t="s">
        <v>1938</v>
      </c>
      <c r="K270" s="1">
        <v>1</v>
      </c>
      <c r="L270" s="78">
        <v>136</v>
      </c>
      <c r="M270" s="1">
        <f t="shared" ref="M270:M284" si="19">K270*1000+L270</f>
        <v>1136</v>
      </c>
      <c r="N270" s="107" t="e">
        <f ca="1">OFFSET(npc_level_config!$T$1,MATCH(M270,npc_level_config!A:A,0)-1,0)</f>
        <v>#VALUE!</v>
      </c>
      <c r="O270" s="107" t="e">
        <f ca="1" t="shared" ref="O270:O277" si="20">ROUND(N270,-1)</f>
        <v>#VALUE!</v>
      </c>
      <c r="P270" s="216">
        <v>2102</v>
      </c>
      <c r="Q270" s="3">
        <f ca="1">IF(S270=0,6,OFFSET(passive_type!$J$1,MATCH(S270,passive_type!A:A,0)-1,0))</f>
        <v>1</v>
      </c>
      <c r="R270" s="3">
        <f ca="1">OFFSET(battle_group!$C$1,MATCH(P270,battle_group!E:E,0)-1,0)</f>
        <v>2</v>
      </c>
      <c r="S270" s="1">
        <f ca="1">OFFSET(passive_type!$A$1,MATCH(U270,passive_type!B:B,0)-1,0)</f>
        <v>2101</v>
      </c>
      <c r="T270" s="238">
        <v>60821</v>
      </c>
      <c r="U270" s="165" t="s">
        <v>1553</v>
      </c>
    </row>
    <row r="271" ht="16.5" spans="1:21">
      <c r="A271" s="1">
        <v>4002</v>
      </c>
      <c r="B271" s="1" t="s">
        <v>1939</v>
      </c>
      <c r="C271" s="1" t="s">
        <v>1940</v>
      </c>
      <c r="D271" s="1" t="s">
        <v>1600</v>
      </c>
      <c r="E271" s="213">
        <f ca="1">OFFSET(model!$A$1,MATCH(D271,model!B:B,0)-1,0)</f>
        <v>66</v>
      </c>
      <c r="G271" s="1" t="s">
        <v>1601</v>
      </c>
      <c r="H271" s="213" t="s">
        <v>1936</v>
      </c>
      <c r="I271" s="220" t="s">
        <v>1937</v>
      </c>
      <c r="J271" s="1" t="s">
        <v>1938</v>
      </c>
      <c r="K271" s="1">
        <v>1</v>
      </c>
      <c r="L271" s="78">
        <v>137</v>
      </c>
      <c r="M271" s="1">
        <f t="shared" si="19"/>
        <v>1137</v>
      </c>
      <c r="N271" s="107" t="e">
        <f ca="1">OFFSET(npc_level_config!$T$1,MATCH(M271,npc_level_config!A:A,0)-1,0)</f>
        <v>#VALUE!</v>
      </c>
      <c r="O271" s="107" t="e">
        <f ca="1" t="shared" si="20"/>
        <v>#VALUE!</v>
      </c>
      <c r="P271" s="216">
        <v>3104</v>
      </c>
      <c r="Q271" s="3">
        <f ca="1">IF(S271=0,6,OFFSET(passive_type!$J$1,MATCH(S271,passive_type!A:A,0)-1,0))</f>
        <v>3</v>
      </c>
      <c r="R271" s="3">
        <f ca="1">OFFSET(battle_group!$C$1,MATCH(P271,battle_group!E:E,0)-1,0)</f>
        <v>3</v>
      </c>
      <c r="S271" s="1">
        <f ca="1">OFFSET(passive_type!$A$1,MATCH(U271,passive_type!B:B,0)-1,0)</f>
        <v>3101</v>
      </c>
      <c r="T271" s="238">
        <v>60822</v>
      </c>
      <c r="U271" s="241" t="s">
        <v>1543</v>
      </c>
    </row>
    <row r="272" ht="16.5" spans="1:21">
      <c r="A272" s="1">
        <v>4003</v>
      </c>
      <c r="B272" s="1" t="s">
        <v>1941</v>
      </c>
      <c r="C272" s="1" t="s">
        <v>1942</v>
      </c>
      <c r="D272" s="1" t="s">
        <v>1800</v>
      </c>
      <c r="E272" s="213">
        <f ca="1">OFFSET(model!$A$1,MATCH(D272,model!B:B,0)-1,0)</f>
        <v>74</v>
      </c>
      <c r="G272" s="1" t="s">
        <v>1697</v>
      </c>
      <c r="H272" s="213" t="s">
        <v>1936</v>
      </c>
      <c r="I272" s="220" t="s">
        <v>1937</v>
      </c>
      <c r="J272" s="1" t="s">
        <v>1938</v>
      </c>
      <c r="K272" s="1">
        <v>1</v>
      </c>
      <c r="L272" s="78">
        <v>138</v>
      </c>
      <c r="M272" s="1">
        <f t="shared" si="19"/>
        <v>1138</v>
      </c>
      <c r="N272" s="107" t="e">
        <f ca="1">OFFSET(npc_level_config!$T$1,MATCH(M272,npc_level_config!A:A,0)-1,0)</f>
        <v>#VALUE!</v>
      </c>
      <c r="O272" s="107" t="e">
        <f ca="1" t="shared" si="20"/>
        <v>#VALUE!</v>
      </c>
      <c r="P272" s="216">
        <v>1111</v>
      </c>
      <c r="Q272" s="3">
        <f ca="1">IF(S272=0,6,OFFSET(passive_type!$J$1,MATCH(S272,passive_type!A:A,0)-1,0))</f>
        <v>5</v>
      </c>
      <c r="R272" s="3">
        <f ca="1">OFFSET(battle_group!$C$1,MATCH(P272,battle_group!E:E,0)-1,0)</f>
        <v>1</v>
      </c>
      <c r="S272" s="1">
        <f ca="1">OFFSET(passive_type!$A$1,MATCH(U272,passive_type!B:B,0)-1,0)</f>
        <v>1101</v>
      </c>
      <c r="T272" s="238">
        <v>20102</v>
      </c>
      <c r="U272" s="240" t="s">
        <v>1538</v>
      </c>
    </row>
    <row r="273" ht="16.5" spans="1:21">
      <c r="A273" s="1">
        <v>4004</v>
      </c>
      <c r="B273" s="1" t="s">
        <v>1943</v>
      </c>
      <c r="C273" s="1" t="s">
        <v>1944</v>
      </c>
      <c r="D273" s="213" t="s">
        <v>1763</v>
      </c>
      <c r="E273" s="213">
        <f ca="1">OFFSET(model!$A$1,MATCH(D273,model!B:B,0)-1,0)</f>
        <v>7</v>
      </c>
      <c r="G273" s="1" t="s">
        <v>1687</v>
      </c>
      <c r="H273" s="213" t="s">
        <v>1936</v>
      </c>
      <c r="I273" s="220" t="s">
        <v>1937</v>
      </c>
      <c r="J273" s="1" t="s">
        <v>1938</v>
      </c>
      <c r="K273" s="1">
        <v>2</v>
      </c>
      <c r="L273" s="78">
        <v>135</v>
      </c>
      <c r="M273" s="1">
        <f t="shared" si="19"/>
        <v>2135</v>
      </c>
      <c r="N273" s="107" t="e">
        <f ca="1">OFFSET(npc_level_config!$T$1,MATCH(M273,npc_level_config!A:A,0)-1,0)</f>
        <v>#VALUE!</v>
      </c>
      <c r="O273" s="107" t="e">
        <f ca="1" t="shared" si="20"/>
        <v>#VALUE!</v>
      </c>
      <c r="P273" s="216">
        <v>1204</v>
      </c>
      <c r="Q273" s="3">
        <f ca="1">IF(S273=0,6,OFFSET(passive_type!$J$1,MATCH(S273,passive_type!A:A,0)-1,0))</f>
        <v>5</v>
      </c>
      <c r="R273" s="3">
        <f ca="1">OFFSET(battle_group!$C$1,MATCH(P273,battle_group!E:E,0)-1,0)</f>
        <v>1</v>
      </c>
      <c r="S273" s="1">
        <f ca="1">OFFSET(passive_type!$A$1,MATCH(U273,passive_type!B:B,0)-1,0)</f>
        <v>1101</v>
      </c>
      <c r="T273" s="238">
        <v>60824</v>
      </c>
      <c r="U273" s="240" t="s">
        <v>1538</v>
      </c>
    </row>
    <row r="274" ht="16.5" spans="1:21">
      <c r="A274" s="1">
        <v>4005</v>
      </c>
      <c r="B274" s="260" t="s">
        <v>1945</v>
      </c>
      <c r="C274" s="1" t="s">
        <v>1946</v>
      </c>
      <c r="D274" s="1" t="s">
        <v>1556</v>
      </c>
      <c r="E274" s="213">
        <f ca="1">OFFSET(model!$A$1,MATCH(D274,model!B:B,0)-1,0)</f>
        <v>72</v>
      </c>
      <c r="G274" s="1" t="s">
        <v>1557</v>
      </c>
      <c r="H274" s="213" t="s">
        <v>1936</v>
      </c>
      <c r="I274" s="220" t="s">
        <v>1937</v>
      </c>
      <c r="J274" s="1" t="s">
        <v>1938</v>
      </c>
      <c r="K274" s="1">
        <v>2</v>
      </c>
      <c r="L274" s="78">
        <v>136</v>
      </c>
      <c r="M274" s="1">
        <f t="shared" si="19"/>
        <v>2136</v>
      </c>
      <c r="N274" s="107" t="e">
        <f ca="1">OFFSET(npc_level_config!$T$1,MATCH(M274,npc_level_config!A:A,0)-1,0)</f>
        <v>#VALUE!</v>
      </c>
      <c r="O274" s="107" t="e">
        <f ca="1" t="shared" si="20"/>
        <v>#VALUE!</v>
      </c>
      <c r="P274" s="216">
        <v>1202</v>
      </c>
      <c r="Q274" s="3">
        <f ca="1">IF(S274=0,6,OFFSET(passive_type!$J$1,MATCH(S274,passive_type!A:A,0)-1,0))</f>
        <v>4</v>
      </c>
      <c r="R274" s="3">
        <f ca="1">OFFSET(battle_group!$C$1,MATCH(P274,battle_group!E:E,0)-1,0)</f>
        <v>1</v>
      </c>
      <c r="S274" s="1">
        <f ca="1">OFFSET(passive_type!$A$1,MATCH(U274,passive_type!B:B,0)-1,0)</f>
        <v>1102</v>
      </c>
      <c r="T274" s="238">
        <v>20106</v>
      </c>
      <c r="U274" s="240" t="s">
        <v>1558</v>
      </c>
    </row>
    <row r="275" ht="16.5" spans="1:21">
      <c r="A275" s="1">
        <v>4006</v>
      </c>
      <c r="B275" s="1" t="s">
        <v>1947</v>
      </c>
      <c r="C275" s="1" t="s">
        <v>1948</v>
      </c>
      <c r="D275" s="1" t="s">
        <v>1541</v>
      </c>
      <c r="E275" s="213">
        <f ca="1">OFFSET(model!$A$1,MATCH(D275,model!B:B,0)-1,0)</f>
        <v>58</v>
      </c>
      <c r="G275" s="1" t="s">
        <v>1542</v>
      </c>
      <c r="H275" s="213" t="s">
        <v>1936</v>
      </c>
      <c r="I275" s="220" t="s">
        <v>1937</v>
      </c>
      <c r="J275" s="1" t="s">
        <v>1938</v>
      </c>
      <c r="K275" s="1">
        <v>2</v>
      </c>
      <c r="L275" s="78">
        <v>137</v>
      </c>
      <c r="M275" s="1">
        <f t="shared" si="19"/>
        <v>2137</v>
      </c>
      <c r="N275" s="107" t="e">
        <f ca="1">OFFSET(npc_level_config!$T$1,MATCH(M275,npc_level_config!A:A,0)-1,0)</f>
        <v>#VALUE!</v>
      </c>
      <c r="O275" s="107" t="e">
        <f ca="1" t="shared" si="20"/>
        <v>#VALUE!</v>
      </c>
      <c r="P275" s="216">
        <v>3202</v>
      </c>
      <c r="Q275" s="3">
        <f ca="1">IF(S275=0,6,OFFSET(passive_type!$J$1,MATCH(S275,passive_type!A:A,0)-1,0))</f>
        <v>3</v>
      </c>
      <c r="R275" s="3">
        <f ca="1">OFFSET(battle_group!$C$1,MATCH(P275,battle_group!E:E,0)-1,0)</f>
        <v>3</v>
      </c>
      <c r="S275" s="1">
        <f ca="1">OFFSET(passive_type!$A$1,MATCH(U275,passive_type!B:B,0)-1,0)</f>
        <v>3104</v>
      </c>
      <c r="T275" s="238">
        <v>60826</v>
      </c>
      <c r="U275" s="240" t="s">
        <v>1567</v>
      </c>
    </row>
    <row r="276" ht="16.5" spans="1:21">
      <c r="A276" s="1">
        <v>4007</v>
      </c>
      <c r="B276" s="260" t="s">
        <v>1949</v>
      </c>
      <c r="C276" s="1" t="s">
        <v>1950</v>
      </c>
      <c r="D276" s="1" t="s">
        <v>1878</v>
      </c>
      <c r="E276" s="213">
        <f ca="1">OFFSET(model!$A$1,MATCH(D276,model!B:B,0)-1,0)</f>
        <v>68</v>
      </c>
      <c r="G276" s="1" t="s">
        <v>1562</v>
      </c>
      <c r="H276" s="213" t="s">
        <v>1936</v>
      </c>
      <c r="I276" s="220" t="s">
        <v>1937</v>
      </c>
      <c r="J276" s="1" t="s">
        <v>1938</v>
      </c>
      <c r="K276" s="1">
        <v>2</v>
      </c>
      <c r="L276" s="78">
        <v>138</v>
      </c>
      <c r="M276" s="1">
        <f t="shared" si="19"/>
        <v>2138</v>
      </c>
      <c r="N276" s="107" t="e">
        <f ca="1">OFFSET(npc_level_config!$T$1,MATCH(M276,npc_level_config!A:A,0)-1,0)</f>
        <v>#VALUE!</v>
      </c>
      <c r="O276" s="107" t="e">
        <f ca="1" t="shared" si="20"/>
        <v>#VALUE!</v>
      </c>
      <c r="P276" s="216">
        <v>3202</v>
      </c>
      <c r="Q276" s="3">
        <f ca="1">IF(S276=0,6,OFFSET(passive_type!$J$1,MATCH(S276,passive_type!A:A,0)-1,0))</f>
        <v>2</v>
      </c>
      <c r="R276" s="3">
        <f ca="1">OFFSET(battle_group!$C$1,MATCH(P276,battle_group!E:E,0)-1,0)</f>
        <v>3</v>
      </c>
      <c r="S276" s="1">
        <f ca="1">OFFSET(passive_type!$A$1,MATCH(U276,passive_type!B:B,0)-1,0)</f>
        <v>3103</v>
      </c>
      <c r="T276" s="238">
        <v>60827</v>
      </c>
      <c r="U276" s="240" t="s">
        <v>1951</v>
      </c>
    </row>
    <row r="277" ht="16.5" spans="1:21">
      <c r="A277" s="1">
        <v>4008</v>
      </c>
      <c r="B277" s="1" t="s">
        <v>1952</v>
      </c>
      <c r="C277" s="1" t="s">
        <v>1953</v>
      </c>
      <c r="D277" s="1" t="s">
        <v>1928</v>
      </c>
      <c r="E277" s="213">
        <f ca="1">OFFSET(model!$A$1,MATCH(D277,model!B:B,0)-1,0)</f>
        <v>69</v>
      </c>
      <c r="G277" s="1" t="s">
        <v>1643</v>
      </c>
      <c r="H277" s="213" t="s">
        <v>1936</v>
      </c>
      <c r="I277" s="220" t="s">
        <v>1937</v>
      </c>
      <c r="J277" s="1" t="s">
        <v>1938</v>
      </c>
      <c r="K277" s="1">
        <v>3</v>
      </c>
      <c r="L277" s="78">
        <v>133</v>
      </c>
      <c r="M277" s="1">
        <f t="shared" si="19"/>
        <v>3133</v>
      </c>
      <c r="N277" s="107" t="e">
        <f ca="1">OFFSET(npc_level_config!$T$1,MATCH(M277,npc_level_config!A:A,0)-1,0)</f>
        <v>#VALUE!</v>
      </c>
      <c r="O277" s="107" t="e">
        <f ca="1" t="shared" si="20"/>
        <v>#VALUE!</v>
      </c>
      <c r="P277" s="216">
        <v>3302</v>
      </c>
      <c r="Q277" s="3">
        <f ca="1">IF(S277=0,6,OFFSET(passive_type!$J$1,MATCH(S277,passive_type!A:A,0)-1,0))</f>
        <v>3</v>
      </c>
      <c r="R277" s="3">
        <f ca="1">OFFSET(battle_group!$C$1,MATCH(P277,battle_group!E:E,0)-1,0)</f>
        <v>3</v>
      </c>
      <c r="S277" s="1">
        <f ca="1">OFFSET(passive_type!$A$1,MATCH(U277,passive_type!B:B,0)-1,0)</f>
        <v>3104</v>
      </c>
      <c r="T277" s="238">
        <v>60828</v>
      </c>
      <c r="U277" s="240" t="s">
        <v>1567</v>
      </c>
    </row>
    <row r="278" ht="16.5" spans="1:21">
      <c r="A278" s="1">
        <v>4009</v>
      </c>
      <c r="B278" s="1" t="s">
        <v>1954</v>
      </c>
      <c r="C278" s="1" t="s">
        <v>1955</v>
      </c>
      <c r="D278" s="1" t="s">
        <v>1689</v>
      </c>
      <c r="E278" s="213">
        <f ca="1">OFFSET(model!$A$1,MATCH(D278,model!B:B,0)-1,0)</f>
        <v>77</v>
      </c>
      <c r="G278" s="213" t="s">
        <v>1557</v>
      </c>
      <c r="H278" s="213" t="s">
        <v>1936</v>
      </c>
      <c r="I278" s="220" t="s">
        <v>1937</v>
      </c>
      <c r="J278" s="1" t="s">
        <v>1938</v>
      </c>
      <c r="K278" s="1">
        <v>3</v>
      </c>
      <c r="L278" s="78">
        <v>133</v>
      </c>
      <c r="M278" s="1">
        <f t="shared" si="19"/>
        <v>3133</v>
      </c>
      <c r="N278" s="107" t="e">
        <f ca="1">OFFSET(npc_level_config!$T$1,MATCH(M278,npc_level_config!A:A,0)-1,0)</f>
        <v>#VALUE!</v>
      </c>
      <c r="O278" s="107" t="e">
        <f ca="1" t="shared" ref="O278:O341" si="21">ROUND(N278,-1)</f>
        <v>#VALUE!</v>
      </c>
      <c r="P278" s="216">
        <v>1304</v>
      </c>
      <c r="Q278" s="3">
        <f ca="1">IF(S278=0,6,OFFSET(passive_type!$J$1,MATCH(S278,passive_type!A:A,0)-1,0))</f>
        <v>2</v>
      </c>
      <c r="R278" s="3">
        <f ca="1">OFFSET(battle_group!$C$1,MATCH(P278,battle_group!E:E,0)-1,0)</f>
        <v>1</v>
      </c>
      <c r="S278" s="1">
        <f ca="1">OFFSET(passive_type!$A$1,MATCH(U278,passive_type!B:B,0)-1,0)</f>
        <v>1103</v>
      </c>
      <c r="T278" s="238">
        <v>20106</v>
      </c>
      <c r="U278" s="240" t="s">
        <v>1572</v>
      </c>
    </row>
    <row r="279" ht="16.5" spans="1:21">
      <c r="A279" s="1">
        <v>4010</v>
      </c>
      <c r="B279" s="1" t="s">
        <v>1956</v>
      </c>
      <c r="C279" s="1" t="s">
        <v>1957</v>
      </c>
      <c r="D279" s="1" t="s">
        <v>1604</v>
      </c>
      <c r="E279" s="213">
        <f ca="1">OFFSET(model!$A$1,MATCH(D279,model!B:B,0)-1,0)</f>
        <v>75</v>
      </c>
      <c r="G279" s="1" t="s">
        <v>1705</v>
      </c>
      <c r="H279" s="213" t="s">
        <v>1936</v>
      </c>
      <c r="I279" s="220" t="s">
        <v>1937</v>
      </c>
      <c r="J279" s="1" t="s">
        <v>1938</v>
      </c>
      <c r="K279" s="1">
        <v>3</v>
      </c>
      <c r="L279" s="78">
        <v>133</v>
      </c>
      <c r="M279" s="1">
        <f t="shared" si="19"/>
        <v>3133</v>
      </c>
      <c r="N279" s="107" t="e">
        <f ca="1">OFFSET(npc_level_config!$T$1,MATCH(M279,npc_level_config!A:A,0)-1,0)</f>
        <v>#VALUE!</v>
      </c>
      <c r="O279" s="107" t="e">
        <f ca="1" t="shared" si="21"/>
        <v>#VALUE!</v>
      </c>
      <c r="P279" s="216">
        <v>3303</v>
      </c>
      <c r="Q279" s="3">
        <f ca="1">IF(S279=0,6,OFFSET(passive_type!$J$1,MATCH(S279,passive_type!A:A,0)-1,0))</f>
        <v>3</v>
      </c>
      <c r="R279" s="3">
        <f ca="1">OFFSET(battle_group!$C$1,MATCH(P279,battle_group!E:E,0)-1,0)</f>
        <v>3</v>
      </c>
      <c r="S279" s="1">
        <f ca="1">OFFSET(passive_type!$A$1,MATCH(U279,passive_type!B:B,0)-1,0)</f>
        <v>3104</v>
      </c>
      <c r="T279" s="238">
        <v>60830</v>
      </c>
      <c r="U279" s="240" t="s">
        <v>1567</v>
      </c>
    </row>
    <row r="280" ht="16.5" spans="1:21">
      <c r="A280" s="1">
        <v>4011</v>
      </c>
      <c r="B280" s="1" t="s">
        <v>1958</v>
      </c>
      <c r="C280" s="1" t="s">
        <v>1959</v>
      </c>
      <c r="D280" s="1" t="s">
        <v>1871</v>
      </c>
      <c r="E280" s="213">
        <f ca="1">OFFSET(model!$A$1,MATCH(D280,model!B:B,0)-1,0)</f>
        <v>76</v>
      </c>
      <c r="G280" s="1" t="s">
        <v>1566</v>
      </c>
      <c r="H280" s="213" t="s">
        <v>1936</v>
      </c>
      <c r="I280" s="220" t="s">
        <v>1937</v>
      </c>
      <c r="J280" s="1" t="s">
        <v>1938</v>
      </c>
      <c r="K280" s="1">
        <v>3</v>
      </c>
      <c r="L280" s="78">
        <v>133</v>
      </c>
      <c r="M280" s="1">
        <f t="shared" si="19"/>
        <v>3133</v>
      </c>
      <c r="N280" s="107" t="e">
        <f ca="1">OFFSET(npc_level_config!$T$1,MATCH(M280,npc_level_config!A:A,0)-1,0)</f>
        <v>#VALUE!</v>
      </c>
      <c r="O280" s="107" t="e">
        <f ca="1" t="shared" si="21"/>
        <v>#VALUE!</v>
      </c>
      <c r="P280" s="216">
        <v>3303</v>
      </c>
      <c r="Q280" s="3">
        <f ca="1">IF(S280=0,6,OFFSET(passive_type!$J$1,MATCH(S280,passive_type!A:A,0)-1,0))</f>
        <v>2</v>
      </c>
      <c r="R280" s="3">
        <f ca="1">OFFSET(battle_group!$C$1,MATCH(P280,battle_group!E:E,0)-1,0)</f>
        <v>3</v>
      </c>
      <c r="S280" s="1">
        <f ca="1">OFFSET(passive_type!$A$1,MATCH(U280,passive_type!B:B,0)-1,0)</f>
        <v>3103</v>
      </c>
      <c r="T280" s="238">
        <v>60831</v>
      </c>
      <c r="U280" s="240" t="s">
        <v>1951</v>
      </c>
    </row>
    <row r="281" ht="16.5" spans="1:21">
      <c r="A281" s="1">
        <v>4012</v>
      </c>
      <c r="B281" s="1" t="s">
        <v>1960</v>
      </c>
      <c r="C281" s="1" t="s">
        <v>1961</v>
      </c>
      <c r="D281" s="1" t="s">
        <v>1803</v>
      </c>
      <c r="E281" s="213">
        <f ca="1">OFFSET(model!$A$1,MATCH(D281,model!B:B,0)-1,0)</f>
        <v>67</v>
      </c>
      <c r="G281" s="1" t="s">
        <v>1694</v>
      </c>
      <c r="H281" s="213" t="s">
        <v>1936</v>
      </c>
      <c r="I281" s="220" t="s">
        <v>1937</v>
      </c>
      <c r="J281" s="1" t="s">
        <v>1938</v>
      </c>
      <c r="K281" s="1">
        <v>3</v>
      </c>
      <c r="L281" s="78">
        <v>133</v>
      </c>
      <c r="M281" s="1">
        <f t="shared" si="19"/>
        <v>3133</v>
      </c>
      <c r="N281" s="107" t="e">
        <f ca="1">OFFSET(npc_level_config!$T$1,MATCH(M281,npc_level_config!A:A,0)-1,0)</f>
        <v>#VALUE!</v>
      </c>
      <c r="O281" s="107" t="e">
        <f ca="1" t="shared" si="21"/>
        <v>#VALUE!</v>
      </c>
      <c r="P281" s="216">
        <v>3301</v>
      </c>
      <c r="Q281" s="3">
        <f ca="1">IF(S281=0,6,OFFSET(passive_type!$J$1,MATCH(S281,passive_type!A:A,0)-1,0))</f>
        <v>4</v>
      </c>
      <c r="R281" s="3">
        <f ca="1">OFFSET(battle_group!$C$1,MATCH(P281,battle_group!E:E,0)-1,0)</f>
        <v>3</v>
      </c>
      <c r="S281" s="1">
        <f ca="1">OFFSET(passive_type!$A$1,MATCH(U281,passive_type!B:B,0)-1,0)</f>
        <v>3105</v>
      </c>
      <c r="T281" s="238">
        <v>60832</v>
      </c>
      <c r="U281" s="241" t="s">
        <v>1962</v>
      </c>
    </row>
    <row r="282" spans="1:20">
      <c r="A282" s="1">
        <v>5008</v>
      </c>
      <c r="B282" s="97" t="s">
        <v>1963</v>
      </c>
      <c r="C282" s="1" t="s">
        <v>1964</v>
      </c>
      <c r="E282" s="213"/>
      <c r="G282" s="1" t="s">
        <v>1965</v>
      </c>
      <c r="K282" s="1">
        <v>1</v>
      </c>
      <c r="L282" s="78">
        <v>142</v>
      </c>
      <c r="M282" s="1">
        <f t="shared" si="19"/>
        <v>1142</v>
      </c>
      <c r="N282" s="107" t="e">
        <f ca="1">OFFSET(npc_level_config!$T$1,MATCH(M282,npc_level_config!A:A,0)-1,0)</f>
        <v>#VALUE!</v>
      </c>
      <c r="O282" s="107" t="e">
        <f ca="1" t="shared" si="21"/>
        <v>#VALUE!</v>
      </c>
      <c r="P282" s="106">
        <v>4102</v>
      </c>
      <c r="R282" s="3">
        <f ca="1">OFFSET(battle_group!$C$1,MATCH(P282,battle_group!E:E,0)-1,0)</f>
        <v>4</v>
      </c>
      <c r="T282" s="238">
        <v>60865</v>
      </c>
    </row>
    <row r="283" spans="1:20">
      <c r="A283" s="1">
        <v>5009</v>
      </c>
      <c r="B283" s="97" t="s">
        <v>1966</v>
      </c>
      <c r="C283" s="1" t="s">
        <v>1967</v>
      </c>
      <c r="E283" s="213"/>
      <c r="G283" s="1" t="s">
        <v>1965</v>
      </c>
      <c r="K283" s="1">
        <v>1</v>
      </c>
      <c r="L283" s="78">
        <v>143</v>
      </c>
      <c r="M283" s="1">
        <f t="shared" si="19"/>
        <v>1143</v>
      </c>
      <c r="N283" s="107" t="e">
        <f ca="1">OFFSET(npc_level_config!$T$1,MATCH(M283,npc_level_config!A:A,0)-1,0)</f>
        <v>#VALUE!</v>
      </c>
      <c r="O283" s="107" t="e">
        <f ca="1" t="shared" si="21"/>
        <v>#VALUE!</v>
      </c>
      <c r="P283" s="106">
        <v>4102</v>
      </c>
      <c r="R283" s="3">
        <f ca="1">OFFSET(battle_group!$C$1,MATCH(P283,battle_group!E:E,0)-1,0)</f>
        <v>4</v>
      </c>
      <c r="T283" s="238">
        <v>60866</v>
      </c>
    </row>
    <row r="284" spans="1:20">
      <c r="A284" s="1">
        <v>5010</v>
      </c>
      <c r="B284" s="97" t="s">
        <v>1966</v>
      </c>
      <c r="C284" s="1" t="s">
        <v>1968</v>
      </c>
      <c r="E284" s="213"/>
      <c r="G284" s="1" t="s">
        <v>1965</v>
      </c>
      <c r="K284" s="1">
        <v>1</v>
      </c>
      <c r="L284" s="78">
        <v>144</v>
      </c>
      <c r="M284" s="1">
        <f t="shared" si="19"/>
        <v>1144</v>
      </c>
      <c r="N284" s="107" t="e">
        <f ca="1">OFFSET(npc_level_config!$T$1,MATCH(M284,npc_level_config!A:A,0)-1,0)</f>
        <v>#VALUE!</v>
      </c>
      <c r="O284" s="107" t="e">
        <f ca="1" t="shared" si="21"/>
        <v>#VALUE!</v>
      </c>
      <c r="P284" s="106">
        <v>4102</v>
      </c>
      <c r="R284" s="3">
        <f ca="1">OFFSET(battle_group!$C$1,MATCH(P284,battle_group!E:E,0)-1,0)</f>
        <v>4</v>
      </c>
      <c r="T284" s="238">
        <v>60866</v>
      </c>
    </row>
    <row r="285" spans="1:20">
      <c r="A285" s="1">
        <v>5011</v>
      </c>
      <c r="B285" s="1" t="s">
        <v>1969</v>
      </c>
      <c r="C285" s="1" t="s">
        <v>1970</v>
      </c>
      <c r="G285" s="1" t="s">
        <v>1965</v>
      </c>
      <c r="K285" s="1">
        <v>1</v>
      </c>
      <c r="L285" s="1">
        <v>139</v>
      </c>
      <c r="M285" s="1">
        <f t="shared" ref="M285:M302" si="22">K285*1000+L285</f>
        <v>1139</v>
      </c>
      <c r="N285" s="107" t="e">
        <f ca="1">OFFSET(npc_level_config!$T$1,MATCH(M285,npc_level_config!A:A,0)-1,0)</f>
        <v>#VALUE!</v>
      </c>
      <c r="O285" s="107" t="e">
        <f ca="1" t="shared" si="21"/>
        <v>#VALUE!</v>
      </c>
      <c r="P285" s="106">
        <v>4102</v>
      </c>
      <c r="R285" s="3">
        <f ca="1">OFFSET(battle_group!$C$1,MATCH(P285,battle_group!E:E,0)-1,0)</f>
        <v>4</v>
      </c>
      <c r="T285" s="238">
        <v>60868</v>
      </c>
    </row>
    <row r="286" spans="1:20">
      <c r="A286" s="1">
        <v>5012</v>
      </c>
      <c r="B286" s="1" t="s">
        <v>1971</v>
      </c>
      <c r="C286" s="1" t="s">
        <v>1972</v>
      </c>
      <c r="G286" s="1" t="s">
        <v>1965</v>
      </c>
      <c r="K286" s="1">
        <v>1</v>
      </c>
      <c r="L286" s="1">
        <v>140</v>
      </c>
      <c r="M286" s="1">
        <f t="shared" si="22"/>
        <v>1140</v>
      </c>
      <c r="N286" s="107" t="e">
        <f ca="1">OFFSET(npc_level_config!$T$1,MATCH(M286,npc_level_config!A:A,0)-1,0)</f>
        <v>#VALUE!</v>
      </c>
      <c r="O286" s="107" t="e">
        <f ca="1" t="shared" si="21"/>
        <v>#VALUE!</v>
      </c>
      <c r="P286" s="106">
        <v>4102</v>
      </c>
      <c r="R286" s="3">
        <f ca="1">OFFSET(battle_group!$C$1,MATCH(P286,battle_group!E:E,0)-1,0)</f>
        <v>4</v>
      </c>
      <c r="T286" s="238">
        <v>60869</v>
      </c>
    </row>
    <row r="287" spans="1:20">
      <c r="A287" s="1">
        <v>5013</v>
      </c>
      <c r="B287" s="1" t="s">
        <v>1973</v>
      </c>
      <c r="C287" s="1" t="s">
        <v>1974</v>
      </c>
      <c r="G287" s="1" t="s">
        <v>1965</v>
      </c>
      <c r="K287" s="1">
        <v>1</v>
      </c>
      <c r="L287" s="1">
        <v>141</v>
      </c>
      <c r="M287" s="1">
        <f t="shared" si="22"/>
        <v>1141</v>
      </c>
      <c r="N287" s="107" t="e">
        <f ca="1">OFFSET(npc_level_config!$T$1,MATCH(M287,npc_level_config!A:A,0)-1,0)</f>
        <v>#VALUE!</v>
      </c>
      <c r="O287" s="107" t="e">
        <f ca="1" t="shared" si="21"/>
        <v>#VALUE!</v>
      </c>
      <c r="P287" s="106">
        <v>4102</v>
      </c>
      <c r="R287" s="3">
        <f ca="1">OFFSET(battle_group!$C$1,MATCH(P287,battle_group!E:E,0)-1,0)</f>
        <v>4</v>
      </c>
      <c r="T287" s="238">
        <v>60870</v>
      </c>
    </row>
    <row r="288" spans="1:20">
      <c r="A288" s="1">
        <f>A285+10</f>
        <v>5021</v>
      </c>
      <c r="B288" s="1" t="s">
        <v>1975</v>
      </c>
      <c r="C288" s="1" t="s">
        <v>1976</v>
      </c>
      <c r="G288" s="1" t="s">
        <v>1965</v>
      </c>
      <c r="K288" s="1">
        <f>K285+1</f>
        <v>2</v>
      </c>
      <c r="L288" s="1">
        <v>139</v>
      </c>
      <c r="M288" s="1">
        <f t="shared" si="22"/>
        <v>2139</v>
      </c>
      <c r="N288" s="107" t="e">
        <f ca="1">OFFSET(npc_level_config!$T$1,MATCH(M288,npc_level_config!A:A,0)-1,0)</f>
        <v>#VALUE!</v>
      </c>
      <c r="O288" s="107" t="e">
        <f ca="1" t="shared" si="21"/>
        <v>#VALUE!</v>
      </c>
      <c r="P288" s="106">
        <v>4102</v>
      </c>
      <c r="R288" s="3">
        <f ca="1">OFFSET(battle_group!$C$1,MATCH(P288,battle_group!E:E,0)-1,0)</f>
        <v>4</v>
      </c>
      <c r="T288" s="238">
        <v>60871</v>
      </c>
    </row>
    <row r="289" spans="1:20">
      <c r="A289" s="1">
        <f t="shared" ref="A289:A302" si="23">A286+10</f>
        <v>5022</v>
      </c>
      <c r="B289" s="1" t="s">
        <v>1977</v>
      </c>
      <c r="C289" s="1" t="s">
        <v>1978</v>
      </c>
      <c r="G289" s="1" t="s">
        <v>1965</v>
      </c>
      <c r="K289" s="1">
        <f t="shared" ref="K289:K302" si="24">K286+1</f>
        <v>2</v>
      </c>
      <c r="L289" s="1">
        <v>140</v>
      </c>
      <c r="M289" s="1">
        <f t="shared" si="22"/>
        <v>2140</v>
      </c>
      <c r="N289" s="107" t="e">
        <f ca="1">OFFSET(npc_level_config!$T$1,MATCH(M289,npc_level_config!A:A,0)-1,0)</f>
        <v>#VALUE!</v>
      </c>
      <c r="O289" s="107" t="e">
        <f ca="1" t="shared" si="21"/>
        <v>#VALUE!</v>
      </c>
      <c r="P289" s="106">
        <v>4102</v>
      </c>
      <c r="R289" s="3">
        <f ca="1">OFFSET(battle_group!$C$1,MATCH(P289,battle_group!E:E,0)-1,0)</f>
        <v>4</v>
      </c>
      <c r="T289" s="238">
        <v>60872</v>
      </c>
    </row>
    <row r="290" spans="1:20">
      <c r="A290" s="1">
        <f t="shared" si="23"/>
        <v>5023</v>
      </c>
      <c r="B290" s="1" t="s">
        <v>1979</v>
      </c>
      <c r="C290" s="1" t="s">
        <v>1980</v>
      </c>
      <c r="G290" s="1" t="s">
        <v>1965</v>
      </c>
      <c r="K290" s="1">
        <f t="shared" si="24"/>
        <v>2</v>
      </c>
      <c r="L290" s="1">
        <v>141</v>
      </c>
      <c r="M290" s="1">
        <f t="shared" si="22"/>
        <v>2141</v>
      </c>
      <c r="N290" s="107" t="e">
        <f ca="1">OFFSET(npc_level_config!$T$1,MATCH(M290,npc_level_config!A:A,0)-1,0)</f>
        <v>#VALUE!</v>
      </c>
      <c r="O290" s="107" t="e">
        <f ca="1" t="shared" si="21"/>
        <v>#VALUE!</v>
      </c>
      <c r="P290" s="106">
        <v>4102</v>
      </c>
      <c r="R290" s="3">
        <f ca="1">OFFSET(battle_group!$C$1,MATCH(P290,battle_group!E:E,0)-1,0)</f>
        <v>4</v>
      </c>
      <c r="T290" s="238">
        <v>60873</v>
      </c>
    </row>
    <row r="291" spans="1:20">
      <c r="A291" s="1">
        <f t="shared" si="23"/>
        <v>5031</v>
      </c>
      <c r="B291" s="1" t="s">
        <v>1981</v>
      </c>
      <c r="C291" s="1" t="s">
        <v>1982</v>
      </c>
      <c r="G291" s="1" t="s">
        <v>1965</v>
      </c>
      <c r="K291" s="1">
        <f t="shared" si="24"/>
        <v>3</v>
      </c>
      <c r="L291" s="1">
        <v>139</v>
      </c>
      <c r="M291" s="1">
        <f t="shared" si="22"/>
        <v>3139</v>
      </c>
      <c r="N291" s="107" t="e">
        <f ca="1">OFFSET(npc_level_config!$T$1,MATCH(M291,npc_level_config!A:A,0)-1,0)</f>
        <v>#VALUE!</v>
      </c>
      <c r="O291" s="107" t="e">
        <f ca="1" t="shared" si="21"/>
        <v>#VALUE!</v>
      </c>
      <c r="P291" s="106">
        <v>4102</v>
      </c>
      <c r="R291" s="3">
        <f ca="1">OFFSET(battle_group!$C$1,MATCH(P291,battle_group!E:E,0)-1,0)</f>
        <v>4</v>
      </c>
      <c r="T291" s="97"/>
    </row>
    <row r="292" spans="1:20">
      <c r="A292" s="1">
        <f t="shared" si="23"/>
        <v>5032</v>
      </c>
      <c r="B292" s="1" t="s">
        <v>1983</v>
      </c>
      <c r="C292" s="1" t="s">
        <v>1984</v>
      </c>
      <c r="G292" s="1" t="s">
        <v>1965</v>
      </c>
      <c r="K292" s="1">
        <f t="shared" si="24"/>
        <v>3</v>
      </c>
      <c r="L292" s="1">
        <v>140</v>
      </c>
      <c r="M292" s="1">
        <f t="shared" si="22"/>
        <v>3140</v>
      </c>
      <c r="N292" s="107" t="e">
        <f ca="1">OFFSET(npc_level_config!$T$1,MATCH(M292,npc_level_config!A:A,0)-1,0)</f>
        <v>#VALUE!</v>
      </c>
      <c r="O292" s="107" t="e">
        <f ca="1" t="shared" si="21"/>
        <v>#VALUE!</v>
      </c>
      <c r="P292" s="106">
        <v>4102</v>
      </c>
      <c r="R292" s="3">
        <f ca="1">OFFSET(battle_group!$C$1,MATCH(P292,battle_group!E:E,0)-1,0)</f>
        <v>4</v>
      </c>
      <c r="T292" s="97"/>
    </row>
    <row r="293" spans="1:20">
      <c r="A293" s="1">
        <f t="shared" si="23"/>
        <v>5033</v>
      </c>
      <c r="B293" s="1" t="s">
        <v>1985</v>
      </c>
      <c r="C293" s="1" t="s">
        <v>1986</v>
      </c>
      <c r="G293" s="1" t="s">
        <v>1965</v>
      </c>
      <c r="K293" s="1">
        <f t="shared" si="24"/>
        <v>3</v>
      </c>
      <c r="L293" s="1">
        <v>141</v>
      </c>
      <c r="M293" s="1">
        <f t="shared" si="22"/>
        <v>3141</v>
      </c>
      <c r="N293" s="107" t="e">
        <f ca="1">OFFSET(npc_level_config!$T$1,MATCH(M293,npc_level_config!A:A,0)-1,0)</f>
        <v>#VALUE!</v>
      </c>
      <c r="O293" s="107" t="e">
        <f ca="1" t="shared" si="21"/>
        <v>#VALUE!</v>
      </c>
      <c r="P293" s="106">
        <v>4102</v>
      </c>
      <c r="R293" s="3">
        <f ca="1">OFFSET(battle_group!$C$1,MATCH(P293,battle_group!E:E,0)-1,0)</f>
        <v>4</v>
      </c>
      <c r="T293" s="97"/>
    </row>
    <row r="294" spans="1:20">
      <c r="A294" s="1">
        <f t="shared" si="23"/>
        <v>5041</v>
      </c>
      <c r="C294" s="1" t="s">
        <v>1987</v>
      </c>
      <c r="G294" s="1" t="s">
        <v>1965</v>
      </c>
      <c r="K294" s="1">
        <f t="shared" si="24"/>
        <v>4</v>
      </c>
      <c r="L294" s="1">
        <v>212</v>
      </c>
      <c r="M294" s="1">
        <f t="shared" si="22"/>
        <v>4212</v>
      </c>
      <c r="N294" s="107" t="e">
        <f ca="1">OFFSET(npc_level_config!$T$1,MATCH(M294,npc_level_config!A:A,0)-1,0)</f>
        <v>#VALUE!</v>
      </c>
      <c r="O294" s="107" t="e">
        <f ca="1" t="shared" si="21"/>
        <v>#VALUE!</v>
      </c>
      <c r="P294" s="106">
        <v>4102</v>
      </c>
      <c r="R294" s="3">
        <f ca="1">OFFSET(battle_group!$C$1,MATCH(P294,battle_group!E:E,0)-1,0)</f>
        <v>4</v>
      </c>
      <c r="T294" s="236"/>
    </row>
    <row r="295" spans="1:20">
      <c r="A295" s="1">
        <f t="shared" si="23"/>
        <v>5042</v>
      </c>
      <c r="C295" s="1" t="s">
        <v>1988</v>
      </c>
      <c r="G295" s="1" t="s">
        <v>1965</v>
      </c>
      <c r="K295" s="1">
        <f t="shared" si="24"/>
        <v>4</v>
      </c>
      <c r="L295" s="1">
        <v>212</v>
      </c>
      <c r="M295" s="1">
        <f t="shared" si="22"/>
        <v>4212</v>
      </c>
      <c r="N295" s="107" t="e">
        <f ca="1">OFFSET(npc_level_config!$T$1,MATCH(M295,npc_level_config!A:A,0)-1,0)</f>
        <v>#VALUE!</v>
      </c>
      <c r="O295" s="107" t="e">
        <f ca="1" t="shared" si="21"/>
        <v>#VALUE!</v>
      </c>
      <c r="P295" s="106">
        <v>4102</v>
      </c>
      <c r="R295" s="3">
        <f ca="1">OFFSET(battle_group!$C$1,MATCH(P295,battle_group!E:E,0)-1,0)</f>
        <v>4</v>
      </c>
      <c r="T295" s="236"/>
    </row>
    <row r="296" spans="1:20">
      <c r="A296" s="1">
        <f t="shared" si="23"/>
        <v>5043</v>
      </c>
      <c r="C296" s="1" t="s">
        <v>1989</v>
      </c>
      <c r="G296" s="1" t="s">
        <v>1965</v>
      </c>
      <c r="K296" s="1">
        <f t="shared" si="24"/>
        <v>4</v>
      </c>
      <c r="L296" s="1">
        <v>212</v>
      </c>
      <c r="M296" s="1">
        <f t="shared" si="22"/>
        <v>4212</v>
      </c>
      <c r="N296" s="107" t="e">
        <f ca="1">OFFSET(npc_level_config!$T$1,MATCH(M296,npc_level_config!A:A,0)-1,0)</f>
        <v>#VALUE!</v>
      </c>
      <c r="O296" s="107" t="e">
        <f ca="1" t="shared" si="21"/>
        <v>#VALUE!</v>
      </c>
      <c r="P296" s="106">
        <v>4102</v>
      </c>
      <c r="R296" s="3">
        <f ca="1">OFFSET(battle_group!$C$1,MATCH(P296,battle_group!E:E,0)-1,0)</f>
        <v>4</v>
      </c>
      <c r="T296" s="236"/>
    </row>
    <row r="297" spans="1:20">
      <c r="A297" s="1">
        <f t="shared" si="23"/>
        <v>5051</v>
      </c>
      <c r="C297" s="1" t="s">
        <v>1990</v>
      </c>
      <c r="G297" s="1" t="s">
        <v>1965</v>
      </c>
      <c r="K297" s="1">
        <f t="shared" si="24"/>
        <v>5</v>
      </c>
      <c r="L297" s="1">
        <v>212</v>
      </c>
      <c r="M297" s="1">
        <f t="shared" si="22"/>
        <v>5212</v>
      </c>
      <c r="N297" s="107" t="e">
        <f ca="1">OFFSET(npc_level_config!$T$1,MATCH(M297,npc_level_config!A:A,0)-1,0)</f>
        <v>#VALUE!</v>
      </c>
      <c r="O297" s="107" t="e">
        <f ca="1" t="shared" si="21"/>
        <v>#VALUE!</v>
      </c>
      <c r="P297" s="106">
        <v>4102</v>
      </c>
      <c r="R297" s="3">
        <f ca="1">OFFSET(battle_group!$C$1,MATCH(P297,battle_group!E:E,0)-1,0)</f>
        <v>4</v>
      </c>
      <c r="T297" s="236"/>
    </row>
    <row r="298" spans="1:20">
      <c r="A298" s="1">
        <f t="shared" si="23"/>
        <v>5052</v>
      </c>
      <c r="C298" s="1" t="s">
        <v>1991</v>
      </c>
      <c r="G298" s="1" t="s">
        <v>1965</v>
      </c>
      <c r="K298" s="1">
        <f t="shared" si="24"/>
        <v>5</v>
      </c>
      <c r="L298" s="1">
        <v>212</v>
      </c>
      <c r="M298" s="1">
        <f t="shared" si="22"/>
        <v>5212</v>
      </c>
      <c r="N298" s="107" t="e">
        <f ca="1">OFFSET(npc_level_config!$T$1,MATCH(M298,npc_level_config!A:A,0)-1,0)</f>
        <v>#VALUE!</v>
      </c>
      <c r="O298" s="107" t="e">
        <f ca="1" t="shared" si="21"/>
        <v>#VALUE!</v>
      </c>
      <c r="P298" s="106">
        <v>4102</v>
      </c>
      <c r="R298" s="3">
        <f ca="1">OFFSET(battle_group!$C$1,MATCH(P298,battle_group!E:E,0)-1,0)</f>
        <v>4</v>
      </c>
      <c r="T298" s="236"/>
    </row>
    <row r="299" spans="1:20">
      <c r="A299" s="1">
        <f t="shared" si="23"/>
        <v>5053</v>
      </c>
      <c r="C299" s="1" t="s">
        <v>1992</v>
      </c>
      <c r="G299" s="1" t="s">
        <v>1965</v>
      </c>
      <c r="K299" s="1">
        <f t="shared" si="24"/>
        <v>5</v>
      </c>
      <c r="L299" s="1">
        <v>212</v>
      </c>
      <c r="M299" s="1">
        <f t="shared" si="22"/>
        <v>5212</v>
      </c>
      <c r="N299" s="107" t="e">
        <f ca="1">OFFSET(npc_level_config!$T$1,MATCH(M299,npc_level_config!A:A,0)-1,0)</f>
        <v>#VALUE!</v>
      </c>
      <c r="O299" s="107" t="e">
        <f ca="1" t="shared" si="21"/>
        <v>#VALUE!</v>
      </c>
      <c r="P299" s="106">
        <v>4102</v>
      </c>
      <c r="R299" s="3">
        <f ca="1">OFFSET(battle_group!$C$1,MATCH(P299,battle_group!E:E,0)-1,0)</f>
        <v>4</v>
      </c>
      <c r="T299" s="236"/>
    </row>
    <row r="300" spans="1:20">
      <c r="A300" s="1">
        <f t="shared" si="23"/>
        <v>5061</v>
      </c>
      <c r="G300" s="1" t="s">
        <v>1965</v>
      </c>
      <c r="K300" s="1">
        <f t="shared" si="24"/>
        <v>6</v>
      </c>
      <c r="L300" s="1">
        <v>212</v>
      </c>
      <c r="M300" s="1">
        <f t="shared" si="22"/>
        <v>6212</v>
      </c>
      <c r="N300" s="107" t="e">
        <f ca="1">OFFSET(npc_level_config!$T$1,MATCH(M300,npc_level_config!A:A,0)-1,0)</f>
        <v>#VALUE!</v>
      </c>
      <c r="O300" s="107" t="e">
        <f ca="1" t="shared" si="21"/>
        <v>#VALUE!</v>
      </c>
      <c r="P300" s="106">
        <v>4102</v>
      </c>
      <c r="R300" s="3">
        <f ca="1">OFFSET(battle_group!$C$1,MATCH(P300,battle_group!E:E,0)-1,0)</f>
        <v>4</v>
      </c>
      <c r="T300" s="236"/>
    </row>
    <row r="301" spans="1:20">
      <c r="A301" s="1">
        <f t="shared" si="23"/>
        <v>5062</v>
      </c>
      <c r="G301" s="1" t="s">
        <v>1965</v>
      </c>
      <c r="K301" s="1">
        <f t="shared" si="24"/>
        <v>6</v>
      </c>
      <c r="L301" s="1">
        <v>212</v>
      </c>
      <c r="M301" s="1">
        <f t="shared" si="22"/>
        <v>6212</v>
      </c>
      <c r="N301" s="107" t="e">
        <f ca="1">OFFSET(npc_level_config!$T$1,MATCH(M301,npc_level_config!A:A,0)-1,0)</f>
        <v>#VALUE!</v>
      </c>
      <c r="O301" s="107" t="e">
        <f ca="1" t="shared" si="21"/>
        <v>#VALUE!</v>
      </c>
      <c r="P301" s="106">
        <v>4102</v>
      </c>
      <c r="R301" s="3">
        <f ca="1">OFFSET(battle_group!$C$1,MATCH(P301,battle_group!E:E,0)-1,0)</f>
        <v>4</v>
      </c>
      <c r="T301" s="236"/>
    </row>
    <row r="302" spans="1:20">
      <c r="A302" s="1">
        <f t="shared" si="23"/>
        <v>5063</v>
      </c>
      <c r="G302" s="1" t="s">
        <v>1965</v>
      </c>
      <c r="K302" s="1">
        <f t="shared" si="24"/>
        <v>6</v>
      </c>
      <c r="L302" s="1">
        <v>212</v>
      </c>
      <c r="M302" s="1">
        <f t="shared" si="22"/>
        <v>6212</v>
      </c>
      <c r="N302" s="107" t="e">
        <f ca="1">OFFSET(npc_level_config!$T$1,MATCH(M302,npc_level_config!A:A,0)-1,0)</f>
        <v>#VALUE!</v>
      </c>
      <c r="O302" s="107" t="e">
        <f ca="1" t="shared" si="21"/>
        <v>#VALUE!</v>
      </c>
      <c r="P302" s="106">
        <v>4102</v>
      </c>
      <c r="R302" s="3">
        <f ca="1">OFFSET(battle_group!$C$1,MATCH(P302,battle_group!E:E,0)-1,0)</f>
        <v>4</v>
      </c>
      <c r="T302" s="236"/>
    </row>
    <row r="303" ht="15.75" spans="1:20">
      <c r="A303" s="1">
        <v>6001</v>
      </c>
      <c r="B303" s="1" t="s">
        <v>1820</v>
      </c>
      <c r="C303" s="1" t="s">
        <v>1821</v>
      </c>
      <c r="D303" s="1" t="s">
        <v>1820</v>
      </c>
      <c r="E303" s="213">
        <f ca="1">OFFSET(model!$A$1,MATCH(D303,model!B:B,0)-1,0)</f>
        <v>78</v>
      </c>
      <c r="G303" s="223" t="s">
        <v>1822</v>
      </c>
      <c r="H303" s="223" t="s">
        <v>1993</v>
      </c>
      <c r="I303" s="223" t="s">
        <v>1937</v>
      </c>
      <c r="J303" s="223" t="s">
        <v>1994</v>
      </c>
      <c r="K303" s="1">
        <v>1</v>
      </c>
      <c r="L303" s="1">
        <v>301</v>
      </c>
      <c r="M303" s="1">
        <f t="shared" ref="M303:M344" si="25">K303*1000+L303</f>
        <v>1301</v>
      </c>
      <c r="N303" s="107" t="e">
        <f ca="1">OFFSET(npc_level_config!$T$1,MATCH(M303,npc_level_config!A:A,0)-1,0)</f>
        <v>#VALUE!</v>
      </c>
      <c r="O303" s="107" t="e">
        <f ca="1" t="shared" si="21"/>
        <v>#VALUE!</v>
      </c>
      <c r="P303" s="106"/>
      <c r="R303" s="3" t="e">
        <f ca="1">OFFSET(battle_group!$C$1,MATCH(P303,battle_group!E:E,0)-1,0)</f>
        <v>#N/A</v>
      </c>
      <c r="T303" s="1">
        <v>130024</v>
      </c>
    </row>
    <row r="304" ht="15.75" spans="1:20">
      <c r="A304" s="1">
        <v>6002</v>
      </c>
      <c r="B304" s="1" t="s">
        <v>1820</v>
      </c>
      <c r="C304" s="1" t="s">
        <v>1995</v>
      </c>
      <c r="D304" s="1" t="s">
        <v>1820</v>
      </c>
      <c r="E304" s="213">
        <f ca="1">OFFSET(model!$A$1,MATCH(D304,model!B:B,0)-1,0)</f>
        <v>78</v>
      </c>
      <c r="G304" s="223" t="s">
        <v>1822</v>
      </c>
      <c r="H304" s="223" t="s">
        <v>1993</v>
      </c>
      <c r="I304" s="223" t="s">
        <v>1937</v>
      </c>
      <c r="J304" s="223" t="s">
        <v>1994</v>
      </c>
      <c r="K304" s="1">
        <v>1</v>
      </c>
      <c r="L304" s="1">
        <v>302</v>
      </c>
      <c r="M304" s="1">
        <f t="shared" si="25"/>
        <v>1302</v>
      </c>
      <c r="N304" s="107" t="e">
        <f ca="1">OFFSET(npc_level_config!$T$1,MATCH(M304,npc_level_config!A:A,0)-1,0)</f>
        <v>#VALUE!</v>
      </c>
      <c r="O304" s="107" t="e">
        <f ca="1" t="shared" si="21"/>
        <v>#VALUE!</v>
      </c>
      <c r="P304" s="106"/>
      <c r="R304" s="3" t="e">
        <f ca="1">OFFSET(battle_group!$C$1,MATCH(P304,battle_group!E:E,0)-1,0)</f>
        <v>#N/A</v>
      </c>
      <c r="T304" s="1">
        <v>130024</v>
      </c>
    </row>
    <row r="305" ht="15.75" spans="1:20">
      <c r="A305" s="1">
        <v>6003</v>
      </c>
      <c r="B305" s="1" t="s">
        <v>1820</v>
      </c>
      <c r="C305" s="1" t="s">
        <v>1996</v>
      </c>
      <c r="D305" s="1" t="s">
        <v>1820</v>
      </c>
      <c r="E305" s="213">
        <f ca="1">OFFSET(model!$A$1,MATCH(D305,model!B:B,0)-1,0)</f>
        <v>78</v>
      </c>
      <c r="G305" s="223" t="s">
        <v>1822</v>
      </c>
      <c r="H305" s="223" t="s">
        <v>1993</v>
      </c>
      <c r="I305" s="223" t="s">
        <v>1937</v>
      </c>
      <c r="J305" s="223" t="s">
        <v>1994</v>
      </c>
      <c r="K305" s="1">
        <v>1</v>
      </c>
      <c r="L305" s="1">
        <v>303</v>
      </c>
      <c r="M305" s="1">
        <f t="shared" si="25"/>
        <v>1303</v>
      </c>
      <c r="N305" s="107" t="e">
        <f ca="1">OFFSET(npc_level_config!$T$1,MATCH(M305,npc_level_config!A:A,0)-1,0)</f>
        <v>#VALUE!</v>
      </c>
      <c r="O305" s="107" t="e">
        <f ca="1" t="shared" si="21"/>
        <v>#VALUE!</v>
      </c>
      <c r="P305" s="106"/>
      <c r="R305" s="3" t="e">
        <f ca="1">OFFSET(battle_group!$C$1,MATCH(P305,battle_group!E:E,0)-1,0)</f>
        <v>#N/A</v>
      </c>
      <c r="T305" s="1">
        <v>130024</v>
      </c>
    </row>
    <row r="306" ht="15.75" spans="1:20">
      <c r="A306" s="1">
        <v>6004</v>
      </c>
      <c r="B306" s="1" t="s">
        <v>1820</v>
      </c>
      <c r="C306" s="1" t="s">
        <v>1997</v>
      </c>
      <c r="D306" s="1" t="s">
        <v>1820</v>
      </c>
      <c r="E306" s="213">
        <f ca="1">OFFSET(model!$A$1,MATCH(D306,model!B:B,0)-1,0)</f>
        <v>78</v>
      </c>
      <c r="G306" s="223" t="s">
        <v>1822</v>
      </c>
      <c r="H306" s="223" t="s">
        <v>1993</v>
      </c>
      <c r="I306" s="223" t="s">
        <v>1937</v>
      </c>
      <c r="J306" s="223" t="s">
        <v>1994</v>
      </c>
      <c r="K306" s="1">
        <v>1</v>
      </c>
      <c r="L306" s="1">
        <v>304</v>
      </c>
      <c r="M306" s="1">
        <f t="shared" si="25"/>
        <v>1304</v>
      </c>
      <c r="N306" s="107" t="e">
        <f ca="1">OFFSET(npc_level_config!$T$1,MATCH(M306,npc_level_config!A:A,0)-1,0)</f>
        <v>#VALUE!</v>
      </c>
      <c r="O306" s="107" t="e">
        <f ca="1" t="shared" si="21"/>
        <v>#VALUE!</v>
      </c>
      <c r="P306" s="106"/>
      <c r="R306" s="3" t="e">
        <f ca="1">OFFSET(battle_group!$C$1,MATCH(P306,battle_group!E:E,0)-1,0)</f>
        <v>#N/A</v>
      </c>
      <c r="T306" s="1">
        <v>130024</v>
      </c>
    </row>
    <row r="307" ht="15.75" spans="1:20">
      <c r="A307" s="1">
        <v>6005</v>
      </c>
      <c r="B307" s="1" t="s">
        <v>1820</v>
      </c>
      <c r="C307" s="1" t="s">
        <v>1998</v>
      </c>
      <c r="D307" s="1" t="s">
        <v>1820</v>
      </c>
      <c r="E307" s="213">
        <f ca="1">OFFSET(model!$A$1,MATCH(D307,model!B:B,0)-1,0)</f>
        <v>78</v>
      </c>
      <c r="G307" s="223" t="s">
        <v>1822</v>
      </c>
      <c r="H307" s="223" t="s">
        <v>1993</v>
      </c>
      <c r="I307" s="223" t="s">
        <v>1937</v>
      </c>
      <c r="J307" s="223" t="s">
        <v>1994</v>
      </c>
      <c r="K307" s="1">
        <v>1</v>
      </c>
      <c r="L307" s="1">
        <v>305</v>
      </c>
      <c r="M307" s="1">
        <f t="shared" si="25"/>
        <v>1305</v>
      </c>
      <c r="N307" s="107" t="e">
        <f ca="1">OFFSET(npc_level_config!$T$1,MATCH(M307,npc_level_config!A:A,0)-1,0)</f>
        <v>#VALUE!</v>
      </c>
      <c r="O307" s="107" t="e">
        <f ca="1" t="shared" si="21"/>
        <v>#VALUE!</v>
      </c>
      <c r="P307" s="106"/>
      <c r="R307" s="3" t="e">
        <f ca="1">OFFSET(battle_group!$C$1,MATCH(P307,battle_group!E:E,0)-1,0)</f>
        <v>#N/A</v>
      </c>
      <c r="T307" s="1">
        <v>130024</v>
      </c>
    </row>
    <row r="308" ht="15.75" spans="1:20">
      <c r="A308" s="1">
        <v>6006</v>
      </c>
      <c r="B308" s="1" t="s">
        <v>1820</v>
      </c>
      <c r="C308" s="1" t="s">
        <v>1999</v>
      </c>
      <c r="D308" s="1" t="s">
        <v>1820</v>
      </c>
      <c r="E308" s="213">
        <f ca="1">OFFSET(model!$A$1,MATCH(D308,model!B:B,0)-1,0)</f>
        <v>78</v>
      </c>
      <c r="G308" s="223" t="s">
        <v>1822</v>
      </c>
      <c r="H308" s="223" t="s">
        <v>1993</v>
      </c>
      <c r="I308" s="223" t="s">
        <v>1937</v>
      </c>
      <c r="J308" s="223" t="s">
        <v>1994</v>
      </c>
      <c r="K308" s="1">
        <v>1</v>
      </c>
      <c r="L308" s="1">
        <v>306</v>
      </c>
      <c r="M308" s="1">
        <f t="shared" si="25"/>
        <v>1306</v>
      </c>
      <c r="N308" s="107" t="e">
        <f ca="1">OFFSET(npc_level_config!$T$1,MATCH(M308,npc_level_config!A:A,0)-1,0)</f>
        <v>#VALUE!</v>
      </c>
      <c r="O308" s="107" t="e">
        <f ca="1" t="shared" si="21"/>
        <v>#VALUE!</v>
      </c>
      <c r="P308" s="106"/>
      <c r="R308" s="3" t="e">
        <f ca="1">OFFSET(battle_group!$C$1,MATCH(P308,battle_group!E:E,0)-1,0)</f>
        <v>#N/A</v>
      </c>
      <c r="T308" s="1">
        <v>130024</v>
      </c>
    </row>
    <row r="309" ht="15.75" spans="1:20">
      <c r="A309" s="1">
        <v>6007</v>
      </c>
      <c r="B309" s="1" t="s">
        <v>1820</v>
      </c>
      <c r="C309" s="1" t="s">
        <v>2000</v>
      </c>
      <c r="D309" s="1" t="s">
        <v>1820</v>
      </c>
      <c r="E309" s="213">
        <f ca="1">OFFSET(model!$A$1,MATCH(D309,model!B:B,0)-1,0)</f>
        <v>78</v>
      </c>
      <c r="G309" s="223" t="s">
        <v>1822</v>
      </c>
      <c r="H309" s="223" t="s">
        <v>1993</v>
      </c>
      <c r="I309" s="223" t="s">
        <v>1937</v>
      </c>
      <c r="J309" s="223" t="s">
        <v>1994</v>
      </c>
      <c r="K309" s="1">
        <v>1</v>
      </c>
      <c r="L309" s="1">
        <v>307</v>
      </c>
      <c r="M309" s="1">
        <f t="shared" si="25"/>
        <v>1307</v>
      </c>
      <c r="N309" s="107" t="e">
        <f ca="1">OFFSET(npc_level_config!$T$1,MATCH(M309,npc_level_config!A:A,0)-1,0)</f>
        <v>#VALUE!</v>
      </c>
      <c r="O309" s="107" t="e">
        <f ca="1" t="shared" si="21"/>
        <v>#VALUE!</v>
      </c>
      <c r="P309" s="106"/>
      <c r="R309" s="3" t="e">
        <f ca="1">OFFSET(battle_group!$C$1,MATCH(P309,battle_group!E:E,0)-1,0)</f>
        <v>#N/A</v>
      </c>
      <c r="T309" s="1">
        <v>130024</v>
      </c>
    </row>
    <row r="310" ht="15.75" spans="1:20">
      <c r="A310" s="1">
        <v>6008</v>
      </c>
      <c r="B310" s="1" t="s">
        <v>1820</v>
      </c>
      <c r="C310" s="1" t="s">
        <v>2001</v>
      </c>
      <c r="D310" s="1" t="s">
        <v>1820</v>
      </c>
      <c r="E310" s="213">
        <f ca="1">OFFSET(model!$A$1,MATCH(D310,model!B:B,0)-1,0)</f>
        <v>78</v>
      </c>
      <c r="G310" s="223" t="s">
        <v>1822</v>
      </c>
      <c r="H310" s="223" t="s">
        <v>1993</v>
      </c>
      <c r="I310" s="223" t="s">
        <v>1937</v>
      </c>
      <c r="J310" s="223" t="s">
        <v>1994</v>
      </c>
      <c r="K310" s="1">
        <v>1</v>
      </c>
      <c r="L310" s="1">
        <v>308</v>
      </c>
      <c r="M310" s="1">
        <f t="shared" si="25"/>
        <v>1308</v>
      </c>
      <c r="N310" s="107" t="e">
        <f ca="1">OFFSET(npc_level_config!$T$1,MATCH(M310,npc_level_config!A:A,0)-1,0)</f>
        <v>#VALUE!</v>
      </c>
      <c r="O310" s="107" t="e">
        <f ca="1" t="shared" si="21"/>
        <v>#VALUE!</v>
      </c>
      <c r="P310" s="106"/>
      <c r="R310" s="3" t="e">
        <f ca="1">OFFSET(battle_group!$C$1,MATCH(P310,battle_group!E:E,0)-1,0)</f>
        <v>#N/A</v>
      </c>
      <c r="T310" s="1">
        <v>130024</v>
      </c>
    </row>
    <row r="311" ht="15.75" spans="1:20">
      <c r="A311" s="1">
        <v>6009</v>
      </c>
      <c r="B311" s="1" t="s">
        <v>1820</v>
      </c>
      <c r="C311" s="1" t="s">
        <v>2002</v>
      </c>
      <c r="D311" s="1" t="s">
        <v>1820</v>
      </c>
      <c r="E311" s="213">
        <f ca="1">OFFSET(model!$A$1,MATCH(D311,model!B:B,0)-1,0)</f>
        <v>78</v>
      </c>
      <c r="G311" s="223" t="s">
        <v>1822</v>
      </c>
      <c r="H311" s="223" t="s">
        <v>1993</v>
      </c>
      <c r="I311" s="223" t="s">
        <v>1937</v>
      </c>
      <c r="J311" s="223" t="s">
        <v>1994</v>
      </c>
      <c r="K311" s="1">
        <v>1</v>
      </c>
      <c r="L311" s="1">
        <v>309</v>
      </c>
      <c r="M311" s="1">
        <f t="shared" si="25"/>
        <v>1309</v>
      </c>
      <c r="N311" s="107" t="e">
        <f ca="1">OFFSET(npc_level_config!$T$1,MATCH(M311,npc_level_config!A:A,0)-1,0)</f>
        <v>#VALUE!</v>
      </c>
      <c r="O311" s="107" t="e">
        <f ca="1" t="shared" si="21"/>
        <v>#VALUE!</v>
      </c>
      <c r="P311" s="106"/>
      <c r="R311" s="3" t="e">
        <f ca="1">OFFSET(battle_group!$C$1,MATCH(P311,battle_group!E:E,0)-1,0)</f>
        <v>#N/A</v>
      </c>
      <c r="T311" s="1">
        <v>130024</v>
      </c>
    </row>
    <row r="312" ht="15.75" spans="1:20">
      <c r="A312" s="1">
        <v>6010</v>
      </c>
      <c r="B312" s="1" t="s">
        <v>1820</v>
      </c>
      <c r="C312" s="1" t="s">
        <v>2003</v>
      </c>
      <c r="D312" s="1" t="s">
        <v>1820</v>
      </c>
      <c r="E312" s="213">
        <f ca="1">OFFSET(model!$A$1,MATCH(D312,model!B:B,0)-1,0)</f>
        <v>78</v>
      </c>
      <c r="G312" s="223" t="s">
        <v>1822</v>
      </c>
      <c r="H312" s="223" t="s">
        <v>1993</v>
      </c>
      <c r="I312" s="223" t="s">
        <v>1937</v>
      </c>
      <c r="J312" s="223" t="s">
        <v>1994</v>
      </c>
      <c r="K312" s="1">
        <v>1</v>
      </c>
      <c r="L312" s="1">
        <v>310</v>
      </c>
      <c r="M312" s="1">
        <f t="shared" si="25"/>
        <v>1310</v>
      </c>
      <c r="N312" s="107" t="e">
        <f ca="1">OFFSET(npc_level_config!$T$1,MATCH(M312,npc_level_config!A:A,0)-1,0)</f>
        <v>#VALUE!</v>
      </c>
      <c r="O312" s="107" t="e">
        <f ca="1" t="shared" si="21"/>
        <v>#VALUE!</v>
      </c>
      <c r="P312" s="106"/>
      <c r="R312" s="3" t="e">
        <f ca="1">OFFSET(battle_group!$C$1,MATCH(P312,battle_group!E:E,0)-1,0)</f>
        <v>#N/A</v>
      </c>
      <c r="T312" s="1">
        <v>130024</v>
      </c>
    </row>
    <row r="313" ht="15.75" spans="1:20">
      <c r="A313" s="1">
        <v>6011</v>
      </c>
      <c r="B313" s="1" t="s">
        <v>1820</v>
      </c>
      <c r="C313" s="1" t="s">
        <v>2004</v>
      </c>
      <c r="D313" s="1" t="s">
        <v>1820</v>
      </c>
      <c r="E313" s="213">
        <f ca="1">OFFSET(model!$A$1,MATCH(D313,model!B:B,0)-1,0)</f>
        <v>78</v>
      </c>
      <c r="G313" s="223" t="s">
        <v>1822</v>
      </c>
      <c r="H313" s="223" t="s">
        <v>1993</v>
      </c>
      <c r="I313" s="223" t="s">
        <v>1937</v>
      </c>
      <c r="J313" s="223" t="s">
        <v>1994</v>
      </c>
      <c r="K313" s="1">
        <v>2</v>
      </c>
      <c r="L313" s="1">
        <v>301</v>
      </c>
      <c r="M313" s="1">
        <f t="shared" si="25"/>
        <v>2301</v>
      </c>
      <c r="N313" s="107" t="e">
        <f ca="1">OFFSET(npc_level_config!$T$1,MATCH(M313,npc_level_config!A:A,0)-1,0)</f>
        <v>#VALUE!</v>
      </c>
      <c r="O313" s="107" t="e">
        <f ca="1" t="shared" si="21"/>
        <v>#VALUE!</v>
      </c>
      <c r="P313" s="106"/>
      <c r="R313" s="3" t="e">
        <f ca="1">OFFSET(battle_group!$C$1,MATCH(P313,battle_group!E:E,0)-1,0)</f>
        <v>#N/A</v>
      </c>
      <c r="T313" s="1">
        <v>130024</v>
      </c>
    </row>
    <row r="314" ht="15.75" spans="1:20">
      <c r="A314" s="1">
        <v>6012</v>
      </c>
      <c r="B314" s="1" t="s">
        <v>1820</v>
      </c>
      <c r="C314" s="1" t="s">
        <v>2005</v>
      </c>
      <c r="D314" s="1" t="s">
        <v>1820</v>
      </c>
      <c r="E314" s="213">
        <f ca="1">OFFSET(model!$A$1,MATCH(D314,model!B:B,0)-1,0)</f>
        <v>78</v>
      </c>
      <c r="G314" s="223" t="s">
        <v>1822</v>
      </c>
      <c r="H314" s="223" t="s">
        <v>1993</v>
      </c>
      <c r="I314" s="223" t="s">
        <v>1937</v>
      </c>
      <c r="J314" s="223" t="s">
        <v>1994</v>
      </c>
      <c r="K314" s="1">
        <v>2</v>
      </c>
      <c r="L314" s="1">
        <v>302</v>
      </c>
      <c r="M314" s="1">
        <f t="shared" si="25"/>
        <v>2302</v>
      </c>
      <c r="N314" s="107" t="e">
        <f ca="1">OFFSET(npc_level_config!$T$1,MATCH(M314,npc_level_config!A:A,0)-1,0)</f>
        <v>#VALUE!</v>
      </c>
      <c r="O314" s="107" t="e">
        <f ca="1" t="shared" si="21"/>
        <v>#VALUE!</v>
      </c>
      <c r="P314" s="106"/>
      <c r="R314" s="3" t="e">
        <f ca="1">OFFSET(battle_group!$C$1,MATCH(P314,battle_group!E:E,0)-1,0)</f>
        <v>#N/A</v>
      </c>
      <c r="T314" s="1">
        <v>130024</v>
      </c>
    </row>
    <row r="315" ht="15.75" spans="1:20">
      <c r="A315" s="1">
        <v>6013</v>
      </c>
      <c r="B315" s="1" t="s">
        <v>1820</v>
      </c>
      <c r="C315" s="1" t="s">
        <v>2006</v>
      </c>
      <c r="D315" s="1" t="s">
        <v>1820</v>
      </c>
      <c r="E315" s="213">
        <f ca="1">OFFSET(model!$A$1,MATCH(D315,model!B:B,0)-1,0)</f>
        <v>78</v>
      </c>
      <c r="G315" s="223" t="s">
        <v>1822</v>
      </c>
      <c r="H315" s="223" t="s">
        <v>1993</v>
      </c>
      <c r="I315" s="223" t="s">
        <v>1937</v>
      </c>
      <c r="J315" s="223" t="s">
        <v>1994</v>
      </c>
      <c r="K315" s="1">
        <v>2</v>
      </c>
      <c r="L315" s="1">
        <v>303</v>
      </c>
      <c r="M315" s="1">
        <f t="shared" si="25"/>
        <v>2303</v>
      </c>
      <c r="N315" s="107" t="e">
        <f ca="1">OFFSET(npc_level_config!$T$1,MATCH(M315,npc_level_config!A:A,0)-1,0)</f>
        <v>#VALUE!</v>
      </c>
      <c r="O315" s="107" t="e">
        <f ca="1" t="shared" si="21"/>
        <v>#VALUE!</v>
      </c>
      <c r="P315" s="106"/>
      <c r="R315" s="3" t="e">
        <f ca="1">OFFSET(battle_group!$C$1,MATCH(P315,battle_group!E:E,0)-1,0)</f>
        <v>#N/A</v>
      </c>
      <c r="T315" s="1">
        <v>130024</v>
      </c>
    </row>
    <row r="316" ht="15.75" spans="1:20">
      <c r="A316" s="1">
        <v>6014</v>
      </c>
      <c r="B316" s="1" t="s">
        <v>1820</v>
      </c>
      <c r="C316" s="1" t="s">
        <v>2007</v>
      </c>
      <c r="D316" s="1" t="s">
        <v>1820</v>
      </c>
      <c r="E316" s="213">
        <f ca="1">OFFSET(model!$A$1,MATCH(D316,model!B:B,0)-1,0)</f>
        <v>78</v>
      </c>
      <c r="G316" s="223" t="s">
        <v>1822</v>
      </c>
      <c r="H316" s="223" t="s">
        <v>1993</v>
      </c>
      <c r="I316" s="223" t="s">
        <v>1937</v>
      </c>
      <c r="J316" s="223" t="s">
        <v>1994</v>
      </c>
      <c r="K316" s="1">
        <v>2</v>
      </c>
      <c r="L316" s="1">
        <v>304</v>
      </c>
      <c r="M316" s="1">
        <f t="shared" si="25"/>
        <v>2304</v>
      </c>
      <c r="N316" s="107" t="e">
        <f ca="1">OFFSET(npc_level_config!$T$1,MATCH(M316,npc_level_config!A:A,0)-1,0)</f>
        <v>#VALUE!</v>
      </c>
      <c r="O316" s="107" t="e">
        <f ca="1" t="shared" si="21"/>
        <v>#VALUE!</v>
      </c>
      <c r="P316" s="106"/>
      <c r="R316" s="3" t="e">
        <f ca="1">OFFSET(battle_group!$C$1,MATCH(P316,battle_group!E:E,0)-1,0)</f>
        <v>#N/A</v>
      </c>
      <c r="T316" s="1">
        <v>130024</v>
      </c>
    </row>
    <row r="317" ht="15.75" spans="1:20">
      <c r="A317" s="1">
        <v>6015</v>
      </c>
      <c r="B317" s="1" t="s">
        <v>1820</v>
      </c>
      <c r="C317" s="1" t="s">
        <v>2008</v>
      </c>
      <c r="D317" s="1" t="s">
        <v>1820</v>
      </c>
      <c r="E317" s="213">
        <f ca="1">OFFSET(model!$A$1,MATCH(D317,model!B:B,0)-1,0)</f>
        <v>78</v>
      </c>
      <c r="G317" s="223" t="s">
        <v>1822</v>
      </c>
      <c r="H317" s="223" t="s">
        <v>1993</v>
      </c>
      <c r="I317" s="223" t="s">
        <v>1937</v>
      </c>
      <c r="J317" s="223" t="s">
        <v>1994</v>
      </c>
      <c r="K317" s="1">
        <v>2</v>
      </c>
      <c r="L317" s="1">
        <v>305</v>
      </c>
      <c r="M317" s="1">
        <f t="shared" si="25"/>
        <v>2305</v>
      </c>
      <c r="N317" s="107" t="e">
        <f ca="1">OFFSET(npc_level_config!$T$1,MATCH(M317,npc_level_config!A:A,0)-1,0)</f>
        <v>#VALUE!</v>
      </c>
      <c r="O317" s="107" t="e">
        <f ca="1" t="shared" si="21"/>
        <v>#VALUE!</v>
      </c>
      <c r="P317" s="106"/>
      <c r="R317" s="3" t="e">
        <f ca="1">OFFSET(battle_group!$C$1,MATCH(P317,battle_group!E:E,0)-1,0)</f>
        <v>#N/A</v>
      </c>
      <c r="T317" s="1">
        <v>130024</v>
      </c>
    </row>
    <row r="318" ht="15.75" spans="1:20">
      <c r="A318" s="1">
        <v>6016</v>
      </c>
      <c r="B318" s="1" t="s">
        <v>1820</v>
      </c>
      <c r="C318" s="1" t="s">
        <v>2009</v>
      </c>
      <c r="D318" s="1" t="s">
        <v>1820</v>
      </c>
      <c r="E318" s="213">
        <f ca="1">OFFSET(model!$A$1,MATCH(D318,model!B:B,0)-1,0)</f>
        <v>78</v>
      </c>
      <c r="G318" s="223" t="s">
        <v>1822</v>
      </c>
      <c r="H318" s="223" t="s">
        <v>1993</v>
      </c>
      <c r="I318" s="223" t="s">
        <v>1937</v>
      </c>
      <c r="J318" s="223" t="s">
        <v>1994</v>
      </c>
      <c r="K318" s="1">
        <v>2</v>
      </c>
      <c r="L318" s="1">
        <v>306</v>
      </c>
      <c r="M318" s="1">
        <f t="shared" si="25"/>
        <v>2306</v>
      </c>
      <c r="N318" s="107" t="e">
        <f ca="1">OFFSET(npc_level_config!$T$1,MATCH(M318,npc_level_config!A:A,0)-1,0)</f>
        <v>#VALUE!</v>
      </c>
      <c r="O318" s="107" t="e">
        <f ca="1" t="shared" si="21"/>
        <v>#VALUE!</v>
      </c>
      <c r="P318" s="106"/>
      <c r="R318" s="3" t="e">
        <f ca="1">OFFSET(battle_group!$C$1,MATCH(P318,battle_group!E:E,0)-1,0)</f>
        <v>#N/A</v>
      </c>
      <c r="T318" s="1">
        <v>130024</v>
      </c>
    </row>
    <row r="319" ht="15.75" spans="1:20">
      <c r="A319" s="1">
        <v>6017</v>
      </c>
      <c r="B319" s="1" t="s">
        <v>1820</v>
      </c>
      <c r="C319" s="1" t="s">
        <v>2010</v>
      </c>
      <c r="D319" s="1" t="s">
        <v>1820</v>
      </c>
      <c r="E319" s="213">
        <f ca="1">OFFSET(model!$A$1,MATCH(D319,model!B:B,0)-1,0)</f>
        <v>78</v>
      </c>
      <c r="G319" s="223" t="s">
        <v>1822</v>
      </c>
      <c r="H319" s="223" t="s">
        <v>1993</v>
      </c>
      <c r="I319" s="223" t="s">
        <v>1937</v>
      </c>
      <c r="J319" s="223" t="s">
        <v>1994</v>
      </c>
      <c r="K319" s="1">
        <v>2</v>
      </c>
      <c r="L319" s="1">
        <v>307</v>
      </c>
      <c r="M319" s="1">
        <f t="shared" si="25"/>
        <v>2307</v>
      </c>
      <c r="N319" s="107" t="e">
        <f ca="1">OFFSET(npc_level_config!$T$1,MATCH(M319,npc_level_config!A:A,0)-1,0)</f>
        <v>#VALUE!</v>
      </c>
      <c r="O319" s="107" t="e">
        <f ca="1" t="shared" si="21"/>
        <v>#VALUE!</v>
      </c>
      <c r="P319" s="106"/>
      <c r="R319" s="3" t="e">
        <f ca="1">OFFSET(battle_group!$C$1,MATCH(P319,battle_group!E:E,0)-1,0)</f>
        <v>#N/A</v>
      </c>
      <c r="T319" s="1">
        <v>130024</v>
      </c>
    </row>
    <row r="320" ht="15.75" spans="1:20">
      <c r="A320" s="1">
        <v>6018</v>
      </c>
      <c r="B320" s="1" t="s">
        <v>1820</v>
      </c>
      <c r="C320" s="1" t="s">
        <v>2011</v>
      </c>
      <c r="D320" s="1" t="s">
        <v>1820</v>
      </c>
      <c r="E320" s="213">
        <f ca="1">OFFSET(model!$A$1,MATCH(D320,model!B:B,0)-1,0)</f>
        <v>78</v>
      </c>
      <c r="G320" s="223" t="s">
        <v>1822</v>
      </c>
      <c r="H320" s="223" t="s">
        <v>1993</v>
      </c>
      <c r="I320" s="223" t="s">
        <v>1937</v>
      </c>
      <c r="J320" s="223" t="s">
        <v>1994</v>
      </c>
      <c r="K320" s="1">
        <v>2</v>
      </c>
      <c r="L320" s="1">
        <v>308</v>
      </c>
      <c r="M320" s="1">
        <f t="shared" si="25"/>
        <v>2308</v>
      </c>
      <c r="N320" s="107" t="e">
        <f ca="1">OFFSET(npc_level_config!$T$1,MATCH(M320,npc_level_config!A:A,0)-1,0)</f>
        <v>#VALUE!</v>
      </c>
      <c r="O320" s="107" t="e">
        <f ca="1" t="shared" si="21"/>
        <v>#VALUE!</v>
      </c>
      <c r="P320" s="106"/>
      <c r="R320" s="3" t="e">
        <f ca="1">OFFSET(battle_group!$C$1,MATCH(P320,battle_group!E:E,0)-1,0)</f>
        <v>#N/A</v>
      </c>
      <c r="T320" s="1">
        <v>130024</v>
      </c>
    </row>
    <row r="321" ht="15.75" spans="1:20">
      <c r="A321" s="1">
        <v>6019</v>
      </c>
      <c r="B321" s="1" t="s">
        <v>1820</v>
      </c>
      <c r="C321" s="1" t="s">
        <v>2012</v>
      </c>
      <c r="D321" s="1" t="s">
        <v>1820</v>
      </c>
      <c r="E321" s="213">
        <f ca="1">OFFSET(model!$A$1,MATCH(D321,model!B:B,0)-1,0)</f>
        <v>78</v>
      </c>
      <c r="G321" s="223" t="s">
        <v>1822</v>
      </c>
      <c r="H321" s="223" t="s">
        <v>1993</v>
      </c>
      <c r="I321" s="223" t="s">
        <v>1937</v>
      </c>
      <c r="J321" s="223" t="s">
        <v>1994</v>
      </c>
      <c r="K321" s="1">
        <v>2</v>
      </c>
      <c r="L321" s="1">
        <v>309</v>
      </c>
      <c r="M321" s="1">
        <f t="shared" si="25"/>
        <v>2309</v>
      </c>
      <c r="N321" s="107" t="e">
        <f ca="1">OFFSET(npc_level_config!$T$1,MATCH(M321,npc_level_config!A:A,0)-1,0)</f>
        <v>#VALUE!</v>
      </c>
      <c r="O321" s="107" t="e">
        <f ca="1" t="shared" si="21"/>
        <v>#VALUE!</v>
      </c>
      <c r="P321" s="106"/>
      <c r="R321" s="3" t="e">
        <f ca="1">OFFSET(battle_group!$C$1,MATCH(P321,battle_group!E:E,0)-1,0)</f>
        <v>#N/A</v>
      </c>
      <c r="T321" s="1">
        <v>130024</v>
      </c>
    </row>
    <row r="322" ht="15.75" spans="1:20">
      <c r="A322" s="1">
        <v>6020</v>
      </c>
      <c r="B322" s="1" t="s">
        <v>1820</v>
      </c>
      <c r="C322" s="1" t="s">
        <v>2013</v>
      </c>
      <c r="D322" s="1" t="s">
        <v>1820</v>
      </c>
      <c r="E322" s="213">
        <f ca="1">OFFSET(model!$A$1,MATCH(D322,model!B:B,0)-1,0)</f>
        <v>78</v>
      </c>
      <c r="G322" s="223" t="s">
        <v>1822</v>
      </c>
      <c r="H322" s="223" t="s">
        <v>1993</v>
      </c>
      <c r="I322" s="223" t="s">
        <v>1937</v>
      </c>
      <c r="J322" s="223" t="s">
        <v>1994</v>
      </c>
      <c r="K322" s="1">
        <v>2</v>
      </c>
      <c r="L322" s="1">
        <v>310</v>
      </c>
      <c r="M322" s="1">
        <f t="shared" si="25"/>
        <v>2310</v>
      </c>
      <c r="N322" s="107" t="e">
        <f ca="1">OFFSET(npc_level_config!$T$1,MATCH(M322,npc_level_config!A:A,0)-1,0)</f>
        <v>#VALUE!</v>
      </c>
      <c r="O322" s="107" t="e">
        <f ca="1" t="shared" si="21"/>
        <v>#VALUE!</v>
      </c>
      <c r="P322" s="106"/>
      <c r="R322" s="3" t="e">
        <f ca="1">OFFSET(battle_group!$C$1,MATCH(P322,battle_group!E:E,0)-1,0)</f>
        <v>#N/A</v>
      </c>
      <c r="T322" s="1">
        <v>130024</v>
      </c>
    </row>
    <row r="323" ht="15.75" spans="1:20">
      <c r="A323" s="1">
        <v>6021</v>
      </c>
      <c r="B323" s="1" t="s">
        <v>1820</v>
      </c>
      <c r="C323" s="1" t="s">
        <v>2014</v>
      </c>
      <c r="D323" s="1" t="s">
        <v>1820</v>
      </c>
      <c r="E323" s="213">
        <f ca="1">OFFSET(model!$A$1,MATCH(D323,model!B:B,0)-1,0)</f>
        <v>78</v>
      </c>
      <c r="G323" s="223" t="s">
        <v>1822</v>
      </c>
      <c r="H323" s="223" t="s">
        <v>1993</v>
      </c>
      <c r="I323" s="223" t="s">
        <v>1937</v>
      </c>
      <c r="J323" s="223" t="s">
        <v>1994</v>
      </c>
      <c r="K323" s="1">
        <v>3</v>
      </c>
      <c r="L323" s="1">
        <v>301</v>
      </c>
      <c r="M323" s="1">
        <f t="shared" si="25"/>
        <v>3301</v>
      </c>
      <c r="N323" s="107" t="e">
        <f ca="1">OFFSET(npc_level_config!$T$1,MATCH(M323,npc_level_config!A:A,0)-1,0)</f>
        <v>#VALUE!</v>
      </c>
      <c r="O323" s="107" t="e">
        <f ca="1" t="shared" si="21"/>
        <v>#VALUE!</v>
      </c>
      <c r="P323" s="106"/>
      <c r="R323" s="3" t="e">
        <f ca="1">OFFSET(battle_group!$C$1,MATCH(P323,battle_group!E:E,0)-1,0)</f>
        <v>#N/A</v>
      </c>
      <c r="T323" s="1">
        <v>130024</v>
      </c>
    </row>
    <row r="324" ht="15.75" spans="1:20">
      <c r="A324" s="1">
        <v>6022</v>
      </c>
      <c r="B324" s="1" t="s">
        <v>1820</v>
      </c>
      <c r="C324" s="1" t="s">
        <v>2015</v>
      </c>
      <c r="D324" s="1" t="s">
        <v>1820</v>
      </c>
      <c r="E324" s="213">
        <f ca="1">OFFSET(model!$A$1,MATCH(D324,model!B:B,0)-1,0)</f>
        <v>78</v>
      </c>
      <c r="G324" s="223" t="s">
        <v>1822</v>
      </c>
      <c r="H324" s="223" t="s">
        <v>1993</v>
      </c>
      <c r="I324" s="223" t="s">
        <v>1937</v>
      </c>
      <c r="J324" s="223" t="s">
        <v>1994</v>
      </c>
      <c r="K324" s="1">
        <v>3</v>
      </c>
      <c r="L324" s="1">
        <v>302</v>
      </c>
      <c r="M324" s="1">
        <f t="shared" si="25"/>
        <v>3302</v>
      </c>
      <c r="N324" s="107" t="e">
        <f ca="1">OFFSET(npc_level_config!$T$1,MATCH(M324,npc_level_config!A:A,0)-1,0)</f>
        <v>#VALUE!</v>
      </c>
      <c r="O324" s="107" t="e">
        <f ca="1" t="shared" si="21"/>
        <v>#VALUE!</v>
      </c>
      <c r="P324" s="106"/>
      <c r="R324" s="3" t="e">
        <f ca="1">OFFSET(battle_group!$C$1,MATCH(P324,battle_group!E:E,0)-1,0)</f>
        <v>#N/A</v>
      </c>
      <c r="T324" s="1">
        <v>130024</v>
      </c>
    </row>
    <row r="325" ht="15.75" spans="1:20">
      <c r="A325" s="1">
        <v>6023</v>
      </c>
      <c r="B325" s="1" t="s">
        <v>1820</v>
      </c>
      <c r="C325" s="1" t="s">
        <v>2016</v>
      </c>
      <c r="D325" s="1" t="s">
        <v>1820</v>
      </c>
      <c r="E325" s="213">
        <f ca="1">OFFSET(model!$A$1,MATCH(D325,model!B:B,0)-1,0)</f>
        <v>78</v>
      </c>
      <c r="G325" s="223" t="s">
        <v>1822</v>
      </c>
      <c r="H325" s="223" t="s">
        <v>1993</v>
      </c>
      <c r="I325" s="223" t="s">
        <v>1937</v>
      </c>
      <c r="J325" s="223" t="s">
        <v>1994</v>
      </c>
      <c r="K325" s="1">
        <v>3</v>
      </c>
      <c r="L325" s="1">
        <v>303</v>
      </c>
      <c r="M325" s="1">
        <f t="shared" si="25"/>
        <v>3303</v>
      </c>
      <c r="N325" s="107" t="e">
        <f ca="1">OFFSET(npc_level_config!$T$1,MATCH(M325,npc_level_config!A:A,0)-1,0)</f>
        <v>#VALUE!</v>
      </c>
      <c r="O325" s="107" t="e">
        <f ca="1" t="shared" si="21"/>
        <v>#VALUE!</v>
      </c>
      <c r="P325" s="106"/>
      <c r="R325" s="3" t="e">
        <f ca="1">OFFSET(battle_group!$C$1,MATCH(P325,battle_group!E:E,0)-1,0)</f>
        <v>#N/A</v>
      </c>
      <c r="T325" s="1">
        <v>130024</v>
      </c>
    </row>
    <row r="326" ht="15.75" spans="1:20">
      <c r="A326" s="1">
        <v>6024</v>
      </c>
      <c r="B326" s="1" t="s">
        <v>1820</v>
      </c>
      <c r="C326" s="1" t="s">
        <v>2017</v>
      </c>
      <c r="D326" s="1" t="s">
        <v>1820</v>
      </c>
      <c r="E326" s="213">
        <f ca="1">OFFSET(model!$A$1,MATCH(D326,model!B:B,0)-1,0)</f>
        <v>78</v>
      </c>
      <c r="G326" s="223" t="s">
        <v>1822</v>
      </c>
      <c r="H326" s="223" t="s">
        <v>1993</v>
      </c>
      <c r="I326" s="223" t="s">
        <v>1937</v>
      </c>
      <c r="J326" s="223" t="s">
        <v>1994</v>
      </c>
      <c r="K326" s="1">
        <v>3</v>
      </c>
      <c r="L326" s="1">
        <v>304</v>
      </c>
      <c r="M326" s="1">
        <f t="shared" si="25"/>
        <v>3304</v>
      </c>
      <c r="N326" s="107" t="e">
        <f ca="1">OFFSET(npc_level_config!$T$1,MATCH(M326,npc_level_config!A:A,0)-1,0)</f>
        <v>#VALUE!</v>
      </c>
      <c r="O326" s="107" t="e">
        <f ca="1" t="shared" si="21"/>
        <v>#VALUE!</v>
      </c>
      <c r="P326" s="106"/>
      <c r="R326" s="3" t="e">
        <f ca="1">OFFSET(battle_group!$C$1,MATCH(P326,battle_group!E:E,0)-1,0)</f>
        <v>#N/A</v>
      </c>
      <c r="T326" s="1">
        <v>130024</v>
      </c>
    </row>
    <row r="327" ht="15.75" spans="1:20">
      <c r="A327" s="1">
        <v>6025</v>
      </c>
      <c r="B327" s="1" t="s">
        <v>1820</v>
      </c>
      <c r="C327" s="1" t="s">
        <v>2018</v>
      </c>
      <c r="D327" s="1" t="s">
        <v>1820</v>
      </c>
      <c r="E327" s="213">
        <f ca="1">OFFSET(model!$A$1,MATCH(D327,model!B:B,0)-1,0)</f>
        <v>78</v>
      </c>
      <c r="G327" s="223" t="s">
        <v>1822</v>
      </c>
      <c r="H327" s="223" t="s">
        <v>1993</v>
      </c>
      <c r="I327" s="223" t="s">
        <v>1937</v>
      </c>
      <c r="J327" s="223" t="s">
        <v>1994</v>
      </c>
      <c r="K327" s="1">
        <v>3</v>
      </c>
      <c r="L327" s="1">
        <v>305</v>
      </c>
      <c r="M327" s="1">
        <f t="shared" si="25"/>
        <v>3305</v>
      </c>
      <c r="N327" s="107" t="e">
        <f ca="1">OFFSET(npc_level_config!$T$1,MATCH(M327,npc_level_config!A:A,0)-1,0)</f>
        <v>#VALUE!</v>
      </c>
      <c r="O327" s="107" t="e">
        <f ca="1" t="shared" si="21"/>
        <v>#VALUE!</v>
      </c>
      <c r="P327" s="106"/>
      <c r="R327" s="3" t="e">
        <f ca="1">OFFSET(battle_group!$C$1,MATCH(P327,battle_group!E:E,0)-1,0)</f>
        <v>#N/A</v>
      </c>
      <c r="T327" s="1">
        <v>130024</v>
      </c>
    </row>
    <row r="328" ht="15.75" spans="1:20">
      <c r="A328" s="1">
        <v>6026</v>
      </c>
      <c r="B328" s="1" t="s">
        <v>1820</v>
      </c>
      <c r="C328" s="1" t="s">
        <v>2019</v>
      </c>
      <c r="D328" s="1" t="s">
        <v>1820</v>
      </c>
      <c r="E328" s="213">
        <f ca="1">OFFSET(model!$A$1,MATCH(D328,model!B:B,0)-1,0)</f>
        <v>78</v>
      </c>
      <c r="G328" s="223" t="s">
        <v>1822</v>
      </c>
      <c r="H328" s="223" t="s">
        <v>1993</v>
      </c>
      <c r="I328" s="223" t="s">
        <v>1937</v>
      </c>
      <c r="J328" s="223" t="s">
        <v>1994</v>
      </c>
      <c r="K328" s="1">
        <v>3</v>
      </c>
      <c r="L328" s="1">
        <v>306</v>
      </c>
      <c r="M328" s="1">
        <f t="shared" si="25"/>
        <v>3306</v>
      </c>
      <c r="N328" s="107" t="e">
        <f ca="1">OFFSET(npc_level_config!$T$1,MATCH(M328,npc_level_config!A:A,0)-1,0)</f>
        <v>#VALUE!</v>
      </c>
      <c r="O328" s="107" t="e">
        <f ca="1" t="shared" si="21"/>
        <v>#VALUE!</v>
      </c>
      <c r="P328" s="106"/>
      <c r="R328" s="3" t="e">
        <f ca="1">OFFSET(battle_group!$C$1,MATCH(P328,battle_group!E:E,0)-1,0)</f>
        <v>#N/A</v>
      </c>
      <c r="T328" s="1">
        <v>130024</v>
      </c>
    </row>
    <row r="329" ht="15.75" spans="1:20">
      <c r="A329" s="1">
        <v>6027</v>
      </c>
      <c r="B329" s="1" t="s">
        <v>1820</v>
      </c>
      <c r="C329" s="1" t="s">
        <v>2020</v>
      </c>
      <c r="D329" s="1" t="s">
        <v>1820</v>
      </c>
      <c r="E329" s="213">
        <f ca="1">OFFSET(model!$A$1,MATCH(D329,model!B:B,0)-1,0)</f>
        <v>78</v>
      </c>
      <c r="G329" s="223" t="s">
        <v>1822</v>
      </c>
      <c r="H329" s="223" t="s">
        <v>1993</v>
      </c>
      <c r="I329" s="223" t="s">
        <v>1937</v>
      </c>
      <c r="J329" s="223" t="s">
        <v>1994</v>
      </c>
      <c r="K329" s="1">
        <v>3</v>
      </c>
      <c r="L329" s="1">
        <v>307</v>
      </c>
      <c r="M329" s="1">
        <f t="shared" si="25"/>
        <v>3307</v>
      </c>
      <c r="N329" s="107" t="e">
        <f ca="1">OFFSET(npc_level_config!$T$1,MATCH(M329,npc_level_config!A:A,0)-1,0)</f>
        <v>#VALUE!</v>
      </c>
      <c r="O329" s="107" t="e">
        <f ca="1" t="shared" si="21"/>
        <v>#VALUE!</v>
      </c>
      <c r="P329" s="106"/>
      <c r="R329" s="3" t="e">
        <f ca="1">OFFSET(battle_group!$C$1,MATCH(P329,battle_group!E:E,0)-1,0)</f>
        <v>#N/A</v>
      </c>
      <c r="T329" s="1">
        <v>130024</v>
      </c>
    </row>
    <row r="330" ht="15.75" spans="1:20">
      <c r="A330" s="1">
        <v>6028</v>
      </c>
      <c r="B330" s="1" t="s">
        <v>1820</v>
      </c>
      <c r="C330" s="1" t="s">
        <v>2021</v>
      </c>
      <c r="D330" s="1" t="s">
        <v>1820</v>
      </c>
      <c r="E330" s="213">
        <f ca="1">OFFSET(model!$A$1,MATCH(D330,model!B:B,0)-1,0)</f>
        <v>78</v>
      </c>
      <c r="G330" s="223" t="s">
        <v>1822</v>
      </c>
      <c r="H330" s="223" t="s">
        <v>1993</v>
      </c>
      <c r="I330" s="223" t="s">
        <v>1937</v>
      </c>
      <c r="J330" s="223" t="s">
        <v>1994</v>
      </c>
      <c r="K330" s="1">
        <v>3</v>
      </c>
      <c r="L330" s="1">
        <v>308</v>
      </c>
      <c r="M330" s="1">
        <f t="shared" si="25"/>
        <v>3308</v>
      </c>
      <c r="N330" s="107" t="e">
        <f ca="1">OFFSET(npc_level_config!$T$1,MATCH(M330,npc_level_config!A:A,0)-1,0)</f>
        <v>#VALUE!</v>
      </c>
      <c r="O330" s="107" t="e">
        <f ca="1" t="shared" si="21"/>
        <v>#VALUE!</v>
      </c>
      <c r="P330" s="106"/>
      <c r="R330" s="3" t="e">
        <f ca="1">OFFSET(battle_group!$C$1,MATCH(P330,battle_group!E:E,0)-1,0)</f>
        <v>#N/A</v>
      </c>
      <c r="T330" s="1">
        <v>130024</v>
      </c>
    </row>
    <row r="331" ht="15.75" spans="1:20">
      <c r="A331" s="1">
        <v>6029</v>
      </c>
      <c r="B331" s="1" t="s">
        <v>1820</v>
      </c>
      <c r="C331" s="1" t="s">
        <v>2022</v>
      </c>
      <c r="D331" s="1" t="s">
        <v>1820</v>
      </c>
      <c r="E331" s="213">
        <f ca="1">OFFSET(model!$A$1,MATCH(D331,model!B:B,0)-1,0)</f>
        <v>78</v>
      </c>
      <c r="G331" s="223" t="s">
        <v>1822</v>
      </c>
      <c r="H331" s="223" t="s">
        <v>1993</v>
      </c>
      <c r="I331" s="223" t="s">
        <v>1937</v>
      </c>
      <c r="J331" s="223" t="s">
        <v>1994</v>
      </c>
      <c r="K331" s="1">
        <v>3</v>
      </c>
      <c r="L331" s="1">
        <v>309</v>
      </c>
      <c r="M331" s="1">
        <f t="shared" si="25"/>
        <v>3309</v>
      </c>
      <c r="N331" s="107" t="e">
        <f ca="1">OFFSET(npc_level_config!$T$1,MATCH(M331,npc_level_config!A:A,0)-1,0)</f>
        <v>#VALUE!</v>
      </c>
      <c r="O331" s="107" t="e">
        <f ca="1" t="shared" si="21"/>
        <v>#VALUE!</v>
      </c>
      <c r="P331" s="106"/>
      <c r="R331" s="3" t="e">
        <f ca="1">OFFSET(battle_group!$C$1,MATCH(P331,battle_group!E:E,0)-1,0)</f>
        <v>#N/A</v>
      </c>
      <c r="T331" s="1">
        <v>130024</v>
      </c>
    </row>
    <row r="332" ht="15.75" spans="1:20">
      <c r="A332" s="1">
        <v>6030</v>
      </c>
      <c r="B332" s="1" t="s">
        <v>1820</v>
      </c>
      <c r="C332" s="1" t="s">
        <v>2023</v>
      </c>
      <c r="D332" s="1" t="s">
        <v>1820</v>
      </c>
      <c r="E332" s="213">
        <f ca="1">OFFSET(model!$A$1,MATCH(D332,model!B:B,0)-1,0)</f>
        <v>78</v>
      </c>
      <c r="G332" s="223" t="s">
        <v>1822</v>
      </c>
      <c r="H332" s="223" t="s">
        <v>1993</v>
      </c>
      <c r="I332" s="223" t="s">
        <v>1937</v>
      </c>
      <c r="J332" s="223" t="s">
        <v>1994</v>
      </c>
      <c r="K332" s="1">
        <v>3</v>
      </c>
      <c r="L332" s="1">
        <v>310</v>
      </c>
      <c r="M332" s="1">
        <f t="shared" si="25"/>
        <v>3310</v>
      </c>
      <c r="N332" s="107" t="e">
        <f ca="1">OFFSET(npc_level_config!$T$1,MATCH(M332,npc_level_config!A:A,0)-1,0)</f>
        <v>#VALUE!</v>
      </c>
      <c r="O332" s="107" t="e">
        <f ca="1" t="shared" si="21"/>
        <v>#VALUE!</v>
      </c>
      <c r="P332" s="106"/>
      <c r="R332" s="3" t="e">
        <f ca="1">OFFSET(battle_group!$C$1,MATCH(P332,battle_group!E:E,0)-1,0)</f>
        <v>#N/A</v>
      </c>
      <c r="T332" s="1">
        <v>130024</v>
      </c>
    </row>
    <row r="333" ht="15.75" spans="1:20">
      <c r="A333" s="1">
        <v>6031</v>
      </c>
      <c r="B333" s="1" t="s">
        <v>1820</v>
      </c>
      <c r="C333" s="1" t="s">
        <v>2024</v>
      </c>
      <c r="D333" s="1" t="s">
        <v>1820</v>
      </c>
      <c r="E333" s="213">
        <f ca="1">OFFSET(model!$A$1,MATCH(D333,model!B:B,0)-1,0)</f>
        <v>78</v>
      </c>
      <c r="G333" s="223" t="s">
        <v>1822</v>
      </c>
      <c r="H333" s="223" t="s">
        <v>1993</v>
      </c>
      <c r="I333" s="223" t="s">
        <v>1937</v>
      </c>
      <c r="J333" s="223" t="s">
        <v>1994</v>
      </c>
      <c r="K333" s="1">
        <v>3</v>
      </c>
      <c r="L333" s="1">
        <v>301</v>
      </c>
      <c r="M333" s="1">
        <f t="shared" si="25"/>
        <v>3301</v>
      </c>
      <c r="N333" s="107" t="e">
        <f ca="1">OFFSET(npc_level_config!$T$1,MATCH(M333,npc_level_config!A:A,0)-1,0)</f>
        <v>#VALUE!</v>
      </c>
      <c r="O333" s="107" t="e">
        <f ca="1" t="shared" si="21"/>
        <v>#VALUE!</v>
      </c>
      <c r="P333" s="106"/>
      <c r="R333" s="3" t="e">
        <f ca="1">OFFSET(battle_group!$C$1,MATCH(P333,battle_group!E:E,0)-1,0)</f>
        <v>#N/A</v>
      </c>
      <c r="T333" s="1">
        <v>130024</v>
      </c>
    </row>
    <row r="334" ht="15.75" spans="1:20">
      <c r="A334" s="1">
        <v>6032</v>
      </c>
      <c r="B334" s="1" t="s">
        <v>1820</v>
      </c>
      <c r="C334" s="1" t="s">
        <v>2025</v>
      </c>
      <c r="D334" s="1" t="s">
        <v>1820</v>
      </c>
      <c r="E334" s="213">
        <f ca="1">OFFSET(model!$A$1,MATCH(D334,model!B:B,0)-1,0)</f>
        <v>78</v>
      </c>
      <c r="G334" s="223" t="s">
        <v>1822</v>
      </c>
      <c r="H334" s="223" t="s">
        <v>1993</v>
      </c>
      <c r="I334" s="223" t="s">
        <v>1937</v>
      </c>
      <c r="J334" s="223" t="s">
        <v>1994</v>
      </c>
      <c r="K334" s="1">
        <v>3</v>
      </c>
      <c r="L334" s="1">
        <v>302</v>
      </c>
      <c r="M334" s="1">
        <f t="shared" si="25"/>
        <v>3302</v>
      </c>
      <c r="N334" s="107" t="e">
        <f ca="1">OFFSET(npc_level_config!$T$1,MATCH(M334,npc_level_config!A:A,0)-1,0)</f>
        <v>#VALUE!</v>
      </c>
      <c r="O334" s="107" t="e">
        <f ca="1" t="shared" si="21"/>
        <v>#VALUE!</v>
      </c>
      <c r="P334" s="106"/>
      <c r="R334" s="3" t="e">
        <f ca="1">OFFSET(battle_group!$C$1,MATCH(P334,battle_group!E:E,0)-1,0)</f>
        <v>#N/A</v>
      </c>
      <c r="T334" s="1">
        <v>130024</v>
      </c>
    </row>
    <row r="335" ht="15.75" spans="1:20">
      <c r="A335" s="1">
        <v>6033</v>
      </c>
      <c r="B335" s="1" t="s">
        <v>1820</v>
      </c>
      <c r="C335" s="1" t="s">
        <v>2026</v>
      </c>
      <c r="D335" s="1" t="s">
        <v>1820</v>
      </c>
      <c r="E335" s="213">
        <f ca="1">OFFSET(model!$A$1,MATCH(D335,model!B:B,0)-1,0)</f>
        <v>78</v>
      </c>
      <c r="G335" s="223" t="s">
        <v>1822</v>
      </c>
      <c r="H335" s="223" t="s">
        <v>1993</v>
      </c>
      <c r="I335" s="223" t="s">
        <v>1937</v>
      </c>
      <c r="J335" s="223" t="s">
        <v>1994</v>
      </c>
      <c r="K335" s="1">
        <v>3</v>
      </c>
      <c r="L335" s="1">
        <v>303</v>
      </c>
      <c r="M335" s="1">
        <f t="shared" si="25"/>
        <v>3303</v>
      </c>
      <c r="N335" s="107" t="e">
        <f ca="1">OFFSET(npc_level_config!$T$1,MATCH(M335,npc_level_config!A:A,0)-1,0)</f>
        <v>#VALUE!</v>
      </c>
      <c r="O335" s="107" t="e">
        <f ca="1" t="shared" si="21"/>
        <v>#VALUE!</v>
      </c>
      <c r="P335" s="106"/>
      <c r="R335" s="3" t="e">
        <f ca="1">OFFSET(battle_group!$C$1,MATCH(P335,battle_group!E:E,0)-1,0)</f>
        <v>#N/A</v>
      </c>
      <c r="T335" s="1">
        <v>130024</v>
      </c>
    </row>
    <row r="336" ht="15.75" spans="1:20">
      <c r="A336" s="1">
        <v>6034</v>
      </c>
      <c r="B336" s="1" t="s">
        <v>1820</v>
      </c>
      <c r="C336" s="1" t="s">
        <v>2027</v>
      </c>
      <c r="D336" s="1" t="s">
        <v>1820</v>
      </c>
      <c r="E336" s="213">
        <f ca="1">OFFSET(model!$A$1,MATCH(D336,model!B:B,0)-1,0)</f>
        <v>78</v>
      </c>
      <c r="G336" s="223" t="s">
        <v>1822</v>
      </c>
      <c r="H336" s="223" t="s">
        <v>1993</v>
      </c>
      <c r="I336" s="223" t="s">
        <v>1937</v>
      </c>
      <c r="J336" s="223" t="s">
        <v>1994</v>
      </c>
      <c r="K336" s="1">
        <v>3</v>
      </c>
      <c r="L336" s="1">
        <v>304</v>
      </c>
      <c r="M336" s="1">
        <f t="shared" si="25"/>
        <v>3304</v>
      </c>
      <c r="N336" s="107" t="e">
        <f ca="1">OFFSET(npc_level_config!$T$1,MATCH(M336,npc_level_config!A:A,0)-1,0)</f>
        <v>#VALUE!</v>
      </c>
      <c r="O336" s="107" t="e">
        <f ca="1" t="shared" si="21"/>
        <v>#VALUE!</v>
      </c>
      <c r="P336" s="106"/>
      <c r="R336" s="3" t="e">
        <f ca="1">OFFSET(battle_group!$C$1,MATCH(P336,battle_group!E:E,0)-1,0)</f>
        <v>#N/A</v>
      </c>
      <c r="T336" s="1">
        <v>130024</v>
      </c>
    </row>
    <row r="337" ht="15.75" spans="1:20">
      <c r="A337" s="1">
        <v>6035</v>
      </c>
      <c r="B337" s="1" t="s">
        <v>1820</v>
      </c>
      <c r="C337" s="1" t="s">
        <v>2028</v>
      </c>
      <c r="D337" s="1" t="s">
        <v>1820</v>
      </c>
      <c r="E337" s="213">
        <f ca="1">OFFSET(model!$A$1,MATCH(D337,model!B:B,0)-1,0)</f>
        <v>78</v>
      </c>
      <c r="G337" s="223" t="s">
        <v>1822</v>
      </c>
      <c r="H337" s="223" t="s">
        <v>1993</v>
      </c>
      <c r="I337" s="223" t="s">
        <v>1937</v>
      </c>
      <c r="J337" s="223" t="s">
        <v>1994</v>
      </c>
      <c r="K337" s="1">
        <v>3</v>
      </c>
      <c r="L337" s="1">
        <v>305</v>
      </c>
      <c r="M337" s="1">
        <f t="shared" si="25"/>
        <v>3305</v>
      </c>
      <c r="N337" s="107" t="e">
        <f ca="1">OFFSET(npc_level_config!$T$1,MATCH(M337,npc_level_config!A:A,0)-1,0)</f>
        <v>#VALUE!</v>
      </c>
      <c r="O337" s="107" t="e">
        <f ca="1" t="shared" si="21"/>
        <v>#VALUE!</v>
      </c>
      <c r="P337" s="106"/>
      <c r="R337" s="3" t="e">
        <f ca="1">OFFSET(battle_group!$C$1,MATCH(P337,battle_group!E:E,0)-1,0)</f>
        <v>#N/A</v>
      </c>
      <c r="T337" s="1">
        <v>130024</v>
      </c>
    </row>
    <row r="338" ht="15.75" spans="1:20">
      <c r="A338" s="1">
        <v>6036</v>
      </c>
      <c r="B338" s="1" t="s">
        <v>1820</v>
      </c>
      <c r="C338" s="1" t="s">
        <v>2029</v>
      </c>
      <c r="D338" s="1" t="s">
        <v>1820</v>
      </c>
      <c r="E338" s="213">
        <f ca="1">OFFSET(model!$A$1,MATCH(D338,model!B:B,0)-1,0)</f>
        <v>78</v>
      </c>
      <c r="G338" s="223" t="s">
        <v>1822</v>
      </c>
      <c r="H338" s="223" t="s">
        <v>1993</v>
      </c>
      <c r="I338" s="223" t="s">
        <v>1937</v>
      </c>
      <c r="J338" s="223" t="s">
        <v>1994</v>
      </c>
      <c r="K338" s="1">
        <v>3</v>
      </c>
      <c r="L338" s="1">
        <v>306</v>
      </c>
      <c r="M338" s="1">
        <f t="shared" si="25"/>
        <v>3306</v>
      </c>
      <c r="N338" s="107" t="e">
        <f ca="1">OFFSET(npc_level_config!$T$1,MATCH(M338,npc_level_config!A:A,0)-1,0)</f>
        <v>#VALUE!</v>
      </c>
      <c r="O338" s="107" t="e">
        <f ca="1" t="shared" si="21"/>
        <v>#VALUE!</v>
      </c>
      <c r="P338" s="106"/>
      <c r="R338" s="3" t="e">
        <f ca="1">OFFSET(battle_group!$C$1,MATCH(P338,battle_group!E:E,0)-1,0)</f>
        <v>#N/A</v>
      </c>
      <c r="T338" s="1">
        <v>130024</v>
      </c>
    </row>
    <row r="339" ht="15.75" spans="1:20">
      <c r="A339" s="1">
        <v>6037</v>
      </c>
      <c r="B339" s="1" t="s">
        <v>1820</v>
      </c>
      <c r="C339" s="1" t="s">
        <v>2030</v>
      </c>
      <c r="D339" s="1" t="s">
        <v>1820</v>
      </c>
      <c r="E339" s="213">
        <f ca="1">OFFSET(model!$A$1,MATCH(D339,model!B:B,0)-1,0)</f>
        <v>78</v>
      </c>
      <c r="G339" s="223" t="s">
        <v>1822</v>
      </c>
      <c r="H339" s="223" t="s">
        <v>1993</v>
      </c>
      <c r="I339" s="223" t="s">
        <v>1937</v>
      </c>
      <c r="J339" s="223" t="s">
        <v>1994</v>
      </c>
      <c r="K339" s="1">
        <v>3</v>
      </c>
      <c r="L339" s="1">
        <v>307</v>
      </c>
      <c r="M339" s="1">
        <f t="shared" si="25"/>
        <v>3307</v>
      </c>
      <c r="N339" s="107" t="e">
        <f ca="1">OFFSET(npc_level_config!$T$1,MATCH(M339,npc_level_config!A:A,0)-1,0)</f>
        <v>#VALUE!</v>
      </c>
      <c r="O339" s="107" t="e">
        <f ca="1" t="shared" si="21"/>
        <v>#VALUE!</v>
      </c>
      <c r="P339" s="106"/>
      <c r="R339" s="3" t="e">
        <f ca="1">OFFSET(battle_group!$C$1,MATCH(P339,battle_group!E:E,0)-1,0)</f>
        <v>#N/A</v>
      </c>
      <c r="T339" s="1">
        <v>130024</v>
      </c>
    </row>
    <row r="340" ht="15.75" spans="1:20">
      <c r="A340" s="1">
        <v>6038</v>
      </c>
      <c r="B340" s="1" t="s">
        <v>1820</v>
      </c>
      <c r="C340" s="1" t="s">
        <v>2031</v>
      </c>
      <c r="D340" s="1" t="s">
        <v>1820</v>
      </c>
      <c r="E340" s="213">
        <f ca="1">OFFSET(model!$A$1,MATCH(D340,model!B:B,0)-1,0)</f>
        <v>78</v>
      </c>
      <c r="G340" s="223" t="s">
        <v>1822</v>
      </c>
      <c r="H340" s="223" t="s">
        <v>1993</v>
      </c>
      <c r="I340" s="223" t="s">
        <v>1937</v>
      </c>
      <c r="J340" s="223" t="s">
        <v>1994</v>
      </c>
      <c r="K340" s="1">
        <v>3</v>
      </c>
      <c r="L340" s="1">
        <v>308</v>
      </c>
      <c r="M340" s="1">
        <f t="shared" si="25"/>
        <v>3308</v>
      </c>
      <c r="N340" s="107" t="e">
        <f ca="1">OFFSET(npc_level_config!$T$1,MATCH(M340,npc_level_config!A:A,0)-1,0)</f>
        <v>#VALUE!</v>
      </c>
      <c r="O340" s="107" t="e">
        <f ca="1" t="shared" si="21"/>
        <v>#VALUE!</v>
      </c>
      <c r="P340" s="106"/>
      <c r="R340" s="3" t="e">
        <f ca="1">OFFSET(battle_group!$C$1,MATCH(P340,battle_group!E:E,0)-1,0)</f>
        <v>#N/A</v>
      </c>
      <c r="T340" s="1">
        <v>130024</v>
      </c>
    </row>
    <row r="341" ht="15.75" spans="1:20">
      <c r="A341" s="1">
        <v>6039</v>
      </c>
      <c r="B341" s="1" t="s">
        <v>1820</v>
      </c>
      <c r="C341" s="1" t="s">
        <v>2032</v>
      </c>
      <c r="D341" s="1" t="s">
        <v>1820</v>
      </c>
      <c r="E341" s="213">
        <f ca="1">OFFSET(model!$A$1,MATCH(D341,model!B:B,0)-1,0)</f>
        <v>78</v>
      </c>
      <c r="G341" s="223" t="s">
        <v>1822</v>
      </c>
      <c r="H341" s="223" t="s">
        <v>1993</v>
      </c>
      <c r="I341" s="223" t="s">
        <v>1937</v>
      </c>
      <c r="J341" s="223" t="s">
        <v>1994</v>
      </c>
      <c r="K341" s="1">
        <v>3</v>
      </c>
      <c r="L341" s="1">
        <v>309</v>
      </c>
      <c r="M341" s="1">
        <f t="shared" si="25"/>
        <v>3309</v>
      </c>
      <c r="N341" s="107" t="e">
        <f ca="1">OFFSET(npc_level_config!$T$1,MATCH(M341,npc_level_config!A:A,0)-1,0)</f>
        <v>#VALUE!</v>
      </c>
      <c r="O341" s="107" t="e">
        <f ca="1" t="shared" si="21"/>
        <v>#VALUE!</v>
      </c>
      <c r="P341" s="106"/>
      <c r="R341" s="3" t="e">
        <f ca="1">OFFSET(battle_group!$C$1,MATCH(P341,battle_group!E:E,0)-1,0)</f>
        <v>#N/A</v>
      </c>
      <c r="T341" s="1">
        <v>130024</v>
      </c>
    </row>
    <row r="342" ht="15.75" spans="1:20">
      <c r="A342" s="1">
        <v>6040</v>
      </c>
      <c r="B342" s="1" t="s">
        <v>1820</v>
      </c>
      <c r="C342" s="1" t="s">
        <v>2033</v>
      </c>
      <c r="D342" s="1" t="s">
        <v>1820</v>
      </c>
      <c r="E342" s="213">
        <f ca="1">OFFSET(model!$A$1,MATCH(D342,model!B:B,0)-1,0)</f>
        <v>78</v>
      </c>
      <c r="G342" s="223" t="s">
        <v>1822</v>
      </c>
      <c r="H342" s="223" t="s">
        <v>1993</v>
      </c>
      <c r="I342" s="223" t="s">
        <v>1937</v>
      </c>
      <c r="J342" s="223" t="s">
        <v>1994</v>
      </c>
      <c r="K342" s="1">
        <v>3</v>
      </c>
      <c r="L342" s="1">
        <v>310</v>
      </c>
      <c r="M342" s="1">
        <f t="shared" si="25"/>
        <v>3310</v>
      </c>
      <c r="N342" s="107" t="e">
        <f ca="1">OFFSET(npc_level_config!$T$1,MATCH(M342,npc_level_config!A:A,0)-1,0)</f>
        <v>#VALUE!</v>
      </c>
      <c r="O342" s="107" t="e">
        <f ca="1" t="shared" ref="O342:O367" si="26">ROUND(N342,-1)</f>
        <v>#VALUE!</v>
      </c>
      <c r="P342" s="106"/>
      <c r="R342" s="3" t="e">
        <f ca="1">OFFSET(battle_group!$C$1,MATCH(P342,battle_group!E:E,0)-1,0)</f>
        <v>#N/A</v>
      </c>
      <c r="T342" s="1">
        <v>130024</v>
      </c>
    </row>
    <row r="343" ht="15.75" spans="1:20">
      <c r="A343" s="1">
        <v>6101</v>
      </c>
      <c r="B343" s="1" t="s">
        <v>2034</v>
      </c>
      <c r="C343" s="1" t="s">
        <v>2035</v>
      </c>
      <c r="D343" s="1" t="s">
        <v>2034</v>
      </c>
      <c r="E343" s="213">
        <f ca="1">OFFSET(model!$A$1,MATCH(D343,model!B:B,0)-1,0)</f>
        <v>79</v>
      </c>
      <c r="G343" s="223" t="s">
        <v>2036</v>
      </c>
      <c r="H343" s="223" t="s">
        <v>1993</v>
      </c>
      <c r="I343" s="223" t="s">
        <v>1937</v>
      </c>
      <c r="J343" s="223" t="s">
        <v>2037</v>
      </c>
      <c r="K343" s="1">
        <v>1</v>
      </c>
      <c r="L343" s="1">
        <v>301</v>
      </c>
      <c r="M343" s="1">
        <f t="shared" si="25"/>
        <v>1301</v>
      </c>
      <c r="N343" s="107" t="e">
        <f ca="1">OFFSET(npc_level_config!$T$1,MATCH(M343,npc_level_config!A:A,0)-1,0)</f>
        <v>#VALUE!</v>
      </c>
      <c r="O343" s="107" t="e">
        <f ca="1" t="shared" si="26"/>
        <v>#VALUE!</v>
      </c>
      <c r="P343" s="106"/>
      <c r="R343" s="3" t="e">
        <f ca="1">OFFSET(battle_group!$C$1,MATCH(P343,battle_group!E:E,0)-1,0)</f>
        <v>#N/A</v>
      </c>
      <c r="T343" s="1">
        <v>130025</v>
      </c>
    </row>
    <row r="344" ht="15.75" spans="1:20">
      <c r="A344" s="1">
        <v>6102</v>
      </c>
      <c r="B344" s="1" t="s">
        <v>2034</v>
      </c>
      <c r="C344" s="1" t="s">
        <v>2038</v>
      </c>
      <c r="D344" s="1" t="s">
        <v>2034</v>
      </c>
      <c r="E344" s="213">
        <f ca="1">OFFSET(model!$A$1,MATCH(D344,model!B:B,0)-1,0)</f>
        <v>79</v>
      </c>
      <c r="G344" s="223" t="s">
        <v>2036</v>
      </c>
      <c r="H344" s="223" t="s">
        <v>1993</v>
      </c>
      <c r="I344" s="223" t="s">
        <v>1937</v>
      </c>
      <c r="J344" s="223" t="s">
        <v>2037</v>
      </c>
      <c r="K344" s="1">
        <v>1</v>
      </c>
      <c r="L344" s="1">
        <v>302</v>
      </c>
      <c r="M344" s="1">
        <f t="shared" si="25"/>
        <v>1302</v>
      </c>
      <c r="N344" s="107" t="e">
        <f ca="1">OFFSET(npc_level_config!$T$1,MATCH(M344,npc_level_config!A:A,0)-1,0)</f>
        <v>#VALUE!</v>
      </c>
      <c r="O344" s="107" t="e">
        <f ca="1" t="shared" si="26"/>
        <v>#VALUE!</v>
      </c>
      <c r="P344" s="106"/>
      <c r="R344" s="3" t="e">
        <f ca="1">OFFSET(battle_group!$C$1,MATCH(P344,battle_group!E:E,0)-1,0)</f>
        <v>#N/A</v>
      </c>
      <c r="T344" s="1">
        <v>130025</v>
      </c>
    </row>
    <row r="345" ht="15.75" spans="1:20">
      <c r="A345" s="1">
        <v>6103</v>
      </c>
      <c r="B345" s="1" t="s">
        <v>2034</v>
      </c>
      <c r="C345" s="1" t="s">
        <v>2039</v>
      </c>
      <c r="D345" s="1" t="s">
        <v>2034</v>
      </c>
      <c r="E345" s="213">
        <f ca="1">OFFSET(model!$A$1,MATCH(D345,model!B:B,0)-1,0)</f>
        <v>79</v>
      </c>
      <c r="G345" s="223" t="s">
        <v>2036</v>
      </c>
      <c r="H345" s="223" t="s">
        <v>1993</v>
      </c>
      <c r="I345" s="223" t="s">
        <v>1937</v>
      </c>
      <c r="J345" s="223" t="s">
        <v>2037</v>
      </c>
      <c r="K345" s="1">
        <v>1</v>
      </c>
      <c r="L345" s="1">
        <v>303</v>
      </c>
      <c r="M345" s="1">
        <f t="shared" ref="M345:M383" si="27">K345*1000+L345</f>
        <v>1303</v>
      </c>
      <c r="N345" s="107" t="e">
        <f ca="1">OFFSET(npc_level_config!$T$1,MATCH(M345,npc_level_config!A:A,0)-1,0)</f>
        <v>#VALUE!</v>
      </c>
      <c r="O345" s="107" t="e">
        <f ca="1" t="shared" si="26"/>
        <v>#VALUE!</v>
      </c>
      <c r="P345" s="106"/>
      <c r="R345" s="3" t="e">
        <f ca="1">OFFSET(battle_group!$C$1,MATCH(P345,battle_group!E:E,0)-1,0)</f>
        <v>#N/A</v>
      </c>
      <c r="T345" s="1">
        <v>130025</v>
      </c>
    </row>
    <row r="346" ht="15.75" spans="1:20">
      <c r="A346" s="1">
        <v>6104</v>
      </c>
      <c r="B346" s="1" t="s">
        <v>2034</v>
      </c>
      <c r="C346" s="1" t="s">
        <v>2040</v>
      </c>
      <c r="D346" s="1" t="s">
        <v>2034</v>
      </c>
      <c r="E346" s="213">
        <f ca="1">OFFSET(model!$A$1,MATCH(D346,model!B:B,0)-1,0)</f>
        <v>79</v>
      </c>
      <c r="G346" s="223" t="s">
        <v>2036</v>
      </c>
      <c r="H346" s="223" t="s">
        <v>1993</v>
      </c>
      <c r="I346" s="223" t="s">
        <v>1937</v>
      </c>
      <c r="J346" s="223" t="s">
        <v>2037</v>
      </c>
      <c r="K346" s="1">
        <v>1</v>
      </c>
      <c r="L346" s="1">
        <v>304</v>
      </c>
      <c r="M346" s="1">
        <f t="shared" si="27"/>
        <v>1304</v>
      </c>
      <c r="N346" s="107" t="e">
        <f ca="1">OFFSET(npc_level_config!$T$1,MATCH(M346,npc_level_config!A:A,0)-1,0)</f>
        <v>#VALUE!</v>
      </c>
      <c r="O346" s="107" t="e">
        <f ca="1" t="shared" si="26"/>
        <v>#VALUE!</v>
      </c>
      <c r="P346" s="106"/>
      <c r="R346" s="3" t="e">
        <f ca="1">OFFSET(battle_group!$C$1,MATCH(P346,battle_group!E:E,0)-1,0)</f>
        <v>#N/A</v>
      </c>
      <c r="T346" s="1">
        <v>130025</v>
      </c>
    </row>
    <row r="347" ht="15.75" spans="1:20">
      <c r="A347" s="1">
        <v>6105</v>
      </c>
      <c r="B347" s="1" t="s">
        <v>2034</v>
      </c>
      <c r="C347" s="1" t="s">
        <v>2041</v>
      </c>
      <c r="D347" s="1" t="s">
        <v>2034</v>
      </c>
      <c r="E347" s="213">
        <f ca="1">OFFSET(model!$A$1,MATCH(D347,model!B:B,0)-1,0)</f>
        <v>79</v>
      </c>
      <c r="G347" s="223" t="s">
        <v>2036</v>
      </c>
      <c r="H347" s="223" t="s">
        <v>1993</v>
      </c>
      <c r="I347" s="223" t="s">
        <v>1937</v>
      </c>
      <c r="J347" s="223" t="s">
        <v>2037</v>
      </c>
      <c r="K347" s="1">
        <v>1</v>
      </c>
      <c r="L347" s="1">
        <v>305</v>
      </c>
      <c r="M347" s="1">
        <f t="shared" si="27"/>
        <v>1305</v>
      </c>
      <c r="N347" s="107" t="e">
        <f ca="1">OFFSET(npc_level_config!$T$1,MATCH(M347,npc_level_config!A:A,0)-1,0)</f>
        <v>#VALUE!</v>
      </c>
      <c r="O347" s="107" t="e">
        <f ca="1" t="shared" si="26"/>
        <v>#VALUE!</v>
      </c>
      <c r="P347" s="106"/>
      <c r="R347" s="3" t="e">
        <f ca="1">OFFSET(battle_group!$C$1,MATCH(P347,battle_group!E:E,0)-1,0)</f>
        <v>#N/A</v>
      </c>
      <c r="T347" s="1">
        <v>130025</v>
      </c>
    </row>
    <row r="348" ht="15.75" spans="1:20">
      <c r="A348" s="1">
        <v>6106</v>
      </c>
      <c r="B348" s="1" t="s">
        <v>2034</v>
      </c>
      <c r="C348" s="1" t="s">
        <v>2042</v>
      </c>
      <c r="D348" s="1" t="s">
        <v>2034</v>
      </c>
      <c r="E348" s="213">
        <f ca="1">OFFSET(model!$A$1,MATCH(D348,model!B:B,0)-1,0)</f>
        <v>79</v>
      </c>
      <c r="G348" s="223" t="s">
        <v>2036</v>
      </c>
      <c r="H348" s="223" t="s">
        <v>1993</v>
      </c>
      <c r="I348" s="223" t="s">
        <v>1937</v>
      </c>
      <c r="J348" s="223" t="s">
        <v>2037</v>
      </c>
      <c r="K348" s="1">
        <v>1</v>
      </c>
      <c r="L348" s="1">
        <v>306</v>
      </c>
      <c r="M348" s="1">
        <f t="shared" si="27"/>
        <v>1306</v>
      </c>
      <c r="N348" s="107" t="e">
        <f ca="1">OFFSET(npc_level_config!$T$1,MATCH(M348,npc_level_config!A:A,0)-1,0)</f>
        <v>#VALUE!</v>
      </c>
      <c r="O348" s="107" t="e">
        <f ca="1" t="shared" si="26"/>
        <v>#VALUE!</v>
      </c>
      <c r="P348" s="106"/>
      <c r="R348" s="3" t="e">
        <f ca="1">OFFSET(battle_group!$C$1,MATCH(P348,battle_group!E:E,0)-1,0)</f>
        <v>#N/A</v>
      </c>
      <c r="T348" s="1">
        <v>130025</v>
      </c>
    </row>
    <row r="349" ht="15.75" spans="1:20">
      <c r="A349" s="1">
        <v>6107</v>
      </c>
      <c r="B349" s="1" t="s">
        <v>2034</v>
      </c>
      <c r="C349" s="1" t="s">
        <v>2043</v>
      </c>
      <c r="D349" s="1" t="s">
        <v>2034</v>
      </c>
      <c r="E349" s="213">
        <f ca="1">OFFSET(model!$A$1,MATCH(D349,model!B:B,0)-1,0)</f>
        <v>79</v>
      </c>
      <c r="G349" s="223" t="s">
        <v>2036</v>
      </c>
      <c r="H349" s="223" t="s">
        <v>1993</v>
      </c>
      <c r="I349" s="223" t="s">
        <v>1937</v>
      </c>
      <c r="J349" s="223" t="s">
        <v>2037</v>
      </c>
      <c r="K349" s="1">
        <v>1</v>
      </c>
      <c r="L349" s="1">
        <v>307</v>
      </c>
      <c r="M349" s="1">
        <f t="shared" si="27"/>
        <v>1307</v>
      </c>
      <c r="N349" s="107" t="e">
        <f ca="1">OFFSET(npc_level_config!$T$1,MATCH(M349,npc_level_config!A:A,0)-1,0)</f>
        <v>#VALUE!</v>
      </c>
      <c r="O349" s="107" t="e">
        <f ca="1" t="shared" si="26"/>
        <v>#VALUE!</v>
      </c>
      <c r="P349" s="106"/>
      <c r="R349" s="3" t="e">
        <f ca="1">OFFSET(battle_group!$C$1,MATCH(P349,battle_group!E:E,0)-1,0)</f>
        <v>#N/A</v>
      </c>
      <c r="T349" s="1">
        <v>130025</v>
      </c>
    </row>
    <row r="350" ht="15.75" spans="1:20">
      <c r="A350" s="1">
        <v>6108</v>
      </c>
      <c r="B350" s="1" t="s">
        <v>2034</v>
      </c>
      <c r="C350" s="1" t="s">
        <v>2044</v>
      </c>
      <c r="D350" s="1" t="s">
        <v>2034</v>
      </c>
      <c r="E350" s="213">
        <f ca="1">OFFSET(model!$A$1,MATCH(D350,model!B:B,0)-1,0)</f>
        <v>79</v>
      </c>
      <c r="G350" s="223" t="s">
        <v>2036</v>
      </c>
      <c r="H350" s="223" t="s">
        <v>1993</v>
      </c>
      <c r="I350" s="223" t="s">
        <v>1937</v>
      </c>
      <c r="J350" s="223" t="s">
        <v>2037</v>
      </c>
      <c r="K350" s="1">
        <v>1</v>
      </c>
      <c r="L350" s="1">
        <v>308</v>
      </c>
      <c r="M350" s="1">
        <f t="shared" si="27"/>
        <v>1308</v>
      </c>
      <c r="N350" s="107" t="e">
        <f ca="1">OFFSET(npc_level_config!$T$1,MATCH(M350,npc_level_config!A:A,0)-1,0)</f>
        <v>#VALUE!</v>
      </c>
      <c r="O350" s="107" t="e">
        <f ca="1" t="shared" si="26"/>
        <v>#VALUE!</v>
      </c>
      <c r="P350" s="106"/>
      <c r="R350" s="3" t="e">
        <f ca="1">OFFSET(battle_group!$C$1,MATCH(P350,battle_group!E:E,0)-1,0)</f>
        <v>#N/A</v>
      </c>
      <c r="T350" s="1">
        <v>130025</v>
      </c>
    </row>
    <row r="351" ht="15.75" spans="1:20">
      <c r="A351" s="1">
        <v>6109</v>
      </c>
      <c r="B351" s="1" t="s">
        <v>2034</v>
      </c>
      <c r="C351" s="1" t="s">
        <v>2045</v>
      </c>
      <c r="D351" s="1" t="s">
        <v>2034</v>
      </c>
      <c r="E351" s="213">
        <f ca="1">OFFSET(model!$A$1,MATCH(D351,model!B:B,0)-1,0)</f>
        <v>79</v>
      </c>
      <c r="G351" s="223" t="s">
        <v>2036</v>
      </c>
      <c r="H351" s="223" t="s">
        <v>1993</v>
      </c>
      <c r="I351" s="223" t="s">
        <v>1937</v>
      </c>
      <c r="J351" s="223" t="s">
        <v>2037</v>
      </c>
      <c r="K351" s="1">
        <v>1</v>
      </c>
      <c r="L351" s="1">
        <v>309</v>
      </c>
      <c r="M351" s="1">
        <f t="shared" si="27"/>
        <v>1309</v>
      </c>
      <c r="N351" s="107" t="e">
        <f ca="1">OFFSET(npc_level_config!$T$1,MATCH(M351,npc_level_config!A:A,0)-1,0)</f>
        <v>#VALUE!</v>
      </c>
      <c r="O351" s="107" t="e">
        <f ca="1" t="shared" si="26"/>
        <v>#VALUE!</v>
      </c>
      <c r="P351" s="106"/>
      <c r="R351" s="3" t="e">
        <f ca="1">OFFSET(battle_group!$C$1,MATCH(P351,battle_group!E:E,0)-1,0)</f>
        <v>#N/A</v>
      </c>
      <c r="T351" s="1">
        <v>130025</v>
      </c>
    </row>
    <row r="352" ht="15.75" spans="1:20">
      <c r="A352" s="1">
        <v>6110</v>
      </c>
      <c r="B352" s="1" t="s">
        <v>2034</v>
      </c>
      <c r="C352" s="1" t="s">
        <v>2046</v>
      </c>
      <c r="D352" s="1" t="s">
        <v>2034</v>
      </c>
      <c r="E352" s="213">
        <f ca="1">OFFSET(model!$A$1,MATCH(D352,model!B:B,0)-1,0)</f>
        <v>79</v>
      </c>
      <c r="G352" s="223" t="s">
        <v>2036</v>
      </c>
      <c r="H352" s="223" t="s">
        <v>1993</v>
      </c>
      <c r="I352" s="223" t="s">
        <v>1937</v>
      </c>
      <c r="J352" s="223" t="s">
        <v>2037</v>
      </c>
      <c r="K352" s="1">
        <v>1</v>
      </c>
      <c r="L352" s="1">
        <v>310</v>
      </c>
      <c r="M352" s="1">
        <f t="shared" si="27"/>
        <v>1310</v>
      </c>
      <c r="N352" s="107" t="e">
        <f ca="1">OFFSET(npc_level_config!$T$1,MATCH(M352,npc_level_config!A:A,0)-1,0)</f>
        <v>#VALUE!</v>
      </c>
      <c r="O352" s="107" t="e">
        <f ca="1" t="shared" si="26"/>
        <v>#VALUE!</v>
      </c>
      <c r="P352" s="106"/>
      <c r="R352" s="3" t="e">
        <f ca="1">OFFSET(battle_group!$C$1,MATCH(P352,battle_group!E:E,0)-1,0)</f>
        <v>#N/A</v>
      </c>
      <c r="T352" s="1">
        <v>130025</v>
      </c>
    </row>
    <row r="353" ht="15.75" spans="1:20">
      <c r="A353" s="1">
        <v>6111</v>
      </c>
      <c r="B353" s="1" t="s">
        <v>2034</v>
      </c>
      <c r="C353" s="1" t="s">
        <v>2047</v>
      </c>
      <c r="D353" s="1" t="s">
        <v>2034</v>
      </c>
      <c r="E353" s="213">
        <f ca="1">OFFSET(model!$A$1,MATCH(D353,model!B:B,0)-1,0)</f>
        <v>79</v>
      </c>
      <c r="G353" s="223" t="s">
        <v>2036</v>
      </c>
      <c r="H353" s="223" t="s">
        <v>1993</v>
      </c>
      <c r="I353" s="223" t="s">
        <v>1937</v>
      </c>
      <c r="J353" s="223" t="s">
        <v>2037</v>
      </c>
      <c r="K353" s="1">
        <v>2</v>
      </c>
      <c r="L353" s="1">
        <v>301</v>
      </c>
      <c r="M353" s="1">
        <f t="shared" si="27"/>
        <v>2301</v>
      </c>
      <c r="N353" s="107" t="e">
        <f ca="1">OFFSET(npc_level_config!$T$1,MATCH(M353,npc_level_config!A:A,0)-1,0)</f>
        <v>#VALUE!</v>
      </c>
      <c r="O353" s="107" t="e">
        <f ca="1" t="shared" si="26"/>
        <v>#VALUE!</v>
      </c>
      <c r="P353" s="106"/>
      <c r="R353" s="3" t="e">
        <f ca="1">OFFSET(battle_group!$C$1,MATCH(P353,battle_group!E:E,0)-1,0)</f>
        <v>#N/A</v>
      </c>
      <c r="T353" s="1">
        <v>130025</v>
      </c>
    </row>
    <row r="354" ht="15.75" spans="1:20">
      <c r="A354" s="1">
        <v>6112</v>
      </c>
      <c r="B354" s="1" t="s">
        <v>2034</v>
      </c>
      <c r="C354" s="1" t="s">
        <v>2048</v>
      </c>
      <c r="D354" s="1" t="s">
        <v>2034</v>
      </c>
      <c r="E354" s="213">
        <f ca="1">OFFSET(model!$A$1,MATCH(D354,model!B:B,0)-1,0)</f>
        <v>79</v>
      </c>
      <c r="G354" s="223" t="s">
        <v>2036</v>
      </c>
      <c r="H354" s="223" t="s">
        <v>1993</v>
      </c>
      <c r="I354" s="223" t="s">
        <v>1937</v>
      </c>
      <c r="J354" s="223" t="s">
        <v>2037</v>
      </c>
      <c r="K354" s="1">
        <v>2</v>
      </c>
      <c r="L354" s="1">
        <v>302</v>
      </c>
      <c r="M354" s="1">
        <f t="shared" si="27"/>
        <v>2302</v>
      </c>
      <c r="N354" s="107" t="e">
        <f ca="1">OFFSET(npc_level_config!$T$1,MATCH(M354,npc_level_config!A:A,0)-1,0)</f>
        <v>#VALUE!</v>
      </c>
      <c r="O354" s="107" t="e">
        <f ca="1" t="shared" si="26"/>
        <v>#VALUE!</v>
      </c>
      <c r="P354" s="106"/>
      <c r="R354" s="3" t="e">
        <f ca="1">OFFSET(battle_group!$C$1,MATCH(P354,battle_group!E:E,0)-1,0)</f>
        <v>#N/A</v>
      </c>
      <c r="T354" s="1">
        <v>130025</v>
      </c>
    </row>
    <row r="355" ht="15.75" spans="1:20">
      <c r="A355" s="1">
        <v>6113</v>
      </c>
      <c r="B355" s="1" t="s">
        <v>2034</v>
      </c>
      <c r="C355" s="1" t="s">
        <v>2049</v>
      </c>
      <c r="D355" s="1" t="s">
        <v>2034</v>
      </c>
      <c r="E355" s="213">
        <f ca="1">OFFSET(model!$A$1,MATCH(D355,model!B:B,0)-1,0)</f>
        <v>79</v>
      </c>
      <c r="G355" s="223" t="s">
        <v>2036</v>
      </c>
      <c r="H355" s="223" t="s">
        <v>1993</v>
      </c>
      <c r="I355" s="223" t="s">
        <v>1937</v>
      </c>
      <c r="J355" s="223" t="s">
        <v>2037</v>
      </c>
      <c r="K355" s="1">
        <v>2</v>
      </c>
      <c r="L355" s="1">
        <v>303</v>
      </c>
      <c r="M355" s="1">
        <f t="shared" si="27"/>
        <v>2303</v>
      </c>
      <c r="N355" s="107" t="e">
        <f ca="1">OFFSET(npc_level_config!$T$1,MATCH(M355,npc_level_config!A:A,0)-1,0)</f>
        <v>#VALUE!</v>
      </c>
      <c r="O355" s="107" t="e">
        <f ca="1" t="shared" si="26"/>
        <v>#VALUE!</v>
      </c>
      <c r="P355" s="106"/>
      <c r="R355" s="3" t="e">
        <f ca="1">OFFSET(battle_group!$C$1,MATCH(P355,battle_group!E:E,0)-1,0)</f>
        <v>#N/A</v>
      </c>
      <c r="T355" s="1">
        <v>130025</v>
      </c>
    </row>
    <row r="356" ht="15.75" spans="1:20">
      <c r="A356" s="1">
        <v>6114</v>
      </c>
      <c r="B356" s="1" t="s">
        <v>2034</v>
      </c>
      <c r="C356" s="1" t="s">
        <v>2050</v>
      </c>
      <c r="D356" s="1" t="s">
        <v>2034</v>
      </c>
      <c r="E356" s="213">
        <f ca="1">OFFSET(model!$A$1,MATCH(D356,model!B:B,0)-1,0)</f>
        <v>79</v>
      </c>
      <c r="G356" s="223" t="s">
        <v>2036</v>
      </c>
      <c r="H356" s="223" t="s">
        <v>1993</v>
      </c>
      <c r="I356" s="223" t="s">
        <v>1937</v>
      </c>
      <c r="J356" s="223" t="s">
        <v>2037</v>
      </c>
      <c r="K356" s="1">
        <v>2</v>
      </c>
      <c r="L356" s="1">
        <v>304</v>
      </c>
      <c r="M356" s="1">
        <f t="shared" si="27"/>
        <v>2304</v>
      </c>
      <c r="N356" s="107" t="e">
        <f ca="1">OFFSET(npc_level_config!$T$1,MATCH(M356,npc_level_config!A:A,0)-1,0)</f>
        <v>#VALUE!</v>
      </c>
      <c r="O356" s="107" t="e">
        <f ca="1" t="shared" si="26"/>
        <v>#VALUE!</v>
      </c>
      <c r="P356" s="106"/>
      <c r="R356" s="3" t="e">
        <f ca="1">OFFSET(battle_group!$C$1,MATCH(P356,battle_group!E:E,0)-1,0)</f>
        <v>#N/A</v>
      </c>
      <c r="T356" s="1">
        <v>130025</v>
      </c>
    </row>
    <row r="357" ht="15.75" spans="1:20">
      <c r="A357" s="1">
        <v>6115</v>
      </c>
      <c r="B357" s="1" t="s">
        <v>2034</v>
      </c>
      <c r="C357" s="1" t="s">
        <v>2051</v>
      </c>
      <c r="D357" s="1" t="s">
        <v>2034</v>
      </c>
      <c r="E357" s="213">
        <f ca="1">OFFSET(model!$A$1,MATCH(D357,model!B:B,0)-1,0)</f>
        <v>79</v>
      </c>
      <c r="G357" s="223" t="s">
        <v>2036</v>
      </c>
      <c r="H357" s="223" t="s">
        <v>1993</v>
      </c>
      <c r="I357" s="223" t="s">
        <v>1937</v>
      </c>
      <c r="J357" s="223" t="s">
        <v>2037</v>
      </c>
      <c r="K357" s="1">
        <v>2</v>
      </c>
      <c r="L357" s="1">
        <v>305</v>
      </c>
      <c r="M357" s="1">
        <f t="shared" si="27"/>
        <v>2305</v>
      </c>
      <c r="N357" s="107" t="e">
        <f ca="1">OFFSET(npc_level_config!$T$1,MATCH(M357,npc_level_config!A:A,0)-1,0)</f>
        <v>#VALUE!</v>
      </c>
      <c r="O357" s="107" t="e">
        <f ca="1" t="shared" si="26"/>
        <v>#VALUE!</v>
      </c>
      <c r="P357" s="106"/>
      <c r="R357" s="3" t="e">
        <f ca="1">OFFSET(battle_group!$C$1,MATCH(P357,battle_group!E:E,0)-1,0)</f>
        <v>#N/A</v>
      </c>
      <c r="T357" s="1">
        <v>130025</v>
      </c>
    </row>
    <row r="358" ht="15.75" spans="1:20">
      <c r="A358" s="1">
        <v>6116</v>
      </c>
      <c r="B358" s="1" t="s">
        <v>2034</v>
      </c>
      <c r="C358" s="1" t="s">
        <v>2052</v>
      </c>
      <c r="D358" s="1" t="s">
        <v>2034</v>
      </c>
      <c r="E358" s="213">
        <f ca="1">OFFSET(model!$A$1,MATCH(D358,model!B:B,0)-1,0)</f>
        <v>79</v>
      </c>
      <c r="G358" s="223" t="s">
        <v>2036</v>
      </c>
      <c r="H358" s="223" t="s">
        <v>1993</v>
      </c>
      <c r="I358" s="223" t="s">
        <v>1937</v>
      </c>
      <c r="J358" s="223" t="s">
        <v>2037</v>
      </c>
      <c r="K358" s="1">
        <v>2</v>
      </c>
      <c r="L358" s="1">
        <v>306</v>
      </c>
      <c r="M358" s="1">
        <f t="shared" si="27"/>
        <v>2306</v>
      </c>
      <c r="N358" s="107" t="e">
        <f ca="1">OFFSET(npc_level_config!$T$1,MATCH(M358,npc_level_config!A:A,0)-1,0)</f>
        <v>#VALUE!</v>
      </c>
      <c r="O358" s="107" t="e">
        <f ca="1" t="shared" si="26"/>
        <v>#VALUE!</v>
      </c>
      <c r="P358" s="106"/>
      <c r="R358" s="3" t="e">
        <f ca="1">OFFSET(battle_group!$C$1,MATCH(P358,battle_group!E:E,0)-1,0)</f>
        <v>#N/A</v>
      </c>
      <c r="T358" s="1">
        <v>130025</v>
      </c>
    </row>
    <row r="359" ht="15.75" spans="1:20">
      <c r="A359" s="1">
        <v>6117</v>
      </c>
      <c r="B359" s="1" t="s">
        <v>2034</v>
      </c>
      <c r="C359" s="1" t="s">
        <v>2053</v>
      </c>
      <c r="D359" s="1" t="s">
        <v>2034</v>
      </c>
      <c r="E359" s="213">
        <f ca="1">OFFSET(model!$A$1,MATCH(D359,model!B:B,0)-1,0)</f>
        <v>79</v>
      </c>
      <c r="G359" s="223" t="s">
        <v>2036</v>
      </c>
      <c r="H359" s="223" t="s">
        <v>1993</v>
      </c>
      <c r="I359" s="223" t="s">
        <v>1937</v>
      </c>
      <c r="J359" s="223" t="s">
        <v>2037</v>
      </c>
      <c r="K359" s="1">
        <v>2</v>
      </c>
      <c r="L359" s="1">
        <v>307</v>
      </c>
      <c r="M359" s="1">
        <f t="shared" si="27"/>
        <v>2307</v>
      </c>
      <c r="N359" s="107" t="e">
        <f ca="1">OFFSET(npc_level_config!$T$1,MATCH(M359,npc_level_config!A:A,0)-1,0)</f>
        <v>#VALUE!</v>
      </c>
      <c r="O359" s="107" t="e">
        <f ca="1" t="shared" si="26"/>
        <v>#VALUE!</v>
      </c>
      <c r="P359" s="106"/>
      <c r="R359" s="3" t="e">
        <f ca="1">OFFSET(battle_group!$C$1,MATCH(P359,battle_group!E:E,0)-1,0)</f>
        <v>#N/A</v>
      </c>
      <c r="T359" s="1">
        <v>130025</v>
      </c>
    </row>
    <row r="360" ht="15.75" spans="1:20">
      <c r="A360" s="1">
        <v>6118</v>
      </c>
      <c r="B360" s="1" t="s">
        <v>2034</v>
      </c>
      <c r="C360" s="1" t="s">
        <v>2054</v>
      </c>
      <c r="D360" s="1" t="s">
        <v>2034</v>
      </c>
      <c r="E360" s="213">
        <f ca="1">OFFSET(model!$A$1,MATCH(D360,model!B:B,0)-1,0)</f>
        <v>79</v>
      </c>
      <c r="G360" s="223" t="s">
        <v>2036</v>
      </c>
      <c r="H360" s="223" t="s">
        <v>1993</v>
      </c>
      <c r="I360" s="223" t="s">
        <v>1937</v>
      </c>
      <c r="J360" s="223" t="s">
        <v>2037</v>
      </c>
      <c r="K360" s="1">
        <v>2</v>
      </c>
      <c r="L360" s="1">
        <v>308</v>
      </c>
      <c r="M360" s="1">
        <f t="shared" si="27"/>
        <v>2308</v>
      </c>
      <c r="N360" s="107" t="e">
        <f ca="1">OFFSET(npc_level_config!$T$1,MATCH(M360,npc_level_config!A:A,0)-1,0)</f>
        <v>#VALUE!</v>
      </c>
      <c r="O360" s="107" t="e">
        <f ca="1" t="shared" si="26"/>
        <v>#VALUE!</v>
      </c>
      <c r="P360" s="106"/>
      <c r="R360" s="3" t="e">
        <f ca="1">OFFSET(battle_group!$C$1,MATCH(P360,battle_group!E:E,0)-1,0)</f>
        <v>#N/A</v>
      </c>
      <c r="T360" s="1">
        <v>130025</v>
      </c>
    </row>
    <row r="361" ht="15.75" spans="1:20">
      <c r="A361" s="1">
        <v>6119</v>
      </c>
      <c r="B361" s="1" t="s">
        <v>2034</v>
      </c>
      <c r="C361" s="1" t="s">
        <v>2055</v>
      </c>
      <c r="D361" s="1" t="s">
        <v>2034</v>
      </c>
      <c r="E361" s="213">
        <f ca="1">OFFSET(model!$A$1,MATCH(D361,model!B:B,0)-1,0)</f>
        <v>79</v>
      </c>
      <c r="G361" s="223" t="s">
        <v>2036</v>
      </c>
      <c r="H361" s="223" t="s">
        <v>1993</v>
      </c>
      <c r="I361" s="223" t="s">
        <v>1937</v>
      </c>
      <c r="J361" s="223" t="s">
        <v>2037</v>
      </c>
      <c r="K361" s="1">
        <v>2</v>
      </c>
      <c r="L361" s="1">
        <v>309</v>
      </c>
      <c r="M361" s="1">
        <f t="shared" si="27"/>
        <v>2309</v>
      </c>
      <c r="N361" s="107" t="e">
        <f ca="1">OFFSET(npc_level_config!$T$1,MATCH(M361,npc_level_config!A:A,0)-1,0)</f>
        <v>#VALUE!</v>
      </c>
      <c r="O361" s="107" t="e">
        <f ca="1" t="shared" si="26"/>
        <v>#VALUE!</v>
      </c>
      <c r="P361" s="106"/>
      <c r="R361" s="3" t="e">
        <f ca="1">OFFSET(battle_group!$C$1,MATCH(P361,battle_group!E:E,0)-1,0)</f>
        <v>#N/A</v>
      </c>
      <c r="T361" s="1">
        <v>130025</v>
      </c>
    </row>
    <row r="362" ht="15.75" spans="1:20">
      <c r="A362" s="1">
        <v>6120</v>
      </c>
      <c r="B362" s="1" t="s">
        <v>2034</v>
      </c>
      <c r="C362" s="1" t="s">
        <v>2056</v>
      </c>
      <c r="D362" s="1" t="s">
        <v>2034</v>
      </c>
      <c r="E362" s="213">
        <f ca="1">OFFSET(model!$A$1,MATCH(D362,model!B:B,0)-1,0)</f>
        <v>79</v>
      </c>
      <c r="G362" s="223" t="s">
        <v>2036</v>
      </c>
      <c r="H362" s="223" t="s">
        <v>1993</v>
      </c>
      <c r="I362" s="223" t="s">
        <v>1937</v>
      </c>
      <c r="J362" s="223" t="s">
        <v>2037</v>
      </c>
      <c r="K362" s="1">
        <v>2</v>
      </c>
      <c r="L362" s="1">
        <v>310</v>
      </c>
      <c r="M362" s="1">
        <f t="shared" si="27"/>
        <v>2310</v>
      </c>
      <c r="N362" s="107" t="e">
        <f ca="1">OFFSET(npc_level_config!$T$1,MATCH(M362,npc_level_config!A:A,0)-1,0)</f>
        <v>#VALUE!</v>
      </c>
      <c r="O362" s="107" t="e">
        <f ca="1" t="shared" si="26"/>
        <v>#VALUE!</v>
      </c>
      <c r="P362" s="106"/>
      <c r="R362" s="3" t="e">
        <f ca="1">OFFSET(battle_group!$C$1,MATCH(P362,battle_group!E:E,0)-1,0)</f>
        <v>#N/A</v>
      </c>
      <c r="T362" s="1">
        <v>130025</v>
      </c>
    </row>
    <row r="363" ht="15.75" spans="1:20">
      <c r="A363" s="1">
        <v>6121</v>
      </c>
      <c r="B363" s="1" t="s">
        <v>2034</v>
      </c>
      <c r="C363" s="1" t="s">
        <v>2057</v>
      </c>
      <c r="D363" s="1" t="s">
        <v>2034</v>
      </c>
      <c r="E363" s="213">
        <f ca="1">OFFSET(model!$A$1,MATCH(D363,model!B:B,0)-1,0)</f>
        <v>79</v>
      </c>
      <c r="G363" s="223" t="s">
        <v>2036</v>
      </c>
      <c r="H363" s="223" t="s">
        <v>1993</v>
      </c>
      <c r="I363" s="223" t="s">
        <v>1937</v>
      </c>
      <c r="J363" s="223" t="s">
        <v>2037</v>
      </c>
      <c r="K363" s="1">
        <v>3</v>
      </c>
      <c r="L363" s="1">
        <v>301</v>
      </c>
      <c r="M363" s="1">
        <f t="shared" si="27"/>
        <v>3301</v>
      </c>
      <c r="N363" s="107" t="e">
        <f ca="1">OFFSET(npc_level_config!$T$1,MATCH(M363,npc_level_config!A:A,0)-1,0)</f>
        <v>#VALUE!</v>
      </c>
      <c r="O363" s="107" t="e">
        <f ca="1" t="shared" si="26"/>
        <v>#VALUE!</v>
      </c>
      <c r="P363" s="106"/>
      <c r="R363" s="3" t="e">
        <f ca="1">OFFSET(battle_group!$C$1,MATCH(P363,battle_group!E:E,0)-1,0)</f>
        <v>#N/A</v>
      </c>
      <c r="T363" s="1">
        <v>130025</v>
      </c>
    </row>
    <row r="364" ht="15.75" spans="1:20">
      <c r="A364" s="1">
        <v>6122</v>
      </c>
      <c r="B364" s="1" t="s">
        <v>2034</v>
      </c>
      <c r="C364" s="1" t="s">
        <v>2058</v>
      </c>
      <c r="D364" s="1" t="s">
        <v>2034</v>
      </c>
      <c r="E364" s="213">
        <f ca="1">OFFSET(model!$A$1,MATCH(D364,model!B:B,0)-1,0)</f>
        <v>79</v>
      </c>
      <c r="G364" s="223" t="s">
        <v>2036</v>
      </c>
      <c r="H364" s="223" t="s">
        <v>1993</v>
      </c>
      <c r="I364" s="223" t="s">
        <v>1937</v>
      </c>
      <c r="J364" s="223" t="s">
        <v>2037</v>
      </c>
      <c r="K364" s="1">
        <v>3</v>
      </c>
      <c r="L364" s="1">
        <v>302</v>
      </c>
      <c r="M364" s="1">
        <f t="shared" si="27"/>
        <v>3302</v>
      </c>
      <c r="N364" s="107" t="e">
        <f ca="1">OFFSET(npc_level_config!$T$1,MATCH(M364,npc_level_config!A:A,0)-1,0)</f>
        <v>#VALUE!</v>
      </c>
      <c r="O364" s="107" t="e">
        <f ca="1" t="shared" si="26"/>
        <v>#VALUE!</v>
      </c>
      <c r="P364" s="106"/>
      <c r="R364" s="3" t="e">
        <f ca="1">OFFSET(battle_group!$C$1,MATCH(P364,battle_group!E:E,0)-1,0)</f>
        <v>#N/A</v>
      </c>
      <c r="T364" s="1">
        <v>130025</v>
      </c>
    </row>
    <row r="365" ht="15.75" spans="1:20">
      <c r="A365" s="1">
        <v>6123</v>
      </c>
      <c r="B365" s="1" t="s">
        <v>2034</v>
      </c>
      <c r="C365" s="1" t="s">
        <v>2059</v>
      </c>
      <c r="D365" s="1" t="s">
        <v>2034</v>
      </c>
      <c r="E365" s="213">
        <f ca="1">OFFSET(model!$A$1,MATCH(D365,model!B:B,0)-1,0)</f>
        <v>79</v>
      </c>
      <c r="G365" s="223" t="s">
        <v>2036</v>
      </c>
      <c r="H365" s="223" t="s">
        <v>1993</v>
      </c>
      <c r="I365" s="223" t="s">
        <v>1937</v>
      </c>
      <c r="J365" s="223" t="s">
        <v>2037</v>
      </c>
      <c r="K365" s="1">
        <v>3</v>
      </c>
      <c r="L365" s="1">
        <v>303</v>
      </c>
      <c r="M365" s="1">
        <f t="shared" si="27"/>
        <v>3303</v>
      </c>
      <c r="N365" s="107" t="e">
        <f ca="1">OFFSET(npc_level_config!$T$1,MATCH(M365,npc_level_config!A:A,0)-1,0)</f>
        <v>#VALUE!</v>
      </c>
      <c r="O365" s="107" t="e">
        <f ca="1" t="shared" si="26"/>
        <v>#VALUE!</v>
      </c>
      <c r="P365" s="106"/>
      <c r="R365" s="3" t="e">
        <f ca="1">OFFSET(battle_group!$C$1,MATCH(P365,battle_group!E:E,0)-1,0)</f>
        <v>#N/A</v>
      </c>
      <c r="T365" s="1">
        <v>130025</v>
      </c>
    </row>
    <row r="366" ht="15.75" spans="1:20">
      <c r="A366" s="1">
        <v>6124</v>
      </c>
      <c r="B366" s="1" t="s">
        <v>2034</v>
      </c>
      <c r="C366" s="1" t="s">
        <v>2060</v>
      </c>
      <c r="D366" s="1" t="s">
        <v>2034</v>
      </c>
      <c r="E366" s="213">
        <f ca="1">OFFSET(model!$A$1,MATCH(D366,model!B:B,0)-1,0)</f>
        <v>79</v>
      </c>
      <c r="G366" s="223" t="s">
        <v>2036</v>
      </c>
      <c r="H366" s="223" t="s">
        <v>1993</v>
      </c>
      <c r="I366" s="223" t="s">
        <v>1937</v>
      </c>
      <c r="J366" s="223" t="s">
        <v>2037</v>
      </c>
      <c r="K366" s="1">
        <v>3</v>
      </c>
      <c r="L366" s="1">
        <v>304</v>
      </c>
      <c r="M366" s="1">
        <f t="shared" si="27"/>
        <v>3304</v>
      </c>
      <c r="N366" s="107" t="e">
        <f ca="1">OFFSET(npc_level_config!$T$1,MATCH(M366,npc_level_config!A:A,0)-1,0)</f>
        <v>#VALUE!</v>
      </c>
      <c r="O366" s="107" t="e">
        <f ca="1" t="shared" si="26"/>
        <v>#VALUE!</v>
      </c>
      <c r="P366" s="106"/>
      <c r="R366" s="3" t="e">
        <f ca="1">OFFSET(battle_group!$C$1,MATCH(P366,battle_group!E:E,0)-1,0)</f>
        <v>#N/A</v>
      </c>
      <c r="T366" s="1">
        <v>130025</v>
      </c>
    </row>
    <row r="367" ht="15.75" spans="1:20">
      <c r="A367" s="1">
        <v>6125</v>
      </c>
      <c r="B367" s="1" t="s">
        <v>2034</v>
      </c>
      <c r="C367" s="1" t="s">
        <v>2061</v>
      </c>
      <c r="D367" s="1" t="s">
        <v>2034</v>
      </c>
      <c r="E367" s="213">
        <f ca="1">OFFSET(model!$A$1,MATCH(D367,model!B:B,0)-1,0)</f>
        <v>79</v>
      </c>
      <c r="G367" s="223" t="s">
        <v>2036</v>
      </c>
      <c r="H367" s="223" t="s">
        <v>1993</v>
      </c>
      <c r="I367" s="223" t="s">
        <v>1937</v>
      </c>
      <c r="J367" s="223" t="s">
        <v>2037</v>
      </c>
      <c r="K367" s="1">
        <v>3</v>
      </c>
      <c r="L367" s="1">
        <v>305</v>
      </c>
      <c r="M367" s="1">
        <f t="shared" si="27"/>
        <v>3305</v>
      </c>
      <c r="N367" s="107" t="e">
        <f ca="1">OFFSET(npc_level_config!$T$1,MATCH(M367,npc_level_config!A:A,0)-1,0)</f>
        <v>#VALUE!</v>
      </c>
      <c r="O367" s="107" t="e">
        <f ca="1" t="shared" si="26"/>
        <v>#VALUE!</v>
      </c>
      <c r="P367" s="106"/>
      <c r="R367" s="3" t="e">
        <f ca="1">OFFSET(battle_group!$C$1,MATCH(P367,battle_group!E:E,0)-1,0)</f>
        <v>#N/A</v>
      </c>
      <c r="T367" s="1">
        <v>130025</v>
      </c>
    </row>
    <row r="368" ht="15.75" spans="1:20">
      <c r="A368" s="1">
        <v>6126</v>
      </c>
      <c r="B368" s="1" t="s">
        <v>2034</v>
      </c>
      <c r="C368" s="1" t="s">
        <v>2062</v>
      </c>
      <c r="D368" s="1" t="s">
        <v>2034</v>
      </c>
      <c r="E368" s="213">
        <f ca="1">OFFSET(model!$A$1,MATCH(D368,model!B:B,0)-1,0)</f>
        <v>79</v>
      </c>
      <c r="G368" s="223" t="s">
        <v>2036</v>
      </c>
      <c r="H368" s="223" t="s">
        <v>1993</v>
      </c>
      <c r="I368" s="223" t="s">
        <v>1937</v>
      </c>
      <c r="J368" s="223" t="s">
        <v>2037</v>
      </c>
      <c r="K368" s="1">
        <v>3</v>
      </c>
      <c r="L368" s="1">
        <v>306</v>
      </c>
      <c r="M368" s="1">
        <f t="shared" si="27"/>
        <v>3306</v>
      </c>
      <c r="N368" s="107" t="e">
        <f ca="1">OFFSET(npc_level_config!$T$1,MATCH(M368,npc_level_config!A:A,0)-1,0)</f>
        <v>#VALUE!</v>
      </c>
      <c r="O368" s="107" t="e">
        <f ca="1" t="shared" ref="O368:O382" si="28">ROUND(N368,-1)</f>
        <v>#VALUE!</v>
      </c>
      <c r="P368" s="106"/>
      <c r="R368" s="3" t="e">
        <f ca="1">OFFSET(battle_group!$C$1,MATCH(P368,battle_group!E:E,0)-1,0)</f>
        <v>#N/A</v>
      </c>
      <c r="T368" s="1">
        <v>130025</v>
      </c>
    </row>
    <row r="369" ht="15.75" spans="1:20">
      <c r="A369" s="1">
        <v>6127</v>
      </c>
      <c r="B369" s="1" t="s">
        <v>2034</v>
      </c>
      <c r="C369" s="1" t="s">
        <v>2063</v>
      </c>
      <c r="D369" s="1" t="s">
        <v>2034</v>
      </c>
      <c r="E369" s="213">
        <f ca="1">OFFSET(model!$A$1,MATCH(D369,model!B:B,0)-1,0)</f>
        <v>79</v>
      </c>
      <c r="G369" s="223" t="s">
        <v>2036</v>
      </c>
      <c r="H369" s="223" t="s">
        <v>1993</v>
      </c>
      <c r="I369" s="223" t="s">
        <v>1937</v>
      </c>
      <c r="J369" s="223" t="s">
        <v>2037</v>
      </c>
      <c r="K369" s="1">
        <v>3</v>
      </c>
      <c r="L369" s="1">
        <v>307</v>
      </c>
      <c r="M369" s="1">
        <f t="shared" si="27"/>
        <v>3307</v>
      </c>
      <c r="N369" s="107" t="e">
        <f ca="1">OFFSET(npc_level_config!$T$1,MATCH(M369,npc_level_config!A:A,0)-1,0)</f>
        <v>#VALUE!</v>
      </c>
      <c r="O369" s="107" t="e">
        <f ca="1" t="shared" si="28"/>
        <v>#VALUE!</v>
      </c>
      <c r="P369" s="106"/>
      <c r="R369" s="3" t="e">
        <f ca="1">OFFSET(battle_group!$C$1,MATCH(P369,battle_group!E:E,0)-1,0)</f>
        <v>#N/A</v>
      </c>
      <c r="T369" s="1">
        <v>130025</v>
      </c>
    </row>
    <row r="370" ht="15.75" spans="1:20">
      <c r="A370" s="1">
        <v>6128</v>
      </c>
      <c r="B370" s="1" t="s">
        <v>2034</v>
      </c>
      <c r="C370" s="1" t="s">
        <v>2064</v>
      </c>
      <c r="D370" s="1" t="s">
        <v>2034</v>
      </c>
      <c r="E370" s="213">
        <f ca="1">OFFSET(model!$A$1,MATCH(D370,model!B:B,0)-1,0)</f>
        <v>79</v>
      </c>
      <c r="G370" s="223" t="s">
        <v>2036</v>
      </c>
      <c r="H370" s="223" t="s">
        <v>1993</v>
      </c>
      <c r="I370" s="223" t="s">
        <v>1937</v>
      </c>
      <c r="J370" s="223" t="s">
        <v>2037</v>
      </c>
      <c r="K370" s="1">
        <v>3</v>
      </c>
      <c r="L370" s="1">
        <v>308</v>
      </c>
      <c r="M370" s="1">
        <f t="shared" si="27"/>
        <v>3308</v>
      </c>
      <c r="N370" s="107" t="e">
        <f ca="1">OFFSET(npc_level_config!$T$1,MATCH(M370,npc_level_config!A:A,0)-1,0)</f>
        <v>#VALUE!</v>
      </c>
      <c r="O370" s="107" t="e">
        <f ca="1" t="shared" si="28"/>
        <v>#VALUE!</v>
      </c>
      <c r="P370" s="106"/>
      <c r="R370" s="3" t="e">
        <f ca="1">OFFSET(battle_group!$C$1,MATCH(P370,battle_group!E:E,0)-1,0)</f>
        <v>#N/A</v>
      </c>
      <c r="T370" s="1">
        <v>130025</v>
      </c>
    </row>
    <row r="371" ht="15.75" spans="1:20">
      <c r="A371" s="1">
        <v>6129</v>
      </c>
      <c r="B371" s="1" t="s">
        <v>2034</v>
      </c>
      <c r="C371" s="1" t="s">
        <v>2065</v>
      </c>
      <c r="D371" s="1" t="s">
        <v>2034</v>
      </c>
      <c r="E371" s="213">
        <f ca="1">OFFSET(model!$A$1,MATCH(D371,model!B:B,0)-1,0)</f>
        <v>79</v>
      </c>
      <c r="G371" s="223" t="s">
        <v>2036</v>
      </c>
      <c r="H371" s="223" t="s">
        <v>1993</v>
      </c>
      <c r="I371" s="223" t="s">
        <v>1937</v>
      </c>
      <c r="J371" s="223" t="s">
        <v>2037</v>
      </c>
      <c r="K371" s="1">
        <v>3</v>
      </c>
      <c r="L371" s="1">
        <v>309</v>
      </c>
      <c r="M371" s="1">
        <f t="shared" si="27"/>
        <v>3309</v>
      </c>
      <c r="N371" s="107" t="e">
        <f ca="1">OFFSET(npc_level_config!$T$1,MATCH(M371,npc_level_config!A:A,0)-1,0)</f>
        <v>#VALUE!</v>
      </c>
      <c r="O371" s="107" t="e">
        <f ca="1" t="shared" si="28"/>
        <v>#VALUE!</v>
      </c>
      <c r="P371" s="106"/>
      <c r="R371" s="3" t="e">
        <f ca="1">OFFSET(battle_group!$C$1,MATCH(P371,battle_group!E:E,0)-1,0)</f>
        <v>#N/A</v>
      </c>
      <c r="T371" s="1">
        <v>130025</v>
      </c>
    </row>
    <row r="372" ht="15.75" spans="1:20">
      <c r="A372" s="1">
        <v>6130</v>
      </c>
      <c r="B372" s="1" t="s">
        <v>2034</v>
      </c>
      <c r="C372" s="1" t="s">
        <v>2066</v>
      </c>
      <c r="D372" s="1" t="s">
        <v>2034</v>
      </c>
      <c r="E372" s="213">
        <f ca="1">OFFSET(model!$A$1,MATCH(D372,model!B:B,0)-1,0)</f>
        <v>79</v>
      </c>
      <c r="G372" s="223" t="s">
        <v>2036</v>
      </c>
      <c r="H372" s="223" t="s">
        <v>1993</v>
      </c>
      <c r="I372" s="223" t="s">
        <v>1937</v>
      </c>
      <c r="J372" s="223" t="s">
        <v>2037</v>
      </c>
      <c r="K372" s="1">
        <v>3</v>
      </c>
      <c r="L372" s="1">
        <v>310</v>
      </c>
      <c r="M372" s="1">
        <f t="shared" si="27"/>
        <v>3310</v>
      </c>
      <c r="N372" s="107" t="e">
        <f ca="1">OFFSET(npc_level_config!$T$1,MATCH(M372,npc_level_config!A:A,0)-1,0)</f>
        <v>#VALUE!</v>
      </c>
      <c r="O372" s="107" t="e">
        <f ca="1" t="shared" si="28"/>
        <v>#VALUE!</v>
      </c>
      <c r="P372" s="106"/>
      <c r="R372" s="3" t="e">
        <f ca="1">OFFSET(battle_group!$C$1,MATCH(P372,battle_group!E:E,0)-1,0)</f>
        <v>#N/A</v>
      </c>
      <c r="T372" s="1">
        <v>130025</v>
      </c>
    </row>
    <row r="373" ht="15.75" spans="1:20">
      <c r="A373" s="1">
        <v>6131</v>
      </c>
      <c r="B373" s="1" t="s">
        <v>2034</v>
      </c>
      <c r="C373" s="1" t="s">
        <v>2067</v>
      </c>
      <c r="D373" s="1" t="s">
        <v>2034</v>
      </c>
      <c r="E373" s="213">
        <f ca="1">OFFSET(model!$A$1,MATCH(D373,model!B:B,0)-1,0)</f>
        <v>79</v>
      </c>
      <c r="G373" s="223" t="s">
        <v>2036</v>
      </c>
      <c r="H373" s="223" t="s">
        <v>1993</v>
      </c>
      <c r="I373" s="223" t="s">
        <v>1937</v>
      </c>
      <c r="J373" s="223" t="s">
        <v>2037</v>
      </c>
      <c r="K373" s="1">
        <v>3</v>
      </c>
      <c r="L373" s="1">
        <v>301</v>
      </c>
      <c r="M373" s="1">
        <f t="shared" si="27"/>
        <v>3301</v>
      </c>
      <c r="N373" s="107" t="e">
        <f ca="1">OFFSET(npc_level_config!$T$1,MATCH(M373,npc_level_config!A:A,0)-1,0)</f>
        <v>#VALUE!</v>
      </c>
      <c r="O373" s="107" t="e">
        <f ca="1" t="shared" si="28"/>
        <v>#VALUE!</v>
      </c>
      <c r="P373" s="106"/>
      <c r="R373" s="3" t="e">
        <f ca="1">OFFSET(battle_group!$C$1,MATCH(P373,battle_group!E:E,0)-1,0)</f>
        <v>#N/A</v>
      </c>
      <c r="T373" s="1">
        <v>130025</v>
      </c>
    </row>
    <row r="374" ht="15.75" spans="1:20">
      <c r="A374" s="1">
        <v>6132</v>
      </c>
      <c r="B374" s="1" t="s">
        <v>2034</v>
      </c>
      <c r="C374" s="1" t="s">
        <v>2068</v>
      </c>
      <c r="D374" s="1" t="s">
        <v>2034</v>
      </c>
      <c r="E374" s="213">
        <f ca="1">OFFSET(model!$A$1,MATCH(D374,model!B:B,0)-1,0)</f>
        <v>79</v>
      </c>
      <c r="G374" s="223" t="s">
        <v>2036</v>
      </c>
      <c r="H374" s="223" t="s">
        <v>1993</v>
      </c>
      <c r="I374" s="223" t="s">
        <v>1937</v>
      </c>
      <c r="J374" s="223" t="s">
        <v>2037</v>
      </c>
      <c r="K374" s="1">
        <v>3</v>
      </c>
      <c r="L374" s="1">
        <v>302</v>
      </c>
      <c r="M374" s="1">
        <f t="shared" si="27"/>
        <v>3302</v>
      </c>
      <c r="N374" s="107" t="e">
        <f ca="1">OFFSET(npc_level_config!$T$1,MATCH(M374,npc_level_config!A:A,0)-1,0)</f>
        <v>#VALUE!</v>
      </c>
      <c r="O374" s="107" t="e">
        <f ca="1" t="shared" si="28"/>
        <v>#VALUE!</v>
      </c>
      <c r="P374" s="106"/>
      <c r="R374" s="3" t="e">
        <f ca="1">OFFSET(battle_group!$C$1,MATCH(P374,battle_group!E:E,0)-1,0)</f>
        <v>#N/A</v>
      </c>
      <c r="T374" s="1">
        <v>130025</v>
      </c>
    </row>
    <row r="375" ht="15.75" spans="1:20">
      <c r="A375" s="1">
        <v>6133</v>
      </c>
      <c r="B375" s="1" t="s">
        <v>2034</v>
      </c>
      <c r="C375" s="1" t="s">
        <v>2069</v>
      </c>
      <c r="D375" s="1" t="s">
        <v>2034</v>
      </c>
      <c r="E375" s="213">
        <f ca="1">OFFSET(model!$A$1,MATCH(D375,model!B:B,0)-1,0)</f>
        <v>79</v>
      </c>
      <c r="G375" s="223" t="s">
        <v>2036</v>
      </c>
      <c r="H375" s="223" t="s">
        <v>1993</v>
      </c>
      <c r="I375" s="223" t="s">
        <v>1937</v>
      </c>
      <c r="J375" s="223" t="s">
        <v>2037</v>
      </c>
      <c r="K375" s="1">
        <v>3</v>
      </c>
      <c r="L375" s="1">
        <v>303</v>
      </c>
      <c r="M375" s="1">
        <f t="shared" si="27"/>
        <v>3303</v>
      </c>
      <c r="N375" s="107" t="e">
        <f ca="1">OFFSET(npc_level_config!$T$1,MATCH(M375,npc_level_config!A:A,0)-1,0)</f>
        <v>#VALUE!</v>
      </c>
      <c r="O375" s="107" t="e">
        <f ca="1" t="shared" si="28"/>
        <v>#VALUE!</v>
      </c>
      <c r="P375" s="106"/>
      <c r="R375" s="3" t="e">
        <f ca="1">OFFSET(battle_group!$C$1,MATCH(P375,battle_group!E:E,0)-1,0)</f>
        <v>#N/A</v>
      </c>
      <c r="T375" s="1">
        <v>130025</v>
      </c>
    </row>
    <row r="376" ht="15.75" spans="1:20">
      <c r="A376" s="1">
        <v>6134</v>
      </c>
      <c r="B376" s="1" t="s">
        <v>2034</v>
      </c>
      <c r="C376" s="1" t="s">
        <v>2070</v>
      </c>
      <c r="D376" s="1" t="s">
        <v>2034</v>
      </c>
      <c r="E376" s="213">
        <f ca="1">OFFSET(model!$A$1,MATCH(D376,model!B:B,0)-1,0)</f>
        <v>79</v>
      </c>
      <c r="G376" s="223" t="s">
        <v>2036</v>
      </c>
      <c r="H376" s="223" t="s">
        <v>1993</v>
      </c>
      <c r="I376" s="223" t="s">
        <v>1937</v>
      </c>
      <c r="J376" s="223" t="s">
        <v>2037</v>
      </c>
      <c r="K376" s="1">
        <v>3</v>
      </c>
      <c r="L376" s="1">
        <v>304</v>
      </c>
      <c r="M376" s="1">
        <f t="shared" si="27"/>
        <v>3304</v>
      </c>
      <c r="N376" s="107" t="e">
        <f ca="1">OFFSET(npc_level_config!$T$1,MATCH(M376,npc_level_config!A:A,0)-1,0)</f>
        <v>#VALUE!</v>
      </c>
      <c r="O376" s="107" t="e">
        <f ca="1" t="shared" si="28"/>
        <v>#VALUE!</v>
      </c>
      <c r="P376" s="106"/>
      <c r="R376" s="3" t="e">
        <f ca="1">OFFSET(battle_group!$C$1,MATCH(P376,battle_group!E:E,0)-1,0)</f>
        <v>#N/A</v>
      </c>
      <c r="T376" s="1">
        <v>130025</v>
      </c>
    </row>
    <row r="377" ht="15.75" spans="1:20">
      <c r="A377" s="1">
        <v>6135</v>
      </c>
      <c r="B377" s="1" t="s">
        <v>2034</v>
      </c>
      <c r="C377" s="1" t="s">
        <v>2071</v>
      </c>
      <c r="D377" s="1" t="s">
        <v>2034</v>
      </c>
      <c r="E377" s="213">
        <f ca="1">OFFSET(model!$A$1,MATCH(D377,model!B:B,0)-1,0)</f>
        <v>79</v>
      </c>
      <c r="G377" s="223" t="s">
        <v>2036</v>
      </c>
      <c r="H377" s="223" t="s">
        <v>1993</v>
      </c>
      <c r="I377" s="223" t="s">
        <v>1937</v>
      </c>
      <c r="J377" s="223" t="s">
        <v>2037</v>
      </c>
      <c r="K377" s="1">
        <v>3</v>
      </c>
      <c r="L377" s="1">
        <v>305</v>
      </c>
      <c r="M377" s="1">
        <f t="shared" si="27"/>
        <v>3305</v>
      </c>
      <c r="N377" s="107" t="e">
        <f ca="1">OFFSET(npc_level_config!$T$1,MATCH(M377,npc_level_config!A:A,0)-1,0)</f>
        <v>#VALUE!</v>
      </c>
      <c r="O377" s="107" t="e">
        <f ca="1" t="shared" si="28"/>
        <v>#VALUE!</v>
      </c>
      <c r="P377" s="106"/>
      <c r="R377" s="3" t="e">
        <f ca="1">OFFSET(battle_group!$C$1,MATCH(P377,battle_group!E:E,0)-1,0)</f>
        <v>#N/A</v>
      </c>
      <c r="T377" s="1">
        <v>130025</v>
      </c>
    </row>
    <row r="378" ht="15.75" spans="1:20">
      <c r="A378" s="1">
        <v>6136</v>
      </c>
      <c r="B378" s="1" t="s">
        <v>2034</v>
      </c>
      <c r="C378" s="1" t="s">
        <v>2072</v>
      </c>
      <c r="D378" s="1" t="s">
        <v>2034</v>
      </c>
      <c r="E378" s="213">
        <f ca="1">OFFSET(model!$A$1,MATCH(D378,model!B:B,0)-1,0)</f>
        <v>79</v>
      </c>
      <c r="G378" s="223" t="s">
        <v>2036</v>
      </c>
      <c r="H378" s="223" t="s">
        <v>1993</v>
      </c>
      <c r="I378" s="223" t="s">
        <v>1937</v>
      </c>
      <c r="J378" s="223" t="s">
        <v>2037</v>
      </c>
      <c r="K378" s="1">
        <v>3</v>
      </c>
      <c r="L378" s="1">
        <v>306</v>
      </c>
      <c r="M378" s="1">
        <f t="shared" si="27"/>
        <v>3306</v>
      </c>
      <c r="N378" s="107" t="e">
        <f ca="1">OFFSET(npc_level_config!$T$1,MATCH(M378,npc_level_config!A:A,0)-1,0)</f>
        <v>#VALUE!</v>
      </c>
      <c r="O378" s="107" t="e">
        <f ca="1" t="shared" si="28"/>
        <v>#VALUE!</v>
      </c>
      <c r="P378" s="106"/>
      <c r="R378" s="3" t="e">
        <f ca="1">OFFSET(battle_group!$C$1,MATCH(P378,battle_group!E:E,0)-1,0)</f>
        <v>#N/A</v>
      </c>
      <c r="T378" s="1">
        <v>130025</v>
      </c>
    </row>
    <row r="379" ht="15.75" spans="1:20">
      <c r="A379" s="1">
        <v>6137</v>
      </c>
      <c r="B379" s="1" t="s">
        <v>2034</v>
      </c>
      <c r="C379" s="1" t="s">
        <v>2073</v>
      </c>
      <c r="D379" s="1" t="s">
        <v>2034</v>
      </c>
      <c r="E379" s="213">
        <f ca="1">OFFSET(model!$A$1,MATCH(D379,model!B:B,0)-1,0)</f>
        <v>79</v>
      </c>
      <c r="G379" s="223" t="s">
        <v>2036</v>
      </c>
      <c r="H379" s="223" t="s">
        <v>1993</v>
      </c>
      <c r="I379" s="223" t="s">
        <v>1937</v>
      </c>
      <c r="J379" s="223" t="s">
        <v>2037</v>
      </c>
      <c r="K379" s="1">
        <v>3</v>
      </c>
      <c r="L379" s="1">
        <v>307</v>
      </c>
      <c r="M379" s="1">
        <f t="shared" si="27"/>
        <v>3307</v>
      </c>
      <c r="N379" s="107" t="e">
        <f ca="1">OFFSET(npc_level_config!$T$1,MATCH(M379,npc_level_config!A:A,0)-1,0)</f>
        <v>#VALUE!</v>
      </c>
      <c r="O379" s="107" t="e">
        <f ca="1" t="shared" si="28"/>
        <v>#VALUE!</v>
      </c>
      <c r="P379" s="106"/>
      <c r="R379" s="3" t="e">
        <f ca="1">OFFSET(battle_group!$C$1,MATCH(P379,battle_group!E:E,0)-1,0)</f>
        <v>#N/A</v>
      </c>
      <c r="T379" s="1">
        <v>130025</v>
      </c>
    </row>
    <row r="380" ht="15.75" spans="1:20">
      <c r="A380" s="1">
        <v>6138</v>
      </c>
      <c r="B380" s="1" t="s">
        <v>2034</v>
      </c>
      <c r="C380" s="1" t="s">
        <v>2074</v>
      </c>
      <c r="D380" s="1" t="s">
        <v>2034</v>
      </c>
      <c r="E380" s="213">
        <f ca="1">OFFSET(model!$A$1,MATCH(D380,model!B:B,0)-1,0)</f>
        <v>79</v>
      </c>
      <c r="G380" s="223" t="s">
        <v>2036</v>
      </c>
      <c r="H380" s="223" t="s">
        <v>1993</v>
      </c>
      <c r="I380" s="223" t="s">
        <v>1937</v>
      </c>
      <c r="J380" s="223" t="s">
        <v>2037</v>
      </c>
      <c r="K380" s="1">
        <v>3</v>
      </c>
      <c r="L380" s="1">
        <v>308</v>
      </c>
      <c r="M380" s="1">
        <f t="shared" si="27"/>
        <v>3308</v>
      </c>
      <c r="N380" s="107" t="e">
        <f ca="1">OFFSET(npc_level_config!$T$1,MATCH(M380,npc_level_config!A:A,0)-1,0)</f>
        <v>#VALUE!</v>
      </c>
      <c r="O380" s="107" t="e">
        <f ca="1" t="shared" si="28"/>
        <v>#VALUE!</v>
      </c>
      <c r="P380" s="106"/>
      <c r="R380" s="3" t="e">
        <f ca="1">OFFSET(battle_group!$C$1,MATCH(P380,battle_group!E:E,0)-1,0)</f>
        <v>#N/A</v>
      </c>
      <c r="T380" s="1">
        <v>130025</v>
      </c>
    </row>
    <row r="381" ht="15.75" spans="1:20">
      <c r="A381" s="1">
        <v>6139</v>
      </c>
      <c r="B381" s="1" t="s">
        <v>2034</v>
      </c>
      <c r="C381" s="1" t="s">
        <v>2075</v>
      </c>
      <c r="D381" s="1" t="s">
        <v>2034</v>
      </c>
      <c r="E381" s="213">
        <f ca="1">OFFSET(model!$A$1,MATCH(D381,model!B:B,0)-1,0)</f>
        <v>79</v>
      </c>
      <c r="G381" s="223" t="s">
        <v>2036</v>
      </c>
      <c r="H381" s="223" t="s">
        <v>1993</v>
      </c>
      <c r="I381" s="223" t="s">
        <v>1937</v>
      </c>
      <c r="J381" s="223" t="s">
        <v>2037</v>
      </c>
      <c r="K381" s="1">
        <v>3</v>
      </c>
      <c r="L381" s="1">
        <v>309</v>
      </c>
      <c r="M381" s="1">
        <f t="shared" si="27"/>
        <v>3309</v>
      </c>
      <c r="N381" s="107" t="e">
        <f ca="1">OFFSET(npc_level_config!$T$1,MATCH(M381,npc_level_config!A:A,0)-1,0)</f>
        <v>#VALUE!</v>
      </c>
      <c r="O381" s="107" t="e">
        <f ca="1" t="shared" si="28"/>
        <v>#VALUE!</v>
      </c>
      <c r="P381" s="106"/>
      <c r="R381" s="3" t="e">
        <f ca="1">OFFSET(battle_group!$C$1,MATCH(P381,battle_group!E:E,0)-1,0)</f>
        <v>#N/A</v>
      </c>
      <c r="T381" s="1">
        <v>130025</v>
      </c>
    </row>
    <row r="382" ht="15.75" spans="1:20">
      <c r="A382" s="1">
        <v>6140</v>
      </c>
      <c r="B382" s="1" t="s">
        <v>2034</v>
      </c>
      <c r="C382" s="1" t="s">
        <v>2076</v>
      </c>
      <c r="D382" s="1" t="s">
        <v>2034</v>
      </c>
      <c r="E382" s="213">
        <f ca="1">OFFSET(model!$A$1,MATCH(D382,model!B:B,0)-1,0)</f>
        <v>79</v>
      </c>
      <c r="G382" s="223" t="s">
        <v>2036</v>
      </c>
      <c r="H382" s="223" t="s">
        <v>1993</v>
      </c>
      <c r="I382" s="223" t="s">
        <v>1937</v>
      </c>
      <c r="J382" s="223" t="s">
        <v>2037</v>
      </c>
      <c r="K382" s="1">
        <v>3</v>
      </c>
      <c r="L382" s="1">
        <v>310</v>
      </c>
      <c r="M382" s="1">
        <f t="shared" si="27"/>
        <v>3310</v>
      </c>
      <c r="N382" s="107" t="e">
        <f ca="1">OFFSET(npc_level_config!$T$1,MATCH(M382,npc_level_config!A:A,0)-1,0)</f>
        <v>#VALUE!</v>
      </c>
      <c r="O382" s="107" t="e">
        <f ca="1" t="shared" si="28"/>
        <v>#VALUE!</v>
      </c>
      <c r="P382" s="106"/>
      <c r="R382" s="3" t="e">
        <f ca="1">OFFSET(battle_group!$C$1,MATCH(P382,battle_group!E:E,0)-1,0)</f>
        <v>#N/A</v>
      </c>
      <c r="T382" s="1">
        <v>130025</v>
      </c>
    </row>
    <row r="383" spans="1:20">
      <c r="A383" s="1">
        <v>7001</v>
      </c>
      <c r="B383" s="261" t="s">
        <v>1494</v>
      </c>
      <c r="C383" s="1" t="s">
        <v>2077</v>
      </c>
      <c r="D383" s="261" t="s">
        <v>1494</v>
      </c>
      <c r="E383" s="213">
        <f ca="1">OFFSET(model!$A$1,MATCH(D383,model!B:B,0)-1,0)</f>
        <v>42</v>
      </c>
      <c r="G383" s="213" t="str">
        <f ca="1">OFFSET(model!$R$1,MATCH(E383,model!A:A,0)-1,0)</f>
        <v>role_gwyz</v>
      </c>
      <c r="H383" s="213"/>
      <c r="I383" s="213"/>
      <c r="J383" s="213"/>
      <c r="K383" s="1">
        <v>1</v>
      </c>
      <c r="L383" s="1">
        <v>500</v>
      </c>
      <c r="M383" s="1">
        <f t="shared" si="27"/>
        <v>1500</v>
      </c>
      <c r="N383" s="107" t="e">
        <f ca="1">OFFSET(npc_level_config!$T$1,MATCH(M383,npc_level_config!A:A,0)-1,0)</f>
        <v>#VALUE!</v>
      </c>
      <c r="O383" s="107" t="e">
        <f ca="1" t="shared" ref="O383:O425" si="29">ROUND(N383,-1)</f>
        <v>#VALUE!</v>
      </c>
      <c r="P383" s="216">
        <v>4101</v>
      </c>
      <c r="Q383" s="3">
        <f ca="1">IF(S383=0,6,OFFSET(passive_type!$J$1,MATCH(S383,passive_type!A:A,0)-1,0))</f>
        <v>6</v>
      </c>
      <c r="R383" s="3">
        <f ca="1">OFFSET(battle_group!$C$1,MATCH(P383,battle_group!E:E,0)-1,0)</f>
        <v>4</v>
      </c>
      <c r="S383" s="1">
        <v>0</v>
      </c>
      <c r="T383" s="238">
        <v>20139</v>
      </c>
    </row>
    <row r="384" spans="1:20">
      <c r="A384" s="1">
        <v>7002</v>
      </c>
      <c r="B384" s="261" t="s">
        <v>1497</v>
      </c>
      <c r="C384" s="1" t="s">
        <v>2078</v>
      </c>
      <c r="D384" s="261" t="s">
        <v>1497</v>
      </c>
      <c r="E384" s="213">
        <f ca="1">OFFSET(model!$A$1,MATCH(D384,model!B:B,0)-1,0)</f>
        <v>8</v>
      </c>
      <c r="G384" s="213" t="str">
        <f ca="1">OFFSET(model!$R$1,MATCH(E384,model!A:A,0)-1,0)</f>
        <v>monster_8</v>
      </c>
      <c r="H384" s="213"/>
      <c r="I384" s="213"/>
      <c r="J384" s="213"/>
      <c r="K384" s="1">
        <v>1</v>
      </c>
      <c r="L384" s="1">
        <v>501</v>
      </c>
      <c r="M384" s="1">
        <f t="shared" ref="M384:M447" si="30">K384*1000+L384</f>
        <v>1501</v>
      </c>
      <c r="N384" s="107" t="e">
        <f ca="1">OFFSET(npc_level_config!$T$1,MATCH(M384,npc_level_config!A:A,0)-1,0)</f>
        <v>#VALUE!</v>
      </c>
      <c r="O384" s="107" t="e">
        <f ca="1" t="shared" si="29"/>
        <v>#VALUE!</v>
      </c>
      <c r="P384" s="216">
        <v>4104</v>
      </c>
      <c r="Q384" s="3">
        <f ca="1">IF(S384=0,6,OFFSET(passive_type!$J$1,MATCH(S384,passive_type!A:A,0)-1,0))</f>
        <v>6</v>
      </c>
      <c r="R384" s="3">
        <f ca="1">OFFSET(battle_group!$C$1,MATCH(P384,battle_group!E:E,0)-1,0)</f>
        <v>4</v>
      </c>
      <c r="S384" s="1">
        <v>0</v>
      </c>
      <c r="T384" s="238">
        <v>20137</v>
      </c>
    </row>
    <row r="385" spans="1:20">
      <c r="A385" s="1">
        <v>7003</v>
      </c>
      <c r="B385" s="261" t="s">
        <v>1561</v>
      </c>
      <c r="C385" s="1" t="s">
        <v>2079</v>
      </c>
      <c r="D385" s="261" t="s">
        <v>1561</v>
      </c>
      <c r="E385" s="213">
        <f ca="1">OFFSET(model!$A$1,MATCH(D385,model!B:B,0)-1,0)</f>
        <v>10</v>
      </c>
      <c r="G385" s="213" t="str">
        <f ca="1">OFFSET(model!$R$1,MATCH(E385,model!A:A,0)-1,0)</f>
        <v>monster_10</v>
      </c>
      <c r="H385" s="213"/>
      <c r="I385" s="213"/>
      <c r="J385" s="213"/>
      <c r="K385" s="1">
        <v>1</v>
      </c>
      <c r="L385" s="1">
        <v>502</v>
      </c>
      <c r="M385" s="1">
        <f t="shared" si="30"/>
        <v>1502</v>
      </c>
      <c r="N385" s="107" t="e">
        <f ca="1">OFFSET(npc_level_config!$T$1,MATCH(M385,npc_level_config!A:A,0)-1,0)</f>
        <v>#VALUE!</v>
      </c>
      <c r="O385" s="107" t="e">
        <f ca="1" t="shared" si="29"/>
        <v>#VALUE!</v>
      </c>
      <c r="P385" s="216">
        <v>3106</v>
      </c>
      <c r="Q385" s="3">
        <v>3</v>
      </c>
      <c r="R385" s="3">
        <f ca="1">OFFSET(battle_group!$C$1,MATCH(P385,battle_group!E:E,0)-1,0)</f>
        <v>3</v>
      </c>
      <c r="T385" s="238">
        <v>20107</v>
      </c>
    </row>
    <row r="386" spans="1:20">
      <c r="A386" s="1">
        <v>7004</v>
      </c>
      <c r="B386" s="262" t="s">
        <v>1677</v>
      </c>
      <c r="C386" s="1" t="s">
        <v>2080</v>
      </c>
      <c r="D386" s="262" t="s">
        <v>1677</v>
      </c>
      <c r="E386" s="213">
        <f ca="1">OFFSET(model!$A$1,MATCH(D386,model!B:B,0)-1,0)</f>
        <v>4</v>
      </c>
      <c r="G386" s="213" t="str">
        <f ca="1">OFFSET(model!$R$1,MATCH(E386,model!A:A,0)-1,0)</f>
        <v>monster_4</v>
      </c>
      <c r="H386" s="213"/>
      <c r="I386" s="213"/>
      <c r="J386" s="213"/>
      <c r="K386" s="1">
        <v>1</v>
      </c>
      <c r="L386" s="1">
        <v>503</v>
      </c>
      <c r="M386" s="1">
        <f t="shared" si="30"/>
        <v>1503</v>
      </c>
      <c r="N386" s="107" t="e">
        <f ca="1">OFFSET(npc_level_config!$T$1,MATCH(M386,npc_level_config!A:A,0)-1,0)</f>
        <v>#VALUE!</v>
      </c>
      <c r="O386" s="107" t="e">
        <f ca="1" t="shared" si="29"/>
        <v>#VALUE!</v>
      </c>
      <c r="P386" s="216">
        <v>4103</v>
      </c>
      <c r="Q386" s="3">
        <v>6</v>
      </c>
      <c r="R386" s="3">
        <v>4</v>
      </c>
      <c r="S386" s="1">
        <v>0</v>
      </c>
      <c r="T386" s="1">
        <v>20103</v>
      </c>
    </row>
    <row r="387" spans="1:20">
      <c r="A387" s="1">
        <v>7005</v>
      </c>
      <c r="B387" s="261" t="s">
        <v>1561</v>
      </c>
      <c r="C387" s="1" t="s">
        <v>2081</v>
      </c>
      <c r="D387" s="261" t="s">
        <v>1561</v>
      </c>
      <c r="E387" s="213">
        <f ca="1">OFFSET(model!$A$1,MATCH(D387,model!B:B,0)-1,0)</f>
        <v>10</v>
      </c>
      <c r="G387" s="213" t="str">
        <f ca="1">OFFSET(model!$R$1,MATCH(E387,model!A:A,0)-1,0)</f>
        <v>monster_10</v>
      </c>
      <c r="H387" s="213"/>
      <c r="I387" s="213"/>
      <c r="J387" s="213"/>
      <c r="K387" s="1">
        <v>1</v>
      </c>
      <c r="L387" s="1">
        <v>504</v>
      </c>
      <c r="M387" s="1">
        <f t="shared" si="30"/>
        <v>1504</v>
      </c>
      <c r="N387" s="107" t="e">
        <f ca="1">OFFSET(npc_level_config!$T$1,MATCH(M387,npc_level_config!A:A,0)-1,0)</f>
        <v>#VALUE!</v>
      </c>
      <c r="O387" s="107" t="e">
        <f ca="1" t="shared" si="29"/>
        <v>#VALUE!</v>
      </c>
      <c r="P387" s="216">
        <v>4103</v>
      </c>
      <c r="Q387" s="3">
        <v>6</v>
      </c>
      <c r="R387" s="3">
        <v>4</v>
      </c>
      <c r="S387" s="1">
        <v>0</v>
      </c>
      <c r="T387" s="238">
        <v>20103</v>
      </c>
    </row>
    <row r="388" spans="1:20">
      <c r="A388" s="1">
        <v>7006</v>
      </c>
      <c r="B388" s="261" t="s">
        <v>1494</v>
      </c>
      <c r="C388" s="1" t="s">
        <v>2082</v>
      </c>
      <c r="D388" s="261" t="s">
        <v>1494</v>
      </c>
      <c r="E388" s="213">
        <f ca="1">OFFSET(model!$A$1,MATCH(D388,model!B:B,0)-1,0)</f>
        <v>42</v>
      </c>
      <c r="G388" s="213" t="str">
        <f ca="1">OFFSET(model!$R$1,MATCH(E388,model!A:A,0)-1,0)</f>
        <v>role_gwyz</v>
      </c>
      <c r="H388" s="213"/>
      <c r="I388" s="213"/>
      <c r="J388" s="213"/>
      <c r="K388" s="1">
        <v>1</v>
      </c>
      <c r="L388" s="1">
        <v>505</v>
      </c>
      <c r="M388" s="1">
        <f t="shared" si="30"/>
        <v>1505</v>
      </c>
      <c r="N388" s="107" t="e">
        <f ca="1">OFFSET(npc_level_config!$T$1,MATCH(M388,npc_level_config!A:A,0)-1,0)</f>
        <v>#VALUE!</v>
      </c>
      <c r="O388" s="107" t="e">
        <f ca="1" t="shared" si="29"/>
        <v>#VALUE!</v>
      </c>
      <c r="P388" s="216">
        <v>4103</v>
      </c>
      <c r="Q388" s="3">
        <v>6</v>
      </c>
      <c r="R388" s="3">
        <v>4</v>
      </c>
      <c r="S388" s="1">
        <v>0</v>
      </c>
      <c r="T388" s="238">
        <v>20103</v>
      </c>
    </row>
    <row r="389" spans="1:20">
      <c r="A389" s="1">
        <v>7007</v>
      </c>
      <c r="B389" s="261" t="s">
        <v>1497</v>
      </c>
      <c r="C389" s="1" t="s">
        <v>2083</v>
      </c>
      <c r="D389" s="261" t="s">
        <v>1497</v>
      </c>
      <c r="E389" s="213">
        <f ca="1">OFFSET(model!$A$1,MATCH(D389,model!B:B,0)-1,0)</f>
        <v>8</v>
      </c>
      <c r="G389" s="213" t="str">
        <f ca="1">OFFSET(model!$R$1,MATCH(E389,model!A:A,0)-1,0)</f>
        <v>monster_8</v>
      </c>
      <c r="H389" s="213"/>
      <c r="I389" s="213"/>
      <c r="J389" s="213"/>
      <c r="K389" s="1">
        <v>1</v>
      </c>
      <c r="L389" s="1">
        <v>506</v>
      </c>
      <c r="M389" s="1">
        <f t="shared" si="30"/>
        <v>1506</v>
      </c>
      <c r="N389" s="107" t="e">
        <f ca="1">OFFSET(npc_level_config!$T$1,MATCH(M389,npc_level_config!A:A,0)-1,0)</f>
        <v>#VALUE!</v>
      </c>
      <c r="O389" s="107" t="e">
        <f ca="1" t="shared" si="29"/>
        <v>#VALUE!</v>
      </c>
      <c r="P389" s="216">
        <v>4104</v>
      </c>
      <c r="Q389" s="3">
        <f ca="1">IF(S389=0,6,OFFSET(passive_type!$J$1,MATCH(S389,passive_type!A:A,0)-1,0))</f>
        <v>6</v>
      </c>
      <c r="R389" s="3">
        <f ca="1">OFFSET(battle_group!$C$1,MATCH(P389,battle_group!E:E,0)-1,0)</f>
        <v>4</v>
      </c>
      <c r="S389" s="1">
        <v>0</v>
      </c>
      <c r="T389" s="238">
        <v>20137</v>
      </c>
    </row>
    <row r="390" spans="1:20">
      <c r="A390" s="1">
        <v>7008</v>
      </c>
      <c r="B390" s="261" t="s">
        <v>1561</v>
      </c>
      <c r="C390" s="1" t="s">
        <v>2084</v>
      </c>
      <c r="D390" s="261" t="s">
        <v>1561</v>
      </c>
      <c r="E390" s="213">
        <f ca="1">OFFSET(model!$A$1,MATCH(D390,model!B:B,0)-1,0)</f>
        <v>10</v>
      </c>
      <c r="G390" s="213" t="str">
        <f ca="1">OFFSET(model!$R$1,MATCH(E390,model!A:A,0)-1,0)</f>
        <v>monster_10</v>
      </c>
      <c r="H390" s="213"/>
      <c r="I390" s="213"/>
      <c r="J390" s="213"/>
      <c r="K390" s="1">
        <v>1</v>
      </c>
      <c r="L390" s="1">
        <v>507</v>
      </c>
      <c r="M390" s="1">
        <f t="shared" si="30"/>
        <v>1507</v>
      </c>
      <c r="N390" s="107" t="e">
        <f ca="1">OFFSET(npc_level_config!$T$1,MATCH(M390,npc_level_config!A:A,0)-1,0)</f>
        <v>#VALUE!</v>
      </c>
      <c r="O390" s="107" t="e">
        <f ca="1" t="shared" si="29"/>
        <v>#VALUE!</v>
      </c>
      <c r="P390" s="216">
        <v>4103</v>
      </c>
      <c r="Q390" s="3">
        <v>6</v>
      </c>
      <c r="R390" s="3">
        <v>4</v>
      </c>
      <c r="S390" s="1">
        <v>0</v>
      </c>
      <c r="T390" s="238">
        <v>20103</v>
      </c>
    </row>
    <row r="391" spans="1:20">
      <c r="A391" s="1">
        <v>7009</v>
      </c>
      <c r="B391" s="262" t="s">
        <v>1677</v>
      </c>
      <c r="C391" s="1" t="s">
        <v>2085</v>
      </c>
      <c r="D391" s="262" t="s">
        <v>1677</v>
      </c>
      <c r="E391" s="213">
        <f ca="1">OFFSET(model!$A$1,MATCH(D391,model!B:B,0)-1,0)</f>
        <v>4</v>
      </c>
      <c r="G391" s="213" t="str">
        <f ca="1">OFFSET(model!$R$1,MATCH(E391,model!A:A,0)-1,0)</f>
        <v>monster_4</v>
      </c>
      <c r="H391" s="213"/>
      <c r="I391" s="213"/>
      <c r="J391" s="213"/>
      <c r="K391" s="1">
        <v>1</v>
      </c>
      <c r="L391" s="1">
        <v>508</v>
      </c>
      <c r="M391" s="1">
        <f t="shared" si="30"/>
        <v>1508</v>
      </c>
      <c r="N391" s="107" t="e">
        <f ca="1">OFFSET(npc_level_config!$T$1,MATCH(M391,npc_level_config!A:A,0)-1,0)</f>
        <v>#VALUE!</v>
      </c>
      <c r="O391" s="107" t="e">
        <f ca="1" t="shared" si="29"/>
        <v>#VALUE!</v>
      </c>
      <c r="P391" s="216">
        <v>4103</v>
      </c>
      <c r="Q391" s="3">
        <v>6</v>
      </c>
      <c r="R391" s="3">
        <v>4</v>
      </c>
      <c r="S391" s="1">
        <v>0</v>
      </c>
      <c r="T391" s="1">
        <v>20103</v>
      </c>
    </row>
    <row r="392" spans="1:20">
      <c r="A392" s="1">
        <v>7010</v>
      </c>
      <c r="B392" s="261" t="s">
        <v>1689</v>
      </c>
      <c r="C392" s="1" t="s">
        <v>2086</v>
      </c>
      <c r="D392" s="261" t="s">
        <v>1689</v>
      </c>
      <c r="E392" s="213">
        <f ca="1">OFFSET(model!$A$1,MATCH(D392,model!B:B,0)-1,0)</f>
        <v>77</v>
      </c>
      <c r="G392" s="213" t="str">
        <f ca="1">OFFSET(model!$R$1,MATCH(E392,model!A:A,0)-1,0)</f>
        <v>monster_4</v>
      </c>
      <c r="H392" s="213"/>
      <c r="I392" s="213"/>
      <c r="J392" s="213"/>
      <c r="K392" s="1">
        <v>1</v>
      </c>
      <c r="L392" s="1">
        <v>509</v>
      </c>
      <c r="M392" s="1">
        <f t="shared" si="30"/>
        <v>1509</v>
      </c>
      <c r="N392" s="107" t="e">
        <f ca="1">OFFSET(npc_level_config!$T$1,MATCH(M392,npc_level_config!A:A,0)-1,0)</f>
        <v>#VALUE!</v>
      </c>
      <c r="O392" s="107" t="e">
        <f ca="1" t="shared" si="29"/>
        <v>#VALUE!</v>
      </c>
      <c r="P392" s="216">
        <v>4103</v>
      </c>
      <c r="Q392" s="3">
        <v>6</v>
      </c>
      <c r="R392" s="3">
        <v>4</v>
      </c>
      <c r="S392" s="1">
        <v>0</v>
      </c>
      <c r="T392" s="1">
        <v>20138</v>
      </c>
    </row>
    <row r="393" spans="1:20">
      <c r="A393" s="1">
        <v>7011</v>
      </c>
      <c r="B393" s="261" t="s">
        <v>1494</v>
      </c>
      <c r="C393" s="1" t="s">
        <v>2087</v>
      </c>
      <c r="D393" s="261" t="s">
        <v>1494</v>
      </c>
      <c r="E393" s="213">
        <f ca="1">OFFSET(model!$A$1,MATCH(D393,model!B:B,0)-1,0)</f>
        <v>42</v>
      </c>
      <c r="G393" s="213" t="str">
        <f ca="1">OFFSET(model!$R$1,MATCH(E393,model!A:A,0)-1,0)</f>
        <v>role_gwyz</v>
      </c>
      <c r="H393" s="213"/>
      <c r="I393" s="213"/>
      <c r="J393" s="213"/>
      <c r="K393" s="1">
        <v>1</v>
      </c>
      <c r="L393" s="1">
        <v>510</v>
      </c>
      <c r="M393" s="1">
        <f t="shared" si="30"/>
        <v>1510</v>
      </c>
      <c r="N393" s="107" t="e">
        <f ca="1">OFFSET(npc_level_config!$T$1,MATCH(M393,npc_level_config!A:A,0)-1,0)</f>
        <v>#VALUE!</v>
      </c>
      <c r="O393" s="107" t="e">
        <f ca="1" t="shared" si="29"/>
        <v>#VALUE!</v>
      </c>
      <c r="P393" s="216">
        <v>4103</v>
      </c>
      <c r="Q393" s="3">
        <v>6</v>
      </c>
      <c r="R393" s="3">
        <v>4</v>
      </c>
      <c r="S393" s="1">
        <v>0</v>
      </c>
      <c r="T393" s="238">
        <v>20138</v>
      </c>
    </row>
    <row r="394" spans="1:20">
      <c r="A394" s="1">
        <v>7012</v>
      </c>
      <c r="B394" s="261" t="s">
        <v>1497</v>
      </c>
      <c r="C394" s="1" t="s">
        <v>2088</v>
      </c>
      <c r="D394" s="261" t="s">
        <v>1497</v>
      </c>
      <c r="E394" s="213">
        <f ca="1">OFFSET(model!$A$1,MATCH(D394,model!B:B,0)-1,0)</f>
        <v>8</v>
      </c>
      <c r="G394" s="213" t="str">
        <f ca="1">OFFSET(model!$R$1,MATCH(E394,model!A:A,0)-1,0)</f>
        <v>monster_8</v>
      </c>
      <c r="H394" s="213"/>
      <c r="I394" s="213"/>
      <c r="J394" s="213"/>
      <c r="K394" s="1">
        <v>1</v>
      </c>
      <c r="L394" s="1">
        <v>511</v>
      </c>
      <c r="M394" s="1">
        <f t="shared" si="30"/>
        <v>1511</v>
      </c>
      <c r="N394" s="107" t="e">
        <f ca="1">OFFSET(npc_level_config!$T$1,MATCH(M394,npc_level_config!A:A,0)-1,0)</f>
        <v>#VALUE!</v>
      </c>
      <c r="O394" s="107" t="e">
        <f ca="1" t="shared" si="29"/>
        <v>#VALUE!</v>
      </c>
      <c r="P394" s="216">
        <v>4104</v>
      </c>
      <c r="Q394" s="3">
        <f ca="1">IF(S394=0,6,OFFSET(passive_type!$J$1,MATCH(S394,passive_type!A:A,0)-1,0))</f>
        <v>6</v>
      </c>
      <c r="R394" s="3">
        <f ca="1">OFFSET(battle_group!$C$1,MATCH(P394,battle_group!E:E,0)-1,0)</f>
        <v>4</v>
      </c>
      <c r="S394" s="1">
        <v>0</v>
      </c>
      <c r="T394" s="238">
        <v>20137</v>
      </c>
    </row>
    <row r="395" spans="1:20">
      <c r="A395" s="1">
        <v>7013</v>
      </c>
      <c r="B395" s="261" t="s">
        <v>1561</v>
      </c>
      <c r="C395" s="1" t="s">
        <v>2089</v>
      </c>
      <c r="D395" s="261" t="s">
        <v>1561</v>
      </c>
      <c r="E395" s="213">
        <f ca="1">OFFSET(model!$A$1,MATCH(D395,model!B:B,0)-1,0)</f>
        <v>10</v>
      </c>
      <c r="G395" s="213" t="str">
        <f ca="1">OFFSET(model!$R$1,MATCH(E395,model!A:A,0)-1,0)</f>
        <v>monster_10</v>
      </c>
      <c r="H395" s="213"/>
      <c r="I395" s="213"/>
      <c r="J395" s="213"/>
      <c r="K395" s="1">
        <v>1</v>
      </c>
      <c r="L395" s="1">
        <v>512</v>
      </c>
      <c r="M395" s="1">
        <f t="shared" si="30"/>
        <v>1512</v>
      </c>
      <c r="N395" s="107" t="e">
        <f ca="1">OFFSET(npc_level_config!$T$1,MATCH(M395,npc_level_config!A:A,0)-1,0)</f>
        <v>#VALUE!</v>
      </c>
      <c r="O395" s="107" t="e">
        <f ca="1" t="shared" si="29"/>
        <v>#VALUE!</v>
      </c>
      <c r="P395" s="216">
        <v>4103</v>
      </c>
      <c r="Q395" s="3">
        <v>6</v>
      </c>
      <c r="R395" s="3">
        <v>4</v>
      </c>
      <c r="S395" s="1">
        <v>0</v>
      </c>
      <c r="T395" s="238">
        <v>20138</v>
      </c>
    </row>
    <row r="396" spans="1:20">
      <c r="A396" s="1">
        <v>7014</v>
      </c>
      <c r="B396" s="262" t="s">
        <v>1677</v>
      </c>
      <c r="C396" s="1" t="s">
        <v>2090</v>
      </c>
      <c r="D396" s="262" t="s">
        <v>1677</v>
      </c>
      <c r="E396" s="213">
        <f ca="1">OFFSET(model!$A$1,MATCH(D396,model!B:B,0)-1,0)</f>
        <v>4</v>
      </c>
      <c r="G396" s="213" t="str">
        <f ca="1">OFFSET(model!$R$1,MATCH(E396,model!A:A,0)-1,0)</f>
        <v>monster_4</v>
      </c>
      <c r="H396" s="213"/>
      <c r="I396" s="213"/>
      <c r="J396" s="213"/>
      <c r="K396" s="1">
        <v>1</v>
      </c>
      <c r="L396" s="1">
        <v>513</v>
      </c>
      <c r="M396" s="1">
        <f t="shared" si="30"/>
        <v>1513</v>
      </c>
      <c r="N396" s="107" t="e">
        <f ca="1">OFFSET(npc_level_config!$T$1,MATCH(M396,npc_level_config!A:A,0)-1,0)</f>
        <v>#VALUE!</v>
      </c>
      <c r="O396" s="107" t="e">
        <f ca="1" t="shared" si="29"/>
        <v>#VALUE!</v>
      </c>
      <c r="P396" s="216">
        <v>4103</v>
      </c>
      <c r="Q396" s="3">
        <v>6</v>
      </c>
      <c r="R396" s="3">
        <v>4</v>
      </c>
      <c r="S396" s="1">
        <v>0</v>
      </c>
      <c r="T396" s="1">
        <v>20138</v>
      </c>
    </row>
    <row r="397" spans="1:20">
      <c r="A397" s="1">
        <v>7015</v>
      </c>
      <c r="B397" s="261" t="s">
        <v>1561</v>
      </c>
      <c r="C397" s="1" t="s">
        <v>2091</v>
      </c>
      <c r="D397" s="261" t="s">
        <v>1561</v>
      </c>
      <c r="E397" s="213">
        <f ca="1">OFFSET(model!$A$1,MATCH(D397,model!B:B,0)-1,0)</f>
        <v>10</v>
      </c>
      <c r="G397" s="213" t="str">
        <f ca="1">OFFSET(model!$R$1,MATCH(E397,model!A:A,0)-1,0)</f>
        <v>monster_10</v>
      </c>
      <c r="H397" s="213"/>
      <c r="I397" s="213"/>
      <c r="J397" s="213"/>
      <c r="K397" s="1">
        <v>1</v>
      </c>
      <c r="L397" s="1">
        <v>514</v>
      </c>
      <c r="M397" s="1">
        <f t="shared" si="30"/>
        <v>1514</v>
      </c>
      <c r="N397" s="107" t="e">
        <f ca="1">OFFSET(npc_level_config!$T$1,MATCH(M397,npc_level_config!A:A,0)-1,0)</f>
        <v>#VALUE!</v>
      </c>
      <c r="O397" s="107" t="e">
        <f ca="1" t="shared" si="29"/>
        <v>#VALUE!</v>
      </c>
      <c r="P397" s="216">
        <v>4103</v>
      </c>
      <c r="Q397" s="3">
        <v>6</v>
      </c>
      <c r="R397" s="3">
        <v>4</v>
      </c>
      <c r="S397" s="1">
        <v>0</v>
      </c>
      <c r="T397" s="238">
        <v>20138</v>
      </c>
    </row>
    <row r="398" spans="1:20">
      <c r="A398" s="1">
        <v>7016</v>
      </c>
      <c r="B398" s="261" t="s">
        <v>1494</v>
      </c>
      <c r="C398" s="1" t="s">
        <v>2092</v>
      </c>
      <c r="D398" s="261" t="s">
        <v>1494</v>
      </c>
      <c r="E398" s="213">
        <f ca="1">OFFSET(model!$A$1,MATCH(D398,model!B:B,0)-1,0)</f>
        <v>42</v>
      </c>
      <c r="G398" s="213" t="str">
        <f ca="1">OFFSET(model!$R$1,MATCH(E398,model!A:A,0)-1,0)</f>
        <v>role_gwyz</v>
      </c>
      <c r="H398" s="213"/>
      <c r="I398" s="213"/>
      <c r="J398" s="213"/>
      <c r="K398" s="1">
        <v>1</v>
      </c>
      <c r="L398" s="1">
        <v>515</v>
      </c>
      <c r="M398" s="1">
        <f t="shared" si="30"/>
        <v>1515</v>
      </c>
      <c r="N398" s="107" t="e">
        <f ca="1">OFFSET(npc_level_config!$T$1,MATCH(M398,npc_level_config!A:A,0)-1,0)</f>
        <v>#VALUE!</v>
      </c>
      <c r="O398" s="107" t="e">
        <f ca="1" t="shared" si="29"/>
        <v>#VALUE!</v>
      </c>
      <c r="P398" s="216">
        <v>4103</v>
      </c>
      <c r="Q398" s="3">
        <v>6</v>
      </c>
      <c r="R398" s="3">
        <v>4</v>
      </c>
      <c r="S398" s="1">
        <v>0</v>
      </c>
      <c r="T398" s="238">
        <v>20138</v>
      </c>
    </row>
    <row r="399" spans="1:20">
      <c r="A399" s="1">
        <v>7017</v>
      </c>
      <c r="B399" s="261" t="s">
        <v>1497</v>
      </c>
      <c r="C399" s="1" t="s">
        <v>2093</v>
      </c>
      <c r="D399" s="261" t="s">
        <v>1497</v>
      </c>
      <c r="E399" s="213">
        <f ca="1">OFFSET(model!$A$1,MATCH(D399,model!B:B,0)-1,0)</f>
        <v>8</v>
      </c>
      <c r="G399" s="213" t="str">
        <f ca="1">OFFSET(model!$R$1,MATCH(E399,model!A:A,0)-1,0)</f>
        <v>monster_8</v>
      </c>
      <c r="H399" s="213"/>
      <c r="I399" s="213"/>
      <c r="J399" s="213"/>
      <c r="K399" s="1">
        <v>1</v>
      </c>
      <c r="L399" s="1">
        <v>516</v>
      </c>
      <c r="M399" s="1">
        <f t="shared" si="30"/>
        <v>1516</v>
      </c>
      <c r="N399" s="107" t="e">
        <f ca="1">OFFSET(npc_level_config!$T$1,MATCH(M399,npc_level_config!A:A,0)-1,0)</f>
        <v>#VALUE!</v>
      </c>
      <c r="O399" s="107" t="e">
        <f ca="1" t="shared" si="29"/>
        <v>#VALUE!</v>
      </c>
      <c r="P399" s="216">
        <v>4104</v>
      </c>
      <c r="Q399" s="3">
        <f ca="1">IF(S399=0,6,OFFSET(passive_type!$J$1,MATCH(S399,passive_type!A:A,0)-1,0))</f>
        <v>6</v>
      </c>
      <c r="R399" s="3">
        <f ca="1">OFFSET(battle_group!$C$1,MATCH(P399,battle_group!E:E,0)-1,0)</f>
        <v>4</v>
      </c>
      <c r="S399" s="1">
        <v>0</v>
      </c>
      <c r="T399" s="238">
        <v>20137</v>
      </c>
    </row>
    <row r="400" spans="1:20">
      <c r="A400" s="1">
        <v>7018</v>
      </c>
      <c r="B400" s="261" t="s">
        <v>1561</v>
      </c>
      <c r="C400" s="1" t="s">
        <v>2094</v>
      </c>
      <c r="D400" s="261" t="s">
        <v>1561</v>
      </c>
      <c r="E400" s="213">
        <f ca="1">OFFSET(model!$A$1,MATCH(D400,model!B:B,0)-1,0)</f>
        <v>10</v>
      </c>
      <c r="G400" s="213" t="str">
        <f ca="1">OFFSET(model!$R$1,MATCH(E400,model!A:A,0)-1,0)</f>
        <v>monster_10</v>
      </c>
      <c r="H400" s="213"/>
      <c r="I400" s="213"/>
      <c r="J400" s="213"/>
      <c r="K400" s="1">
        <v>1</v>
      </c>
      <c r="L400" s="1">
        <v>517</v>
      </c>
      <c r="M400" s="1">
        <f t="shared" si="30"/>
        <v>1517</v>
      </c>
      <c r="N400" s="107" t="e">
        <f ca="1">OFFSET(npc_level_config!$T$1,MATCH(M400,npc_level_config!A:A,0)-1,0)</f>
        <v>#VALUE!</v>
      </c>
      <c r="O400" s="107" t="e">
        <f ca="1" t="shared" si="29"/>
        <v>#VALUE!</v>
      </c>
      <c r="P400" s="216">
        <v>4103</v>
      </c>
      <c r="Q400" s="3">
        <v>6</v>
      </c>
      <c r="R400" s="3">
        <v>4</v>
      </c>
      <c r="S400" s="1">
        <v>0</v>
      </c>
      <c r="T400" s="238">
        <v>20138</v>
      </c>
    </row>
    <row r="401" spans="1:20">
      <c r="A401" s="1">
        <v>7019</v>
      </c>
      <c r="B401" s="262" t="s">
        <v>1677</v>
      </c>
      <c r="C401" s="1" t="s">
        <v>2095</v>
      </c>
      <c r="D401" s="262" t="s">
        <v>1677</v>
      </c>
      <c r="E401" s="213">
        <f ca="1">OFFSET(model!$A$1,MATCH(D401,model!B:B,0)-1,0)</f>
        <v>4</v>
      </c>
      <c r="G401" s="213" t="str">
        <f ca="1">OFFSET(model!$R$1,MATCH(E401,model!A:A,0)-1,0)</f>
        <v>monster_4</v>
      </c>
      <c r="H401" s="213"/>
      <c r="I401" s="213"/>
      <c r="J401" s="213"/>
      <c r="K401" s="1">
        <v>1</v>
      </c>
      <c r="L401" s="1">
        <v>518</v>
      </c>
      <c r="M401" s="1">
        <f t="shared" si="30"/>
        <v>1518</v>
      </c>
      <c r="N401" s="107" t="e">
        <f ca="1">OFFSET(npc_level_config!$T$1,MATCH(M401,npc_level_config!A:A,0)-1,0)</f>
        <v>#VALUE!</v>
      </c>
      <c r="O401" s="107" t="e">
        <f ca="1" t="shared" si="29"/>
        <v>#VALUE!</v>
      </c>
      <c r="P401" s="216">
        <v>4103</v>
      </c>
      <c r="Q401" s="3">
        <v>6</v>
      </c>
      <c r="R401" s="3">
        <v>4</v>
      </c>
      <c r="S401" s="1">
        <v>0</v>
      </c>
      <c r="T401" s="1">
        <v>20138</v>
      </c>
    </row>
    <row r="402" spans="1:20">
      <c r="A402" s="1">
        <v>7020</v>
      </c>
      <c r="B402" s="261" t="s">
        <v>1689</v>
      </c>
      <c r="C402" s="1" t="s">
        <v>2096</v>
      </c>
      <c r="D402" s="261" t="s">
        <v>1689</v>
      </c>
      <c r="E402" s="213">
        <f ca="1">OFFSET(model!$A$1,MATCH(D402,model!B:B,0)-1,0)</f>
        <v>77</v>
      </c>
      <c r="G402" s="213" t="str">
        <f ca="1">OFFSET(model!$R$1,MATCH(E402,model!A:A,0)-1,0)</f>
        <v>monster_4</v>
      </c>
      <c r="H402" s="213"/>
      <c r="I402" s="213"/>
      <c r="J402" s="213"/>
      <c r="K402" s="1">
        <v>1</v>
      </c>
      <c r="L402" s="1">
        <v>519</v>
      </c>
      <c r="M402" s="1">
        <f t="shared" si="30"/>
        <v>1519</v>
      </c>
      <c r="N402" s="107" t="e">
        <f ca="1">OFFSET(npc_level_config!$T$1,MATCH(M402,npc_level_config!A:A,0)-1,0)</f>
        <v>#VALUE!</v>
      </c>
      <c r="O402" s="107" t="e">
        <f ca="1" t="shared" si="29"/>
        <v>#VALUE!</v>
      </c>
      <c r="P402" s="216">
        <v>4103</v>
      </c>
      <c r="Q402" s="3">
        <v>6</v>
      </c>
      <c r="R402" s="3">
        <v>4</v>
      </c>
      <c r="S402" s="1">
        <v>0</v>
      </c>
      <c r="T402" s="1">
        <v>20138</v>
      </c>
    </row>
    <row r="403" spans="1:20">
      <c r="A403" s="1">
        <v>7021</v>
      </c>
      <c r="B403" s="261" t="s">
        <v>1494</v>
      </c>
      <c r="C403" s="1" t="s">
        <v>2097</v>
      </c>
      <c r="D403" s="261" t="s">
        <v>1494</v>
      </c>
      <c r="E403" s="213">
        <f ca="1">OFFSET(model!$A$1,MATCH(D403,model!B:B,0)-1,0)</f>
        <v>42</v>
      </c>
      <c r="G403" s="213" t="str">
        <f ca="1">OFFSET(model!$R$1,MATCH(E403,model!A:A,0)-1,0)</f>
        <v>role_gwyz</v>
      </c>
      <c r="H403" s="213"/>
      <c r="I403" s="213"/>
      <c r="J403" s="213"/>
      <c r="K403" s="1">
        <v>1</v>
      </c>
      <c r="L403" s="1">
        <v>520</v>
      </c>
      <c r="M403" s="1">
        <f t="shared" si="30"/>
        <v>1520</v>
      </c>
      <c r="N403" s="107" t="e">
        <f ca="1">OFFSET(npc_level_config!$T$1,MATCH(M403,npc_level_config!A:A,0)-1,0)</f>
        <v>#VALUE!</v>
      </c>
      <c r="O403" s="107" t="e">
        <f ca="1" t="shared" si="29"/>
        <v>#VALUE!</v>
      </c>
      <c r="P403" s="216">
        <v>4103</v>
      </c>
      <c r="Q403" s="3">
        <v>6</v>
      </c>
      <c r="R403" s="3">
        <v>4</v>
      </c>
      <c r="S403" s="1">
        <v>0</v>
      </c>
      <c r="T403" s="238">
        <v>20138</v>
      </c>
    </row>
    <row r="404" spans="1:20">
      <c r="A404" s="1">
        <v>7022</v>
      </c>
      <c r="B404" s="261" t="s">
        <v>1497</v>
      </c>
      <c r="C404" s="1" t="s">
        <v>2098</v>
      </c>
      <c r="D404" s="261" t="s">
        <v>1497</v>
      </c>
      <c r="E404" s="213">
        <f ca="1">OFFSET(model!$A$1,MATCH(D404,model!B:B,0)-1,0)</f>
        <v>8</v>
      </c>
      <c r="G404" s="213" t="str">
        <f ca="1">OFFSET(model!$R$1,MATCH(E404,model!A:A,0)-1,0)</f>
        <v>monster_8</v>
      </c>
      <c r="H404" s="213"/>
      <c r="I404" s="213"/>
      <c r="J404" s="213"/>
      <c r="K404" s="1">
        <v>1</v>
      </c>
      <c r="L404" s="1">
        <v>521</v>
      </c>
      <c r="M404" s="1">
        <f t="shared" si="30"/>
        <v>1521</v>
      </c>
      <c r="N404" s="107" t="e">
        <f ca="1">OFFSET(npc_level_config!$T$1,MATCH(M404,npc_level_config!A:A,0)-1,0)</f>
        <v>#VALUE!</v>
      </c>
      <c r="O404" s="107" t="e">
        <f ca="1" t="shared" si="29"/>
        <v>#VALUE!</v>
      </c>
      <c r="P404" s="216">
        <v>4104</v>
      </c>
      <c r="Q404" s="3">
        <f ca="1">IF(S404=0,6,OFFSET(passive_type!$J$1,MATCH(S404,passive_type!A:A,0)-1,0))</f>
        <v>6</v>
      </c>
      <c r="R404" s="3">
        <f ca="1">OFFSET(battle_group!$C$1,MATCH(P404,battle_group!E:E,0)-1,0)</f>
        <v>4</v>
      </c>
      <c r="S404" s="1">
        <v>0</v>
      </c>
      <c r="T404" s="238">
        <v>20137</v>
      </c>
    </row>
    <row r="405" spans="1:20">
      <c r="A405" s="1">
        <v>7023</v>
      </c>
      <c r="B405" s="261" t="s">
        <v>1561</v>
      </c>
      <c r="C405" s="1" t="s">
        <v>2099</v>
      </c>
      <c r="D405" s="261" t="s">
        <v>1561</v>
      </c>
      <c r="E405" s="213">
        <f ca="1">OFFSET(model!$A$1,MATCH(D405,model!B:B,0)-1,0)</f>
        <v>10</v>
      </c>
      <c r="G405" s="213" t="str">
        <f ca="1">OFFSET(model!$R$1,MATCH(E405,model!A:A,0)-1,0)</f>
        <v>monster_10</v>
      </c>
      <c r="H405" s="213"/>
      <c r="I405" s="213"/>
      <c r="J405" s="213"/>
      <c r="K405" s="1">
        <v>1</v>
      </c>
      <c r="L405" s="1">
        <v>522</v>
      </c>
      <c r="M405" s="1">
        <f t="shared" si="30"/>
        <v>1522</v>
      </c>
      <c r="N405" s="107" t="e">
        <f ca="1">OFFSET(npc_level_config!$T$1,MATCH(M405,npc_level_config!A:A,0)-1,0)</f>
        <v>#VALUE!</v>
      </c>
      <c r="O405" s="107" t="e">
        <f ca="1" t="shared" si="29"/>
        <v>#VALUE!</v>
      </c>
      <c r="P405" s="216">
        <v>4103</v>
      </c>
      <c r="Q405" s="3">
        <v>6</v>
      </c>
      <c r="R405" s="3">
        <v>4</v>
      </c>
      <c r="S405" s="1">
        <v>0</v>
      </c>
      <c r="T405" s="238">
        <v>20138</v>
      </c>
    </row>
    <row r="406" spans="1:20">
      <c r="A406" s="1">
        <v>7024</v>
      </c>
      <c r="B406" s="262" t="s">
        <v>1677</v>
      </c>
      <c r="C406" s="1" t="s">
        <v>2100</v>
      </c>
      <c r="D406" s="262" t="s">
        <v>1677</v>
      </c>
      <c r="E406" s="213">
        <f ca="1">OFFSET(model!$A$1,MATCH(D406,model!B:B,0)-1,0)</f>
        <v>4</v>
      </c>
      <c r="G406" s="213" t="str">
        <f ca="1">OFFSET(model!$R$1,MATCH(E406,model!A:A,0)-1,0)</f>
        <v>monster_4</v>
      </c>
      <c r="H406" s="213"/>
      <c r="I406" s="213"/>
      <c r="J406" s="213"/>
      <c r="K406" s="1">
        <v>1</v>
      </c>
      <c r="L406" s="1">
        <v>523</v>
      </c>
      <c r="M406" s="1">
        <f t="shared" si="30"/>
        <v>1523</v>
      </c>
      <c r="N406" s="107" t="e">
        <f ca="1">OFFSET(npc_level_config!$T$1,MATCH(M406,npc_level_config!A:A,0)-1,0)</f>
        <v>#VALUE!</v>
      </c>
      <c r="O406" s="107" t="e">
        <f ca="1" t="shared" si="29"/>
        <v>#VALUE!</v>
      </c>
      <c r="P406" s="216">
        <v>4103</v>
      </c>
      <c r="Q406" s="3">
        <v>6</v>
      </c>
      <c r="R406" s="3">
        <v>4</v>
      </c>
      <c r="S406" s="1">
        <v>0</v>
      </c>
      <c r="T406" s="1">
        <v>20138</v>
      </c>
    </row>
    <row r="407" spans="1:20">
      <c r="A407" s="1">
        <v>7025</v>
      </c>
      <c r="B407" s="261" t="s">
        <v>1561</v>
      </c>
      <c r="C407" s="1" t="s">
        <v>2101</v>
      </c>
      <c r="D407" s="261" t="s">
        <v>1561</v>
      </c>
      <c r="E407" s="213">
        <f ca="1">OFFSET(model!$A$1,MATCH(D407,model!B:B,0)-1,0)</f>
        <v>10</v>
      </c>
      <c r="G407" s="213" t="str">
        <f ca="1">OFFSET(model!$R$1,MATCH(E407,model!A:A,0)-1,0)</f>
        <v>monster_10</v>
      </c>
      <c r="H407" s="213"/>
      <c r="I407" s="213"/>
      <c r="J407" s="213"/>
      <c r="K407" s="1">
        <v>1</v>
      </c>
      <c r="L407" s="1">
        <v>524</v>
      </c>
      <c r="M407" s="1">
        <f t="shared" si="30"/>
        <v>1524</v>
      </c>
      <c r="N407" s="107" t="e">
        <f ca="1">OFFSET(npc_level_config!$T$1,MATCH(M407,npc_level_config!A:A,0)-1,0)</f>
        <v>#VALUE!</v>
      </c>
      <c r="O407" s="107" t="e">
        <f ca="1" t="shared" si="29"/>
        <v>#VALUE!</v>
      </c>
      <c r="P407" s="216">
        <v>4103</v>
      </c>
      <c r="Q407" s="3">
        <v>6</v>
      </c>
      <c r="R407" s="3">
        <v>4</v>
      </c>
      <c r="S407" s="1">
        <v>0</v>
      </c>
      <c r="T407" s="238">
        <v>20138</v>
      </c>
    </row>
    <row r="408" spans="1:20">
      <c r="A408" s="1">
        <v>7026</v>
      </c>
      <c r="B408" s="261" t="s">
        <v>1494</v>
      </c>
      <c r="C408" s="1" t="s">
        <v>2102</v>
      </c>
      <c r="D408" s="261" t="s">
        <v>1494</v>
      </c>
      <c r="E408" s="213">
        <f ca="1">OFFSET(model!$A$1,MATCH(D408,model!B:B,0)-1,0)</f>
        <v>42</v>
      </c>
      <c r="G408" s="213" t="str">
        <f ca="1">OFFSET(model!$R$1,MATCH(E408,model!A:A,0)-1,0)</f>
        <v>role_gwyz</v>
      </c>
      <c r="H408" s="213"/>
      <c r="I408" s="213"/>
      <c r="J408" s="213"/>
      <c r="K408" s="1">
        <v>1</v>
      </c>
      <c r="L408" s="1">
        <v>525</v>
      </c>
      <c r="M408" s="1">
        <f t="shared" si="30"/>
        <v>1525</v>
      </c>
      <c r="N408" s="107" t="e">
        <f ca="1">OFFSET(npc_level_config!$T$1,MATCH(M408,npc_level_config!A:A,0)-1,0)</f>
        <v>#VALUE!</v>
      </c>
      <c r="O408" s="107" t="e">
        <f ca="1" t="shared" si="29"/>
        <v>#VALUE!</v>
      </c>
      <c r="P408" s="216">
        <v>4103</v>
      </c>
      <c r="Q408" s="3">
        <v>6</v>
      </c>
      <c r="R408" s="3">
        <v>4</v>
      </c>
      <c r="S408" s="1">
        <v>0</v>
      </c>
      <c r="T408" s="238">
        <v>20138</v>
      </c>
    </row>
    <row r="409" spans="1:20">
      <c r="A409" s="1">
        <v>7027</v>
      </c>
      <c r="B409" s="261" t="s">
        <v>1497</v>
      </c>
      <c r="C409" s="1" t="s">
        <v>2103</v>
      </c>
      <c r="D409" s="261" t="s">
        <v>1497</v>
      </c>
      <c r="E409" s="213">
        <f ca="1">OFFSET(model!$A$1,MATCH(D409,model!B:B,0)-1,0)</f>
        <v>8</v>
      </c>
      <c r="G409" s="213" t="str">
        <f ca="1">OFFSET(model!$R$1,MATCH(E409,model!A:A,0)-1,0)</f>
        <v>monster_8</v>
      </c>
      <c r="H409" s="213"/>
      <c r="I409" s="213"/>
      <c r="J409" s="213"/>
      <c r="K409" s="1">
        <v>1</v>
      </c>
      <c r="L409" s="1">
        <v>526</v>
      </c>
      <c r="M409" s="1">
        <f t="shared" si="30"/>
        <v>1526</v>
      </c>
      <c r="N409" s="107" t="e">
        <f ca="1">OFFSET(npc_level_config!$T$1,MATCH(M409,npc_level_config!A:A,0)-1,0)</f>
        <v>#VALUE!</v>
      </c>
      <c r="O409" s="107" t="e">
        <f ca="1" t="shared" si="29"/>
        <v>#VALUE!</v>
      </c>
      <c r="P409" s="216">
        <v>4104</v>
      </c>
      <c r="Q409" s="3">
        <f ca="1">IF(S409=0,6,OFFSET(passive_type!$J$1,MATCH(S409,passive_type!A:A,0)-1,0))</f>
        <v>6</v>
      </c>
      <c r="R409" s="3">
        <f ca="1">OFFSET(battle_group!$C$1,MATCH(P409,battle_group!E:E,0)-1,0)</f>
        <v>4</v>
      </c>
      <c r="S409" s="1">
        <v>0</v>
      </c>
      <c r="T409" s="238">
        <v>20137</v>
      </c>
    </row>
    <row r="410" spans="1:20">
      <c r="A410" s="1">
        <v>7028</v>
      </c>
      <c r="B410" s="261" t="s">
        <v>1561</v>
      </c>
      <c r="C410" s="1" t="s">
        <v>2104</v>
      </c>
      <c r="D410" s="261" t="s">
        <v>1561</v>
      </c>
      <c r="E410" s="213">
        <f ca="1">OFFSET(model!$A$1,MATCH(D410,model!B:B,0)-1,0)</f>
        <v>10</v>
      </c>
      <c r="G410" s="213" t="str">
        <f ca="1">OFFSET(model!$R$1,MATCH(E410,model!A:A,0)-1,0)</f>
        <v>monster_10</v>
      </c>
      <c r="H410" s="213"/>
      <c r="I410" s="213"/>
      <c r="J410" s="213"/>
      <c r="K410" s="1">
        <v>1</v>
      </c>
      <c r="L410" s="1">
        <v>527</v>
      </c>
      <c r="M410" s="1">
        <f t="shared" si="30"/>
        <v>1527</v>
      </c>
      <c r="N410" s="107" t="e">
        <f ca="1">OFFSET(npc_level_config!$T$1,MATCH(M410,npc_level_config!A:A,0)-1,0)</f>
        <v>#VALUE!</v>
      </c>
      <c r="O410" s="107" t="e">
        <f ca="1" t="shared" si="29"/>
        <v>#VALUE!</v>
      </c>
      <c r="P410" s="216">
        <v>4103</v>
      </c>
      <c r="Q410" s="3">
        <v>6</v>
      </c>
      <c r="R410" s="3">
        <v>4</v>
      </c>
      <c r="S410" s="1">
        <v>0</v>
      </c>
      <c r="T410" s="238">
        <v>20138</v>
      </c>
    </row>
    <row r="411" spans="1:20">
      <c r="A411" s="1">
        <v>7029</v>
      </c>
      <c r="B411" s="262" t="s">
        <v>1677</v>
      </c>
      <c r="C411" s="1" t="s">
        <v>2105</v>
      </c>
      <c r="D411" s="262" t="s">
        <v>1677</v>
      </c>
      <c r="E411" s="213">
        <f ca="1">OFFSET(model!$A$1,MATCH(D411,model!B:B,0)-1,0)</f>
        <v>4</v>
      </c>
      <c r="G411" s="213" t="str">
        <f ca="1">OFFSET(model!$R$1,MATCH(E411,model!A:A,0)-1,0)</f>
        <v>monster_4</v>
      </c>
      <c r="H411" s="213"/>
      <c r="I411" s="213"/>
      <c r="J411" s="213"/>
      <c r="K411" s="1">
        <v>1</v>
      </c>
      <c r="L411" s="1">
        <v>528</v>
      </c>
      <c r="M411" s="1">
        <f t="shared" si="30"/>
        <v>1528</v>
      </c>
      <c r="N411" s="107" t="e">
        <f ca="1">OFFSET(npc_level_config!$T$1,MATCH(M411,npc_level_config!A:A,0)-1,0)</f>
        <v>#VALUE!</v>
      </c>
      <c r="O411" s="107" t="e">
        <f ca="1" t="shared" si="29"/>
        <v>#VALUE!</v>
      </c>
      <c r="P411" s="216">
        <v>4103</v>
      </c>
      <c r="Q411" s="3">
        <v>6</v>
      </c>
      <c r="R411" s="3">
        <v>4</v>
      </c>
      <c r="S411" s="1">
        <v>0</v>
      </c>
      <c r="T411" s="1">
        <v>20138</v>
      </c>
    </row>
    <row r="412" spans="1:20">
      <c r="A412" s="1">
        <v>7030</v>
      </c>
      <c r="B412" s="261" t="s">
        <v>1689</v>
      </c>
      <c r="C412" s="1" t="s">
        <v>2106</v>
      </c>
      <c r="D412" s="261" t="s">
        <v>1689</v>
      </c>
      <c r="E412" s="213">
        <f ca="1">OFFSET(model!$A$1,MATCH(D412,model!B:B,0)-1,0)</f>
        <v>77</v>
      </c>
      <c r="G412" s="213" t="str">
        <f ca="1">OFFSET(model!$R$1,MATCH(E412,model!A:A,0)-1,0)</f>
        <v>monster_4</v>
      </c>
      <c r="H412" s="213"/>
      <c r="I412" s="213"/>
      <c r="J412" s="213"/>
      <c r="K412" s="1">
        <v>1</v>
      </c>
      <c r="L412" s="1">
        <v>529</v>
      </c>
      <c r="M412" s="1">
        <f t="shared" si="30"/>
        <v>1529</v>
      </c>
      <c r="N412" s="107" t="e">
        <f ca="1">OFFSET(npc_level_config!$T$1,MATCH(M412,npc_level_config!A:A,0)-1,0)</f>
        <v>#VALUE!</v>
      </c>
      <c r="O412" s="107" t="e">
        <f ca="1" t="shared" si="29"/>
        <v>#VALUE!</v>
      </c>
      <c r="P412" s="216">
        <v>4103</v>
      </c>
      <c r="Q412" s="3">
        <v>6</v>
      </c>
      <c r="R412" s="3">
        <v>4</v>
      </c>
      <c r="S412" s="1">
        <v>0</v>
      </c>
      <c r="T412" s="1">
        <v>20138</v>
      </c>
    </row>
    <row r="413" spans="1:20">
      <c r="A413" s="1">
        <v>7031</v>
      </c>
      <c r="B413" s="261" t="s">
        <v>1494</v>
      </c>
      <c r="C413" s="1" t="s">
        <v>2107</v>
      </c>
      <c r="D413" s="261" t="s">
        <v>1494</v>
      </c>
      <c r="E413" s="213">
        <f ca="1">OFFSET(model!$A$1,MATCH(D413,model!B:B,0)-1,0)</f>
        <v>42</v>
      </c>
      <c r="G413" s="213" t="str">
        <f ca="1">OFFSET(model!$R$1,MATCH(E413,model!A:A,0)-1,0)</f>
        <v>role_gwyz</v>
      </c>
      <c r="H413" s="213"/>
      <c r="I413" s="213"/>
      <c r="J413" s="213"/>
      <c r="K413" s="1">
        <v>1</v>
      </c>
      <c r="L413" s="1">
        <v>530</v>
      </c>
      <c r="M413" s="1">
        <f t="shared" si="30"/>
        <v>1530</v>
      </c>
      <c r="N413" s="107" t="e">
        <f ca="1">OFFSET(npc_level_config!$T$1,MATCH(M413,npc_level_config!A:A,0)-1,0)</f>
        <v>#VALUE!</v>
      </c>
      <c r="O413" s="107" t="e">
        <f ca="1" t="shared" si="29"/>
        <v>#VALUE!</v>
      </c>
      <c r="P413" s="216">
        <v>4103</v>
      </c>
      <c r="Q413" s="3">
        <v>6</v>
      </c>
      <c r="R413" s="3">
        <v>4</v>
      </c>
      <c r="S413" s="1">
        <v>0</v>
      </c>
      <c r="T413" s="238">
        <v>20138</v>
      </c>
    </row>
    <row r="414" spans="1:20">
      <c r="A414" s="1">
        <v>7032</v>
      </c>
      <c r="B414" s="261" t="s">
        <v>1497</v>
      </c>
      <c r="C414" s="1" t="s">
        <v>2108</v>
      </c>
      <c r="D414" s="261" t="s">
        <v>1497</v>
      </c>
      <c r="E414" s="213">
        <f ca="1">OFFSET(model!$A$1,MATCH(D414,model!B:B,0)-1,0)</f>
        <v>8</v>
      </c>
      <c r="G414" s="213" t="str">
        <f ca="1">OFFSET(model!$R$1,MATCH(E414,model!A:A,0)-1,0)</f>
        <v>monster_8</v>
      </c>
      <c r="H414" s="213"/>
      <c r="I414" s="213"/>
      <c r="J414" s="213"/>
      <c r="K414" s="1">
        <v>1</v>
      </c>
      <c r="L414" s="1">
        <v>531</v>
      </c>
      <c r="M414" s="1">
        <f t="shared" si="30"/>
        <v>1531</v>
      </c>
      <c r="N414" s="107" t="e">
        <f ca="1">OFFSET(npc_level_config!$T$1,MATCH(M414,npc_level_config!A:A,0)-1,0)</f>
        <v>#VALUE!</v>
      </c>
      <c r="O414" s="107" t="e">
        <f ca="1" t="shared" si="29"/>
        <v>#VALUE!</v>
      </c>
      <c r="P414" s="216">
        <v>4104</v>
      </c>
      <c r="Q414" s="3">
        <f ca="1">IF(S414=0,6,OFFSET(passive_type!$J$1,MATCH(S414,passive_type!A:A,0)-1,0))</f>
        <v>6</v>
      </c>
      <c r="R414" s="3">
        <f ca="1">OFFSET(battle_group!$C$1,MATCH(P414,battle_group!E:E,0)-1,0)</f>
        <v>4</v>
      </c>
      <c r="S414" s="1">
        <v>0</v>
      </c>
      <c r="T414" s="238">
        <v>20137</v>
      </c>
    </row>
    <row r="415" spans="1:20">
      <c r="A415" s="1">
        <v>7033</v>
      </c>
      <c r="B415" s="261" t="s">
        <v>1561</v>
      </c>
      <c r="C415" s="1" t="s">
        <v>2109</v>
      </c>
      <c r="D415" s="261" t="s">
        <v>1561</v>
      </c>
      <c r="E415" s="213">
        <f ca="1">OFFSET(model!$A$1,MATCH(D415,model!B:B,0)-1,0)</f>
        <v>10</v>
      </c>
      <c r="G415" s="213" t="str">
        <f ca="1">OFFSET(model!$R$1,MATCH(E415,model!A:A,0)-1,0)</f>
        <v>monster_10</v>
      </c>
      <c r="H415" s="213"/>
      <c r="I415" s="213"/>
      <c r="J415" s="213"/>
      <c r="K415" s="1">
        <v>1</v>
      </c>
      <c r="L415" s="1">
        <v>532</v>
      </c>
      <c r="M415" s="1">
        <f t="shared" si="30"/>
        <v>1532</v>
      </c>
      <c r="N415" s="107" t="e">
        <f ca="1">OFFSET(npc_level_config!$T$1,MATCH(M415,npc_level_config!A:A,0)-1,0)</f>
        <v>#VALUE!</v>
      </c>
      <c r="O415" s="107" t="e">
        <f ca="1" t="shared" si="29"/>
        <v>#VALUE!</v>
      </c>
      <c r="P415" s="216">
        <v>4103</v>
      </c>
      <c r="Q415" s="3">
        <v>6</v>
      </c>
      <c r="R415" s="3">
        <v>4</v>
      </c>
      <c r="S415" s="1">
        <v>0</v>
      </c>
      <c r="T415" s="238">
        <v>20138</v>
      </c>
    </row>
    <row r="416" spans="1:20">
      <c r="A416" s="1">
        <v>7034</v>
      </c>
      <c r="B416" s="262" t="s">
        <v>1677</v>
      </c>
      <c r="C416" s="1" t="s">
        <v>2110</v>
      </c>
      <c r="D416" s="262" t="s">
        <v>1677</v>
      </c>
      <c r="E416" s="213">
        <f ca="1">OFFSET(model!$A$1,MATCH(D416,model!B:B,0)-1,0)</f>
        <v>4</v>
      </c>
      <c r="G416" s="213" t="str">
        <f ca="1">OFFSET(model!$R$1,MATCH(E416,model!A:A,0)-1,0)</f>
        <v>monster_4</v>
      </c>
      <c r="H416" s="213"/>
      <c r="I416" s="213"/>
      <c r="J416" s="213"/>
      <c r="K416" s="1">
        <v>1</v>
      </c>
      <c r="L416" s="1">
        <v>533</v>
      </c>
      <c r="M416" s="1">
        <f t="shared" si="30"/>
        <v>1533</v>
      </c>
      <c r="N416" s="107" t="e">
        <f ca="1">OFFSET(npc_level_config!$T$1,MATCH(M416,npc_level_config!A:A,0)-1,0)</f>
        <v>#VALUE!</v>
      </c>
      <c r="O416" s="107" t="e">
        <f ca="1" t="shared" si="29"/>
        <v>#VALUE!</v>
      </c>
      <c r="P416" s="216">
        <v>4103</v>
      </c>
      <c r="Q416" s="3">
        <v>6</v>
      </c>
      <c r="R416" s="3">
        <v>4</v>
      </c>
      <c r="S416" s="1">
        <v>0</v>
      </c>
      <c r="T416" s="1">
        <v>20138</v>
      </c>
    </row>
    <row r="417" spans="1:20">
      <c r="A417" s="1">
        <v>7035</v>
      </c>
      <c r="B417" s="261" t="s">
        <v>1561</v>
      </c>
      <c r="C417" s="1" t="s">
        <v>2111</v>
      </c>
      <c r="D417" s="261" t="s">
        <v>1561</v>
      </c>
      <c r="E417" s="213">
        <f ca="1">OFFSET(model!$A$1,MATCH(D417,model!B:B,0)-1,0)</f>
        <v>10</v>
      </c>
      <c r="G417" s="213" t="str">
        <f ca="1">OFFSET(model!$R$1,MATCH(E417,model!A:A,0)-1,0)</f>
        <v>monster_10</v>
      </c>
      <c r="H417" s="213"/>
      <c r="I417" s="213"/>
      <c r="J417" s="213"/>
      <c r="K417" s="1">
        <v>1</v>
      </c>
      <c r="L417" s="1">
        <v>534</v>
      </c>
      <c r="M417" s="1">
        <f t="shared" si="30"/>
        <v>1534</v>
      </c>
      <c r="N417" s="107" t="e">
        <f ca="1">OFFSET(npc_level_config!$T$1,MATCH(M417,npc_level_config!A:A,0)-1,0)</f>
        <v>#VALUE!</v>
      </c>
      <c r="O417" s="107" t="e">
        <f ca="1" t="shared" si="29"/>
        <v>#VALUE!</v>
      </c>
      <c r="P417" s="216">
        <v>4103</v>
      </c>
      <c r="Q417" s="3">
        <v>6</v>
      </c>
      <c r="R417" s="3">
        <v>4</v>
      </c>
      <c r="S417" s="1">
        <v>0</v>
      </c>
      <c r="T417" s="238">
        <v>20138</v>
      </c>
    </row>
    <row r="418" spans="1:20">
      <c r="A418" s="1">
        <v>7036</v>
      </c>
      <c r="B418" s="261" t="s">
        <v>1494</v>
      </c>
      <c r="C418" s="1" t="s">
        <v>2112</v>
      </c>
      <c r="D418" s="261" t="s">
        <v>1494</v>
      </c>
      <c r="E418" s="213">
        <f ca="1">OFFSET(model!$A$1,MATCH(D418,model!B:B,0)-1,0)</f>
        <v>42</v>
      </c>
      <c r="G418" s="213" t="str">
        <f ca="1">OFFSET(model!$R$1,MATCH(E418,model!A:A,0)-1,0)</f>
        <v>role_gwyz</v>
      </c>
      <c r="H418" s="213"/>
      <c r="I418" s="213"/>
      <c r="J418" s="213"/>
      <c r="K418" s="1">
        <v>1</v>
      </c>
      <c r="L418" s="1">
        <v>535</v>
      </c>
      <c r="M418" s="1">
        <f t="shared" si="30"/>
        <v>1535</v>
      </c>
      <c r="N418" s="107" t="e">
        <f ca="1">OFFSET(npc_level_config!$T$1,MATCH(M418,npc_level_config!A:A,0)-1,0)</f>
        <v>#VALUE!</v>
      </c>
      <c r="O418" s="107" t="e">
        <f ca="1" t="shared" si="29"/>
        <v>#VALUE!</v>
      </c>
      <c r="P418" s="216">
        <v>4103</v>
      </c>
      <c r="Q418" s="3">
        <v>6</v>
      </c>
      <c r="R418" s="3">
        <v>4</v>
      </c>
      <c r="S418" s="1">
        <v>0</v>
      </c>
      <c r="T418" s="238">
        <v>20138</v>
      </c>
    </row>
    <row r="419" spans="1:20">
      <c r="A419" s="1">
        <v>7037</v>
      </c>
      <c r="B419" s="261" t="s">
        <v>1497</v>
      </c>
      <c r="C419" s="1" t="s">
        <v>2113</v>
      </c>
      <c r="D419" s="261" t="s">
        <v>1497</v>
      </c>
      <c r="E419" s="213">
        <f ca="1">OFFSET(model!$A$1,MATCH(D419,model!B:B,0)-1,0)</f>
        <v>8</v>
      </c>
      <c r="G419" s="213" t="str">
        <f ca="1">OFFSET(model!$R$1,MATCH(E419,model!A:A,0)-1,0)</f>
        <v>monster_8</v>
      </c>
      <c r="H419" s="213"/>
      <c r="I419" s="213"/>
      <c r="J419" s="213"/>
      <c r="K419" s="1">
        <v>1</v>
      </c>
      <c r="L419" s="1">
        <v>536</v>
      </c>
      <c r="M419" s="1">
        <f t="shared" si="30"/>
        <v>1536</v>
      </c>
      <c r="N419" s="107" t="e">
        <f ca="1">OFFSET(npc_level_config!$T$1,MATCH(M419,npc_level_config!A:A,0)-1,0)</f>
        <v>#VALUE!</v>
      </c>
      <c r="O419" s="107" t="e">
        <f ca="1" t="shared" si="29"/>
        <v>#VALUE!</v>
      </c>
      <c r="P419" s="216">
        <v>4104</v>
      </c>
      <c r="Q419" s="3">
        <f ca="1">IF(S419=0,6,OFFSET(passive_type!$J$1,MATCH(S419,passive_type!A:A,0)-1,0))</f>
        <v>6</v>
      </c>
      <c r="R419" s="3">
        <f ca="1">OFFSET(battle_group!$C$1,MATCH(P419,battle_group!E:E,0)-1,0)</f>
        <v>4</v>
      </c>
      <c r="S419" s="1">
        <v>0</v>
      </c>
      <c r="T419" s="238">
        <v>20137</v>
      </c>
    </row>
    <row r="420" spans="1:20">
      <c r="A420" s="1">
        <v>7038</v>
      </c>
      <c r="B420" s="261" t="s">
        <v>1561</v>
      </c>
      <c r="C420" s="1" t="s">
        <v>2114</v>
      </c>
      <c r="D420" s="261" t="s">
        <v>1561</v>
      </c>
      <c r="E420" s="213">
        <f ca="1">OFFSET(model!$A$1,MATCH(D420,model!B:B,0)-1,0)</f>
        <v>10</v>
      </c>
      <c r="G420" s="213" t="str">
        <f ca="1">OFFSET(model!$R$1,MATCH(E420,model!A:A,0)-1,0)</f>
        <v>monster_10</v>
      </c>
      <c r="H420" s="213"/>
      <c r="I420" s="213"/>
      <c r="J420" s="213"/>
      <c r="K420" s="1">
        <v>1</v>
      </c>
      <c r="L420" s="1">
        <v>537</v>
      </c>
      <c r="M420" s="1">
        <f t="shared" si="30"/>
        <v>1537</v>
      </c>
      <c r="N420" s="107" t="e">
        <f ca="1">OFFSET(npc_level_config!$T$1,MATCH(M420,npc_level_config!A:A,0)-1,0)</f>
        <v>#VALUE!</v>
      </c>
      <c r="O420" s="107" t="e">
        <f ca="1" t="shared" si="29"/>
        <v>#VALUE!</v>
      </c>
      <c r="P420" s="216">
        <v>4103</v>
      </c>
      <c r="Q420" s="3">
        <v>6</v>
      </c>
      <c r="R420" s="3">
        <v>4</v>
      </c>
      <c r="S420" s="1">
        <v>0</v>
      </c>
      <c r="T420" s="238">
        <v>20138</v>
      </c>
    </row>
    <row r="421" spans="1:20">
      <c r="A421" s="1">
        <v>7039</v>
      </c>
      <c r="B421" s="262" t="s">
        <v>1677</v>
      </c>
      <c r="C421" s="1" t="s">
        <v>2115</v>
      </c>
      <c r="D421" s="262" t="s">
        <v>1677</v>
      </c>
      <c r="E421" s="213">
        <f ca="1">OFFSET(model!$A$1,MATCH(D421,model!B:B,0)-1,0)</f>
        <v>4</v>
      </c>
      <c r="G421" s="213" t="str">
        <f ca="1">OFFSET(model!$R$1,MATCH(E421,model!A:A,0)-1,0)</f>
        <v>monster_4</v>
      </c>
      <c r="H421" s="213"/>
      <c r="I421" s="213"/>
      <c r="J421" s="213"/>
      <c r="K421" s="1">
        <v>1</v>
      </c>
      <c r="L421" s="1">
        <v>538</v>
      </c>
      <c r="M421" s="1">
        <f t="shared" si="30"/>
        <v>1538</v>
      </c>
      <c r="N421" s="107" t="e">
        <f ca="1">OFFSET(npc_level_config!$T$1,MATCH(M421,npc_level_config!A:A,0)-1,0)</f>
        <v>#VALUE!</v>
      </c>
      <c r="O421" s="107" t="e">
        <f ca="1" t="shared" si="29"/>
        <v>#VALUE!</v>
      </c>
      <c r="P421" s="216">
        <v>4103</v>
      </c>
      <c r="Q421" s="3">
        <v>6</v>
      </c>
      <c r="R421" s="3">
        <v>4</v>
      </c>
      <c r="S421" s="1">
        <v>0</v>
      </c>
      <c r="T421" s="1">
        <v>20138</v>
      </c>
    </row>
    <row r="422" spans="1:20">
      <c r="A422" s="1">
        <v>7040</v>
      </c>
      <c r="B422" s="261" t="s">
        <v>1689</v>
      </c>
      <c r="C422" s="1" t="s">
        <v>2116</v>
      </c>
      <c r="D422" s="261" t="s">
        <v>1689</v>
      </c>
      <c r="E422" s="213">
        <f ca="1">OFFSET(model!$A$1,MATCH(D422,model!B:B,0)-1,0)</f>
        <v>77</v>
      </c>
      <c r="G422" s="213" t="str">
        <f ca="1">OFFSET(model!$R$1,MATCH(E422,model!A:A,0)-1,0)</f>
        <v>monster_4</v>
      </c>
      <c r="H422" s="213"/>
      <c r="I422" s="213"/>
      <c r="J422" s="213"/>
      <c r="K422" s="1">
        <v>1</v>
      </c>
      <c r="L422" s="1">
        <v>539</v>
      </c>
      <c r="M422" s="1">
        <f t="shared" si="30"/>
        <v>1539</v>
      </c>
      <c r="N422" s="107" t="e">
        <f ca="1">OFFSET(npc_level_config!$T$1,MATCH(M422,npc_level_config!A:A,0)-1,0)</f>
        <v>#VALUE!</v>
      </c>
      <c r="O422" s="107" t="e">
        <f ca="1" t="shared" si="29"/>
        <v>#VALUE!</v>
      </c>
      <c r="P422" s="216">
        <v>4103</v>
      </c>
      <c r="Q422" s="3">
        <v>6</v>
      </c>
      <c r="R422" s="3">
        <v>4</v>
      </c>
      <c r="S422" s="1">
        <v>0</v>
      </c>
      <c r="T422" s="1">
        <v>20138</v>
      </c>
    </row>
    <row r="423" spans="1:20">
      <c r="A423" s="1">
        <v>7041</v>
      </c>
      <c r="B423" s="261" t="s">
        <v>1494</v>
      </c>
      <c r="C423" s="1" t="s">
        <v>2117</v>
      </c>
      <c r="D423" s="261" t="s">
        <v>1494</v>
      </c>
      <c r="E423" s="213">
        <f ca="1">OFFSET(model!$A$1,MATCH(D423,model!B:B,0)-1,0)</f>
        <v>42</v>
      </c>
      <c r="G423" s="213" t="str">
        <f ca="1">OFFSET(model!$R$1,MATCH(E423,model!A:A,0)-1,0)</f>
        <v>role_gwyz</v>
      </c>
      <c r="H423" s="213"/>
      <c r="I423" s="213"/>
      <c r="J423" s="213"/>
      <c r="K423" s="1">
        <v>1</v>
      </c>
      <c r="L423" s="1">
        <v>540</v>
      </c>
      <c r="M423" s="1">
        <f t="shared" si="30"/>
        <v>1540</v>
      </c>
      <c r="N423" s="107" t="e">
        <f ca="1">OFFSET(npc_level_config!$T$1,MATCH(M423,npc_level_config!A:A,0)-1,0)</f>
        <v>#VALUE!</v>
      </c>
      <c r="O423" s="107" t="e">
        <f ca="1" t="shared" si="29"/>
        <v>#VALUE!</v>
      </c>
      <c r="P423" s="216">
        <v>4103</v>
      </c>
      <c r="Q423" s="3">
        <v>6</v>
      </c>
      <c r="R423" s="3">
        <v>4</v>
      </c>
      <c r="S423" s="1">
        <v>0</v>
      </c>
      <c r="T423" s="238">
        <v>20138</v>
      </c>
    </row>
    <row r="424" spans="1:20">
      <c r="A424" s="1">
        <v>7042</v>
      </c>
      <c r="B424" s="261" t="s">
        <v>1497</v>
      </c>
      <c r="C424" s="1" t="s">
        <v>2118</v>
      </c>
      <c r="D424" s="261" t="s">
        <v>1497</v>
      </c>
      <c r="E424" s="213">
        <f ca="1">OFFSET(model!$A$1,MATCH(D424,model!B:B,0)-1,0)</f>
        <v>8</v>
      </c>
      <c r="G424" s="213" t="str">
        <f ca="1">OFFSET(model!$R$1,MATCH(E424,model!A:A,0)-1,0)</f>
        <v>monster_8</v>
      </c>
      <c r="H424" s="213"/>
      <c r="I424" s="213"/>
      <c r="J424" s="213"/>
      <c r="K424" s="1">
        <v>1</v>
      </c>
      <c r="L424" s="1">
        <v>541</v>
      </c>
      <c r="M424" s="1">
        <f t="shared" si="30"/>
        <v>1541</v>
      </c>
      <c r="N424" s="107" t="e">
        <f ca="1">OFFSET(npc_level_config!$T$1,MATCH(M424,npc_level_config!A:A,0)-1,0)</f>
        <v>#VALUE!</v>
      </c>
      <c r="O424" s="107" t="e">
        <f ca="1" t="shared" si="29"/>
        <v>#VALUE!</v>
      </c>
      <c r="P424" s="216">
        <v>4104</v>
      </c>
      <c r="Q424" s="3">
        <f ca="1">IF(S424=0,6,OFFSET(passive_type!$J$1,MATCH(S424,passive_type!A:A,0)-1,0))</f>
        <v>6</v>
      </c>
      <c r="R424" s="3">
        <f ca="1">OFFSET(battle_group!$C$1,MATCH(P424,battle_group!E:E,0)-1,0)</f>
        <v>4</v>
      </c>
      <c r="S424" s="1">
        <v>0</v>
      </c>
      <c r="T424" s="238">
        <v>20137</v>
      </c>
    </row>
    <row r="425" spans="1:20">
      <c r="A425" s="1">
        <v>7043</v>
      </c>
      <c r="B425" s="261" t="s">
        <v>1561</v>
      </c>
      <c r="C425" s="1" t="s">
        <v>2119</v>
      </c>
      <c r="D425" s="261" t="s">
        <v>1561</v>
      </c>
      <c r="E425" s="213">
        <f ca="1">OFFSET(model!$A$1,MATCH(D425,model!B:B,0)-1,0)</f>
        <v>10</v>
      </c>
      <c r="G425" s="213" t="str">
        <f ca="1">OFFSET(model!$R$1,MATCH(E425,model!A:A,0)-1,0)</f>
        <v>monster_10</v>
      </c>
      <c r="H425" s="213"/>
      <c r="I425" s="213"/>
      <c r="J425" s="213"/>
      <c r="K425" s="1">
        <v>1</v>
      </c>
      <c r="L425" s="1">
        <v>542</v>
      </c>
      <c r="M425" s="1">
        <f t="shared" si="30"/>
        <v>1542</v>
      </c>
      <c r="N425" s="107" t="e">
        <f ca="1">OFFSET(npc_level_config!$T$1,MATCH(M425,npc_level_config!A:A,0)-1,0)</f>
        <v>#VALUE!</v>
      </c>
      <c r="O425" s="107" t="e">
        <f ca="1" t="shared" si="29"/>
        <v>#VALUE!</v>
      </c>
      <c r="P425" s="216">
        <v>4103</v>
      </c>
      <c r="Q425" s="3">
        <v>6</v>
      </c>
      <c r="R425" s="3">
        <v>4</v>
      </c>
      <c r="S425" s="1">
        <v>0</v>
      </c>
      <c r="T425" s="238">
        <v>20138</v>
      </c>
    </row>
    <row r="426" spans="1:20">
      <c r="A426" s="1">
        <v>7044</v>
      </c>
      <c r="B426" s="262" t="s">
        <v>1677</v>
      </c>
      <c r="C426" s="1" t="s">
        <v>2120</v>
      </c>
      <c r="D426" s="262" t="s">
        <v>1677</v>
      </c>
      <c r="E426" s="213">
        <f ca="1">OFFSET(model!$A$1,MATCH(D426,model!B:B,0)-1,0)</f>
        <v>4</v>
      </c>
      <c r="G426" s="213" t="str">
        <f ca="1">OFFSET(model!$R$1,MATCH(E426,model!A:A,0)-1,0)</f>
        <v>monster_4</v>
      </c>
      <c r="H426" s="213"/>
      <c r="I426" s="213"/>
      <c r="J426" s="213"/>
      <c r="K426" s="1">
        <v>1</v>
      </c>
      <c r="L426" s="1">
        <v>543</v>
      </c>
      <c r="M426" s="1">
        <f t="shared" si="30"/>
        <v>1543</v>
      </c>
      <c r="N426" s="107" t="e">
        <f ca="1">OFFSET(npc_level_config!$T$1,MATCH(M426,npc_level_config!A:A,0)-1,0)</f>
        <v>#VALUE!</v>
      </c>
      <c r="O426" s="107" t="e">
        <f ca="1" t="shared" ref="O426:O489" si="31">ROUND(N426,-1)</f>
        <v>#VALUE!</v>
      </c>
      <c r="P426" s="216">
        <v>4103</v>
      </c>
      <c r="Q426" s="3">
        <v>6</v>
      </c>
      <c r="R426" s="3">
        <v>4</v>
      </c>
      <c r="S426" s="1">
        <v>0</v>
      </c>
      <c r="T426" s="1">
        <v>20138</v>
      </c>
    </row>
    <row r="427" spans="1:20">
      <c r="A427" s="1">
        <v>7045</v>
      </c>
      <c r="B427" s="261" t="s">
        <v>1561</v>
      </c>
      <c r="C427" s="1" t="s">
        <v>2121</v>
      </c>
      <c r="D427" s="261" t="s">
        <v>1561</v>
      </c>
      <c r="E427" s="213">
        <f ca="1">OFFSET(model!$A$1,MATCH(D427,model!B:B,0)-1,0)</f>
        <v>10</v>
      </c>
      <c r="G427" s="213" t="str">
        <f ca="1">OFFSET(model!$R$1,MATCH(E427,model!A:A,0)-1,0)</f>
        <v>monster_10</v>
      </c>
      <c r="H427" s="213"/>
      <c r="I427" s="213"/>
      <c r="J427" s="213"/>
      <c r="K427" s="1">
        <v>1</v>
      </c>
      <c r="L427" s="1">
        <v>544</v>
      </c>
      <c r="M427" s="1">
        <f t="shared" si="30"/>
        <v>1544</v>
      </c>
      <c r="N427" s="107" t="e">
        <f ca="1">OFFSET(npc_level_config!$T$1,MATCH(M427,npc_level_config!A:A,0)-1,0)</f>
        <v>#VALUE!</v>
      </c>
      <c r="O427" s="107" t="e">
        <f ca="1" t="shared" si="31"/>
        <v>#VALUE!</v>
      </c>
      <c r="P427" s="216">
        <v>4103</v>
      </c>
      <c r="Q427" s="3">
        <v>6</v>
      </c>
      <c r="R427" s="3">
        <v>4</v>
      </c>
      <c r="S427" s="1">
        <v>0</v>
      </c>
      <c r="T427" s="238">
        <v>20138</v>
      </c>
    </row>
    <row r="428" spans="1:20">
      <c r="A428" s="1">
        <v>7046</v>
      </c>
      <c r="B428" s="261" t="s">
        <v>1494</v>
      </c>
      <c r="C428" s="1" t="s">
        <v>2122</v>
      </c>
      <c r="D428" s="261" t="s">
        <v>1494</v>
      </c>
      <c r="E428" s="213">
        <f ca="1">OFFSET(model!$A$1,MATCH(D428,model!B:B,0)-1,0)</f>
        <v>42</v>
      </c>
      <c r="G428" s="213" t="str">
        <f ca="1">OFFSET(model!$R$1,MATCH(E428,model!A:A,0)-1,0)</f>
        <v>role_gwyz</v>
      </c>
      <c r="H428" s="213"/>
      <c r="I428" s="213"/>
      <c r="J428" s="213"/>
      <c r="K428" s="1">
        <v>1</v>
      </c>
      <c r="L428" s="1">
        <v>545</v>
      </c>
      <c r="M428" s="1">
        <f t="shared" si="30"/>
        <v>1545</v>
      </c>
      <c r="N428" s="107" t="e">
        <f ca="1">OFFSET(npc_level_config!$T$1,MATCH(M428,npc_level_config!A:A,0)-1,0)</f>
        <v>#VALUE!</v>
      </c>
      <c r="O428" s="107" t="e">
        <f ca="1" t="shared" si="31"/>
        <v>#VALUE!</v>
      </c>
      <c r="P428" s="216">
        <v>4103</v>
      </c>
      <c r="Q428" s="3">
        <v>6</v>
      </c>
      <c r="R428" s="3">
        <v>4</v>
      </c>
      <c r="S428" s="1">
        <v>0</v>
      </c>
      <c r="T428" s="238">
        <v>20138</v>
      </c>
    </row>
    <row r="429" spans="1:20">
      <c r="A429" s="1">
        <v>7047</v>
      </c>
      <c r="B429" s="261" t="s">
        <v>1497</v>
      </c>
      <c r="C429" s="1" t="s">
        <v>2123</v>
      </c>
      <c r="D429" s="261" t="s">
        <v>1497</v>
      </c>
      <c r="E429" s="213">
        <f ca="1">OFFSET(model!$A$1,MATCH(D429,model!B:B,0)-1,0)</f>
        <v>8</v>
      </c>
      <c r="G429" s="213" t="str">
        <f ca="1">OFFSET(model!$R$1,MATCH(E429,model!A:A,0)-1,0)</f>
        <v>monster_8</v>
      </c>
      <c r="H429" s="213"/>
      <c r="I429" s="213"/>
      <c r="J429" s="213"/>
      <c r="K429" s="1">
        <v>1</v>
      </c>
      <c r="L429" s="1">
        <v>546</v>
      </c>
      <c r="M429" s="1">
        <f t="shared" si="30"/>
        <v>1546</v>
      </c>
      <c r="N429" s="107" t="e">
        <f ca="1">OFFSET(npc_level_config!$T$1,MATCH(M429,npc_level_config!A:A,0)-1,0)</f>
        <v>#VALUE!</v>
      </c>
      <c r="O429" s="107" t="e">
        <f ca="1" t="shared" si="31"/>
        <v>#VALUE!</v>
      </c>
      <c r="P429" s="216">
        <v>4104</v>
      </c>
      <c r="Q429" s="3">
        <f ca="1">IF(S429=0,6,OFFSET(passive_type!$J$1,MATCH(S429,passive_type!A:A,0)-1,0))</f>
        <v>6</v>
      </c>
      <c r="R429" s="3">
        <f ca="1">OFFSET(battle_group!$C$1,MATCH(P429,battle_group!E:E,0)-1,0)</f>
        <v>4</v>
      </c>
      <c r="S429" s="1">
        <v>0</v>
      </c>
      <c r="T429" s="238">
        <v>20137</v>
      </c>
    </row>
    <row r="430" spans="1:20">
      <c r="A430" s="1">
        <v>7048</v>
      </c>
      <c r="B430" s="261" t="s">
        <v>1561</v>
      </c>
      <c r="C430" s="1" t="s">
        <v>2124</v>
      </c>
      <c r="D430" s="261" t="s">
        <v>1561</v>
      </c>
      <c r="E430" s="213">
        <f ca="1">OFFSET(model!$A$1,MATCH(D430,model!B:B,0)-1,0)</f>
        <v>10</v>
      </c>
      <c r="G430" s="213" t="str">
        <f ca="1">OFFSET(model!$R$1,MATCH(E430,model!A:A,0)-1,0)</f>
        <v>monster_10</v>
      </c>
      <c r="H430" s="213"/>
      <c r="I430" s="213"/>
      <c r="J430" s="213"/>
      <c r="K430" s="1">
        <v>1</v>
      </c>
      <c r="L430" s="1">
        <v>547</v>
      </c>
      <c r="M430" s="1">
        <f t="shared" si="30"/>
        <v>1547</v>
      </c>
      <c r="N430" s="107" t="e">
        <f ca="1">OFFSET(npc_level_config!$T$1,MATCH(M430,npc_level_config!A:A,0)-1,0)</f>
        <v>#VALUE!</v>
      </c>
      <c r="O430" s="107" t="e">
        <f ca="1" t="shared" si="31"/>
        <v>#VALUE!</v>
      </c>
      <c r="P430" s="216">
        <v>4103</v>
      </c>
      <c r="Q430" s="3">
        <v>6</v>
      </c>
      <c r="R430" s="3">
        <v>4</v>
      </c>
      <c r="S430" s="1">
        <v>0</v>
      </c>
      <c r="T430" s="238">
        <v>20138</v>
      </c>
    </row>
    <row r="431" spans="1:20">
      <c r="A431" s="1">
        <v>7049</v>
      </c>
      <c r="B431" s="262" t="s">
        <v>1677</v>
      </c>
      <c r="C431" s="1" t="s">
        <v>2125</v>
      </c>
      <c r="D431" s="262" t="s">
        <v>1677</v>
      </c>
      <c r="E431" s="213">
        <f ca="1">OFFSET(model!$A$1,MATCH(D431,model!B:B,0)-1,0)</f>
        <v>4</v>
      </c>
      <c r="G431" s="213" t="str">
        <f ca="1">OFFSET(model!$R$1,MATCH(E431,model!A:A,0)-1,0)</f>
        <v>monster_4</v>
      </c>
      <c r="H431" s="213"/>
      <c r="I431" s="213"/>
      <c r="J431" s="213"/>
      <c r="K431" s="1">
        <v>1</v>
      </c>
      <c r="L431" s="1">
        <v>548</v>
      </c>
      <c r="M431" s="1">
        <f t="shared" si="30"/>
        <v>1548</v>
      </c>
      <c r="N431" s="107" t="e">
        <f ca="1">OFFSET(npc_level_config!$T$1,MATCH(M431,npc_level_config!A:A,0)-1,0)</f>
        <v>#VALUE!</v>
      </c>
      <c r="O431" s="107" t="e">
        <f ca="1" t="shared" si="31"/>
        <v>#VALUE!</v>
      </c>
      <c r="P431" s="216">
        <v>4103</v>
      </c>
      <c r="Q431" s="3">
        <v>6</v>
      </c>
      <c r="R431" s="3">
        <v>4</v>
      </c>
      <c r="S431" s="1">
        <v>0</v>
      </c>
      <c r="T431" s="1">
        <v>20138</v>
      </c>
    </row>
    <row r="432" spans="1:20">
      <c r="A432" s="1">
        <v>7050</v>
      </c>
      <c r="B432" s="261" t="s">
        <v>1689</v>
      </c>
      <c r="C432" s="1" t="s">
        <v>2126</v>
      </c>
      <c r="D432" s="261" t="s">
        <v>1689</v>
      </c>
      <c r="E432" s="213">
        <f ca="1">OFFSET(model!$A$1,MATCH(D432,model!B:B,0)-1,0)</f>
        <v>77</v>
      </c>
      <c r="G432" s="213" t="str">
        <f ca="1">OFFSET(model!$R$1,MATCH(E432,model!A:A,0)-1,0)</f>
        <v>monster_4</v>
      </c>
      <c r="H432" s="213"/>
      <c r="I432" s="213"/>
      <c r="J432" s="213"/>
      <c r="K432" s="1">
        <v>1</v>
      </c>
      <c r="L432" s="1">
        <v>549</v>
      </c>
      <c r="M432" s="1">
        <f t="shared" si="30"/>
        <v>1549</v>
      </c>
      <c r="N432" s="107" t="e">
        <f ca="1">OFFSET(npc_level_config!$T$1,MATCH(M432,npc_level_config!A:A,0)-1,0)</f>
        <v>#VALUE!</v>
      </c>
      <c r="O432" s="107" t="e">
        <f ca="1" t="shared" si="31"/>
        <v>#VALUE!</v>
      </c>
      <c r="P432" s="216">
        <v>4103</v>
      </c>
      <c r="Q432" s="3">
        <v>6</v>
      </c>
      <c r="R432" s="3">
        <v>4</v>
      </c>
      <c r="S432" s="1">
        <v>0</v>
      </c>
      <c r="T432" s="1">
        <v>20138</v>
      </c>
    </row>
    <row r="433" spans="1:20">
      <c r="A433" s="1">
        <v>7051</v>
      </c>
      <c r="B433" s="261" t="s">
        <v>1494</v>
      </c>
      <c r="C433" s="1" t="s">
        <v>2127</v>
      </c>
      <c r="D433" s="261" t="s">
        <v>1494</v>
      </c>
      <c r="E433" s="213">
        <f ca="1">OFFSET(model!$A$1,MATCH(D433,model!B:B,0)-1,0)</f>
        <v>42</v>
      </c>
      <c r="G433" s="213" t="str">
        <f ca="1">OFFSET(model!$R$1,MATCH(E433,model!A:A,0)-1,0)</f>
        <v>role_gwyz</v>
      </c>
      <c r="H433" s="213"/>
      <c r="I433" s="213"/>
      <c r="J433" s="213"/>
      <c r="K433" s="1">
        <v>1</v>
      </c>
      <c r="L433" s="1">
        <v>550</v>
      </c>
      <c r="M433" s="1">
        <f t="shared" si="30"/>
        <v>1550</v>
      </c>
      <c r="N433" s="107" t="e">
        <f ca="1">OFFSET(npc_level_config!$T$1,MATCH(M433,npc_level_config!A:A,0)-1,0)</f>
        <v>#VALUE!</v>
      </c>
      <c r="O433" s="107" t="e">
        <f ca="1" t="shared" si="31"/>
        <v>#VALUE!</v>
      </c>
      <c r="P433" s="216">
        <v>4103</v>
      </c>
      <c r="Q433" s="3">
        <v>6</v>
      </c>
      <c r="R433" s="3">
        <v>4</v>
      </c>
      <c r="S433" s="1">
        <v>0</v>
      </c>
      <c r="T433" s="238">
        <v>20138</v>
      </c>
    </row>
    <row r="434" spans="1:20">
      <c r="A434" s="1">
        <v>7052</v>
      </c>
      <c r="B434" s="261" t="s">
        <v>1497</v>
      </c>
      <c r="C434" s="1" t="s">
        <v>2128</v>
      </c>
      <c r="D434" s="261" t="s">
        <v>1497</v>
      </c>
      <c r="E434" s="213">
        <f ca="1">OFFSET(model!$A$1,MATCH(D434,model!B:B,0)-1,0)</f>
        <v>8</v>
      </c>
      <c r="G434" s="213" t="str">
        <f ca="1">OFFSET(model!$R$1,MATCH(E434,model!A:A,0)-1,0)</f>
        <v>monster_8</v>
      </c>
      <c r="H434" s="213"/>
      <c r="I434" s="213"/>
      <c r="J434" s="213"/>
      <c r="K434" s="1">
        <v>1</v>
      </c>
      <c r="L434" s="1">
        <v>551</v>
      </c>
      <c r="M434" s="1">
        <f t="shared" si="30"/>
        <v>1551</v>
      </c>
      <c r="N434" s="107" t="e">
        <f ca="1">OFFSET(npc_level_config!$T$1,MATCH(M434,npc_level_config!A:A,0)-1,0)</f>
        <v>#VALUE!</v>
      </c>
      <c r="O434" s="107" t="e">
        <f ca="1" t="shared" si="31"/>
        <v>#VALUE!</v>
      </c>
      <c r="P434" s="216">
        <v>4104</v>
      </c>
      <c r="Q434" s="3">
        <f ca="1">IF(S434=0,6,OFFSET(passive_type!$J$1,MATCH(S434,passive_type!A:A,0)-1,0))</f>
        <v>6</v>
      </c>
      <c r="R434" s="3">
        <f ca="1">OFFSET(battle_group!$C$1,MATCH(P434,battle_group!E:E,0)-1,0)</f>
        <v>4</v>
      </c>
      <c r="S434" s="1">
        <v>0</v>
      </c>
      <c r="T434" s="238">
        <v>20137</v>
      </c>
    </row>
    <row r="435" spans="1:20">
      <c r="A435" s="1">
        <v>7053</v>
      </c>
      <c r="B435" s="261" t="s">
        <v>1561</v>
      </c>
      <c r="C435" s="1" t="s">
        <v>2129</v>
      </c>
      <c r="D435" s="261" t="s">
        <v>1561</v>
      </c>
      <c r="E435" s="213">
        <f ca="1">OFFSET(model!$A$1,MATCH(D435,model!B:B,0)-1,0)</f>
        <v>10</v>
      </c>
      <c r="G435" s="213" t="str">
        <f ca="1">OFFSET(model!$R$1,MATCH(E435,model!A:A,0)-1,0)</f>
        <v>monster_10</v>
      </c>
      <c r="H435" s="213"/>
      <c r="I435" s="213"/>
      <c r="J435" s="213"/>
      <c r="K435" s="1">
        <v>1</v>
      </c>
      <c r="L435" s="1">
        <v>552</v>
      </c>
      <c r="M435" s="1">
        <f t="shared" si="30"/>
        <v>1552</v>
      </c>
      <c r="N435" s="107" t="e">
        <f ca="1">OFFSET(npc_level_config!$T$1,MATCH(M435,npc_level_config!A:A,0)-1,0)</f>
        <v>#VALUE!</v>
      </c>
      <c r="O435" s="107" t="e">
        <f ca="1" t="shared" si="31"/>
        <v>#VALUE!</v>
      </c>
      <c r="P435" s="216">
        <v>4103</v>
      </c>
      <c r="Q435" s="3">
        <v>6</v>
      </c>
      <c r="R435" s="3">
        <v>4</v>
      </c>
      <c r="S435" s="1">
        <v>0</v>
      </c>
      <c r="T435" s="238">
        <v>20138</v>
      </c>
    </row>
    <row r="436" spans="1:20">
      <c r="A436" s="1">
        <v>7054</v>
      </c>
      <c r="B436" s="262" t="s">
        <v>1677</v>
      </c>
      <c r="C436" s="1" t="s">
        <v>2130</v>
      </c>
      <c r="D436" s="262" t="s">
        <v>1677</v>
      </c>
      <c r="E436" s="213">
        <f ca="1">OFFSET(model!$A$1,MATCH(D436,model!B:B,0)-1,0)</f>
        <v>4</v>
      </c>
      <c r="G436" s="213" t="str">
        <f ca="1">OFFSET(model!$R$1,MATCH(E436,model!A:A,0)-1,0)</f>
        <v>monster_4</v>
      </c>
      <c r="H436" s="213"/>
      <c r="I436" s="213"/>
      <c r="J436" s="213"/>
      <c r="K436" s="1">
        <v>1</v>
      </c>
      <c r="L436" s="1">
        <v>553</v>
      </c>
      <c r="M436" s="1">
        <f t="shared" si="30"/>
        <v>1553</v>
      </c>
      <c r="N436" s="107" t="e">
        <f ca="1">OFFSET(npc_level_config!$T$1,MATCH(M436,npc_level_config!A:A,0)-1,0)</f>
        <v>#VALUE!</v>
      </c>
      <c r="O436" s="107" t="e">
        <f ca="1" t="shared" si="31"/>
        <v>#VALUE!</v>
      </c>
      <c r="P436" s="216">
        <v>4103</v>
      </c>
      <c r="Q436" s="3">
        <v>6</v>
      </c>
      <c r="R436" s="3">
        <v>4</v>
      </c>
      <c r="S436" s="1">
        <v>0</v>
      </c>
      <c r="T436" s="1">
        <v>20138</v>
      </c>
    </row>
    <row r="437" spans="1:20">
      <c r="A437" s="1">
        <v>7055</v>
      </c>
      <c r="B437" s="261" t="s">
        <v>1561</v>
      </c>
      <c r="C437" s="1" t="s">
        <v>2131</v>
      </c>
      <c r="D437" s="261" t="s">
        <v>1561</v>
      </c>
      <c r="E437" s="213">
        <f ca="1">OFFSET(model!$A$1,MATCH(D437,model!B:B,0)-1,0)</f>
        <v>10</v>
      </c>
      <c r="G437" s="213" t="str">
        <f ca="1">OFFSET(model!$R$1,MATCH(E437,model!A:A,0)-1,0)</f>
        <v>monster_10</v>
      </c>
      <c r="H437" s="213"/>
      <c r="I437" s="213"/>
      <c r="J437" s="213"/>
      <c r="K437" s="1">
        <v>1</v>
      </c>
      <c r="L437" s="1">
        <v>554</v>
      </c>
      <c r="M437" s="1">
        <f t="shared" si="30"/>
        <v>1554</v>
      </c>
      <c r="N437" s="107" t="e">
        <f ca="1">OFFSET(npc_level_config!$T$1,MATCH(M437,npc_level_config!A:A,0)-1,0)</f>
        <v>#VALUE!</v>
      </c>
      <c r="O437" s="107" t="e">
        <f ca="1" t="shared" si="31"/>
        <v>#VALUE!</v>
      </c>
      <c r="P437" s="216">
        <v>4103</v>
      </c>
      <c r="Q437" s="3">
        <v>6</v>
      </c>
      <c r="R437" s="3">
        <v>4</v>
      </c>
      <c r="S437" s="1">
        <v>0</v>
      </c>
      <c r="T437" s="238">
        <v>20138</v>
      </c>
    </row>
    <row r="438" spans="1:20">
      <c r="A438" s="1">
        <v>7056</v>
      </c>
      <c r="B438" s="261" t="s">
        <v>1494</v>
      </c>
      <c r="C438" s="1" t="s">
        <v>2132</v>
      </c>
      <c r="D438" s="261" t="s">
        <v>1494</v>
      </c>
      <c r="E438" s="213">
        <f ca="1">OFFSET(model!$A$1,MATCH(D438,model!B:B,0)-1,0)</f>
        <v>42</v>
      </c>
      <c r="G438" s="213" t="str">
        <f ca="1">OFFSET(model!$R$1,MATCH(E438,model!A:A,0)-1,0)</f>
        <v>role_gwyz</v>
      </c>
      <c r="H438" s="213"/>
      <c r="I438" s="213"/>
      <c r="J438" s="213"/>
      <c r="K438" s="1">
        <v>1</v>
      </c>
      <c r="L438" s="1">
        <v>555</v>
      </c>
      <c r="M438" s="1">
        <f t="shared" si="30"/>
        <v>1555</v>
      </c>
      <c r="N438" s="107" t="e">
        <f ca="1">OFFSET(npc_level_config!$T$1,MATCH(M438,npc_level_config!A:A,0)-1,0)</f>
        <v>#VALUE!</v>
      </c>
      <c r="O438" s="107" t="e">
        <f ca="1" t="shared" si="31"/>
        <v>#VALUE!</v>
      </c>
      <c r="P438" s="216">
        <v>4103</v>
      </c>
      <c r="Q438" s="3">
        <v>6</v>
      </c>
      <c r="R438" s="3">
        <v>4</v>
      </c>
      <c r="S438" s="1">
        <v>0</v>
      </c>
      <c r="T438" s="238">
        <v>20138</v>
      </c>
    </row>
    <row r="439" spans="1:20">
      <c r="A439" s="1">
        <v>7057</v>
      </c>
      <c r="B439" s="261" t="s">
        <v>1497</v>
      </c>
      <c r="C439" s="1" t="s">
        <v>2133</v>
      </c>
      <c r="D439" s="261" t="s">
        <v>1497</v>
      </c>
      <c r="E439" s="213">
        <f ca="1">OFFSET(model!$A$1,MATCH(D439,model!B:B,0)-1,0)</f>
        <v>8</v>
      </c>
      <c r="G439" s="213" t="str">
        <f ca="1">OFFSET(model!$R$1,MATCH(E439,model!A:A,0)-1,0)</f>
        <v>monster_8</v>
      </c>
      <c r="H439" s="213"/>
      <c r="I439" s="213"/>
      <c r="J439" s="213"/>
      <c r="K439" s="1">
        <v>1</v>
      </c>
      <c r="L439" s="1">
        <v>556</v>
      </c>
      <c r="M439" s="1">
        <f t="shared" si="30"/>
        <v>1556</v>
      </c>
      <c r="N439" s="107" t="e">
        <f ca="1">OFFSET(npc_level_config!$T$1,MATCH(M439,npc_level_config!A:A,0)-1,0)</f>
        <v>#VALUE!</v>
      </c>
      <c r="O439" s="107" t="e">
        <f ca="1" t="shared" si="31"/>
        <v>#VALUE!</v>
      </c>
      <c r="P439" s="216">
        <v>4104</v>
      </c>
      <c r="Q439" s="3">
        <f ca="1">IF(S439=0,6,OFFSET(passive_type!$J$1,MATCH(S439,passive_type!A:A,0)-1,0))</f>
        <v>6</v>
      </c>
      <c r="R439" s="3">
        <f ca="1">OFFSET(battle_group!$C$1,MATCH(P439,battle_group!E:E,0)-1,0)</f>
        <v>4</v>
      </c>
      <c r="S439" s="1">
        <v>0</v>
      </c>
      <c r="T439" s="238">
        <v>20137</v>
      </c>
    </row>
    <row r="440" spans="1:20">
      <c r="A440" s="1">
        <v>7058</v>
      </c>
      <c r="B440" s="261" t="s">
        <v>1561</v>
      </c>
      <c r="C440" s="1" t="s">
        <v>2134</v>
      </c>
      <c r="D440" s="261" t="s">
        <v>1561</v>
      </c>
      <c r="E440" s="213">
        <f ca="1">OFFSET(model!$A$1,MATCH(D440,model!B:B,0)-1,0)</f>
        <v>10</v>
      </c>
      <c r="G440" s="213" t="str">
        <f ca="1">OFFSET(model!$R$1,MATCH(E440,model!A:A,0)-1,0)</f>
        <v>monster_10</v>
      </c>
      <c r="H440" s="213"/>
      <c r="I440" s="213"/>
      <c r="J440" s="213"/>
      <c r="K440" s="1">
        <v>1</v>
      </c>
      <c r="L440" s="1">
        <v>557</v>
      </c>
      <c r="M440" s="1">
        <f t="shared" si="30"/>
        <v>1557</v>
      </c>
      <c r="N440" s="107" t="e">
        <f ca="1">OFFSET(npc_level_config!$T$1,MATCH(M440,npc_level_config!A:A,0)-1,0)</f>
        <v>#VALUE!</v>
      </c>
      <c r="O440" s="107" t="e">
        <f ca="1" t="shared" si="31"/>
        <v>#VALUE!</v>
      </c>
      <c r="P440" s="216">
        <v>4103</v>
      </c>
      <c r="Q440" s="3">
        <v>6</v>
      </c>
      <c r="R440" s="3">
        <v>4</v>
      </c>
      <c r="S440" s="1">
        <v>0</v>
      </c>
      <c r="T440" s="238">
        <v>20138</v>
      </c>
    </row>
    <row r="441" spans="1:20">
      <c r="A441" s="1">
        <v>7059</v>
      </c>
      <c r="B441" s="262" t="s">
        <v>1677</v>
      </c>
      <c r="C441" s="1" t="s">
        <v>2135</v>
      </c>
      <c r="D441" s="262" t="s">
        <v>1677</v>
      </c>
      <c r="E441" s="213">
        <f ca="1">OFFSET(model!$A$1,MATCH(D441,model!B:B,0)-1,0)</f>
        <v>4</v>
      </c>
      <c r="G441" s="213" t="str">
        <f ca="1">OFFSET(model!$R$1,MATCH(E441,model!A:A,0)-1,0)</f>
        <v>monster_4</v>
      </c>
      <c r="H441" s="213"/>
      <c r="I441" s="213"/>
      <c r="J441" s="213"/>
      <c r="K441" s="1">
        <v>1</v>
      </c>
      <c r="L441" s="1">
        <v>558</v>
      </c>
      <c r="M441" s="1">
        <f t="shared" si="30"/>
        <v>1558</v>
      </c>
      <c r="N441" s="107" t="e">
        <f ca="1">OFFSET(npc_level_config!$T$1,MATCH(M441,npc_level_config!A:A,0)-1,0)</f>
        <v>#VALUE!</v>
      </c>
      <c r="O441" s="107" t="e">
        <f ca="1" t="shared" si="31"/>
        <v>#VALUE!</v>
      </c>
      <c r="P441" s="216">
        <v>4103</v>
      </c>
      <c r="Q441" s="3">
        <v>6</v>
      </c>
      <c r="R441" s="3">
        <v>4</v>
      </c>
      <c r="S441" s="1">
        <v>0</v>
      </c>
      <c r="T441" s="1">
        <v>20138</v>
      </c>
    </row>
    <row r="442" spans="1:20">
      <c r="A442" s="1">
        <v>7060</v>
      </c>
      <c r="B442" s="261" t="s">
        <v>1689</v>
      </c>
      <c r="C442" s="1" t="s">
        <v>2136</v>
      </c>
      <c r="D442" s="261" t="s">
        <v>1689</v>
      </c>
      <c r="E442" s="213">
        <f ca="1">OFFSET(model!$A$1,MATCH(D442,model!B:B,0)-1,0)</f>
        <v>77</v>
      </c>
      <c r="G442" s="213" t="str">
        <f ca="1">OFFSET(model!$R$1,MATCH(E442,model!A:A,0)-1,0)</f>
        <v>monster_4</v>
      </c>
      <c r="H442" s="213"/>
      <c r="I442" s="213"/>
      <c r="J442" s="213"/>
      <c r="K442" s="1">
        <v>1</v>
      </c>
      <c r="L442" s="1">
        <v>559</v>
      </c>
      <c r="M442" s="1">
        <f t="shared" si="30"/>
        <v>1559</v>
      </c>
      <c r="N442" s="107" t="e">
        <f ca="1">OFFSET(npc_level_config!$T$1,MATCH(M442,npc_level_config!A:A,0)-1,0)</f>
        <v>#VALUE!</v>
      </c>
      <c r="O442" s="107" t="e">
        <f ca="1" t="shared" si="31"/>
        <v>#VALUE!</v>
      </c>
      <c r="P442" s="216">
        <v>4103</v>
      </c>
      <c r="Q442" s="3">
        <v>6</v>
      </c>
      <c r="R442" s="3">
        <v>4</v>
      </c>
      <c r="S442" s="1">
        <v>0</v>
      </c>
      <c r="T442" s="1">
        <v>20138</v>
      </c>
    </row>
    <row r="443" spans="1:20">
      <c r="A443" s="1">
        <v>7061</v>
      </c>
      <c r="B443" s="261" t="s">
        <v>1494</v>
      </c>
      <c r="C443" s="1" t="s">
        <v>2137</v>
      </c>
      <c r="D443" s="261" t="s">
        <v>1494</v>
      </c>
      <c r="E443" s="213">
        <f ca="1">OFFSET(model!$A$1,MATCH(D443,model!B:B,0)-1,0)</f>
        <v>42</v>
      </c>
      <c r="G443" s="213" t="str">
        <f ca="1">OFFSET(model!$R$1,MATCH(E443,model!A:A,0)-1,0)</f>
        <v>role_gwyz</v>
      </c>
      <c r="H443" s="213"/>
      <c r="I443" s="213"/>
      <c r="J443" s="213"/>
      <c r="K443" s="1">
        <v>1</v>
      </c>
      <c r="L443" s="1">
        <v>560</v>
      </c>
      <c r="M443" s="1">
        <f t="shared" si="30"/>
        <v>1560</v>
      </c>
      <c r="N443" s="107" t="e">
        <f ca="1">OFFSET(npc_level_config!$T$1,MATCH(M443,npc_level_config!A:A,0)-1,0)</f>
        <v>#VALUE!</v>
      </c>
      <c r="O443" s="107" t="e">
        <f ca="1" t="shared" si="31"/>
        <v>#VALUE!</v>
      </c>
      <c r="P443" s="216">
        <v>4103</v>
      </c>
      <c r="Q443" s="3">
        <v>6</v>
      </c>
      <c r="R443" s="3">
        <v>4</v>
      </c>
      <c r="S443" s="1">
        <v>0</v>
      </c>
      <c r="T443" s="238">
        <v>20138</v>
      </c>
    </row>
    <row r="444" spans="1:20">
      <c r="A444" s="1">
        <v>7062</v>
      </c>
      <c r="B444" s="261" t="s">
        <v>1497</v>
      </c>
      <c r="C444" s="1" t="s">
        <v>2138</v>
      </c>
      <c r="D444" s="261" t="s">
        <v>1497</v>
      </c>
      <c r="E444" s="213">
        <f ca="1">OFFSET(model!$A$1,MATCH(D444,model!B:B,0)-1,0)</f>
        <v>8</v>
      </c>
      <c r="G444" s="213" t="str">
        <f ca="1">OFFSET(model!$R$1,MATCH(E444,model!A:A,0)-1,0)</f>
        <v>monster_8</v>
      </c>
      <c r="H444" s="213"/>
      <c r="I444" s="213"/>
      <c r="J444" s="213"/>
      <c r="K444" s="1">
        <v>1</v>
      </c>
      <c r="L444" s="1">
        <v>561</v>
      </c>
      <c r="M444" s="1">
        <f t="shared" si="30"/>
        <v>1561</v>
      </c>
      <c r="N444" s="107" t="e">
        <f ca="1">OFFSET(npc_level_config!$T$1,MATCH(M444,npc_level_config!A:A,0)-1,0)</f>
        <v>#VALUE!</v>
      </c>
      <c r="O444" s="107" t="e">
        <f ca="1" t="shared" si="31"/>
        <v>#VALUE!</v>
      </c>
      <c r="P444" s="216">
        <v>4104</v>
      </c>
      <c r="Q444" s="3">
        <f ca="1">IF(S444=0,6,OFFSET(passive_type!$J$1,MATCH(S444,passive_type!A:A,0)-1,0))</f>
        <v>6</v>
      </c>
      <c r="R444" s="3">
        <f ca="1">OFFSET(battle_group!$C$1,MATCH(P444,battle_group!E:E,0)-1,0)</f>
        <v>4</v>
      </c>
      <c r="S444" s="1">
        <v>0</v>
      </c>
      <c r="T444" s="238">
        <v>20137</v>
      </c>
    </row>
    <row r="445" spans="1:20">
      <c r="A445" s="1">
        <v>7063</v>
      </c>
      <c r="B445" s="261" t="s">
        <v>1561</v>
      </c>
      <c r="C445" s="1" t="s">
        <v>2139</v>
      </c>
      <c r="D445" s="261" t="s">
        <v>1561</v>
      </c>
      <c r="E445" s="213">
        <f ca="1">OFFSET(model!$A$1,MATCH(D445,model!B:B,0)-1,0)</f>
        <v>10</v>
      </c>
      <c r="G445" s="213" t="str">
        <f ca="1">OFFSET(model!$R$1,MATCH(E445,model!A:A,0)-1,0)</f>
        <v>monster_10</v>
      </c>
      <c r="H445" s="213"/>
      <c r="I445" s="213"/>
      <c r="J445" s="213"/>
      <c r="K445" s="1">
        <v>1</v>
      </c>
      <c r="L445" s="1">
        <v>562</v>
      </c>
      <c r="M445" s="1">
        <f t="shared" si="30"/>
        <v>1562</v>
      </c>
      <c r="N445" s="107" t="e">
        <f ca="1">OFFSET(npc_level_config!$T$1,MATCH(M445,npc_level_config!A:A,0)-1,0)</f>
        <v>#VALUE!</v>
      </c>
      <c r="O445" s="107" t="e">
        <f ca="1" t="shared" si="31"/>
        <v>#VALUE!</v>
      </c>
      <c r="P445" s="216">
        <v>4103</v>
      </c>
      <c r="Q445" s="3">
        <v>6</v>
      </c>
      <c r="R445" s="3">
        <v>4</v>
      </c>
      <c r="S445" s="1">
        <v>0</v>
      </c>
      <c r="T445" s="238">
        <v>20138</v>
      </c>
    </row>
    <row r="446" spans="1:20">
      <c r="A446" s="1">
        <v>7064</v>
      </c>
      <c r="B446" s="262" t="s">
        <v>1677</v>
      </c>
      <c r="C446" s="1" t="s">
        <v>2140</v>
      </c>
      <c r="D446" s="262" t="s">
        <v>1677</v>
      </c>
      <c r="E446" s="213">
        <f ca="1">OFFSET(model!$A$1,MATCH(D446,model!B:B,0)-1,0)</f>
        <v>4</v>
      </c>
      <c r="G446" s="213" t="str">
        <f ca="1">OFFSET(model!$R$1,MATCH(E446,model!A:A,0)-1,0)</f>
        <v>monster_4</v>
      </c>
      <c r="H446" s="213"/>
      <c r="I446" s="213"/>
      <c r="J446" s="213"/>
      <c r="K446" s="1">
        <v>1</v>
      </c>
      <c r="L446" s="1">
        <v>563</v>
      </c>
      <c r="M446" s="1">
        <f t="shared" si="30"/>
        <v>1563</v>
      </c>
      <c r="N446" s="107" t="e">
        <f ca="1">OFFSET(npc_level_config!$T$1,MATCH(M446,npc_level_config!A:A,0)-1,0)</f>
        <v>#VALUE!</v>
      </c>
      <c r="O446" s="107" t="e">
        <f ca="1" t="shared" si="31"/>
        <v>#VALUE!</v>
      </c>
      <c r="P446" s="216">
        <v>4103</v>
      </c>
      <c r="Q446" s="3">
        <v>6</v>
      </c>
      <c r="R446" s="3">
        <v>4</v>
      </c>
      <c r="S446" s="1">
        <v>0</v>
      </c>
      <c r="T446" s="1">
        <v>20138</v>
      </c>
    </row>
    <row r="447" spans="1:20">
      <c r="A447" s="1">
        <v>7065</v>
      </c>
      <c r="B447" s="261" t="s">
        <v>1561</v>
      </c>
      <c r="C447" s="1" t="s">
        <v>2141</v>
      </c>
      <c r="D447" s="261" t="s">
        <v>1561</v>
      </c>
      <c r="E447" s="213">
        <f ca="1">OFFSET(model!$A$1,MATCH(D447,model!B:B,0)-1,0)</f>
        <v>10</v>
      </c>
      <c r="G447" s="213" t="str">
        <f ca="1">OFFSET(model!$R$1,MATCH(E447,model!A:A,0)-1,0)</f>
        <v>monster_10</v>
      </c>
      <c r="H447" s="213"/>
      <c r="I447" s="213"/>
      <c r="J447" s="213"/>
      <c r="K447" s="1">
        <v>1</v>
      </c>
      <c r="L447" s="1">
        <v>564</v>
      </c>
      <c r="M447" s="1">
        <f t="shared" si="30"/>
        <v>1564</v>
      </c>
      <c r="N447" s="107" t="e">
        <f ca="1">OFFSET(npc_level_config!$T$1,MATCH(M447,npc_level_config!A:A,0)-1,0)</f>
        <v>#VALUE!</v>
      </c>
      <c r="O447" s="107" t="e">
        <f ca="1" t="shared" si="31"/>
        <v>#VALUE!</v>
      </c>
      <c r="P447" s="216">
        <v>4103</v>
      </c>
      <c r="Q447" s="3">
        <v>6</v>
      </c>
      <c r="R447" s="3">
        <v>4</v>
      </c>
      <c r="S447" s="1">
        <v>0</v>
      </c>
      <c r="T447" s="238">
        <v>20138</v>
      </c>
    </row>
    <row r="448" spans="1:20">
      <c r="A448" s="1">
        <v>7066</v>
      </c>
      <c r="B448" s="261" t="s">
        <v>1494</v>
      </c>
      <c r="C448" s="1" t="s">
        <v>2142</v>
      </c>
      <c r="D448" s="261" t="s">
        <v>1494</v>
      </c>
      <c r="E448" s="213">
        <f ca="1">OFFSET(model!$A$1,MATCH(D448,model!B:B,0)-1,0)</f>
        <v>42</v>
      </c>
      <c r="G448" s="213" t="str">
        <f ca="1">OFFSET(model!$R$1,MATCH(E448,model!A:A,0)-1,0)</f>
        <v>role_gwyz</v>
      </c>
      <c r="H448" s="213"/>
      <c r="I448" s="213"/>
      <c r="J448" s="213"/>
      <c r="K448" s="1">
        <v>1</v>
      </c>
      <c r="L448" s="1">
        <v>565</v>
      </c>
      <c r="M448" s="1">
        <f t="shared" ref="M448:M511" si="32">K448*1000+L448</f>
        <v>1565</v>
      </c>
      <c r="N448" s="107" t="e">
        <f ca="1">OFFSET(npc_level_config!$T$1,MATCH(M448,npc_level_config!A:A,0)-1,0)</f>
        <v>#VALUE!</v>
      </c>
      <c r="O448" s="107" t="e">
        <f ca="1" t="shared" si="31"/>
        <v>#VALUE!</v>
      </c>
      <c r="P448" s="216">
        <v>4103</v>
      </c>
      <c r="Q448" s="3">
        <v>6</v>
      </c>
      <c r="R448" s="3">
        <v>4</v>
      </c>
      <c r="S448" s="1">
        <v>0</v>
      </c>
      <c r="T448" s="238">
        <v>20138</v>
      </c>
    </row>
    <row r="449" spans="1:20">
      <c r="A449" s="1">
        <v>7067</v>
      </c>
      <c r="B449" s="261" t="s">
        <v>1497</v>
      </c>
      <c r="C449" s="1" t="s">
        <v>2143</v>
      </c>
      <c r="D449" s="261" t="s">
        <v>1497</v>
      </c>
      <c r="E449" s="213">
        <f ca="1">OFFSET(model!$A$1,MATCH(D449,model!B:B,0)-1,0)</f>
        <v>8</v>
      </c>
      <c r="G449" s="213" t="str">
        <f ca="1">OFFSET(model!$R$1,MATCH(E449,model!A:A,0)-1,0)</f>
        <v>monster_8</v>
      </c>
      <c r="H449" s="213"/>
      <c r="I449" s="213"/>
      <c r="J449" s="213"/>
      <c r="K449" s="1">
        <v>1</v>
      </c>
      <c r="L449" s="1">
        <v>566</v>
      </c>
      <c r="M449" s="1">
        <f t="shared" si="32"/>
        <v>1566</v>
      </c>
      <c r="N449" s="107" t="e">
        <f ca="1">OFFSET(npc_level_config!$T$1,MATCH(M449,npc_level_config!A:A,0)-1,0)</f>
        <v>#VALUE!</v>
      </c>
      <c r="O449" s="107" t="e">
        <f ca="1" t="shared" si="31"/>
        <v>#VALUE!</v>
      </c>
      <c r="P449" s="216">
        <v>4104</v>
      </c>
      <c r="Q449" s="3">
        <f ca="1">IF(S449=0,6,OFFSET(passive_type!$J$1,MATCH(S449,passive_type!A:A,0)-1,0))</f>
        <v>6</v>
      </c>
      <c r="R449" s="3">
        <f ca="1">OFFSET(battle_group!$C$1,MATCH(P449,battle_group!E:E,0)-1,0)</f>
        <v>4</v>
      </c>
      <c r="S449" s="1">
        <v>0</v>
      </c>
      <c r="T449" s="238">
        <v>20137</v>
      </c>
    </row>
    <row r="450" spans="1:20">
      <c r="A450" s="1">
        <v>7068</v>
      </c>
      <c r="B450" s="261" t="s">
        <v>1561</v>
      </c>
      <c r="C450" s="1" t="s">
        <v>2144</v>
      </c>
      <c r="D450" s="261" t="s">
        <v>1561</v>
      </c>
      <c r="E450" s="213">
        <f ca="1">OFFSET(model!$A$1,MATCH(D450,model!B:B,0)-1,0)</f>
        <v>10</v>
      </c>
      <c r="G450" s="213" t="str">
        <f ca="1">OFFSET(model!$R$1,MATCH(E450,model!A:A,0)-1,0)</f>
        <v>monster_10</v>
      </c>
      <c r="H450" s="213"/>
      <c r="I450" s="213"/>
      <c r="J450" s="213"/>
      <c r="K450" s="1">
        <v>1</v>
      </c>
      <c r="L450" s="1">
        <v>567</v>
      </c>
      <c r="M450" s="1">
        <f t="shared" si="32"/>
        <v>1567</v>
      </c>
      <c r="N450" s="107" t="e">
        <f ca="1">OFFSET(npc_level_config!$T$1,MATCH(M450,npc_level_config!A:A,0)-1,0)</f>
        <v>#VALUE!</v>
      </c>
      <c r="O450" s="107" t="e">
        <f ca="1" t="shared" si="31"/>
        <v>#VALUE!</v>
      </c>
      <c r="P450" s="216">
        <v>4103</v>
      </c>
      <c r="Q450" s="3">
        <v>6</v>
      </c>
      <c r="R450" s="3">
        <v>4</v>
      </c>
      <c r="S450" s="1">
        <v>0</v>
      </c>
      <c r="T450" s="238">
        <v>20138</v>
      </c>
    </row>
    <row r="451" spans="1:20">
      <c r="A451" s="1">
        <v>7069</v>
      </c>
      <c r="B451" s="262" t="s">
        <v>1677</v>
      </c>
      <c r="C451" s="1" t="s">
        <v>2145</v>
      </c>
      <c r="D451" s="262" t="s">
        <v>1677</v>
      </c>
      <c r="E451" s="213">
        <f ca="1">OFFSET(model!$A$1,MATCH(D451,model!B:B,0)-1,0)</f>
        <v>4</v>
      </c>
      <c r="G451" s="213" t="str">
        <f ca="1">OFFSET(model!$R$1,MATCH(E451,model!A:A,0)-1,0)</f>
        <v>monster_4</v>
      </c>
      <c r="H451" s="213"/>
      <c r="I451" s="213"/>
      <c r="J451" s="213"/>
      <c r="K451" s="1">
        <v>1</v>
      </c>
      <c r="L451" s="1">
        <v>568</v>
      </c>
      <c r="M451" s="1">
        <f t="shared" si="32"/>
        <v>1568</v>
      </c>
      <c r="N451" s="107" t="e">
        <f ca="1">OFFSET(npc_level_config!$T$1,MATCH(M451,npc_level_config!A:A,0)-1,0)</f>
        <v>#VALUE!</v>
      </c>
      <c r="O451" s="107" t="e">
        <f ca="1" t="shared" si="31"/>
        <v>#VALUE!</v>
      </c>
      <c r="P451" s="216">
        <v>4103</v>
      </c>
      <c r="Q451" s="3">
        <v>6</v>
      </c>
      <c r="R451" s="3">
        <v>4</v>
      </c>
      <c r="S451" s="1">
        <v>0</v>
      </c>
      <c r="T451" s="1">
        <v>20138</v>
      </c>
    </row>
    <row r="452" spans="1:20">
      <c r="A452" s="1">
        <v>7070</v>
      </c>
      <c r="B452" s="261" t="s">
        <v>1689</v>
      </c>
      <c r="C452" s="1" t="s">
        <v>2146</v>
      </c>
      <c r="D452" s="261" t="s">
        <v>1689</v>
      </c>
      <c r="E452" s="213">
        <f ca="1">OFFSET(model!$A$1,MATCH(D452,model!B:B,0)-1,0)</f>
        <v>77</v>
      </c>
      <c r="G452" s="213" t="str">
        <f ca="1">OFFSET(model!$R$1,MATCH(E452,model!A:A,0)-1,0)</f>
        <v>monster_4</v>
      </c>
      <c r="H452" s="213"/>
      <c r="I452" s="213"/>
      <c r="J452" s="213"/>
      <c r="K452" s="1">
        <v>1</v>
      </c>
      <c r="L452" s="1">
        <v>569</v>
      </c>
      <c r="M452" s="1">
        <f t="shared" si="32"/>
        <v>1569</v>
      </c>
      <c r="N452" s="107" t="e">
        <f ca="1">OFFSET(npc_level_config!$T$1,MATCH(M452,npc_level_config!A:A,0)-1,0)</f>
        <v>#VALUE!</v>
      </c>
      <c r="O452" s="107" t="e">
        <f ca="1" t="shared" si="31"/>
        <v>#VALUE!</v>
      </c>
      <c r="P452" s="216">
        <v>4103</v>
      </c>
      <c r="Q452" s="3">
        <v>6</v>
      </c>
      <c r="R452" s="3">
        <v>4</v>
      </c>
      <c r="S452" s="1">
        <v>0</v>
      </c>
      <c r="T452" s="1">
        <v>20138</v>
      </c>
    </row>
    <row r="453" spans="1:20">
      <c r="A453" s="1">
        <v>7071</v>
      </c>
      <c r="B453" s="261" t="s">
        <v>1494</v>
      </c>
      <c r="C453" s="1" t="s">
        <v>2147</v>
      </c>
      <c r="D453" s="261" t="s">
        <v>1494</v>
      </c>
      <c r="E453" s="213">
        <f ca="1">OFFSET(model!$A$1,MATCH(D453,model!B:B,0)-1,0)</f>
        <v>42</v>
      </c>
      <c r="G453" s="213" t="str">
        <f ca="1">OFFSET(model!$R$1,MATCH(E453,model!A:A,0)-1,0)</f>
        <v>role_gwyz</v>
      </c>
      <c r="H453" s="213"/>
      <c r="I453" s="213"/>
      <c r="J453" s="213"/>
      <c r="K453" s="1">
        <v>1</v>
      </c>
      <c r="L453" s="1">
        <v>570</v>
      </c>
      <c r="M453" s="1">
        <f t="shared" si="32"/>
        <v>1570</v>
      </c>
      <c r="N453" s="107" t="e">
        <f ca="1">OFFSET(npc_level_config!$T$1,MATCH(M453,npc_level_config!A:A,0)-1,0)</f>
        <v>#VALUE!</v>
      </c>
      <c r="O453" s="107" t="e">
        <f ca="1" t="shared" si="31"/>
        <v>#VALUE!</v>
      </c>
      <c r="P453" s="216">
        <v>4103</v>
      </c>
      <c r="Q453" s="3">
        <v>6</v>
      </c>
      <c r="R453" s="3">
        <v>4</v>
      </c>
      <c r="S453" s="1">
        <v>0</v>
      </c>
      <c r="T453" s="238">
        <v>20138</v>
      </c>
    </row>
    <row r="454" spans="1:20">
      <c r="A454" s="1">
        <v>7072</v>
      </c>
      <c r="B454" s="261" t="s">
        <v>1497</v>
      </c>
      <c r="C454" s="1" t="s">
        <v>2148</v>
      </c>
      <c r="D454" s="261" t="s">
        <v>1497</v>
      </c>
      <c r="E454" s="213">
        <f ca="1">OFFSET(model!$A$1,MATCH(D454,model!B:B,0)-1,0)</f>
        <v>8</v>
      </c>
      <c r="G454" s="213" t="str">
        <f ca="1">OFFSET(model!$R$1,MATCH(E454,model!A:A,0)-1,0)</f>
        <v>monster_8</v>
      </c>
      <c r="H454" s="213"/>
      <c r="I454" s="213"/>
      <c r="J454" s="213"/>
      <c r="K454" s="1">
        <v>1</v>
      </c>
      <c r="L454" s="1">
        <v>571</v>
      </c>
      <c r="M454" s="1">
        <f t="shared" si="32"/>
        <v>1571</v>
      </c>
      <c r="N454" s="107" t="e">
        <f ca="1">OFFSET(npc_level_config!$T$1,MATCH(M454,npc_level_config!A:A,0)-1,0)</f>
        <v>#VALUE!</v>
      </c>
      <c r="O454" s="107" t="e">
        <f ca="1" t="shared" si="31"/>
        <v>#VALUE!</v>
      </c>
      <c r="P454" s="216">
        <v>4104</v>
      </c>
      <c r="Q454" s="3">
        <f ca="1">IF(S454=0,6,OFFSET(passive_type!$J$1,MATCH(S454,passive_type!A:A,0)-1,0))</f>
        <v>6</v>
      </c>
      <c r="R454" s="3">
        <f ca="1">OFFSET(battle_group!$C$1,MATCH(P454,battle_group!E:E,0)-1,0)</f>
        <v>4</v>
      </c>
      <c r="S454" s="1">
        <v>0</v>
      </c>
      <c r="T454" s="238">
        <v>20137</v>
      </c>
    </row>
    <row r="455" spans="1:20">
      <c r="A455" s="1">
        <v>7073</v>
      </c>
      <c r="B455" s="261" t="s">
        <v>1561</v>
      </c>
      <c r="C455" s="1" t="s">
        <v>2149</v>
      </c>
      <c r="D455" s="261" t="s">
        <v>1561</v>
      </c>
      <c r="E455" s="213">
        <f ca="1">OFFSET(model!$A$1,MATCH(D455,model!B:B,0)-1,0)</f>
        <v>10</v>
      </c>
      <c r="G455" s="213" t="str">
        <f ca="1">OFFSET(model!$R$1,MATCH(E455,model!A:A,0)-1,0)</f>
        <v>monster_10</v>
      </c>
      <c r="H455" s="213"/>
      <c r="I455" s="213"/>
      <c r="J455" s="213"/>
      <c r="K455" s="1">
        <v>1</v>
      </c>
      <c r="L455" s="1">
        <v>572</v>
      </c>
      <c r="M455" s="1">
        <f t="shared" si="32"/>
        <v>1572</v>
      </c>
      <c r="N455" s="107" t="e">
        <f ca="1">OFFSET(npc_level_config!$T$1,MATCH(M455,npc_level_config!A:A,0)-1,0)</f>
        <v>#VALUE!</v>
      </c>
      <c r="O455" s="107" t="e">
        <f ca="1" t="shared" si="31"/>
        <v>#VALUE!</v>
      </c>
      <c r="P455" s="216">
        <v>4103</v>
      </c>
      <c r="Q455" s="3">
        <v>6</v>
      </c>
      <c r="R455" s="3">
        <v>4</v>
      </c>
      <c r="S455" s="1">
        <v>0</v>
      </c>
      <c r="T455" s="238">
        <v>20138</v>
      </c>
    </row>
    <row r="456" spans="1:20">
      <c r="A456" s="1">
        <v>7074</v>
      </c>
      <c r="B456" s="262" t="s">
        <v>1677</v>
      </c>
      <c r="C456" s="1" t="s">
        <v>2150</v>
      </c>
      <c r="D456" s="262" t="s">
        <v>1677</v>
      </c>
      <c r="E456" s="213">
        <f ca="1">OFFSET(model!$A$1,MATCH(D456,model!B:B,0)-1,0)</f>
        <v>4</v>
      </c>
      <c r="G456" s="213" t="str">
        <f ca="1">OFFSET(model!$R$1,MATCH(E456,model!A:A,0)-1,0)</f>
        <v>monster_4</v>
      </c>
      <c r="H456" s="213"/>
      <c r="I456" s="213"/>
      <c r="J456" s="213"/>
      <c r="K456" s="1">
        <v>1</v>
      </c>
      <c r="L456" s="1">
        <v>573</v>
      </c>
      <c r="M456" s="1">
        <f t="shared" si="32"/>
        <v>1573</v>
      </c>
      <c r="N456" s="107" t="e">
        <f ca="1">OFFSET(npc_level_config!$T$1,MATCH(M456,npc_level_config!A:A,0)-1,0)</f>
        <v>#VALUE!</v>
      </c>
      <c r="O456" s="107" t="e">
        <f ca="1" t="shared" si="31"/>
        <v>#VALUE!</v>
      </c>
      <c r="P456" s="216">
        <v>4103</v>
      </c>
      <c r="Q456" s="3">
        <v>6</v>
      </c>
      <c r="R456" s="3">
        <v>4</v>
      </c>
      <c r="S456" s="1">
        <v>0</v>
      </c>
      <c r="T456" s="1">
        <v>20138</v>
      </c>
    </row>
    <row r="457" spans="1:20">
      <c r="A457" s="1">
        <v>7075</v>
      </c>
      <c r="B457" s="261" t="s">
        <v>1561</v>
      </c>
      <c r="C457" s="1" t="s">
        <v>2151</v>
      </c>
      <c r="D457" s="261" t="s">
        <v>1561</v>
      </c>
      <c r="E457" s="213">
        <f ca="1">OFFSET(model!$A$1,MATCH(D457,model!B:B,0)-1,0)</f>
        <v>10</v>
      </c>
      <c r="G457" s="213" t="str">
        <f ca="1">OFFSET(model!$R$1,MATCH(E457,model!A:A,0)-1,0)</f>
        <v>monster_10</v>
      </c>
      <c r="H457" s="213"/>
      <c r="I457" s="213"/>
      <c r="J457" s="213"/>
      <c r="K457" s="1">
        <v>1</v>
      </c>
      <c r="L457" s="1">
        <v>574</v>
      </c>
      <c r="M457" s="1">
        <f t="shared" si="32"/>
        <v>1574</v>
      </c>
      <c r="N457" s="107" t="e">
        <f ca="1">OFFSET(npc_level_config!$T$1,MATCH(M457,npc_level_config!A:A,0)-1,0)</f>
        <v>#VALUE!</v>
      </c>
      <c r="O457" s="107" t="e">
        <f ca="1" t="shared" si="31"/>
        <v>#VALUE!</v>
      </c>
      <c r="P457" s="216">
        <v>4103</v>
      </c>
      <c r="Q457" s="3">
        <v>6</v>
      </c>
      <c r="R457" s="3">
        <v>4</v>
      </c>
      <c r="S457" s="1">
        <v>0</v>
      </c>
      <c r="T457" s="238">
        <v>20138</v>
      </c>
    </row>
    <row r="458" spans="1:20">
      <c r="A458" s="1">
        <v>7076</v>
      </c>
      <c r="B458" s="261" t="s">
        <v>1494</v>
      </c>
      <c r="C458" s="1" t="s">
        <v>2152</v>
      </c>
      <c r="D458" s="261" t="s">
        <v>1494</v>
      </c>
      <c r="E458" s="213">
        <f ca="1">OFFSET(model!$A$1,MATCH(D458,model!B:B,0)-1,0)</f>
        <v>42</v>
      </c>
      <c r="G458" s="213" t="str">
        <f ca="1">OFFSET(model!$R$1,MATCH(E458,model!A:A,0)-1,0)</f>
        <v>role_gwyz</v>
      </c>
      <c r="H458" s="213"/>
      <c r="I458" s="213"/>
      <c r="J458" s="213"/>
      <c r="K458" s="1">
        <v>1</v>
      </c>
      <c r="L458" s="1">
        <v>575</v>
      </c>
      <c r="M458" s="1">
        <f t="shared" si="32"/>
        <v>1575</v>
      </c>
      <c r="N458" s="107" t="e">
        <f ca="1">OFFSET(npc_level_config!$T$1,MATCH(M458,npc_level_config!A:A,0)-1,0)</f>
        <v>#VALUE!</v>
      </c>
      <c r="O458" s="107" t="e">
        <f ca="1" t="shared" si="31"/>
        <v>#VALUE!</v>
      </c>
      <c r="P458" s="216">
        <v>4103</v>
      </c>
      <c r="Q458" s="3">
        <v>6</v>
      </c>
      <c r="R458" s="3">
        <v>4</v>
      </c>
      <c r="S458" s="1">
        <v>0</v>
      </c>
      <c r="T458" s="238">
        <v>20138</v>
      </c>
    </row>
    <row r="459" spans="1:20">
      <c r="A459" s="1">
        <v>7077</v>
      </c>
      <c r="B459" s="261" t="s">
        <v>1497</v>
      </c>
      <c r="C459" s="1" t="s">
        <v>2153</v>
      </c>
      <c r="D459" s="261" t="s">
        <v>1497</v>
      </c>
      <c r="E459" s="213">
        <f ca="1">OFFSET(model!$A$1,MATCH(D459,model!B:B,0)-1,0)</f>
        <v>8</v>
      </c>
      <c r="G459" s="213" t="str">
        <f ca="1">OFFSET(model!$R$1,MATCH(E459,model!A:A,0)-1,0)</f>
        <v>monster_8</v>
      </c>
      <c r="H459" s="213"/>
      <c r="I459" s="213"/>
      <c r="J459" s="213"/>
      <c r="K459" s="1">
        <v>1</v>
      </c>
      <c r="L459" s="1">
        <v>576</v>
      </c>
      <c r="M459" s="1">
        <f t="shared" si="32"/>
        <v>1576</v>
      </c>
      <c r="N459" s="107" t="e">
        <f ca="1">OFFSET(npc_level_config!$T$1,MATCH(M459,npc_level_config!A:A,0)-1,0)</f>
        <v>#VALUE!</v>
      </c>
      <c r="O459" s="107" t="e">
        <f ca="1" t="shared" si="31"/>
        <v>#VALUE!</v>
      </c>
      <c r="P459" s="216">
        <v>4104</v>
      </c>
      <c r="Q459" s="3">
        <f ca="1">IF(S459=0,6,OFFSET(passive_type!$J$1,MATCH(S459,passive_type!A:A,0)-1,0))</f>
        <v>6</v>
      </c>
      <c r="R459" s="3">
        <f ca="1">OFFSET(battle_group!$C$1,MATCH(P459,battle_group!E:E,0)-1,0)</f>
        <v>4</v>
      </c>
      <c r="S459" s="1">
        <v>0</v>
      </c>
      <c r="T459" s="238">
        <v>20137</v>
      </c>
    </row>
    <row r="460" spans="1:20">
      <c r="A460" s="1">
        <v>7078</v>
      </c>
      <c r="B460" s="261" t="s">
        <v>1561</v>
      </c>
      <c r="C460" s="1" t="s">
        <v>2154</v>
      </c>
      <c r="D460" s="261" t="s">
        <v>1561</v>
      </c>
      <c r="E460" s="213">
        <f ca="1">OFFSET(model!$A$1,MATCH(D460,model!B:B,0)-1,0)</f>
        <v>10</v>
      </c>
      <c r="G460" s="213" t="str">
        <f ca="1">OFFSET(model!$R$1,MATCH(E460,model!A:A,0)-1,0)</f>
        <v>monster_10</v>
      </c>
      <c r="H460" s="213"/>
      <c r="I460" s="213"/>
      <c r="J460" s="213"/>
      <c r="K460" s="1">
        <v>1</v>
      </c>
      <c r="L460" s="1">
        <v>577</v>
      </c>
      <c r="M460" s="1">
        <f t="shared" si="32"/>
        <v>1577</v>
      </c>
      <c r="N460" s="107" t="e">
        <f ca="1">OFFSET(npc_level_config!$T$1,MATCH(M460,npc_level_config!A:A,0)-1,0)</f>
        <v>#VALUE!</v>
      </c>
      <c r="O460" s="107" t="e">
        <f ca="1" t="shared" si="31"/>
        <v>#VALUE!</v>
      </c>
      <c r="P460" s="216">
        <v>4103</v>
      </c>
      <c r="Q460" s="3">
        <v>6</v>
      </c>
      <c r="R460" s="3">
        <v>4</v>
      </c>
      <c r="S460" s="1">
        <v>0</v>
      </c>
      <c r="T460" s="238">
        <v>20138</v>
      </c>
    </row>
    <row r="461" spans="1:20">
      <c r="A461" s="1">
        <v>7079</v>
      </c>
      <c r="B461" s="262" t="s">
        <v>1677</v>
      </c>
      <c r="C461" s="1" t="s">
        <v>2155</v>
      </c>
      <c r="D461" s="262" t="s">
        <v>1677</v>
      </c>
      <c r="E461" s="213">
        <f ca="1">OFFSET(model!$A$1,MATCH(D461,model!B:B,0)-1,0)</f>
        <v>4</v>
      </c>
      <c r="G461" s="213" t="str">
        <f ca="1">OFFSET(model!$R$1,MATCH(E461,model!A:A,0)-1,0)</f>
        <v>monster_4</v>
      </c>
      <c r="H461" s="213"/>
      <c r="I461" s="213"/>
      <c r="J461" s="213"/>
      <c r="K461" s="1">
        <v>1</v>
      </c>
      <c r="L461" s="1">
        <v>578</v>
      </c>
      <c r="M461" s="1">
        <f t="shared" si="32"/>
        <v>1578</v>
      </c>
      <c r="N461" s="107" t="e">
        <f ca="1">OFFSET(npc_level_config!$T$1,MATCH(M461,npc_level_config!A:A,0)-1,0)</f>
        <v>#VALUE!</v>
      </c>
      <c r="O461" s="107" t="e">
        <f ca="1" t="shared" si="31"/>
        <v>#VALUE!</v>
      </c>
      <c r="P461" s="216">
        <v>4103</v>
      </c>
      <c r="Q461" s="3">
        <v>6</v>
      </c>
      <c r="R461" s="3">
        <v>4</v>
      </c>
      <c r="S461" s="1">
        <v>0</v>
      </c>
      <c r="T461" s="1">
        <v>20138</v>
      </c>
    </row>
    <row r="462" spans="1:20">
      <c r="A462" s="1">
        <v>7080</v>
      </c>
      <c r="B462" s="261" t="s">
        <v>1689</v>
      </c>
      <c r="C462" s="1" t="s">
        <v>2156</v>
      </c>
      <c r="D462" s="261" t="s">
        <v>1689</v>
      </c>
      <c r="E462" s="213">
        <f ca="1">OFFSET(model!$A$1,MATCH(D462,model!B:B,0)-1,0)</f>
        <v>77</v>
      </c>
      <c r="G462" s="213" t="str">
        <f ca="1">OFFSET(model!$R$1,MATCH(E462,model!A:A,0)-1,0)</f>
        <v>monster_4</v>
      </c>
      <c r="H462" s="213"/>
      <c r="I462" s="213"/>
      <c r="J462" s="213"/>
      <c r="K462" s="1">
        <v>1</v>
      </c>
      <c r="L462" s="1">
        <v>579</v>
      </c>
      <c r="M462" s="1">
        <f t="shared" si="32"/>
        <v>1579</v>
      </c>
      <c r="N462" s="107" t="e">
        <f ca="1">OFFSET(npc_level_config!$T$1,MATCH(M462,npc_level_config!A:A,0)-1,0)</f>
        <v>#VALUE!</v>
      </c>
      <c r="O462" s="107" t="e">
        <f ca="1" t="shared" si="31"/>
        <v>#VALUE!</v>
      </c>
      <c r="P462" s="216">
        <v>4103</v>
      </c>
      <c r="Q462" s="3">
        <v>6</v>
      </c>
      <c r="R462" s="3">
        <v>4</v>
      </c>
      <c r="S462" s="1">
        <v>0</v>
      </c>
      <c r="T462" s="1">
        <v>20138</v>
      </c>
    </row>
    <row r="463" spans="1:20">
      <c r="A463" s="1">
        <v>7081</v>
      </c>
      <c r="B463" s="261" t="s">
        <v>1494</v>
      </c>
      <c r="C463" s="1" t="s">
        <v>2157</v>
      </c>
      <c r="D463" s="261" t="s">
        <v>1494</v>
      </c>
      <c r="E463" s="213">
        <f ca="1">OFFSET(model!$A$1,MATCH(D463,model!B:B,0)-1,0)</f>
        <v>42</v>
      </c>
      <c r="G463" s="213" t="str">
        <f ca="1">OFFSET(model!$R$1,MATCH(E463,model!A:A,0)-1,0)</f>
        <v>role_gwyz</v>
      </c>
      <c r="H463" s="213"/>
      <c r="I463" s="213"/>
      <c r="J463" s="213"/>
      <c r="K463" s="1">
        <v>1</v>
      </c>
      <c r="L463" s="1">
        <v>580</v>
      </c>
      <c r="M463" s="1">
        <f t="shared" si="32"/>
        <v>1580</v>
      </c>
      <c r="N463" s="107" t="e">
        <f ca="1">OFFSET(npc_level_config!$T$1,MATCH(M463,npc_level_config!A:A,0)-1,0)</f>
        <v>#VALUE!</v>
      </c>
      <c r="O463" s="107" t="e">
        <f ca="1" t="shared" si="31"/>
        <v>#VALUE!</v>
      </c>
      <c r="P463" s="216">
        <v>4103</v>
      </c>
      <c r="Q463" s="3">
        <v>6</v>
      </c>
      <c r="R463" s="3">
        <v>4</v>
      </c>
      <c r="S463" s="1">
        <v>0</v>
      </c>
      <c r="T463" s="238">
        <v>20138</v>
      </c>
    </row>
    <row r="464" spans="1:20">
      <c r="A464" s="1">
        <v>7082</v>
      </c>
      <c r="B464" s="261" t="s">
        <v>1497</v>
      </c>
      <c r="C464" s="1" t="s">
        <v>2158</v>
      </c>
      <c r="D464" s="261" t="s">
        <v>1497</v>
      </c>
      <c r="E464" s="213">
        <f ca="1">OFFSET(model!$A$1,MATCH(D464,model!B:B,0)-1,0)</f>
        <v>8</v>
      </c>
      <c r="G464" s="213" t="str">
        <f ca="1">OFFSET(model!$R$1,MATCH(E464,model!A:A,0)-1,0)</f>
        <v>monster_8</v>
      </c>
      <c r="H464" s="213"/>
      <c r="I464" s="213"/>
      <c r="J464" s="213"/>
      <c r="K464" s="1">
        <v>1</v>
      </c>
      <c r="L464" s="1">
        <v>581</v>
      </c>
      <c r="M464" s="1">
        <f t="shared" si="32"/>
        <v>1581</v>
      </c>
      <c r="N464" s="107" t="e">
        <f ca="1">OFFSET(npc_level_config!$T$1,MATCH(M464,npc_level_config!A:A,0)-1,0)</f>
        <v>#VALUE!</v>
      </c>
      <c r="O464" s="107" t="e">
        <f ca="1" t="shared" si="31"/>
        <v>#VALUE!</v>
      </c>
      <c r="P464" s="216">
        <v>4104</v>
      </c>
      <c r="Q464" s="3">
        <f ca="1">IF(S464=0,6,OFFSET(passive_type!$J$1,MATCH(S464,passive_type!A:A,0)-1,0))</f>
        <v>6</v>
      </c>
      <c r="R464" s="3">
        <f ca="1">OFFSET(battle_group!$C$1,MATCH(P464,battle_group!E:E,0)-1,0)</f>
        <v>4</v>
      </c>
      <c r="S464" s="1">
        <v>0</v>
      </c>
      <c r="T464" s="238">
        <v>20137</v>
      </c>
    </row>
    <row r="465" spans="1:20">
      <c r="A465" s="1">
        <v>7083</v>
      </c>
      <c r="B465" s="261" t="s">
        <v>1561</v>
      </c>
      <c r="C465" s="1" t="s">
        <v>2159</v>
      </c>
      <c r="D465" s="261" t="s">
        <v>1561</v>
      </c>
      <c r="E465" s="213">
        <f ca="1">OFFSET(model!$A$1,MATCH(D465,model!B:B,0)-1,0)</f>
        <v>10</v>
      </c>
      <c r="G465" s="213" t="str">
        <f ca="1">OFFSET(model!$R$1,MATCH(E465,model!A:A,0)-1,0)</f>
        <v>monster_10</v>
      </c>
      <c r="H465" s="213"/>
      <c r="I465" s="213"/>
      <c r="J465" s="213"/>
      <c r="K465" s="1">
        <v>1</v>
      </c>
      <c r="L465" s="1">
        <v>582</v>
      </c>
      <c r="M465" s="1">
        <f t="shared" si="32"/>
        <v>1582</v>
      </c>
      <c r="N465" s="107" t="e">
        <f ca="1">OFFSET(npc_level_config!$T$1,MATCH(M465,npc_level_config!A:A,0)-1,0)</f>
        <v>#VALUE!</v>
      </c>
      <c r="O465" s="107" t="e">
        <f ca="1" t="shared" si="31"/>
        <v>#VALUE!</v>
      </c>
      <c r="P465" s="216">
        <v>4103</v>
      </c>
      <c r="Q465" s="3">
        <v>6</v>
      </c>
      <c r="R465" s="3">
        <v>4</v>
      </c>
      <c r="S465" s="1">
        <v>0</v>
      </c>
      <c r="T465" s="238">
        <v>20138</v>
      </c>
    </row>
    <row r="466" spans="1:20">
      <c r="A466" s="1">
        <v>7084</v>
      </c>
      <c r="B466" s="262" t="s">
        <v>1677</v>
      </c>
      <c r="C466" s="1" t="s">
        <v>2160</v>
      </c>
      <c r="D466" s="262" t="s">
        <v>1677</v>
      </c>
      <c r="E466" s="213">
        <f ca="1">OFFSET(model!$A$1,MATCH(D466,model!B:B,0)-1,0)</f>
        <v>4</v>
      </c>
      <c r="G466" s="213" t="str">
        <f ca="1">OFFSET(model!$R$1,MATCH(E466,model!A:A,0)-1,0)</f>
        <v>monster_4</v>
      </c>
      <c r="H466" s="213"/>
      <c r="I466" s="213"/>
      <c r="J466" s="213"/>
      <c r="K466" s="1">
        <v>1</v>
      </c>
      <c r="L466" s="1">
        <v>583</v>
      </c>
      <c r="M466" s="1">
        <f t="shared" si="32"/>
        <v>1583</v>
      </c>
      <c r="N466" s="107" t="e">
        <f ca="1">OFFSET(npc_level_config!$T$1,MATCH(M466,npc_level_config!A:A,0)-1,0)</f>
        <v>#VALUE!</v>
      </c>
      <c r="O466" s="107" t="e">
        <f ca="1" t="shared" si="31"/>
        <v>#VALUE!</v>
      </c>
      <c r="P466" s="216">
        <v>4103</v>
      </c>
      <c r="Q466" s="3">
        <v>6</v>
      </c>
      <c r="R466" s="3">
        <v>4</v>
      </c>
      <c r="S466" s="1">
        <v>0</v>
      </c>
      <c r="T466" s="1">
        <v>20138</v>
      </c>
    </row>
    <row r="467" spans="1:20">
      <c r="A467" s="1">
        <v>7085</v>
      </c>
      <c r="B467" s="261" t="s">
        <v>1561</v>
      </c>
      <c r="C467" s="1" t="s">
        <v>2161</v>
      </c>
      <c r="D467" s="261" t="s">
        <v>1561</v>
      </c>
      <c r="E467" s="213">
        <f ca="1">OFFSET(model!$A$1,MATCH(D467,model!B:B,0)-1,0)</f>
        <v>10</v>
      </c>
      <c r="G467" s="213" t="str">
        <f ca="1">OFFSET(model!$R$1,MATCH(E467,model!A:A,0)-1,0)</f>
        <v>monster_10</v>
      </c>
      <c r="H467" s="213"/>
      <c r="I467" s="213"/>
      <c r="J467" s="213"/>
      <c r="K467" s="1">
        <v>1</v>
      </c>
      <c r="L467" s="1">
        <v>584</v>
      </c>
      <c r="M467" s="1">
        <f t="shared" si="32"/>
        <v>1584</v>
      </c>
      <c r="N467" s="107" t="e">
        <f ca="1">OFFSET(npc_level_config!$T$1,MATCH(M467,npc_level_config!A:A,0)-1,0)</f>
        <v>#VALUE!</v>
      </c>
      <c r="O467" s="107" t="e">
        <f ca="1" t="shared" si="31"/>
        <v>#VALUE!</v>
      </c>
      <c r="P467" s="216">
        <v>4103</v>
      </c>
      <c r="Q467" s="3">
        <v>6</v>
      </c>
      <c r="R467" s="3">
        <v>4</v>
      </c>
      <c r="S467" s="1">
        <v>0</v>
      </c>
      <c r="T467" s="238">
        <v>20138</v>
      </c>
    </row>
    <row r="468" spans="1:20">
      <c r="A468" s="1">
        <v>7086</v>
      </c>
      <c r="B468" s="261" t="s">
        <v>1494</v>
      </c>
      <c r="C468" s="1" t="s">
        <v>2162</v>
      </c>
      <c r="D468" s="261" t="s">
        <v>1494</v>
      </c>
      <c r="E468" s="213">
        <f ca="1">OFFSET(model!$A$1,MATCH(D468,model!B:B,0)-1,0)</f>
        <v>42</v>
      </c>
      <c r="G468" s="213" t="str">
        <f ca="1">OFFSET(model!$R$1,MATCH(E468,model!A:A,0)-1,0)</f>
        <v>role_gwyz</v>
      </c>
      <c r="H468" s="213"/>
      <c r="I468" s="213"/>
      <c r="J468" s="213"/>
      <c r="K468" s="1">
        <v>1</v>
      </c>
      <c r="L468" s="1">
        <v>585</v>
      </c>
      <c r="M468" s="1">
        <f t="shared" si="32"/>
        <v>1585</v>
      </c>
      <c r="N468" s="107" t="e">
        <f ca="1">OFFSET(npc_level_config!$T$1,MATCH(M468,npc_level_config!A:A,0)-1,0)</f>
        <v>#VALUE!</v>
      </c>
      <c r="O468" s="107" t="e">
        <f ca="1" t="shared" si="31"/>
        <v>#VALUE!</v>
      </c>
      <c r="P468" s="216">
        <v>4103</v>
      </c>
      <c r="Q468" s="3">
        <v>6</v>
      </c>
      <c r="R468" s="3">
        <v>4</v>
      </c>
      <c r="S468" s="1">
        <v>0</v>
      </c>
      <c r="T468" s="238">
        <v>20138</v>
      </c>
    </row>
    <row r="469" spans="1:20">
      <c r="A469" s="1">
        <v>7087</v>
      </c>
      <c r="B469" s="261" t="s">
        <v>1497</v>
      </c>
      <c r="C469" s="1" t="s">
        <v>2163</v>
      </c>
      <c r="D469" s="261" t="s">
        <v>1497</v>
      </c>
      <c r="E469" s="213">
        <f ca="1">OFFSET(model!$A$1,MATCH(D469,model!B:B,0)-1,0)</f>
        <v>8</v>
      </c>
      <c r="G469" s="213" t="str">
        <f ca="1">OFFSET(model!$R$1,MATCH(E469,model!A:A,0)-1,0)</f>
        <v>monster_8</v>
      </c>
      <c r="H469" s="213"/>
      <c r="I469" s="213"/>
      <c r="J469" s="213"/>
      <c r="K469" s="1">
        <v>1</v>
      </c>
      <c r="L469" s="1">
        <v>586</v>
      </c>
      <c r="M469" s="1">
        <f t="shared" si="32"/>
        <v>1586</v>
      </c>
      <c r="N469" s="107" t="e">
        <f ca="1">OFFSET(npc_level_config!$T$1,MATCH(M469,npc_level_config!A:A,0)-1,0)</f>
        <v>#VALUE!</v>
      </c>
      <c r="O469" s="107" t="e">
        <f ca="1" t="shared" si="31"/>
        <v>#VALUE!</v>
      </c>
      <c r="P469" s="216">
        <v>4104</v>
      </c>
      <c r="Q469" s="3">
        <f ca="1">IF(S469=0,6,OFFSET(passive_type!$J$1,MATCH(S469,passive_type!A:A,0)-1,0))</f>
        <v>6</v>
      </c>
      <c r="R469" s="3">
        <f ca="1">OFFSET(battle_group!$C$1,MATCH(P469,battle_group!E:E,0)-1,0)</f>
        <v>4</v>
      </c>
      <c r="S469" s="1">
        <v>0</v>
      </c>
      <c r="T469" s="238">
        <v>20137</v>
      </c>
    </row>
    <row r="470" spans="1:20">
      <c r="A470" s="1">
        <v>7088</v>
      </c>
      <c r="B470" s="261" t="s">
        <v>1561</v>
      </c>
      <c r="C470" s="1" t="s">
        <v>2164</v>
      </c>
      <c r="D470" s="261" t="s">
        <v>1561</v>
      </c>
      <c r="E470" s="213">
        <f ca="1">OFFSET(model!$A$1,MATCH(D470,model!B:B,0)-1,0)</f>
        <v>10</v>
      </c>
      <c r="G470" s="213" t="str">
        <f ca="1">OFFSET(model!$R$1,MATCH(E470,model!A:A,0)-1,0)</f>
        <v>monster_10</v>
      </c>
      <c r="H470" s="213"/>
      <c r="I470" s="213"/>
      <c r="J470" s="213"/>
      <c r="K470" s="1">
        <v>1</v>
      </c>
      <c r="L470" s="1">
        <v>587</v>
      </c>
      <c r="M470" s="1">
        <f t="shared" si="32"/>
        <v>1587</v>
      </c>
      <c r="N470" s="107" t="e">
        <f ca="1">OFFSET(npc_level_config!$T$1,MATCH(M470,npc_level_config!A:A,0)-1,0)</f>
        <v>#VALUE!</v>
      </c>
      <c r="O470" s="107" t="e">
        <f ca="1" t="shared" si="31"/>
        <v>#VALUE!</v>
      </c>
      <c r="P470" s="216">
        <v>4103</v>
      </c>
      <c r="Q470" s="3">
        <v>6</v>
      </c>
      <c r="R470" s="3">
        <v>4</v>
      </c>
      <c r="S470" s="1">
        <v>0</v>
      </c>
      <c r="T470" s="238">
        <v>20138</v>
      </c>
    </row>
    <row r="471" spans="1:20">
      <c r="A471" s="1">
        <v>7089</v>
      </c>
      <c r="B471" s="262" t="s">
        <v>1677</v>
      </c>
      <c r="C471" s="1" t="s">
        <v>2165</v>
      </c>
      <c r="D471" s="262" t="s">
        <v>1677</v>
      </c>
      <c r="E471" s="213">
        <f ca="1">OFFSET(model!$A$1,MATCH(D471,model!B:B,0)-1,0)</f>
        <v>4</v>
      </c>
      <c r="G471" s="213" t="str">
        <f ca="1">OFFSET(model!$R$1,MATCH(E471,model!A:A,0)-1,0)</f>
        <v>monster_4</v>
      </c>
      <c r="H471" s="213"/>
      <c r="I471" s="213"/>
      <c r="J471" s="213"/>
      <c r="K471" s="1">
        <v>1</v>
      </c>
      <c r="L471" s="1">
        <v>588</v>
      </c>
      <c r="M471" s="1">
        <f t="shared" si="32"/>
        <v>1588</v>
      </c>
      <c r="N471" s="107" t="e">
        <f ca="1">OFFSET(npc_level_config!$T$1,MATCH(M471,npc_level_config!A:A,0)-1,0)</f>
        <v>#VALUE!</v>
      </c>
      <c r="O471" s="107" t="e">
        <f ca="1" t="shared" si="31"/>
        <v>#VALUE!</v>
      </c>
      <c r="P471" s="216">
        <v>4103</v>
      </c>
      <c r="Q471" s="3">
        <v>6</v>
      </c>
      <c r="R471" s="3">
        <v>4</v>
      </c>
      <c r="S471" s="1">
        <v>0</v>
      </c>
      <c r="T471" s="1">
        <v>20138</v>
      </c>
    </row>
    <row r="472" spans="1:20">
      <c r="A472" s="1">
        <v>7090</v>
      </c>
      <c r="B472" s="261" t="s">
        <v>1689</v>
      </c>
      <c r="C472" s="1" t="s">
        <v>2166</v>
      </c>
      <c r="D472" s="261" t="s">
        <v>1689</v>
      </c>
      <c r="E472" s="213">
        <f ca="1">OFFSET(model!$A$1,MATCH(D472,model!B:B,0)-1,0)</f>
        <v>77</v>
      </c>
      <c r="G472" s="213" t="str">
        <f ca="1">OFFSET(model!$R$1,MATCH(E472,model!A:A,0)-1,0)</f>
        <v>monster_4</v>
      </c>
      <c r="H472" s="213"/>
      <c r="I472" s="213"/>
      <c r="J472" s="213"/>
      <c r="K472" s="1">
        <v>1</v>
      </c>
      <c r="L472" s="1">
        <v>589</v>
      </c>
      <c r="M472" s="1">
        <f t="shared" si="32"/>
        <v>1589</v>
      </c>
      <c r="N472" s="107" t="e">
        <f ca="1">OFFSET(npc_level_config!$T$1,MATCH(M472,npc_level_config!A:A,0)-1,0)</f>
        <v>#VALUE!</v>
      </c>
      <c r="O472" s="107" t="e">
        <f ca="1" t="shared" si="31"/>
        <v>#VALUE!</v>
      </c>
      <c r="P472" s="216">
        <v>4103</v>
      </c>
      <c r="Q472" s="3">
        <v>6</v>
      </c>
      <c r="R472" s="3">
        <v>4</v>
      </c>
      <c r="S472" s="1">
        <v>0</v>
      </c>
      <c r="T472" s="1">
        <v>20138</v>
      </c>
    </row>
    <row r="473" spans="1:20">
      <c r="A473" s="1">
        <v>7091</v>
      </c>
      <c r="B473" s="261" t="s">
        <v>1494</v>
      </c>
      <c r="C473" s="1" t="s">
        <v>2167</v>
      </c>
      <c r="D473" s="261" t="s">
        <v>1494</v>
      </c>
      <c r="E473" s="213">
        <f ca="1">OFFSET(model!$A$1,MATCH(D473,model!B:B,0)-1,0)</f>
        <v>42</v>
      </c>
      <c r="G473" s="213" t="str">
        <f ca="1">OFFSET(model!$R$1,MATCH(E473,model!A:A,0)-1,0)</f>
        <v>role_gwyz</v>
      </c>
      <c r="H473" s="213"/>
      <c r="I473" s="213"/>
      <c r="J473" s="213"/>
      <c r="K473" s="1">
        <v>1</v>
      </c>
      <c r="L473" s="1">
        <v>590</v>
      </c>
      <c r="M473" s="1">
        <f t="shared" si="32"/>
        <v>1590</v>
      </c>
      <c r="N473" s="107" t="e">
        <f ca="1">OFFSET(npc_level_config!$T$1,MATCH(M473,npc_level_config!A:A,0)-1,0)</f>
        <v>#VALUE!</v>
      </c>
      <c r="O473" s="107" t="e">
        <f ca="1" t="shared" si="31"/>
        <v>#VALUE!</v>
      </c>
      <c r="P473" s="216">
        <v>4103</v>
      </c>
      <c r="Q473" s="3">
        <v>6</v>
      </c>
      <c r="R473" s="3">
        <v>4</v>
      </c>
      <c r="S473" s="1">
        <v>0</v>
      </c>
      <c r="T473" s="238">
        <v>20138</v>
      </c>
    </row>
    <row r="474" spans="1:20">
      <c r="A474" s="1">
        <v>7092</v>
      </c>
      <c r="B474" s="261" t="s">
        <v>1497</v>
      </c>
      <c r="C474" s="1" t="s">
        <v>2168</v>
      </c>
      <c r="D474" s="261" t="s">
        <v>1497</v>
      </c>
      <c r="E474" s="213">
        <f ca="1">OFFSET(model!$A$1,MATCH(D474,model!B:B,0)-1,0)</f>
        <v>8</v>
      </c>
      <c r="G474" s="213" t="str">
        <f ca="1">OFFSET(model!$R$1,MATCH(E474,model!A:A,0)-1,0)</f>
        <v>monster_8</v>
      </c>
      <c r="H474" s="213"/>
      <c r="I474" s="213"/>
      <c r="J474" s="213"/>
      <c r="K474" s="1">
        <v>1</v>
      </c>
      <c r="L474" s="1">
        <v>591</v>
      </c>
      <c r="M474" s="1">
        <f t="shared" si="32"/>
        <v>1591</v>
      </c>
      <c r="N474" s="107" t="e">
        <f ca="1">OFFSET(npc_level_config!$T$1,MATCH(M474,npc_level_config!A:A,0)-1,0)</f>
        <v>#VALUE!</v>
      </c>
      <c r="O474" s="107" t="e">
        <f ca="1" t="shared" si="31"/>
        <v>#VALUE!</v>
      </c>
      <c r="P474" s="216">
        <v>4104</v>
      </c>
      <c r="Q474" s="3">
        <f ca="1">IF(S474=0,6,OFFSET(passive_type!$J$1,MATCH(S474,passive_type!A:A,0)-1,0))</f>
        <v>6</v>
      </c>
      <c r="R474" s="3">
        <f ca="1">OFFSET(battle_group!$C$1,MATCH(P474,battle_group!E:E,0)-1,0)</f>
        <v>4</v>
      </c>
      <c r="S474" s="1">
        <v>0</v>
      </c>
      <c r="T474" s="238">
        <v>20137</v>
      </c>
    </row>
    <row r="475" spans="1:20">
      <c r="A475" s="1">
        <v>7093</v>
      </c>
      <c r="B475" s="261" t="s">
        <v>1561</v>
      </c>
      <c r="C475" s="1" t="s">
        <v>2169</v>
      </c>
      <c r="D475" s="261" t="s">
        <v>1561</v>
      </c>
      <c r="E475" s="213">
        <f ca="1">OFFSET(model!$A$1,MATCH(D475,model!B:B,0)-1,0)</f>
        <v>10</v>
      </c>
      <c r="G475" s="213" t="str">
        <f ca="1">OFFSET(model!$R$1,MATCH(E475,model!A:A,0)-1,0)</f>
        <v>monster_10</v>
      </c>
      <c r="H475" s="213"/>
      <c r="I475" s="213"/>
      <c r="J475" s="213"/>
      <c r="K475" s="1">
        <v>1</v>
      </c>
      <c r="L475" s="1">
        <v>592</v>
      </c>
      <c r="M475" s="1">
        <f t="shared" si="32"/>
        <v>1592</v>
      </c>
      <c r="N475" s="107" t="e">
        <f ca="1">OFFSET(npc_level_config!$T$1,MATCH(M475,npc_level_config!A:A,0)-1,0)</f>
        <v>#VALUE!</v>
      </c>
      <c r="O475" s="107" t="e">
        <f ca="1" t="shared" si="31"/>
        <v>#VALUE!</v>
      </c>
      <c r="P475" s="216">
        <v>4103</v>
      </c>
      <c r="Q475" s="3">
        <v>6</v>
      </c>
      <c r="R475" s="3">
        <v>4</v>
      </c>
      <c r="S475" s="1">
        <v>0</v>
      </c>
      <c r="T475" s="238">
        <v>20138</v>
      </c>
    </row>
    <row r="476" spans="1:20">
      <c r="A476" s="1">
        <v>7094</v>
      </c>
      <c r="B476" s="262" t="s">
        <v>1677</v>
      </c>
      <c r="C476" s="1" t="s">
        <v>2170</v>
      </c>
      <c r="D476" s="262" t="s">
        <v>1677</v>
      </c>
      <c r="E476" s="213">
        <f ca="1">OFFSET(model!$A$1,MATCH(D476,model!B:B,0)-1,0)</f>
        <v>4</v>
      </c>
      <c r="G476" s="213" t="str">
        <f ca="1">OFFSET(model!$R$1,MATCH(E476,model!A:A,0)-1,0)</f>
        <v>monster_4</v>
      </c>
      <c r="H476" s="213"/>
      <c r="I476" s="213"/>
      <c r="J476" s="213"/>
      <c r="K476" s="1">
        <v>1</v>
      </c>
      <c r="L476" s="1">
        <v>593</v>
      </c>
      <c r="M476" s="1">
        <f t="shared" si="32"/>
        <v>1593</v>
      </c>
      <c r="N476" s="107" t="e">
        <f ca="1">OFFSET(npc_level_config!$T$1,MATCH(M476,npc_level_config!A:A,0)-1,0)</f>
        <v>#VALUE!</v>
      </c>
      <c r="O476" s="107" t="e">
        <f ca="1" t="shared" si="31"/>
        <v>#VALUE!</v>
      </c>
      <c r="P476" s="216">
        <v>4103</v>
      </c>
      <c r="Q476" s="3">
        <v>6</v>
      </c>
      <c r="R476" s="3">
        <v>4</v>
      </c>
      <c r="S476" s="1">
        <v>0</v>
      </c>
      <c r="T476" s="1">
        <v>20138</v>
      </c>
    </row>
    <row r="477" spans="1:20">
      <c r="A477" s="1">
        <v>7095</v>
      </c>
      <c r="B477" s="261" t="s">
        <v>1561</v>
      </c>
      <c r="C477" s="1" t="s">
        <v>2171</v>
      </c>
      <c r="D477" s="261" t="s">
        <v>1561</v>
      </c>
      <c r="E477" s="213">
        <f ca="1">OFFSET(model!$A$1,MATCH(D477,model!B:B,0)-1,0)</f>
        <v>10</v>
      </c>
      <c r="G477" s="213" t="str">
        <f ca="1">OFFSET(model!$R$1,MATCH(E477,model!A:A,0)-1,0)</f>
        <v>monster_10</v>
      </c>
      <c r="H477" s="213"/>
      <c r="I477" s="213"/>
      <c r="J477" s="213"/>
      <c r="K477" s="1">
        <v>1</v>
      </c>
      <c r="L477" s="1">
        <v>594</v>
      </c>
      <c r="M477" s="1">
        <f t="shared" si="32"/>
        <v>1594</v>
      </c>
      <c r="N477" s="107" t="e">
        <f ca="1">OFFSET(npc_level_config!$T$1,MATCH(M477,npc_level_config!A:A,0)-1,0)</f>
        <v>#VALUE!</v>
      </c>
      <c r="O477" s="107" t="e">
        <f ca="1" t="shared" si="31"/>
        <v>#VALUE!</v>
      </c>
      <c r="P477" s="216">
        <v>4103</v>
      </c>
      <c r="Q477" s="3">
        <v>6</v>
      </c>
      <c r="R477" s="3">
        <v>4</v>
      </c>
      <c r="S477" s="1">
        <v>0</v>
      </c>
      <c r="T477" s="238">
        <v>20138</v>
      </c>
    </row>
    <row r="478" spans="1:20">
      <c r="A478" s="1">
        <v>7096</v>
      </c>
      <c r="B478" s="261" t="s">
        <v>1494</v>
      </c>
      <c r="C478" s="1" t="s">
        <v>2172</v>
      </c>
      <c r="D478" s="261" t="s">
        <v>1494</v>
      </c>
      <c r="E478" s="213">
        <f ca="1">OFFSET(model!$A$1,MATCH(D478,model!B:B,0)-1,0)</f>
        <v>42</v>
      </c>
      <c r="G478" s="213" t="str">
        <f ca="1">OFFSET(model!$R$1,MATCH(E478,model!A:A,0)-1,0)</f>
        <v>role_gwyz</v>
      </c>
      <c r="H478" s="213"/>
      <c r="I478" s="213"/>
      <c r="J478" s="213"/>
      <c r="K478" s="1">
        <v>1</v>
      </c>
      <c r="L478" s="1">
        <v>595</v>
      </c>
      <c r="M478" s="1">
        <f t="shared" si="32"/>
        <v>1595</v>
      </c>
      <c r="N478" s="107" t="e">
        <f ca="1">OFFSET(npc_level_config!$T$1,MATCH(M478,npc_level_config!A:A,0)-1,0)</f>
        <v>#VALUE!</v>
      </c>
      <c r="O478" s="107" t="e">
        <f ca="1" t="shared" si="31"/>
        <v>#VALUE!</v>
      </c>
      <c r="P478" s="216">
        <v>4103</v>
      </c>
      <c r="Q478" s="3">
        <v>6</v>
      </c>
      <c r="R478" s="3">
        <v>4</v>
      </c>
      <c r="S478" s="1">
        <v>0</v>
      </c>
      <c r="T478" s="238">
        <v>20138</v>
      </c>
    </row>
    <row r="479" spans="1:20">
      <c r="A479" s="1">
        <v>7097</v>
      </c>
      <c r="B479" s="261" t="s">
        <v>1497</v>
      </c>
      <c r="C479" s="1" t="s">
        <v>2173</v>
      </c>
      <c r="D479" s="261" t="s">
        <v>1497</v>
      </c>
      <c r="E479" s="213">
        <f ca="1">OFFSET(model!$A$1,MATCH(D479,model!B:B,0)-1,0)</f>
        <v>8</v>
      </c>
      <c r="G479" s="213" t="str">
        <f ca="1">OFFSET(model!$R$1,MATCH(E479,model!A:A,0)-1,0)</f>
        <v>monster_8</v>
      </c>
      <c r="H479" s="213"/>
      <c r="I479" s="213"/>
      <c r="J479" s="213"/>
      <c r="K479" s="1">
        <v>1</v>
      </c>
      <c r="L479" s="1">
        <v>596</v>
      </c>
      <c r="M479" s="1">
        <f t="shared" si="32"/>
        <v>1596</v>
      </c>
      <c r="N479" s="107" t="e">
        <f ca="1">OFFSET(npc_level_config!$T$1,MATCH(M479,npc_level_config!A:A,0)-1,0)</f>
        <v>#VALUE!</v>
      </c>
      <c r="O479" s="107" t="e">
        <f ca="1" t="shared" si="31"/>
        <v>#VALUE!</v>
      </c>
      <c r="P479" s="216">
        <v>4104</v>
      </c>
      <c r="Q479" s="3">
        <f ca="1">IF(S479=0,6,OFFSET(passive_type!$J$1,MATCH(S479,passive_type!A:A,0)-1,0))</f>
        <v>6</v>
      </c>
      <c r="R479" s="3">
        <f ca="1">OFFSET(battle_group!$C$1,MATCH(P479,battle_group!E:E,0)-1,0)</f>
        <v>4</v>
      </c>
      <c r="S479" s="1">
        <v>0</v>
      </c>
      <c r="T479" s="238">
        <v>20137</v>
      </c>
    </row>
    <row r="480" spans="1:20">
      <c r="A480" s="1">
        <v>7098</v>
      </c>
      <c r="B480" s="261" t="s">
        <v>1561</v>
      </c>
      <c r="C480" s="1" t="s">
        <v>2174</v>
      </c>
      <c r="D480" s="261" t="s">
        <v>1561</v>
      </c>
      <c r="E480" s="213">
        <f ca="1">OFFSET(model!$A$1,MATCH(D480,model!B:B,0)-1,0)</f>
        <v>10</v>
      </c>
      <c r="G480" s="213" t="str">
        <f ca="1">OFFSET(model!$R$1,MATCH(E480,model!A:A,0)-1,0)</f>
        <v>monster_10</v>
      </c>
      <c r="H480" s="213"/>
      <c r="I480" s="213"/>
      <c r="J480" s="213"/>
      <c r="K480" s="1">
        <v>1</v>
      </c>
      <c r="L480" s="1">
        <v>597</v>
      </c>
      <c r="M480" s="1">
        <f t="shared" si="32"/>
        <v>1597</v>
      </c>
      <c r="N480" s="107" t="e">
        <f ca="1">OFFSET(npc_level_config!$T$1,MATCH(M480,npc_level_config!A:A,0)-1,0)</f>
        <v>#VALUE!</v>
      </c>
      <c r="O480" s="107" t="e">
        <f ca="1" t="shared" si="31"/>
        <v>#VALUE!</v>
      </c>
      <c r="P480" s="216">
        <v>4103</v>
      </c>
      <c r="Q480" s="3">
        <v>6</v>
      </c>
      <c r="R480" s="3">
        <v>4</v>
      </c>
      <c r="S480" s="1">
        <v>0</v>
      </c>
      <c r="T480" s="238">
        <v>20138</v>
      </c>
    </row>
    <row r="481" spans="1:20">
      <c r="A481" s="1">
        <v>7099</v>
      </c>
      <c r="B481" s="262" t="s">
        <v>1677</v>
      </c>
      <c r="C481" s="1" t="s">
        <v>2175</v>
      </c>
      <c r="D481" s="262" t="s">
        <v>1677</v>
      </c>
      <c r="E481" s="213">
        <f ca="1">OFFSET(model!$A$1,MATCH(D481,model!B:B,0)-1,0)</f>
        <v>4</v>
      </c>
      <c r="G481" s="213" t="str">
        <f ca="1">OFFSET(model!$R$1,MATCH(E481,model!A:A,0)-1,0)</f>
        <v>monster_4</v>
      </c>
      <c r="H481" s="213"/>
      <c r="I481" s="213"/>
      <c r="J481" s="213"/>
      <c r="K481" s="1">
        <v>1</v>
      </c>
      <c r="L481" s="1">
        <v>598</v>
      </c>
      <c r="M481" s="1">
        <f t="shared" si="32"/>
        <v>1598</v>
      </c>
      <c r="N481" s="107" t="e">
        <f ca="1">OFFSET(npc_level_config!$T$1,MATCH(M481,npc_level_config!A:A,0)-1,0)</f>
        <v>#VALUE!</v>
      </c>
      <c r="O481" s="107" t="e">
        <f ca="1" t="shared" si="31"/>
        <v>#VALUE!</v>
      </c>
      <c r="P481" s="216">
        <v>4103</v>
      </c>
      <c r="Q481" s="3">
        <v>6</v>
      </c>
      <c r="R481" s="3">
        <v>4</v>
      </c>
      <c r="S481" s="1">
        <v>0</v>
      </c>
      <c r="T481" s="1">
        <v>20138</v>
      </c>
    </row>
    <row r="482" spans="1:20">
      <c r="A482" s="1">
        <v>7100</v>
      </c>
      <c r="B482" s="261" t="s">
        <v>1689</v>
      </c>
      <c r="C482" s="1" t="s">
        <v>2176</v>
      </c>
      <c r="D482" s="261" t="s">
        <v>1689</v>
      </c>
      <c r="E482" s="213">
        <f ca="1">OFFSET(model!$A$1,MATCH(D482,model!B:B,0)-1,0)</f>
        <v>77</v>
      </c>
      <c r="G482" s="213" t="str">
        <f ca="1">OFFSET(model!$R$1,MATCH(E482,model!A:A,0)-1,0)</f>
        <v>monster_4</v>
      </c>
      <c r="H482" s="213"/>
      <c r="I482" s="213"/>
      <c r="J482" s="213"/>
      <c r="K482" s="1">
        <v>1</v>
      </c>
      <c r="L482" s="1">
        <v>599</v>
      </c>
      <c r="M482" s="1">
        <f t="shared" si="32"/>
        <v>1599</v>
      </c>
      <c r="N482" s="107" t="e">
        <f ca="1">OFFSET(npc_level_config!$T$1,MATCH(M482,npc_level_config!A:A,0)-1,0)</f>
        <v>#VALUE!</v>
      </c>
      <c r="O482" s="107" t="e">
        <f ca="1" t="shared" si="31"/>
        <v>#VALUE!</v>
      </c>
      <c r="P482" s="216">
        <v>4103</v>
      </c>
      <c r="Q482" s="3">
        <v>6</v>
      </c>
      <c r="R482" s="3">
        <v>4</v>
      </c>
      <c r="S482" s="1">
        <v>0</v>
      </c>
      <c r="T482" s="1">
        <v>20138</v>
      </c>
    </row>
    <row r="483" spans="1:18">
      <c r="A483" s="1">
        <v>7101</v>
      </c>
      <c r="B483" s="1" t="s">
        <v>1600</v>
      </c>
      <c r="C483" s="1" t="s">
        <v>2177</v>
      </c>
      <c r="D483" s="1" t="s">
        <v>1600</v>
      </c>
      <c r="E483" s="213">
        <f ca="1">OFFSET(model!$A$1,MATCH(D483,model!B:B,0)-1,0)</f>
        <v>66</v>
      </c>
      <c r="G483" s="213" t="str">
        <f ca="1">OFFSET(model!$R$1,MATCH(E483,model!A:A,0)-1,0)</f>
        <v>monster_8</v>
      </c>
      <c r="H483" s="213"/>
      <c r="I483" s="213"/>
      <c r="J483" s="213"/>
      <c r="K483" s="1">
        <v>2</v>
      </c>
      <c r="L483" s="1">
        <v>500</v>
      </c>
      <c r="M483" s="1">
        <f t="shared" si="32"/>
        <v>2500</v>
      </c>
      <c r="N483" s="107" t="e">
        <f ca="1">OFFSET(npc_level_config!$T$1,MATCH(M483,npc_level_config!A:A,0)-1,0)</f>
        <v>#VALUE!</v>
      </c>
      <c r="O483" s="107" t="e">
        <f ca="1" t="shared" si="31"/>
        <v>#VALUE!</v>
      </c>
      <c r="P483" s="216">
        <v>3104</v>
      </c>
      <c r="Q483" s="3">
        <v>3</v>
      </c>
      <c r="R483" s="3">
        <f ca="1">OFFSET(battle_group!$C$1,MATCH(P483,battle_group!E:E,0)-1,0)</f>
        <v>3</v>
      </c>
    </row>
    <row r="484" spans="1:20">
      <c r="A484" s="1">
        <v>7102</v>
      </c>
      <c r="B484" s="1" t="s">
        <v>1800</v>
      </c>
      <c r="C484" s="1" t="s">
        <v>2178</v>
      </c>
      <c r="D484" s="1" t="s">
        <v>1800</v>
      </c>
      <c r="E484" s="213">
        <f ca="1">OFFSET(model!$A$1,MATCH(D484,model!B:B,0)-1,0)</f>
        <v>74</v>
      </c>
      <c r="G484" s="213" t="str">
        <f ca="1">OFFSET(model!$R$1,MATCH(E484,model!A:A,0)-1,0)</f>
        <v>role_gwyz</v>
      </c>
      <c r="H484" s="213"/>
      <c r="I484" s="213"/>
      <c r="J484" s="213"/>
      <c r="K484" s="1">
        <v>2</v>
      </c>
      <c r="L484" s="1">
        <v>501</v>
      </c>
      <c r="M484" s="1">
        <f t="shared" si="32"/>
        <v>2501</v>
      </c>
      <c r="N484" s="107" t="e">
        <f ca="1">OFFSET(npc_level_config!$T$1,MATCH(M484,npc_level_config!A:A,0)-1,0)</f>
        <v>#VALUE!</v>
      </c>
      <c r="O484" s="107" t="e">
        <f ca="1" t="shared" si="31"/>
        <v>#VALUE!</v>
      </c>
      <c r="P484" s="216">
        <v>4101</v>
      </c>
      <c r="Q484" s="3">
        <v>6</v>
      </c>
      <c r="R484" s="3">
        <v>4</v>
      </c>
      <c r="S484" s="1">
        <v>0</v>
      </c>
      <c r="T484" s="1">
        <v>20139</v>
      </c>
    </row>
    <row r="485" spans="1:20">
      <c r="A485" s="1">
        <v>7103</v>
      </c>
      <c r="B485" s="1" t="s">
        <v>1686</v>
      </c>
      <c r="C485" s="1" t="s">
        <v>2179</v>
      </c>
      <c r="D485" s="1" t="s">
        <v>1686</v>
      </c>
      <c r="E485" s="213">
        <f ca="1">OFFSET(model!$A$1,MATCH(D485,model!B:B,0)-1,0)</f>
        <v>70</v>
      </c>
      <c r="G485" s="213" t="str">
        <f ca="1">OFFSET(model!$R$1,MATCH(E485,model!A:A,0)-1,0)</f>
        <v>monster_7</v>
      </c>
      <c r="H485" s="213"/>
      <c r="I485" s="213"/>
      <c r="J485" s="213"/>
      <c r="K485" s="1">
        <v>2</v>
      </c>
      <c r="L485" s="1">
        <v>502</v>
      </c>
      <c r="M485" s="1">
        <f t="shared" si="32"/>
        <v>2502</v>
      </c>
      <c r="N485" s="107" t="e">
        <f ca="1">OFFSET(npc_level_config!$T$1,MATCH(M485,npc_level_config!A:A,0)-1,0)</f>
        <v>#VALUE!</v>
      </c>
      <c r="O485" s="107" t="e">
        <f ca="1" t="shared" si="31"/>
        <v>#VALUE!</v>
      </c>
      <c r="P485" s="216">
        <v>1202</v>
      </c>
      <c r="Q485" s="3">
        <v>6</v>
      </c>
      <c r="R485" s="3">
        <v>1</v>
      </c>
      <c r="S485" s="1">
        <v>0</v>
      </c>
      <c r="T485" s="1">
        <v>20103</v>
      </c>
    </row>
    <row r="486" spans="1:20">
      <c r="A486" s="1">
        <v>7104</v>
      </c>
      <c r="B486" s="1" t="s">
        <v>1928</v>
      </c>
      <c r="C486" s="1" t="s">
        <v>2180</v>
      </c>
      <c r="D486" s="1" t="s">
        <v>1928</v>
      </c>
      <c r="E486" s="213">
        <f ca="1">OFFSET(model!$A$1,MATCH(D486,model!B:B,0)-1,0)</f>
        <v>69</v>
      </c>
      <c r="G486" s="213" t="str">
        <f ca="1">OFFSET(model!$R$1,MATCH(E486,model!A:A,0)-1,0)</f>
        <v>monster_10</v>
      </c>
      <c r="H486" s="213"/>
      <c r="I486" s="213"/>
      <c r="J486" s="213"/>
      <c r="K486" s="1">
        <v>2</v>
      </c>
      <c r="L486" s="1">
        <v>503</v>
      </c>
      <c r="M486" s="1">
        <f t="shared" si="32"/>
        <v>2503</v>
      </c>
      <c r="N486" s="107" t="e">
        <f ca="1">OFFSET(npc_level_config!$T$1,MATCH(M486,npc_level_config!A:A,0)-1,0)</f>
        <v>#VALUE!</v>
      </c>
      <c r="O486" s="107" t="e">
        <f ca="1" t="shared" si="31"/>
        <v>#VALUE!</v>
      </c>
      <c r="P486" s="216">
        <v>1202</v>
      </c>
      <c r="Q486" s="3">
        <v>5</v>
      </c>
      <c r="R486" s="3">
        <v>1</v>
      </c>
      <c r="S486" s="1">
        <v>0</v>
      </c>
      <c r="T486" s="1">
        <v>20103</v>
      </c>
    </row>
    <row r="487" spans="1:20">
      <c r="A487" s="1">
        <v>7105</v>
      </c>
      <c r="B487" s="1" t="s">
        <v>1686</v>
      </c>
      <c r="C487" s="1" t="s">
        <v>2181</v>
      </c>
      <c r="D487" s="1" t="s">
        <v>1686</v>
      </c>
      <c r="E487" s="213">
        <f ca="1">OFFSET(model!$A$1,MATCH(D487,model!B:B,0)-1,0)</f>
        <v>70</v>
      </c>
      <c r="G487" s="213" t="str">
        <f ca="1">OFFSET(model!$R$1,MATCH(E487,model!A:A,0)-1,0)</f>
        <v>monster_7</v>
      </c>
      <c r="H487" s="213"/>
      <c r="I487" s="213"/>
      <c r="J487" s="213"/>
      <c r="K487" s="1">
        <v>2</v>
      </c>
      <c r="L487" s="1">
        <v>504</v>
      </c>
      <c r="M487" s="1">
        <f t="shared" si="32"/>
        <v>2504</v>
      </c>
      <c r="N487" s="107" t="e">
        <f ca="1">OFFSET(npc_level_config!$T$1,MATCH(M487,npc_level_config!A:A,0)-1,0)</f>
        <v>#VALUE!</v>
      </c>
      <c r="O487" s="107" t="e">
        <f ca="1" t="shared" si="31"/>
        <v>#VALUE!</v>
      </c>
      <c r="P487" s="216">
        <v>1202</v>
      </c>
      <c r="Q487" s="3">
        <v>6</v>
      </c>
      <c r="R487" s="3">
        <v>1</v>
      </c>
      <c r="S487" s="1">
        <v>0</v>
      </c>
      <c r="T487" s="1">
        <v>20103</v>
      </c>
    </row>
    <row r="488" spans="1:20">
      <c r="A488" s="1">
        <v>7106</v>
      </c>
      <c r="B488" s="1" t="s">
        <v>1600</v>
      </c>
      <c r="C488" s="1" t="s">
        <v>2182</v>
      </c>
      <c r="D488" s="1" t="s">
        <v>1600</v>
      </c>
      <c r="E488" s="213">
        <f ca="1">OFFSET(model!$A$1,MATCH(D488,model!B:B,0)-1,0)</f>
        <v>66</v>
      </c>
      <c r="G488" s="213" t="str">
        <f ca="1">OFFSET(model!$R$1,MATCH(E488,model!A:A,0)-1,0)</f>
        <v>monster_8</v>
      </c>
      <c r="H488" s="213"/>
      <c r="I488" s="213"/>
      <c r="J488" s="213"/>
      <c r="K488" s="1">
        <v>2</v>
      </c>
      <c r="L488" s="1">
        <v>505</v>
      </c>
      <c r="M488" s="1">
        <f t="shared" si="32"/>
        <v>2505</v>
      </c>
      <c r="N488" s="107" t="e">
        <f ca="1">OFFSET(npc_level_config!$T$1,MATCH(M488,npc_level_config!A:A,0)-1,0)</f>
        <v>#VALUE!</v>
      </c>
      <c r="O488" s="107" t="e">
        <f ca="1" t="shared" si="31"/>
        <v>#VALUE!</v>
      </c>
      <c r="P488" s="216">
        <v>1202</v>
      </c>
      <c r="Q488" s="3">
        <v>6</v>
      </c>
      <c r="R488" s="3">
        <v>1</v>
      </c>
      <c r="S488" s="1">
        <v>0</v>
      </c>
      <c r="T488" s="1">
        <v>20103</v>
      </c>
    </row>
    <row r="489" spans="1:20">
      <c r="A489" s="1">
        <v>7107</v>
      </c>
      <c r="B489" s="1" t="s">
        <v>1800</v>
      </c>
      <c r="C489" s="1" t="s">
        <v>2183</v>
      </c>
      <c r="D489" s="1" t="s">
        <v>1800</v>
      </c>
      <c r="E489" s="213">
        <f ca="1">OFFSET(model!$A$1,MATCH(D489,model!B:B,0)-1,0)</f>
        <v>74</v>
      </c>
      <c r="G489" s="213" t="str">
        <f ca="1">OFFSET(model!$R$1,MATCH(E489,model!A:A,0)-1,0)</f>
        <v>role_gwyz</v>
      </c>
      <c r="H489" s="213"/>
      <c r="I489" s="213"/>
      <c r="J489" s="213"/>
      <c r="K489" s="1">
        <v>2</v>
      </c>
      <c r="L489" s="1">
        <v>506</v>
      </c>
      <c r="M489" s="1">
        <f t="shared" si="32"/>
        <v>2506</v>
      </c>
      <c r="N489" s="107" t="e">
        <f ca="1">OFFSET(npc_level_config!$T$1,MATCH(M489,npc_level_config!A:A,0)-1,0)</f>
        <v>#VALUE!</v>
      </c>
      <c r="O489" s="107" t="e">
        <f ca="1" t="shared" si="31"/>
        <v>#VALUE!</v>
      </c>
      <c r="P489" s="216">
        <v>1202</v>
      </c>
      <c r="Q489" s="3">
        <v>6</v>
      </c>
      <c r="R489" s="3">
        <v>1</v>
      </c>
      <c r="S489" s="1">
        <v>0</v>
      </c>
      <c r="T489" s="1">
        <v>20103</v>
      </c>
    </row>
    <row r="490" spans="1:20">
      <c r="A490" s="1">
        <v>7108</v>
      </c>
      <c r="B490" s="1" t="s">
        <v>1686</v>
      </c>
      <c r="C490" s="1" t="s">
        <v>2184</v>
      </c>
      <c r="D490" s="1" t="s">
        <v>1686</v>
      </c>
      <c r="E490" s="213">
        <f ca="1">OFFSET(model!$A$1,MATCH(D490,model!B:B,0)-1,0)</f>
        <v>70</v>
      </c>
      <c r="G490" s="213" t="str">
        <f ca="1">OFFSET(model!$R$1,MATCH(E490,model!A:A,0)-1,0)</f>
        <v>monster_7</v>
      </c>
      <c r="H490" s="213"/>
      <c r="I490" s="213"/>
      <c r="J490" s="213"/>
      <c r="K490" s="1">
        <v>2</v>
      </c>
      <c r="L490" s="1">
        <v>507</v>
      </c>
      <c r="M490" s="1">
        <f t="shared" si="32"/>
        <v>2507</v>
      </c>
      <c r="N490" s="107" t="e">
        <f ca="1">OFFSET(npc_level_config!$T$1,MATCH(M490,npc_level_config!A:A,0)-1,0)</f>
        <v>#VALUE!</v>
      </c>
      <c r="O490" s="107" t="e">
        <f ca="1" t="shared" ref="O490:O553" si="33">ROUND(N490,-1)</f>
        <v>#VALUE!</v>
      </c>
      <c r="P490" s="216">
        <v>1202</v>
      </c>
      <c r="Q490" s="3">
        <v>6</v>
      </c>
      <c r="R490" s="3">
        <v>1</v>
      </c>
      <c r="S490" s="1">
        <v>0</v>
      </c>
      <c r="T490" s="1">
        <v>20103</v>
      </c>
    </row>
    <row r="491" spans="1:20">
      <c r="A491" s="1">
        <v>7109</v>
      </c>
      <c r="B491" s="1" t="s">
        <v>1928</v>
      </c>
      <c r="C491" s="1" t="s">
        <v>2185</v>
      </c>
      <c r="D491" s="1" t="s">
        <v>1928</v>
      </c>
      <c r="E491" s="213">
        <f ca="1">OFFSET(model!$A$1,MATCH(D491,model!B:B,0)-1,0)</f>
        <v>69</v>
      </c>
      <c r="G491" s="213" t="str">
        <f ca="1">OFFSET(model!$R$1,MATCH(E491,model!A:A,0)-1,0)</f>
        <v>monster_10</v>
      </c>
      <c r="H491" s="213"/>
      <c r="I491" s="213"/>
      <c r="J491" s="213"/>
      <c r="K491" s="1">
        <v>2</v>
      </c>
      <c r="L491" s="1">
        <v>508</v>
      </c>
      <c r="M491" s="1">
        <f t="shared" si="32"/>
        <v>2508</v>
      </c>
      <c r="N491" s="107" t="e">
        <f ca="1">OFFSET(npc_level_config!$T$1,MATCH(M491,npc_level_config!A:A,0)-1,0)</f>
        <v>#VALUE!</v>
      </c>
      <c r="O491" s="107" t="e">
        <f ca="1" t="shared" si="33"/>
        <v>#VALUE!</v>
      </c>
      <c r="P491" s="216">
        <v>1202</v>
      </c>
      <c r="Q491" s="3">
        <v>5</v>
      </c>
      <c r="R491" s="3">
        <v>1</v>
      </c>
      <c r="S491" s="1">
        <v>0</v>
      </c>
      <c r="T491" s="1">
        <v>20103</v>
      </c>
    </row>
    <row r="492" spans="1:20">
      <c r="A492" s="1">
        <v>7110</v>
      </c>
      <c r="B492" s="263" t="s">
        <v>1763</v>
      </c>
      <c r="C492" s="1" t="s">
        <v>2186</v>
      </c>
      <c r="D492" s="1" t="s">
        <v>1763</v>
      </c>
      <c r="E492" s="213">
        <f ca="1">OFFSET(model!$A$1,MATCH(D492,model!B:B,0)-1,0)</f>
        <v>7</v>
      </c>
      <c r="G492" s="213" t="str">
        <f ca="1">OFFSET(model!$R$1,MATCH(E492,model!A:A,0)-1,0)</f>
        <v>monster_7</v>
      </c>
      <c r="H492" s="213"/>
      <c r="I492" s="213"/>
      <c r="J492" s="213"/>
      <c r="K492" s="1">
        <v>2</v>
      </c>
      <c r="L492" s="1">
        <v>509</v>
      </c>
      <c r="M492" s="1">
        <f t="shared" si="32"/>
        <v>2509</v>
      </c>
      <c r="N492" s="107" t="e">
        <f ca="1">OFFSET(npc_level_config!$T$1,MATCH(M492,npc_level_config!A:A,0)-1,0)</f>
        <v>#VALUE!</v>
      </c>
      <c r="O492" s="107" t="e">
        <f ca="1" t="shared" si="33"/>
        <v>#VALUE!</v>
      </c>
      <c r="P492" s="216">
        <v>1202</v>
      </c>
      <c r="Q492" s="3">
        <v>6</v>
      </c>
      <c r="R492" s="3">
        <v>1</v>
      </c>
      <c r="S492" s="1">
        <v>0</v>
      </c>
      <c r="T492" s="1">
        <v>20103</v>
      </c>
    </row>
    <row r="493" spans="1:20">
      <c r="A493" s="1">
        <v>7111</v>
      </c>
      <c r="B493" s="1" t="s">
        <v>1600</v>
      </c>
      <c r="C493" s="1" t="s">
        <v>2187</v>
      </c>
      <c r="D493" s="1" t="s">
        <v>1600</v>
      </c>
      <c r="E493" s="213">
        <f ca="1">OFFSET(model!$A$1,MATCH(D493,model!B:B,0)-1,0)</f>
        <v>66</v>
      </c>
      <c r="G493" s="213" t="str">
        <f ca="1">OFFSET(model!$R$1,MATCH(E493,model!A:A,0)-1,0)</f>
        <v>monster_8</v>
      </c>
      <c r="H493" s="213"/>
      <c r="I493" s="213"/>
      <c r="J493" s="213"/>
      <c r="K493" s="1">
        <v>2</v>
      </c>
      <c r="L493" s="1">
        <v>510</v>
      </c>
      <c r="M493" s="1">
        <f t="shared" si="32"/>
        <v>2510</v>
      </c>
      <c r="N493" s="107" t="e">
        <f ca="1">OFFSET(npc_level_config!$T$1,MATCH(M493,npc_level_config!A:A,0)-1,0)</f>
        <v>#VALUE!</v>
      </c>
      <c r="O493" s="107" t="e">
        <f ca="1" t="shared" si="33"/>
        <v>#VALUE!</v>
      </c>
      <c r="P493" s="216">
        <v>1202</v>
      </c>
      <c r="Q493" s="3">
        <v>6</v>
      </c>
      <c r="R493" s="3">
        <v>1</v>
      </c>
      <c r="S493" s="1">
        <v>0</v>
      </c>
      <c r="T493" s="1">
        <v>20103</v>
      </c>
    </row>
    <row r="494" spans="1:20">
      <c r="A494" s="1">
        <v>7112</v>
      </c>
      <c r="B494" s="1" t="s">
        <v>1800</v>
      </c>
      <c r="C494" s="1" t="s">
        <v>2188</v>
      </c>
      <c r="D494" s="1" t="s">
        <v>1800</v>
      </c>
      <c r="E494" s="213">
        <f ca="1">OFFSET(model!$A$1,MATCH(D494,model!B:B,0)-1,0)</f>
        <v>74</v>
      </c>
      <c r="G494" s="213" t="str">
        <f ca="1">OFFSET(model!$R$1,MATCH(E494,model!A:A,0)-1,0)</f>
        <v>role_gwyz</v>
      </c>
      <c r="H494" s="213"/>
      <c r="I494" s="213"/>
      <c r="J494" s="213"/>
      <c r="K494" s="1">
        <v>2</v>
      </c>
      <c r="L494" s="1">
        <v>511</v>
      </c>
      <c r="M494" s="1">
        <f t="shared" si="32"/>
        <v>2511</v>
      </c>
      <c r="N494" s="107" t="e">
        <f ca="1">OFFSET(npc_level_config!$T$1,MATCH(M494,npc_level_config!A:A,0)-1,0)</f>
        <v>#VALUE!</v>
      </c>
      <c r="O494" s="107" t="e">
        <f ca="1" t="shared" si="33"/>
        <v>#VALUE!</v>
      </c>
      <c r="P494" s="216">
        <v>1202</v>
      </c>
      <c r="Q494" s="3">
        <v>6</v>
      </c>
      <c r="R494" s="3">
        <v>1</v>
      </c>
      <c r="S494" s="1">
        <v>0</v>
      </c>
      <c r="T494" s="1">
        <v>20103</v>
      </c>
    </row>
    <row r="495" spans="1:20">
      <c r="A495" s="1">
        <v>7113</v>
      </c>
      <c r="B495" s="1" t="s">
        <v>1686</v>
      </c>
      <c r="C495" s="1" t="s">
        <v>2189</v>
      </c>
      <c r="D495" s="1" t="s">
        <v>1686</v>
      </c>
      <c r="E495" s="213">
        <f ca="1">OFFSET(model!$A$1,MATCH(D495,model!B:B,0)-1,0)</f>
        <v>70</v>
      </c>
      <c r="G495" s="213" t="str">
        <f ca="1">OFFSET(model!$R$1,MATCH(E495,model!A:A,0)-1,0)</f>
        <v>monster_7</v>
      </c>
      <c r="H495" s="213"/>
      <c r="I495" s="213"/>
      <c r="J495" s="213"/>
      <c r="K495" s="1">
        <v>2</v>
      </c>
      <c r="L495" s="1">
        <v>512</v>
      </c>
      <c r="M495" s="1">
        <f t="shared" si="32"/>
        <v>2512</v>
      </c>
      <c r="N495" s="107" t="e">
        <f ca="1">OFFSET(npc_level_config!$T$1,MATCH(M495,npc_level_config!A:A,0)-1,0)</f>
        <v>#VALUE!</v>
      </c>
      <c r="O495" s="107" t="e">
        <f ca="1" t="shared" si="33"/>
        <v>#VALUE!</v>
      </c>
      <c r="P495" s="216">
        <v>1202</v>
      </c>
      <c r="Q495" s="3">
        <v>6</v>
      </c>
      <c r="R495" s="3">
        <v>1</v>
      </c>
      <c r="S495" s="1">
        <v>0</v>
      </c>
      <c r="T495" s="1">
        <v>20103</v>
      </c>
    </row>
    <row r="496" spans="1:20">
      <c r="A496" s="1">
        <v>7114</v>
      </c>
      <c r="B496" s="1" t="s">
        <v>1928</v>
      </c>
      <c r="C496" s="1" t="s">
        <v>2190</v>
      </c>
      <c r="D496" s="1" t="s">
        <v>1928</v>
      </c>
      <c r="E496" s="213">
        <f ca="1">OFFSET(model!$A$1,MATCH(D496,model!B:B,0)-1,0)</f>
        <v>69</v>
      </c>
      <c r="G496" s="213" t="str">
        <f ca="1">OFFSET(model!$R$1,MATCH(E496,model!A:A,0)-1,0)</f>
        <v>monster_10</v>
      </c>
      <c r="H496" s="213"/>
      <c r="I496" s="213"/>
      <c r="J496" s="213"/>
      <c r="K496" s="1">
        <v>2</v>
      </c>
      <c r="L496" s="1">
        <v>513</v>
      </c>
      <c r="M496" s="1">
        <f t="shared" si="32"/>
        <v>2513</v>
      </c>
      <c r="N496" s="107" t="e">
        <f ca="1">OFFSET(npc_level_config!$T$1,MATCH(M496,npc_level_config!A:A,0)-1,0)</f>
        <v>#VALUE!</v>
      </c>
      <c r="O496" s="107" t="e">
        <f ca="1" t="shared" si="33"/>
        <v>#VALUE!</v>
      </c>
      <c r="P496" s="216">
        <v>1202</v>
      </c>
      <c r="Q496" s="3">
        <v>5</v>
      </c>
      <c r="R496" s="3">
        <v>1</v>
      </c>
      <c r="S496" s="1">
        <v>0</v>
      </c>
      <c r="T496" s="1">
        <v>20103</v>
      </c>
    </row>
    <row r="497" spans="1:20">
      <c r="A497" s="1">
        <v>7115</v>
      </c>
      <c r="B497" s="1" t="s">
        <v>1686</v>
      </c>
      <c r="C497" s="1" t="s">
        <v>2191</v>
      </c>
      <c r="D497" s="1" t="s">
        <v>1686</v>
      </c>
      <c r="E497" s="213">
        <f ca="1">OFFSET(model!$A$1,MATCH(D497,model!B:B,0)-1,0)</f>
        <v>70</v>
      </c>
      <c r="G497" s="213" t="str">
        <f ca="1">OFFSET(model!$R$1,MATCH(E497,model!A:A,0)-1,0)</f>
        <v>monster_7</v>
      </c>
      <c r="H497" s="213"/>
      <c r="I497" s="213"/>
      <c r="J497" s="213"/>
      <c r="K497" s="1">
        <v>2</v>
      </c>
      <c r="L497" s="1">
        <v>514</v>
      </c>
      <c r="M497" s="1">
        <f t="shared" si="32"/>
        <v>2514</v>
      </c>
      <c r="N497" s="107" t="e">
        <f ca="1">OFFSET(npc_level_config!$T$1,MATCH(M497,npc_level_config!A:A,0)-1,0)</f>
        <v>#VALUE!</v>
      </c>
      <c r="O497" s="107" t="e">
        <f ca="1" t="shared" si="33"/>
        <v>#VALUE!</v>
      </c>
      <c r="P497" s="216">
        <v>1202</v>
      </c>
      <c r="Q497" s="3">
        <v>6</v>
      </c>
      <c r="R497" s="3">
        <v>1</v>
      </c>
      <c r="S497" s="1">
        <v>0</v>
      </c>
      <c r="T497" s="1">
        <v>20103</v>
      </c>
    </row>
    <row r="498" spans="1:20">
      <c r="A498" s="1">
        <v>7116</v>
      </c>
      <c r="B498" s="1" t="s">
        <v>1600</v>
      </c>
      <c r="C498" s="1" t="s">
        <v>2192</v>
      </c>
      <c r="D498" s="1" t="s">
        <v>1600</v>
      </c>
      <c r="E498" s="213">
        <f ca="1">OFFSET(model!$A$1,MATCH(D498,model!B:B,0)-1,0)</f>
        <v>66</v>
      </c>
      <c r="G498" s="213" t="str">
        <f ca="1">OFFSET(model!$R$1,MATCH(E498,model!A:A,0)-1,0)</f>
        <v>monster_8</v>
      </c>
      <c r="H498" s="213"/>
      <c r="I498" s="213"/>
      <c r="J498" s="213"/>
      <c r="K498" s="1">
        <v>2</v>
      </c>
      <c r="L498" s="1">
        <v>515</v>
      </c>
      <c r="M498" s="1">
        <f t="shared" si="32"/>
        <v>2515</v>
      </c>
      <c r="N498" s="107" t="e">
        <f ca="1">OFFSET(npc_level_config!$T$1,MATCH(M498,npc_level_config!A:A,0)-1,0)</f>
        <v>#VALUE!</v>
      </c>
      <c r="O498" s="107" t="e">
        <f ca="1" t="shared" si="33"/>
        <v>#VALUE!</v>
      </c>
      <c r="P498" s="216">
        <v>1202</v>
      </c>
      <c r="Q498" s="3">
        <v>6</v>
      </c>
      <c r="R498" s="3">
        <v>1</v>
      </c>
      <c r="S498" s="1">
        <v>0</v>
      </c>
      <c r="T498" s="1">
        <v>20103</v>
      </c>
    </row>
    <row r="499" spans="1:20">
      <c r="A499" s="1">
        <v>7117</v>
      </c>
      <c r="B499" s="1" t="s">
        <v>1800</v>
      </c>
      <c r="C499" s="1" t="s">
        <v>2193</v>
      </c>
      <c r="D499" s="1" t="s">
        <v>1800</v>
      </c>
      <c r="E499" s="213">
        <f ca="1">OFFSET(model!$A$1,MATCH(D499,model!B:B,0)-1,0)</f>
        <v>74</v>
      </c>
      <c r="G499" s="213" t="str">
        <f ca="1">OFFSET(model!$R$1,MATCH(E499,model!A:A,0)-1,0)</f>
        <v>role_gwyz</v>
      </c>
      <c r="H499" s="213"/>
      <c r="I499" s="213"/>
      <c r="J499" s="213"/>
      <c r="K499" s="1">
        <v>2</v>
      </c>
      <c r="L499" s="1">
        <v>516</v>
      </c>
      <c r="M499" s="1">
        <f t="shared" si="32"/>
        <v>2516</v>
      </c>
      <c r="N499" s="107" t="e">
        <f ca="1">OFFSET(npc_level_config!$T$1,MATCH(M499,npc_level_config!A:A,0)-1,0)</f>
        <v>#VALUE!</v>
      </c>
      <c r="O499" s="107" t="e">
        <f ca="1" t="shared" si="33"/>
        <v>#VALUE!</v>
      </c>
      <c r="P499" s="216">
        <v>1202</v>
      </c>
      <c r="Q499" s="3">
        <v>6</v>
      </c>
      <c r="R499" s="3">
        <v>1</v>
      </c>
      <c r="S499" s="1">
        <v>0</v>
      </c>
      <c r="T499" s="1">
        <v>20103</v>
      </c>
    </row>
    <row r="500" spans="1:20">
      <c r="A500" s="1">
        <v>7118</v>
      </c>
      <c r="B500" s="1" t="s">
        <v>1686</v>
      </c>
      <c r="C500" s="1" t="s">
        <v>2194</v>
      </c>
      <c r="D500" s="1" t="s">
        <v>1686</v>
      </c>
      <c r="E500" s="213">
        <f ca="1">OFFSET(model!$A$1,MATCH(D500,model!B:B,0)-1,0)</f>
        <v>70</v>
      </c>
      <c r="G500" s="213" t="str">
        <f ca="1">OFFSET(model!$R$1,MATCH(E500,model!A:A,0)-1,0)</f>
        <v>monster_7</v>
      </c>
      <c r="H500" s="213"/>
      <c r="I500" s="213"/>
      <c r="J500" s="213"/>
      <c r="K500" s="1">
        <v>2</v>
      </c>
      <c r="L500" s="1">
        <v>517</v>
      </c>
      <c r="M500" s="1">
        <f t="shared" si="32"/>
        <v>2517</v>
      </c>
      <c r="N500" s="107" t="e">
        <f ca="1">OFFSET(npc_level_config!$T$1,MATCH(M500,npc_level_config!A:A,0)-1,0)</f>
        <v>#VALUE!</v>
      </c>
      <c r="O500" s="107" t="e">
        <f ca="1" t="shared" si="33"/>
        <v>#VALUE!</v>
      </c>
      <c r="P500" s="216">
        <v>1202</v>
      </c>
      <c r="Q500" s="3">
        <v>6</v>
      </c>
      <c r="R500" s="3">
        <v>1</v>
      </c>
      <c r="S500" s="1">
        <v>0</v>
      </c>
      <c r="T500" s="1">
        <v>20103</v>
      </c>
    </row>
    <row r="501" spans="1:20">
      <c r="A501" s="1">
        <v>7119</v>
      </c>
      <c r="B501" s="1" t="s">
        <v>1928</v>
      </c>
      <c r="C501" s="1" t="s">
        <v>2195</v>
      </c>
      <c r="D501" s="1" t="s">
        <v>1928</v>
      </c>
      <c r="E501" s="213">
        <f ca="1">OFFSET(model!$A$1,MATCH(D501,model!B:B,0)-1,0)</f>
        <v>69</v>
      </c>
      <c r="G501" s="213" t="str">
        <f ca="1">OFFSET(model!$R$1,MATCH(E501,model!A:A,0)-1,0)</f>
        <v>monster_10</v>
      </c>
      <c r="H501" s="213"/>
      <c r="I501" s="213"/>
      <c r="J501" s="213"/>
      <c r="K501" s="1">
        <v>2</v>
      </c>
      <c r="L501" s="1">
        <v>518</v>
      </c>
      <c r="M501" s="1">
        <f t="shared" si="32"/>
        <v>2518</v>
      </c>
      <c r="N501" s="107" t="e">
        <f ca="1">OFFSET(npc_level_config!$T$1,MATCH(M501,npc_level_config!A:A,0)-1,0)</f>
        <v>#VALUE!</v>
      </c>
      <c r="O501" s="107" t="e">
        <f ca="1" t="shared" si="33"/>
        <v>#VALUE!</v>
      </c>
      <c r="P501" s="216">
        <v>1202</v>
      </c>
      <c r="Q501" s="3">
        <v>5</v>
      </c>
      <c r="R501" s="3">
        <v>1</v>
      </c>
      <c r="S501" s="1">
        <v>0</v>
      </c>
      <c r="T501" s="1">
        <v>20103</v>
      </c>
    </row>
    <row r="502" spans="1:20">
      <c r="A502" s="1">
        <v>7120</v>
      </c>
      <c r="B502" s="263" t="s">
        <v>1763</v>
      </c>
      <c r="C502" s="1" t="s">
        <v>2196</v>
      </c>
      <c r="D502" s="1" t="s">
        <v>1763</v>
      </c>
      <c r="E502" s="213">
        <f ca="1">OFFSET(model!$A$1,MATCH(D502,model!B:B,0)-1,0)</f>
        <v>7</v>
      </c>
      <c r="G502" s="213" t="str">
        <f ca="1">OFFSET(model!$R$1,MATCH(E502,model!A:A,0)-1,0)</f>
        <v>monster_7</v>
      </c>
      <c r="H502" s="213"/>
      <c r="I502" s="213"/>
      <c r="J502" s="213"/>
      <c r="K502" s="1">
        <v>2</v>
      </c>
      <c r="L502" s="1">
        <v>519</v>
      </c>
      <c r="M502" s="1">
        <f t="shared" si="32"/>
        <v>2519</v>
      </c>
      <c r="N502" s="107" t="e">
        <f ca="1">OFFSET(npc_level_config!$T$1,MATCH(M502,npc_level_config!A:A,0)-1,0)</f>
        <v>#VALUE!</v>
      </c>
      <c r="O502" s="107" t="e">
        <f ca="1" t="shared" si="33"/>
        <v>#VALUE!</v>
      </c>
      <c r="P502" s="216">
        <v>1202</v>
      </c>
      <c r="Q502" s="3">
        <v>6</v>
      </c>
      <c r="R502" s="3">
        <v>1</v>
      </c>
      <c r="S502" s="1">
        <v>0</v>
      </c>
      <c r="T502" s="1">
        <v>20103</v>
      </c>
    </row>
    <row r="503" spans="1:20">
      <c r="A503" s="1">
        <v>7121</v>
      </c>
      <c r="B503" s="1" t="s">
        <v>1600</v>
      </c>
      <c r="C503" s="1" t="s">
        <v>2197</v>
      </c>
      <c r="D503" s="1" t="s">
        <v>1600</v>
      </c>
      <c r="E503" s="213">
        <f ca="1">OFFSET(model!$A$1,MATCH(D503,model!B:B,0)-1,0)</f>
        <v>66</v>
      </c>
      <c r="G503" s="213" t="str">
        <f ca="1">OFFSET(model!$R$1,MATCH(E503,model!A:A,0)-1,0)</f>
        <v>monster_8</v>
      </c>
      <c r="H503" s="213"/>
      <c r="I503" s="213"/>
      <c r="J503" s="213"/>
      <c r="K503" s="1">
        <v>2</v>
      </c>
      <c r="L503" s="1">
        <v>520</v>
      </c>
      <c r="M503" s="1">
        <f t="shared" si="32"/>
        <v>2520</v>
      </c>
      <c r="N503" s="107" t="e">
        <f ca="1">OFFSET(npc_level_config!$T$1,MATCH(M503,npc_level_config!A:A,0)-1,0)</f>
        <v>#VALUE!</v>
      </c>
      <c r="O503" s="107" t="e">
        <f ca="1" t="shared" si="33"/>
        <v>#VALUE!</v>
      </c>
      <c r="P503" s="216">
        <v>1202</v>
      </c>
      <c r="Q503" s="3">
        <v>6</v>
      </c>
      <c r="R503" s="3">
        <v>1</v>
      </c>
      <c r="S503" s="1">
        <v>0</v>
      </c>
      <c r="T503" s="1">
        <v>20103</v>
      </c>
    </row>
    <row r="504" spans="1:20">
      <c r="A504" s="1">
        <v>7122</v>
      </c>
      <c r="B504" s="1" t="s">
        <v>1800</v>
      </c>
      <c r="C504" s="1" t="s">
        <v>2198</v>
      </c>
      <c r="D504" s="1" t="s">
        <v>1800</v>
      </c>
      <c r="E504" s="213">
        <f ca="1">OFFSET(model!$A$1,MATCH(D504,model!B:B,0)-1,0)</f>
        <v>74</v>
      </c>
      <c r="G504" s="213" t="str">
        <f ca="1">OFFSET(model!$R$1,MATCH(E504,model!A:A,0)-1,0)</f>
        <v>role_gwyz</v>
      </c>
      <c r="H504" s="213"/>
      <c r="I504" s="213"/>
      <c r="J504" s="213"/>
      <c r="K504" s="1">
        <v>2</v>
      </c>
      <c r="L504" s="1">
        <v>521</v>
      </c>
      <c r="M504" s="1">
        <f t="shared" si="32"/>
        <v>2521</v>
      </c>
      <c r="N504" s="107" t="e">
        <f ca="1">OFFSET(npc_level_config!$T$1,MATCH(M504,npc_level_config!A:A,0)-1,0)</f>
        <v>#VALUE!</v>
      </c>
      <c r="O504" s="107" t="e">
        <f ca="1" t="shared" si="33"/>
        <v>#VALUE!</v>
      </c>
      <c r="P504" s="216">
        <v>1202</v>
      </c>
      <c r="Q504" s="3">
        <v>6</v>
      </c>
      <c r="R504" s="3">
        <v>1</v>
      </c>
      <c r="S504" s="1">
        <v>0</v>
      </c>
      <c r="T504" s="1">
        <v>20103</v>
      </c>
    </row>
    <row r="505" spans="1:20">
      <c r="A505" s="1">
        <v>7123</v>
      </c>
      <c r="B505" s="1" t="s">
        <v>1686</v>
      </c>
      <c r="C505" s="1" t="s">
        <v>2199</v>
      </c>
      <c r="D505" s="1" t="s">
        <v>1686</v>
      </c>
      <c r="E505" s="213">
        <f ca="1">OFFSET(model!$A$1,MATCH(D505,model!B:B,0)-1,0)</f>
        <v>70</v>
      </c>
      <c r="G505" s="213" t="str">
        <f ca="1">OFFSET(model!$R$1,MATCH(E505,model!A:A,0)-1,0)</f>
        <v>monster_7</v>
      </c>
      <c r="H505" s="213"/>
      <c r="I505" s="213"/>
      <c r="J505" s="213"/>
      <c r="K505" s="1">
        <v>2</v>
      </c>
      <c r="L505" s="1">
        <v>522</v>
      </c>
      <c r="M505" s="1">
        <f t="shared" si="32"/>
        <v>2522</v>
      </c>
      <c r="N505" s="107" t="e">
        <f ca="1">OFFSET(npc_level_config!$T$1,MATCH(M505,npc_level_config!A:A,0)-1,0)</f>
        <v>#VALUE!</v>
      </c>
      <c r="O505" s="107" t="e">
        <f ca="1" t="shared" si="33"/>
        <v>#VALUE!</v>
      </c>
      <c r="P505" s="216">
        <v>1202</v>
      </c>
      <c r="Q505" s="3">
        <v>6</v>
      </c>
      <c r="R505" s="3">
        <v>1</v>
      </c>
      <c r="S505" s="1">
        <v>0</v>
      </c>
      <c r="T505" s="1">
        <v>20103</v>
      </c>
    </row>
    <row r="506" spans="1:20">
      <c r="A506" s="1">
        <v>7124</v>
      </c>
      <c r="B506" s="1" t="s">
        <v>1928</v>
      </c>
      <c r="C506" s="1" t="s">
        <v>2200</v>
      </c>
      <c r="D506" s="1" t="s">
        <v>1928</v>
      </c>
      <c r="E506" s="213">
        <f ca="1">OFFSET(model!$A$1,MATCH(D506,model!B:B,0)-1,0)</f>
        <v>69</v>
      </c>
      <c r="G506" s="213" t="str">
        <f ca="1">OFFSET(model!$R$1,MATCH(E506,model!A:A,0)-1,0)</f>
        <v>monster_10</v>
      </c>
      <c r="H506" s="213"/>
      <c r="I506" s="213"/>
      <c r="J506" s="213"/>
      <c r="K506" s="1">
        <v>2</v>
      </c>
      <c r="L506" s="1">
        <v>523</v>
      </c>
      <c r="M506" s="1">
        <f t="shared" si="32"/>
        <v>2523</v>
      </c>
      <c r="N506" s="107" t="e">
        <f ca="1">OFFSET(npc_level_config!$T$1,MATCH(M506,npc_level_config!A:A,0)-1,0)</f>
        <v>#VALUE!</v>
      </c>
      <c r="O506" s="107" t="e">
        <f ca="1" t="shared" si="33"/>
        <v>#VALUE!</v>
      </c>
      <c r="P506" s="216">
        <v>1202</v>
      </c>
      <c r="Q506" s="3">
        <v>5</v>
      </c>
      <c r="R506" s="3">
        <v>1</v>
      </c>
      <c r="S506" s="1">
        <v>0</v>
      </c>
      <c r="T506" s="1">
        <v>20103</v>
      </c>
    </row>
    <row r="507" spans="1:20">
      <c r="A507" s="1">
        <v>7125</v>
      </c>
      <c r="B507" s="1" t="s">
        <v>1686</v>
      </c>
      <c r="C507" s="1" t="s">
        <v>2201</v>
      </c>
      <c r="D507" s="1" t="s">
        <v>1686</v>
      </c>
      <c r="E507" s="213">
        <f ca="1">OFFSET(model!$A$1,MATCH(D507,model!B:B,0)-1,0)</f>
        <v>70</v>
      </c>
      <c r="G507" s="213" t="str">
        <f ca="1">OFFSET(model!$R$1,MATCH(E507,model!A:A,0)-1,0)</f>
        <v>monster_7</v>
      </c>
      <c r="H507" s="213"/>
      <c r="I507" s="213"/>
      <c r="J507" s="213"/>
      <c r="K507" s="1">
        <v>2</v>
      </c>
      <c r="L507" s="1">
        <v>524</v>
      </c>
      <c r="M507" s="1">
        <f t="shared" si="32"/>
        <v>2524</v>
      </c>
      <c r="N507" s="107" t="e">
        <f ca="1">OFFSET(npc_level_config!$T$1,MATCH(M507,npc_level_config!A:A,0)-1,0)</f>
        <v>#VALUE!</v>
      </c>
      <c r="O507" s="107" t="e">
        <f ca="1" t="shared" si="33"/>
        <v>#VALUE!</v>
      </c>
      <c r="P507" s="216">
        <v>1202</v>
      </c>
      <c r="Q507" s="3">
        <v>6</v>
      </c>
      <c r="R507" s="3">
        <v>1</v>
      </c>
      <c r="S507" s="1">
        <v>0</v>
      </c>
      <c r="T507" s="1">
        <v>20103</v>
      </c>
    </row>
    <row r="508" spans="1:20">
      <c r="A508" s="1">
        <v>7126</v>
      </c>
      <c r="B508" s="1" t="s">
        <v>1600</v>
      </c>
      <c r="C508" s="1" t="s">
        <v>2202</v>
      </c>
      <c r="D508" s="1" t="s">
        <v>1600</v>
      </c>
      <c r="E508" s="213">
        <f ca="1">OFFSET(model!$A$1,MATCH(D508,model!B:B,0)-1,0)</f>
        <v>66</v>
      </c>
      <c r="G508" s="213" t="str">
        <f ca="1">OFFSET(model!$R$1,MATCH(E508,model!A:A,0)-1,0)</f>
        <v>monster_8</v>
      </c>
      <c r="H508" s="213"/>
      <c r="I508" s="213"/>
      <c r="J508" s="213"/>
      <c r="K508" s="1">
        <v>2</v>
      </c>
      <c r="L508" s="1">
        <v>525</v>
      </c>
      <c r="M508" s="1">
        <f t="shared" si="32"/>
        <v>2525</v>
      </c>
      <c r="N508" s="107" t="e">
        <f ca="1">OFFSET(npc_level_config!$T$1,MATCH(M508,npc_level_config!A:A,0)-1,0)</f>
        <v>#VALUE!</v>
      </c>
      <c r="O508" s="107" t="e">
        <f ca="1" t="shared" si="33"/>
        <v>#VALUE!</v>
      </c>
      <c r="P508" s="216">
        <v>1202</v>
      </c>
      <c r="Q508" s="3">
        <v>6</v>
      </c>
      <c r="R508" s="3">
        <v>1</v>
      </c>
      <c r="S508" s="1">
        <v>0</v>
      </c>
      <c r="T508" s="1">
        <v>20103</v>
      </c>
    </row>
    <row r="509" spans="1:20">
      <c r="A509" s="1">
        <v>7127</v>
      </c>
      <c r="B509" s="1" t="s">
        <v>1800</v>
      </c>
      <c r="C509" s="1" t="s">
        <v>2203</v>
      </c>
      <c r="D509" s="1" t="s">
        <v>1800</v>
      </c>
      <c r="E509" s="213">
        <f ca="1">OFFSET(model!$A$1,MATCH(D509,model!B:B,0)-1,0)</f>
        <v>74</v>
      </c>
      <c r="G509" s="213" t="str">
        <f ca="1">OFFSET(model!$R$1,MATCH(E509,model!A:A,0)-1,0)</f>
        <v>role_gwyz</v>
      </c>
      <c r="H509" s="213"/>
      <c r="I509" s="213"/>
      <c r="J509" s="213"/>
      <c r="K509" s="1">
        <v>2</v>
      </c>
      <c r="L509" s="1">
        <v>526</v>
      </c>
      <c r="M509" s="1">
        <f t="shared" si="32"/>
        <v>2526</v>
      </c>
      <c r="N509" s="107" t="e">
        <f ca="1">OFFSET(npc_level_config!$T$1,MATCH(M509,npc_level_config!A:A,0)-1,0)</f>
        <v>#VALUE!</v>
      </c>
      <c r="O509" s="107" t="e">
        <f ca="1" t="shared" si="33"/>
        <v>#VALUE!</v>
      </c>
      <c r="P509" s="216">
        <v>1202</v>
      </c>
      <c r="Q509" s="3">
        <v>6</v>
      </c>
      <c r="R509" s="3">
        <v>1</v>
      </c>
      <c r="S509" s="1">
        <v>0</v>
      </c>
      <c r="T509" s="1">
        <v>20103</v>
      </c>
    </row>
    <row r="510" spans="1:20">
      <c r="A510" s="1">
        <v>7128</v>
      </c>
      <c r="B510" s="1" t="s">
        <v>1686</v>
      </c>
      <c r="C510" s="1" t="s">
        <v>2204</v>
      </c>
      <c r="D510" s="1" t="s">
        <v>1686</v>
      </c>
      <c r="E510" s="213">
        <f ca="1">OFFSET(model!$A$1,MATCH(D510,model!B:B,0)-1,0)</f>
        <v>70</v>
      </c>
      <c r="G510" s="213" t="str">
        <f ca="1">OFFSET(model!$R$1,MATCH(E510,model!A:A,0)-1,0)</f>
        <v>monster_7</v>
      </c>
      <c r="H510" s="213"/>
      <c r="I510" s="213"/>
      <c r="J510" s="213"/>
      <c r="K510" s="1">
        <v>2</v>
      </c>
      <c r="L510" s="1">
        <v>527</v>
      </c>
      <c r="M510" s="1">
        <f t="shared" si="32"/>
        <v>2527</v>
      </c>
      <c r="N510" s="107" t="e">
        <f ca="1">OFFSET(npc_level_config!$T$1,MATCH(M510,npc_level_config!A:A,0)-1,0)</f>
        <v>#VALUE!</v>
      </c>
      <c r="O510" s="107" t="e">
        <f ca="1" t="shared" si="33"/>
        <v>#VALUE!</v>
      </c>
      <c r="P510" s="216">
        <v>1202</v>
      </c>
      <c r="Q510" s="3">
        <v>6</v>
      </c>
      <c r="R510" s="3">
        <v>1</v>
      </c>
      <c r="S510" s="1">
        <v>0</v>
      </c>
      <c r="T510" s="1">
        <v>20103</v>
      </c>
    </row>
    <row r="511" spans="1:20">
      <c r="A511" s="1">
        <v>7129</v>
      </c>
      <c r="B511" s="1" t="s">
        <v>1928</v>
      </c>
      <c r="C511" s="1" t="s">
        <v>2205</v>
      </c>
      <c r="D511" s="1" t="s">
        <v>1928</v>
      </c>
      <c r="E511" s="213">
        <f ca="1">OFFSET(model!$A$1,MATCH(D511,model!B:B,0)-1,0)</f>
        <v>69</v>
      </c>
      <c r="G511" s="213" t="str">
        <f ca="1">OFFSET(model!$R$1,MATCH(E511,model!A:A,0)-1,0)</f>
        <v>monster_10</v>
      </c>
      <c r="H511" s="213"/>
      <c r="I511" s="213"/>
      <c r="J511" s="213"/>
      <c r="K511" s="1">
        <v>2</v>
      </c>
      <c r="L511" s="1">
        <v>528</v>
      </c>
      <c r="M511" s="1">
        <f t="shared" si="32"/>
        <v>2528</v>
      </c>
      <c r="N511" s="107" t="e">
        <f ca="1">OFFSET(npc_level_config!$T$1,MATCH(M511,npc_level_config!A:A,0)-1,0)</f>
        <v>#VALUE!</v>
      </c>
      <c r="O511" s="107" t="e">
        <f ca="1" t="shared" si="33"/>
        <v>#VALUE!</v>
      </c>
      <c r="P511" s="216">
        <v>1202</v>
      </c>
      <c r="Q511" s="3">
        <v>5</v>
      </c>
      <c r="R511" s="3">
        <v>1</v>
      </c>
      <c r="S511" s="1">
        <v>0</v>
      </c>
      <c r="T511" s="1">
        <v>20103</v>
      </c>
    </row>
    <row r="512" spans="1:20">
      <c r="A512" s="1">
        <v>7130</v>
      </c>
      <c r="B512" s="263" t="s">
        <v>1763</v>
      </c>
      <c r="C512" s="1" t="s">
        <v>2206</v>
      </c>
      <c r="D512" s="1" t="s">
        <v>1763</v>
      </c>
      <c r="E512" s="213">
        <f ca="1">OFFSET(model!$A$1,MATCH(D512,model!B:B,0)-1,0)</f>
        <v>7</v>
      </c>
      <c r="G512" s="213" t="str">
        <f ca="1">OFFSET(model!$R$1,MATCH(E512,model!A:A,0)-1,0)</f>
        <v>monster_7</v>
      </c>
      <c r="H512" s="213"/>
      <c r="I512" s="213"/>
      <c r="J512" s="213"/>
      <c r="K512" s="1">
        <v>2</v>
      </c>
      <c r="L512" s="1">
        <v>529</v>
      </c>
      <c r="M512" s="1">
        <f t="shared" ref="M512:M575" si="34">K512*1000+L512</f>
        <v>2529</v>
      </c>
      <c r="N512" s="107" t="e">
        <f ca="1">OFFSET(npc_level_config!$T$1,MATCH(M512,npc_level_config!A:A,0)-1,0)</f>
        <v>#VALUE!</v>
      </c>
      <c r="O512" s="107" t="e">
        <f ca="1" t="shared" si="33"/>
        <v>#VALUE!</v>
      </c>
      <c r="P512" s="216">
        <v>1202</v>
      </c>
      <c r="Q512" s="3">
        <v>6</v>
      </c>
      <c r="R512" s="3">
        <v>1</v>
      </c>
      <c r="S512" s="1">
        <v>0</v>
      </c>
      <c r="T512" s="1">
        <v>20103</v>
      </c>
    </row>
    <row r="513" spans="1:20">
      <c r="A513" s="1">
        <v>7131</v>
      </c>
      <c r="B513" s="1" t="s">
        <v>1600</v>
      </c>
      <c r="C513" s="1" t="s">
        <v>2207</v>
      </c>
      <c r="D513" s="1" t="s">
        <v>1600</v>
      </c>
      <c r="E513" s="213">
        <f ca="1">OFFSET(model!$A$1,MATCH(D513,model!B:B,0)-1,0)</f>
        <v>66</v>
      </c>
      <c r="G513" s="213" t="str">
        <f ca="1">OFFSET(model!$R$1,MATCH(E513,model!A:A,0)-1,0)</f>
        <v>monster_8</v>
      </c>
      <c r="H513" s="213"/>
      <c r="I513" s="213"/>
      <c r="J513" s="213"/>
      <c r="K513" s="1">
        <v>2</v>
      </c>
      <c r="L513" s="1">
        <v>530</v>
      </c>
      <c r="M513" s="1">
        <f t="shared" si="34"/>
        <v>2530</v>
      </c>
      <c r="N513" s="107" t="e">
        <f ca="1">OFFSET(npc_level_config!$T$1,MATCH(M513,npc_level_config!A:A,0)-1,0)</f>
        <v>#VALUE!</v>
      </c>
      <c r="O513" s="107" t="e">
        <f ca="1" t="shared" si="33"/>
        <v>#VALUE!</v>
      </c>
      <c r="P513" s="216">
        <v>1202</v>
      </c>
      <c r="Q513" s="3">
        <v>6</v>
      </c>
      <c r="R513" s="3">
        <v>1</v>
      </c>
      <c r="S513" s="1">
        <v>0</v>
      </c>
      <c r="T513" s="1">
        <v>20103</v>
      </c>
    </row>
    <row r="514" spans="1:20">
      <c r="A514" s="1">
        <v>7132</v>
      </c>
      <c r="B514" s="1" t="s">
        <v>1800</v>
      </c>
      <c r="C514" s="1" t="s">
        <v>2208</v>
      </c>
      <c r="D514" s="1" t="s">
        <v>1800</v>
      </c>
      <c r="E514" s="213">
        <f ca="1">OFFSET(model!$A$1,MATCH(D514,model!B:B,0)-1,0)</f>
        <v>74</v>
      </c>
      <c r="G514" s="213" t="str">
        <f ca="1">OFFSET(model!$R$1,MATCH(E514,model!A:A,0)-1,0)</f>
        <v>role_gwyz</v>
      </c>
      <c r="H514" s="213"/>
      <c r="I514" s="213"/>
      <c r="J514" s="213"/>
      <c r="K514" s="1">
        <v>2</v>
      </c>
      <c r="L514" s="1">
        <v>531</v>
      </c>
      <c r="M514" s="1">
        <f t="shared" si="34"/>
        <v>2531</v>
      </c>
      <c r="N514" s="107" t="e">
        <f ca="1">OFFSET(npc_level_config!$T$1,MATCH(M514,npc_level_config!A:A,0)-1,0)</f>
        <v>#VALUE!</v>
      </c>
      <c r="O514" s="107" t="e">
        <f ca="1" t="shared" si="33"/>
        <v>#VALUE!</v>
      </c>
      <c r="P514" s="216">
        <v>1202</v>
      </c>
      <c r="Q514" s="3">
        <v>6</v>
      </c>
      <c r="R514" s="3">
        <v>1</v>
      </c>
      <c r="S514" s="1">
        <v>0</v>
      </c>
      <c r="T514" s="1">
        <v>20103</v>
      </c>
    </row>
    <row r="515" spans="1:20">
      <c r="A515" s="1">
        <v>7133</v>
      </c>
      <c r="B515" s="1" t="s">
        <v>1686</v>
      </c>
      <c r="C515" s="1" t="s">
        <v>2209</v>
      </c>
      <c r="D515" s="1" t="s">
        <v>1686</v>
      </c>
      <c r="E515" s="213">
        <f ca="1">OFFSET(model!$A$1,MATCH(D515,model!B:B,0)-1,0)</f>
        <v>70</v>
      </c>
      <c r="G515" s="213" t="str">
        <f ca="1">OFFSET(model!$R$1,MATCH(E515,model!A:A,0)-1,0)</f>
        <v>monster_7</v>
      </c>
      <c r="H515" s="213"/>
      <c r="I515" s="213"/>
      <c r="J515" s="213"/>
      <c r="K515" s="1">
        <v>2</v>
      </c>
      <c r="L515" s="1">
        <v>532</v>
      </c>
      <c r="M515" s="1">
        <f t="shared" si="34"/>
        <v>2532</v>
      </c>
      <c r="N515" s="107" t="e">
        <f ca="1">OFFSET(npc_level_config!$T$1,MATCH(M515,npc_level_config!A:A,0)-1,0)</f>
        <v>#VALUE!</v>
      </c>
      <c r="O515" s="107" t="e">
        <f ca="1" t="shared" si="33"/>
        <v>#VALUE!</v>
      </c>
      <c r="P515" s="216">
        <v>1202</v>
      </c>
      <c r="Q515" s="3">
        <v>6</v>
      </c>
      <c r="R515" s="3">
        <v>1</v>
      </c>
      <c r="S515" s="1">
        <v>0</v>
      </c>
      <c r="T515" s="1">
        <v>20103</v>
      </c>
    </row>
    <row r="516" spans="1:20">
      <c r="A516" s="1">
        <v>7134</v>
      </c>
      <c r="B516" s="1" t="s">
        <v>1928</v>
      </c>
      <c r="C516" s="1" t="s">
        <v>2210</v>
      </c>
      <c r="D516" s="1" t="s">
        <v>1928</v>
      </c>
      <c r="E516" s="213">
        <f ca="1">OFFSET(model!$A$1,MATCH(D516,model!B:B,0)-1,0)</f>
        <v>69</v>
      </c>
      <c r="G516" s="213" t="str">
        <f ca="1">OFFSET(model!$R$1,MATCH(E516,model!A:A,0)-1,0)</f>
        <v>monster_10</v>
      </c>
      <c r="H516" s="213"/>
      <c r="I516" s="213"/>
      <c r="J516" s="213"/>
      <c r="K516" s="1">
        <v>2</v>
      </c>
      <c r="L516" s="1">
        <v>533</v>
      </c>
      <c r="M516" s="1">
        <f t="shared" si="34"/>
        <v>2533</v>
      </c>
      <c r="N516" s="107" t="e">
        <f ca="1">OFFSET(npc_level_config!$T$1,MATCH(M516,npc_level_config!A:A,0)-1,0)</f>
        <v>#VALUE!</v>
      </c>
      <c r="O516" s="107" t="e">
        <f ca="1" t="shared" si="33"/>
        <v>#VALUE!</v>
      </c>
      <c r="P516" s="216">
        <v>1202</v>
      </c>
      <c r="Q516" s="3">
        <v>5</v>
      </c>
      <c r="R516" s="3">
        <v>1</v>
      </c>
      <c r="S516" s="1">
        <v>0</v>
      </c>
      <c r="T516" s="1">
        <v>20103</v>
      </c>
    </row>
    <row r="517" spans="1:20">
      <c r="A517" s="1">
        <v>7135</v>
      </c>
      <c r="B517" s="1" t="s">
        <v>1686</v>
      </c>
      <c r="C517" s="1" t="s">
        <v>2211</v>
      </c>
      <c r="D517" s="1" t="s">
        <v>1686</v>
      </c>
      <c r="E517" s="213">
        <f ca="1">OFFSET(model!$A$1,MATCH(D517,model!B:B,0)-1,0)</f>
        <v>70</v>
      </c>
      <c r="G517" s="213" t="str">
        <f ca="1">OFFSET(model!$R$1,MATCH(E517,model!A:A,0)-1,0)</f>
        <v>monster_7</v>
      </c>
      <c r="H517" s="213"/>
      <c r="I517" s="213"/>
      <c r="J517" s="213"/>
      <c r="K517" s="1">
        <v>2</v>
      </c>
      <c r="L517" s="1">
        <v>534</v>
      </c>
      <c r="M517" s="1">
        <f t="shared" si="34"/>
        <v>2534</v>
      </c>
      <c r="N517" s="107" t="e">
        <f ca="1">OFFSET(npc_level_config!$T$1,MATCH(M517,npc_level_config!A:A,0)-1,0)</f>
        <v>#VALUE!</v>
      </c>
      <c r="O517" s="107" t="e">
        <f ca="1" t="shared" si="33"/>
        <v>#VALUE!</v>
      </c>
      <c r="P517" s="216">
        <v>1202</v>
      </c>
      <c r="Q517" s="3">
        <v>6</v>
      </c>
      <c r="R517" s="3">
        <v>1</v>
      </c>
      <c r="S517" s="1">
        <v>0</v>
      </c>
      <c r="T517" s="1">
        <v>20103</v>
      </c>
    </row>
    <row r="518" spans="1:20">
      <c r="A518" s="1">
        <v>7136</v>
      </c>
      <c r="B518" s="1" t="s">
        <v>1600</v>
      </c>
      <c r="C518" s="1" t="s">
        <v>2212</v>
      </c>
      <c r="D518" s="1" t="s">
        <v>1600</v>
      </c>
      <c r="E518" s="213">
        <f ca="1">OFFSET(model!$A$1,MATCH(D518,model!B:B,0)-1,0)</f>
        <v>66</v>
      </c>
      <c r="G518" s="213" t="str">
        <f ca="1">OFFSET(model!$R$1,MATCH(E518,model!A:A,0)-1,0)</f>
        <v>monster_8</v>
      </c>
      <c r="H518" s="213"/>
      <c r="I518" s="213"/>
      <c r="J518" s="213"/>
      <c r="K518" s="1">
        <v>2</v>
      </c>
      <c r="L518" s="1">
        <v>535</v>
      </c>
      <c r="M518" s="1">
        <f t="shared" si="34"/>
        <v>2535</v>
      </c>
      <c r="N518" s="107" t="e">
        <f ca="1">OFFSET(npc_level_config!$T$1,MATCH(M518,npc_level_config!A:A,0)-1,0)</f>
        <v>#VALUE!</v>
      </c>
      <c r="O518" s="107" t="e">
        <f ca="1" t="shared" si="33"/>
        <v>#VALUE!</v>
      </c>
      <c r="P518" s="216">
        <v>1202</v>
      </c>
      <c r="Q518" s="3">
        <v>6</v>
      </c>
      <c r="R518" s="3">
        <v>1</v>
      </c>
      <c r="S518" s="1">
        <v>0</v>
      </c>
      <c r="T518" s="1">
        <v>20103</v>
      </c>
    </row>
    <row r="519" spans="1:20">
      <c r="A519" s="1">
        <v>7137</v>
      </c>
      <c r="B519" s="1" t="s">
        <v>1800</v>
      </c>
      <c r="C519" s="1" t="s">
        <v>2213</v>
      </c>
      <c r="D519" s="1" t="s">
        <v>1800</v>
      </c>
      <c r="E519" s="213">
        <f ca="1">OFFSET(model!$A$1,MATCH(D519,model!B:B,0)-1,0)</f>
        <v>74</v>
      </c>
      <c r="G519" s="213" t="str">
        <f ca="1">OFFSET(model!$R$1,MATCH(E519,model!A:A,0)-1,0)</f>
        <v>role_gwyz</v>
      </c>
      <c r="H519" s="213"/>
      <c r="I519" s="213"/>
      <c r="J519" s="213"/>
      <c r="K519" s="1">
        <v>2</v>
      </c>
      <c r="L519" s="1">
        <v>536</v>
      </c>
      <c r="M519" s="1">
        <f t="shared" si="34"/>
        <v>2536</v>
      </c>
      <c r="N519" s="107" t="e">
        <f ca="1">OFFSET(npc_level_config!$T$1,MATCH(M519,npc_level_config!A:A,0)-1,0)</f>
        <v>#VALUE!</v>
      </c>
      <c r="O519" s="107" t="e">
        <f ca="1" t="shared" si="33"/>
        <v>#VALUE!</v>
      </c>
      <c r="P519" s="216">
        <v>1202</v>
      </c>
      <c r="Q519" s="3">
        <v>6</v>
      </c>
      <c r="R519" s="3">
        <v>1</v>
      </c>
      <c r="S519" s="1">
        <v>0</v>
      </c>
      <c r="T519" s="1">
        <v>20103</v>
      </c>
    </row>
    <row r="520" spans="1:20">
      <c r="A520" s="1">
        <v>7138</v>
      </c>
      <c r="B520" s="1" t="s">
        <v>1686</v>
      </c>
      <c r="C520" s="1" t="s">
        <v>2214</v>
      </c>
      <c r="D520" s="1" t="s">
        <v>1686</v>
      </c>
      <c r="E520" s="213">
        <f ca="1">OFFSET(model!$A$1,MATCH(D520,model!B:B,0)-1,0)</f>
        <v>70</v>
      </c>
      <c r="G520" s="213" t="str">
        <f ca="1">OFFSET(model!$R$1,MATCH(E520,model!A:A,0)-1,0)</f>
        <v>monster_7</v>
      </c>
      <c r="H520" s="213"/>
      <c r="I520" s="213"/>
      <c r="J520" s="213"/>
      <c r="K520" s="1">
        <v>2</v>
      </c>
      <c r="L520" s="1">
        <v>537</v>
      </c>
      <c r="M520" s="1">
        <f t="shared" si="34"/>
        <v>2537</v>
      </c>
      <c r="N520" s="107" t="e">
        <f ca="1">OFFSET(npc_level_config!$T$1,MATCH(M520,npc_level_config!A:A,0)-1,0)</f>
        <v>#VALUE!</v>
      </c>
      <c r="O520" s="107" t="e">
        <f ca="1" t="shared" si="33"/>
        <v>#VALUE!</v>
      </c>
      <c r="P520" s="216">
        <v>1202</v>
      </c>
      <c r="Q520" s="3">
        <v>6</v>
      </c>
      <c r="R520" s="3">
        <v>1</v>
      </c>
      <c r="S520" s="1">
        <v>0</v>
      </c>
      <c r="T520" s="1">
        <v>20103</v>
      </c>
    </row>
    <row r="521" spans="1:20">
      <c r="A521" s="1">
        <v>7139</v>
      </c>
      <c r="B521" s="1" t="s">
        <v>1928</v>
      </c>
      <c r="C521" s="1" t="s">
        <v>2215</v>
      </c>
      <c r="D521" s="1" t="s">
        <v>1928</v>
      </c>
      <c r="E521" s="213">
        <f ca="1">OFFSET(model!$A$1,MATCH(D521,model!B:B,0)-1,0)</f>
        <v>69</v>
      </c>
      <c r="G521" s="213" t="str">
        <f ca="1">OFFSET(model!$R$1,MATCH(E521,model!A:A,0)-1,0)</f>
        <v>monster_10</v>
      </c>
      <c r="H521" s="213"/>
      <c r="I521" s="213"/>
      <c r="J521" s="213"/>
      <c r="K521" s="1">
        <v>2</v>
      </c>
      <c r="L521" s="1">
        <v>538</v>
      </c>
      <c r="M521" s="1">
        <f t="shared" si="34"/>
        <v>2538</v>
      </c>
      <c r="N521" s="107" t="e">
        <f ca="1">OFFSET(npc_level_config!$T$1,MATCH(M521,npc_level_config!A:A,0)-1,0)</f>
        <v>#VALUE!</v>
      </c>
      <c r="O521" s="107" t="e">
        <f ca="1" t="shared" si="33"/>
        <v>#VALUE!</v>
      </c>
      <c r="P521" s="216">
        <v>1202</v>
      </c>
      <c r="Q521" s="3">
        <v>5</v>
      </c>
      <c r="R521" s="3">
        <v>1</v>
      </c>
      <c r="S521" s="1">
        <v>0</v>
      </c>
      <c r="T521" s="1">
        <v>20103</v>
      </c>
    </row>
    <row r="522" spans="1:20">
      <c r="A522" s="1">
        <v>7140</v>
      </c>
      <c r="B522" s="263" t="s">
        <v>1763</v>
      </c>
      <c r="C522" s="1" t="s">
        <v>2216</v>
      </c>
      <c r="D522" s="1" t="s">
        <v>1763</v>
      </c>
      <c r="E522" s="213">
        <f ca="1">OFFSET(model!$A$1,MATCH(D522,model!B:B,0)-1,0)</f>
        <v>7</v>
      </c>
      <c r="G522" s="213" t="str">
        <f ca="1">OFFSET(model!$R$1,MATCH(E522,model!A:A,0)-1,0)</f>
        <v>monster_7</v>
      </c>
      <c r="H522" s="213"/>
      <c r="I522" s="213"/>
      <c r="J522" s="213"/>
      <c r="K522" s="1">
        <v>2</v>
      </c>
      <c r="L522" s="1">
        <v>539</v>
      </c>
      <c r="M522" s="1">
        <f t="shared" si="34"/>
        <v>2539</v>
      </c>
      <c r="N522" s="107" t="e">
        <f ca="1">OFFSET(npc_level_config!$T$1,MATCH(M522,npc_level_config!A:A,0)-1,0)</f>
        <v>#VALUE!</v>
      </c>
      <c r="O522" s="107" t="e">
        <f ca="1" t="shared" si="33"/>
        <v>#VALUE!</v>
      </c>
      <c r="P522" s="216">
        <v>1202</v>
      </c>
      <c r="Q522" s="3">
        <v>6</v>
      </c>
      <c r="R522" s="3">
        <v>1</v>
      </c>
      <c r="S522" s="1">
        <v>0</v>
      </c>
      <c r="T522" s="1">
        <v>20103</v>
      </c>
    </row>
    <row r="523" spans="1:20">
      <c r="A523" s="1">
        <v>7141</v>
      </c>
      <c r="B523" s="1" t="s">
        <v>1600</v>
      </c>
      <c r="C523" s="1" t="s">
        <v>2217</v>
      </c>
      <c r="D523" s="1" t="s">
        <v>1600</v>
      </c>
      <c r="E523" s="213">
        <f ca="1">OFFSET(model!$A$1,MATCH(D523,model!B:B,0)-1,0)</f>
        <v>66</v>
      </c>
      <c r="G523" s="213" t="str">
        <f ca="1">OFFSET(model!$R$1,MATCH(E523,model!A:A,0)-1,0)</f>
        <v>monster_8</v>
      </c>
      <c r="H523" s="213"/>
      <c r="I523" s="213"/>
      <c r="J523" s="213"/>
      <c r="K523" s="1">
        <v>2</v>
      </c>
      <c r="L523" s="1">
        <v>540</v>
      </c>
      <c r="M523" s="1">
        <f t="shared" si="34"/>
        <v>2540</v>
      </c>
      <c r="N523" s="107" t="e">
        <f ca="1">OFFSET(npc_level_config!$T$1,MATCH(M523,npc_level_config!A:A,0)-1,0)</f>
        <v>#VALUE!</v>
      </c>
      <c r="O523" s="107" t="e">
        <f ca="1" t="shared" si="33"/>
        <v>#VALUE!</v>
      </c>
      <c r="P523" s="216">
        <v>1202</v>
      </c>
      <c r="Q523" s="3">
        <v>6</v>
      </c>
      <c r="R523" s="3">
        <v>1</v>
      </c>
      <c r="S523" s="1">
        <v>0</v>
      </c>
      <c r="T523" s="1">
        <v>20103</v>
      </c>
    </row>
    <row r="524" spans="1:20">
      <c r="A524" s="1">
        <v>7142</v>
      </c>
      <c r="B524" s="1" t="s">
        <v>1800</v>
      </c>
      <c r="C524" s="1" t="s">
        <v>2218</v>
      </c>
      <c r="D524" s="1" t="s">
        <v>1800</v>
      </c>
      <c r="E524" s="213">
        <f ca="1">OFFSET(model!$A$1,MATCH(D524,model!B:B,0)-1,0)</f>
        <v>74</v>
      </c>
      <c r="G524" s="213" t="str">
        <f ca="1">OFFSET(model!$R$1,MATCH(E524,model!A:A,0)-1,0)</f>
        <v>role_gwyz</v>
      </c>
      <c r="H524" s="213"/>
      <c r="I524" s="213"/>
      <c r="J524" s="213"/>
      <c r="K524" s="1">
        <v>2</v>
      </c>
      <c r="L524" s="1">
        <v>541</v>
      </c>
      <c r="M524" s="1">
        <f t="shared" si="34"/>
        <v>2541</v>
      </c>
      <c r="N524" s="107" t="e">
        <f ca="1">OFFSET(npc_level_config!$T$1,MATCH(M524,npc_level_config!A:A,0)-1,0)</f>
        <v>#VALUE!</v>
      </c>
      <c r="O524" s="107" t="e">
        <f ca="1" t="shared" si="33"/>
        <v>#VALUE!</v>
      </c>
      <c r="P524" s="216">
        <v>1202</v>
      </c>
      <c r="Q524" s="3">
        <v>6</v>
      </c>
      <c r="R524" s="3">
        <v>1</v>
      </c>
      <c r="S524" s="1">
        <v>0</v>
      </c>
      <c r="T524" s="1">
        <v>20103</v>
      </c>
    </row>
    <row r="525" spans="1:20">
      <c r="A525" s="1">
        <v>7143</v>
      </c>
      <c r="B525" s="1" t="s">
        <v>1686</v>
      </c>
      <c r="C525" s="1" t="s">
        <v>2219</v>
      </c>
      <c r="D525" s="1" t="s">
        <v>1686</v>
      </c>
      <c r="E525" s="213">
        <f ca="1">OFFSET(model!$A$1,MATCH(D525,model!B:B,0)-1,0)</f>
        <v>70</v>
      </c>
      <c r="G525" s="213" t="str">
        <f ca="1">OFFSET(model!$R$1,MATCH(E525,model!A:A,0)-1,0)</f>
        <v>monster_7</v>
      </c>
      <c r="H525" s="213"/>
      <c r="I525" s="213"/>
      <c r="J525" s="213"/>
      <c r="K525" s="1">
        <v>2</v>
      </c>
      <c r="L525" s="1">
        <v>542</v>
      </c>
      <c r="M525" s="1">
        <f t="shared" si="34"/>
        <v>2542</v>
      </c>
      <c r="N525" s="107" t="e">
        <f ca="1">OFFSET(npc_level_config!$T$1,MATCH(M525,npc_level_config!A:A,0)-1,0)</f>
        <v>#VALUE!</v>
      </c>
      <c r="O525" s="107" t="e">
        <f ca="1" t="shared" si="33"/>
        <v>#VALUE!</v>
      </c>
      <c r="P525" s="216">
        <v>1202</v>
      </c>
      <c r="Q525" s="3">
        <v>6</v>
      </c>
      <c r="R525" s="3">
        <v>1</v>
      </c>
      <c r="S525" s="1">
        <v>0</v>
      </c>
      <c r="T525" s="1">
        <v>20103</v>
      </c>
    </row>
    <row r="526" spans="1:20">
      <c r="A526" s="1">
        <v>7144</v>
      </c>
      <c r="B526" s="1" t="s">
        <v>1928</v>
      </c>
      <c r="C526" s="1" t="s">
        <v>2220</v>
      </c>
      <c r="D526" s="1" t="s">
        <v>1928</v>
      </c>
      <c r="E526" s="213">
        <f ca="1">OFFSET(model!$A$1,MATCH(D526,model!B:B,0)-1,0)</f>
        <v>69</v>
      </c>
      <c r="G526" s="213" t="str">
        <f ca="1">OFFSET(model!$R$1,MATCH(E526,model!A:A,0)-1,0)</f>
        <v>monster_10</v>
      </c>
      <c r="H526" s="213"/>
      <c r="I526" s="213"/>
      <c r="J526" s="213"/>
      <c r="K526" s="1">
        <v>2</v>
      </c>
      <c r="L526" s="1">
        <v>543</v>
      </c>
      <c r="M526" s="1">
        <f t="shared" si="34"/>
        <v>2543</v>
      </c>
      <c r="N526" s="107" t="e">
        <f ca="1">OFFSET(npc_level_config!$T$1,MATCH(M526,npc_level_config!A:A,0)-1,0)</f>
        <v>#VALUE!</v>
      </c>
      <c r="O526" s="107" t="e">
        <f ca="1" t="shared" si="33"/>
        <v>#VALUE!</v>
      </c>
      <c r="P526" s="216">
        <v>1202</v>
      </c>
      <c r="Q526" s="3">
        <v>5</v>
      </c>
      <c r="R526" s="3">
        <v>1</v>
      </c>
      <c r="S526" s="1">
        <v>0</v>
      </c>
      <c r="T526" s="1">
        <v>20103</v>
      </c>
    </row>
    <row r="527" spans="1:20">
      <c r="A527" s="1">
        <v>7145</v>
      </c>
      <c r="B527" s="1" t="s">
        <v>1686</v>
      </c>
      <c r="C527" s="1" t="s">
        <v>2221</v>
      </c>
      <c r="D527" s="1" t="s">
        <v>1686</v>
      </c>
      <c r="E527" s="213">
        <f ca="1">OFFSET(model!$A$1,MATCH(D527,model!B:B,0)-1,0)</f>
        <v>70</v>
      </c>
      <c r="G527" s="213" t="str">
        <f ca="1">OFFSET(model!$R$1,MATCH(E527,model!A:A,0)-1,0)</f>
        <v>monster_7</v>
      </c>
      <c r="H527" s="213"/>
      <c r="I527" s="213"/>
      <c r="J527" s="213"/>
      <c r="K527" s="1">
        <v>2</v>
      </c>
      <c r="L527" s="1">
        <v>544</v>
      </c>
      <c r="M527" s="1">
        <f t="shared" si="34"/>
        <v>2544</v>
      </c>
      <c r="N527" s="107" t="e">
        <f ca="1">OFFSET(npc_level_config!$T$1,MATCH(M527,npc_level_config!A:A,0)-1,0)</f>
        <v>#VALUE!</v>
      </c>
      <c r="O527" s="107" t="e">
        <f ca="1" t="shared" si="33"/>
        <v>#VALUE!</v>
      </c>
      <c r="P527" s="216">
        <v>1202</v>
      </c>
      <c r="Q527" s="3">
        <v>6</v>
      </c>
      <c r="R527" s="3">
        <v>1</v>
      </c>
      <c r="S527" s="1">
        <v>0</v>
      </c>
      <c r="T527" s="1">
        <v>20103</v>
      </c>
    </row>
    <row r="528" spans="1:20">
      <c r="A528" s="1">
        <v>7146</v>
      </c>
      <c r="B528" s="1" t="s">
        <v>1600</v>
      </c>
      <c r="C528" s="1" t="s">
        <v>2222</v>
      </c>
      <c r="D528" s="1" t="s">
        <v>1600</v>
      </c>
      <c r="E528" s="213">
        <f ca="1">OFFSET(model!$A$1,MATCH(D528,model!B:B,0)-1,0)</f>
        <v>66</v>
      </c>
      <c r="G528" s="213" t="str">
        <f ca="1">OFFSET(model!$R$1,MATCH(E528,model!A:A,0)-1,0)</f>
        <v>monster_8</v>
      </c>
      <c r="H528" s="213"/>
      <c r="I528" s="213"/>
      <c r="J528" s="213"/>
      <c r="K528" s="1">
        <v>2</v>
      </c>
      <c r="L528" s="1">
        <v>545</v>
      </c>
      <c r="M528" s="1">
        <f t="shared" si="34"/>
        <v>2545</v>
      </c>
      <c r="N528" s="107" t="e">
        <f ca="1">OFFSET(npc_level_config!$T$1,MATCH(M528,npc_level_config!A:A,0)-1,0)</f>
        <v>#VALUE!</v>
      </c>
      <c r="O528" s="107" t="e">
        <f ca="1" t="shared" si="33"/>
        <v>#VALUE!</v>
      </c>
      <c r="P528" s="216">
        <v>1202</v>
      </c>
      <c r="Q528" s="3">
        <v>6</v>
      </c>
      <c r="R528" s="3">
        <v>1</v>
      </c>
      <c r="S528" s="1">
        <v>0</v>
      </c>
      <c r="T528" s="1">
        <v>20103</v>
      </c>
    </row>
    <row r="529" spans="1:20">
      <c r="A529" s="1">
        <v>7147</v>
      </c>
      <c r="B529" s="1" t="s">
        <v>1800</v>
      </c>
      <c r="C529" s="1" t="s">
        <v>2223</v>
      </c>
      <c r="D529" s="1" t="s">
        <v>1800</v>
      </c>
      <c r="E529" s="213">
        <f ca="1">OFFSET(model!$A$1,MATCH(D529,model!B:B,0)-1,0)</f>
        <v>74</v>
      </c>
      <c r="G529" s="213" t="str">
        <f ca="1">OFFSET(model!$R$1,MATCH(E529,model!A:A,0)-1,0)</f>
        <v>role_gwyz</v>
      </c>
      <c r="H529" s="213"/>
      <c r="I529" s="213"/>
      <c r="J529" s="213"/>
      <c r="K529" s="1">
        <v>2</v>
      </c>
      <c r="L529" s="1">
        <v>546</v>
      </c>
      <c r="M529" s="1">
        <f t="shared" si="34"/>
        <v>2546</v>
      </c>
      <c r="N529" s="107" t="e">
        <f ca="1">OFFSET(npc_level_config!$T$1,MATCH(M529,npc_level_config!A:A,0)-1,0)</f>
        <v>#VALUE!</v>
      </c>
      <c r="O529" s="107" t="e">
        <f ca="1" t="shared" si="33"/>
        <v>#VALUE!</v>
      </c>
      <c r="P529" s="216">
        <v>1202</v>
      </c>
      <c r="Q529" s="3">
        <v>6</v>
      </c>
      <c r="R529" s="3">
        <v>1</v>
      </c>
      <c r="S529" s="1">
        <v>0</v>
      </c>
      <c r="T529" s="1">
        <v>20103</v>
      </c>
    </row>
    <row r="530" spans="1:20">
      <c r="A530" s="1">
        <v>7148</v>
      </c>
      <c r="B530" s="1" t="s">
        <v>1686</v>
      </c>
      <c r="C530" s="1" t="s">
        <v>2224</v>
      </c>
      <c r="D530" s="1" t="s">
        <v>1686</v>
      </c>
      <c r="E530" s="213">
        <f ca="1">OFFSET(model!$A$1,MATCH(D530,model!B:B,0)-1,0)</f>
        <v>70</v>
      </c>
      <c r="G530" s="213" t="str">
        <f ca="1">OFFSET(model!$R$1,MATCH(E530,model!A:A,0)-1,0)</f>
        <v>monster_7</v>
      </c>
      <c r="H530" s="213"/>
      <c r="I530" s="213"/>
      <c r="J530" s="213"/>
      <c r="K530" s="1">
        <v>2</v>
      </c>
      <c r="L530" s="1">
        <v>547</v>
      </c>
      <c r="M530" s="1">
        <f t="shared" si="34"/>
        <v>2547</v>
      </c>
      <c r="N530" s="107" t="e">
        <f ca="1">OFFSET(npc_level_config!$T$1,MATCH(M530,npc_level_config!A:A,0)-1,0)</f>
        <v>#VALUE!</v>
      </c>
      <c r="O530" s="107" t="e">
        <f ca="1" t="shared" si="33"/>
        <v>#VALUE!</v>
      </c>
      <c r="P530" s="216">
        <v>1202</v>
      </c>
      <c r="Q530" s="3">
        <v>6</v>
      </c>
      <c r="R530" s="3">
        <v>1</v>
      </c>
      <c r="S530" s="1">
        <v>0</v>
      </c>
      <c r="T530" s="1">
        <v>20103</v>
      </c>
    </row>
    <row r="531" spans="1:20">
      <c r="A531" s="1">
        <v>7149</v>
      </c>
      <c r="B531" s="1" t="s">
        <v>1928</v>
      </c>
      <c r="C531" s="1" t="s">
        <v>2225</v>
      </c>
      <c r="D531" s="1" t="s">
        <v>1928</v>
      </c>
      <c r="E531" s="213">
        <f ca="1">OFFSET(model!$A$1,MATCH(D531,model!B:B,0)-1,0)</f>
        <v>69</v>
      </c>
      <c r="G531" s="213" t="str">
        <f ca="1">OFFSET(model!$R$1,MATCH(E531,model!A:A,0)-1,0)</f>
        <v>monster_10</v>
      </c>
      <c r="H531" s="213"/>
      <c r="I531" s="213"/>
      <c r="J531" s="213"/>
      <c r="K531" s="1">
        <v>2</v>
      </c>
      <c r="L531" s="1">
        <v>548</v>
      </c>
      <c r="M531" s="1">
        <f t="shared" si="34"/>
        <v>2548</v>
      </c>
      <c r="N531" s="107" t="e">
        <f ca="1">OFFSET(npc_level_config!$T$1,MATCH(M531,npc_level_config!A:A,0)-1,0)</f>
        <v>#VALUE!</v>
      </c>
      <c r="O531" s="107" t="e">
        <f ca="1" t="shared" si="33"/>
        <v>#VALUE!</v>
      </c>
      <c r="P531" s="216">
        <v>1202</v>
      </c>
      <c r="Q531" s="3">
        <v>5</v>
      </c>
      <c r="R531" s="3">
        <v>1</v>
      </c>
      <c r="S531" s="1">
        <v>0</v>
      </c>
      <c r="T531" s="1">
        <v>20103</v>
      </c>
    </row>
    <row r="532" spans="1:20">
      <c r="A532" s="1">
        <v>7150</v>
      </c>
      <c r="B532" s="263" t="s">
        <v>1763</v>
      </c>
      <c r="C532" s="1" t="s">
        <v>2226</v>
      </c>
      <c r="D532" s="1" t="s">
        <v>1763</v>
      </c>
      <c r="E532" s="213">
        <f ca="1">OFFSET(model!$A$1,MATCH(D532,model!B:B,0)-1,0)</f>
        <v>7</v>
      </c>
      <c r="G532" s="213" t="str">
        <f ca="1">OFFSET(model!$R$1,MATCH(E532,model!A:A,0)-1,0)</f>
        <v>monster_7</v>
      </c>
      <c r="H532" s="213"/>
      <c r="I532" s="213"/>
      <c r="J532" s="213"/>
      <c r="K532" s="1">
        <v>2</v>
      </c>
      <c r="L532" s="1">
        <v>549</v>
      </c>
      <c r="M532" s="1">
        <f t="shared" si="34"/>
        <v>2549</v>
      </c>
      <c r="N532" s="107" t="e">
        <f ca="1">OFFSET(npc_level_config!$T$1,MATCH(M532,npc_level_config!A:A,0)-1,0)</f>
        <v>#VALUE!</v>
      </c>
      <c r="O532" s="107" t="e">
        <f ca="1" t="shared" si="33"/>
        <v>#VALUE!</v>
      </c>
      <c r="P532" s="216">
        <v>1202</v>
      </c>
      <c r="Q532" s="3">
        <v>6</v>
      </c>
      <c r="R532" s="3">
        <v>1</v>
      </c>
      <c r="S532" s="1">
        <v>0</v>
      </c>
      <c r="T532" s="1">
        <v>20103</v>
      </c>
    </row>
    <row r="533" spans="1:20">
      <c r="A533" s="1">
        <v>7151</v>
      </c>
      <c r="B533" s="1" t="s">
        <v>1600</v>
      </c>
      <c r="C533" s="1" t="s">
        <v>2227</v>
      </c>
      <c r="D533" s="1" t="s">
        <v>1600</v>
      </c>
      <c r="E533" s="213">
        <f ca="1">OFFSET(model!$A$1,MATCH(D533,model!B:B,0)-1,0)</f>
        <v>66</v>
      </c>
      <c r="G533" s="213" t="str">
        <f ca="1">OFFSET(model!$R$1,MATCH(E533,model!A:A,0)-1,0)</f>
        <v>monster_8</v>
      </c>
      <c r="H533" s="213"/>
      <c r="I533" s="213"/>
      <c r="J533" s="213"/>
      <c r="K533" s="1">
        <v>2</v>
      </c>
      <c r="L533" s="1">
        <v>550</v>
      </c>
      <c r="M533" s="1">
        <f t="shared" si="34"/>
        <v>2550</v>
      </c>
      <c r="N533" s="107" t="e">
        <f ca="1">OFFSET(npc_level_config!$T$1,MATCH(M533,npc_level_config!A:A,0)-1,0)</f>
        <v>#VALUE!</v>
      </c>
      <c r="O533" s="107" t="e">
        <f ca="1" t="shared" si="33"/>
        <v>#VALUE!</v>
      </c>
      <c r="P533" s="216">
        <v>1202</v>
      </c>
      <c r="Q533" s="3">
        <v>6</v>
      </c>
      <c r="R533" s="3">
        <v>1</v>
      </c>
      <c r="S533" s="1">
        <v>0</v>
      </c>
      <c r="T533" s="1">
        <v>20103</v>
      </c>
    </row>
    <row r="534" spans="1:20">
      <c r="A534" s="1">
        <v>7152</v>
      </c>
      <c r="B534" s="1" t="s">
        <v>1800</v>
      </c>
      <c r="C534" s="1" t="s">
        <v>2228</v>
      </c>
      <c r="D534" s="1" t="s">
        <v>1800</v>
      </c>
      <c r="E534" s="213">
        <f ca="1">OFFSET(model!$A$1,MATCH(D534,model!B:B,0)-1,0)</f>
        <v>74</v>
      </c>
      <c r="G534" s="213" t="str">
        <f ca="1">OFFSET(model!$R$1,MATCH(E534,model!A:A,0)-1,0)</f>
        <v>role_gwyz</v>
      </c>
      <c r="H534" s="213"/>
      <c r="I534" s="213"/>
      <c r="J534" s="213"/>
      <c r="K534" s="1">
        <v>2</v>
      </c>
      <c r="L534" s="1">
        <v>551</v>
      </c>
      <c r="M534" s="1">
        <f t="shared" si="34"/>
        <v>2551</v>
      </c>
      <c r="N534" s="107" t="e">
        <f ca="1">OFFSET(npc_level_config!$T$1,MATCH(M534,npc_level_config!A:A,0)-1,0)</f>
        <v>#VALUE!</v>
      </c>
      <c r="O534" s="107" t="e">
        <f ca="1" t="shared" si="33"/>
        <v>#VALUE!</v>
      </c>
      <c r="P534" s="216">
        <v>1202</v>
      </c>
      <c r="Q534" s="3">
        <v>6</v>
      </c>
      <c r="R534" s="3">
        <v>1</v>
      </c>
      <c r="S534" s="1">
        <v>0</v>
      </c>
      <c r="T534" s="1">
        <v>20103</v>
      </c>
    </row>
    <row r="535" spans="1:20">
      <c r="A535" s="1">
        <v>7153</v>
      </c>
      <c r="B535" s="1" t="s">
        <v>1686</v>
      </c>
      <c r="C535" s="1" t="s">
        <v>2229</v>
      </c>
      <c r="D535" s="1" t="s">
        <v>1686</v>
      </c>
      <c r="E535" s="213">
        <f ca="1">OFFSET(model!$A$1,MATCH(D535,model!B:B,0)-1,0)</f>
        <v>70</v>
      </c>
      <c r="G535" s="213" t="str">
        <f ca="1">OFFSET(model!$R$1,MATCH(E535,model!A:A,0)-1,0)</f>
        <v>monster_7</v>
      </c>
      <c r="H535" s="213"/>
      <c r="I535" s="213"/>
      <c r="J535" s="213"/>
      <c r="K535" s="1">
        <v>2</v>
      </c>
      <c r="L535" s="1">
        <v>552</v>
      </c>
      <c r="M535" s="1">
        <f t="shared" si="34"/>
        <v>2552</v>
      </c>
      <c r="N535" s="107" t="e">
        <f ca="1">OFFSET(npc_level_config!$T$1,MATCH(M535,npc_level_config!A:A,0)-1,0)</f>
        <v>#VALUE!</v>
      </c>
      <c r="O535" s="107" t="e">
        <f ca="1" t="shared" si="33"/>
        <v>#VALUE!</v>
      </c>
      <c r="P535" s="216">
        <v>1202</v>
      </c>
      <c r="Q535" s="3">
        <v>6</v>
      </c>
      <c r="R535" s="3">
        <v>1</v>
      </c>
      <c r="S535" s="1">
        <v>0</v>
      </c>
      <c r="T535" s="1">
        <v>20103</v>
      </c>
    </row>
    <row r="536" spans="1:20">
      <c r="A536" s="1">
        <v>7154</v>
      </c>
      <c r="B536" s="1" t="s">
        <v>1928</v>
      </c>
      <c r="C536" s="1" t="s">
        <v>2230</v>
      </c>
      <c r="D536" s="1" t="s">
        <v>1928</v>
      </c>
      <c r="E536" s="213">
        <f ca="1">OFFSET(model!$A$1,MATCH(D536,model!B:B,0)-1,0)</f>
        <v>69</v>
      </c>
      <c r="G536" s="213" t="str">
        <f ca="1">OFFSET(model!$R$1,MATCH(E536,model!A:A,0)-1,0)</f>
        <v>monster_10</v>
      </c>
      <c r="H536" s="213"/>
      <c r="I536" s="213"/>
      <c r="J536" s="213"/>
      <c r="K536" s="1">
        <v>2</v>
      </c>
      <c r="L536" s="1">
        <v>553</v>
      </c>
      <c r="M536" s="1">
        <f t="shared" si="34"/>
        <v>2553</v>
      </c>
      <c r="N536" s="107" t="e">
        <f ca="1">OFFSET(npc_level_config!$T$1,MATCH(M536,npc_level_config!A:A,0)-1,0)</f>
        <v>#VALUE!</v>
      </c>
      <c r="O536" s="107" t="e">
        <f ca="1" t="shared" si="33"/>
        <v>#VALUE!</v>
      </c>
      <c r="P536" s="216">
        <v>1202</v>
      </c>
      <c r="Q536" s="3">
        <v>5</v>
      </c>
      <c r="R536" s="3">
        <v>1</v>
      </c>
      <c r="S536" s="1">
        <v>0</v>
      </c>
      <c r="T536" s="1">
        <v>20103</v>
      </c>
    </row>
    <row r="537" spans="1:20">
      <c r="A537" s="1">
        <v>7155</v>
      </c>
      <c r="B537" s="1" t="s">
        <v>1686</v>
      </c>
      <c r="C537" s="1" t="s">
        <v>2231</v>
      </c>
      <c r="D537" s="1" t="s">
        <v>1686</v>
      </c>
      <c r="E537" s="213">
        <f ca="1">OFFSET(model!$A$1,MATCH(D537,model!B:B,0)-1,0)</f>
        <v>70</v>
      </c>
      <c r="G537" s="213" t="str">
        <f ca="1">OFFSET(model!$R$1,MATCH(E537,model!A:A,0)-1,0)</f>
        <v>monster_7</v>
      </c>
      <c r="H537" s="213"/>
      <c r="I537" s="213"/>
      <c r="J537" s="213"/>
      <c r="K537" s="1">
        <v>2</v>
      </c>
      <c r="L537" s="1">
        <v>554</v>
      </c>
      <c r="M537" s="1">
        <f t="shared" si="34"/>
        <v>2554</v>
      </c>
      <c r="N537" s="107" t="e">
        <f ca="1">OFFSET(npc_level_config!$T$1,MATCH(M537,npc_level_config!A:A,0)-1,0)</f>
        <v>#VALUE!</v>
      </c>
      <c r="O537" s="107" t="e">
        <f ca="1" t="shared" si="33"/>
        <v>#VALUE!</v>
      </c>
      <c r="P537" s="216">
        <v>1202</v>
      </c>
      <c r="Q537" s="3">
        <v>6</v>
      </c>
      <c r="R537" s="3">
        <v>1</v>
      </c>
      <c r="S537" s="1">
        <v>0</v>
      </c>
      <c r="T537" s="1">
        <v>20103</v>
      </c>
    </row>
    <row r="538" spans="1:20">
      <c r="A538" s="1">
        <v>7156</v>
      </c>
      <c r="B538" s="1" t="s">
        <v>1600</v>
      </c>
      <c r="C538" s="1" t="s">
        <v>2232</v>
      </c>
      <c r="D538" s="1" t="s">
        <v>1600</v>
      </c>
      <c r="E538" s="213">
        <f ca="1">OFFSET(model!$A$1,MATCH(D538,model!B:B,0)-1,0)</f>
        <v>66</v>
      </c>
      <c r="G538" s="213" t="str">
        <f ca="1">OFFSET(model!$R$1,MATCH(E538,model!A:A,0)-1,0)</f>
        <v>monster_8</v>
      </c>
      <c r="H538" s="213"/>
      <c r="I538" s="213"/>
      <c r="J538" s="213"/>
      <c r="K538" s="1">
        <v>2</v>
      </c>
      <c r="L538" s="1">
        <v>555</v>
      </c>
      <c r="M538" s="1">
        <f t="shared" si="34"/>
        <v>2555</v>
      </c>
      <c r="N538" s="107" t="e">
        <f ca="1">OFFSET(npc_level_config!$T$1,MATCH(M538,npc_level_config!A:A,0)-1,0)</f>
        <v>#VALUE!</v>
      </c>
      <c r="O538" s="107" t="e">
        <f ca="1" t="shared" si="33"/>
        <v>#VALUE!</v>
      </c>
      <c r="P538" s="216">
        <v>1202</v>
      </c>
      <c r="Q538" s="3">
        <v>6</v>
      </c>
      <c r="R538" s="3">
        <v>1</v>
      </c>
      <c r="S538" s="1">
        <v>0</v>
      </c>
      <c r="T538" s="1">
        <v>20103</v>
      </c>
    </row>
    <row r="539" spans="1:20">
      <c r="A539" s="1">
        <v>7157</v>
      </c>
      <c r="B539" s="1" t="s">
        <v>1800</v>
      </c>
      <c r="C539" s="1" t="s">
        <v>2233</v>
      </c>
      <c r="D539" s="1" t="s">
        <v>1800</v>
      </c>
      <c r="E539" s="213">
        <f ca="1">OFFSET(model!$A$1,MATCH(D539,model!B:B,0)-1,0)</f>
        <v>74</v>
      </c>
      <c r="G539" s="213" t="str">
        <f ca="1">OFFSET(model!$R$1,MATCH(E539,model!A:A,0)-1,0)</f>
        <v>role_gwyz</v>
      </c>
      <c r="H539" s="213"/>
      <c r="I539" s="213"/>
      <c r="J539" s="213"/>
      <c r="K539" s="1">
        <v>2</v>
      </c>
      <c r="L539" s="1">
        <v>556</v>
      </c>
      <c r="M539" s="1">
        <f t="shared" si="34"/>
        <v>2556</v>
      </c>
      <c r="N539" s="107" t="e">
        <f ca="1">OFFSET(npc_level_config!$T$1,MATCH(M539,npc_level_config!A:A,0)-1,0)</f>
        <v>#VALUE!</v>
      </c>
      <c r="O539" s="107" t="e">
        <f ca="1" t="shared" si="33"/>
        <v>#VALUE!</v>
      </c>
      <c r="P539" s="216">
        <v>1202</v>
      </c>
      <c r="Q539" s="3">
        <v>6</v>
      </c>
      <c r="R539" s="3">
        <v>1</v>
      </c>
      <c r="S539" s="1">
        <v>0</v>
      </c>
      <c r="T539" s="1">
        <v>20103</v>
      </c>
    </row>
    <row r="540" spans="1:20">
      <c r="A540" s="1">
        <v>7158</v>
      </c>
      <c r="B540" s="1" t="s">
        <v>1686</v>
      </c>
      <c r="C540" s="1" t="s">
        <v>2234</v>
      </c>
      <c r="D540" s="1" t="s">
        <v>1686</v>
      </c>
      <c r="E540" s="213">
        <f ca="1">OFFSET(model!$A$1,MATCH(D540,model!B:B,0)-1,0)</f>
        <v>70</v>
      </c>
      <c r="G540" s="213" t="str">
        <f ca="1">OFFSET(model!$R$1,MATCH(E540,model!A:A,0)-1,0)</f>
        <v>monster_7</v>
      </c>
      <c r="H540" s="213"/>
      <c r="I540" s="213"/>
      <c r="J540" s="213"/>
      <c r="K540" s="1">
        <v>2</v>
      </c>
      <c r="L540" s="1">
        <v>557</v>
      </c>
      <c r="M540" s="1">
        <f t="shared" si="34"/>
        <v>2557</v>
      </c>
      <c r="N540" s="107" t="e">
        <f ca="1">OFFSET(npc_level_config!$T$1,MATCH(M540,npc_level_config!A:A,0)-1,0)</f>
        <v>#VALUE!</v>
      </c>
      <c r="O540" s="107" t="e">
        <f ca="1" t="shared" si="33"/>
        <v>#VALUE!</v>
      </c>
      <c r="P540" s="216">
        <v>1202</v>
      </c>
      <c r="Q540" s="3">
        <v>6</v>
      </c>
      <c r="R540" s="3">
        <v>1</v>
      </c>
      <c r="S540" s="1">
        <v>0</v>
      </c>
      <c r="T540" s="1">
        <v>20103</v>
      </c>
    </row>
    <row r="541" spans="1:20">
      <c r="A541" s="1">
        <v>7159</v>
      </c>
      <c r="B541" s="1" t="s">
        <v>1928</v>
      </c>
      <c r="C541" s="1" t="s">
        <v>2235</v>
      </c>
      <c r="D541" s="1" t="s">
        <v>1928</v>
      </c>
      <c r="E541" s="213">
        <f ca="1">OFFSET(model!$A$1,MATCH(D541,model!B:B,0)-1,0)</f>
        <v>69</v>
      </c>
      <c r="G541" s="213" t="str">
        <f ca="1">OFFSET(model!$R$1,MATCH(E541,model!A:A,0)-1,0)</f>
        <v>monster_10</v>
      </c>
      <c r="H541" s="213"/>
      <c r="I541" s="213"/>
      <c r="J541" s="213"/>
      <c r="K541" s="1">
        <v>2</v>
      </c>
      <c r="L541" s="1">
        <v>558</v>
      </c>
      <c r="M541" s="1">
        <f t="shared" si="34"/>
        <v>2558</v>
      </c>
      <c r="N541" s="107" t="e">
        <f ca="1">OFFSET(npc_level_config!$T$1,MATCH(M541,npc_level_config!A:A,0)-1,0)</f>
        <v>#VALUE!</v>
      </c>
      <c r="O541" s="107" t="e">
        <f ca="1" t="shared" si="33"/>
        <v>#VALUE!</v>
      </c>
      <c r="P541" s="216">
        <v>1202</v>
      </c>
      <c r="Q541" s="3">
        <v>5</v>
      </c>
      <c r="R541" s="3">
        <v>1</v>
      </c>
      <c r="S541" s="1">
        <v>0</v>
      </c>
      <c r="T541" s="1">
        <v>20103</v>
      </c>
    </row>
    <row r="542" spans="1:20">
      <c r="A542" s="1">
        <v>7160</v>
      </c>
      <c r="B542" s="263" t="s">
        <v>1763</v>
      </c>
      <c r="C542" s="1" t="s">
        <v>2236</v>
      </c>
      <c r="D542" s="1" t="s">
        <v>1763</v>
      </c>
      <c r="E542" s="213">
        <f ca="1">OFFSET(model!$A$1,MATCH(D542,model!B:B,0)-1,0)</f>
        <v>7</v>
      </c>
      <c r="G542" s="213" t="str">
        <f ca="1">OFFSET(model!$R$1,MATCH(E542,model!A:A,0)-1,0)</f>
        <v>monster_7</v>
      </c>
      <c r="H542" s="213"/>
      <c r="I542" s="213"/>
      <c r="J542" s="213"/>
      <c r="K542" s="1">
        <v>2</v>
      </c>
      <c r="L542" s="1">
        <v>559</v>
      </c>
      <c r="M542" s="1">
        <f t="shared" si="34"/>
        <v>2559</v>
      </c>
      <c r="N542" s="107" t="e">
        <f ca="1">OFFSET(npc_level_config!$T$1,MATCH(M542,npc_level_config!A:A,0)-1,0)</f>
        <v>#VALUE!</v>
      </c>
      <c r="O542" s="107" t="e">
        <f ca="1" t="shared" si="33"/>
        <v>#VALUE!</v>
      </c>
      <c r="P542" s="216">
        <v>1202</v>
      </c>
      <c r="Q542" s="3">
        <v>6</v>
      </c>
      <c r="R542" s="3">
        <v>1</v>
      </c>
      <c r="S542" s="1">
        <v>0</v>
      </c>
      <c r="T542" s="1">
        <v>20103</v>
      </c>
    </row>
    <row r="543" spans="1:20">
      <c r="A543" s="1">
        <v>7161</v>
      </c>
      <c r="B543" s="1" t="s">
        <v>1600</v>
      </c>
      <c r="C543" s="1" t="s">
        <v>2237</v>
      </c>
      <c r="D543" s="1" t="s">
        <v>1600</v>
      </c>
      <c r="E543" s="213">
        <f ca="1">OFFSET(model!$A$1,MATCH(D543,model!B:B,0)-1,0)</f>
        <v>66</v>
      </c>
      <c r="G543" s="213" t="str">
        <f ca="1">OFFSET(model!$R$1,MATCH(E543,model!A:A,0)-1,0)</f>
        <v>monster_8</v>
      </c>
      <c r="H543" s="213"/>
      <c r="I543" s="213"/>
      <c r="J543" s="213"/>
      <c r="K543" s="1">
        <v>2</v>
      </c>
      <c r="L543" s="1">
        <v>560</v>
      </c>
      <c r="M543" s="1">
        <f t="shared" si="34"/>
        <v>2560</v>
      </c>
      <c r="N543" s="107" t="e">
        <f ca="1">OFFSET(npc_level_config!$T$1,MATCH(M543,npc_level_config!A:A,0)-1,0)</f>
        <v>#VALUE!</v>
      </c>
      <c r="O543" s="107" t="e">
        <f ca="1" t="shared" si="33"/>
        <v>#VALUE!</v>
      </c>
      <c r="P543" s="216">
        <v>1202</v>
      </c>
      <c r="Q543" s="3">
        <v>6</v>
      </c>
      <c r="R543" s="3">
        <v>1</v>
      </c>
      <c r="S543" s="1">
        <v>0</v>
      </c>
      <c r="T543" s="1">
        <v>20103</v>
      </c>
    </row>
    <row r="544" spans="1:20">
      <c r="A544" s="1">
        <v>7162</v>
      </c>
      <c r="B544" s="1" t="s">
        <v>1800</v>
      </c>
      <c r="C544" s="1" t="s">
        <v>2238</v>
      </c>
      <c r="D544" s="1" t="s">
        <v>1800</v>
      </c>
      <c r="E544" s="213">
        <f ca="1">OFFSET(model!$A$1,MATCH(D544,model!B:B,0)-1,0)</f>
        <v>74</v>
      </c>
      <c r="G544" s="213" t="str">
        <f ca="1">OFFSET(model!$R$1,MATCH(E544,model!A:A,0)-1,0)</f>
        <v>role_gwyz</v>
      </c>
      <c r="H544" s="213"/>
      <c r="I544" s="213"/>
      <c r="J544" s="213"/>
      <c r="K544" s="1">
        <v>2</v>
      </c>
      <c r="L544" s="1">
        <v>561</v>
      </c>
      <c r="M544" s="1">
        <f t="shared" si="34"/>
        <v>2561</v>
      </c>
      <c r="N544" s="107" t="e">
        <f ca="1">OFFSET(npc_level_config!$T$1,MATCH(M544,npc_level_config!A:A,0)-1,0)</f>
        <v>#VALUE!</v>
      </c>
      <c r="O544" s="107" t="e">
        <f ca="1" t="shared" si="33"/>
        <v>#VALUE!</v>
      </c>
      <c r="P544" s="216">
        <v>1202</v>
      </c>
      <c r="Q544" s="3">
        <v>6</v>
      </c>
      <c r="R544" s="3">
        <v>1</v>
      </c>
      <c r="S544" s="1">
        <v>0</v>
      </c>
      <c r="T544" s="1">
        <v>20103</v>
      </c>
    </row>
    <row r="545" spans="1:20">
      <c r="A545" s="1">
        <v>7163</v>
      </c>
      <c r="B545" s="1" t="s">
        <v>1686</v>
      </c>
      <c r="C545" s="1" t="s">
        <v>2239</v>
      </c>
      <c r="D545" s="1" t="s">
        <v>1686</v>
      </c>
      <c r="E545" s="213">
        <f ca="1">OFFSET(model!$A$1,MATCH(D545,model!B:B,0)-1,0)</f>
        <v>70</v>
      </c>
      <c r="G545" s="213" t="str">
        <f ca="1">OFFSET(model!$R$1,MATCH(E545,model!A:A,0)-1,0)</f>
        <v>monster_7</v>
      </c>
      <c r="H545" s="213"/>
      <c r="I545" s="213"/>
      <c r="J545" s="213"/>
      <c r="K545" s="1">
        <v>2</v>
      </c>
      <c r="L545" s="1">
        <v>562</v>
      </c>
      <c r="M545" s="1">
        <f t="shared" si="34"/>
        <v>2562</v>
      </c>
      <c r="N545" s="107" t="e">
        <f ca="1">OFFSET(npc_level_config!$T$1,MATCH(M545,npc_level_config!A:A,0)-1,0)</f>
        <v>#VALUE!</v>
      </c>
      <c r="O545" s="107" t="e">
        <f ca="1" t="shared" si="33"/>
        <v>#VALUE!</v>
      </c>
      <c r="P545" s="216">
        <v>1202</v>
      </c>
      <c r="Q545" s="3">
        <v>6</v>
      </c>
      <c r="R545" s="3">
        <v>1</v>
      </c>
      <c r="S545" s="1">
        <v>0</v>
      </c>
      <c r="T545" s="1">
        <v>20103</v>
      </c>
    </row>
    <row r="546" spans="1:20">
      <c r="A546" s="1">
        <v>7164</v>
      </c>
      <c r="B546" s="1" t="s">
        <v>1928</v>
      </c>
      <c r="C546" s="1" t="s">
        <v>2240</v>
      </c>
      <c r="D546" s="1" t="s">
        <v>1928</v>
      </c>
      <c r="E546" s="213">
        <f ca="1">OFFSET(model!$A$1,MATCH(D546,model!B:B,0)-1,0)</f>
        <v>69</v>
      </c>
      <c r="G546" s="213" t="str">
        <f ca="1">OFFSET(model!$R$1,MATCH(E546,model!A:A,0)-1,0)</f>
        <v>monster_10</v>
      </c>
      <c r="H546" s="213"/>
      <c r="I546" s="213"/>
      <c r="J546" s="213"/>
      <c r="K546" s="1">
        <v>2</v>
      </c>
      <c r="L546" s="1">
        <v>563</v>
      </c>
      <c r="M546" s="1">
        <f t="shared" si="34"/>
        <v>2563</v>
      </c>
      <c r="N546" s="107" t="e">
        <f ca="1">OFFSET(npc_level_config!$T$1,MATCH(M546,npc_level_config!A:A,0)-1,0)</f>
        <v>#VALUE!</v>
      </c>
      <c r="O546" s="107" t="e">
        <f ca="1" t="shared" si="33"/>
        <v>#VALUE!</v>
      </c>
      <c r="P546" s="216">
        <v>1202</v>
      </c>
      <c r="Q546" s="3">
        <v>5</v>
      </c>
      <c r="R546" s="3">
        <v>1</v>
      </c>
      <c r="S546" s="1">
        <v>0</v>
      </c>
      <c r="T546" s="1">
        <v>20103</v>
      </c>
    </row>
    <row r="547" spans="1:20">
      <c r="A547" s="1">
        <v>7165</v>
      </c>
      <c r="B547" s="1" t="s">
        <v>1686</v>
      </c>
      <c r="C547" s="1" t="s">
        <v>2241</v>
      </c>
      <c r="D547" s="1" t="s">
        <v>1686</v>
      </c>
      <c r="E547" s="213">
        <f ca="1">OFFSET(model!$A$1,MATCH(D547,model!B:B,0)-1,0)</f>
        <v>70</v>
      </c>
      <c r="G547" s="213" t="str">
        <f ca="1">OFFSET(model!$R$1,MATCH(E547,model!A:A,0)-1,0)</f>
        <v>monster_7</v>
      </c>
      <c r="H547" s="213"/>
      <c r="I547" s="213"/>
      <c r="J547" s="213"/>
      <c r="K547" s="1">
        <v>2</v>
      </c>
      <c r="L547" s="1">
        <v>564</v>
      </c>
      <c r="M547" s="1">
        <f t="shared" si="34"/>
        <v>2564</v>
      </c>
      <c r="N547" s="107" t="e">
        <f ca="1">OFFSET(npc_level_config!$T$1,MATCH(M547,npc_level_config!A:A,0)-1,0)</f>
        <v>#VALUE!</v>
      </c>
      <c r="O547" s="107" t="e">
        <f ca="1" t="shared" si="33"/>
        <v>#VALUE!</v>
      </c>
      <c r="P547" s="216">
        <v>1202</v>
      </c>
      <c r="Q547" s="3">
        <v>6</v>
      </c>
      <c r="R547" s="3">
        <v>1</v>
      </c>
      <c r="S547" s="1">
        <v>0</v>
      </c>
      <c r="T547" s="1">
        <v>20103</v>
      </c>
    </row>
    <row r="548" spans="1:20">
      <c r="A548" s="1">
        <v>7166</v>
      </c>
      <c r="B548" s="1" t="s">
        <v>1600</v>
      </c>
      <c r="C548" s="1" t="s">
        <v>2242</v>
      </c>
      <c r="D548" s="1" t="s">
        <v>1600</v>
      </c>
      <c r="E548" s="213">
        <f ca="1">OFFSET(model!$A$1,MATCH(D548,model!B:B,0)-1,0)</f>
        <v>66</v>
      </c>
      <c r="G548" s="213" t="str">
        <f ca="1">OFFSET(model!$R$1,MATCH(E548,model!A:A,0)-1,0)</f>
        <v>monster_8</v>
      </c>
      <c r="H548" s="213"/>
      <c r="I548" s="213"/>
      <c r="J548" s="213"/>
      <c r="K548" s="1">
        <v>2</v>
      </c>
      <c r="L548" s="1">
        <v>565</v>
      </c>
      <c r="M548" s="1">
        <f t="shared" si="34"/>
        <v>2565</v>
      </c>
      <c r="N548" s="107" t="e">
        <f ca="1">OFFSET(npc_level_config!$T$1,MATCH(M548,npc_level_config!A:A,0)-1,0)</f>
        <v>#VALUE!</v>
      </c>
      <c r="O548" s="107" t="e">
        <f ca="1" t="shared" si="33"/>
        <v>#VALUE!</v>
      </c>
      <c r="P548" s="216">
        <v>1202</v>
      </c>
      <c r="Q548" s="3">
        <v>6</v>
      </c>
      <c r="R548" s="3">
        <v>1</v>
      </c>
      <c r="S548" s="1">
        <v>0</v>
      </c>
      <c r="T548" s="1">
        <v>20103</v>
      </c>
    </row>
    <row r="549" spans="1:20">
      <c r="A549" s="1">
        <v>7167</v>
      </c>
      <c r="B549" s="1" t="s">
        <v>1800</v>
      </c>
      <c r="C549" s="1" t="s">
        <v>2243</v>
      </c>
      <c r="D549" s="1" t="s">
        <v>1800</v>
      </c>
      <c r="E549" s="213">
        <f ca="1">OFFSET(model!$A$1,MATCH(D549,model!B:B,0)-1,0)</f>
        <v>74</v>
      </c>
      <c r="G549" s="213" t="str">
        <f ca="1">OFFSET(model!$R$1,MATCH(E549,model!A:A,0)-1,0)</f>
        <v>role_gwyz</v>
      </c>
      <c r="H549" s="213"/>
      <c r="I549" s="213"/>
      <c r="J549" s="213"/>
      <c r="K549" s="1">
        <v>2</v>
      </c>
      <c r="L549" s="1">
        <v>566</v>
      </c>
      <c r="M549" s="1">
        <f t="shared" si="34"/>
        <v>2566</v>
      </c>
      <c r="N549" s="107" t="e">
        <f ca="1">OFFSET(npc_level_config!$T$1,MATCH(M549,npc_level_config!A:A,0)-1,0)</f>
        <v>#VALUE!</v>
      </c>
      <c r="O549" s="107" t="e">
        <f ca="1" t="shared" si="33"/>
        <v>#VALUE!</v>
      </c>
      <c r="P549" s="216">
        <v>1202</v>
      </c>
      <c r="Q549" s="3">
        <v>6</v>
      </c>
      <c r="R549" s="3">
        <v>1</v>
      </c>
      <c r="S549" s="1">
        <v>0</v>
      </c>
      <c r="T549" s="1">
        <v>20103</v>
      </c>
    </row>
    <row r="550" spans="1:20">
      <c r="A550" s="1">
        <v>7168</v>
      </c>
      <c r="B550" s="1" t="s">
        <v>1686</v>
      </c>
      <c r="C550" s="1" t="s">
        <v>2244</v>
      </c>
      <c r="D550" s="1" t="s">
        <v>1686</v>
      </c>
      <c r="E550" s="213">
        <f ca="1">OFFSET(model!$A$1,MATCH(D550,model!B:B,0)-1,0)</f>
        <v>70</v>
      </c>
      <c r="G550" s="213" t="str">
        <f ca="1">OFFSET(model!$R$1,MATCH(E550,model!A:A,0)-1,0)</f>
        <v>monster_7</v>
      </c>
      <c r="H550" s="213"/>
      <c r="I550" s="213"/>
      <c r="J550" s="213"/>
      <c r="K550" s="1">
        <v>2</v>
      </c>
      <c r="L550" s="1">
        <v>567</v>
      </c>
      <c r="M550" s="1">
        <f t="shared" si="34"/>
        <v>2567</v>
      </c>
      <c r="N550" s="107" t="e">
        <f ca="1">OFFSET(npc_level_config!$T$1,MATCH(M550,npc_level_config!A:A,0)-1,0)</f>
        <v>#VALUE!</v>
      </c>
      <c r="O550" s="107" t="e">
        <f ca="1" t="shared" si="33"/>
        <v>#VALUE!</v>
      </c>
      <c r="P550" s="216">
        <v>1202</v>
      </c>
      <c r="Q550" s="3">
        <v>6</v>
      </c>
      <c r="R550" s="3">
        <v>1</v>
      </c>
      <c r="S550" s="1">
        <v>0</v>
      </c>
      <c r="T550" s="1">
        <v>20103</v>
      </c>
    </row>
    <row r="551" spans="1:20">
      <c r="A551" s="1">
        <v>7169</v>
      </c>
      <c r="B551" s="1" t="s">
        <v>1928</v>
      </c>
      <c r="C551" s="1" t="s">
        <v>2245</v>
      </c>
      <c r="D551" s="1" t="s">
        <v>1928</v>
      </c>
      <c r="E551" s="213">
        <f ca="1">OFFSET(model!$A$1,MATCH(D551,model!B:B,0)-1,0)</f>
        <v>69</v>
      </c>
      <c r="G551" s="213" t="str">
        <f ca="1">OFFSET(model!$R$1,MATCH(E551,model!A:A,0)-1,0)</f>
        <v>monster_10</v>
      </c>
      <c r="H551" s="213"/>
      <c r="I551" s="213"/>
      <c r="J551" s="213"/>
      <c r="K551" s="1">
        <v>2</v>
      </c>
      <c r="L551" s="1">
        <v>568</v>
      </c>
      <c r="M551" s="1">
        <f t="shared" si="34"/>
        <v>2568</v>
      </c>
      <c r="N551" s="107" t="e">
        <f ca="1">OFFSET(npc_level_config!$T$1,MATCH(M551,npc_level_config!A:A,0)-1,0)</f>
        <v>#VALUE!</v>
      </c>
      <c r="O551" s="107" t="e">
        <f ca="1" t="shared" si="33"/>
        <v>#VALUE!</v>
      </c>
      <c r="P551" s="216">
        <v>1202</v>
      </c>
      <c r="Q551" s="3">
        <v>5</v>
      </c>
      <c r="R551" s="3">
        <v>1</v>
      </c>
      <c r="S551" s="1">
        <v>0</v>
      </c>
      <c r="T551" s="1">
        <v>20103</v>
      </c>
    </row>
    <row r="552" spans="1:20">
      <c r="A552" s="1">
        <v>7170</v>
      </c>
      <c r="B552" s="263" t="s">
        <v>1763</v>
      </c>
      <c r="C552" s="1" t="s">
        <v>2246</v>
      </c>
      <c r="D552" s="1" t="s">
        <v>1763</v>
      </c>
      <c r="E552" s="213">
        <f ca="1">OFFSET(model!$A$1,MATCH(D552,model!B:B,0)-1,0)</f>
        <v>7</v>
      </c>
      <c r="G552" s="213" t="str">
        <f ca="1">OFFSET(model!$R$1,MATCH(E552,model!A:A,0)-1,0)</f>
        <v>monster_7</v>
      </c>
      <c r="H552" s="213"/>
      <c r="I552" s="213"/>
      <c r="J552" s="213"/>
      <c r="K552" s="1">
        <v>2</v>
      </c>
      <c r="L552" s="1">
        <v>569</v>
      </c>
      <c r="M552" s="1">
        <f t="shared" si="34"/>
        <v>2569</v>
      </c>
      <c r="N552" s="107" t="e">
        <f ca="1">OFFSET(npc_level_config!$T$1,MATCH(M552,npc_level_config!A:A,0)-1,0)</f>
        <v>#VALUE!</v>
      </c>
      <c r="O552" s="107" t="e">
        <f ca="1" t="shared" si="33"/>
        <v>#VALUE!</v>
      </c>
      <c r="P552" s="216">
        <v>1202</v>
      </c>
      <c r="Q552" s="3">
        <v>6</v>
      </c>
      <c r="R552" s="3">
        <v>1</v>
      </c>
      <c r="S552" s="1">
        <v>0</v>
      </c>
      <c r="T552" s="1">
        <v>20103</v>
      </c>
    </row>
    <row r="553" spans="1:20">
      <c r="A553" s="1">
        <v>7171</v>
      </c>
      <c r="B553" s="1" t="s">
        <v>1600</v>
      </c>
      <c r="C553" s="1" t="s">
        <v>2247</v>
      </c>
      <c r="D553" s="1" t="s">
        <v>1600</v>
      </c>
      <c r="E553" s="213">
        <f ca="1">OFFSET(model!$A$1,MATCH(D553,model!B:B,0)-1,0)</f>
        <v>66</v>
      </c>
      <c r="G553" s="213" t="str">
        <f ca="1">OFFSET(model!$R$1,MATCH(E553,model!A:A,0)-1,0)</f>
        <v>monster_8</v>
      </c>
      <c r="H553" s="213"/>
      <c r="I553" s="213"/>
      <c r="J553" s="213"/>
      <c r="K553" s="1">
        <v>2</v>
      </c>
      <c r="L553" s="1">
        <v>570</v>
      </c>
      <c r="M553" s="1">
        <f t="shared" si="34"/>
        <v>2570</v>
      </c>
      <c r="N553" s="107" t="e">
        <f ca="1">OFFSET(npc_level_config!$T$1,MATCH(M553,npc_level_config!A:A,0)-1,0)</f>
        <v>#VALUE!</v>
      </c>
      <c r="O553" s="107" t="e">
        <f ca="1" t="shared" si="33"/>
        <v>#VALUE!</v>
      </c>
      <c r="P553" s="216">
        <v>1202</v>
      </c>
      <c r="Q553" s="3">
        <v>6</v>
      </c>
      <c r="R553" s="3">
        <v>1</v>
      </c>
      <c r="S553" s="1">
        <v>0</v>
      </c>
      <c r="T553" s="1">
        <v>20103</v>
      </c>
    </row>
    <row r="554" spans="1:20">
      <c r="A554" s="1">
        <v>7172</v>
      </c>
      <c r="B554" s="1" t="s">
        <v>1800</v>
      </c>
      <c r="C554" s="1" t="s">
        <v>2248</v>
      </c>
      <c r="D554" s="1" t="s">
        <v>1800</v>
      </c>
      <c r="E554" s="213">
        <f ca="1">OFFSET(model!$A$1,MATCH(D554,model!B:B,0)-1,0)</f>
        <v>74</v>
      </c>
      <c r="G554" s="213" t="str">
        <f ca="1">OFFSET(model!$R$1,MATCH(E554,model!A:A,0)-1,0)</f>
        <v>role_gwyz</v>
      </c>
      <c r="H554" s="213"/>
      <c r="I554" s="213"/>
      <c r="J554" s="213"/>
      <c r="K554" s="1">
        <v>2</v>
      </c>
      <c r="L554" s="1">
        <v>571</v>
      </c>
      <c r="M554" s="1">
        <f t="shared" si="34"/>
        <v>2571</v>
      </c>
      <c r="N554" s="107" t="e">
        <f ca="1">OFFSET(npc_level_config!$T$1,MATCH(M554,npc_level_config!A:A,0)-1,0)</f>
        <v>#VALUE!</v>
      </c>
      <c r="O554" s="107" t="e">
        <f ca="1" t="shared" ref="O554:O617" si="35">ROUND(N554,-1)</f>
        <v>#VALUE!</v>
      </c>
      <c r="P554" s="216">
        <v>1202</v>
      </c>
      <c r="Q554" s="3">
        <v>6</v>
      </c>
      <c r="R554" s="3">
        <v>1</v>
      </c>
      <c r="S554" s="1">
        <v>0</v>
      </c>
      <c r="T554" s="1">
        <v>20103</v>
      </c>
    </row>
    <row r="555" spans="1:20">
      <c r="A555" s="1">
        <v>7173</v>
      </c>
      <c r="B555" s="1" t="s">
        <v>1686</v>
      </c>
      <c r="C555" s="1" t="s">
        <v>2249</v>
      </c>
      <c r="D555" s="1" t="s">
        <v>1686</v>
      </c>
      <c r="E555" s="213">
        <f ca="1">OFFSET(model!$A$1,MATCH(D555,model!B:B,0)-1,0)</f>
        <v>70</v>
      </c>
      <c r="G555" s="213" t="str">
        <f ca="1">OFFSET(model!$R$1,MATCH(E555,model!A:A,0)-1,0)</f>
        <v>monster_7</v>
      </c>
      <c r="H555" s="213"/>
      <c r="I555" s="213"/>
      <c r="J555" s="213"/>
      <c r="K555" s="1">
        <v>2</v>
      </c>
      <c r="L555" s="1">
        <v>572</v>
      </c>
      <c r="M555" s="1">
        <f t="shared" si="34"/>
        <v>2572</v>
      </c>
      <c r="N555" s="107" t="e">
        <f ca="1">OFFSET(npc_level_config!$T$1,MATCH(M555,npc_level_config!A:A,0)-1,0)</f>
        <v>#VALUE!</v>
      </c>
      <c r="O555" s="107" t="e">
        <f ca="1" t="shared" si="35"/>
        <v>#VALUE!</v>
      </c>
      <c r="P555" s="216">
        <v>1202</v>
      </c>
      <c r="Q555" s="3">
        <v>6</v>
      </c>
      <c r="R555" s="3">
        <v>1</v>
      </c>
      <c r="S555" s="1">
        <v>0</v>
      </c>
      <c r="T555" s="1">
        <v>20103</v>
      </c>
    </row>
    <row r="556" spans="1:20">
      <c r="A556" s="1">
        <v>7174</v>
      </c>
      <c r="B556" s="1" t="s">
        <v>1928</v>
      </c>
      <c r="C556" s="1" t="s">
        <v>2250</v>
      </c>
      <c r="D556" s="1" t="s">
        <v>1928</v>
      </c>
      <c r="E556" s="213">
        <f ca="1">OFFSET(model!$A$1,MATCH(D556,model!B:B,0)-1,0)</f>
        <v>69</v>
      </c>
      <c r="G556" s="213" t="str">
        <f ca="1">OFFSET(model!$R$1,MATCH(E556,model!A:A,0)-1,0)</f>
        <v>monster_10</v>
      </c>
      <c r="H556" s="213"/>
      <c r="I556" s="213"/>
      <c r="J556" s="213"/>
      <c r="K556" s="1">
        <v>2</v>
      </c>
      <c r="L556" s="1">
        <v>573</v>
      </c>
      <c r="M556" s="1">
        <f t="shared" si="34"/>
        <v>2573</v>
      </c>
      <c r="N556" s="107" t="e">
        <f ca="1">OFFSET(npc_level_config!$T$1,MATCH(M556,npc_level_config!A:A,0)-1,0)</f>
        <v>#VALUE!</v>
      </c>
      <c r="O556" s="107" t="e">
        <f ca="1" t="shared" si="35"/>
        <v>#VALUE!</v>
      </c>
      <c r="P556" s="216">
        <v>1202</v>
      </c>
      <c r="Q556" s="3">
        <v>5</v>
      </c>
      <c r="R556" s="3">
        <v>1</v>
      </c>
      <c r="S556" s="1">
        <v>0</v>
      </c>
      <c r="T556" s="1">
        <v>20103</v>
      </c>
    </row>
    <row r="557" spans="1:20">
      <c r="A557" s="1">
        <v>7175</v>
      </c>
      <c r="B557" s="1" t="s">
        <v>1686</v>
      </c>
      <c r="C557" s="1" t="s">
        <v>2251</v>
      </c>
      <c r="D557" s="1" t="s">
        <v>1686</v>
      </c>
      <c r="E557" s="213">
        <f ca="1">OFFSET(model!$A$1,MATCH(D557,model!B:B,0)-1,0)</f>
        <v>70</v>
      </c>
      <c r="G557" s="213" t="str">
        <f ca="1">OFFSET(model!$R$1,MATCH(E557,model!A:A,0)-1,0)</f>
        <v>monster_7</v>
      </c>
      <c r="H557" s="213"/>
      <c r="I557" s="213"/>
      <c r="J557" s="213"/>
      <c r="K557" s="1">
        <v>2</v>
      </c>
      <c r="L557" s="1">
        <v>574</v>
      </c>
      <c r="M557" s="1">
        <f t="shared" si="34"/>
        <v>2574</v>
      </c>
      <c r="N557" s="107" t="e">
        <f ca="1">OFFSET(npc_level_config!$T$1,MATCH(M557,npc_level_config!A:A,0)-1,0)</f>
        <v>#VALUE!</v>
      </c>
      <c r="O557" s="107" t="e">
        <f ca="1" t="shared" si="35"/>
        <v>#VALUE!</v>
      </c>
      <c r="P557" s="216">
        <v>1202</v>
      </c>
      <c r="Q557" s="3">
        <v>6</v>
      </c>
      <c r="R557" s="3">
        <v>1</v>
      </c>
      <c r="S557" s="1">
        <v>0</v>
      </c>
      <c r="T557" s="1">
        <v>20103</v>
      </c>
    </row>
    <row r="558" spans="1:20">
      <c r="A558" s="1">
        <v>7176</v>
      </c>
      <c r="B558" s="1" t="s">
        <v>1600</v>
      </c>
      <c r="C558" s="1" t="s">
        <v>2252</v>
      </c>
      <c r="D558" s="1" t="s">
        <v>1600</v>
      </c>
      <c r="E558" s="213">
        <f ca="1">OFFSET(model!$A$1,MATCH(D558,model!B:B,0)-1,0)</f>
        <v>66</v>
      </c>
      <c r="G558" s="213" t="str">
        <f ca="1">OFFSET(model!$R$1,MATCH(E558,model!A:A,0)-1,0)</f>
        <v>monster_8</v>
      </c>
      <c r="H558" s="213"/>
      <c r="I558" s="213"/>
      <c r="J558" s="213"/>
      <c r="K558" s="1">
        <v>2</v>
      </c>
      <c r="L558" s="1">
        <v>575</v>
      </c>
      <c r="M558" s="1">
        <f t="shared" si="34"/>
        <v>2575</v>
      </c>
      <c r="N558" s="107" t="e">
        <f ca="1">OFFSET(npc_level_config!$T$1,MATCH(M558,npc_level_config!A:A,0)-1,0)</f>
        <v>#VALUE!</v>
      </c>
      <c r="O558" s="107" t="e">
        <f ca="1" t="shared" si="35"/>
        <v>#VALUE!</v>
      </c>
      <c r="P558" s="216">
        <v>1202</v>
      </c>
      <c r="Q558" s="3">
        <v>6</v>
      </c>
      <c r="R558" s="3">
        <v>1</v>
      </c>
      <c r="S558" s="1">
        <v>0</v>
      </c>
      <c r="T558" s="1">
        <v>20103</v>
      </c>
    </row>
    <row r="559" spans="1:20">
      <c r="A559" s="1">
        <v>7177</v>
      </c>
      <c r="B559" s="1" t="s">
        <v>1800</v>
      </c>
      <c r="C559" s="1" t="s">
        <v>2253</v>
      </c>
      <c r="D559" s="1" t="s">
        <v>1800</v>
      </c>
      <c r="E559" s="213">
        <f ca="1">OFFSET(model!$A$1,MATCH(D559,model!B:B,0)-1,0)</f>
        <v>74</v>
      </c>
      <c r="G559" s="213" t="str">
        <f ca="1">OFFSET(model!$R$1,MATCH(E559,model!A:A,0)-1,0)</f>
        <v>role_gwyz</v>
      </c>
      <c r="H559" s="213"/>
      <c r="I559" s="213"/>
      <c r="J559" s="213"/>
      <c r="K559" s="1">
        <v>2</v>
      </c>
      <c r="L559" s="1">
        <v>576</v>
      </c>
      <c r="M559" s="1">
        <f t="shared" si="34"/>
        <v>2576</v>
      </c>
      <c r="N559" s="107" t="e">
        <f ca="1">OFFSET(npc_level_config!$T$1,MATCH(M559,npc_level_config!A:A,0)-1,0)</f>
        <v>#VALUE!</v>
      </c>
      <c r="O559" s="107" t="e">
        <f ca="1" t="shared" si="35"/>
        <v>#VALUE!</v>
      </c>
      <c r="P559" s="216">
        <v>1202</v>
      </c>
      <c r="Q559" s="3">
        <v>6</v>
      </c>
      <c r="R559" s="3">
        <v>1</v>
      </c>
      <c r="S559" s="1">
        <v>0</v>
      </c>
      <c r="T559" s="1">
        <v>20103</v>
      </c>
    </row>
    <row r="560" spans="1:20">
      <c r="A560" s="1">
        <v>7178</v>
      </c>
      <c r="B560" s="1" t="s">
        <v>1686</v>
      </c>
      <c r="C560" s="1" t="s">
        <v>2254</v>
      </c>
      <c r="D560" s="1" t="s">
        <v>1686</v>
      </c>
      <c r="E560" s="213">
        <f ca="1">OFFSET(model!$A$1,MATCH(D560,model!B:B,0)-1,0)</f>
        <v>70</v>
      </c>
      <c r="G560" s="213" t="str">
        <f ca="1">OFFSET(model!$R$1,MATCH(E560,model!A:A,0)-1,0)</f>
        <v>monster_7</v>
      </c>
      <c r="H560" s="213"/>
      <c r="I560" s="213"/>
      <c r="J560" s="213"/>
      <c r="K560" s="1">
        <v>2</v>
      </c>
      <c r="L560" s="1">
        <v>577</v>
      </c>
      <c r="M560" s="1">
        <f t="shared" si="34"/>
        <v>2577</v>
      </c>
      <c r="N560" s="107" t="e">
        <f ca="1">OFFSET(npc_level_config!$T$1,MATCH(M560,npc_level_config!A:A,0)-1,0)</f>
        <v>#VALUE!</v>
      </c>
      <c r="O560" s="107" t="e">
        <f ca="1" t="shared" si="35"/>
        <v>#VALUE!</v>
      </c>
      <c r="P560" s="216">
        <v>1202</v>
      </c>
      <c r="Q560" s="3">
        <v>6</v>
      </c>
      <c r="R560" s="3">
        <v>1</v>
      </c>
      <c r="S560" s="1">
        <v>0</v>
      </c>
      <c r="T560" s="1">
        <v>20103</v>
      </c>
    </row>
    <row r="561" spans="1:20">
      <c r="A561" s="1">
        <v>7179</v>
      </c>
      <c r="B561" s="1" t="s">
        <v>1928</v>
      </c>
      <c r="C561" s="1" t="s">
        <v>2255</v>
      </c>
      <c r="D561" s="1" t="s">
        <v>1928</v>
      </c>
      <c r="E561" s="213">
        <f ca="1">OFFSET(model!$A$1,MATCH(D561,model!B:B,0)-1,0)</f>
        <v>69</v>
      </c>
      <c r="G561" s="213" t="str">
        <f ca="1">OFFSET(model!$R$1,MATCH(E561,model!A:A,0)-1,0)</f>
        <v>monster_10</v>
      </c>
      <c r="H561" s="213"/>
      <c r="I561" s="213"/>
      <c r="J561" s="213"/>
      <c r="K561" s="1">
        <v>2</v>
      </c>
      <c r="L561" s="1">
        <v>578</v>
      </c>
      <c r="M561" s="1">
        <f t="shared" si="34"/>
        <v>2578</v>
      </c>
      <c r="N561" s="107" t="e">
        <f ca="1">OFFSET(npc_level_config!$T$1,MATCH(M561,npc_level_config!A:A,0)-1,0)</f>
        <v>#VALUE!</v>
      </c>
      <c r="O561" s="107" t="e">
        <f ca="1" t="shared" si="35"/>
        <v>#VALUE!</v>
      </c>
      <c r="P561" s="216">
        <v>1202</v>
      </c>
      <c r="Q561" s="3">
        <v>5</v>
      </c>
      <c r="R561" s="3">
        <v>1</v>
      </c>
      <c r="S561" s="1">
        <v>0</v>
      </c>
      <c r="T561" s="1">
        <v>20103</v>
      </c>
    </row>
    <row r="562" spans="1:20">
      <c r="A562" s="1">
        <v>7180</v>
      </c>
      <c r="B562" s="263" t="s">
        <v>1763</v>
      </c>
      <c r="C562" s="1" t="s">
        <v>2256</v>
      </c>
      <c r="D562" s="1" t="s">
        <v>1763</v>
      </c>
      <c r="E562" s="213">
        <f ca="1">OFFSET(model!$A$1,MATCH(D562,model!B:B,0)-1,0)</f>
        <v>7</v>
      </c>
      <c r="G562" s="213" t="str">
        <f ca="1">OFFSET(model!$R$1,MATCH(E562,model!A:A,0)-1,0)</f>
        <v>monster_7</v>
      </c>
      <c r="H562" s="213"/>
      <c r="I562" s="213"/>
      <c r="J562" s="213"/>
      <c r="K562" s="1">
        <v>2</v>
      </c>
      <c r="L562" s="1">
        <v>579</v>
      </c>
      <c r="M562" s="1">
        <f t="shared" si="34"/>
        <v>2579</v>
      </c>
      <c r="N562" s="107" t="e">
        <f ca="1">OFFSET(npc_level_config!$T$1,MATCH(M562,npc_level_config!A:A,0)-1,0)</f>
        <v>#VALUE!</v>
      </c>
      <c r="O562" s="107" t="e">
        <f ca="1" t="shared" si="35"/>
        <v>#VALUE!</v>
      </c>
      <c r="P562" s="216">
        <v>1202</v>
      </c>
      <c r="Q562" s="3">
        <v>6</v>
      </c>
      <c r="R562" s="3">
        <v>1</v>
      </c>
      <c r="S562" s="1">
        <v>0</v>
      </c>
      <c r="T562" s="1">
        <v>20103</v>
      </c>
    </row>
    <row r="563" spans="1:20">
      <c r="A563" s="1">
        <v>7181</v>
      </c>
      <c r="B563" s="1" t="s">
        <v>1600</v>
      </c>
      <c r="C563" s="1" t="s">
        <v>2257</v>
      </c>
      <c r="D563" s="1" t="s">
        <v>1600</v>
      </c>
      <c r="E563" s="213">
        <f ca="1">OFFSET(model!$A$1,MATCH(D563,model!B:B,0)-1,0)</f>
        <v>66</v>
      </c>
      <c r="G563" s="213" t="str">
        <f ca="1">OFFSET(model!$R$1,MATCH(E563,model!A:A,0)-1,0)</f>
        <v>monster_8</v>
      </c>
      <c r="H563" s="213"/>
      <c r="I563" s="213"/>
      <c r="J563" s="213"/>
      <c r="K563" s="1">
        <v>2</v>
      </c>
      <c r="L563" s="1">
        <v>580</v>
      </c>
      <c r="M563" s="1">
        <f t="shared" si="34"/>
        <v>2580</v>
      </c>
      <c r="N563" s="107" t="e">
        <f ca="1">OFFSET(npc_level_config!$T$1,MATCH(M563,npc_level_config!A:A,0)-1,0)</f>
        <v>#VALUE!</v>
      </c>
      <c r="O563" s="107" t="e">
        <f ca="1" t="shared" si="35"/>
        <v>#VALUE!</v>
      </c>
      <c r="P563" s="216">
        <v>1202</v>
      </c>
      <c r="Q563" s="3">
        <v>6</v>
      </c>
      <c r="R563" s="3">
        <v>1</v>
      </c>
      <c r="S563" s="1">
        <v>0</v>
      </c>
      <c r="T563" s="1">
        <v>20103</v>
      </c>
    </row>
    <row r="564" spans="1:20">
      <c r="A564" s="1">
        <v>7182</v>
      </c>
      <c r="B564" s="1" t="s">
        <v>1800</v>
      </c>
      <c r="C564" s="1" t="s">
        <v>2258</v>
      </c>
      <c r="D564" s="1" t="s">
        <v>1800</v>
      </c>
      <c r="E564" s="213">
        <f ca="1">OFFSET(model!$A$1,MATCH(D564,model!B:B,0)-1,0)</f>
        <v>74</v>
      </c>
      <c r="G564" s="213" t="str">
        <f ca="1">OFFSET(model!$R$1,MATCH(E564,model!A:A,0)-1,0)</f>
        <v>role_gwyz</v>
      </c>
      <c r="H564" s="213"/>
      <c r="I564" s="213"/>
      <c r="J564" s="213"/>
      <c r="K564" s="1">
        <v>2</v>
      </c>
      <c r="L564" s="1">
        <v>581</v>
      </c>
      <c r="M564" s="1">
        <f t="shared" si="34"/>
        <v>2581</v>
      </c>
      <c r="N564" s="107" t="e">
        <f ca="1">OFFSET(npc_level_config!$T$1,MATCH(M564,npc_level_config!A:A,0)-1,0)</f>
        <v>#VALUE!</v>
      </c>
      <c r="O564" s="107" t="e">
        <f ca="1" t="shared" si="35"/>
        <v>#VALUE!</v>
      </c>
      <c r="P564" s="216">
        <v>1202</v>
      </c>
      <c r="Q564" s="3">
        <v>6</v>
      </c>
      <c r="R564" s="3">
        <v>1</v>
      </c>
      <c r="S564" s="1">
        <v>0</v>
      </c>
      <c r="T564" s="1">
        <v>20103</v>
      </c>
    </row>
    <row r="565" spans="1:20">
      <c r="A565" s="1">
        <v>7183</v>
      </c>
      <c r="B565" s="1" t="s">
        <v>1686</v>
      </c>
      <c r="C565" s="1" t="s">
        <v>2259</v>
      </c>
      <c r="D565" s="1" t="s">
        <v>1686</v>
      </c>
      <c r="E565" s="213">
        <f ca="1">OFFSET(model!$A$1,MATCH(D565,model!B:B,0)-1,0)</f>
        <v>70</v>
      </c>
      <c r="G565" s="213" t="str">
        <f ca="1">OFFSET(model!$R$1,MATCH(E565,model!A:A,0)-1,0)</f>
        <v>monster_7</v>
      </c>
      <c r="H565" s="213"/>
      <c r="I565" s="213"/>
      <c r="J565" s="213"/>
      <c r="K565" s="1">
        <v>2</v>
      </c>
      <c r="L565" s="1">
        <v>582</v>
      </c>
      <c r="M565" s="1">
        <f t="shared" si="34"/>
        <v>2582</v>
      </c>
      <c r="N565" s="107" t="e">
        <f ca="1">OFFSET(npc_level_config!$T$1,MATCH(M565,npc_level_config!A:A,0)-1,0)</f>
        <v>#VALUE!</v>
      </c>
      <c r="O565" s="107" t="e">
        <f ca="1" t="shared" si="35"/>
        <v>#VALUE!</v>
      </c>
      <c r="P565" s="216">
        <v>1202</v>
      </c>
      <c r="Q565" s="3">
        <v>6</v>
      </c>
      <c r="R565" s="3">
        <v>1</v>
      </c>
      <c r="S565" s="1">
        <v>0</v>
      </c>
      <c r="T565" s="1">
        <v>20103</v>
      </c>
    </row>
    <row r="566" spans="1:20">
      <c r="A566" s="1">
        <v>7184</v>
      </c>
      <c r="B566" s="1" t="s">
        <v>1928</v>
      </c>
      <c r="C566" s="1" t="s">
        <v>2260</v>
      </c>
      <c r="D566" s="1" t="s">
        <v>1928</v>
      </c>
      <c r="E566" s="213">
        <f ca="1">OFFSET(model!$A$1,MATCH(D566,model!B:B,0)-1,0)</f>
        <v>69</v>
      </c>
      <c r="G566" s="213" t="str">
        <f ca="1">OFFSET(model!$R$1,MATCH(E566,model!A:A,0)-1,0)</f>
        <v>monster_10</v>
      </c>
      <c r="H566" s="213"/>
      <c r="I566" s="213"/>
      <c r="J566" s="213"/>
      <c r="K566" s="1">
        <v>2</v>
      </c>
      <c r="L566" s="1">
        <v>583</v>
      </c>
      <c r="M566" s="1">
        <f t="shared" si="34"/>
        <v>2583</v>
      </c>
      <c r="N566" s="107" t="e">
        <f ca="1">OFFSET(npc_level_config!$T$1,MATCH(M566,npc_level_config!A:A,0)-1,0)</f>
        <v>#VALUE!</v>
      </c>
      <c r="O566" s="107" t="e">
        <f ca="1" t="shared" si="35"/>
        <v>#VALUE!</v>
      </c>
      <c r="P566" s="216">
        <v>1202</v>
      </c>
      <c r="Q566" s="3">
        <v>5</v>
      </c>
      <c r="R566" s="3">
        <v>1</v>
      </c>
      <c r="S566" s="1">
        <v>0</v>
      </c>
      <c r="T566" s="1">
        <v>20103</v>
      </c>
    </row>
    <row r="567" spans="1:20">
      <c r="A567" s="1">
        <v>7185</v>
      </c>
      <c r="B567" s="1" t="s">
        <v>1686</v>
      </c>
      <c r="C567" s="1" t="s">
        <v>2261</v>
      </c>
      <c r="D567" s="1" t="s">
        <v>1686</v>
      </c>
      <c r="E567" s="213">
        <f ca="1">OFFSET(model!$A$1,MATCH(D567,model!B:B,0)-1,0)</f>
        <v>70</v>
      </c>
      <c r="G567" s="213" t="str">
        <f ca="1">OFFSET(model!$R$1,MATCH(E567,model!A:A,0)-1,0)</f>
        <v>monster_7</v>
      </c>
      <c r="H567" s="213"/>
      <c r="I567" s="213"/>
      <c r="J567" s="213"/>
      <c r="K567" s="1">
        <v>2</v>
      </c>
      <c r="L567" s="1">
        <v>584</v>
      </c>
      <c r="M567" s="1">
        <f t="shared" si="34"/>
        <v>2584</v>
      </c>
      <c r="N567" s="107" t="e">
        <f ca="1">OFFSET(npc_level_config!$T$1,MATCH(M567,npc_level_config!A:A,0)-1,0)</f>
        <v>#VALUE!</v>
      </c>
      <c r="O567" s="107" t="e">
        <f ca="1" t="shared" si="35"/>
        <v>#VALUE!</v>
      </c>
      <c r="P567" s="216">
        <v>1202</v>
      </c>
      <c r="Q567" s="3">
        <v>6</v>
      </c>
      <c r="R567" s="3">
        <v>1</v>
      </c>
      <c r="S567" s="1">
        <v>0</v>
      </c>
      <c r="T567" s="1">
        <v>20103</v>
      </c>
    </row>
    <row r="568" spans="1:20">
      <c r="A568" s="1">
        <v>7186</v>
      </c>
      <c r="B568" s="1" t="s">
        <v>1600</v>
      </c>
      <c r="C568" s="1" t="s">
        <v>2262</v>
      </c>
      <c r="D568" s="1" t="s">
        <v>1600</v>
      </c>
      <c r="E568" s="213">
        <f ca="1">OFFSET(model!$A$1,MATCH(D568,model!B:B,0)-1,0)</f>
        <v>66</v>
      </c>
      <c r="G568" s="213" t="str">
        <f ca="1">OFFSET(model!$R$1,MATCH(E568,model!A:A,0)-1,0)</f>
        <v>monster_8</v>
      </c>
      <c r="H568" s="213"/>
      <c r="I568" s="213"/>
      <c r="J568" s="213"/>
      <c r="K568" s="1">
        <v>2</v>
      </c>
      <c r="L568" s="1">
        <v>585</v>
      </c>
      <c r="M568" s="1">
        <f t="shared" si="34"/>
        <v>2585</v>
      </c>
      <c r="N568" s="107" t="e">
        <f ca="1">OFFSET(npc_level_config!$T$1,MATCH(M568,npc_level_config!A:A,0)-1,0)</f>
        <v>#VALUE!</v>
      </c>
      <c r="O568" s="107" t="e">
        <f ca="1" t="shared" si="35"/>
        <v>#VALUE!</v>
      </c>
      <c r="P568" s="216">
        <v>1202</v>
      </c>
      <c r="Q568" s="3">
        <v>6</v>
      </c>
      <c r="R568" s="3">
        <v>1</v>
      </c>
      <c r="S568" s="1">
        <v>0</v>
      </c>
      <c r="T568" s="1">
        <v>20103</v>
      </c>
    </row>
    <row r="569" spans="1:20">
      <c r="A569" s="1">
        <v>7187</v>
      </c>
      <c r="B569" s="1" t="s">
        <v>1800</v>
      </c>
      <c r="C569" s="1" t="s">
        <v>2263</v>
      </c>
      <c r="D569" s="1" t="s">
        <v>1800</v>
      </c>
      <c r="E569" s="213">
        <f ca="1">OFFSET(model!$A$1,MATCH(D569,model!B:B,0)-1,0)</f>
        <v>74</v>
      </c>
      <c r="G569" s="213" t="str">
        <f ca="1">OFFSET(model!$R$1,MATCH(E569,model!A:A,0)-1,0)</f>
        <v>role_gwyz</v>
      </c>
      <c r="H569" s="213"/>
      <c r="I569" s="213"/>
      <c r="J569" s="213"/>
      <c r="K569" s="1">
        <v>2</v>
      </c>
      <c r="L569" s="1">
        <v>586</v>
      </c>
      <c r="M569" s="1">
        <f t="shared" si="34"/>
        <v>2586</v>
      </c>
      <c r="N569" s="107" t="e">
        <f ca="1">OFFSET(npc_level_config!$T$1,MATCH(M569,npc_level_config!A:A,0)-1,0)</f>
        <v>#VALUE!</v>
      </c>
      <c r="O569" s="107" t="e">
        <f ca="1" t="shared" si="35"/>
        <v>#VALUE!</v>
      </c>
      <c r="P569" s="216">
        <v>1202</v>
      </c>
      <c r="Q569" s="3">
        <v>6</v>
      </c>
      <c r="R569" s="3">
        <v>1</v>
      </c>
      <c r="S569" s="1">
        <v>0</v>
      </c>
      <c r="T569" s="1">
        <v>20103</v>
      </c>
    </row>
    <row r="570" spans="1:20">
      <c r="A570" s="1">
        <v>7188</v>
      </c>
      <c r="B570" s="1" t="s">
        <v>1686</v>
      </c>
      <c r="C570" s="1" t="s">
        <v>2264</v>
      </c>
      <c r="D570" s="1" t="s">
        <v>1686</v>
      </c>
      <c r="E570" s="213">
        <f ca="1">OFFSET(model!$A$1,MATCH(D570,model!B:B,0)-1,0)</f>
        <v>70</v>
      </c>
      <c r="G570" s="213" t="str">
        <f ca="1">OFFSET(model!$R$1,MATCH(E570,model!A:A,0)-1,0)</f>
        <v>monster_7</v>
      </c>
      <c r="H570" s="213"/>
      <c r="I570" s="213"/>
      <c r="J570" s="213"/>
      <c r="K570" s="1">
        <v>2</v>
      </c>
      <c r="L570" s="1">
        <v>587</v>
      </c>
      <c r="M570" s="1">
        <f t="shared" si="34"/>
        <v>2587</v>
      </c>
      <c r="N570" s="107" t="e">
        <f ca="1">OFFSET(npc_level_config!$T$1,MATCH(M570,npc_level_config!A:A,0)-1,0)</f>
        <v>#VALUE!</v>
      </c>
      <c r="O570" s="107" t="e">
        <f ca="1" t="shared" si="35"/>
        <v>#VALUE!</v>
      </c>
      <c r="P570" s="216">
        <v>1202</v>
      </c>
      <c r="Q570" s="3">
        <v>6</v>
      </c>
      <c r="R570" s="3">
        <v>1</v>
      </c>
      <c r="S570" s="1">
        <v>0</v>
      </c>
      <c r="T570" s="1">
        <v>20103</v>
      </c>
    </row>
    <row r="571" spans="1:20">
      <c r="A571" s="1">
        <v>7189</v>
      </c>
      <c r="B571" s="1" t="s">
        <v>1928</v>
      </c>
      <c r="C571" s="1" t="s">
        <v>2265</v>
      </c>
      <c r="D571" s="1" t="s">
        <v>1928</v>
      </c>
      <c r="E571" s="213">
        <f ca="1">OFFSET(model!$A$1,MATCH(D571,model!B:B,0)-1,0)</f>
        <v>69</v>
      </c>
      <c r="G571" s="213" t="str">
        <f ca="1">OFFSET(model!$R$1,MATCH(E571,model!A:A,0)-1,0)</f>
        <v>monster_10</v>
      </c>
      <c r="H571" s="213"/>
      <c r="I571" s="213"/>
      <c r="J571" s="213"/>
      <c r="K571" s="1">
        <v>2</v>
      </c>
      <c r="L571" s="1">
        <v>588</v>
      </c>
      <c r="M571" s="1">
        <f t="shared" si="34"/>
        <v>2588</v>
      </c>
      <c r="N571" s="107" t="e">
        <f ca="1">OFFSET(npc_level_config!$T$1,MATCH(M571,npc_level_config!A:A,0)-1,0)</f>
        <v>#VALUE!</v>
      </c>
      <c r="O571" s="107" t="e">
        <f ca="1" t="shared" si="35"/>
        <v>#VALUE!</v>
      </c>
      <c r="P571" s="216">
        <v>1202</v>
      </c>
      <c r="Q571" s="3">
        <v>5</v>
      </c>
      <c r="R571" s="3">
        <v>1</v>
      </c>
      <c r="S571" s="1">
        <v>0</v>
      </c>
      <c r="T571" s="1">
        <v>20103</v>
      </c>
    </row>
    <row r="572" spans="1:20">
      <c r="A572" s="1">
        <v>7190</v>
      </c>
      <c r="B572" s="263" t="s">
        <v>1763</v>
      </c>
      <c r="C572" s="1" t="s">
        <v>2266</v>
      </c>
      <c r="D572" s="1" t="s">
        <v>1763</v>
      </c>
      <c r="E572" s="213">
        <f ca="1">OFFSET(model!$A$1,MATCH(D572,model!B:B,0)-1,0)</f>
        <v>7</v>
      </c>
      <c r="G572" s="213" t="str">
        <f ca="1">OFFSET(model!$R$1,MATCH(E572,model!A:A,0)-1,0)</f>
        <v>monster_7</v>
      </c>
      <c r="H572" s="213"/>
      <c r="I572" s="213"/>
      <c r="J572" s="213"/>
      <c r="K572" s="1">
        <v>2</v>
      </c>
      <c r="L572" s="1">
        <v>589</v>
      </c>
      <c r="M572" s="1">
        <f t="shared" si="34"/>
        <v>2589</v>
      </c>
      <c r="N572" s="107" t="e">
        <f ca="1">OFFSET(npc_level_config!$T$1,MATCH(M572,npc_level_config!A:A,0)-1,0)</f>
        <v>#VALUE!</v>
      </c>
      <c r="O572" s="107" t="e">
        <f ca="1" t="shared" si="35"/>
        <v>#VALUE!</v>
      </c>
      <c r="P572" s="216">
        <v>1202</v>
      </c>
      <c r="Q572" s="3">
        <v>6</v>
      </c>
      <c r="R572" s="3">
        <v>1</v>
      </c>
      <c r="S572" s="1">
        <v>0</v>
      </c>
      <c r="T572" s="1">
        <v>20103</v>
      </c>
    </row>
    <row r="573" spans="1:20">
      <c r="A573" s="1">
        <v>7191</v>
      </c>
      <c r="B573" s="1" t="s">
        <v>1600</v>
      </c>
      <c r="C573" s="1" t="s">
        <v>2267</v>
      </c>
      <c r="D573" s="1" t="s">
        <v>1600</v>
      </c>
      <c r="E573" s="213">
        <f ca="1">OFFSET(model!$A$1,MATCH(D573,model!B:B,0)-1,0)</f>
        <v>66</v>
      </c>
      <c r="G573" s="213" t="str">
        <f ca="1">OFFSET(model!$R$1,MATCH(E573,model!A:A,0)-1,0)</f>
        <v>monster_8</v>
      </c>
      <c r="H573" s="213"/>
      <c r="I573" s="213"/>
      <c r="J573" s="213"/>
      <c r="K573" s="1">
        <v>2</v>
      </c>
      <c r="L573" s="1">
        <v>590</v>
      </c>
      <c r="M573" s="1">
        <f t="shared" si="34"/>
        <v>2590</v>
      </c>
      <c r="N573" s="107" t="e">
        <f ca="1">OFFSET(npc_level_config!$T$1,MATCH(M573,npc_level_config!A:A,0)-1,0)</f>
        <v>#VALUE!</v>
      </c>
      <c r="O573" s="107" t="e">
        <f ca="1" t="shared" si="35"/>
        <v>#VALUE!</v>
      </c>
      <c r="P573" s="216">
        <v>1202</v>
      </c>
      <c r="Q573" s="3">
        <v>6</v>
      </c>
      <c r="R573" s="3">
        <v>1</v>
      </c>
      <c r="S573" s="1">
        <v>0</v>
      </c>
      <c r="T573" s="1">
        <v>20103</v>
      </c>
    </row>
    <row r="574" spans="1:20">
      <c r="A574" s="1">
        <v>7192</v>
      </c>
      <c r="B574" s="1" t="s">
        <v>1800</v>
      </c>
      <c r="C574" s="1" t="s">
        <v>2268</v>
      </c>
      <c r="D574" s="1" t="s">
        <v>1800</v>
      </c>
      <c r="E574" s="213">
        <f ca="1">OFFSET(model!$A$1,MATCH(D574,model!B:B,0)-1,0)</f>
        <v>74</v>
      </c>
      <c r="G574" s="213" t="str">
        <f ca="1">OFFSET(model!$R$1,MATCH(E574,model!A:A,0)-1,0)</f>
        <v>role_gwyz</v>
      </c>
      <c r="H574" s="213"/>
      <c r="I574" s="213"/>
      <c r="J574" s="213"/>
      <c r="K574" s="1">
        <v>2</v>
      </c>
      <c r="L574" s="1">
        <v>591</v>
      </c>
      <c r="M574" s="1">
        <f t="shared" si="34"/>
        <v>2591</v>
      </c>
      <c r="N574" s="107" t="e">
        <f ca="1">OFFSET(npc_level_config!$T$1,MATCH(M574,npc_level_config!A:A,0)-1,0)</f>
        <v>#VALUE!</v>
      </c>
      <c r="O574" s="107" t="e">
        <f ca="1" t="shared" si="35"/>
        <v>#VALUE!</v>
      </c>
      <c r="P574" s="216">
        <v>1202</v>
      </c>
      <c r="Q574" s="3">
        <v>6</v>
      </c>
      <c r="R574" s="3">
        <v>1</v>
      </c>
      <c r="S574" s="1">
        <v>0</v>
      </c>
      <c r="T574" s="1">
        <v>20103</v>
      </c>
    </row>
    <row r="575" spans="1:20">
      <c r="A575" s="1">
        <v>7193</v>
      </c>
      <c r="B575" s="1" t="s">
        <v>1686</v>
      </c>
      <c r="C575" s="1" t="s">
        <v>2269</v>
      </c>
      <c r="D575" s="1" t="s">
        <v>1686</v>
      </c>
      <c r="E575" s="213">
        <f ca="1">OFFSET(model!$A$1,MATCH(D575,model!B:B,0)-1,0)</f>
        <v>70</v>
      </c>
      <c r="G575" s="213" t="str">
        <f ca="1">OFFSET(model!$R$1,MATCH(E575,model!A:A,0)-1,0)</f>
        <v>monster_7</v>
      </c>
      <c r="H575" s="213"/>
      <c r="I575" s="213"/>
      <c r="J575" s="213"/>
      <c r="K575" s="1">
        <v>2</v>
      </c>
      <c r="L575" s="1">
        <v>592</v>
      </c>
      <c r="M575" s="1">
        <f t="shared" si="34"/>
        <v>2592</v>
      </c>
      <c r="N575" s="107" t="e">
        <f ca="1">OFFSET(npc_level_config!$T$1,MATCH(M575,npc_level_config!A:A,0)-1,0)</f>
        <v>#VALUE!</v>
      </c>
      <c r="O575" s="107" t="e">
        <f ca="1" t="shared" si="35"/>
        <v>#VALUE!</v>
      </c>
      <c r="P575" s="216">
        <v>1202</v>
      </c>
      <c r="Q575" s="3">
        <v>6</v>
      </c>
      <c r="R575" s="3">
        <v>1</v>
      </c>
      <c r="S575" s="1">
        <v>0</v>
      </c>
      <c r="T575" s="1">
        <v>20103</v>
      </c>
    </row>
    <row r="576" spans="1:20">
      <c r="A576" s="1">
        <v>7194</v>
      </c>
      <c r="B576" s="1" t="s">
        <v>1928</v>
      </c>
      <c r="C576" s="1" t="s">
        <v>2270</v>
      </c>
      <c r="D576" s="1" t="s">
        <v>1928</v>
      </c>
      <c r="E576" s="213">
        <f ca="1">OFFSET(model!$A$1,MATCH(D576,model!B:B,0)-1,0)</f>
        <v>69</v>
      </c>
      <c r="G576" s="213" t="str">
        <f ca="1">OFFSET(model!$R$1,MATCH(E576,model!A:A,0)-1,0)</f>
        <v>monster_10</v>
      </c>
      <c r="H576" s="213"/>
      <c r="I576" s="213"/>
      <c r="J576" s="213"/>
      <c r="K576" s="1">
        <v>2</v>
      </c>
      <c r="L576" s="1">
        <v>593</v>
      </c>
      <c r="M576" s="1">
        <f t="shared" ref="M576:M639" si="36">K576*1000+L576</f>
        <v>2593</v>
      </c>
      <c r="N576" s="107" t="e">
        <f ca="1">OFFSET(npc_level_config!$T$1,MATCH(M576,npc_level_config!A:A,0)-1,0)</f>
        <v>#VALUE!</v>
      </c>
      <c r="O576" s="107" t="e">
        <f ca="1" t="shared" si="35"/>
        <v>#VALUE!</v>
      </c>
      <c r="P576" s="216">
        <v>1202</v>
      </c>
      <c r="Q576" s="3">
        <v>5</v>
      </c>
      <c r="R576" s="3">
        <v>1</v>
      </c>
      <c r="S576" s="1">
        <v>0</v>
      </c>
      <c r="T576" s="1">
        <v>20103</v>
      </c>
    </row>
    <row r="577" spans="1:20">
      <c r="A577" s="1">
        <v>7195</v>
      </c>
      <c r="B577" s="1" t="s">
        <v>1686</v>
      </c>
      <c r="C577" s="1" t="s">
        <v>2271</v>
      </c>
      <c r="D577" s="1" t="s">
        <v>1686</v>
      </c>
      <c r="E577" s="213">
        <f ca="1">OFFSET(model!$A$1,MATCH(D577,model!B:B,0)-1,0)</f>
        <v>70</v>
      </c>
      <c r="G577" s="213" t="str">
        <f ca="1">OFFSET(model!$R$1,MATCH(E577,model!A:A,0)-1,0)</f>
        <v>monster_7</v>
      </c>
      <c r="H577" s="213"/>
      <c r="I577" s="213"/>
      <c r="J577" s="213"/>
      <c r="K577" s="1">
        <v>2</v>
      </c>
      <c r="L577" s="1">
        <v>594</v>
      </c>
      <c r="M577" s="1">
        <f t="shared" si="36"/>
        <v>2594</v>
      </c>
      <c r="N577" s="107" t="e">
        <f ca="1">OFFSET(npc_level_config!$T$1,MATCH(M577,npc_level_config!A:A,0)-1,0)</f>
        <v>#VALUE!</v>
      </c>
      <c r="O577" s="107" t="e">
        <f ca="1" t="shared" si="35"/>
        <v>#VALUE!</v>
      </c>
      <c r="P577" s="216">
        <v>1202</v>
      </c>
      <c r="Q577" s="3">
        <v>6</v>
      </c>
      <c r="R577" s="3">
        <v>1</v>
      </c>
      <c r="S577" s="1">
        <v>0</v>
      </c>
      <c r="T577" s="1">
        <v>20103</v>
      </c>
    </row>
    <row r="578" spans="1:20">
      <c r="A578" s="1">
        <v>7196</v>
      </c>
      <c r="B578" s="1" t="s">
        <v>1600</v>
      </c>
      <c r="C578" s="1" t="s">
        <v>2272</v>
      </c>
      <c r="D578" s="1" t="s">
        <v>1600</v>
      </c>
      <c r="E578" s="213">
        <f ca="1">OFFSET(model!$A$1,MATCH(D578,model!B:B,0)-1,0)</f>
        <v>66</v>
      </c>
      <c r="G578" s="213" t="str">
        <f ca="1">OFFSET(model!$R$1,MATCH(E578,model!A:A,0)-1,0)</f>
        <v>monster_8</v>
      </c>
      <c r="H578" s="213"/>
      <c r="I578" s="213"/>
      <c r="J578" s="213"/>
      <c r="K578" s="1">
        <v>2</v>
      </c>
      <c r="L578" s="1">
        <v>595</v>
      </c>
      <c r="M578" s="1">
        <f t="shared" si="36"/>
        <v>2595</v>
      </c>
      <c r="N578" s="107" t="e">
        <f ca="1">OFFSET(npc_level_config!$T$1,MATCH(M578,npc_level_config!A:A,0)-1,0)</f>
        <v>#VALUE!</v>
      </c>
      <c r="O578" s="107" t="e">
        <f ca="1" t="shared" si="35"/>
        <v>#VALUE!</v>
      </c>
      <c r="P578" s="216">
        <v>1202</v>
      </c>
      <c r="Q578" s="3">
        <v>6</v>
      </c>
      <c r="R578" s="3">
        <v>1</v>
      </c>
      <c r="S578" s="1">
        <v>0</v>
      </c>
      <c r="T578" s="1">
        <v>20103</v>
      </c>
    </row>
    <row r="579" spans="1:20">
      <c r="A579" s="1">
        <v>7197</v>
      </c>
      <c r="B579" s="1" t="s">
        <v>1800</v>
      </c>
      <c r="C579" s="1" t="s">
        <v>2273</v>
      </c>
      <c r="D579" s="1" t="s">
        <v>1800</v>
      </c>
      <c r="E579" s="213">
        <f ca="1">OFFSET(model!$A$1,MATCH(D579,model!B:B,0)-1,0)</f>
        <v>74</v>
      </c>
      <c r="G579" s="213" t="str">
        <f ca="1">OFFSET(model!$R$1,MATCH(E579,model!A:A,0)-1,0)</f>
        <v>role_gwyz</v>
      </c>
      <c r="H579" s="213"/>
      <c r="I579" s="213"/>
      <c r="J579" s="213"/>
      <c r="K579" s="1">
        <v>2</v>
      </c>
      <c r="L579" s="1">
        <v>596</v>
      </c>
      <c r="M579" s="1">
        <f t="shared" si="36"/>
        <v>2596</v>
      </c>
      <c r="N579" s="107" t="e">
        <f ca="1">OFFSET(npc_level_config!$T$1,MATCH(M579,npc_level_config!A:A,0)-1,0)</f>
        <v>#VALUE!</v>
      </c>
      <c r="O579" s="107" t="e">
        <f ca="1" t="shared" si="35"/>
        <v>#VALUE!</v>
      </c>
      <c r="P579" s="216">
        <v>1202</v>
      </c>
      <c r="Q579" s="3">
        <v>6</v>
      </c>
      <c r="R579" s="3">
        <v>1</v>
      </c>
      <c r="S579" s="1">
        <v>0</v>
      </c>
      <c r="T579" s="1">
        <v>20103</v>
      </c>
    </row>
    <row r="580" spans="1:20">
      <c r="A580" s="1">
        <v>7198</v>
      </c>
      <c r="B580" s="1" t="s">
        <v>1686</v>
      </c>
      <c r="C580" s="1" t="s">
        <v>2274</v>
      </c>
      <c r="D580" s="1" t="s">
        <v>1686</v>
      </c>
      <c r="E580" s="213">
        <f ca="1">OFFSET(model!$A$1,MATCH(D580,model!B:B,0)-1,0)</f>
        <v>70</v>
      </c>
      <c r="G580" s="213" t="str">
        <f ca="1">OFFSET(model!$R$1,MATCH(E580,model!A:A,0)-1,0)</f>
        <v>monster_7</v>
      </c>
      <c r="H580" s="213"/>
      <c r="I580" s="213"/>
      <c r="J580" s="213"/>
      <c r="K580" s="1">
        <v>2</v>
      </c>
      <c r="L580" s="1">
        <v>597</v>
      </c>
      <c r="M580" s="1">
        <f t="shared" si="36"/>
        <v>2597</v>
      </c>
      <c r="N580" s="107" t="e">
        <f ca="1">OFFSET(npc_level_config!$T$1,MATCH(M580,npc_level_config!A:A,0)-1,0)</f>
        <v>#VALUE!</v>
      </c>
      <c r="O580" s="107" t="e">
        <f ca="1" t="shared" si="35"/>
        <v>#VALUE!</v>
      </c>
      <c r="P580" s="216">
        <v>1202</v>
      </c>
      <c r="Q580" s="3">
        <v>6</v>
      </c>
      <c r="R580" s="3">
        <v>1</v>
      </c>
      <c r="S580" s="1">
        <v>0</v>
      </c>
      <c r="T580" s="1">
        <v>20103</v>
      </c>
    </row>
    <row r="581" spans="1:20">
      <c r="A581" s="1">
        <v>7199</v>
      </c>
      <c r="B581" s="1" t="s">
        <v>1928</v>
      </c>
      <c r="C581" s="1" t="s">
        <v>2275</v>
      </c>
      <c r="D581" s="1" t="s">
        <v>1928</v>
      </c>
      <c r="E581" s="213">
        <f ca="1">OFFSET(model!$A$1,MATCH(D581,model!B:B,0)-1,0)</f>
        <v>69</v>
      </c>
      <c r="G581" s="213" t="str">
        <f ca="1">OFFSET(model!$R$1,MATCH(E581,model!A:A,0)-1,0)</f>
        <v>monster_10</v>
      </c>
      <c r="H581" s="213"/>
      <c r="I581" s="213"/>
      <c r="J581" s="213"/>
      <c r="K581" s="1">
        <v>2</v>
      </c>
      <c r="L581" s="1">
        <v>598</v>
      </c>
      <c r="M581" s="1">
        <f t="shared" si="36"/>
        <v>2598</v>
      </c>
      <c r="N581" s="107" t="e">
        <f ca="1">OFFSET(npc_level_config!$T$1,MATCH(M581,npc_level_config!A:A,0)-1,0)</f>
        <v>#VALUE!</v>
      </c>
      <c r="O581" s="107" t="e">
        <f ca="1" t="shared" si="35"/>
        <v>#VALUE!</v>
      </c>
      <c r="P581" s="216">
        <v>1202</v>
      </c>
      <c r="Q581" s="3">
        <v>5</v>
      </c>
      <c r="R581" s="3">
        <v>1</v>
      </c>
      <c r="S581" s="1">
        <v>0</v>
      </c>
      <c r="T581" s="1">
        <v>20103</v>
      </c>
    </row>
    <row r="582" spans="1:20">
      <c r="A582" s="1">
        <v>7200</v>
      </c>
      <c r="B582" s="263" t="s">
        <v>1763</v>
      </c>
      <c r="C582" s="1" t="s">
        <v>2276</v>
      </c>
      <c r="D582" s="1" t="s">
        <v>1763</v>
      </c>
      <c r="E582" s="213">
        <f ca="1">OFFSET(model!$A$1,MATCH(D582,model!B:B,0)-1,0)</f>
        <v>7</v>
      </c>
      <c r="G582" s="213" t="str">
        <f ca="1">OFFSET(model!$R$1,MATCH(E582,model!A:A,0)-1,0)</f>
        <v>monster_7</v>
      </c>
      <c r="H582" s="213"/>
      <c r="I582" s="213"/>
      <c r="J582" s="213"/>
      <c r="K582" s="1">
        <v>2</v>
      </c>
      <c r="L582" s="1">
        <v>599</v>
      </c>
      <c r="M582" s="1">
        <f t="shared" si="36"/>
        <v>2599</v>
      </c>
      <c r="N582" s="107" t="e">
        <f ca="1">OFFSET(npc_level_config!$T$1,MATCH(M582,npc_level_config!A:A,0)-1,0)</f>
        <v>#VALUE!</v>
      </c>
      <c r="O582" s="107" t="e">
        <f ca="1" t="shared" si="35"/>
        <v>#VALUE!</v>
      </c>
      <c r="P582" s="216">
        <v>1202</v>
      </c>
      <c r="Q582" s="3">
        <v>6</v>
      </c>
      <c r="R582" s="3">
        <v>1</v>
      </c>
      <c r="S582" s="1">
        <v>0</v>
      </c>
      <c r="T582" s="1">
        <v>20103</v>
      </c>
    </row>
    <row r="583" spans="1:20">
      <c r="A583" s="1">
        <v>7201</v>
      </c>
      <c r="B583" s="264" t="s">
        <v>1527</v>
      </c>
      <c r="C583" s="1" t="s">
        <v>2277</v>
      </c>
      <c r="D583" s="264" t="s">
        <v>1527</v>
      </c>
      <c r="E583" s="213">
        <f ca="1">OFFSET(model!$A$1,MATCH(D583,model!B:B,0)-1,0)</f>
        <v>5</v>
      </c>
      <c r="G583" s="213" t="str">
        <f ca="1">OFFSET(model!$R$1,MATCH(E583,model!A:A,0)-1,0)</f>
        <v>monster_5</v>
      </c>
      <c r="H583" s="213"/>
      <c r="I583" s="213"/>
      <c r="J583" s="213"/>
      <c r="K583" s="1">
        <v>3</v>
      </c>
      <c r="L583" s="1">
        <v>500</v>
      </c>
      <c r="M583" s="1">
        <f t="shared" si="36"/>
        <v>3500</v>
      </c>
      <c r="N583" s="107" t="e">
        <f ca="1">OFFSET(npc_level_config!$T$1,MATCH(M583,npc_level_config!A:A,0)-1,0)</f>
        <v>#VALUE!</v>
      </c>
      <c r="O583" s="107" t="e">
        <f ca="1" t="shared" si="35"/>
        <v>#VALUE!</v>
      </c>
      <c r="P583" s="216">
        <v>2104</v>
      </c>
      <c r="Q583" s="3">
        <f ca="1">IF(S583=0,6,OFFSET(passive_type!$J$1,MATCH(S583,passive_type!A:A,0)-1,0))</f>
        <v>6</v>
      </c>
      <c r="R583" s="3">
        <f ca="1">OFFSET(battle_group!$C$1,MATCH(P583,battle_group!E:E,0)-1,0)</f>
        <v>2</v>
      </c>
      <c r="S583" s="1">
        <v>0</v>
      </c>
      <c r="T583" s="238">
        <v>20103</v>
      </c>
    </row>
    <row r="584" spans="1:20">
      <c r="A584" s="1">
        <v>7202</v>
      </c>
      <c r="B584" s="264" t="s">
        <v>1564</v>
      </c>
      <c r="C584" s="1" t="s">
        <v>2278</v>
      </c>
      <c r="D584" s="264" t="s">
        <v>1564</v>
      </c>
      <c r="E584" s="213">
        <f ca="1">OFFSET(model!$A$1,MATCH(D584,model!B:B,0)-1,0)</f>
        <v>9</v>
      </c>
      <c r="G584" s="213" t="str">
        <f ca="1">OFFSET(model!$R$1,MATCH(E584,model!A:A,0)-1,0)</f>
        <v>monster_9</v>
      </c>
      <c r="H584" s="213"/>
      <c r="I584" s="213"/>
      <c r="J584" s="213"/>
      <c r="K584" s="1">
        <v>3</v>
      </c>
      <c r="L584" s="1">
        <v>501</v>
      </c>
      <c r="M584" s="1">
        <f t="shared" si="36"/>
        <v>3501</v>
      </c>
      <c r="N584" s="107" t="e">
        <f ca="1">OFFSET(npc_level_config!$T$1,MATCH(M584,npc_level_config!A:A,0)-1,0)</f>
        <v>#VALUE!</v>
      </c>
      <c r="O584" s="107" t="e">
        <f ca="1" t="shared" si="35"/>
        <v>#VALUE!</v>
      </c>
      <c r="P584" s="216">
        <v>3106</v>
      </c>
      <c r="Q584" s="3">
        <f ca="1">IF(S584=0,6,OFFSET(passive_type!$J$1,MATCH(S584,passive_type!A:A,0)-1,0))</f>
        <v>6</v>
      </c>
      <c r="R584" s="3">
        <f ca="1">OFFSET(battle_group!$C$1,MATCH(P584,battle_group!E:E,0)-1,0)</f>
        <v>3</v>
      </c>
      <c r="S584" s="1">
        <v>0</v>
      </c>
      <c r="T584" s="238">
        <v>20161</v>
      </c>
    </row>
    <row r="585" spans="1:20">
      <c r="A585" s="1">
        <v>7203</v>
      </c>
      <c r="B585" s="265" t="s">
        <v>1634</v>
      </c>
      <c r="C585" s="1" t="s">
        <v>2279</v>
      </c>
      <c r="D585" s="265" t="s">
        <v>1634</v>
      </c>
      <c r="E585" s="213">
        <f ca="1">OFFSET(model!$A$1,MATCH(D585,model!B:B,0)-1,0)</f>
        <v>6</v>
      </c>
      <c r="G585" s="213" t="str">
        <f ca="1">OFFSET(model!$R$1,MATCH(E585,model!A:A,0)-1,0)</f>
        <v>monster_6</v>
      </c>
      <c r="H585" s="213"/>
      <c r="I585" s="213"/>
      <c r="J585" s="213"/>
      <c r="K585" s="1">
        <v>3</v>
      </c>
      <c r="L585" s="1">
        <v>502</v>
      </c>
      <c r="M585" s="1">
        <f t="shared" si="36"/>
        <v>3502</v>
      </c>
      <c r="N585" s="107" t="e">
        <f ca="1">OFFSET(npc_level_config!$T$1,MATCH(M585,npc_level_config!A:A,0)-1,0)</f>
        <v>#VALUE!</v>
      </c>
      <c r="O585" s="107" t="e">
        <f ca="1" t="shared" si="35"/>
        <v>#VALUE!</v>
      </c>
      <c r="P585" s="216">
        <v>3101</v>
      </c>
      <c r="Q585" s="3">
        <f ca="1">IF(S585=0,6,OFFSET(passive_type!$J$1,MATCH(S585,passive_type!A:A,0)-1,0))</f>
        <v>6</v>
      </c>
      <c r="R585" s="3">
        <f ca="1">OFFSET(battle_group!$C$1,MATCH(P585,battle_group!E:E,0)-1,0)</f>
        <v>3</v>
      </c>
      <c r="S585" s="1">
        <v>0</v>
      </c>
      <c r="T585" s="238">
        <v>20140</v>
      </c>
    </row>
    <row r="586" spans="1:20">
      <c r="A586" s="1">
        <v>7204</v>
      </c>
      <c r="B586" s="261" t="s">
        <v>1681</v>
      </c>
      <c r="C586" s="1" t="s">
        <v>2280</v>
      </c>
      <c r="D586" s="261" t="s">
        <v>1681</v>
      </c>
      <c r="E586" s="213">
        <f ca="1">OFFSET(model!$A$1,MATCH(D586,model!B:B,0)-1,0)</f>
        <v>65</v>
      </c>
      <c r="G586" s="213" t="str">
        <f ca="1">OFFSET(model!$R$1,MATCH(E586,model!A:A,0)-1,0)</f>
        <v>monster_8</v>
      </c>
      <c r="H586" s="213"/>
      <c r="I586" s="213"/>
      <c r="J586" s="213"/>
      <c r="K586" s="1">
        <v>3</v>
      </c>
      <c r="L586" s="1">
        <v>503</v>
      </c>
      <c r="M586" s="1">
        <f t="shared" si="36"/>
        <v>3503</v>
      </c>
      <c r="N586" s="107" t="e">
        <f ca="1">OFFSET(npc_level_config!$T$1,MATCH(M586,npc_level_config!A:A,0)-1,0)</f>
        <v>#VALUE!</v>
      </c>
      <c r="O586" s="107" t="e">
        <f ca="1" t="shared" si="35"/>
        <v>#VALUE!</v>
      </c>
      <c r="P586" s="216">
        <v>4104</v>
      </c>
      <c r="Q586" s="3">
        <v>3</v>
      </c>
      <c r="R586" s="3">
        <f ca="1">OFFSET(battle_group!$C$1,MATCH(P586,battle_group!E:E,0)-1,0)</f>
        <v>4</v>
      </c>
      <c r="S586" s="1">
        <v>0</v>
      </c>
      <c r="T586" s="238">
        <v>20103</v>
      </c>
    </row>
    <row r="587" spans="1:20">
      <c r="A587" s="1">
        <v>7205</v>
      </c>
      <c r="B587" s="264" t="s">
        <v>1564</v>
      </c>
      <c r="C587" s="1" t="s">
        <v>2281</v>
      </c>
      <c r="D587" s="264" t="s">
        <v>1564</v>
      </c>
      <c r="E587" s="213">
        <f ca="1">OFFSET(model!$A$1,MATCH(D587,model!B:B,0)-1,0)</f>
        <v>9</v>
      </c>
      <c r="G587" s="213" t="str">
        <f ca="1">OFFSET(model!$R$1,MATCH(E587,model!A:A,0)-1,0)</f>
        <v>monster_9</v>
      </c>
      <c r="H587" s="213"/>
      <c r="I587" s="213"/>
      <c r="J587" s="213"/>
      <c r="K587" s="1">
        <v>3</v>
      </c>
      <c r="L587" s="1">
        <v>504</v>
      </c>
      <c r="M587" s="1">
        <f t="shared" si="36"/>
        <v>3504</v>
      </c>
      <c r="N587" s="107" t="e">
        <f ca="1">OFFSET(npc_level_config!$T$1,MATCH(M587,npc_level_config!A:A,0)-1,0)</f>
        <v>#VALUE!</v>
      </c>
      <c r="O587" s="107" t="e">
        <f ca="1" t="shared" si="35"/>
        <v>#VALUE!</v>
      </c>
      <c r="P587" s="216">
        <v>3106</v>
      </c>
      <c r="Q587" s="3">
        <f ca="1">IF(S587=0,6,OFFSET(passive_type!$J$1,MATCH(S587,passive_type!A:A,0)-1,0))</f>
        <v>6</v>
      </c>
      <c r="R587" s="3">
        <f ca="1">OFFSET(battle_group!$C$1,MATCH(P587,battle_group!E:E,0)-1,0)</f>
        <v>3</v>
      </c>
      <c r="S587" s="1">
        <v>0</v>
      </c>
      <c r="T587" s="238">
        <v>20161</v>
      </c>
    </row>
    <row r="588" spans="1:20">
      <c r="A588" s="1">
        <v>7206</v>
      </c>
      <c r="B588" s="264" t="s">
        <v>1527</v>
      </c>
      <c r="C588" s="1" t="s">
        <v>2282</v>
      </c>
      <c r="D588" s="264" t="s">
        <v>1527</v>
      </c>
      <c r="E588" s="213">
        <f ca="1">OFFSET(model!$A$1,MATCH(D588,model!B:B,0)-1,0)</f>
        <v>5</v>
      </c>
      <c r="G588" s="213" t="str">
        <f ca="1">OFFSET(model!$R$1,MATCH(E588,model!A:A,0)-1,0)</f>
        <v>monster_5</v>
      </c>
      <c r="H588" s="213"/>
      <c r="I588" s="213"/>
      <c r="J588" s="213"/>
      <c r="K588" s="1">
        <v>3</v>
      </c>
      <c r="L588" s="1">
        <v>505</v>
      </c>
      <c r="M588" s="1">
        <f t="shared" si="36"/>
        <v>3505</v>
      </c>
      <c r="N588" s="107" t="e">
        <f ca="1">OFFSET(npc_level_config!$T$1,MATCH(M588,npc_level_config!A:A,0)-1,0)</f>
        <v>#VALUE!</v>
      </c>
      <c r="O588" s="107" t="e">
        <f ca="1" t="shared" si="35"/>
        <v>#VALUE!</v>
      </c>
      <c r="P588" s="216">
        <v>2104</v>
      </c>
      <c r="Q588" s="3">
        <f ca="1">IF(S588=0,6,OFFSET(passive_type!$J$1,MATCH(S588,passive_type!A:A,0)-1,0))</f>
        <v>6</v>
      </c>
      <c r="R588" s="3">
        <f ca="1">OFFSET(battle_group!$C$1,MATCH(P588,battle_group!E:E,0)-1,0)</f>
        <v>2</v>
      </c>
      <c r="S588" s="1">
        <v>0</v>
      </c>
      <c r="T588" s="238">
        <v>20103</v>
      </c>
    </row>
    <row r="589" spans="1:20">
      <c r="A589" s="1">
        <v>7207</v>
      </c>
      <c r="B589" s="264" t="s">
        <v>1564</v>
      </c>
      <c r="C589" s="1" t="s">
        <v>2283</v>
      </c>
      <c r="D589" s="264" t="s">
        <v>1564</v>
      </c>
      <c r="E589" s="213">
        <f ca="1">OFFSET(model!$A$1,MATCH(D589,model!B:B,0)-1,0)</f>
        <v>9</v>
      </c>
      <c r="G589" s="213" t="str">
        <f ca="1">OFFSET(model!$R$1,MATCH(E589,model!A:A,0)-1,0)</f>
        <v>monster_9</v>
      </c>
      <c r="H589" s="213"/>
      <c r="I589" s="213"/>
      <c r="J589" s="213"/>
      <c r="K589" s="1">
        <v>3</v>
      </c>
      <c r="L589" s="1">
        <v>506</v>
      </c>
      <c r="M589" s="1">
        <f t="shared" si="36"/>
        <v>3506</v>
      </c>
      <c r="N589" s="107" t="e">
        <f ca="1">OFFSET(npc_level_config!$T$1,MATCH(M589,npc_level_config!A:A,0)-1,0)</f>
        <v>#VALUE!</v>
      </c>
      <c r="O589" s="107" t="e">
        <f ca="1" t="shared" si="35"/>
        <v>#VALUE!</v>
      </c>
      <c r="P589" s="216">
        <v>3106</v>
      </c>
      <c r="Q589" s="3">
        <f ca="1">IF(S589=0,6,OFFSET(passive_type!$J$1,MATCH(S589,passive_type!A:A,0)-1,0))</f>
        <v>6</v>
      </c>
      <c r="R589" s="3">
        <f ca="1">OFFSET(battle_group!$C$1,MATCH(P589,battle_group!E:E,0)-1,0)</f>
        <v>3</v>
      </c>
      <c r="S589" s="1">
        <v>0</v>
      </c>
      <c r="T589" s="238">
        <v>20161</v>
      </c>
    </row>
    <row r="590" spans="1:20">
      <c r="A590" s="1">
        <v>7208</v>
      </c>
      <c r="B590" s="265" t="s">
        <v>1634</v>
      </c>
      <c r="C590" s="1" t="s">
        <v>2284</v>
      </c>
      <c r="D590" s="265" t="s">
        <v>1634</v>
      </c>
      <c r="E590" s="213">
        <f ca="1">OFFSET(model!$A$1,MATCH(D590,model!B:B,0)-1,0)</f>
        <v>6</v>
      </c>
      <c r="G590" s="213" t="str">
        <f ca="1">OFFSET(model!$R$1,MATCH(E590,model!A:A,0)-1,0)</f>
        <v>monster_6</v>
      </c>
      <c r="H590" s="213"/>
      <c r="I590" s="213"/>
      <c r="J590" s="213"/>
      <c r="K590" s="1">
        <v>3</v>
      </c>
      <c r="L590" s="1">
        <v>507</v>
      </c>
      <c r="M590" s="1">
        <f t="shared" si="36"/>
        <v>3507</v>
      </c>
      <c r="N590" s="107" t="e">
        <f ca="1">OFFSET(npc_level_config!$T$1,MATCH(M590,npc_level_config!A:A,0)-1,0)</f>
        <v>#VALUE!</v>
      </c>
      <c r="O590" s="107" t="e">
        <f ca="1" t="shared" si="35"/>
        <v>#VALUE!</v>
      </c>
      <c r="P590" s="216">
        <v>3101</v>
      </c>
      <c r="Q590" s="3">
        <f ca="1">IF(S590=0,6,OFFSET(passive_type!$J$1,MATCH(S590,passive_type!A:A,0)-1,0))</f>
        <v>6</v>
      </c>
      <c r="R590" s="3">
        <f ca="1">OFFSET(battle_group!$C$1,MATCH(P590,battle_group!E:E,0)-1,0)</f>
        <v>3</v>
      </c>
      <c r="S590" s="1">
        <v>0</v>
      </c>
      <c r="T590" s="238">
        <v>20140</v>
      </c>
    </row>
    <row r="591" spans="1:20">
      <c r="A591" s="1">
        <v>7209</v>
      </c>
      <c r="B591" s="261" t="s">
        <v>1681</v>
      </c>
      <c r="C591" s="1" t="s">
        <v>2285</v>
      </c>
      <c r="D591" s="261" t="s">
        <v>1681</v>
      </c>
      <c r="E591" s="213">
        <f ca="1">OFFSET(model!$A$1,MATCH(D591,model!B:B,0)-1,0)</f>
        <v>65</v>
      </c>
      <c r="G591" s="213" t="str">
        <f ca="1">OFFSET(model!$R$1,MATCH(E591,model!A:A,0)-1,0)</f>
        <v>monster_8</v>
      </c>
      <c r="H591" s="213"/>
      <c r="I591" s="213"/>
      <c r="J591" s="213"/>
      <c r="K591" s="1">
        <v>3</v>
      </c>
      <c r="L591" s="1">
        <v>508</v>
      </c>
      <c r="M591" s="1">
        <f t="shared" si="36"/>
        <v>3508</v>
      </c>
      <c r="N591" s="107" t="e">
        <f ca="1">OFFSET(npc_level_config!$T$1,MATCH(M591,npc_level_config!A:A,0)-1,0)</f>
        <v>#VALUE!</v>
      </c>
      <c r="O591" s="107" t="e">
        <f ca="1" t="shared" si="35"/>
        <v>#VALUE!</v>
      </c>
      <c r="P591" s="216">
        <v>4104</v>
      </c>
      <c r="Q591" s="3">
        <v>3</v>
      </c>
      <c r="R591" s="3">
        <f ca="1">OFFSET(battle_group!$C$1,MATCH(P591,battle_group!E:E,0)-1,0)</f>
        <v>4</v>
      </c>
      <c r="S591" s="1">
        <v>0</v>
      </c>
      <c r="T591" s="238">
        <v>20103</v>
      </c>
    </row>
    <row r="592" spans="1:20">
      <c r="A592" s="1">
        <v>7210</v>
      </c>
      <c r="B592" s="265" t="s">
        <v>1871</v>
      </c>
      <c r="C592" s="1" t="s">
        <v>2286</v>
      </c>
      <c r="D592" s="265" t="s">
        <v>1871</v>
      </c>
      <c r="E592" s="213">
        <f ca="1">OFFSET(model!$A$1,MATCH(D592,model!B:B,0)-1,0)</f>
        <v>76</v>
      </c>
      <c r="G592" s="213" t="str">
        <f ca="1">OFFSET(model!$R$1,MATCH(E592,model!A:A,0)-1,0)</f>
        <v>monster_9</v>
      </c>
      <c r="H592" s="213"/>
      <c r="I592" s="213"/>
      <c r="J592" s="213"/>
      <c r="K592" s="1">
        <v>3</v>
      </c>
      <c r="L592" s="1">
        <v>509</v>
      </c>
      <c r="M592" s="1">
        <f t="shared" si="36"/>
        <v>3509</v>
      </c>
      <c r="N592" s="107" t="e">
        <f ca="1">OFFSET(npc_level_config!$T$1,MATCH(M592,npc_level_config!A:A,0)-1,0)</f>
        <v>#VALUE!</v>
      </c>
      <c r="O592" s="107" t="e">
        <f ca="1" t="shared" si="35"/>
        <v>#VALUE!</v>
      </c>
      <c r="P592" s="216">
        <v>3302</v>
      </c>
      <c r="Q592" s="3">
        <v>6</v>
      </c>
      <c r="R592" s="3">
        <v>3</v>
      </c>
      <c r="S592" s="1">
        <v>0</v>
      </c>
      <c r="T592" s="1">
        <v>20103</v>
      </c>
    </row>
    <row r="593" spans="1:20">
      <c r="A593" s="1">
        <v>7211</v>
      </c>
      <c r="B593" s="264" t="s">
        <v>1527</v>
      </c>
      <c r="C593" s="1" t="s">
        <v>2287</v>
      </c>
      <c r="D593" s="264" t="s">
        <v>1527</v>
      </c>
      <c r="E593" s="213">
        <f ca="1">OFFSET(model!$A$1,MATCH(D593,model!B:B,0)-1,0)</f>
        <v>5</v>
      </c>
      <c r="G593" s="213" t="str">
        <f ca="1">OFFSET(model!$R$1,MATCH(E593,model!A:A,0)-1,0)</f>
        <v>monster_5</v>
      </c>
      <c r="H593" s="213"/>
      <c r="I593" s="213"/>
      <c r="J593" s="213"/>
      <c r="K593" s="1">
        <v>3</v>
      </c>
      <c r="L593" s="1">
        <v>510</v>
      </c>
      <c r="M593" s="1">
        <f t="shared" si="36"/>
        <v>3510</v>
      </c>
      <c r="N593" s="107" t="e">
        <f ca="1">OFFSET(npc_level_config!$T$1,MATCH(M593,npc_level_config!A:A,0)-1,0)</f>
        <v>#VALUE!</v>
      </c>
      <c r="O593" s="107" t="e">
        <f ca="1" t="shared" si="35"/>
        <v>#VALUE!</v>
      </c>
      <c r="P593" s="216">
        <v>3302</v>
      </c>
      <c r="Q593" s="3">
        <v>6</v>
      </c>
      <c r="R593" s="3">
        <v>3</v>
      </c>
      <c r="S593" s="1">
        <v>0</v>
      </c>
      <c r="T593" s="238">
        <v>20103</v>
      </c>
    </row>
    <row r="594" spans="1:20">
      <c r="A594" s="1">
        <v>7212</v>
      </c>
      <c r="B594" s="264" t="s">
        <v>1564</v>
      </c>
      <c r="C594" s="1" t="s">
        <v>2288</v>
      </c>
      <c r="D594" s="264" t="s">
        <v>1564</v>
      </c>
      <c r="E594" s="213">
        <f ca="1">OFFSET(model!$A$1,MATCH(D594,model!B:B,0)-1,0)</f>
        <v>9</v>
      </c>
      <c r="G594" s="213" t="str">
        <f ca="1">OFFSET(model!$R$1,MATCH(E594,model!A:A,0)-1,0)</f>
        <v>monster_9</v>
      </c>
      <c r="H594" s="213"/>
      <c r="I594" s="213"/>
      <c r="J594" s="213"/>
      <c r="K594" s="1">
        <v>3</v>
      </c>
      <c r="L594" s="1">
        <v>511</v>
      </c>
      <c r="M594" s="1">
        <f t="shared" si="36"/>
        <v>3511</v>
      </c>
      <c r="N594" s="107" t="e">
        <f ca="1">OFFSET(npc_level_config!$T$1,MATCH(M594,npc_level_config!A:A,0)-1,0)</f>
        <v>#VALUE!</v>
      </c>
      <c r="O594" s="107" t="e">
        <f ca="1" t="shared" si="35"/>
        <v>#VALUE!</v>
      </c>
      <c r="P594" s="216">
        <v>3302</v>
      </c>
      <c r="Q594" s="3">
        <v>6</v>
      </c>
      <c r="R594" s="3">
        <v>3</v>
      </c>
      <c r="S594" s="1">
        <v>0</v>
      </c>
      <c r="T594" s="238">
        <v>20103</v>
      </c>
    </row>
    <row r="595" spans="1:20">
      <c r="A595" s="1">
        <v>7213</v>
      </c>
      <c r="B595" s="265" t="s">
        <v>1634</v>
      </c>
      <c r="C595" s="1" t="s">
        <v>2289</v>
      </c>
      <c r="D595" s="265" t="s">
        <v>1634</v>
      </c>
      <c r="E595" s="213">
        <f ca="1">OFFSET(model!$A$1,MATCH(D595,model!B:B,0)-1,0)</f>
        <v>6</v>
      </c>
      <c r="G595" s="213" t="str">
        <f ca="1">OFFSET(model!$R$1,MATCH(E595,model!A:A,0)-1,0)</f>
        <v>monster_6</v>
      </c>
      <c r="H595" s="213"/>
      <c r="I595" s="213"/>
      <c r="J595" s="213"/>
      <c r="K595" s="1">
        <v>3</v>
      </c>
      <c r="L595" s="1">
        <v>512</v>
      </c>
      <c r="M595" s="1">
        <f t="shared" si="36"/>
        <v>3512</v>
      </c>
      <c r="N595" s="107" t="e">
        <f ca="1">OFFSET(npc_level_config!$T$1,MATCH(M595,npc_level_config!A:A,0)-1,0)</f>
        <v>#VALUE!</v>
      </c>
      <c r="O595" s="107" t="e">
        <f ca="1" t="shared" si="35"/>
        <v>#VALUE!</v>
      </c>
      <c r="P595" s="216">
        <v>3302</v>
      </c>
      <c r="Q595" s="3">
        <v>6</v>
      </c>
      <c r="R595" s="3">
        <v>3</v>
      </c>
      <c r="S595" s="1">
        <v>0</v>
      </c>
      <c r="T595" s="238">
        <v>20103</v>
      </c>
    </row>
    <row r="596" spans="1:20">
      <c r="A596" s="1">
        <v>7214</v>
      </c>
      <c r="B596" s="261" t="s">
        <v>1681</v>
      </c>
      <c r="C596" s="1" t="s">
        <v>2290</v>
      </c>
      <c r="D596" s="261" t="s">
        <v>1681</v>
      </c>
      <c r="E596" s="213">
        <f ca="1">OFFSET(model!$A$1,MATCH(D596,model!B:B,0)-1,0)</f>
        <v>65</v>
      </c>
      <c r="G596" s="213" t="str">
        <f ca="1">OFFSET(model!$R$1,MATCH(E596,model!A:A,0)-1,0)</f>
        <v>monster_8</v>
      </c>
      <c r="H596" s="213"/>
      <c r="I596" s="213"/>
      <c r="J596" s="213"/>
      <c r="K596" s="1">
        <v>3</v>
      </c>
      <c r="L596" s="1">
        <v>513</v>
      </c>
      <c r="M596" s="1">
        <f t="shared" si="36"/>
        <v>3513</v>
      </c>
      <c r="N596" s="107" t="e">
        <f ca="1">OFFSET(npc_level_config!$T$1,MATCH(M596,npc_level_config!A:A,0)-1,0)</f>
        <v>#VALUE!</v>
      </c>
      <c r="O596" s="107" t="e">
        <f ca="1" t="shared" si="35"/>
        <v>#VALUE!</v>
      </c>
      <c r="P596" s="216">
        <v>3302</v>
      </c>
      <c r="Q596" s="3">
        <v>6</v>
      </c>
      <c r="R596" s="3">
        <v>3</v>
      </c>
      <c r="S596" s="1">
        <v>0</v>
      </c>
      <c r="T596" s="238">
        <v>20103</v>
      </c>
    </row>
    <row r="597" spans="1:20">
      <c r="A597" s="1">
        <v>7215</v>
      </c>
      <c r="B597" s="264" t="s">
        <v>1564</v>
      </c>
      <c r="C597" s="1" t="s">
        <v>2291</v>
      </c>
      <c r="D597" s="264" t="s">
        <v>1564</v>
      </c>
      <c r="E597" s="213">
        <f ca="1">OFFSET(model!$A$1,MATCH(D597,model!B:B,0)-1,0)</f>
        <v>9</v>
      </c>
      <c r="G597" s="213" t="str">
        <f ca="1">OFFSET(model!$R$1,MATCH(E597,model!A:A,0)-1,0)</f>
        <v>monster_9</v>
      </c>
      <c r="H597" s="213"/>
      <c r="I597" s="213"/>
      <c r="J597" s="213"/>
      <c r="K597" s="1">
        <v>3</v>
      </c>
      <c r="L597" s="1">
        <v>514</v>
      </c>
      <c r="M597" s="1">
        <f t="shared" si="36"/>
        <v>3514</v>
      </c>
      <c r="N597" s="107" t="e">
        <f ca="1">OFFSET(npc_level_config!$T$1,MATCH(M597,npc_level_config!A:A,0)-1,0)</f>
        <v>#VALUE!</v>
      </c>
      <c r="O597" s="107" t="e">
        <f ca="1" t="shared" si="35"/>
        <v>#VALUE!</v>
      </c>
      <c r="P597" s="216">
        <v>3302</v>
      </c>
      <c r="Q597" s="3">
        <v>6</v>
      </c>
      <c r="R597" s="3">
        <v>3</v>
      </c>
      <c r="S597" s="1">
        <v>0</v>
      </c>
      <c r="T597" s="238">
        <v>20103</v>
      </c>
    </row>
    <row r="598" spans="1:20">
      <c r="A598" s="1">
        <v>7216</v>
      </c>
      <c r="B598" s="264" t="s">
        <v>1527</v>
      </c>
      <c r="C598" s="1" t="s">
        <v>2292</v>
      </c>
      <c r="D598" s="264" t="s">
        <v>1527</v>
      </c>
      <c r="E598" s="213">
        <f ca="1">OFFSET(model!$A$1,MATCH(D598,model!B:B,0)-1,0)</f>
        <v>5</v>
      </c>
      <c r="G598" s="213" t="str">
        <f ca="1">OFFSET(model!$R$1,MATCH(E598,model!A:A,0)-1,0)</f>
        <v>monster_5</v>
      </c>
      <c r="H598" s="213"/>
      <c r="I598" s="213"/>
      <c r="J598" s="213"/>
      <c r="K598" s="1">
        <v>3</v>
      </c>
      <c r="L598" s="1">
        <v>515</v>
      </c>
      <c r="M598" s="1">
        <f t="shared" si="36"/>
        <v>3515</v>
      </c>
      <c r="N598" s="107" t="e">
        <f ca="1">OFFSET(npc_level_config!$T$1,MATCH(M598,npc_level_config!A:A,0)-1,0)</f>
        <v>#VALUE!</v>
      </c>
      <c r="O598" s="107" t="e">
        <f ca="1" t="shared" si="35"/>
        <v>#VALUE!</v>
      </c>
      <c r="P598" s="216">
        <v>3302</v>
      </c>
      <c r="Q598" s="3">
        <v>6</v>
      </c>
      <c r="R598" s="3">
        <v>3</v>
      </c>
      <c r="S598" s="1">
        <v>0</v>
      </c>
      <c r="T598" s="238">
        <v>20103</v>
      </c>
    </row>
    <row r="599" spans="1:20">
      <c r="A599" s="1">
        <v>7217</v>
      </c>
      <c r="B599" s="264" t="s">
        <v>1564</v>
      </c>
      <c r="C599" s="1" t="s">
        <v>2293</v>
      </c>
      <c r="D599" s="264" t="s">
        <v>1564</v>
      </c>
      <c r="E599" s="213">
        <f ca="1">OFFSET(model!$A$1,MATCH(D599,model!B:B,0)-1,0)</f>
        <v>9</v>
      </c>
      <c r="G599" s="213" t="str">
        <f ca="1">OFFSET(model!$R$1,MATCH(E599,model!A:A,0)-1,0)</f>
        <v>monster_9</v>
      </c>
      <c r="H599" s="213"/>
      <c r="I599" s="213"/>
      <c r="J599" s="213"/>
      <c r="K599" s="1">
        <v>3</v>
      </c>
      <c r="L599" s="1">
        <v>516</v>
      </c>
      <c r="M599" s="1">
        <f t="shared" si="36"/>
        <v>3516</v>
      </c>
      <c r="N599" s="107" t="e">
        <f ca="1">OFFSET(npc_level_config!$T$1,MATCH(M599,npc_level_config!A:A,0)-1,0)</f>
        <v>#VALUE!</v>
      </c>
      <c r="O599" s="107" t="e">
        <f ca="1" t="shared" si="35"/>
        <v>#VALUE!</v>
      </c>
      <c r="P599" s="216">
        <v>3302</v>
      </c>
      <c r="Q599" s="3">
        <v>6</v>
      </c>
      <c r="R599" s="3">
        <v>3</v>
      </c>
      <c r="S599" s="1">
        <v>0</v>
      </c>
      <c r="T599" s="238">
        <v>20103</v>
      </c>
    </row>
    <row r="600" spans="1:20">
      <c r="A600" s="1">
        <v>7218</v>
      </c>
      <c r="B600" s="265" t="s">
        <v>1634</v>
      </c>
      <c r="C600" s="1" t="s">
        <v>2294</v>
      </c>
      <c r="D600" s="265" t="s">
        <v>1634</v>
      </c>
      <c r="E600" s="213">
        <f ca="1">OFFSET(model!$A$1,MATCH(D600,model!B:B,0)-1,0)</f>
        <v>6</v>
      </c>
      <c r="G600" s="213" t="str">
        <f ca="1">OFFSET(model!$R$1,MATCH(E600,model!A:A,0)-1,0)</f>
        <v>monster_6</v>
      </c>
      <c r="H600" s="213"/>
      <c r="I600" s="213"/>
      <c r="J600" s="213"/>
      <c r="K600" s="1">
        <v>3</v>
      </c>
      <c r="L600" s="1">
        <v>517</v>
      </c>
      <c r="M600" s="1">
        <f t="shared" si="36"/>
        <v>3517</v>
      </c>
      <c r="N600" s="107" t="e">
        <f ca="1">OFFSET(npc_level_config!$T$1,MATCH(M600,npc_level_config!A:A,0)-1,0)</f>
        <v>#VALUE!</v>
      </c>
      <c r="O600" s="107" t="e">
        <f ca="1" t="shared" si="35"/>
        <v>#VALUE!</v>
      </c>
      <c r="P600" s="216">
        <v>3302</v>
      </c>
      <c r="Q600" s="3">
        <v>6</v>
      </c>
      <c r="R600" s="3">
        <v>3</v>
      </c>
      <c r="S600" s="1">
        <v>0</v>
      </c>
      <c r="T600" s="238">
        <v>20103</v>
      </c>
    </row>
    <row r="601" spans="1:20">
      <c r="A601" s="1">
        <v>7219</v>
      </c>
      <c r="B601" s="261" t="s">
        <v>1681</v>
      </c>
      <c r="C601" s="1" t="s">
        <v>2295</v>
      </c>
      <c r="D601" s="261" t="s">
        <v>1681</v>
      </c>
      <c r="E601" s="213">
        <f ca="1">OFFSET(model!$A$1,MATCH(D601,model!B:B,0)-1,0)</f>
        <v>65</v>
      </c>
      <c r="G601" s="213" t="str">
        <f ca="1">OFFSET(model!$R$1,MATCH(E601,model!A:A,0)-1,0)</f>
        <v>monster_8</v>
      </c>
      <c r="H601" s="213"/>
      <c r="I601" s="213"/>
      <c r="J601" s="213"/>
      <c r="K601" s="1">
        <v>3</v>
      </c>
      <c r="L601" s="1">
        <v>518</v>
      </c>
      <c r="M601" s="1">
        <f t="shared" si="36"/>
        <v>3518</v>
      </c>
      <c r="N601" s="107" t="e">
        <f ca="1">OFFSET(npc_level_config!$T$1,MATCH(M601,npc_level_config!A:A,0)-1,0)</f>
        <v>#VALUE!</v>
      </c>
      <c r="O601" s="107" t="e">
        <f ca="1" t="shared" si="35"/>
        <v>#VALUE!</v>
      </c>
      <c r="P601" s="216">
        <v>3302</v>
      </c>
      <c r="Q601" s="3">
        <v>6</v>
      </c>
      <c r="R601" s="3">
        <v>3</v>
      </c>
      <c r="S601" s="1">
        <v>0</v>
      </c>
      <c r="T601" s="238">
        <v>20103</v>
      </c>
    </row>
    <row r="602" spans="1:20">
      <c r="A602" s="1">
        <v>7220</v>
      </c>
      <c r="B602" s="265" t="s">
        <v>1871</v>
      </c>
      <c r="C602" s="1" t="s">
        <v>2296</v>
      </c>
      <c r="D602" s="265" t="s">
        <v>1871</v>
      </c>
      <c r="E602" s="213">
        <f ca="1">OFFSET(model!$A$1,MATCH(D602,model!B:B,0)-1,0)</f>
        <v>76</v>
      </c>
      <c r="G602" s="213" t="str">
        <f ca="1">OFFSET(model!$R$1,MATCH(E602,model!A:A,0)-1,0)</f>
        <v>monster_9</v>
      </c>
      <c r="H602" s="213"/>
      <c r="I602" s="213"/>
      <c r="J602" s="213"/>
      <c r="K602" s="1">
        <v>3</v>
      </c>
      <c r="L602" s="1">
        <v>519</v>
      </c>
      <c r="M602" s="1">
        <f t="shared" si="36"/>
        <v>3519</v>
      </c>
      <c r="N602" s="107" t="e">
        <f ca="1">OFFSET(npc_level_config!$T$1,MATCH(M602,npc_level_config!A:A,0)-1,0)</f>
        <v>#VALUE!</v>
      </c>
      <c r="O602" s="107" t="e">
        <f ca="1" t="shared" si="35"/>
        <v>#VALUE!</v>
      </c>
      <c r="P602" s="216">
        <v>3302</v>
      </c>
      <c r="Q602" s="3">
        <v>6</v>
      </c>
      <c r="R602" s="3">
        <v>3</v>
      </c>
      <c r="S602" s="1">
        <v>0</v>
      </c>
      <c r="T602" s="1">
        <v>20103</v>
      </c>
    </row>
    <row r="603" spans="1:20">
      <c r="A603" s="1">
        <v>7221</v>
      </c>
      <c r="B603" s="264" t="s">
        <v>1527</v>
      </c>
      <c r="C603" s="1" t="s">
        <v>2297</v>
      </c>
      <c r="D603" s="264" t="s">
        <v>1527</v>
      </c>
      <c r="E603" s="213">
        <f ca="1">OFFSET(model!$A$1,MATCH(D603,model!B:B,0)-1,0)</f>
        <v>5</v>
      </c>
      <c r="G603" s="213" t="str">
        <f ca="1">OFFSET(model!$R$1,MATCH(E603,model!A:A,0)-1,0)</f>
        <v>monster_5</v>
      </c>
      <c r="H603" s="213"/>
      <c r="I603" s="213"/>
      <c r="J603" s="213"/>
      <c r="K603" s="1">
        <v>3</v>
      </c>
      <c r="L603" s="1">
        <v>520</v>
      </c>
      <c r="M603" s="1">
        <f t="shared" si="36"/>
        <v>3520</v>
      </c>
      <c r="N603" s="107" t="e">
        <f ca="1">OFFSET(npc_level_config!$T$1,MATCH(M603,npc_level_config!A:A,0)-1,0)</f>
        <v>#VALUE!</v>
      </c>
      <c r="O603" s="107" t="e">
        <f ca="1" t="shared" si="35"/>
        <v>#VALUE!</v>
      </c>
      <c r="P603" s="216">
        <v>3302</v>
      </c>
      <c r="Q603" s="3">
        <v>6</v>
      </c>
      <c r="R603" s="3">
        <v>3</v>
      </c>
      <c r="S603" s="1">
        <v>0</v>
      </c>
      <c r="T603" s="238">
        <v>20103</v>
      </c>
    </row>
    <row r="604" spans="1:20">
      <c r="A604" s="1">
        <v>7222</v>
      </c>
      <c r="B604" s="264" t="s">
        <v>1564</v>
      </c>
      <c r="C604" s="1" t="s">
        <v>2298</v>
      </c>
      <c r="D604" s="264" t="s">
        <v>1564</v>
      </c>
      <c r="E604" s="213">
        <f ca="1">OFFSET(model!$A$1,MATCH(D604,model!B:B,0)-1,0)</f>
        <v>9</v>
      </c>
      <c r="G604" s="213" t="str">
        <f ca="1">OFFSET(model!$R$1,MATCH(E604,model!A:A,0)-1,0)</f>
        <v>monster_9</v>
      </c>
      <c r="H604" s="213"/>
      <c r="I604" s="213"/>
      <c r="J604" s="213"/>
      <c r="K604" s="1">
        <v>3</v>
      </c>
      <c r="L604" s="1">
        <v>521</v>
      </c>
      <c r="M604" s="1">
        <f t="shared" si="36"/>
        <v>3521</v>
      </c>
      <c r="N604" s="107" t="e">
        <f ca="1">OFFSET(npc_level_config!$T$1,MATCH(M604,npc_level_config!A:A,0)-1,0)</f>
        <v>#VALUE!</v>
      </c>
      <c r="O604" s="107" t="e">
        <f ca="1" t="shared" si="35"/>
        <v>#VALUE!</v>
      </c>
      <c r="P604" s="216">
        <v>3302</v>
      </c>
      <c r="Q604" s="3">
        <v>6</v>
      </c>
      <c r="R604" s="3">
        <v>3</v>
      </c>
      <c r="S604" s="1">
        <v>0</v>
      </c>
      <c r="T604" s="238">
        <v>20103</v>
      </c>
    </row>
    <row r="605" spans="1:20">
      <c r="A605" s="1">
        <v>7223</v>
      </c>
      <c r="B605" s="265" t="s">
        <v>1634</v>
      </c>
      <c r="C605" s="1" t="s">
        <v>2299</v>
      </c>
      <c r="D605" s="265" t="s">
        <v>1634</v>
      </c>
      <c r="E605" s="213">
        <f ca="1">OFFSET(model!$A$1,MATCH(D605,model!B:B,0)-1,0)</f>
        <v>6</v>
      </c>
      <c r="G605" s="213" t="str">
        <f ca="1">OFFSET(model!$R$1,MATCH(E605,model!A:A,0)-1,0)</f>
        <v>monster_6</v>
      </c>
      <c r="H605" s="213"/>
      <c r="I605" s="213"/>
      <c r="J605" s="213"/>
      <c r="K605" s="1">
        <v>3</v>
      </c>
      <c r="L605" s="1">
        <v>522</v>
      </c>
      <c r="M605" s="1">
        <f t="shared" si="36"/>
        <v>3522</v>
      </c>
      <c r="N605" s="107" t="e">
        <f ca="1">OFFSET(npc_level_config!$T$1,MATCH(M605,npc_level_config!A:A,0)-1,0)</f>
        <v>#VALUE!</v>
      </c>
      <c r="O605" s="107" t="e">
        <f ca="1" t="shared" si="35"/>
        <v>#VALUE!</v>
      </c>
      <c r="P605" s="216">
        <v>3302</v>
      </c>
      <c r="Q605" s="3">
        <v>6</v>
      </c>
      <c r="R605" s="3">
        <v>3</v>
      </c>
      <c r="S605" s="1">
        <v>0</v>
      </c>
      <c r="T605" s="238">
        <v>20103</v>
      </c>
    </row>
    <row r="606" spans="1:20">
      <c r="A606" s="1">
        <v>7224</v>
      </c>
      <c r="B606" s="261" t="s">
        <v>1681</v>
      </c>
      <c r="C606" s="1" t="s">
        <v>2300</v>
      </c>
      <c r="D606" s="261" t="s">
        <v>1681</v>
      </c>
      <c r="E606" s="213">
        <f ca="1">OFFSET(model!$A$1,MATCH(D606,model!B:B,0)-1,0)</f>
        <v>65</v>
      </c>
      <c r="G606" s="213" t="str">
        <f ca="1">OFFSET(model!$R$1,MATCH(E606,model!A:A,0)-1,0)</f>
        <v>monster_8</v>
      </c>
      <c r="H606" s="213"/>
      <c r="I606" s="213"/>
      <c r="J606" s="213"/>
      <c r="K606" s="1">
        <v>3</v>
      </c>
      <c r="L606" s="1">
        <v>523</v>
      </c>
      <c r="M606" s="1">
        <f t="shared" si="36"/>
        <v>3523</v>
      </c>
      <c r="N606" s="107" t="e">
        <f ca="1">OFFSET(npc_level_config!$T$1,MATCH(M606,npc_level_config!A:A,0)-1,0)</f>
        <v>#VALUE!</v>
      </c>
      <c r="O606" s="107" t="e">
        <f ca="1" t="shared" si="35"/>
        <v>#VALUE!</v>
      </c>
      <c r="P606" s="216">
        <v>3302</v>
      </c>
      <c r="Q606" s="3">
        <v>6</v>
      </c>
      <c r="R606" s="3">
        <v>3</v>
      </c>
      <c r="S606" s="1">
        <v>0</v>
      </c>
      <c r="T606" s="238">
        <v>20103</v>
      </c>
    </row>
    <row r="607" spans="1:20">
      <c r="A607" s="1">
        <v>7225</v>
      </c>
      <c r="B607" s="264" t="s">
        <v>1564</v>
      </c>
      <c r="C607" s="1" t="s">
        <v>2301</v>
      </c>
      <c r="D607" s="264" t="s">
        <v>1564</v>
      </c>
      <c r="E607" s="213">
        <f ca="1">OFFSET(model!$A$1,MATCH(D607,model!B:B,0)-1,0)</f>
        <v>9</v>
      </c>
      <c r="G607" s="213" t="str">
        <f ca="1">OFFSET(model!$R$1,MATCH(E607,model!A:A,0)-1,0)</f>
        <v>monster_9</v>
      </c>
      <c r="H607" s="213"/>
      <c r="I607" s="213"/>
      <c r="J607" s="213"/>
      <c r="K607" s="1">
        <v>3</v>
      </c>
      <c r="L607" s="1">
        <v>524</v>
      </c>
      <c r="M607" s="1">
        <f t="shared" si="36"/>
        <v>3524</v>
      </c>
      <c r="N607" s="107" t="e">
        <f ca="1">OFFSET(npc_level_config!$T$1,MATCH(M607,npc_level_config!A:A,0)-1,0)</f>
        <v>#VALUE!</v>
      </c>
      <c r="O607" s="107" t="e">
        <f ca="1" t="shared" si="35"/>
        <v>#VALUE!</v>
      </c>
      <c r="P607" s="216">
        <v>3302</v>
      </c>
      <c r="Q607" s="3">
        <v>6</v>
      </c>
      <c r="R607" s="3">
        <v>3</v>
      </c>
      <c r="S607" s="1">
        <v>0</v>
      </c>
      <c r="T607" s="238">
        <v>20103</v>
      </c>
    </row>
    <row r="608" spans="1:20">
      <c r="A608" s="1">
        <v>7226</v>
      </c>
      <c r="B608" s="264" t="s">
        <v>1527</v>
      </c>
      <c r="C608" s="1" t="s">
        <v>2302</v>
      </c>
      <c r="D608" s="264" t="s">
        <v>1527</v>
      </c>
      <c r="E608" s="213">
        <f ca="1">OFFSET(model!$A$1,MATCH(D608,model!B:B,0)-1,0)</f>
        <v>5</v>
      </c>
      <c r="G608" s="213" t="str">
        <f ca="1">OFFSET(model!$R$1,MATCH(E608,model!A:A,0)-1,0)</f>
        <v>monster_5</v>
      </c>
      <c r="H608" s="213"/>
      <c r="I608" s="213"/>
      <c r="J608" s="213"/>
      <c r="K608" s="1">
        <v>3</v>
      </c>
      <c r="L608" s="1">
        <v>525</v>
      </c>
      <c r="M608" s="1">
        <f t="shared" si="36"/>
        <v>3525</v>
      </c>
      <c r="N608" s="107" t="e">
        <f ca="1">OFFSET(npc_level_config!$T$1,MATCH(M608,npc_level_config!A:A,0)-1,0)</f>
        <v>#VALUE!</v>
      </c>
      <c r="O608" s="107" t="e">
        <f ca="1" t="shared" si="35"/>
        <v>#VALUE!</v>
      </c>
      <c r="P608" s="216">
        <v>3302</v>
      </c>
      <c r="Q608" s="3">
        <v>6</v>
      </c>
      <c r="R608" s="3">
        <v>3</v>
      </c>
      <c r="S608" s="1">
        <v>0</v>
      </c>
      <c r="T608" s="238">
        <v>20103</v>
      </c>
    </row>
    <row r="609" spans="1:20">
      <c r="A609" s="1">
        <v>7227</v>
      </c>
      <c r="B609" s="264" t="s">
        <v>1564</v>
      </c>
      <c r="C609" s="1" t="s">
        <v>2303</v>
      </c>
      <c r="D609" s="264" t="s">
        <v>1564</v>
      </c>
      <c r="E609" s="213">
        <f ca="1">OFFSET(model!$A$1,MATCH(D609,model!B:B,0)-1,0)</f>
        <v>9</v>
      </c>
      <c r="G609" s="213" t="str">
        <f ca="1">OFFSET(model!$R$1,MATCH(E609,model!A:A,0)-1,0)</f>
        <v>monster_9</v>
      </c>
      <c r="H609" s="213"/>
      <c r="I609" s="213"/>
      <c r="J609" s="213"/>
      <c r="K609" s="1">
        <v>3</v>
      </c>
      <c r="L609" s="1">
        <v>526</v>
      </c>
      <c r="M609" s="1">
        <f t="shared" si="36"/>
        <v>3526</v>
      </c>
      <c r="N609" s="107" t="e">
        <f ca="1">OFFSET(npc_level_config!$T$1,MATCH(M609,npc_level_config!A:A,0)-1,0)</f>
        <v>#VALUE!</v>
      </c>
      <c r="O609" s="107" t="e">
        <f ca="1" t="shared" si="35"/>
        <v>#VALUE!</v>
      </c>
      <c r="P609" s="216">
        <v>3302</v>
      </c>
      <c r="Q609" s="3">
        <v>6</v>
      </c>
      <c r="R609" s="3">
        <v>3</v>
      </c>
      <c r="S609" s="1">
        <v>0</v>
      </c>
      <c r="T609" s="238">
        <v>20103</v>
      </c>
    </row>
    <row r="610" spans="1:20">
      <c r="A610" s="1">
        <v>7228</v>
      </c>
      <c r="B610" s="265" t="s">
        <v>1634</v>
      </c>
      <c r="C610" s="1" t="s">
        <v>2304</v>
      </c>
      <c r="D610" s="265" t="s">
        <v>1634</v>
      </c>
      <c r="E610" s="213">
        <f ca="1">OFFSET(model!$A$1,MATCH(D610,model!B:B,0)-1,0)</f>
        <v>6</v>
      </c>
      <c r="G610" s="213" t="str">
        <f ca="1">OFFSET(model!$R$1,MATCH(E610,model!A:A,0)-1,0)</f>
        <v>monster_6</v>
      </c>
      <c r="H610" s="213"/>
      <c r="I610" s="213"/>
      <c r="J610" s="213"/>
      <c r="K610" s="1">
        <v>3</v>
      </c>
      <c r="L610" s="1">
        <v>527</v>
      </c>
      <c r="M610" s="1">
        <f t="shared" si="36"/>
        <v>3527</v>
      </c>
      <c r="N610" s="107" t="e">
        <f ca="1">OFFSET(npc_level_config!$T$1,MATCH(M610,npc_level_config!A:A,0)-1,0)</f>
        <v>#VALUE!</v>
      </c>
      <c r="O610" s="107" t="e">
        <f ca="1" t="shared" si="35"/>
        <v>#VALUE!</v>
      </c>
      <c r="P610" s="216">
        <v>3302</v>
      </c>
      <c r="Q610" s="3">
        <v>6</v>
      </c>
      <c r="R610" s="3">
        <v>3</v>
      </c>
      <c r="S610" s="1">
        <v>0</v>
      </c>
      <c r="T610" s="238">
        <v>20103</v>
      </c>
    </row>
    <row r="611" spans="1:20">
      <c r="A611" s="1">
        <v>7229</v>
      </c>
      <c r="B611" s="261" t="s">
        <v>1681</v>
      </c>
      <c r="C611" s="1" t="s">
        <v>2305</v>
      </c>
      <c r="D611" s="261" t="s">
        <v>1681</v>
      </c>
      <c r="E611" s="213">
        <f ca="1">OFFSET(model!$A$1,MATCH(D611,model!B:B,0)-1,0)</f>
        <v>65</v>
      </c>
      <c r="G611" s="213" t="str">
        <f ca="1">OFFSET(model!$R$1,MATCH(E611,model!A:A,0)-1,0)</f>
        <v>monster_8</v>
      </c>
      <c r="H611" s="213"/>
      <c r="I611" s="213"/>
      <c r="J611" s="213"/>
      <c r="K611" s="1">
        <v>3</v>
      </c>
      <c r="L611" s="1">
        <v>528</v>
      </c>
      <c r="M611" s="1">
        <f t="shared" si="36"/>
        <v>3528</v>
      </c>
      <c r="N611" s="107" t="e">
        <f ca="1">OFFSET(npc_level_config!$T$1,MATCH(M611,npc_level_config!A:A,0)-1,0)</f>
        <v>#VALUE!</v>
      </c>
      <c r="O611" s="107" t="e">
        <f ca="1" t="shared" si="35"/>
        <v>#VALUE!</v>
      </c>
      <c r="P611" s="216">
        <v>3302</v>
      </c>
      <c r="Q611" s="3">
        <v>6</v>
      </c>
      <c r="R611" s="3">
        <v>3</v>
      </c>
      <c r="S611" s="1">
        <v>0</v>
      </c>
      <c r="T611" s="238">
        <v>20103</v>
      </c>
    </row>
    <row r="612" spans="1:20">
      <c r="A612" s="1">
        <v>7230</v>
      </c>
      <c r="B612" s="265" t="s">
        <v>1871</v>
      </c>
      <c r="C612" s="1" t="s">
        <v>2306</v>
      </c>
      <c r="D612" s="265" t="s">
        <v>1871</v>
      </c>
      <c r="E612" s="213">
        <f ca="1">OFFSET(model!$A$1,MATCH(D612,model!B:B,0)-1,0)</f>
        <v>76</v>
      </c>
      <c r="G612" s="213" t="str">
        <f ca="1">OFFSET(model!$R$1,MATCH(E612,model!A:A,0)-1,0)</f>
        <v>monster_9</v>
      </c>
      <c r="H612" s="213"/>
      <c r="I612" s="213"/>
      <c r="J612" s="213"/>
      <c r="K612" s="1">
        <v>3</v>
      </c>
      <c r="L612" s="1">
        <v>529</v>
      </c>
      <c r="M612" s="1">
        <f t="shared" si="36"/>
        <v>3529</v>
      </c>
      <c r="N612" s="107" t="e">
        <f ca="1">OFFSET(npc_level_config!$T$1,MATCH(M612,npc_level_config!A:A,0)-1,0)</f>
        <v>#VALUE!</v>
      </c>
      <c r="O612" s="107" t="e">
        <f ca="1" t="shared" si="35"/>
        <v>#VALUE!</v>
      </c>
      <c r="P612" s="216">
        <v>3302</v>
      </c>
      <c r="Q612" s="3">
        <v>6</v>
      </c>
      <c r="R612" s="3">
        <v>3</v>
      </c>
      <c r="S612" s="1">
        <v>0</v>
      </c>
      <c r="T612" s="1">
        <v>20103</v>
      </c>
    </row>
    <row r="613" spans="1:20">
      <c r="A613" s="1">
        <v>7231</v>
      </c>
      <c r="B613" s="264" t="s">
        <v>1527</v>
      </c>
      <c r="C613" s="1" t="s">
        <v>2307</v>
      </c>
      <c r="D613" s="264" t="s">
        <v>1527</v>
      </c>
      <c r="E613" s="213">
        <f ca="1">OFFSET(model!$A$1,MATCH(D613,model!B:B,0)-1,0)</f>
        <v>5</v>
      </c>
      <c r="G613" s="213" t="str">
        <f ca="1">OFFSET(model!$R$1,MATCH(E613,model!A:A,0)-1,0)</f>
        <v>monster_5</v>
      </c>
      <c r="H613" s="213"/>
      <c r="I613" s="213"/>
      <c r="J613" s="213"/>
      <c r="K613" s="1">
        <v>3</v>
      </c>
      <c r="L613" s="1">
        <v>530</v>
      </c>
      <c r="M613" s="1">
        <f t="shared" si="36"/>
        <v>3530</v>
      </c>
      <c r="N613" s="107" t="e">
        <f ca="1">OFFSET(npc_level_config!$T$1,MATCH(M613,npc_level_config!A:A,0)-1,0)</f>
        <v>#VALUE!</v>
      </c>
      <c r="O613" s="107" t="e">
        <f ca="1" t="shared" si="35"/>
        <v>#VALUE!</v>
      </c>
      <c r="P613" s="216">
        <v>3302</v>
      </c>
      <c r="Q613" s="3">
        <v>6</v>
      </c>
      <c r="R613" s="3">
        <v>3</v>
      </c>
      <c r="S613" s="1">
        <v>0</v>
      </c>
      <c r="T613" s="238">
        <v>20103</v>
      </c>
    </row>
    <row r="614" spans="1:20">
      <c r="A614" s="1">
        <v>7232</v>
      </c>
      <c r="B614" s="264" t="s">
        <v>1564</v>
      </c>
      <c r="C614" s="1" t="s">
        <v>2308</v>
      </c>
      <c r="D614" s="264" t="s">
        <v>1564</v>
      </c>
      <c r="E614" s="213">
        <f ca="1">OFFSET(model!$A$1,MATCH(D614,model!B:B,0)-1,0)</f>
        <v>9</v>
      </c>
      <c r="G614" s="213" t="str">
        <f ca="1">OFFSET(model!$R$1,MATCH(E614,model!A:A,0)-1,0)</f>
        <v>monster_9</v>
      </c>
      <c r="H614" s="213"/>
      <c r="I614" s="213"/>
      <c r="J614" s="213"/>
      <c r="K614" s="1">
        <v>3</v>
      </c>
      <c r="L614" s="1">
        <v>531</v>
      </c>
      <c r="M614" s="1">
        <f t="shared" si="36"/>
        <v>3531</v>
      </c>
      <c r="N614" s="107" t="e">
        <f ca="1">OFFSET(npc_level_config!$T$1,MATCH(M614,npc_level_config!A:A,0)-1,0)</f>
        <v>#VALUE!</v>
      </c>
      <c r="O614" s="107" t="e">
        <f ca="1" t="shared" si="35"/>
        <v>#VALUE!</v>
      </c>
      <c r="P614" s="216">
        <v>3302</v>
      </c>
      <c r="Q614" s="3">
        <v>6</v>
      </c>
      <c r="R614" s="3">
        <v>3</v>
      </c>
      <c r="S614" s="1">
        <v>0</v>
      </c>
      <c r="T614" s="238">
        <v>20103</v>
      </c>
    </row>
    <row r="615" spans="1:20">
      <c r="A615" s="1">
        <v>7233</v>
      </c>
      <c r="B615" s="265" t="s">
        <v>1634</v>
      </c>
      <c r="C615" s="1" t="s">
        <v>2309</v>
      </c>
      <c r="D615" s="265" t="s">
        <v>1634</v>
      </c>
      <c r="E615" s="213">
        <f ca="1">OFFSET(model!$A$1,MATCH(D615,model!B:B,0)-1,0)</f>
        <v>6</v>
      </c>
      <c r="G615" s="213" t="str">
        <f ca="1">OFFSET(model!$R$1,MATCH(E615,model!A:A,0)-1,0)</f>
        <v>monster_6</v>
      </c>
      <c r="H615" s="213"/>
      <c r="I615" s="213"/>
      <c r="J615" s="213"/>
      <c r="K615" s="1">
        <v>3</v>
      </c>
      <c r="L615" s="1">
        <v>532</v>
      </c>
      <c r="M615" s="1">
        <f t="shared" si="36"/>
        <v>3532</v>
      </c>
      <c r="N615" s="107" t="e">
        <f ca="1">OFFSET(npc_level_config!$T$1,MATCH(M615,npc_level_config!A:A,0)-1,0)</f>
        <v>#VALUE!</v>
      </c>
      <c r="O615" s="107" t="e">
        <f ca="1" t="shared" si="35"/>
        <v>#VALUE!</v>
      </c>
      <c r="P615" s="216">
        <v>3302</v>
      </c>
      <c r="Q615" s="3">
        <v>6</v>
      </c>
      <c r="R615" s="3">
        <v>3</v>
      </c>
      <c r="S615" s="1">
        <v>0</v>
      </c>
      <c r="T615" s="238">
        <v>20103</v>
      </c>
    </row>
    <row r="616" spans="1:20">
      <c r="A616" s="1">
        <v>7234</v>
      </c>
      <c r="B616" s="261" t="s">
        <v>1681</v>
      </c>
      <c r="C616" s="1" t="s">
        <v>2310</v>
      </c>
      <c r="D616" s="261" t="s">
        <v>1681</v>
      </c>
      <c r="E616" s="213">
        <f ca="1">OFFSET(model!$A$1,MATCH(D616,model!B:B,0)-1,0)</f>
        <v>65</v>
      </c>
      <c r="G616" s="213" t="str">
        <f ca="1">OFFSET(model!$R$1,MATCH(E616,model!A:A,0)-1,0)</f>
        <v>monster_8</v>
      </c>
      <c r="H616" s="213"/>
      <c r="I616" s="213"/>
      <c r="J616" s="213"/>
      <c r="K616" s="1">
        <v>3</v>
      </c>
      <c r="L616" s="1">
        <v>533</v>
      </c>
      <c r="M616" s="1">
        <f t="shared" si="36"/>
        <v>3533</v>
      </c>
      <c r="N616" s="107" t="e">
        <f ca="1">OFFSET(npc_level_config!$T$1,MATCH(M616,npc_level_config!A:A,0)-1,0)</f>
        <v>#VALUE!</v>
      </c>
      <c r="O616" s="107" t="e">
        <f ca="1" t="shared" si="35"/>
        <v>#VALUE!</v>
      </c>
      <c r="P616" s="216">
        <v>3302</v>
      </c>
      <c r="Q616" s="3">
        <v>6</v>
      </c>
      <c r="R616" s="3">
        <v>3</v>
      </c>
      <c r="S616" s="1">
        <v>0</v>
      </c>
      <c r="T616" s="238">
        <v>20103</v>
      </c>
    </row>
    <row r="617" spans="1:20">
      <c r="A617" s="1">
        <v>7235</v>
      </c>
      <c r="B617" s="264" t="s">
        <v>1564</v>
      </c>
      <c r="C617" s="1" t="s">
        <v>2311</v>
      </c>
      <c r="D617" s="264" t="s">
        <v>1564</v>
      </c>
      <c r="E617" s="213">
        <f ca="1">OFFSET(model!$A$1,MATCH(D617,model!B:B,0)-1,0)</f>
        <v>9</v>
      </c>
      <c r="G617" s="213" t="str">
        <f ca="1">OFFSET(model!$R$1,MATCH(E617,model!A:A,0)-1,0)</f>
        <v>monster_9</v>
      </c>
      <c r="H617" s="213"/>
      <c r="I617" s="213"/>
      <c r="J617" s="213"/>
      <c r="K617" s="1">
        <v>3</v>
      </c>
      <c r="L617" s="1">
        <v>534</v>
      </c>
      <c r="M617" s="1">
        <f t="shared" si="36"/>
        <v>3534</v>
      </c>
      <c r="N617" s="107" t="e">
        <f ca="1">OFFSET(npc_level_config!$T$1,MATCH(M617,npc_level_config!A:A,0)-1,0)</f>
        <v>#VALUE!</v>
      </c>
      <c r="O617" s="107" t="e">
        <f ca="1" t="shared" si="35"/>
        <v>#VALUE!</v>
      </c>
      <c r="P617" s="216">
        <v>3302</v>
      </c>
      <c r="Q617" s="3">
        <v>6</v>
      </c>
      <c r="R617" s="3">
        <v>3</v>
      </c>
      <c r="S617" s="1">
        <v>0</v>
      </c>
      <c r="T617" s="238">
        <v>20103</v>
      </c>
    </row>
    <row r="618" spans="1:20">
      <c r="A618" s="1">
        <v>7236</v>
      </c>
      <c r="B618" s="264" t="s">
        <v>1527</v>
      </c>
      <c r="C618" s="1" t="s">
        <v>2312</v>
      </c>
      <c r="D618" s="264" t="s">
        <v>1527</v>
      </c>
      <c r="E618" s="213">
        <f ca="1">OFFSET(model!$A$1,MATCH(D618,model!B:B,0)-1,0)</f>
        <v>5</v>
      </c>
      <c r="G618" s="213" t="str">
        <f ca="1">OFFSET(model!$R$1,MATCH(E618,model!A:A,0)-1,0)</f>
        <v>monster_5</v>
      </c>
      <c r="H618" s="213"/>
      <c r="I618" s="213"/>
      <c r="J618" s="213"/>
      <c r="K618" s="1">
        <v>3</v>
      </c>
      <c r="L618" s="1">
        <v>535</v>
      </c>
      <c r="M618" s="1">
        <f t="shared" si="36"/>
        <v>3535</v>
      </c>
      <c r="N618" s="107" t="e">
        <f ca="1">OFFSET(npc_level_config!$T$1,MATCH(M618,npc_level_config!A:A,0)-1,0)</f>
        <v>#VALUE!</v>
      </c>
      <c r="O618" s="107" t="e">
        <f ca="1" t="shared" ref="O618:O681" si="37">ROUND(N618,-1)</f>
        <v>#VALUE!</v>
      </c>
      <c r="P618" s="216">
        <v>3302</v>
      </c>
      <c r="Q618" s="3">
        <v>6</v>
      </c>
      <c r="R618" s="3">
        <v>3</v>
      </c>
      <c r="S618" s="1">
        <v>0</v>
      </c>
      <c r="T618" s="238">
        <v>20103</v>
      </c>
    </row>
    <row r="619" spans="1:20">
      <c r="A619" s="1">
        <v>7237</v>
      </c>
      <c r="B619" s="264" t="s">
        <v>1564</v>
      </c>
      <c r="C619" s="1" t="s">
        <v>2313</v>
      </c>
      <c r="D619" s="264" t="s">
        <v>1564</v>
      </c>
      <c r="E619" s="213">
        <f ca="1">OFFSET(model!$A$1,MATCH(D619,model!B:B,0)-1,0)</f>
        <v>9</v>
      </c>
      <c r="G619" s="213" t="str">
        <f ca="1">OFFSET(model!$R$1,MATCH(E619,model!A:A,0)-1,0)</f>
        <v>monster_9</v>
      </c>
      <c r="H619" s="213"/>
      <c r="I619" s="213"/>
      <c r="J619" s="213"/>
      <c r="K619" s="1">
        <v>3</v>
      </c>
      <c r="L619" s="1">
        <v>536</v>
      </c>
      <c r="M619" s="1">
        <f t="shared" si="36"/>
        <v>3536</v>
      </c>
      <c r="N619" s="107" t="e">
        <f ca="1">OFFSET(npc_level_config!$T$1,MATCH(M619,npc_level_config!A:A,0)-1,0)</f>
        <v>#VALUE!</v>
      </c>
      <c r="O619" s="107" t="e">
        <f ca="1" t="shared" si="37"/>
        <v>#VALUE!</v>
      </c>
      <c r="P619" s="216">
        <v>3302</v>
      </c>
      <c r="Q619" s="3">
        <v>6</v>
      </c>
      <c r="R619" s="3">
        <v>3</v>
      </c>
      <c r="S619" s="1">
        <v>0</v>
      </c>
      <c r="T619" s="238">
        <v>20103</v>
      </c>
    </row>
    <row r="620" spans="1:20">
      <c r="A620" s="1">
        <v>7238</v>
      </c>
      <c r="B620" s="265" t="s">
        <v>1634</v>
      </c>
      <c r="C620" s="1" t="s">
        <v>2314</v>
      </c>
      <c r="D620" s="265" t="s">
        <v>1634</v>
      </c>
      <c r="E620" s="213">
        <f ca="1">OFFSET(model!$A$1,MATCH(D620,model!B:B,0)-1,0)</f>
        <v>6</v>
      </c>
      <c r="G620" s="213" t="str">
        <f ca="1">OFFSET(model!$R$1,MATCH(E620,model!A:A,0)-1,0)</f>
        <v>monster_6</v>
      </c>
      <c r="H620" s="213"/>
      <c r="I620" s="213"/>
      <c r="J620" s="213"/>
      <c r="K620" s="1">
        <v>3</v>
      </c>
      <c r="L620" s="1">
        <v>537</v>
      </c>
      <c r="M620" s="1">
        <f t="shared" si="36"/>
        <v>3537</v>
      </c>
      <c r="N620" s="107" t="e">
        <f ca="1">OFFSET(npc_level_config!$T$1,MATCH(M620,npc_level_config!A:A,0)-1,0)</f>
        <v>#VALUE!</v>
      </c>
      <c r="O620" s="107" t="e">
        <f ca="1" t="shared" si="37"/>
        <v>#VALUE!</v>
      </c>
      <c r="P620" s="216">
        <v>3302</v>
      </c>
      <c r="Q620" s="3">
        <v>6</v>
      </c>
      <c r="R620" s="3">
        <v>3</v>
      </c>
      <c r="S620" s="1">
        <v>0</v>
      </c>
      <c r="T620" s="238">
        <v>20103</v>
      </c>
    </row>
    <row r="621" spans="1:20">
      <c r="A621" s="1">
        <v>7239</v>
      </c>
      <c r="B621" s="261" t="s">
        <v>1681</v>
      </c>
      <c r="C621" s="1" t="s">
        <v>2315</v>
      </c>
      <c r="D621" s="261" t="s">
        <v>1681</v>
      </c>
      <c r="E621" s="213">
        <f ca="1">OFFSET(model!$A$1,MATCH(D621,model!B:B,0)-1,0)</f>
        <v>65</v>
      </c>
      <c r="G621" s="213" t="str">
        <f ca="1">OFFSET(model!$R$1,MATCH(E621,model!A:A,0)-1,0)</f>
        <v>monster_8</v>
      </c>
      <c r="H621" s="213"/>
      <c r="I621" s="213"/>
      <c r="J621" s="213"/>
      <c r="K621" s="1">
        <v>3</v>
      </c>
      <c r="L621" s="1">
        <v>538</v>
      </c>
      <c r="M621" s="1">
        <f t="shared" si="36"/>
        <v>3538</v>
      </c>
      <c r="N621" s="107" t="e">
        <f ca="1">OFFSET(npc_level_config!$T$1,MATCH(M621,npc_level_config!A:A,0)-1,0)</f>
        <v>#VALUE!</v>
      </c>
      <c r="O621" s="107" t="e">
        <f ca="1" t="shared" si="37"/>
        <v>#VALUE!</v>
      </c>
      <c r="P621" s="216">
        <v>3302</v>
      </c>
      <c r="Q621" s="3">
        <v>6</v>
      </c>
      <c r="R621" s="3">
        <v>3</v>
      </c>
      <c r="S621" s="1">
        <v>0</v>
      </c>
      <c r="T621" s="238">
        <v>20103</v>
      </c>
    </row>
    <row r="622" spans="1:20">
      <c r="A622" s="1">
        <v>7240</v>
      </c>
      <c r="B622" s="265" t="s">
        <v>1871</v>
      </c>
      <c r="C622" s="1" t="s">
        <v>2316</v>
      </c>
      <c r="D622" s="265" t="s">
        <v>1871</v>
      </c>
      <c r="E622" s="213">
        <f ca="1">OFFSET(model!$A$1,MATCH(D622,model!B:B,0)-1,0)</f>
        <v>76</v>
      </c>
      <c r="G622" s="213" t="str">
        <f ca="1">OFFSET(model!$R$1,MATCH(E622,model!A:A,0)-1,0)</f>
        <v>monster_9</v>
      </c>
      <c r="H622" s="213"/>
      <c r="I622" s="213"/>
      <c r="J622" s="213"/>
      <c r="K622" s="1">
        <v>3</v>
      </c>
      <c r="L622" s="1">
        <v>539</v>
      </c>
      <c r="M622" s="1">
        <f t="shared" si="36"/>
        <v>3539</v>
      </c>
      <c r="N622" s="107" t="e">
        <f ca="1">OFFSET(npc_level_config!$T$1,MATCH(M622,npc_level_config!A:A,0)-1,0)</f>
        <v>#VALUE!</v>
      </c>
      <c r="O622" s="107" t="e">
        <f ca="1" t="shared" si="37"/>
        <v>#VALUE!</v>
      </c>
      <c r="P622" s="216">
        <v>3302</v>
      </c>
      <c r="Q622" s="3">
        <v>6</v>
      </c>
      <c r="R622" s="3">
        <v>3</v>
      </c>
      <c r="S622" s="1">
        <v>0</v>
      </c>
      <c r="T622" s="1">
        <v>20103</v>
      </c>
    </row>
    <row r="623" spans="1:20">
      <c r="A623" s="1">
        <v>7241</v>
      </c>
      <c r="B623" s="264" t="s">
        <v>1527</v>
      </c>
      <c r="C623" s="1" t="s">
        <v>2317</v>
      </c>
      <c r="D623" s="264" t="s">
        <v>1527</v>
      </c>
      <c r="E623" s="213">
        <f ca="1">OFFSET(model!$A$1,MATCH(D623,model!B:B,0)-1,0)</f>
        <v>5</v>
      </c>
      <c r="G623" s="213" t="str">
        <f ca="1">OFFSET(model!$R$1,MATCH(E623,model!A:A,0)-1,0)</f>
        <v>monster_5</v>
      </c>
      <c r="H623" s="213"/>
      <c r="I623" s="213"/>
      <c r="J623" s="213"/>
      <c r="K623" s="1">
        <v>3</v>
      </c>
      <c r="L623" s="1">
        <v>540</v>
      </c>
      <c r="M623" s="1">
        <f t="shared" si="36"/>
        <v>3540</v>
      </c>
      <c r="N623" s="107" t="e">
        <f ca="1">OFFSET(npc_level_config!$T$1,MATCH(M623,npc_level_config!A:A,0)-1,0)</f>
        <v>#VALUE!</v>
      </c>
      <c r="O623" s="107" t="e">
        <f ca="1" t="shared" si="37"/>
        <v>#VALUE!</v>
      </c>
      <c r="P623" s="216">
        <v>3302</v>
      </c>
      <c r="Q623" s="3">
        <v>6</v>
      </c>
      <c r="R623" s="3">
        <v>3</v>
      </c>
      <c r="S623" s="1">
        <v>0</v>
      </c>
      <c r="T623" s="238">
        <v>20103</v>
      </c>
    </row>
    <row r="624" spans="1:20">
      <c r="A624" s="1">
        <v>7242</v>
      </c>
      <c r="B624" s="264" t="s">
        <v>1564</v>
      </c>
      <c r="C624" s="1" t="s">
        <v>2318</v>
      </c>
      <c r="D624" s="264" t="s">
        <v>1564</v>
      </c>
      <c r="E624" s="213">
        <f ca="1">OFFSET(model!$A$1,MATCH(D624,model!B:B,0)-1,0)</f>
        <v>9</v>
      </c>
      <c r="G624" s="213" t="str">
        <f ca="1">OFFSET(model!$R$1,MATCH(E624,model!A:A,0)-1,0)</f>
        <v>monster_9</v>
      </c>
      <c r="H624" s="213"/>
      <c r="I624" s="213"/>
      <c r="J624" s="213"/>
      <c r="K624" s="1">
        <v>3</v>
      </c>
      <c r="L624" s="1">
        <v>541</v>
      </c>
      <c r="M624" s="1">
        <f t="shared" si="36"/>
        <v>3541</v>
      </c>
      <c r="N624" s="107" t="e">
        <f ca="1">OFFSET(npc_level_config!$T$1,MATCH(M624,npc_level_config!A:A,0)-1,0)</f>
        <v>#VALUE!</v>
      </c>
      <c r="O624" s="107" t="e">
        <f ca="1" t="shared" si="37"/>
        <v>#VALUE!</v>
      </c>
      <c r="P624" s="216">
        <v>3302</v>
      </c>
      <c r="Q624" s="3">
        <v>6</v>
      </c>
      <c r="R624" s="3">
        <v>3</v>
      </c>
      <c r="S624" s="1">
        <v>0</v>
      </c>
      <c r="T624" s="238">
        <v>20103</v>
      </c>
    </row>
    <row r="625" spans="1:20">
      <c r="A625" s="1">
        <v>7243</v>
      </c>
      <c r="B625" s="265" t="s">
        <v>1634</v>
      </c>
      <c r="C625" s="1" t="s">
        <v>2319</v>
      </c>
      <c r="D625" s="265" t="s">
        <v>1634</v>
      </c>
      <c r="E625" s="213">
        <f ca="1">OFFSET(model!$A$1,MATCH(D625,model!B:B,0)-1,0)</f>
        <v>6</v>
      </c>
      <c r="G625" s="213" t="str">
        <f ca="1">OFFSET(model!$R$1,MATCH(E625,model!A:A,0)-1,0)</f>
        <v>monster_6</v>
      </c>
      <c r="H625" s="213"/>
      <c r="I625" s="213"/>
      <c r="J625" s="213"/>
      <c r="K625" s="1">
        <v>3</v>
      </c>
      <c r="L625" s="1">
        <v>542</v>
      </c>
      <c r="M625" s="1">
        <f t="shared" si="36"/>
        <v>3542</v>
      </c>
      <c r="N625" s="107" t="e">
        <f ca="1">OFFSET(npc_level_config!$T$1,MATCH(M625,npc_level_config!A:A,0)-1,0)</f>
        <v>#VALUE!</v>
      </c>
      <c r="O625" s="107" t="e">
        <f ca="1" t="shared" si="37"/>
        <v>#VALUE!</v>
      </c>
      <c r="P625" s="216">
        <v>3302</v>
      </c>
      <c r="Q625" s="3">
        <v>6</v>
      </c>
      <c r="R625" s="3">
        <v>3</v>
      </c>
      <c r="S625" s="1">
        <v>0</v>
      </c>
      <c r="T625" s="238">
        <v>20103</v>
      </c>
    </row>
    <row r="626" spans="1:20">
      <c r="A626" s="1">
        <v>7244</v>
      </c>
      <c r="B626" s="261" t="s">
        <v>1681</v>
      </c>
      <c r="C626" s="1" t="s">
        <v>2320</v>
      </c>
      <c r="D626" s="261" t="s">
        <v>1681</v>
      </c>
      <c r="E626" s="213">
        <f ca="1">OFFSET(model!$A$1,MATCH(D626,model!B:B,0)-1,0)</f>
        <v>65</v>
      </c>
      <c r="G626" s="213" t="str">
        <f ca="1">OFFSET(model!$R$1,MATCH(E626,model!A:A,0)-1,0)</f>
        <v>monster_8</v>
      </c>
      <c r="H626" s="213"/>
      <c r="I626" s="213"/>
      <c r="J626" s="213"/>
      <c r="K626" s="1">
        <v>3</v>
      </c>
      <c r="L626" s="1">
        <v>543</v>
      </c>
      <c r="M626" s="1">
        <f t="shared" si="36"/>
        <v>3543</v>
      </c>
      <c r="N626" s="107" t="e">
        <f ca="1">OFFSET(npc_level_config!$T$1,MATCH(M626,npc_level_config!A:A,0)-1,0)</f>
        <v>#VALUE!</v>
      </c>
      <c r="O626" s="107" t="e">
        <f ca="1" t="shared" si="37"/>
        <v>#VALUE!</v>
      </c>
      <c r="P626" s="216">
        <v>3302</v>
      </c>
      <c r="Q626" s="3">
        <v>6</v>
      </c>
      <c r="R626" s="3">
        <v>3</v>
      </c>
      <c r="S626" s="1">
        <v>0</v>
      </c>
      <c r="T626" s="238">
        <v>20103</v>
      </c>
    </row>
    <row r="627" spans="1:20">
      <c r="A627" s="1">
        <v>7245</v>
      </c>
      <c r="B627" s="264" t="s">
        <v>1564</v>
      </c>
      <c r="C627" s="1" t="s">
        <v>2321</v>
      </c>
      <c r="D627" s="264" t="s">
        <v>1564</v>
      </c>
      <c r="E627" s="213">
        <f ca="1">OFFSET(model!$A$1,MATCH(D627,model!B:B,0)-1,0)</f>
        <v>9</v>
      </c>
      <c r="G627" s="213" t="str">
        <f ca="1">OFFSET(model!$R$1,MATCH(E627,model!A:A,0)-1,0)</f>
        <v>monster_9</v>
      </c>
      <c r="H627" s="213"/>
      <c r="I627" s="213"/>
      <c r="J627" s="213"/>
      <c r="K627" s="1">
        <v>3</v>
      </c>
      <c r="L627" s="1">
        <v>544</v>
      </c>
      <c r="M627" s="1">
        <f t="shared" si="36"/>
        <v>3544</v>
      </c>
      <c r="N627" s="107" t="e">
        <f ca="1">OFFSET(npc_level_config!$T$1,MATCH(M627,npc_level_config!A:A,0)-1,0)</f>
        <v>#VALUE!</v>
      </c>
      <c r="O627" s="107" t="e">
        <f ca="1" t="shared" si="37"/>
        <v>#VALUE!</v>
      </c>
      <c r="P627" s="216">
        <v>3302</v>
      </c>
      <c r="Q627" s="3">
        <v>6</v>
      </c>
      <c r="R627" s="3">
        <v>3</v>
      </c>
      <c r="S627" s="1">
        <v>0</v>
      </c>
      <c r="T627" s="238">
        <v>20103</v>
      </c>
    </row>
    <row r="628" spans="1:20">
      <c r="A628" s="1">
        <v>7246</v>
      </c>
      <c r="B628" s="264" t="s">
        <v>1527</v>
      </c>
      <c r="C628" s="1" t="s">
        <v>2322</v>
      </c>
      <c r="D628" s="264" t="s">
        <v>1527</v>
      </c>
      <c r="E628" s="213">
        <f ca="1">OFFSET(model!$A$1,MATCH(D628,model!B:B,0)-1,0)</f>
        <v>5</v>
      </c>
      <c r="G628" s="213" t="str">
        <f ca="1">OFFSET(model!$R$1,MATCH(E628,model!A:A,0)-1,0)</f>
        <v>monster_5</v>
      </c>
      <c r="H628" s="213"/>
      <c r="I628" s="213"/>
      <c r="J628" s="213"/>
      <c r="K628" s="1">
        <v>3</v>
      </c>
      <c r="L628" s="1">
        <v>545</v>
      </c>
      <c r="M628" s="1">
        <f t="shared" si="36"/>
        <v>3545</v>
      </c>
      <c r="N628" s="107" t="e">
        <f ca="1">OFFSET(npc_level_config!$T$1,MATCH(M628,npc_level_config!A:A,0)-1,0)</f>
        <v>#VALUE!</v>
      </c>
      <c r="O628" s="107" t="e">
        <f ca="1" t="shared" si="37"/>
        <v>#VALUE!</v>
      </c>
      <c r="P628" s="216">
        <v>3302</v>
      </c>
      <c r="Q628" s="3">
        <v>6</v>
      </c>
      <c r="R628" s="3">
        <v>3</v>
      </c>
      <c r="S628" s="1">
        <v>0</v>
      </c>
      <c r="T628" s="238">
        <v>20103</v>
      </c>
    </row>
    <row r="629" spans="1:20">
      <c r="A629" s="1">
        <v>7247</v>
      </c>
      <c r="B629" s="264" t="s">
        <v>1564</v>
      </c>
      <c r="C629" s="1" t="s">
        <v>2323</v>
      </c>
      <c r="D629" s="264" t="s">
        <v>1564</v>
      </c>
      <c r="E629" s="213">
        <f ca="1">OFFSET(model!$A$1,MATCH(D629,model!B:B,0)-1,0)</f>
        <v>9</v>
      </c>
      <c r="G629" s="213" t="str">
        <f ca="1">OFFSET(model!$R$1,MATCH(E629,model!A:A,0)-1,0)</f>
        <v>monster_9</v>
      </c>
      <c r="H629" s="213"/>
      <c r="I629" s="213"/>
      <c r="J629" s="213"/>
      <c r="K629" s="1">
        <v>3</v>
      </c>
      <c r="L629" s="1">
        <v>546</v>
      </c>
      <c r="M629" s="1">
        <f t="shared" si="36"/>
        <v>3546</v>
      </c>
      <c r="N629" s="107" t="e">
        <f ca="1">OFFSET(npc_level_config!$T$1,MATCH(M629,npc_level_config!A:A,0)-1,0)</f>
        <v>#VALUE!</v>
      </c>
      <c r="O629" s="107" t="e">
        <f ca="1" t="shared" si="37"/>
        <v>#VALUE!</v>
      </c>
      <c r="P629" s="216">
        <v>3302</v>
      </c>
      <c r="Q629" s="3">
        <v>6</v>
      </c>
      <c r="R629" s="3">
        <v>3</v>
      </c>
      <c r="S629" s="1">
        <v>0</v>
      </c>
      <c r="T629" s="238">
        <v>20103</v>
      </c>
    </row>
    <row r="630" spans="1:20">
      <c r="A630" s="1">
        <v>7248</v>
      </c>
      <c r="B630" s="265" t="s">
        <v>1634</v>
      </c>
      <c r="C630" s="1" t="s">
        <v>2324</v>
      </c>
      <c r="D630" s="265" t="s">
        <v>1634</v>
      </c>
      <c r="E630" s="213">
        <f ca="1">OFFSET(model!$A$1,MATCH(D630,model!B:B,0)-1,0)</f>
        <v>6</v>
      </c>
      <c r="G630" s="213" t="str">
        <f ca="1">OFFSET(model!$R$1,MATCH(E630,model!A:A,0)-1,0)</f>
        <v>monster_6</v>
      </c>
      <c r="H630" s="213"/>
      <c r="I630" s="213"/>
      <c r="J630" s="213"/>
      <c r="K630" s="1">
        <v>3</v>
      </c>
      <c r="L630" s="1">
        <v>547</v>
      </c>
      <c r="M630" s="1">
        <f t="shared" si="36"/>
        <v>3547</v>
      </c>
      <c r="N630" s="107" t="e">
        <f ca="1">OFFSET(npc_level_config!$T$1,MATCH(M630,npc_level_config!A:A,0)-1,0)</f>
        <v>#VALUE!</v>
      </c>
      <c r="O630" s="107" t="e">
        <f ca="1" t="shared" si="37"/>
        <v>#VALUE!</v>
      </c>
      <c r="P630" s="216">
        <v>3302</v>
      </c>
      <c r="Q630" s="3">
        <v>6</v>
      </c>
      <c r="R630" s="3">
        <v>3</v>
      </c>
      <c r="S630" s="1">
        <v>0</v>
      </c>
      <c r="T630" s="238">
        <v>20103</v>
      </c>
    </row>
    <row r="631" spans="1:20">
      <c r="A631" s="1">
        <v>7249</v>
      </c>
      <c r="B631" s="261" t="s">
        <v>1681</v>
      </c>
      <c r="C631" s="1" t="s">
        <v>2325</v>
      </c>
      <c r="D631" s="261" t="s">
        <v>1681</v>
      </c>
      <c r="E631" s="213">
        <f ca="1">OFFSET(model!$A$1,MATCH(D631,model!B:B,0)-1,0)</f>
        <v>65</v>
      </c>
      <c r="G631" s="213" t="str">
        <f ca="1">OFFSET(model!$R$1,MATCH(E631,model!A:A,0)-1,0)</f>
        <v>monster_8</v>
      </c>
      <c r="H631" s="213"/>
      <c r="I631" s="213"/>
      <c r="J631" s="213"/>
      <c r="K631" s="1">
        <v>3</v>
      </c>
      <c r="L631" s="1">
        <v>548</v>
      </c>
      <c r="M631" s="1">
        <f t="shared" si="36"/>
        <v>3548</v>
      </c>
      <c r="N631" s="107" t="e">
        <f ca="1">OFFSET(npc_level_config!$T$1,MATCH(M631,npc_level_config!A:A,0)-1,0)</f>
        <v>#VALUE!</v>
      </c>
      <c r="O631" s="107" t="e">
        <f ca="1" t="shared" si="37"/>
        <v>#VALUE!</v>
      </c>
      <c r="P631" s="216">
        <v>3302</v>
      </c>
      <c r="Q631" s="3">
        <v>6</v>
      </c>
      <c r="R631" s="3">
        <v>3</v>
      </c>
      <c r="S631" s="1">
        <v>0</v>
      </c>
      <c r="T631" s="238">
        <v>20103</v>
      </c>
    </row>
    <row r="632" spans="1:20">
      <c r="A632" s="1">
        <v>7250</v>
      </c>
      <c r="B632" s="265" t="s">
        <v>1871</v>
      </c>
      <c r="C632" s="1" t="s">
        <v>2326</v>
      </c>
      <c r="D632" s="265" t="s">
        <v>1871</v>
      </c>
      <c r="E632" s="213">
        <f ca="1">OFFSET(model!$A$1,MATCH(D632,model!B:B,0)-1,0)</f>
        <v>76</v>
      </c>
      <c r="G632" s="213" t="str">
        <f ca="1">OFFSET(model!$R$1,MATCH(E632,model!A:A,0)-1,0)</f>
        <v>monster_9</v>
      </c>
      <c r="H632" s="213"/>
      <c r="I632" s="213"/>
      <c r="J632" s="213"/>
      <c r="K632" s="1">
        <v>3</v>
      </c>
      <c r="L632" s="1">
        <v>549</v>
      </c>
      <c r="M632" s="1">
        <f t="shared" si="36"/>
        <v>3549</v>
      </c>
      <c r="N632" s="107" t="e">
        <f ca="1">OFFSET(npc_level_config!$T$1,MATCH(M632,npc_level_config!A:A,0)-1,0)</f>
        <v>#VALUE!</v>
      </c>
      <c r="O632" s="107" t="e">
        <f ca="1" t="shared" si="37"/>
        <v>#VALUE!</v>
      </c>
      <c r="P632" s="216">
        <v>3302</v>
      </c>
      <c r="Q632" s="3">
        <v>6</v>
      </c>
      <c r="R632" s="3">
        <v>3</v>
      </c>
      <c r="S632" s="1">
        <v>0</v>
      </c>
      <c r="T632" s="1">
        <v>20103</v>
      </c>
    </row>
    <row r="633" spans="1:20">
      <c r="A633" s="1">
        <v>7251</v>
      </c>
      <c r="B633" s="264" t="s">
        <v>1527</v>
      </c>
      <c r="C633" s="1" t="s">
        <v>2327</v>
      </c>
      <c r="D633" s="264" t="s">
        <v>1527</v>
      </c>
      <c r="E633" s="213">
        <f ca="1">OFFSET(model!$A$1,MATCH(D633,model!B:B,0)-1,0)</f>
        <v>5</v>
      </c>
      <c r="G633" s="213" t="str">
        <f ca="1">OFFSET(model!$R$1,MATCH(E633,model!A:A,0)-1,0)</f>
        <v>monster_5</v>
      </c>
      <c r="H633" s="213"/>
      <c r="I633" s="213"/>
      <c r="J633" s="213"/>
      <c r="K633" s="1">
        <v>3</v>
      </c>
      <c r="L633" s="1">
        <v>550</v>
      </c>
      <c r="M633" s="1">
        <f t="shared" si="36"/>
        <v>3550</v>
      </c>
      <c r="N633" s="107" t="e">
        <f ca="1">OFFSET(npc_level_config!$T$1,MATCH(M633,npc_level_config!A:A,0)-1,0)</f>
        <v>#VALUE!</v>
      </c>
      <c r="O633" s="107" t="e">
        <f ca="1" t="shared" si="37"/>
        <v>#VALUE!</v>
      </c>
      <c r="P633" s="216">
        <v>3302</v>
      </c>
      <c r="Q633" s="3">
        <v>6</v>
      </c>
      <c r="R633" s="3">
        <v>3</v>
      </c>
      <c r="S633" s="1">
        <v>0</v>
      </c>
      <c r="T633" s="238">
        <v>20103</v>
      </c>
    </row>
    <row r="634" spans="1:20">
      <c r="A634" s="1">
        <v>7252</v>
      </c>
      <c r="B634" s="264" t="s">
        <v>1564</v>
      </c>
      <c r="C634" s="1" t="s">
        <v>2328</v>
      </c>
      <c r="D634" s="264" t="s">
        <v>1564</v>
      </c>
      <c r="E634" s="213">
        <f ca="1">OFFSET(model!$A$1,MATCH(D634,model!B:B,0)-1,0)</f>
        <v>9</v>
      </c>
      <c r="G634" s="213" t="str">
        <f ca="1">OFFSET(model!$R$1,MATCH(E634,model!A:A,0)-1,0)</f>
        <v>monster_9</v>
      </c>
      <c r="H634" s="213"/>
      <c r="I634" s="213"/>
      <c r="J634" s="213"/>
      <c r="K634" s="1">
        <v>3</v>
      </c>
      <c r="L634" s="1">
        <v>551</v>
      </c>
      <c r="M634" s="1">
        <f t="shared" si="36"/>
        <v>3551</v>
      </c>
      <c r="N634" s="107" t="e">
        <f ca="1">OFFSET(npc_level_config!$T$1,MATCH(M634,npc_level_config!A:A,0)-1,0)</f>
        <v>#VALUE!</v>
      </c>
      <c r="O634" s="107" t="e">
        <f ca="1" t="shared" si="37"/>
        <v>#VALUE!</v>
      </c>
      <c r="P634" s="216">
        <v>3302</v>
      </c>
      <c r="Q634" s="3">
        <v>6</v>
      </c>
      <c r="R634" s="3">
        <v>3</v>
      </c>
      <c r="S634" s="1">
        <v>0</v>
      </c>
      <c r="T634" s="238">
        <v>20103</v>
      </c>
    </row>
    <row r="635" spans="1:20">
      <c r="A635" s="1">
        <v>7253</v>
      </c>
      <c r="B635" s="265" t="s">
        <v>1634</v>
      </c>
      <c r="C635" s="1" t="s">
        <v>2329</v>
      </c>
      <c r="D635" s="265" t="s">
        <v>1634</v>
      </c>
      <c r="E635" s="213">
        <f ca="1">OFFSET(model!$A$1,MATCH(D635,model!B:B,0)-1,0)</f>
        <v>6</v>
      </c>
      <c r="G635" s="213" t="str">
        <f ca="1">OFFSET(model!$R$1,MATCH(E635,model!A:A,0)-1,0)</f>
        <v>monster_6</v>
      </c>
      <c r="H635" s="213"/>
      <c r="I635" s="213"/>
      <c r="J635" s="213"/>
      <c r="K635" s="1">
        <v>3</v>
      </c>
      <c r="L635" s="1">
        <v>552</v>
      </c>
      <c r="M635" s="1">
        <f t="shared" si="36"/>
        <v>3552</v>
      </c>
      <c r="N635" s="107" t="e">
        <f ca="1">OFFSET(npc_level_config!$T$1,MATCH(M635,npc_level_config!A:A,0)-1,0)</f>
        <v>#VALUE!</v>
      </c>
      <c r="O635" s="107" t="e">
        <f ca="1" t="shared" si="37"/>
        <v>#VALUE!</v>
      </c>
      <c r="P635" s="216">
        <v>3302</v>
      </c>
      <c r="Q635" s="3">
        <v>6</v>
      </c>
      <c r="R635" s="3">
        <v>3</v>
      </c>
      <c r="S635" s="1">
        <v>0</v>
      </c>
      <c r="T635" s="238">
        <v>20103</v>
      </c>
    </row>
    <row r="636" spans="1:20">
      <c r="A636" s="1">
        <v>7254</v>
      </c>
      <c r="B636" s="261" t="s">
        <v>1681</v>
      </c>
      <c r="C636" s="1" t="s">
        <v>2330</v>
      </c>
      <c r="D636" s="261" t="s">
        <v>1681</v>
      </c>
      <c r="E636" s="213">
        <f ca="1">OFFSET(model!$A$1,MATCH(D636,model!B:B,0)-1,0)</f>
        <v>65</v>
      </c>
      <c r="G636" s="213" t="str">
        <f ca="1">OFFSET(model!$R$1,MATCH(E636,model!A:A,0)-1,0)</f>
        <v>monster_8</v>
      </c>
      <c r="H636" s="213"/>
      <c r="I636" s="213"/>
      <c r="J636" s="213"/>
      <c r="K636" s="1">
        <v>3</v>
      </c>
      <c r="L636" s="1">
        <v>553</v>
      </c>
      <c r="M636" s="1">
        <f t="shared" si="36"/>
        <v>3553</v>
      </c>
      <c r="N636" s="107" t="e">
        <f ca="1">OFFSET(npc_level_config!$T$1,MATCH(M636,npc_level_config!A:A,0)-1,0)</f>
        <v>#VALUE!</v>
      </c>
      <c r="O636" s="107" t="e">
        <f ca="1" t="shared" si="37"/>
        <v>#VALUE!</v>
      </c>
      <c r="P636" s="216">
        <v>3302</v>
      </c>
      <c r="Q636" s="3">
        <v>6</v>
      </c>
      <c r="R636" s="3">
        <v>3</v>
      </c>
      <c r="S636" s="1">
        <v>0</v>
      </c>
      <c r="T636" s="238">
        <v>20103</v>
      </c>
    </row>
    <row r="637" spans="1:20">
      <c r="A637" s="1">
        <v>7255</v>
      </c>
      <c r="B637" s="264" t="s">
        <v>1564</v>
      </c>
      <c r="C637" s="1" t="s">
        <v>2331</v>
      </c>
      <c r="D637" s="264" t="s">
        <v>1564</v>
      </c>
      <c r="E637" s="213">
        <f ca="1">OFFSET(model!$A$1,MATCH(D637,model!B:B,0)-1,0)</f>
        <v>9</v>
      </c>
      <c r="G637" s="213" t="str">
        <f ca="1">OFFSET(model!$R$1,MATCH(E637,model!A:A,0)-1,0)</f>
        <v>monster_9</v>
      </c>
      <c r="H637" s="213"/>
      <c r="I637" s="213"/>
      <c r="J637" s="213"/>
      <c r="K637" s="1">
        <v>3</v>
      </c>
      <c r="L637" s="1">
        <v>554</v>
      </c>
      <c r="M637" s="1">
        <f t="shared" si="36"/>
        <v>3554</v>
      </c>
      <c r="N637" s="107" t="e">
        <f ca="1">OFFSET(npc_level_config!$T$1,MATCH(M637,npc_level_config!A:A,0)-1,0)</f>
        <v>#VALUE!</v>
      </c>
      <c r="O637" s="107" t="e">
        <f ca="1" t="shared" si="37"/>
        <v>#VALUE!</v>
      </c>
      <c r="P637" s="216">
        <v>3302</v>
      </c>
      <c r="Q637" s="3">
        <v>6</v>
      </c>
      <c r="R637" s="3">
        <v>3</v>
      </c>
      <c r="S637" s="1">
        <v>0</v>
      </c>
      <c r="T637" s="238">
        <v>20103</v>
      </c>
    </row>
    <row r="638" spans="1:20">
      <c r="A638" s="1">
        <v>7256</v>
      </c>
      <c r="B638" s="264" t="s">
        <v>1527</v>
      </c>
      <c r="C638" s="1" t="s">
        <v>2332</v>
      </c>
      <c r="D638" s="264" t="s">
        <v>1527</v>
      </c>
      <c r="E638" s="213">
        <f ca="1">OFFSET(model!$A$1,MATCH(D638,model!B:B,0)-1,0)</f>
        <v>5</v>
      </c>
      <c r="G638" s="213" t="str">
        <f ca="1">OFFSET(model!$R$1,MATCH(E638,model!A:A,0)-1,0)</f>
        <v>monster_5</v>
      </c>
      <c r="H638" s="213"/>
      <c r="I638" s="213"/>
      <c r="J638" s="213"/>
      <c r="K638" s="1">
        <v>3</v>
      </c>
      <c r="L638" s="1">
        <v>555</v>
      </c>
      <c r="M638" s="1">
        <f t="shared" si="36"/>
        <v>3555</v>
      </c>
      <c r="N638" s="107" t="e">
        <f ca="1">OFFSET(npc_level_config!$T$1,MATCH(M638,npc_level_config!A:A,0)-1,0)</f>
        <v>#VALUE!</v>
      </c>
      <c r="O638" s="107" t="e">
        <f ca="1" t="shared" si="37"/>
        <v>#VALUE!</v>
      </c>
      <c r="P638" s="216">
        <v>3302</v>
      </c>
      <c r="Q638" s="3">
        <v>6</v>
      </c>
      <c r="R638" s="3">
        <v>3</v>
      </c>
      <c r="S638" s="1">
        <v>0</v>
      </c>
      <c r="T638" s="238">
        <v>20103</v>
      </c>
    </row>
    <row r="639" spans="1:20">
      <c r="A639" s="1">
        <v>7257</v>
      </c>
      <c r="B639" s="264" t="s">
        <v>1564</v>
      </c>
      <c r="C639" s="1" t="s">
        <v>2333</v>
      </c>
      <c r="D639" s="264" t="s">
        <v>1564</v>
      </c>
      <c r="E639" s="213">
        <f ca="1">OFFSET(model!$A$1,MATCH(D639,model!B:B,0)-1,0)</f>
        <v>9</v>
      </c>
      <c r="G639" s="213" t="str">
        <f ca="1">OFFSET(model!$R$1,MATCH(E639,model!A:A,0)-1,0)</f>
        <v>monster_9</v>
      </c>
      <c r="H639" s="213"/>
      <c r="I639" s="213"/>
      <c r="J639" s="213"/>
      <c r="K639" s="1">
        <v>3</v>
      </c>
      <c r="L639" s="1">
        <v>556</v>
      </c>
      <c r="M639" s="1">
        <f t="shared" si="36"/>
        <v>3556</v>
      </c>
      <c r="N639" s="107" t="e">
        <f ca="1">OFFSET(npc_level_config!$T$1,MATCH(M639,npc_level_config!A:A,0)-1,0)</f>
        <v>#VALUE!</v>
      </c>
      <c r="O639" s="107" t="e">
        <f ca="1" t="shared" si="37"/>
        <v>#VALUE!</v>
      </c>
      <c r="P639" s="216">
        <v>3302</v>
      </c>
      <c r="Q639" s="3">
        <v>6</v>
      </c>
      <c r="R639" s="3">
        <v>3</v>
      </c>
      <c r="S639" s="1">
        <v>0</v>
      </c>
      <c r="T639" s="238">
        <v>20103</v>
      </c>
    </row>
    <row r="640" spans="1:20">
      <c r="A640" s="1">
        <v>7258</v>
      </c>
      <c r="B640" s="265" t="s">
        <v>1634</v>
      </c>
      <c r="C640" s="1" t="s">
        <v>2334</v>
      </c>
      <c r="D640" s="265" t="s">
        <v>1634</v>
      </c>
      <c r="E640" s="213">
        <f ca="1">OFFSET(model!$A$1,MATCH(D640,model!B:B,0)-1,0)</f>
        <v>6</v>
      </c>
      <c r="G640" s="213" t="str">
        <f ca="1">OFFSET(model!$R$1,MATCH(E640,model!A:A,0)-1,0)</f>
        <v>monster_6</v>
      </c>
      <c r="H640" s="213"/>
      <c r="I640" s="213"/>
      <c r="J640" s="213"/>
      <c r="K640" s="1">
        <v>3</v>
      </c>
      <c r="L640" s="1">
        <v>557</v>
      </c>
      <c r="M640" s="1">
        <f t="shared" ref="M640:M682" si="38">K640*1000+L640</f>
        <v>3557</v>
      </c>
      <c r="N640" s="107" t="e">
        <f ca="1">OFFSET(npc_level_config!$T$1,MATCH(M640,npc_level_config!A:A,0)-1,0)</f>
        <v>#VALUE!</v>
      </c>
      <c r="O640" s="107" t="e">
        <f ca="1" t="shared" si="37"/>
        <v>#VALUE!</v>
      </c>
      <c r="P640" s="216">
        <v>3302</v>
      </c>
      <c r="Q640" s="3">
        <v>6</v>
      </c>
      <c r="R640" s="3">
        <v>3</v>
      </c>
      <c r="S640" s="1">
        <v>0</v>
      </c>
      <c r="T640" s="238">
        <v>20103</v>
      </c>
    </row>
    <row r="641" spans="1:20">
      <c r="A641" s="1">
        <v>7259</v>
      </c>
      <c r="B641" s="261" t="s">
        <v>1681</v>
      </c>
      <c r="C641" s="1" t="s">
        <v>2335</v>
      </c>
      <c r="D641" s="261" t="s">
        <v>1681</v>
      </c>
      <c r="E641" s="213">
        <f ca="1">OFFSET(model!$A$1,MATCH(D641,model!B:B,0)-1,0)</f>
        <v>65</v>
      </c>
      <c r="G641" s="213" t="str">
        <f ca="1">OFFSET(model!$R$1,MATCH(E641,model!A:A,0)-1,0)</f>
        <v>monster_8</v>
      </c>
      <c r="H641" s="213"/>
      <c r="I641" s="213"/>
      <c r="J641" s="213"/>
      <c r="K641" s="1">
        <v>3</v>
      </c>
      <c r="L641" s="1">
        <v>558</v>
      </c>
      <c r="M641" s="1">
        <f t="shared" si="38"/>
        <v>3558</v>
      </c>
      <c r="N641" s="107" t="e">
        <f ca="1">OFFSET(npc_level_config!$T$1,MATCH(M641,npc_level_config!A:A,0)-1,0)</f>
        <v>#VALUE!</v>
      </c>
      <c r="O641" s="107" t="e">
        <f ca="1" t="shared" si="37"/>
        <v>#VALUE!</v>
      </c>
      <c r="P641" s="216">
        <v>3302</v>
      </c>
      <c r="Q641" s="3">
        <v>6</v>
      </c>
      <c r="R641" s="3">
        <v>3</v>
      </c>
      <c r="S641" s="1">
        <v>0</v>
      </c>
      <c r="T641" s="238">
        <v>20103</v>
      </c>
    </row>
    <row r="642" spans="1:20">
      <c r="A642" s="1">
        <v>7260</v>
      </c>
      <c r="B642" s="265" t="s">
        <v>1871</v>
      </c>
      <c r="C642" s="1" t="s">
        <v>2336</v>
      </c>
      <c r="D642" s="265" t="s">
        <v>1871</v>
      </c>
      <c r="E642" s="213">
        <f ca="1">OFFSET(model!$A$1,MATCH(D642,model!B:B,0)-1,0)</f>
        <v>76</v>
      </c>
      <c r="G642" s="213" t="str">
        <f ca="1">OFFSET(model!$R$1,MATCH(E642,model!A:A,0)-1,0)</f>
        <v>monster_9</v>
      </c>
      <c r="H642" s="213"/>
      <c r="I642" s="213"/>
      <c r="J642" s="213"/>
      <c r="K642" s="1">
        <v>3</v>
      </c>
      <c r="L642" s="1">
        <v>559</v>
      </c>
      <c r="M642" s="1">
        <f t="shared" si="38"/>
        <v>3559</v>
      </c>
      <c r="N642" s="107" t="e">
        <f ca="1">OFFSET(npc_level_config!$T$1,MATCH(M642,npc_level_config!A:A,0)-1,0)</f>
        <v>#VALUE!</v>
      </c>
      <c r="O642" s="107" t="e">
        <f ca="1" t="shared" si="37"/>
        <v>#VALUE!</v>
      </c>
      <c r="P642" s="216">
        <v>3302</v>
      </c>
      <c r="Q642" s="3">
        <v>6</v>
      </c>
      <c r="R642" s="3">
        <v>3</v>
      </c>
      <c r="S642" s="1">
        <v>0</v>
      </c>
      <c r="T642" s="1">
        <v>20103</v>
      </c>
    </row>
    <row r="643" spans="1:20">
      <c r="A643" s="1">
        <v>7261</v>
      </c>
      <c r="B643" s="264" t="s">
        <v>1527</v>
      </c>
      <c r="C643" s="1" t="s">
        <v>2337</v>
      </c>
      <c r="D643" s="264" t="s">
        <v>1527</v>
      </c>
      <c r="E643" s="213">
        <f ca="1">OFFSET(model!$A$1,MATCH(D643,model!B:B,0)-1,0)</f>
        <v>5</v>
      </c>
      <c r="G643" s="213" t="str">
        <f ca="1">OFFSET(model!$R$1,MATCH(E643,model!A:A,0)-1,0)</f>
        <v>monster_5</v>
      </c>
      <c r="H643" s="213"/>
      <c r="I643" s="213"/>
      <c r="J643" s="213"/>
      <c r="K643" s="1">
        <v>3</v>
      </c>
      <c r="L643" s="1">
        <v>560</v>
      </c>
      <c r="M643" s="1">
        <f t="shared" si="38"/>
        <v>3560</v>
      </c>
      <c r="N643" s="107" t="e">
        <f ca="1">OFFSET(npc_level_config!$T$1,MATCH(M643,npc_level_config!A:A,0)-1,0)</f>
        <v>#VALUE!</v>
      </c>
      <c r="O643" s="107" t="e">
        <f ca="1" t="shared" si="37"/>
        <v>#VALUE!</v>
      </c>
      <c r="P643" s="216">
        <v>3302</v>
      </c>
      <c r="Q643" s="3">
        <v>6</v>
      </c>
      <c r="R643" s="3">
        <v>3</v>
      </c>
      <c r="S643" s="1">
        <v>0</v>
      </c>
      <c r="T643" s="238">
        <v>20103</v>
      </c>
    </row>
    <row r="644" spans="1:20">
      <c r="A644" s="1">
        <v>7262</v>
      </c>
      <c r="B644" s="264" t="s">
        <v>1564</v>
      </c>
      <c r="C644" s="1" t="s">
        <v>2338</v>
      </c>
      <c r="D644" s="264" t="s">
        <v>1564</v>
      </c>
      <c r="E644" s="213">
        <f ca="1">OFFSET(model!$A$1,MATCH(D644,model!B:B,0)-1,0)</f>
        <v>9</v>
      </c>
      <c r="G644" s="213" t="str">
        <f ca="1">OFFSET(model!$R$1,MATCH(E644,model!A:A,0)-1,0)</f>
        <v>monster_9</v>
      </c>
      <c r="H644" s="213"/>
      <c r="I644" s="213"/>
      <c r="J644" s="213"/>
      <c r="K644" s="1">
        <v>3</v>
      </c>
      <c r="L644" s="1">
        <v>561</v>
      </c>
      <c r="M644" s="1">
        <f t="shared" si="38"/>
        <v>3561</v>
      </c>
      <c r="N644" s="107" t="e">
        <f ca="1">OFFSET(npc_level_config!$T$1,MATCH(M644,npc_level_config!A:A,0)-1,0)</f>
        <v>#VALUE!</v>
      </c>
      <c r="O644" s="107" t="e">
        <f ca="1" t="shared" si="37"/>
        <v>#VALUE!</v>
      </c>
      <c r="P644" s="216">
        <v>3302</v>
      </c>
      <c r="Q644" s="3">
        <v>6</v>
      </c>
      <c r="R644" s="3">
        <v>3</v>
      </c>
      <c r="S644" s="1">
        <v>0</v>
      </c>
      <c r="T644" s="238">
        <v>20103</v>
      </c>
    </row>
    <row r="645" spans="1:20">
      <c r="A645" s="1">
        <v>7263</v>
      </c>
      <c r="B645" s="265" t="s">
        <v>1634</v>
      </c>
      <c r="C645" s="1" t="s">
        <v>2339</v>
      </c>
      <c r="D645" s="265" t="s">
        <v>1634</v>
      </c>
      <c r="E645" s="213">
        <f ca="1">OFFSET(model!$A$1,MATCH(D645,model!B:B,0)-1,0)</f>
        <v>6</v>
      </c>
      <c r="G645" s="213" t="str">
        <f ca="1">OFFSET(model!$R$1,MATCH(E645,model!A:A,0)-1,0)</f>
        <v>monster_6</v>
      </c>
      <c r="H645" s="213"/>
      <c r="I645" s="213"/>
      <c r="J645" s="213"/>
      <c r="K645" s="1">
        <v>3</v>
      </c>
      <c r="L645" s="1">
        <v>562</v>
      </c>
      <c r="M645" s="1">
        <f t="shared" si="38"/>
        <v>3562</v>
      </c>
      <c r="N645" s="107" t="e">
        <f ca="1">OFFSET(npc_level_config!$T$1,MATCH(M645,npc_level_config!A:A,0)-1,0)</f>
        <v>#VALUE!</v>
      </c>
      <c r="O645" s="107" t="e">
        <f ca="1" t="shared" si="37"/>
        <v>#VALUE!</v>
      </c>
      <c r="P645" s="216">
        <v>3302</v>
      </c>
      <c r="Q645" s="3">
        <v>6</v>
      </c>
      <c r="R645" s="3">
        <v>3</v>
      </c>
      <c r="S645" s="1">
        <v>0</v>
      </c>
      <c r="T645" s="238">
        <v>20103</v>
      </c>
    </row>
    <row r="646" spans="1:20">
      <c r="A646" s="1">
        <v>7264</v>
      </c>
      <c r="B646" s="261" t="s">
        <v>1681</v>
      </c>
      <c r="C646" s="1" t="s">
        <v>2340</v>
      </c>
      <c r="D646" s="261" t="s">
        <v>1681</v>
      </c>
      <c r="E646" s="213">
        <f ca="1">OFFSET(model!$A$1,MATCH(D646,model!B:B,0)-1,0)</f>
        <v>65</v>
      </c>
      <c r="G646" s="213" t="str">
        <f ca="1">OFFSET(model!$R$1,MATCH(E646,model!A:A,0)-1,0)</f>
        <v>monster_8</v>
      </c>
      <c r="H646" s="213"/>
      <c r="I646" s="213"/>
      <c r="J646" s="213"/>
      <c r="K646" s="1">
        <v>3</v>
      </c>
      <c r="L646" s="1">
        <v>563</v>
      </c>
      <c r="M646" s="1">
        <f t="shared" si="38"/>
        <v>3563</v>
      </c>
      <c r="N646" s="107" t="e">
        <f ca="1">OFFSET(npc_level_config!$T$1,MATCH(M646,npc_level_config!A:A,0)-1,0)</f>
        <v>#VALUE!</v>
      </c>
      <c r="O646" s="107" t="e">
        <f ca="1" t="shared" si="37"/>
        <v>#VALUE!</v>
      </c>
      <c r="P646" s="216">
        <v>3302</v>
      </c>
      <c r="Q646" s="3">
        <v>6</v>
      </c>
      <c r="R646" s="3">
        <v>3</v>
      </c>
      <c r="S646" s="1">
        <v>0</v>
      </c>
      <c r="T646" s="238">
        <v>20103</v>
      </c>
    </row>
    <row r="647" spans="1:20">
      <c r="A647" s="1">
        <v>7265</v>
      </c>
      <c r="B647" s="264" t="s">
        <v>1564</v>
      </c>
      <c r="C647" s="1" t="s">
        <v>2341</v>
      </c>
      <c r="D647" s="264" t="s">
        <v>1564</v>
      </c>
      <c r="E647" s="213">
        <f ca="1">OFFSET(model!$A$1,MATCH(D647,model!B:B,0)-1,0)</f>
        <v>9</v>
      </c>
      <c r="G647" s="213" t="str">
        <f ca="1">OFFSET(model!$R$1,MATCH(E647,model!A:A,0)-1,0)</f>
        <v>monster_9</v>
      </c>
      <c r="H647" s="213"/>
      <c r="I647" s="213"/>
      <c r="J647" s="213"/>
      <c r="K647" s="1">
        <v>3</v>
      </c>
      <c r="L647" s="1">
        <v>564</v>
      </c>
      <c r="M647" s="1">
        <f t="shared" si="38"/>
        <v>3564</v>
      </c>
      <c r="N647" s="107" t="e">
        <f ca="1">OFFSET(npc_level_config!$T$1,MATCH(M647,npc_level_config!A:A,0)-1,0)</f>
        <v>#VALUE!</v>
      </c>
      <c r="O647" s="107" t="e">
        <f ca="1" t="shared" si="37"/>
        <v>#VALUE!</v>
      </c>
      <c r="P647" s="216">
        <v>3302</v>
      </c>
      <c r="Q647" s="3">
        <v>6</v>
      </c>
      <c r="R647" s="3">
        <v>3</v>
      </c>
      <c r="S647" s="1">
        <v>0</v>
      </c>
      <c r="T647" s="238">
        <v>20103</v>
      </c>
    </row>
    <row r="648" spans="1:20">
      <c r="A648" s="1">
        <v>7266</v>
      </c>
      <c r="B648" s="264" t="s">
        <v>1527</v>
      </c>
      <c r="C648" s="1" t="s">
        <v>2342</v>
      </c>
      <c r="D648" s="264" t="s">
        <v>1527</v>
      </c>
      <c r="E648" s="213">
        <f ca="1">OFFSET(model!$A$1,MATCH(D648,model!B:B,0)-1,0)</f>
        <v>5</v>
      </c>
      <c r="G648" s="213" t="str">
        <f ca="1">OFFSET(model!$R$1,MATCH(E648,model!A:A,0)-1,0)</f>
        <v>monster_5</v>
      </c>
      <c r="H648" s="213"/>
      <c r="I648" s="213"/>
      <c r="J648" s="213"/>
      <c r="K648" s="1">
        <v>3</v>
      </c>
      <c r="L648" s="1">
        <v>565</v>
      </c>
      <c r="M648" s="1">
        <f t="shared" si="38"/>
        <v>3565</v>
      </c>
      <c r="N648" s="107" t="e">
        <f ca="1">OFFSET(npc_level_config!$T$1,MATCH(M648,npc_level_config!A:A,0)-1,0)</f>
        <v>#VALUE!</v>
      </c>
      <c r="O648" s="107" t="e">
        <f ca="1" t="shared" si="37"/>
        <v>#VALUE!</v>
      </c>
      <c r="P648" s="216">
        <v>3302</v>
      </c>
      <c r="Q648" s="3">
        <v>6</v>
      </c>
      <c r="R648" s="3">
        <v>3</v>
      </c>
      <c r="S648" s="1">
        <v>0</v>
      </c>
      <c r="T648" s="238">
        <v>20103</v>
      </c>
    </row>
    <row r="649" spans="1:20">
      <c r="A649" s="1">
        <v>7267</v>
      </c>
      <c r="B649" s="264" t="s">
        <v>1564</v>
      </c>
      <c r="C649" s="1" t="s">
        <v>2343</v>
      </c>
      <c r="D649" s="264" t="s">
        <v>1564</v>
      </c>
      <c r="E649" s="213">
        <f ca="1">OFFSET(model!$A$1,MATCH(D649,model!B:B,0)-1,0)</f>
        <v>9</v>
      </c>
      <c r="G649" s="213" t="str">
        <f ca="1">OFFSET(model!$R$1,MATCH(E649,model!A:A,0)-1,0)</f>
        <v>monster_9</v>
      </c>
      <c r="H649" s="213"/>
      <c r="I649" s="213"/>
      <c r="J649" s="213"/>
      <c r="K649" s="1">
        <v>3</v>
      </c>
      <c r="L649" s="1">
        <v>566</v>
      </c>
      <c r="M649" s="1">
        <f t="shared" si="38"/>
        <v>3566</v>
      </c>
      <c r="N649" s="107" t="e">
        <f ca="1">OFFSET(npc_level_config!$T$1,MATCH(M649,npc_level_config!A:A,0)-1,0)</f>
        <v>#VALUE!</v>
      </c>
      <c r="O649" s="107" t="e">
        <f ca="1" t="shared" si="37"/>
        <v>#VALUE!</v>
      </c>
      <c r="P649" s="216">
        <v>3302</v>
      </c>
      <c r="Q649" s="3">
        <v>6</v>
      </c>
      <c r="R649" s="3">
        <v>3</v>
      </c>
      <c r="S649" s="1">
        <v>0</v>
      </c>
      <c r="T649" s="238">
        <v>20103</v>
      </c>
    </row>
    <row r="650" spans="1:20">
      <c r="A650" s="1">
        <v>7268</v>
      </c>
      <c r="B650" s="265" t="s">
        <v>1634</v>
      </c>
      <c r="C650" s="1" t="s">
        <v>2344</v>
      </c>
      <c r="D650" s="265" t="s">
        <v>1634</v>
      </c>
      <c r="E650" s="213">
        <f ca="1">OFFSET(model!$A$1,MATCH(D650,model!B:B,0)-1,0)</f>
        <v>6</v>
      </c>
      <c r="G650" s="213" t="str">
        <f ca="1">OFFSET(model!$R$1,MATCH(E650,model!A:A,0)-1,0)</f>
        <v>monster_6</v>
      </c>
      <c r="H650" s="213"/>
      <c r="I650" s="213"/>
      <c r="J650" s="213"/>
      <c r="K650" s="1">
        <v>3</v>
      </c>
      <c r="L650" s="1">
        <v>567</v>
      </c>
      <c r="M650" s="1">
        <f t="shared" si="38"/>
        <v>3567</v>
      </c>
      <c r="N650" s="107" t="e">
        <f ca="1">OFFSET(npc_level_config!$T$1,MATCH(M650,npc_level_config!A:A,0)-1,0)</f>
        <v>#VALUE!</v>
      </c>
      <c r="O650" s="107" t="e">
        <f ca="1" t="shared" si="37"/>
        <v>#VALUE!</v>
      </c>
      <c r="P650" s="216">
        <v>3302</v>
      </c>
      <c r="Q650" s="3">
        <v>6</v>
      </c>
      <c r="R650" s="3">
        <v>3</v>
      </c>
      <c r="S650" s="1">
        <v>0</v>
      </c>
      <c r="T650" s="238">
        <v>20103</v>
      </c>
    </row>
    <row r="651" spans="1:20">
      <c r="A651" s="1">
        <v>7269</v>
      </c>
      <c r="B651" s="261" t="s">
        <v>1681</v>
      </c>
      <c r="C651" s="1" t="s">
        <v>2345</v>
      </c>
      <c r="D651" s="261" t="s">
        <v>1681</v>
      </c>
      <c r="E651" s="213">
        <f ca="1">OFFSET(model!$A$1,MATCH(D651,model!B:B,0)-1,0)</f>
        <v>65</v>
      </c>
      <c r="G651" s="213" t="str">
        <f ca="1">OFFSET(model!$R$1,MATCH(E651,model!A:A,0)-1,0)</f>
        <v>monster_8</v>
      </c>
      <c r="H651" s="213"/>
      <c r="I651" s="213"/>
      <c r="J651" s="213"/>
      <c r="K651" s="1">
        <v>3</v>
      </c>
      <c r="L651" s="1">
        <v>568</v>
      </c>
      <c r="M651" s="1">
        <f t="shared" si="38"/>
        <v>3568</v>
      </c>
      <c r="N651" s="107" t="e">
        <f ca="1">OFFSET(npc_level_config!$T$1,MATCH(M651,npc_level_config!A:A,0)-1,0)</f>
        <v>#VALUE!</v>
      </c>
      <c r="O651" s="107" t="e">
        <f ca="1" t="shared" si="37"/>
        <v>#VALUE!</v>
      </c>
      <c r="P651" s="216">
        <v>3302</v>
      </c>
      <c r="Q651" s="3">
        <v>6</v>
      </c>
      <c r="R651" s="3">
        <v>3</v>
      </c>
      <c r="S651" s="1">
        <v>0</v>
      </c>
      <c r="T651" s="238">
        <v>20103</v>
      </c>
    </row>
    <row r="652" spans="1:20">
      <c r="A652" s="1">
        <v>7270</v>
      </c>
      <c r="B652" s="265" t="s">
        <v>1871</v>
      </c>
      <c r="C652" s="1" t="s">
        <v>2346</v>
      </c>
      <c r="D652" s="265" t="s">
        <v>1871</v>
      </c>
      <c r="E652" s="213">
        <f ca="1">OFFSET(model!$A$1,MATCH(D652,model!B:B,0)-1,0)</f>
        <v>76</v>
      </c>
      <c r="G652" s="213" t="str">
        <f ca="1">OFFSET(model!$R$1,MATCH(E652,model!A:A,0)-1,0)</f>
        <v>monster_9</v>
      </c>
      <c r="H652" s="213"/>
      <c r="I652" s="213"/>
      <c r="J652" s="213"/>
      <c r="K652" s="1">
        <v>3</v>
      </c>
      <c r="L652" s="1">
        <v>569</v>
      </c>
      <c r="M652" s="1">
        <f t="shared" si="38"/>
        <v>3569</v>
      </c>
      <c r="N652" s="107" t="e">
        <f ca="1">OFFSET(npc_level_config!$T$1,MATCH(M652,npc_level_config!A:A,0)-1,0)</f>
        <v>#VALUE!</v>
      </c>
      <c r="O652" s="107" t="e">
        <f ca="1" t="shared" si="37"/>
        <v>#VALUE!</v>
      </c>
      <c r="P652" s="216">
        <v>3302</v>
      </c>
      <c r="Q652" s="3">
        <v>6</v>
      </c>
      <c r="R652" s="3">
        <v>3</v>
      </c>
      <c r="S652" s="1">
        <v>0</v>
      </c>
      <c r="T652" s="1">
        <v>20103</v>
      </c>
    </row>
    <row r="653" spans="1:20">
      <c r="A653" s="1">
        <v>7271</v>
      </c>
      <c r="B653" s="264" t="s">
        <v>1527</v>
      </c>
      <c r="C653" s="1" t="s">
        <v>2347</v>
      </c>
      <c r="D653" s="264" t="s">
        <v>1527</v>
      </c>
      <c r="E653" s="213">
        <f ca="1">OFFSET(model!$A$1,MATCH(D653,model!B:B,0)-1,0)</f>
        <v>5</v>
      </c>
      <c r="G653" s="213" t="str">
        <f ca="1">OFFSET(model!$R$1,MATCH(E653,model!A:A,0)-1,0)</f>
        <v>monster_5</v>
      </c>
      <c r="H653" s="213"/>
      <c r="I653" s="213"/>
      <c r="J653" s="213"/>
      <c r="K653" s="1">
        <v>3</v>
      </c>
      <c r="L653" s="1">
        <v>570</v>
      </c>
      <c r="M653" s="1">
        <f t="shared" si="38"/>
        <v>3570</v>
      </c>
      <c r="N653" s="107" t="e">
        <f ca="1">OFFSET(npc_level_config!$T$1,MATCH(M653,npc_level_config!A:A,0)-1,0)</f>
        <v>#VALUE!</v>
      </c>
      <c r="O653" s="107" t="e">
        <f ca="1" t="shared" si="37"/>
        <v>#VALUE!</v>
      </c>
      <c r="P653" s="216">
        <v>3302</v>
      </c>
      <c r="Q653" s="3">
        <v>6</v>
      </c>
      <c r="R653" s="3">
        <v>3</v>
      </c>
      <c r="S653" s="1">
        <v>0</v>
      </c>
      <c r="T653" s="238">
        <v>20103</v>
      </c>
    </row>
    <row r="654" spans="1:20">
      <c r="A654" s="1">
        <v>7272</v>
      </c>
      <c r="B654" s="264" t="s">
        <v>1564</v>
      </c>
      <c r="C654" s="1" t="s">
        <v>2348</v>
      </c>
      <c r="D654" s="264" t="s">
        <v>1564</v>
      </c>
      <c r="E654" s="213">
        <f ca="1">OFFSET(model!$A$1,MATCH(D654,model!B:B,0)-1,0)</f>
        <v>9</v>
      </c>
      <c r="G654" s="213" t="str">
        <f ca="1">OFFSET(model!$R$1,MATCH(E654,model!A:A,0)-1,0)</f>
        <v>monster_9</v>
      </c>
      <c r="H654" s="213"/>
      <c r="I654" s="213"/>
      <c r="J654" s="213"/>
      <c r="K654" s="1">
        <v>3</v>
      </c>
      <c r="L654" s="1">
        <v>571</v>
      </c>
      <c r="M654" s="1">
        <f t="shared" si="38"/>
        <v>3571</v>
      </c>
      <c r="N654" s="107" t="e">
        <f ca="1">OFFSET(npc_level_config!$T$1,MATCH(M654,npc_level_config!A:A,0)-1,0)</f>
        <v>#VALUE!</v>
      </c>
      <c r="O654" s="107" t="e">
        <f ca="1" t="shared" si="37"/>
        <v>#VALUE!</v>
      </c>
      <c r="P654" s="216">
        <v>3302</v>
      </c>
      <c r="Q654" s="3">
        <v>6</v>
      </c>
      <c r="R654" s="3">
        <v>3</v>
      </c>
      <c r="S654" s="1">
        <v>0</v>
      </c>
      <c r="T654" s="238">
        <v>20103</v>
      </c>
    </row>
    <row r="655" spans="1:20">
      <c r="A655" s="1">
        <v>7273</v>
      </c>
      <c r="B655" s="265" t="s">
        <v>1634</v>
      </c>
      <c r="C655" s="1" t="s">
        <v>2349</v>
      </c>
      <c r="D655" s="265" t="s">
        <v>1634</v>
      </c>
      <c r="E655" s="213">
        <f ca="1">OFFSET(model!$A$1,MATCH(D655,model!B:B,0)-1,0)</f>
        <v>6</v>
      </c>
      <c r="G655" s="213" t="str">
        <f ca="1">OFFSET(model!$R$1,MATCH(E655,model!A:A,0)-1,0)</f>
        <v>monster_6</v>
      </c>
      <c r="H655" s="213"/>
      <c r="I655" s="213"/>
      <c r="J655" s="213"/>
      <c r="K655" s="1">
        <v>3</v>
      </c>
      <c r="L655" s="1">
        <v>572</v>
      </c>
      <c r="M655" s="1">
        <f t="shared" si="38"/>
        <v>3572</v>
      </c>
      <c r="N655" s="107" t="e">
        <f ca="1">OFFSET(npc_level_config!$T$1,MATCH(M655,npc_level_config!A:A,0)-1,0)</f>
        <v>#VALUE!</v>
      </c>
      <c r="O655" s="107" t="e">
        <f ca="1" t="shared" si="37"/>
        <v>#VALUE!</v>
      </c>
      <c r="P655" s="216">
        <v>3302</v>
      </c>
      <c r="Q655" s="3">
        <v>6</v>
      </c>
      <c r="R655" s="3">
        <v>3</v>
      </c>
      <c r="S655" s="1">
        <v>0</v>
      </c>
      <c r="T655" s="238">
        <v>20103</v>
      </c>
    </row>
    <row r="656" spans="1:20">
      <c r="A656" s="1">
        <v>7274</v>
      </c>
      <c r="B656" s="261" t="s">
        <v>1681</v>
      </c>
      <c r="C656" s="1" t="s">
        <v>2350</v>
      </c>
      <c r="D656" s="261" t="s">
        <v>1681</v>
      </c>
      <c r="E656" s="213">
        <f ca="1">OFFSET(model!$A$1,MATCH(D656,model!B:B,0)-1,0)</f>
        <v>65</v>
      </c>
      <c r="G656" s="213" t="str">
        <f ca="1">OFFSET(model!$R$1,MATCH(E656,model!A:A,0)-1,0)</f>
        <v>monster_8</v>
      </c>
      <c r="H656" s="213"/>
      <c r="I656" s="213"/>
      <c r="J656" s="213"/>
      <c r="K656" s="1">
        <v>3</v>
      </c>
      <c r="L656" s="1">
        <v>573</v>
      </c>
      <c r="M656" s="1">
        <f t="shared" si="38"/>
        <v>3573</v>
      </c>
      <c r="N656" s="107" t="e">
        <f ca="1">OFFSET(npc_level_config!$T$1,MATCH(M656,npc_level_config!A:A,0)-1,0)</f>
        <v>#VALUE!</v>
      </c>
      <c r="O656" s="107" t="e">
        <f ca="1" t="shared" si="37"/>
        <v>#VALUE!</v>
      </c>
      <c r="P656" s="216">
        <v>3302</v>
      </c>
      <c r="Q656" s="3">
        <v>6</v>
      </c>
      <c r="R656" s="3">
        <v>3</v>
      </c>
      <c r="S656" s="1">
        <v>0</v>
      </c>
      <c r="T656" s="238">
        <v>20103</v>
      </c>
    </row>
    <row r="657" spans="1:20">
      <c r="A657" s="1">
        <v>7275</v>
      </c>
      <c r="B657" s="264" t="s">
        <v>1564</v>
      </c>
      <c r="C657" s="1" t="s">
        <v>2351</v>
      </c>
      <c r="D657" s="264" t="s">
        <v>1564</v>
      </c>
      <c r="E657" s="213">
        <f ca="1">OFFSET(model!$A$1,MATCH(D657,model!B:B,0)-1,0)</f>
        <v>9</v>
      </c>
      <c r="G657" s="213" t="str">
        <f ca="1">OFFSET(model!$R$1,MATCH(E657,model!A:A,0)-1,0)</f>
        <v>monster_9</v>
      </c>
      <c r="H657" s="213"/>
      <c r="I657" s="213"/>
      <c r="J657" s="213"/>
      <c r="K657" s="1">
        <v>3</v>
      </c>
      <c r="L657" s="1">
        <v>574</v>
      </c>
      <c r="M657" s="1">
        <f t="shared" si="38"/>
        <v>3574</v>
      </c>
      <c r="N657" s="107" t="e">
        <f ca="1">OFFSET(npc_level_config!$T$1,MATCH(M657,npc_level_config!A:A,0)-1,0)</f>
        <v>#VALUE!</v>
      </c>
      <c r="O657" s="107" t="e">
        <f ca="1" t="shared" si="37"/>
        <v>#VALUE!</v>
      </c>
      <c r="P657" s="216">
        <v>3302</v>
      </c>
      <c r="Q657" s="3">
        <v>6</v>
      </c>
      <c r="R657" s="3">
        <v>3</v>
      </c>
      <c r="S657" s="1">
        <v>0</v>
      </c>
      <c r="T657" s="238">
        <v>20103</v>
      </c>
    </row>
    <row r="658" spans="1:20">
      <c r="A658" s="1">
        <v>7276</v>
      </c>
      <c r="B658" s="264" t="s">
        <v>1527</v>
      </c>
      <c r="C658" s="1" t="s">
        <v>2352</v>
      </c>
      <c r="D658" s="264" t="s">
        <v>1527</v>
      </c>
      <c r="E658" s="213">
        <f ca="1">OFFSET(model!$A$1,MATCH(D658,model!B:B,0)-1,0)</f>
        <v>5</v>
      </c>
      <c r="G658" s="213" t="str">
        <f ca="1">OFFSET(model!$R$1,MATCH(E658,model!A:A,0)-1,0)</f>
        <v>monster_5</v>
      </c>
      <c r="H658" s="213"/>
      <c r="I658" s="213"/>
      <c r="J658" s="213"/>
      <c r="K658" s="1">
        <v>3</v>
      </c>
      <c r="L658" s="1">
        <v>575</v>
      </c>
      <c r="M658" s="1">
        <f t="shared" si="38"/>
        <v>3575</v>
      </c>
      <c r="N658" s="107" t="e">
        <f ca="1">OFFSET(npc_level_config!$T$1,MATCH(M658,npc_level_config!A:A,0)-1,0)</f>
        <v>#VALUE!</v>
      </c>
      <c r="O658" s="107" t="e">
        <f ca="1" t="shared" si="37"/>
        <v>#VALUE!</v>
      </c>
      <c r="P658" s="216">
        <v>3302</v>
      </c>
      <c r="Q658" s="3">
        <v>6</v>
      </c>
      <c r="R658" s="3">
        <v>3</v>
      </c>
      <c r="S658" s="1">
        <v>0</v>
      </c>
      <c r="T658" s="238">
        <v>20103</v>
      </c>
    </row>
    <row r="659" spans="1:20">
      <c r="A659" s="1">
        <v>7277</v>
      </c>
      <c r="B659" s="264" t="s">
        <v>1564</v>
      </c>
      <c r="C659" s="1" t="s">
        <v>2353</v>
      </c>
      <c r="D659" s="264" t="s">
        <v>1564</v>
      </c>
      <c r="E659" s="213">
        <f ca="1">OFFSET(model!$A$1,MATCH(D659,model!B:B,0)-1,0)</f>
        <v>9</v>
      </c>
      <c r="G659" s="213" t="str">
        <f ca="1">OFFSET(model!$R$1,MATCH(E659,model!A:A,0)-1,0)</f>
        <v>monster_9</v>
      </c>
      <c r="H659" s="213"/>
      <c r="I659" s="213"/>
      <c r="J659" s="213"/>
      <c r="K659" s="1">
        <v>3</v>
      </c>
      <c r="L659" s="1">
        <v>576</v>
      </c>
      <c r="M659" s="1">
        <f t="shared" si="38"/>
        <v>3576</v>
      </c>
      <c r="N659" s="107" t="e">
        <f ca="1">OFFSET(npc_level_config!$T$1,MATCH(M659,npc_level_config!A:A,0)-1,0)</f>
        <v>#VALUE!</v>
      </c>
      <c r="O659" s="107" t="e">
        <f ca="1" t="shared" si="37"/>
        <v>#VALUE!</v>
      </c>
      <c r="P659" s="216">
        <v>3302</v>
      </c>
      <c r="Q659" s="3">
        <v>6</v>
      </c>
      <c r="R659" s="3">
        <v>3</v>
      </c>
      <c r="S659" s="1">
        <v>0</v>
      </c>
      <c r="T659" s="238">
        <v>20103</v>
      </c>
    </row>
    <row r="660" spans="1:20">
      <c r="A660" s="1">
        <v>7278</v>
      </c>
      <c r="B660" s="265" t="s">
        <v>1634</v>
      </c>
      <c r="C660" s="1" t="s">
        <v>2354</v>
      </c>
      <c r="D660" s="265" t="s">
        <v>1634</v>
      </c>
      <c r="E660" s="213">
        <f ca="1">OFFSET(model!$A$1,MATCH(D660,model!B:B,0)-1,0)</f>
        <v>6</v>
      </c>
      <c r="G660" s="213" t="str">
        <f ca="1">OFFSET(model!$R$1,MATCH(E660,model!A:A,0)-1,0)</f>
        <v>monster_6</v>
      </c>
      <c r="H660" s="213"/>
      <c r="I660" s="213"/>
      <c r="J660" s="213"/>
      <c r="K660" s="1">
        <v>3</v>
      </c>
      <c r="L660" s="1">
        <v>577</v>
      </c>
      <c r="M660" s="1">
        <f t="shared" si="38"/>
        <v>3577</v>
      </c>
      <c r="N660" s="107" t="e">
        <f ca="1">OFFSET(npc_level_config!$T$1,MATCH(M660,npc_level_config!A:A,0)-1,0)</f>
        <v>#VALUE!</v>
      </c>
      <c r="O660" s="107" t="e">
        <f ca="1" t="shared" si="37"/>
        <v>#VALUE!</v>
      </c>
      <c r="P660" s="216">
        <v>3302</v>
      </c>
      <c r="Q660" s="3">
        <v>6</v>
      </c>
      <c r="R660" s="3">
        <v>3</v>
      </c>
      <c r="S660" s="1">
        <v>0</v>
      </c>
      <c r="T660" s="238">
        <v>20103</v>
      </c>
    </row>
    <row r="661" spans="1:20">
      <c r="A661" s="1">
        <v>7279</v>
      </c>
      <c r="B661" s="261" t="s">
        <v>1681</v>
      </c>
      <c r="C661" s="1" t="s">
        <v>2355</v>
      </c>
      <c r="D661" s="261" t="s">
        <v>1681</v>
      </c>
      <c r="E661" s="213">
        <f ca="1">OFFSET(model!$A$1,MATCH(D661,model!B:B,0)-1,0)</f>
        <v>65</v>
      </c>
      <c r="G661" s="213" t="str">
        <f ca="1">OFFSET(model!$R$1,MATCH(E661,model!A:A,0)-1,0)</f>
        <v>monster_8</v>
      </c>
      <c r="H661" s="213"/>
      <c r="I661" s="213"/>
      <c r="J661" s="213"/>
      <c r="K661" s="1">
        <v>3</v>
      </c>
      <c r="L661" s="1">
        <v>578</v>
      </c>
      <c r="M661" s="1">
        <f t="shared" si="38"/>
        <v>3578</v>
      </c>
      <c r="N661" s="107" t="e">
        <f ca="1">OFFSET(npc_level_config!$T$1,MATCH(M661,npc_level_config!A:A,0)-1,0)</f>
        <v>#VALUE!</v>
      </c>
      <c r="O661" s="107" t="e">
        <f ca="1" t="shared" si="37"/>
        <v>#VALUE!</v>
      </c>
      <c r="P661" s="216">
        <v>3302</v>
      </c>
      <c r="Q661" s="3">
        <v>6</v>
      </c>
      <c r="R661" s="3">
        <v>3</v>
      </c>
      <c r="S661" s="1">
        <v>0</v>
      </c>
      <c r="T661" s="238">
        <v>20103</v>
      </c>
    </row>
    <row r="662" spans="1:20">
      <c r="A662" s="1">
        <v>7280</v>
      </c>
      <c r="B662" s="265" t="s">
        <v>1871</v>
      </c>
      <c r="C662" s="1" t="s">
        <v>2356</v>
      </c>
      <c r="D662" s="265" t="s">
        <v>1871</v>
      </c>
      <c r="E662" s="213">
        <f ca="1">OFFSET(model!$A$1,MATCH(D662,model!B:B,0)-1,0)</f>
        <v>76</v>
      </c>
      <c r="G662" s="213" t="str">
        <f ca="1">OFFSET(model!$R$1,MATCH(E662,model!A:A,0)-1,0)</f>
        <v>monster_9</v>
      </c>
      <c r="H662" s="213"/>
      <c r="I662" s="213"/>
      <c r="J662" s="213"/>
      <c r="K662" s="1">
        <v>3</v>
      </c>
      <c r="L662" s="1">
        <v>579</v>
      </c>
      <c r="M662" s="1">
        <f t="shared" si="38"/>
        <v>3579</v>
      </c>
      <c r="N662" s="107" t="e">
        <f ca="1">OFFSET(npc_level_config!$T$1,MATCH(M662,npc_level_config!A:A,0)-1,0)</f>
        <v>#VALUE!</v>
      </c>
      <c r="O662" s="107" t="e">
        <f ca="1" t="shared" si="37"/>
        <v>#VALUE!</v>
      </c>
      <c r="P662" s="216">
        <v>3302</v>
      </c>
      <c r="Q662" s="3">
        <v>6</v>
      </c>
      <c r="R662" s="3">
        <v>3</v>
      </c>
      <c r="S662" s="1">
        <v>0</v>
      </c>
      <c r="T662" s="1">
        <v>20103</v>
      </c>
    </row>
    <row r="663" spans="1:20">
      <c r="A663" s="1">
        <v>7281</v>
      </c>
      <c r="B663" s="264" t="s">
        <v>1527</v>
      </c>
      <c r="C663" s="1" t="s">
        <v>2357</v>
      </c>
      <c r="D663" s="264" t="s">
        <v>1527</v>
      </c>
      <c r="E663" s="213">
        <f ca="1">OFFSET(model!$A$1,MATCH(D663,model!B:B,0)-1,0)</f>
        <v>5</v>
      </c>
      <c r="G663" s="213" t="str">
        <f ca="1">OFFSET(model!$R$1,MATCH(E663,model!A:A,0)-1,0)</f>
        <v>monster_5</v>
      </c>
      <c r="H663" s="213"/>
      <c r="I663" s="213"/>
      <c r="J663" s="213"/>
      <c r="K663" s="1">
        <v>3</v>
      </c>
      <c r="L663" s="1">
        <v>580</v>
      </c>
      <c r="M663" s="1">
        <f t="shared" si="38"/>
        <v>3580</v>
      </c>
      <c r="N663" s="107" t="e">
        <f ca="1">OFFSET(npc_level_config!$T$1,MATCH(M663,npc_level_config!A:A,0)-1,0)</f>
        <v>#VALUE!</v>
      </c>
      <c r="O663" s="107" t="e">
        <f ca="1" t="shared" si="37"/>
        <v>#VALUE!</v>
      </c>
      <c r="P663" s="216">
        <v>3302</v>
      </c>
      <c r="Q663" s="3">
        <v>6</v>
      </c>
      <c r="R663" s="3">
        <v>3</v>
      </c>
      <c r="S663" s="1">
        <v>0</v>
      </c>
      <c r="T663" s="238">
        <v>20103</v>
      </c>
    </row>
    <row r="664" spans="1:20">
      <c r="A664" s="1">
        <v>7282</v>
      </c>
      <c r="B664" s="264" t="s">
        <v>1564</v>
      </c>
      <c r="C664" s="1" t="s">
        <v>2358</v>
      </c>
      <c r="D664" s="264" t="s">
        <v>1564</v>
      </c>
      <c r="E664" s="213">
        <f ca="1">OFFSET(model!$A$1,MATCH(D664,model!B:B,0)-1,0)</f>
        <v>9</v>
      </c>
      <c r="G664" s="213" t="str">
        <f ca="1">OFFSET(model!$R$1,MATCH(E664,model!A:A,0)-1,0)</f>
        <v>monster_9</v>
      </c>
      <c r="H664" s="213"/>
      <c r="I664" s="213"/>
      <c r="J664" s="213"/>
      <c r="K664" s="1">
        <v>3</v>
      </c>
      <c r="L664" s="1">
        <v>581</v>
      </c>
      <c r="M664" s="1">
        <f t="shared" si="38"/>
        <v>3581</v>
      </c>
      <c r="N664" s="107" t="e">
        <f ca="1">OFFSET(npc_level_config!$T$1,MATCH(M664,npc_level_config!A:A,0)-1,0)</f>
        <v>#VALUE!</v>
      </c>
      <c r="O664" s="107" t="e">
        <f ca="1" t="shared" si="37"/>
        <v>#VALUE!</v>
      </c>
      <c r="P664" s="216">
        <v>3302</v>
      </c>
      <c r="Q664" s="3">
        <v>6</v>
      </c>
      <c r="R664" s="3">
        <v>3</v>
      </c>
      <c r="S664" s="1">
        <v>0</v>
      </c>
      <c r="T664" s="238">
        <v>20103</v>
      </c>
    </row>
    <row r="665" spans="1:20">
      <c r="A665" s="1">
        <v>7283</v>
      </c>
      <c r="B665" s="265" t="s">
        <v>1634</v>
      </c>
      <c r="C665" s="1" t="s">
        <v>2359</v>
      </c>
      <c r="D665" s="265" t="s">
        <v>1634</v>
      </c>
      <c r="E665" s="213">
        <f ca="1">OFFSET(model!$A$1,MATCH(D665,model!B:B,0)-1,0)</f>
        <v>6</v>
      </c>
      <c r="G665" s="213" t="str">
        <f ca="1">OFFSET(model!$R$1,MATCH(E665,model!A:A,0)-1,0)</f>
        <v>monster_6</v>
      </c>
      <c r="H665" s="213"/>
      <c r="I665" s="213"/>
      <c r="J665" s="213"/>
      <c r="K665" s="1">
        <v>3</v>
      </c>
      <c r="L665" s="1">
        <v>582</v>
      </c>
      <c r="M665" s="1">
        <f t="shared" si="38"/>
        <v>3582</v>
      </c>
      <c r="N665" s="107" t="e">
        <f ca="1">OFFSET(npc_level_config!$T$1,MATCH(M665,npc_level_config!A:A,0)-1,0)</f>
        <v>#VALUE!</v>
      </c>
      <c r="O665" s="107" t="e">
        <f ca="1" t="shared" si="37"/>
        <v>#VALUE!</v>
      </c>
      <c r="P665" s="216">
        <v>3302</v>
      </c>
      <c r="Q665" s="3">
        <v>6</v>
      </c>
      <c r="R665" s="3">
        <v>3</v>
      </c>
      <c r="S665" s="1">
        <v>0</v>
      </c>
      <c r="T665" s="238">
        <v>20103</v>
      </c>
    </row>
    <row r="666" spans="1:20">
      <c r="A666" s="1">
        <v>7284</v>
      </c>
      <c r="B666" s="261" t="s">
        <v>1681</v>
      </c>
      <c r="C666" s="1" t="s">
        <v>2360</v>
      </c>
      <c r="D666" s="261" t="s">
        <v>1681</v>
      </c>
      <c r="E666" s="213">
        <f ca="1">OFFSET(model!$A$1,MATCH(D666,model!B:B,0)-1,0)</f>
        <v>65</v>
      </c>
      <c r="G666" s="213" t="str">
        <f ca="1">OFFSET(model!$R$1,MATCH(E666,model!A:A,0)-1,0)</f>
        <v>monster_8</v>
      </c>
      <c r="H666" s="213"/>
      <c r="I666" s="213"/>
      <c r="J666" s="213"/>
      <c r="K666" s="1">
        <v>3</v>
      </c>
      <c r="L666" s="1">
        <v>583</v>
      </c>
      <c r="M666" s="1">
        <f t="shared" si="38"/>
        <v>3583</v>
      </c>
      <c r="N666" s="107" t="e">
        <f ca="1">OFFSET(npc_level_config!$T$1,MATCH(M666,npc_level_config!A:A,0)-1,0)</f>
        <v>#VALUE!</v>
      </c>
      <c r="O666" s="107" t="e">
        <f ca="1" t="shared" si="37"/>
        <v>#VALUE!</v>
      </c>
      <c r="P666" s="216">
        <v>3302</v>
      </c>
      <c r="Q666" s="3">
        <v>6</v>
      </c>
      <c r="R666" s="3">
        <v>3</v>
      </c>
      <c r="S666" s="1">
        <v>0</v>
      </c>
      <c r="T666" s="238">
        <v>20103</v>
      </c>
    </row>
    <row r="667" spans="1:20">
      <c r="A667" s="1">
        <v>7285</v>
      </c>
      <c r="B667" s="264" t="s">
        <v>1564</v>
      </c>
      <c r="C667" s="1" t="s">
        <v>2361</v>
      </c>
      <c r="D667" s="264" t="s">
        <v>1564</v>
      </c>
      <c r="E667" s="213">
        <f ca="1">OFFSET(model!$A$1,MATCH(D667,model!B:B,0)-1,0)</f>
        <v>9</v>
      </c>
      <c r="G667" s="213" t="str">
        <f ca="1">OFFSET(model!$R$1,MATCH(E667,model!A:A,0)-1,0)</f>
        <v>monster_9</v>
      </c>
      <c r="H667" s="213"/>
      <c r="I667" s="213"/>
      <c r="J667" s="213"/>
      <c r="K667" s="1">
        <v>3</v>
      </c>
      <c r="L667" s="1">
        <v>584</v>
      </c>
      <c r="M667" s="1">
        <f t="shared" si="38"/>
        <v>3584</v>
      </c>
      <c r="N667" s="107" t="e">
        <f ca="1">OFFSET(npc_level_config!$T$1,MATCH(M667,npc_level_config!A:A,0)-1,0)</f>
        <v>#VALUE!</v>
      </c>
      <c r="O667" s="107" t="e">
        <f ca="1" t="shared" si="37"/>
        <v>#VALUE!</v>
      </c>
      <c r="P667" s="216">
        <v>3302</v>
      </c>
      <c r="Q667" s="3">
        <v>6</v>
      </c>
      <c r="R667" s="3">
        <v>3</v>
      </c>
      <c r="S667" s="1">
        <v>0</v>
      </c>
      <c r="T667" s="238">
        <v>20103</v>
      </c>
    </row>
    <row r="668" spans="1:20">
      <c r="A668" s="1">
        <v>7286</v>
      </c>
      <c r="B668" s="264" t="s">
        <v>1527</v>
      </c>
      <c r="C668" s="1" t="s">
        <v>2362</v>
      </c>
      <c r="D668" s="264" t="s">
        <v>1527</v>
      </c>
      <c r="E668" s="213">
        <f ca="1">OFFSET(model!$A$1,MATCH(D668,model!B:B,0)-1,0)</f>
        <v>5</v>
      </c>
      <c r="G668" s="213" t="str">
        <f ca="1">OFFSET(model!$R$1,MATCH(E668,model!A:A,0)-1,0)</f>
        <v>monster_5</v>
      </c>
      <c r="H668" s="213"/>
      <c r="I668" s="213"/>
      <c r="J668" s="213"/>
      <c r="K668" s="1">
        <v>3</v>
      </c>
      <c r="L668" s="1">
        <v>585</v>
      </c>
      <c r="M668" s="1">
        <f t="shared" si="38"/>
        <v>3585</v>
      </c>
      <c r="N668" s="107" t="e">
        <f ca="1">OFFSET(npc_level_config!$T$1,MATCH(M668,npc_level_config!A:A,0)-1,0)</f>
        <v>#VALUE!</v>
      </c>
      <c r="O668" s="107" t="e">
        <f ca="1" t="shared" si="37"/>
        <v>#VALUE!</v>
      </c>
      <c r="P668" s="216">
        <v>3302</v>
      </c>
      <c r="Q668" s="3">
        <v>6</v>
      </c>
      <c r="R668" s="3">
        <v>3</v>
      </c>
      <c r="S668" s="1">
        <v>0</v>
      </c>
      <c r="T668" s="238">
        <v>20103</v>
      </c>
    </row>
    <row r="669" spans="1:20">
      <c r="A669" s="1">
        <v>7287</v>
      </c>
      <c r="B669" s="264" t="s">
        <v>1564</v>
      </c>
      <c r="C669" s="1" t="s">
        <v>2363</v>
      </c>
      <c r="D669" s="264" t="s">
        <v>1564</v>
      </c>
      <c r="E669" s="213">
        <f ca="1">OFFSET(model!$A$1,MATCH(D669,model!B:B,0)-1,0)</f>
        <v>9</v>
      </c>
      <c r="G669" s="213" t="str">
        <f ca="1">OFFSET(model!$R$1,MATCH(E669,model!A:A,0)-1,0)</f>
        <v>monster_9</v>
      </c>
      <c r="H669" s="213"/>
      <c r="I669" s="213"/>
      <c r="J669" s="213"/>
      <c r="K669" s="1">
        <v>3</v>
      </c>
      <c r="L669" s="1">
        <v>586</v>
      </c>
      <c r="M669" s="1">
        <f t="shared" si="38"/>
        <v>3586</v>
      </c>
      <c r="N669" s="107" t="e">
        <f ca="1">OFFSET(npc_level_config!$T$1,MATCH(M669,npc_level_config!A:A,0)-1,0)</f>
        <v>#VALUE!</v>
      </c>
      <c r="O669" s="107" t="e">
        <f ca="1" t="shared" si="37"/>
        <v>#VALUE!</v>
      </c>
      <c r="P669" s="216">
        <v>3302</v>
      </c>
      <c r="Q669" s="3">
        <v>6</v>
      </c>
      <c r="R669" s="3">
        <v>3</v>
      </c>
      <c r="S669" s="1">
        <v>0</v>
      </c>
      <c r="T669" s="238">
        <v>20103</v>
      </c>
    </row>
    <row r="670" spans="1:20">
      <c r="A670" s="1">
        <v>7288</v>
      </c>
      <c r="B670" s="265" t="s">
        <v>1634</v>
      </c>
      <c r="C670" s="1" t="s">
        <v>2364</v>
      </c>
      <c r="D670" s="265" t="s">
        <v>1634</v>
      </c>
      <c r="E670" s="213">
        <f ca="1">OFFSET(model!$A$1,MATCH(D670,model!B:B,0)-1,0)</f>
        <v>6</v>
      </c>
      <c r="G670" s="213" t="str">
        <f ca="1">OFFSET(model!$R$1,MATCH(E670,model!A:A,0)-1,0)</f>
        <v>monster_6</v>
      </c>
      <c r="H670" s="213"/>
      <c r="I670" s="213"/>
      <c r="J670" s="213"/>
      <c r="K670" s="1">
        <v>3</v>
      </c>
      <c r="L670" s="1">
        <v>587</v>
      </c>
      <c r="M670" s="1">
        <f t="shared" si="38"/>
        <v>3587</v>
      </c>
      <c r="N670" s="107" t="e">
        <f ca="1">OFFSET(npc_level_config!$T$1,MATCH(M670,npc_level_config!A:A,0)-1,0)</f>
        <v>#VALUE!</v>
      </c>
      <c r="O670" s="107" t="e">
        <f ca="1" t="shared" si="37"/>
        <v>#VALUE!</v>
      </c>
      <c r="P670" s="216">
        <v>3302</v>
      </c>
      <c r="Q670" s="3">
        <v>6</v>
      </c>
      <c r="R670" s="3">
        <v>3</v>
      </c>
      <c r="S670" s="1">
        <v>0</v>
      </c>
      <c r="T670" s="238">
        <v>20103</v>
      </c>
    </row>
    <row r="671" spans="1:20">
      <c r="A671" s="1">
        <v>7289</v>
      </c>
      <c r="B671" s="261" t="s">
        <v>1681</v>
      </c>
      <c r="C671" s="1" t="s">
        <v>2365</v>
      </c>
      <c r="D671" s="261" t="s">
        <v>1681</v>
      </c>
      <c r="E671" s="213">
        <f ca="1">OFFSET(model!$A$1,MATCH(D671,model!B:B,0)-1,0)</f>
        <v>65</v>
      </c>
      <c r="G671" s="213" t="str">
        <f ca="1">OFFSET(model!$R$1,MATCH(E671,model!A:A,0)-1,0)</f>
        <v>monster_8</v>
      </c>
      <c r="H671" s="213"/>
      <c r="I671" s="213"/>
      <c r="J671" s="213"/>
      <c r="K671" s="1">
        <v>3</v>
      </c>
      <c r="L671" s="1">
        <v>588</v>
      </c>
      <c r="M671" s="1">
        <f t="shared" si="38"/>
        <v>3588</v>
      </c>
      <c r="N671" s="107" t="e">
        <f ca="1">OFFSET(npc_level_config!$T$1,MATCH(M671,npc_level_config!A:A,0)-1,0)</f>
        <v>#VALUE!</v>
      </c>
      <c r="O671" s="107" t="e">
        <f ca="1" t="shared" si="37"/>
        <v>#VALUE!</v>
      </c>
      <c r="P671" s="216">
        <v>3302</v>
      </c>
      <c r="Q671" s="3">
        <v>6</v>
      </c>
      <c r="R671" s="3">
        <v>3</v>
      </c>
      <c r="S671" s="1">
        <v>0</v>
      </c>
      <c r="T671" s="238">
        <v>20103</v>
      </c>
    </row>
    <row r="672" spans="1:20">
      <c r="A672" s="1">
        <v>7290</v>
      </c>
      <c r="B672" s="265" t="s">
        <v>1871</v>
      </c>
      <c r="C672" s="1" t="s">
        <v>2366</v>
      </c>
      <c r="D672" s="265" t="s">
        <v>1871</v>
      </c>
      <c r="E672" s="213">
        <f ca="1">OFFSET(model!$A$1,MATCH(D672,model!B:B,0)-1,0)</f>
        <v>76</v>
      </c>
      <c r="G672" s="213" t="str">
        <f ca="1">OFFSET(model!$R$1,MATCH(E672,model!A:A,0)-1,0)</f>
        <v>monster_9</v>
      </c>
      <c r="H672" s="213"/>
      <c r="I672" s="213"/>
      <c r="J672" s="213"/>
      <c r="K672" s="1">
        <v>3</v>
      </c>
      <c r="L672" s="1">
        <v>589</v>
      </c>
      <c r="M672" s="1">
        <f t="shared" si="38"/>
        <v>3589</v>
      </c>
      <c r="N672" s="107" t="e">
        <f ca="1">OFFSET(npc_level_config!$T$1,MATCH(M672,npc_level_config!A:A,0)-1,0)</f>
        <v>#VALUE!</v>
      </c>
      <c r="O672" s="107" t="e">
        <f ca="1" t="shared" si="37"/>
        <v>#VALUE!</v>
      </c>
      <c r="P672" s="216">
        <v>3302</v>
      </c>
      <c r="Q672" s="3">
        <v>6</v>
      </c>
      <c r="R672" s="3">
        <v>3</v>
      </c>
      <c r="S672" s="1">
        <v>0</v>
      </c>
      <c r="T672" s="1">
        <v>20103</v>
      </c>
    </row>
    <row r="673" spans="1:20">
      <c r="A673" s="1">
        <v>7291</v>
      </c>
      <c r="B673" s="264" t="s">
        <v>1527</v>
      </c>
      <c r="C673" s="1" t="s">
        <v>2367</v>
      </c>
      <c r="D673" s="264" t="s">
        <v>1527</v>
      </c>
      <c r="E673" s="213">
        <f ca="1">OFFSET(model!$A$1,MATCH(D673,model!B:B,0)-1,0)</f>
        <v>5</v>
      </c>
      <c r="G673" s="213" t="str">
        <f ca="1">OFFSET(model!$R$1,MATCH(E673,model!A:A,0)-1,0)</f>
        <v>monster_5</v>
      </c>
      <c r="H673" s="213"/>
      <c r="I673" s="213"/>
      <c r="J673" s="213"/>
      <c r="K673" s="1">
        <v>3</v>
      </c>
      <c r="L673" s="1">
        <v>590</v>
      </c>
      <c r="M673" s="1">
        <f t="shared" si="38"/>
        <v>3590</v>
      </c>
      <c r="N673" s="107" t="e">
        <f ca="1">OFFSET(npc_level_config!$T$1,MATCH(M673,npc_level_config!A:A,0)-1,0)</f>
        <v>#VALUE!</v>
      </c>
      <c r="O673" s="107" t="e">
        <f ca="1" t="shared" si="37"/>
        <v>#VALUE!</v>
      </c>
      <c r="P673" s="216">
        <v>3302</v>
      </c>
      <c r="Q673" s="3">
        <v>6</v>
      </c>
      <c r="R673" s="3">
        <v>3</v>
      </c>
      <c r="S673" s="1">
        <v>0</v>
      </c>
      <c r="T673" s="238">
        <v>20103</v>
      </c>
    </row>
    <row r="674" spans="1:20">
      <c r="A674" s="1">
        <v>7292</v>
      </c>
      <c r="B674" s="264" t="s">
        <v>1564</v>
      </c>
      <c r="C674" s="1" t="s">
        <v>2368</v>
      </c>
      <c r="D674" s="264" t="s">
        <v>1564</v>
      </c>
      <c r="E674" s="213">
        <f ca="1">OFFSET(model!$A$1,MATCH(D674,model!B:B,0)-1,0)</f>
        <v>9</v>
      </c>
      <c r="G674" s="213" t="str">
        <f ca="1">OFFSET(model!$R$1,MATCH(E674,model!A:A,0)-1,0)</f>
        <v>monster_9</v>
      </c>
      <c r="H674" s="213"/>
      <c r="I674" s="213"/>
      <c r="J674" s="213"/>
      <c r="K674" s="1">
        <v>3</v>
      </c>
      <c r="L674" s="1">
        <v>591</v>
      </c>
      <c r="M674" s="1">
        <f t="shared" si="38"/>
        <v>3591</v>
      </c>
      <c r="N674" s="107" t="e">
        <f ca="1">OFFSET(npc_level_config!$T$1,MATCH(M674,npc_level_config!A:A,0)-1,0)</f>
        <v>#VALUE!</v>
      </c>
      <c r="O674" s="107" t="e">
        <f ca="1" t="shared" si="37"/>
        <v>#VALUE!</v>
      </c>
      <c r="P674" s="216">
        <v>3302</v>
      </c>
      <c r="Q674" s="3">
        <v>6</v>
      </c>
      <c r="R674" s="3">
        <v>3</v>
      </c>
      <c r="S674" s="1">
        <v>0</v>
      </c>
      <c r="T674" s="238">
        <v>20103</v>
      </c>
    </row>
    <row r="675" spans="1:20">
      <c r="A675" s="1">
        <v>7293</v>
      </c>
      <c r="B675" s="265" t="s">
        <v>1634</v>
      </c>
      <c r="C675" s="1" t="s">
        <v>2369</v>
      </c>
      <c r="D675" s="265" t="s">
        <v>1634</v>
      </c>
      <c r="E675" s="213">
        <f ca="1">OFFSET(model!$A$1,MATCH(D675,model!B:B,0)-1,0)</f>
        <v>6</v>
      </c>
      <c r="G675" s="213" t="str">
        <f ca="1">OFFSET(model!$R$1,MATCH(E675,model!A:A,0)-1,0)</f>
        <v>monster_6</v>
      </c>
      <c r="H675" s="213"/>
      <c r="I675" s="213"/>
      <c r="J675" s="213"/>
      <c r="K675" s="1">
        <v>3</v>
      </c>
      <c r="L675" s="1">
        <v>592</v>
      </c>
      <c r="M675" s="1">
        <f t="shared" si="38"/>
        <v>3592</v>
      </c>
      <c r="N675" s="107" t="e">
        <f ca="1">OFFSET(npc_level_config!$T$1,MATCH(M675,npc_level_config!A:A,0)-1,0)</f>
        <v>#VALUE!</v>
      </c>
      <c r="O675" s="107" t="e">
        <f ca="1" t="shared" si="37"/>
        <v>#VALUE!</v>
      </c>
      <c r="P675" s="216">
        <v>3302</v>
      </c>
      <c r="Q675" s="3">
        <v>6</v>
      </c>
      <c r="R675" s="3">
        <v>3</v>
      </c>
      <c r="S675" s="1">
        <v>0</v>
      </c>
      <c r="T675" s="238">
        <v>20103</v>
      </c>
    </row>
    <row r="676" spans="1:20">
      <c r="A676" s="1">
        <v>7294</v>
      </c>
      <c r="B676" s="261" t="s">
        <v>1681</v>
      </c>
      <c r="C676" s="1" t="s">
        <v>2370</v>
      </c>
      <c r="D676" s="261" t="s">
        <v>1681</v>
      </c>
      <c r="E676" s="213">
        <f ca="1">OFFSET(model!$A$1,MATCH(D676,model!B:B,0)-1,0)</f>
        <v>65</v>
      </c>
      <c r="G676" s="213" t="str">
        <f ca="1">OFFSET(model!$R$1,MATCH(E676,model!A:A,0)-1,0)</f>
        <v>monster_8</v>
      </c>
      <c r="H676" s="213"/>
      <c r="I676" s="213"/>
      <c r="J676" s="213"/>
      <c r="K676" s="1">
        <v>3</v>
      </c>
      <c r="L676" s="1">
        <v>593</v>
      </c>
      <c r="M676" s="1">
        <f t="shared" si="38"/>
        <v>3593</v>
      </c>
      <c r="N676" s="107" t="e">
        <f ca="1">OFFSET(npc_level_config!$T$1,MATCH(M676,npc_level_config!A:A,0)-1,0)</f>
        <v>#VALUE!</v>
      </c>
      <c r="O676" s="107" t="e">
        <f ca="1" t="shared" si="37"/>
        <v>#VALUE!</v>
      </c>
      <c r="P676" s="216">
        <v>3302</v>
      </c>
      <c r="Q676" s="3">
        <v>6</v>
      </c>
      <c r="R676" s="3">
        <v>3</v>
      </c>
      <c r="S676" s="1">
        <v>0</v>
      </c>
      <c r="T676" s="238">
        <v>20103</v>
      </c>
    </row>
    <row r="677" spans="1:20">
      <c r="A677" s="1">
        <v>7295</v>
      </c>
      <c r="B677" s="264" t="s">
        <v>1564</v>
      </c>
      <c r="C677" s="1" t="s">
        <v>2371</v>
      </c>
      <c r="D677" s="264" t="s">
        <v>1564</v>
      </c>
      <c r="E677" s="213">
        <f ca="1">OFFSET(model!$A$1,MATCH(D677,model!B:B,0)-1,0)</f>
        <v>9</v>
      </c>
      <c r="G677" s="213" t="str">
        <f ca="1">OFFSET(model!$R$1,MATCH(E677,model!A:A,0)-1,0)</f>
        <v>monster_9</v>
      </c>
      <c r="H677" s="213"/>
      <c r="I677" s="213"/>
      <c r="J677" s="213"/>
      <c r="K677" s="1">
        <v>3</v>
      </c>
      <c r="L677" s="1">
        <v>594</v>
      </c>
      <c r="M677" s="1">
        <f t="shared" si="38"/>
        <v>3594</v>
      </c>
      <c r="N677" s="107" t="e">
        <f ca="1">OFFSET(npc_level_config!$T$1,MATCH(M677,npc_level_config!A:A,0)-1,0)</f>
        <v>#VALUE!</v>
      </c>
      <c r="O677" s="107" t="e">
        <f ca="1" t="shared" si="37"/>
        <v>#VALUE!</v>
      </c>
      <c r="P677" s="216">
        <v>3302</v>
      </c>
      <c r="Q677" s="3">
        <v>6</v>
      </c>
      <c r="R677" s="3">
        <v>3</v>
      </c>
      <c r="S677" s="1">
        <v>0</v>
      </c>
      <c r="T677" s="238">
        <v>20103</v>
      </c>
    </row>
    <row r="678" spans="1:20">
      <c r="A678" s="1">
        <v>7296</v>
      </c>
      <c r="B678" s="264" t="s">
        <v>1527</v>
      </c>
      <c r="C678" s="1" t="s">
        <v>2372</v>
      </c>
      <c r="D678" s="264" t="s">
        <v>1527</v>
      </c>
      <c r="E678" s="213">
        <f ca="1">OFFSET(model!$A$1,MATCH(D678,model!B:B,0)-1,0)</f>
        <v>5</v>
      </c>
      <c r="G678" s="213" t="str">
        <f ca="1">OFFSET(model!$R$1,MATCH(E678,model!A:A,0)-1,0)</f>
        <v>monster_5</v>
      </c>
      <c r="H678" s="213"/>
      <c r="I678" s="213"/>
      <c r="J678" s="213"/>
      <c r="K678" s="1">
        <v>3</v>
      </c>
      <c r="L678" s="1">
        <v>595</v>
      </c>
      <c r="M678" s="1">
        <f t="shared" si="38"/>
        <v>3595</v>
      </c>
      <c r="N678" s="107" t="e">
        <f ca="1">OFFSET(npc_level_config!$T$1,MATCH(M678,npc_level_config!A:A,0)-1,0)</f>
        <v>#VALUE!</v>
      </c>
      <c r="O678" s="107" t="e">
        <f ca="1" t="shared" si="37"/>
        <v>#VALUE!</v>
      </c>
      <c r="P678" s="216">
        <v>3302</v>
      </c>
      <c r="Q678" s="3">
        <v>6</v>
      </c>
      <c r="R678" s="3">
        <v>3</v>
      </c>
      <c r="S678" s="1">
        <v>0</v>
      </c>
      <c r="T678" s="238">
        <v>20103</v>
      </c>
    </row>
    <row r="679" spans="1:20">
      <c r="A679" s="1">
        <v>7297</v>
      </c>
      <c r="B679" s="264" t="s">
        <v>1564</v>
      </c>
      <c r="C679" s="1" t="s">
        <v>2373</v>
      </c>
      <c r="D679" s="264" t="s">
        <v>1564</v>
      </c>
      <c r="E679" s="213">
        <f ca="1">OFFSET(model!$A$1,MATCH(D679,model!B:B,0)-1,0)</f>
        <v>9</v>
      </c>
      <c r="G679" s="213" t="str">
        <f ca="1">OFFSET(model!$R$1,MATCH(E679,model!A:A,0)-1,0)</f>
        <v>monster_9</v>
      </c>
      <c r="H679" s="213"/>
      <c r="I679" s="213"/>
      <c r="J679" s="213"/>
      <c r="K679" s="1">
        <v>3</v>
      </c>
      <c r="L679" s="1">
        <v>596</v>
      </c>
      <c r="M679" s="1">
        <f t="shared" si="38"/>
        <v>3596</v>
      </c>
      <c r="N679" s="107" t="e">
        <f ca="1">OFFSET(npc_level_config!$T$1,MATCH(M679,npc_level_config!A:A,0)-1,0)</f>
        <v>#VALUE!</v>
      </c>
      <c r="O679" s="107" t="e">
        <f ca="1" t="shared" si="37"/>
        <v>#VALUE!</v>
      </c>
      <c r="P679" s="216">
        <v>3302</v>
      </c>
      <c r="Q679" s="3">
        <v>6</v>
      </c>
      <c r="R679" s="3">
        <v>3</v>
      </c>
      <c r="S679" s="1">
        <v>0</v>
      </c>
      <c r="T679" s="238">
        <v>20103</v>
      </c>
    </row>
    <row r="680" spans="1:20">
      <c r="A680" s="1">
        <v>7298</v>
      </c>
      <c r="B680" s="265" t="s">
        <v>1634</v>
      </c>
      <c r="C680" s="1" t="s">
        <v>2374</v>
      </c>
      <c r="D680" s="265" t="s">
        <v>1634</v>
      </c>
      <c r="E680" s="213">
        <f ca="1">OFFSET(model!$A$1,MATCH(D680,model!B:B,0)-1,0)</f>
        <v>6</v>
      </c>
      <c r="G680" s="213" t="str">
        <f ca="1">OFFSET(model!$R$1,MATCH(E680,model!A:A,0)-1,0)</f>
        <v>monster_6</v>
      </c>
      <c r="H680" s="213"/>
      <c r="I680" s="213"/>
      <c r="J680" s="213"/>
      <c r="K680" s="1">
        <v>3</v>
      </c>
      <c r="L680" s="1">
        <v>597</v>
      </c>
      <c r="M680" s="1">
        <f t="shared" si="38"/>
        <v>3597</v>
      </c>
      <c r="N680" s="107" t="e">
        <f ca="1">OFFSET(npc_level_config!$T$1,MATCH(M680,npc_level_config!A:A,0)-1,0)</f>
        <v>#VALUE!</v>
      </c>
      <c r="O680" s="107" t="e">
        <f ca="1" t="shared" si="37"/>
        <v>#VALUE!</v>
      </c>
      <c r="P680" s="216">
        <v>3302</v>
      </c>
      <c r="Q680" s="3">
        <v>6</v>
      </c>
      <c r="R680" s="3">
        <v>3</v>
      </c>
      <c r="S680" s="1">
        <v>0</v>
      </c>
      <c r="T680" s="238">
        <v>20103</v>
      </c>
    </row>
    <row r="681" spans="1:20">
      <c r="A681" s="1">
        <v>7299</v>
      </c>
      <c r="B681" s="261" t="s">
        <v>1681</v>
      </c>
      <c r="C681" s="1" t="s">
        <v>2375</v>
      </c>
      <c r="D681" s="261" t="s">
        <v>1681</v>
      </c>
      <c r="E681" s="213">
        <f ca="1">OFFSET(model!$A$1,MATCH(D681,model!B:B,0)-1,0)</f>
        <v>65</v>
      </c>
      <c r="G681" s="213" t="str">
        <f ca="1">OFFSET(model!$R$1,MATCH(E681,model!A:A,0)-1,0)</f>
        <v>monster_8</v>
      </c>
      <c r="H681" s="213"/>
      <c r="I681" s="213"/>
      <c r="J681" s="213"/>
      <c r="K681" s="1">
        <v>3</v>
      </c>
      <c r="L681" s="1">
        <v>598</v>
      </c>
      <c r="M681" s="1">
        <f t="shared" si="38"/>
        <v>3598</v>
      </c>
      <c r="N681" s="107" t="e">
        <f ca="1">OFFSET(npc_level_config!$T$1,MATCH(M681,npc_level_config!A:A,0)-1,0)</f>
        <v>#VALUE!</v>
      </c>
      <c r="O681" s="107" t="e">
        <f ca="1" t="shared" si="37"/>
        <v>#VALUE!</v>
      </c>
      <c r="P681" s="216">
        <v>3302</v>
      </c>
      <c r="Q681" s="3">
        <v>6</v>
      </c>
      <c r="R681" s="3">
        <v>3</v>
      </c>
      <c r="S681" s="1">
        <v>0</v>
      </c>
      <c r="T681" s="238">
        <v>20103</v>
      </c>
    </row>
    <row r="682" spans="1:20">
      <c r="A682" s="1">
        <v>7300</v>
      </c>
      <c r="B682" s="265" t="s">
        <v>1871</v>
      </c>
      <c r="C682" s="1" t="s">
        <v>2376</v>
      </c>
      <c r="D682" s="265" t="s">
        <v>1871</v>
      </c>
      <c r="E682" s="213">
        <f ca="1">OFFSET(model!$A$1,MATCH(D682,model!B:B,0)-1,0)</f>
        <v>76</v>
      </c>
      <c r="G682" s="213" t="str">
        <f ca="1">OFFSET(model!$R$1,MATCH(E682,model!A:A,0)-1,0)</f>
        <v>monster_9</v>
      </c>
      <c r="H682" s="213"/>
      <c r="I682" s="213"/>
      <c r="J682" s="213"/>
      <c r="K682" s="1">
        <v>3</v>
      </c>
      <c r="L682" s="1">
        <v>599</v>
      </c>
      <c r="M682" s="1">
        <f t="shared" si="38"/>
        <v>3599</v>
      </c>
      <c r="N682" s="107" t="e">
        <f ca="1">OFFSET(npc_level_config!$T$1,MATCH(M682,npc_level_config!A:A,0)-1,0)</f>
        <v>#VALUE!</v>
      </c>
      <c r="O682" s="107" t="e">
        <f ca="1">ROUND(N682,-1)</f>
        <v>#VALUE!</v>
      </c>
      <c r="P682" s="216">
        <v>3302</v>
      </c>
      <c r="Q682" s="3">
        <v>6</v>
      </c>
      <c r="R682" s="3">
        <v>3</v>
      </c>
      <c r="S682" s="1">
        <v>0</v>
      </c>
      <c r="T682" s="1">
        <v>20103</v>
      </c>
    </row>
  </sheetData>
  <conditionalFormatting sqref="U6">
    <cfRule type="duplicateValues" dxfId="9" priority="15"/>
  </conditionalFormatting>
  <conditionalFormatting sqref="U8">
    <cfRule type="duplicateValues" dxfId="9" priority="14"/>
  </conditionalFormatting>
  <conditionalFormatting sqref="U9">
    <cfRule type="duplicateValues" dxfId="9" priority="11"/>
  </conditionalFormatting>
  <conditionalFormatting sqref="U10">
    <cfRule type="duplicateValues" dxfId="9" priority="12"/>
  </conditionalFormatting>
  <conditionalFormatting sqref="U12">
    <cfRule type="duplicateValues" dxfId="9" priority="8"/>
  </conditionalFormatting>
  <conditionalFormatting sqref="U13">
    <cfRule type="duplicateValues" dxfId="9" priority="9"/>
  </conditionalFormatting>
  <conditionalFormatting sqref="U271">
    <cfRule type="duplicateValues" dxfId="9" priority="7"/>
  </conditionalFormatting>
  <conditionalFormatting sqref="U275">
    <cfRule type="duplicateValues" dxfId="9" priority="5"/>
  </conditionalFormatting>
  <conditionalFormatting sqref="U279">
    <cfRule type="duplicateValues" dxfId="9" priority="4"/>
  </conditionalFormatting>
  <conditionalFormatting sqref="U280">
    <cfRule type="duplicateValues" dxfId="9" priority="3"/>
  </conditionalFormatting>
  <conditionalFormatting sqref="U281">
    <cfRule type="duplicateValues" dxfId="9" priority="1"/>
  </conditionalFormatting>
  <conditionalFormatting sqref="U276:U277">
    <cfRule type="duplicateValues" dxfId="9" priority="6"/>
  </conditionalFormatting>
  <conditionalFormatting sqref="A1:A59 A129 A131 A135 A108:A122 A133 A105:A106 A124:A127">
    <cfRule type="duplicateValues" dxfId="9" priority="17"/>
  </conditionalFormatting>
  <conditionalFormatting sqref="A137 A139 A141 A144 A146 A148 A150 A152 A154">
    <cfRule type="duplicateValues" dxfId="9" priority="16"/>
  </conditionalFormatting>
  <pageMargins left="0.7" right="0.7" top="0.75" bottom="0.75" header="0.3" footer="0.3"/>
  <pageSetup paperSize="9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R95"/>
  <sheetViews>
    <sheetView workbookViewId="0">
      <pane xSplit="2" ySplit="5" topLeftCell="C74" activePane="bottomRight" state="frozen"/>
      <selection/>
      <selection pane="topRight"/>
      <selection pane="bottomLeft"/>
      <selection pane="bottomRight" activeCell="D5" sqref="D5"/>
    </sheetView>
  </sheetViews>
  <sheetFormatPr defaultColWidth="9" defaultRowHeight="15"/>
  <cols>
    <col min="1" max="1" width="11.2477876106195" style="1" customWidth="1"/>
    <col min="2" max="2" width="15.7522123893805" style="1" customWidth="1"/>
    <col min="3" max="3" width="15.3716814159292" style="1" customWidth="1"/>
    <col min="4" max="4" width="12.6283185840708" style="1" customWidth="1"/>
    <col min="5" max="5" width="9" style="1"/>
    <col min="9" max="9" width="12.5044247787611" customWidth="1"/>
    <col min="10" max="10" width="22.6283185840708" customWidth="1"/>
    <col min="11" max="11" width="17.2477876106195" customWidth="1"/>
    <col min="12" max="12" width="15.5044247787611" customWidth="1"/>
    <col min="13" max="13" width="21" customWidth="1"/>
    <col min="14" max="14" width="19.5044247787611" customWidth="1"/>
    <col min="15" max="15" width="14.6283185840708" customWidth="1"/>
    <col min="16" max="16" width="15.2477876106195" customWidth="1"/>
  </cols>
  <sheetData>
    <row r="1" spans="1:2">
      <c r="A1" s="46" t="s">
        <v>1498</v>
      </c>
      <c r="B1" s="68"/>
    </row>
    <row r="2" ht="90" spans="1:18">
      <c r="A2" s="3" t="s">
        <v>270</v>
      </c>
      <c r="B2" s="198" t="s">
        <v>1500</v>
      </c>
      <c r="C2" s="3" t="e">
        <f>SUM(#REF!)</f>
        <v>#REF!</v>
      </c>
      <c r="D2" s="3" t="s">
        <v>2377</v>
      </c>
      <c r="E2" s="3" t="s">
        <v>2378</v>
      </c>
      <c r="F2" s="179" t="s">
        <v>2379</v>
      </c>
      <c r="G2" s="169" t="s">
        <v>2380</v>
      </c>
      <c r="H2" s="169" t="s">
        <v>2381</v>
      </c>
      <c r="I2" s="179" t="s">
        <v>2382</v>
      </c>
      <c r="J2" t="s">
        <v>2383</v>
      </c>
      <c r="K2" t="s">
        <v>2384</v>
      </c>
      <c r="L2" t="s">
        <v>2385</v>
      </c>
      <c r="M2" t="s">
        <v>2386</v>
      </c>
      <c r="N2" t="s">
        <v>2387</v>
      </c>
      <c r="O2" t="s">
        <v>2388</v>
      </c>
      <c r="P2" t="s">
        <v>2389</v>
      </c>
      <c r="R2" t="s">
        <v>2390</v>
      </c>
    </row>
    <row r="3" spans="1:16">
      <c r="A3" s="46" t="s">
        <v>109</v>
      </c>
      <c r="B3" s="68" t="s">
        <v>110</v>
      </c>
      <c r="C3" s="68" t="s">
        <v>110</v>
      </c>
      <c r="D3" s="46" t="s">
        <v>109</v>
      </c>
      <c r="E3" s="46" t="s">
        <v>109</v>
      </c>
      <c r="F3" s="46" t="s">
        <v>109</v>
      </c>
      <c r="G3" s="153" t="s">
        <v>109</v>
      </c>
      <c r="H3" s="153" t="s">
        <v>109</v>
      </c>
      <c r="J3" s="68" t="s">
        <v>110</v>
      </c>
      <c r="K3" s="68" t="s">
        <v>110</v>
      </c>
      <c r="L3" s="68" t="s">
        <v>110</v>
      </c>
      <c r="M3" s="68" t="s">
        <v>110</v>
      </c>
      <c r="N3" s="68" t="s">
        <v>110</v>
      </c>
      <c r="O3" s="68" t="s">
        <v>110</v>
      </c>
      <c r="P3" s="68" t="s">
        <v>110</v>
      </c>
    </row>
    <row r="4" spans="1:16">
      <c r="A4" s="1" t="s">
        <v>270</v>
      </c>
      <c r="B4" s="199" t="s">
        <v>64</v>
      </c>
      <c r="C4" s="1" t="s">
        <v>2391</v>
      </c>
      <c r="D4" s="1" t="s">
        <v>2392</v>
      </c>
      <c r="E4" s="1" t="s">
        <v>285</v>
      </c>
      <c r="G4" s="169"/>
      <c r="H4" s="169"/>
      <c r="J4" t="s">
        <v>2393</v>
      </c>
      <c r="K4" t="s">
        <v>2394</v>
      </c>
      <c r="L4" t="s">
        <v>2395</v>
      </c>
      <c r="M4" t="s">
        <v>2396</v>
      </c>
      <c r="N4" t="s">
        <v>2397</v>
      </c>
      <c r="O4" t="s">
        <v>2398</v>
      </c>
      <c r="P4" t="s">
        <v>2399</v>
      </c>
    </row>
    <row r="5" ht="30" spans="1:8">
      <c r="A5" s="1" t="s">
        <v>270</v>
      </c>
      <c r="B5" s="199"/>
      <c r="F5" t="s">
        <v>2400</v>
      </c>
      <c r="G5" s="169" t="s">
        <v>2401</v>
      </c>
      <c r="H5" s="169" t="s">
        <v>2402</v>
      </c>
    </row>
    <row r="6" ht="27.75" spans="1:18">
      <c r="A6" s="211">
        <v>1</v>
      </c>
      <c r="B6" s="212" t="s">
        <v>1585</v>
      </c>
      <c r="C6" s="100" t="s">
        <v>2403</v>
      </c>
      <c r="D6" s="100">
        <v>1</v>
      </c>
      <c r="E6" s="1">
        <v>2</v>
      </c>
      <c r="F6" s="179"/>
      <c r="G6" s="179"/>
      <c r="H6" s="179"/>
      <c r="I6">
        <v>2</v>
      </c>
      <c r="J6" t="s">
        <v>2404</v>
      </c>
      <c r="K6" s="100"/>
      <c r="L6" s="100"/>
      <c r="M6" t="s">
        <v>2404</v>
      </c>
      <c r="N6" t="s">
        <v>2404</v>
      </c>
      <c r="O6" s="100" t="s">
        <v>2405</v>
      </c>
      <c r="P6" t="s">
        <v>2406</v>
      </c>
      <c r="R6" s="213" t="s">
        <v>1576</v>
      </c>
    </row>
    <row r="7" ht="27.75" spans="1:18">
      <c r="A7" s="95">
        <v>2</v>
      </c>
      <c r="B7" s="212" t="s">
        <v>1575</v>
      </c>
      <c r="C7" s="100" t="s">
        <v>2407</v>
      </c>
      <c r="D7" s="100">
        <v>1</v>
      </c>
      <c r="E7" s="1">
        <v>2</v>
      </c>
      <c r="F7" s="179"/>
      <c r="G7" s="179"/>
      <c r="H7" s="179"/>
      <c r="I7">
        <v>2</v>
      </c>
      <c r="J7" t="s">
        <v>2408</v>
      </c>
      <c r="K7" s="100"/>
      <c r="L7" s="100"/>
      <c r="M7" t="s">
        <v>2408</v>
      </c>
      <c r="N7" t="s">
        <v>2408</v>
      </c>
      <c r="O7" s="100" t="s">
        <v>2409</v>
      </c>
      <c r="P7" t="s">
        <v>2410</v>
      </c>
      <c r="R7" s="213" t="s">
        <v>1579</v>
      </c>
    </row>
    <row r="8" ht="27.75" spans="1:18">
      <c r="A8" s="211">
        <v>3</v>
      </c>
      <c r="B8" s="212" t="s">
        <v>1570</v>
      </c>
      <c r="C8" s="100" t="s">
        <v>2411</v>
      </c>
      <c r="D8" s="100">
        <v>1</v>
      </c>
      <c r="E8" s="1">
        <v>2</v>
      </c>
      <c r="F8" s="179"/>
      <c r="G8" s="179">
        <v>2</v>
      </c>
      <c r="I8">
        <v>2</v>
      </c>
      <c r="J8" t="s">
        <v>2412</v>
      </c>
      <c r="K8" s="100"/>
      <c r="L8" s="100"/>
      <c r="M8" t="s">
        <v>2412</v>
      </c>
      <c r="N8" t="s">
        <v>2412</v>
      </c>
      <c r="O8" s="100" t="s">
        <v>2413</v>
      </c>
      <c r="P8" t="s">
        <v>2414</v>
      </c>
      <c r="R8" s="213" t="s">
        <v>1623</v>
      </c>
    </row>
    <row r="9" ht="27.75" spans="1:18">
      <c r="A9" s="95">
        <v>4</v>
      </c>
      <c r="B9" s="212" t="s">
        <v>1677</v>
      </c>
      <c r="C9" s="100" t="s">
        <v>2415</v>
      </c>
      <c r="D9" s="100">
        <v>1</v>
      </c>
      <c r="E9" s="1">
        <v>2</v>
      </c>
      <c r="I9">
        <v>2</v>
      </c>
      <c r="J9" t="s">
        <v>2416</v>
      </c>
      <c r="M9" t="s">
        <v>2416</v>
      </c>
      <c r="N9" t="s">
        <v>2416</v>
      </c>
      <c r="O9" s="100" t="s">
        <v>2417</v>
      </c>
      <c r="P9" t="s">
        <v>2418</v>
      </c>
      <c r="R9" s="213" t="s">
        <v>1557</v>
      </c>
    </row>
    <row r="10" ht="16.5" spans="1:18">
      <c r="A10" s="211">
        <v>5</v>
      </c>
      <c r="B10" s="212" t="s">
        <v>1527</v>
      </c>
      <c r="C10" s="100" t="s">
        <v>2419</v>
      </c>
      <c r="D10" s="100">
        <v>1</v>
      </c>
      <c r="E10" s="1">
        <v>2</v>
      </c>
      <c r="I10">
        <v>2</v>
      </c>
      <c r="J10" t="s">
        <v>2420</v>
      </c>
      <c r="M10" t="s">
        <v>2420</v>
      </c>
      <c r="N10" t="s">
        <v>2420</v>
      </c>
      <c r="O10" s="100" t="s">
        <v>2421</v>
      </c>
      <c r="P10" t="s">
        <v>2422</v>
      </c>
      <c r="R10" s="1" t="s">
        <v>1529</v>
      </c>
    </row>
    <row r="11" ht="27.75" spans="1:18">
      <c r="A11" s="95">
        <v>6</v>
      </c>
      <c r="B11" s="212" t="s">
        <v>1634</v>
      </c>
      <c r="C11" s="100" t="s">
        <v>2423</v>
      </c>
      <c r="D11" s="100">
        <v>1</v>
      </c>
      <c r="E11" s="1">
        <v>2</v>
      </c>
      <c r="I11">
        <v>2</v>
      </c>
      <c r="J11" t="s">
        <v>2424</v>
      </c>
      <c r="M11" t="s">
        <v>2424</v>
      </c>
      <c r="N11" t="s">
        <v>2424</v>
      </c>
      <c r="O11" s="100" t="s">
        <v>2425</v>
      </c>
      <c r="P11" t="s">
        <v>2426</v>
      </c>
      <c r="R11" s="213" t="s">
        <v>1635</v>
      </c>
    </row>
    <row r="12" ht="16.5" spans="1:18">
      <c r="A12" s="211">
        <v>7</v>
      </c>
      <c r="B12" s="212" t="s">
        <v>1763</v>
      </c>
      <c r="C12" s="100" t="s">
        <v>2427</v>
      </c>
      <c r="D12" s="100">
        <v>1</v>
      </c>
      <c r="E12" s="1">
        <v>2</v>
      </c>
      <c r="I12">
        <v>2</v>
      </c>
      <c r="J12" t="s">
        <v>2428</v>
      </c>
      <c r="M12" t="s">
        <v>2428</v>
      </c>
      <c r="N12" t="s">
        <v>2428</v>
      </c>
      <c r="O12" s="100" t="s">
        <v>2429</v>
      </c>
      <c r="P12" t="s">
        <v>2430</v>
      </c>
      <c r="R12" s="1" t="s">
        <v>1687</v>
      </c>
    </row>
    <row r="13" ht="27.75" spans="1:18">
      <c r="A13" s="95">
        <v>8</v>
      </c>
      <c r="B13" s="212" t="s">
        <v>1497</v>
      </c>
      <c r="C13" s="100" t="s">
        <v>2431</v>
      </c>
      <c r="D13" s="100">
        <v>1</v>
      </c>
      <c r="E13" s="1">
        <v>2</v>
      </c>
      <c r="I13">
        <v>2</v>
      </c>
      <c r="J13" t="s">
        <v>2432</v>
      </c>
      <c r="M13" t="s">
        <v>2432</v>
      </c>
      <c r="N13" t="s">
        <v>2432</v>
      </c>
      <c r="O13" s="100" t="s">
        <v>2433</v>
      </c>
      <c r="P13" t="s">
        <v>2434</v>
      </c>
      <c r="R13" s="213" t="s">
        <v>1601</v>
      </c>
    </row>
    <row r="14" ht="27.75" spans="1:18">
      <c r="A14" s="211">
        <v>9</v>
      </c>
      <c r="B14" s="212" t="s">
        <v>1564</v>
      </c>
      <c r="C14" s="100" t="s">
        <v>2435</v>
      </c>
      <c r="D14" s="100">
        <v>1</v>
      </c>
      <c r="E14" s="1">
        <v>2</v>
      </c>
      <c r="I14">
        <v>2</v>
      </c>
      <c r="J14" t="s">
        <v>2436</v>
      </c>
      <c r="M14" t="s">
        <v>2436</v>
      </c>
      <c r="N14" t="s">
        <v>2436</v>
      </c>
      <c r="O14" s="100" t="s">
        <v>2437</v>
      </c>
      <c r="P14" t="s">
        <v>2438</v>
      </c>
      <c r="R14" s="213" t="s">
        <v>1566</v>
      </c>
    </row>
    <row r="15" ht="27.75" spans="1:18">
      <c r="A15" s="95">
        <v>10</v>
      </c>
      <c r="B15" s="212" t="s">
        <v>1561</v>
      </c>
      <c r="C15" s="100" t="s">
        <v>2439</v>
      </c>
      <c r="D15" s="100">
        <v>1</v>
      </c>
      <c r="E15" s="1">
        <v>2</v>
      </c>
      <c r="I15">
        <v>2</v>
      </c>
      <c r="J15" t="s">
        <v>2440</v>
      </c>
      <c r="M15" t="s">
        <v>2440</v>
      </c>
      <c r="N15" t="s">
        <v>2440</v>
      </c>
      <c r="O15" s="100" t="s">
        <v>2441</v>
      </c>
      <c r="P15" t="s">
        <v>2442</v>
      </c>
      <c r="R15" s="213" t="s">
        <v>1562</v>
      </c>
    </row>
    <row r="16" ht="16.5" spans="1:16">
      <c r="A16" s="200">
        <v>11</v>
      </c>
      <c r="B16" s="213" t="s">
        <v>1536</v>
      </c>
      <c r="C16" s="100" t="s">
        <v>2443</v>
      </c>
      <c r="D16" s="100">
        <v>2</v>
      </c>
      <c r="E16" s="1">
        <v>2</v>
      </c>
      <c r="F16" s="179">
        <v>1</v>
      </c>
      <c r="G16" s="179">
        <v>1</v>
      </c>
      <c r="H16" s="179">
        <v>1</v>
      </c>
      <c r="I16" s="179">
        <v>3</v>
      </c>
      <c r="J16" s="100" t="s">
        <v>2444</v>
      </c>
      <c r="K16" s="100" t="s">
        <v>2445</v>
      </c>
      <c r="L16" s="100" t="s">
        <v>2445</v>
      </c>
      <c r="M16" s="100" t="s">
        <v>2444</v>
      </c>
      <c r="N16" s="100" t="s">
        <v>2446</v>
      </c>
      <c r="O16" t="s">
        <v>2447</v>
      </c>
      <c r="P16" t="s">
        <v>2448</v>
      </c>
    </row>
    <row r="17" ht="16.5" spans="1:16">
      <c r="A17" s="1">
        <v>12</v>
      </c>
      <c r="B17" s="213" t="s">
        <v>1669</v>
      </c>
      <c r="C17" s="100" t="s">
        <v>2449</v>
      </c>
      <c r="D17" s="100">
        <v>2</v>
      </c>
      <c r="E17" s="1">
        <v>2</v>
      </c>
      <c r="F17" s="179">
        <v>2</v>
      </c>
      <c r="G17" s="179">
        <v>1</v>
      </c>
      <c r="H17" s="179">
        <v>1</v>
      </c>
      <c r="I17" s="179">
        <v>3</v>
      </c>
      <c r="J17" s="100" t="s">
        <v>2444</v>
      </c>
      <c r="K17" s="100" t="s">
        <v>2445</v>
      </c>
      <c r="L17" s="100" t="s">
        <v>2445</v>
      </c>
      <c r="M17" s="100" t="s">
        <v>2444</v>
      </c>
      <c r="N17" s="100" t="s">
        <v>2446</v>
      </c>
      <c r="O17" t="s">
        <v>2447</v>
      </c>
      <c r="P17" t="s">
        <v>2448</v>
      </c>
    </row>
    <row r="18" ht="16.5" spans="1:16">
      <c r="A18" s="200">
        <v>13</v>
      </c>
      <c r="B18" s="213" t="s">
        <v>1546</v>
      </c>
      <c r="C18" s="100" t="s">
        <v>2450</v>
      </c>
      <c r="D18" s="100">
        <v>2</v>
      </c>
      <c r="E18" s="1">
        <v>2</v>
      </c>
      <c r="F18" s="179">
        <v>1</v>
      </c>
      <c r="G18" s="179">
        <v>1</v>
      </c>
      <c r="H18" s="179">
        <v>1</v>
      </c>
      <c r="I18" s="179">
        <v>3</v>
      </c>
      <c r="J18" s="100" t="s">
        <v>2444</v>
      </c>
      <c r="K18" s="100" t="s">
        <v>2445</v>
      </c>
      <c r="L18" s="100" t="s">
        <v>2445</v>
      </c>
      <c r="M18" s="100" t="s">
        <v>2444</v>
      </c>
      <c r="N18" s="100" t="s">
        <v>2446</v>
      </c>
      <c r="O18" t="s">
        <v>2447</v>
      </c>
      <c r="P18" t="s">
        <v>2448</v>
      </c>
    </row>
    <row r="19" ht="16.5" spans="1:16">
      <c r="A19" s="1">
        <v>14</v>
      </c>
      <c r="B19" s="213" t="s">
        <v>1595</v>
      </c>
      <c r="C19" s="100" t="s">
        <v>2451</v>
      </c>
      <c r="D19" s="100">
        <v>2</v>
      </c>
      <c r="E19" s="1">
        <v>2</v>
      </c>
      <c r="F19" s="179">
        <v>2</v>
      </c>
      <c r="G19" s="179">
        <v>1</v>
      </c>
      <c r="H19" s="179">
        <v>1</v>
      </c>
      <c r="I19" s="179">
        <v>3</v>
      </c>
      <c r="J19" s="100" t="s">
        <v>2444</v>
      </c>
      <c r="K19" s="100" t="s">
        <v>2445</v>
      </c>
      <c r="L19" s="100" t="s">
        <v>2445</v>
      </c>
      <c r="M19" s="100" t="s">
        <v>2444</v>
      </c>
      <c r="N19" s="100" t="s">
        <v>2446</v>
      </c>
      <c r="O19" t="s">
        <v>2447</v>
      </c>
      <c r="P19" t="s">
        <v>2448</v>
      </c>
    </row>
    <row r="20" ht="16.5" spans="1:16">
      <c r="A20" s="200">
        <v>15</v>
      </c>
      <c r="B20" s="213" t="s">
        <v>1551</v>
      </c>
      <c r="C20" s="100" t="s">
        <v>2452</v>
      </c>
      <c r="D20" s="100">
        <v>2</v>
      </c>
      <c r="E20" s="1">
        <v>2</v>
      </c>
      <c r="F20" s="179">
        <v>1</v>
      </c>
      <c r="G20" s="179">
        <v>1</v>
      </c>
      <c r="H20" s="179">
        <v>1</v>
      </c>
      <c r="I20" s="179">
        <v>3</v>
      </c>
      <c r="J20" s="100" t="s">
        <v>2444</v>
      </c>
      <c r="K20" s="100" t="s">
        <v>2445</v>
      </c>
      <c r="L20" s="100" t="s">
        <v>2445</v>
      </c>
      <c r="M20" s="100" t="s">
        <v>2444</v>
      </c>
      <c r="N20" s="100" t="s">
        <v>2446</v>
      </c>
      <c r="O20" t="s">
        <v>2447</v>
      </c>
      <c r="P20" t="s">
        <v>2448</v>
      </c>
    </row>
    <row r="21" ht="16.5" spans="1:16">
      <c r="A21" s="1">
        <v>16</v>
      </c>
      <c r="B21" s="213" t="s">
        <v>1768</v>
      </c>
      <c r="C21" s="100" t="s">
        <v>2453</v>
      </c>
      <c r="D21" s="100">
        <v>2</v>
      </c>
      <c r="E21" s="1">
        <v>2</v>
      </c>
      <c r="F21" s="179">
        <v>2</v>
      </c>
      <c r="G21" s="179">
        <v>1</v>
      </c>
      <c r="H21" s="179">
        <v>1</v>
      </c>
      <c r="I21" s="179">
        <v>3</v>
      </c>
      <c r="J21" s="100" t="s">
        <v>2444</v>
      </c>
      <c r="K21" s="100" t="s">
        <v>2445</v>
      </c>
      <c r="L21" s="100" t="s">
        <v>2445</v>
      </c>
      <c r="M21" s="100" t="s">
        <v>2444</v>
      </c>
      <c r="N21" s="100" t="s">
        <v>2446</v>
      </c>
      <c r="O21" t="s">
        <v>2447</v>
      </c>
      <c r="P21" t="s">
        <v>2448</v>
      </c>
    </row>
    <row r="22" ht="16.5" spans="1:16">
      <c r="A22" s="200">
        <v>17</v>
      </c>
      <c r="B22" s="213" t="s">
        <v>1647</v>
      </c>
      <c r="C22" s="100" t="s">
        <v>2454</v>
      </c>
      <c r="D22" s="100">
        <v>2</v>
      </c>
      <c r="E22" s="1">
        <v>2</v>
      </c>
      <c r="F22" s="179">
        <v>1</v>
      </c>
      <c r="G22" s="179">
        <v>2</v>
      </c>
      <c r="H22" s="179">
        <v>1</v>
      </c>
      <c r="I22" s="179">
        <v>3</v>
      </c>
      <c r="J22" s="100" t="s">
        <v>2444</v>
      </c>
      <c r="K22" s="100" t="s">
        <v>2445</v>
      </c>
      <c r="L22" s="100" t="s">
        <v>2445</v>
      </c>
      <c r="M22" s="100" t="s">
        <v>2444</v>
      </c>
      <c r="N22" s="100" t="s">
        <v>2446</v>
      </c>
      <c r="O22" t="s">
        <v>2447</v>
      </c>
      <c r="P22" t="s">
        <v>2448</v>
      </c>
    </row>
    <row r="23" ht="16.5" spans="1:16">
      <c r="A23" s="1">
        <v>18</v>
      </c>
      <c r="B23" s="213" t="s">
        <v>1638</v>
      </c>
      <c r="C23" s="100" t="s">
        <v>2455</v>
      </c>
      <c r="D23" s="100">
        <v>2</v>
      </c>
      <c r="E23" s="1">
        <v>2</v>
      </c>
      <c r="F23" s="179">
        <v>2</v>
      </c>
      <c r="G23" s="179">
        <v>2</v>
      </c>
      <c r="H23" s="179">
        <v>1</v>
      </c>
      <c r="I23" s="179">
        <v>3</v>
      </c>
      <c r="J23" s="100" t="s">
        <v>2444</v>
      </c>
      <c r="K23" s="100" t="s">
        <v>2445</v>
      </c>
      <c r="L23" s="100" t="s">
        <v>2445</v>
      </c>
      <c r="M23" s="100" t="s">
        <v>2444</v>
      </c>
      <c r="N23" s="100" t="s">
        <v>2446</v>
      </c>
      <c r="O23" t="s">
        <v>2447</v>
      </c>
      <c r="P23" t="s">
        <v>2448</v>
      </c>
    </row>
    <row r="24" ht="16.5" spans="1:16">
      <c r="A24" s="200">
        <v>19</v>
      </c>
      <c r="B24" s="213" t="s">
        <v>1642</v>
      </c>
      <c r="C24" s="100" t="s">
        <v>2456</v>
      </c>
      <c r="D24" s="100">
        <v>2</v>
      </c>
      <c r="E24" s="1">
        <v>2</v>
      </c>
      <c r="F24" s="179">
        <v>1</v>
      </c>
      <c r="G24" s="179">
        <v>2</v>
      </c>
      <c r="H24" s="179">
        <v>1</v>
      </c>
      <c r="I24" s="179">
        <v>3</v>
      </c>
      <c r="J24" s="100" t="s">
        <v>2444</v>
      </c>
      <c r="K24" s="100" t="s">
        <v>2445</v>
      </c>
      <c r="L24" s="100" t="s">
        <v>2445</v>
      </c>
      <c r="M24" s="100" t="s">
        <v>2444</v>
      </c>
      <c r="N24" s="100" t="s">
        <v>2446</v>
      </c>
      <c r="O24" t="s">
        <v>2447</v>
      </c>
      <c r="P24" t="s">
        <v>2448</v>
      </c>
    </row>
    <row r="25" ht="16.5" spans="1:16">
      <c r="A25" s="1">
        <v>20</v>
      </c>
      <c r="B25" s="213" t="s">
        <v>1654</v>
      </c>
      <c r="C25" s="100" t="s">
        <v>2457</v>
      </c>
      <c r="D25" s="100">
        <v>2</v>
      </c>
      <c r="E25" s="1">
        <v>2</v>
      </c>
      <c r="F25" s="179">
        <v>2</v>
      </c>
      <c r="G25" s="179">
        <v>2</v>
      </c>
      <c r="H25" s="179">
        <v>1</v>
      </c>
      <c r="I25" s="179">
        <v>3</v>
      </c>
      <c r="J25" s="100" t="s">
        <v>2444</v>
      </c>
      <c r="K25" s="100" t="s">
        <v>2445</v>
      </c>
      <c r="L25" s="100" t="s">
        <v>2445</v>
      </c>
      <c r="M25" s="100" t="s">
        <v>2444</v>
      </c>
      <c r="N25" s="100" t="s">
        <v>2446</v>
      </c>
      <c r="O25" t="s">
        <v>2447</v>
      </c>
      <c r="P25" t="s">
        <v>2448</v>
      </c>
    </row>
    <row r="26" ht="16.5" spans="1:16">
      <c r="A26" s="200">
        <v>21</v>
      </c>
      <c r="B26" s="213" t="s">
        <v>1884</v>
      </c>
      <c r="C26" s="100" t="s">
        <v>2458</v>
      </c>
      <c r="D26" s="100">
        <v>2</v>
      </c>
      <c r="E26" s="1">
        <v>2</v>
      </c>
      <c r="F26" s="179">
        <v>1</v>
      </c>
      <c r="G26" s="179">
        <v>2</v>
      </c>
      <c r="H26" s="179">
        <v>1</v>
      </c>
      <c r="I26" s="179">
        <v>3</v>
      </c>
      <c r="J26" s="100" t="s">
        <v>2444</v>
      </c>
      <c r="K26" s="100" t="s">
        <v>2445</v>
      </c>
      <c r="L26" s="100" t="s">
        <v>2445</v>
      </c>
      <c r="M26" s="100" t="s">
        <v>2444</v>
      </c>
      <c r="N26" s="100" t="s">
        <v>2446</v>
      </c>
      <c r="O26" t="s">
        <v>2447</v>
      </c>
      <c r="P26" t="s">
        <v>2448</v>
      </c>
    </row>
    <row r="27" ht="16.5" spans="1:16">
      <c r="A27" s="1">
        <v>22</v>
      </c>
      <c r="B27" s="213" t="s">
        <v>2459</v>
      </c>
      <c r="C27" s="100" t="s">
        <v>2460</v>
      </c>
      <c r="D27" s="100">
        <v>2</v>
      </c>
      <c r="E27" s="1">
        <v>2</v>
      </c>
      <c r="F27" s="179">
        <v>2</v>
      </c>
      <c r="G27" s="179">
        <v>2</v>
      </c>
      <c r="H27" s="179">
        <v>1</v>
      </c>
      <c r="I27" s="179">
        <v>3</v>
      </c>
      <c r="J27" s="100" t="s">
        <v>2444</v>
      </c>
      <c r="K27" s="100" t="s">
        <v>2445</v>
      </c>
      <c r="L27" s="100" t="s">
        <v>2445</v>
      </c>
      <c r="M27" s="100" t="s">
        <v>2444</v>
      </c>
      <c r="N27" s="100" t="s">
        <v>2446</v>
      </c>
      <c r="O27" t="s">
        <v>2447</v>
      </c>
      <c r="P27" t="s">
        <v>2448</v>
      </c>
    </row>
    <row r="28" ht="16.5" spans="1:16">
      <c r="A28" s="200">
        <v>23</v>
      </c>
      <c r="B28" t="s">
        <v>1756</v>
      </c>
      <c r="C28" s="100" t="s">
        <v>2461</v>
      </c>
      <c r="D28" s="100">
        <v>1</v>
      </c>
      <c r="E28" s="1">
        <v>2</v>
      </c>
      <c r="F28">
        <v>1</v>
      </c>
      <c r="G28" s="179">
        <v>2</v>
      </c>
      <c r="H28" s="179">
        <v>1</v>
      </c>
      <c r="I28" s="214">
        <v>3</v>
      </c>
      <c r="J28" s="100" t="s">
        <v>2462</v>
      </c>
      <c r="K28" s="100" t="s">
        <v>2463</v>
      </c>
      <c r="L28" s="100" t="s">
        <v>2463</v>
      </c>
      <c r="M28" s="100" t="s">
        <v>2462</v>
      </c>
      <c r="N28" s="100" t="s">
        <v>2464</v>
      </c>
      <c r="O28" s="100" t="s">
        <v>2465</v>
      </c>
      <c r="P28" s="100" t="s">
        <v>2466</v>
      </c>
    </row>
    <row r="29" ht="16.5" spans="1:16">
      <c r="A29" s="1">
        <v>24</v>
      </c>
      <c r="B29" t="s">
        <v>1753</v>
      </c>
      <c r="C29" s="100" t="s">
        <v>2467</v>
      </c>
      <c r="D29" s="100">
        <v>1</v>
      </c>
      <c r="E29" s="1">
        <v>2</v>
      </c>
      <c r="F29">
        <v>1</v>
      </c>
      <c r="G29">
        <v>1</v>
      </c>
      <c r="H29" s="179"/>
      <c r="I29" s="214">
        <v>2</v>
      </c>
      <c r="J29" s="100" t="s">
        <v>2468</v>
      </c>
      <c r="K29" s="100" t="s">
        <v>2469</v>
      </c>
      <c r="L29" s="100" t="s">
        <v>2469</v>
      </c>
      <c r="M29" s="100" t="s">
        <v>2468</v>
      </c>
      <c r="N29" s="100" t="s">
        <v>2470</v>
      </c>
      <c r="O29" s="100" t="s">
        <v>2471</v>
      </c>
      <c r="P29" s="100" t="s">
        <v>2472</v>
      </c>
    </row>
    <row r="30" ht="16.5" spans="1:16">
      <c r="A30" s="200">
        <v>25</v>
      </c>
      <c r="B30" t="s">
        <v>2473</v>
      </c>
      <c r="C30" s="100" t="s">
        <v>2474</v>
      </c>
      <c r="D30" s="100">
        <v>1</v>
      </c>
      <c r="E30" s="1">
        <v>2</v>
      </c>
      <c r="F30">
        <v>1</v>
      </c>
      <c r="G30">
        <v>1</v>
      </c>
      <c r="H30" s="179">
        <v>1</v>
      </c>
      <c r="I30" s="214">
        <v>3</v>
      </c>
      <c r="J30" t="s">
        <v>2475</v>
      </c>
      <c r="K30" t="s">
        <v>2476</v>
      </c>
      <c r="L30" t="s">
        <v>2476</v>
      </c>
      <c r="M30" t="s">
        <v>2475</v>
      </c>
      <c r="N30" s="100" t="s">
        <v>2477</v>
      </c>
      <c r="O30" s="100" t="s">
        <v>2478</v>
      </c>
      <c r="P30" s="100" t="s">
        <v>2479</v>
      </c>
    </row>
    <row r="31" ht="16.5" spans="1:16">
      <c r="A31" s="1">
        <v>26</v>
      </c>
      <c r="B31" t="s">
        <v>1660</v>
      </c>
      <c r="C31" s="100" t="s">
        <v>2480</v>
      </c>
      <c r="D31" s="100">
        <v>1</v>
      </c>
      <c r="E31" s="1">
        <v>2</v>
      </c>
      <c r="F31">
        <v>1</v>
      </c>
      <c r="G31">
        <v>1</v>
      </c>
      <c r="I31" s="214">
        <v>1</v>
      </c>
      <c r="J31" t="s">
        <v>2481</v>
      </c>
      <c r="K31" t="s">
        <v>2482</v>
      </c>
      <c r="L31" t="s">
        <v>2482</v>
      </c>
      <c r="M31" t="s">
        <v>2481</v>
      </c>
      <c r="N31" t="s">
        <v>2481</v>
      </c>
      <c r="O31" s="100"/>
      <c r="P31" t="s">
        <v>2482</v>
      </c>
    </row>
    <row r="32" ht="16.5" spans="1:16">
      <c r="A32" s="200">
        <v>27</v>
      </c>
      <c r="B32" t="s">
        <v>1815</v>
      </c>
      <c r="C32" s="100" t="s">
        <v>2483</v>
      </c>
      <c r="D32" s="100">
        <v>1</v>
      </c>
      <c r="E32" s="1">
        <v>2</v>
      </c>
      <c r="F32">
        <v>1</v>
      </c>
      <c r="G32">
        <v>1</v>
      </c>
      <c r="H32" s="179"/>
      <c r="I32" s="214">
        <v>2</v>
      </c>
      <c r="J32" s="100" t="s">
        <v>2484</v>
      </c>
      <c r="M32" s="100" t="s">
        <v>2484</v>
      </c>
      <c r="N32" s="100" t="s">
        <v>2484</v>
      </c>
      <c r="O32" s="100" t="s">
        <v>2485</v>
      </c>
      <c r="P32" s="100" t="s">
        <v>2486</v>
      </c>
    </row>
    <row r="33" ht="16.5" spans="1:16">
      <c r="A33" s="1">
        <v>28</v>
      </c>
      <c r="B33" t="s">
        <v>2487</v>
      </c>
      <c r="C33" s="100" t="s">
        <v>2488</v>
      </c>
      <c r="D33" s="100">
        <v>1</v>
      </c>
      <c r="E33" s="1">
        <v>2</v>
      </c>
      <c r="F33">
        <v>1</v>
      </c>
      <c r="G33">
        <v>1</v>
      </c>
      <c r="I33" s="214">
        <v>1</v>
      </c>
      <c r="J33" t="s">
        <v>2489</v>
      </c>
      <c r="K33" t="s">
        <v>2490</v>
      </c>
      <c r="L33" t="s">
        <v>2490</v>
      </c>
      <c r="M33" t="s">
        <v>2489</v>
      </c>
      <c r="N33" t="s">
        <v>2489</v>
      </c>
      <c r="O33" t="s">
        <v>2489</v>
      </c>
      <c r="P33" t="s">
        <v>2490</v>
      </c>
    </row>
    <row r="34" ht="16.5" spans="1:16">
      <c r="A34" s="200">
        <v>29</v>
      </c>
      <c r="B34" t="s">
        <v>2491</v>
      </c>
      <c r="C34" s="100" t="s">
        <v>2492</v>
      </c>
      <c r="D34" s="100">
        <v>1</v>
      </c>
      <c r="E34" s="1">
        <v>2</v>
      </c>
      <c r="F34">
        <v>1</v>
      </c>
      <c r="G34">
        <v>1</v>
      </c>
      <c r="I34" s="214">
        <v>1</v>
      </c>
      <c r="J34" t="s">
        <v>2493</v>
      </c>
      <c r="K34" t="s">
        <v>2494</v>
      </c>
      <c r="L34" t="s">
        <v>2494</v>
      </c>
      <c r="M34" t="s">
        <v>2493</v>
      </c>
      <c r="N34" t="s">
        <v>2493</v>
      </c>
      <c r="O34" t="s">
        <v>2493</v>
      </c>
      <c r="P34" t="s">
        <v>2494</v>
      </c>
    </row>
    <row r="35" ht="16.5" spans="1:16">
      <c r="A35" s="1">
        <v>30</v>
      </c>
      <c r="B35" t="s">
        <v>1739</v>
      </c>
      <c r="C35" s="100" t="s">
        <v>2495</v>
      </c>
      <c r="D35" s="100">
        <v>1</v>
      </c>
      <c r="E35" s="1">
        <v>2</v>
      </c>
      <c r="F35">
        <v>2</v>
      </c>
      <c r="G35">
        <v>1</v>
      </c>
      <c r="H35" s="179"/>
      <c r="I35" s="214">
        <v>1</v>
      </c>
      <c r="J35" t="s">
        <v>2496</v>
      </c>
      <c r="K35" t="s">
        <v>2497</v>
      </c>
      <c r="L35" t="s">
        <v>2497</v>
      </c>
      <c r="M35" t="s">
        <v>2496</v>
      </c>
      <c r="N35" t="s">
        <v>2496</v>
      </c>
      <c r="O35" t="s">
        <v>2496</v>
      </c>
      <c r="P35" t="s">
        <v>2497</v>
      </c>
    </row>
    <row r="36" ht="27.75" spans="1:18">
      <c r="A36" s="200">
        <v>31</v>
      </c>
      <c r="B36" t="s">
        <v>1711</v>
      </c>
      <c r="C36" s="100" t="s">
        <v>2498</v>
      </c>
      <c r="D36" s="100">
        <v>1</v>
      </c>
      <c r="E36" s="1">
        <v>2</v>
      </c>
      <c r="F36">
        <v>1</v>
      </c>
      <c r="G36">
        <v>2</v>
      </c>
      <c r="H36" s="179">
        <v>1</v>
      </c>
      <c r="I36" s="214">
        <v>3</v>
      </c>
      <c r="J36" t="s">
        <v>2499</v>
      </c>
      <c r="K36" t="s">
        <v>2500</v>
      </c>
      <c r="L36" t="s">
        <v>2500</v>
      </c>
      <c r="M36" t="s">
        <v>2499</v>
      </c>
      <c r="N36" s="100" t="s">
        <v>2501</v>
      </c>
      <c r="O36" s="100" t="s">
        <v>2502</v>
      </c>
      <c r="P36" s="100" t="s">
        <v>2503</v>
      </c>
      <c r="R36" s="213" t="s">
        <v>1712</v>
      </c>
    </row>
    <row r="37" ht="16.5" spans="1:16">
      <c r="A37" s="1">
        <v>32</v>
      </c>
      <c r="B37" t="s">
        <v>2504</v>
      </c>
      <c r="C37" s="100" t="s">
        <v>2505</v>
      </c>
      <c r="D37" s="100">
        <v>1</v>
      </c>
      <c r="E37" s="1">
        <v>2</v>
      </c>
      <c r="I37" s="214">
        <v>3</v>
      </c>
      <c r="J37" t="s">
        <v>2506</v>
      </c>
      <c r="K37" t="s">
        <v>2507</v>
      </c>
      <c r="L37" t="s">
        <v>2507</v>
      </c>
      <c r="M37" t="s">
        <v>2506</v>
      </c>
      <c r="N37" s="100" t="s">
        <v>2508</v>
      </c>
      <c r="O37" s="100" t="s">
        <v>2509</v>
      </c>
      <c r="P37" s="100" t="s">
        <v>2510</v>
      </c>
    </row>
    <row r="38" ht="16.5" spans="1:16">
      <c r="A38" s="200">
        <v>33</v>
      </c>
      <c r="B38" t="s">
        <v>1827</v>
      </c>
      <c r="C38" s="100" t="s">
        <v>2511</v>
      </c>
      <c r="D38" s="100">
        <v>1</v>
      </c>
      <c r="E38" s="1">
        <v>2</v>
      </c>
      <c r="F38">
        <v>1</v>
      </c>
      <c r="G38">
        <v>2</v>
      </c>
      <c r="H38" s="179"/>
      <c r="I38" s="214">
        <v>2</v>
      </c>
      <c r="J38" s="100" t="s">
        <v>2512</v>
      </c>
      <c r="M38" s="100" t="s">
        <v>2512</v>
      </c>
      <c r="N38" s="100" t="s">
        <v>2512</v>
      </c>
      <c r="O38" s="100" t="s">
        <v>2513</v>
      </c>
      <c r="P38" s="100" t="s">
        <v>2514</v>
      </c>
    </row>
    <row r="39" ht="16.5" spans="1:16">
      <c r="A39" s="1">
        <v>34</v>
      </c>
      <c r="B39" t="s">
        <v>1881</v>
      </c>
      <c r="C39" s="100" t="s">
        <v>2515</v>
      </c>
      <c r="D39" s="100">
        <v>1</v>
      </c>
      <c r="E39" s="1">
        <v>2</v>
      </c>
      <c r="F39">
        <v>1</v>
      </c>
      <c r="G39">
        <v>1</v>
      </c>
      <c r="H39" s="179">
        <v>1</v>
      </c>
      <c r="I39" s="214">
        <v>3</v>
      </c>
      <c r="J39" t="s">
        <v>2516</v>
      </c>
      <c r="K39" t="s">
        <v>2517</v>
      </c>
      <c r="L39" t="s">
        <v>2517</v>
      </c>
      <c r="M39" t="s">
        <v>2516</v>
      </c>
      <c r="N39" s="100" t="s">
        <v>2518</v>
      </c>
      <c r="O39" s="100" t="s">
        <v>2519</v>
      </c>
      <c r="P39" s="100" t="s">
        <v>2520</v>
      </c>
    </row>
    <row r="40" ht="16.5" spans="1:16">
      <c r="A40" s="200">
        <v>35</v>
      </c>
      <c r="B40" t="s">
        <v>2521</v>
      </c>
      <c r="C40" s="100" t="s">
        <v>2522</v>
      </c>
      <c r="D40" s="100">
        <v>1</v>
      </c>
      <c r="E40" s="1">
        <v>2</v>
      </c>
      <c r="F40">
        <v>1</v>
      </c>
      <c r="G40">
        <v>1</v>
      </c>
      <c r="H40" s="179"/>
      <c r="I40" s="214">
        <v>2</v>
      </c>
      <c r="N40" s="100" t="s">
        <v>2523</v>
      </c>
      <c r="O40" s="100" t="s">
        <v>2524</v>
      </c>
      <c r="P40" s="100" t="s">
        <v>2525</v>
      </c>
    </row>
    <row r="41" ht="16.5" spans="1:16">
      <c r="A41" s="1">
        <v>36</v>
      </c>
      <c r="B41" t="s">
        <v>1549</v>
      </c>
      <c r="C41" s="100" t="s">
        <v>2526</v>
      </c>
      <c r="D41" s="100">
        <v>1</v>
      </c>
      <c r="E41" s="1">
        <v>2</v>
      </c>
      <c r="F41">
        <v>1</v>
      </c>
      <c r="G41">
        <v>1</v>
      </c>
      <c r="H41" s="179">
        <v>1</v>
      </c>
      <c r="I41" s="214">
        <v>3</v>
      </c>
      <c r="J41" t="s">
        <v>2527</v>
      </c>
      <c r="K41" t="s">
        <v>2528</v>
      </c>
      <c r="L41" t="s">
        <v>2528</v>
      </c>
      <c r="M41" t="s">
        <v>2527</v>
      </c>
      <c r="N41" s="100" t="s">
        <v>2529</v>
      </c>
      <c r="O41" s="100" t="s">
        <v>2530</v>
      </c>
      <c r="P41" s="100" t="s">
        <v>2531</v>
      </c>
    </row>
    <row r="42" ht="16.5" spans="1:16">
      <c r="A42" s="200">
        <v>37</v>
      </c>
      <c r="B42" t="s">
        <v>1645</v>
      </c>
      <c r="C42" s="100" t="s">
        <v>2532</v>
      </c>
      <c r="D42" s="100">
        <v>1</v>
      </c>
      <c r="E42" s="1">
        <v>2</v>
      </c>
      <c r="F42">
        <v>1</v>
      </c>
      <c r="G42">
        <v>1</v>
      </c>
      <c r="H42" s="179">
        <v>1</v>
      </c>
      <c r="I42" s="214">
        <v>3</v>
      </c>
      <c r="J42" t="s">
        <v>2533</v>
      </c>
      <c r="K42" t="s">
        <v>2534</v>
      </c>
      <c r="L42" t="s">
        <v>2534</v>
      </c>
      <c r="M42" t="s">
        <v>2533</v>
      </c>
      <c r="N42" s="100" t="s">
        <v>2535</v>
      </c>
      <c r="O42" s="100" t="s">
        <v>2536</v>
      </c>
      <c r="P42" s="100" t="s">
        <v>2537</v>
      </c>
    </row>
    <row r="43" ht="16.5" spans="1:16">
      <c r="A43" s="1">
        <v>38</v>
      </c>
      <c r="B43" t="s">
        <v>1733</v>
      </c>
      <c r="C43" s="100" t="s">
        <v>2538</v>
      </c>
      <c r="D43" s="100">
        <v>1</v>
      </c>
      <c r="E43" s="1">
        <v>2</v>
      </c>
      <c r="F43">
        <v>2</v>
      </c>
      <c r="G43">
        <v>1</v>
      </c>
      <c r="H43" s="179">
        <v>1</v>
      </c>
      <c r="I43" s="214">
        <v>3</v>
      </c>
      <c r="J43" t="s">
        <v>2539</v>
      </c>
      <c r="K43" t="s">
        <v>2540</v>
      </c>
      <c r="L43" t="s">
        <v>2540</v>
      </c>
      <c r="M43" t="s">
        <v>2539</v>
      </c>
      <c r="N43" s="100" t="s">
        <v>2541</v>
      </c>
      <c r="O43" s="100" t="s">
        <v>2542</v>
      </c>
      <c r="P43" s="100" t="s">
        <v>2543</v>
      </c>
    </row>
    <row r="44" ht="16.5" spans="1:16">
      <c r="A44" s="200">
        <v>39</v>
      </c>
      <c r="B44" t="s">
        <v>1872</v>
      </c>
      <c r="C44" s="100" t="s">
        <v>2544</v>
      </c>
      <c r="D44" s="100">
        <v>1</v>
      </c>
      <c r="E44" s="1">
        <v>2</v>
      </c>
      <c r="F44">
        <v>1</v>
      </c>
      <c r="G44">
        <v>2</v>
      </c>
      <c r="H44" s="179">
        <v>1</v>
      </c>
      <c r="I44" s="214">
        <v>3</v>
      </c>
      <c r="J44" t="s">
        <v>2545</v>
      </c>
      <c r="K44" t="s">
        <v>2546</v>
      </c>
      <c r="L44" t="s">
        <v>2546</v>
      </c>
      <c r="M44" t="s">
        <v>2545</v>
      </c>
      <c r="N44" s="100" t="s">
        <v>2547</v>
      </c>
      <c r="O44" s="100" t="s">
        <v>2548</v>
      </c>
      <c r="P44" s="100" t="s">
        <v>2549</v>
      </c>
    </row>
    <row r="45" ht="16.5" spans="1:16">
      <c r="A45" s="1">
        <v>40</v>
      </c>
      <c r="B45" t="s">
        <v>1665</v>
      </c>
      <c r="C45" s="100" t="s">
        <v>2550</v>
      </c>
      <c r="D45" s="100">
        <v>1</v>
      </c>
      <c r="E45" s="1">
        <v>2</v>
      </c>
      <c r="G45">
        <v>2</v>
      </c>
      <c r="I45" s="214">
        <v>2</v>
      </c>
      <c r="J45" s="100" t="s">
        <v>2551</v>
      </c>
      <c r="M45" s="100" t="s">
        <v>2551</v>
      </c>
      <c r="N45" s="100" t="s">
        <v>2551</v>
      </c>
      <c r="O45" s="100" t="s">
        <v>2552</v>
      </c>
      <c r="P45" s="100" t="s">
        <v>2553</v>
      </c>
    </row>
    <row r="46" ht="16.5" spans="1:16">
      <c r="A46" s="200">
        <v>41</v>
      </c>
      <c r="B46" t="s">
        <v>1742</v>
      </c>
      <c r="C46" s="100" t="s">
        <v>2554</v>
      </c>
      <c r="D46" s="100">
        <v>1</v>
      </c>
      <c r="E46" s="1">
        <v>2</v>
      </c>
      <c r="G46">
        <v>1</v>
      </c>
      <c r="I46" s="214">
        <v>2</v>
      </c>
      <c r="J46" s="100" t="s">
        <v>2555</v>
      </c>
      <c r="M46" s="100" t="s">
        <v>2555</v>
      </c>
      <c r="N46" s="100" t="s">
        <v>2555</v>
      </c>
      <c r="O46" s="100" t="s">
        <v>2556</v>
      </c>
      <c r="P46" s="100" t="s">
        <v>2557</v>
      </c>
    </row>
    <row r="47" ht="16.5" spans="1:18">
      <c r="A47" s="95">
        <v>42</v>
      </c>
      <c r="B47" s="152" t="s">
        <v>1494</v>
      </c>
      <c r="C47" s="100" t="s">
        <v>2558</v>
      </c>
      <c r="D47" s="100">
        <v>1</v>
      </c>
      <c r="E47" s="1">
        <v>2</v>
      </c>
      <c r="I47" s="214">
        <v>2</v>
      </c>
      <c r="J47" s="100" t="s">
        <v>2559</v>
      </c>
      <c r="M47" s="100" t="s">
        <v>2559</v>
      </c>
      <c r="N47" s="100" t="s">
        <v>2559</v>
      </c>
      <c r="O47" s="100" t="s">
        <v>2560</v>
      </c>
      <c r="P47" s="100" t="s">
        <v>2561</v>
      </c>
      <c r="R47" s="213" t="s">
        <v>1697</v>
      </c>
    </row>
    <row r="48" ht="16.5" spans="1:16">
      <c r="A48" s="200">
        <v>43</v>
      </c>
      <c r="B48" t="s">
        <v>2562</v>
      </c>
      <c r="C48" s="100" t="s">
        <v>2563</v>
      </c>
      <c r="D48" s="100">
        <v>1</v>
      </c>
      <c r="E48" s="1">
        <v>2</v>
      </c>
      <c r="I48" s="214">
        <v>2</v>
      </c>
      <c r="J48" s="100" t="s">
        <v>2564</v>
      </c>
      <c r="M48" s="100" t="s">
        <v>2564</v>
      </c>
      <c r="N48" s="100" t="s">
        <v>2564</v>
      </c>
      <c r="O48" s="100" t="s">
        <v>2565</v>
      </c>
      <c r="P48" s="100" t="s">
        <v>2566</v>
      </c>
    </row>
    <row r="49" ht="16.5" spans="1:16">
      <c r="A49" s="1">
        <v>44</v>
      </c>
      <c r="B49" t="s">
        <v>2567</v>
      </c>
      <c r="C49" s="100" t="s">
        <v>2568</v>
      </c>
      <c r="D49" s="100">
        <v>1</v>
      </c>
      <c r="E49" s="1">
        <v>2</v>
      </c>
      <c r="I49" s="214">
        <v>2</v>
      </c>
      <c r="J49" s="100" t="s">
        <v>2569</v>
      </c>
      <c r="M49" s="100" t="s">
        <v>2569</v>
      </c>
      <c r="N49" s="100" t="s">
        <v>2569</v>
      </c>
      <c r="O49" s="100" t="s">
        <v>2570</v>
      </c>
      <c r="P49" s="100" t="s">
        <v>2571</v>
      </c>
    </row>
    <row r="50" ht="16.5" spans="1:16">
      <c r="A50" s="200">
        <v>45</v>
      </c>
      <c r="B50" t="s">
        <v>1726</v>
      </c>
      <c r="C50" s="100" t="s">
        <v>2572</v>
      </c>
      <c r="D50" s="100">
        <v>1</v>
      </c>
      <c r="E50" s="1">
        <v>2</v>
      </c>
      <c r="F50">
        <v>2</v>
      </c>
      <c r="I50" s="214">
        <v>3</v>
      </c>
      <c r="J50" t="s">
        <v>2573</v>
      </c>
      <c r="K50" t="s">
        <v>2574</v>
      </c>
      <c r="L50" t="s">
        <v>2574</v>
      </c>
      <c r="M50" t="s">
        <v>2573</v>
      </c>
      <c r="N50" s="100" t="s">
        <v>2575</v>
      </c>
      <c r="O50" s="100" t="s">
        <v>2576</v>
      </c>
      <c r="P50" s="100" t="s">
        <v>2577</v>
      </c>
    </row>
    <row r="51" ht="16.5" spans="1:18">
      <c r="A51" s="1">
        <v>46</v>
      </c>
      <c r="B51" t="s">
        <v>1729</v>
      </c>
      <c r="C51" s="100" t="s">
        <v>2578</v>
      </c>
      <c r="D51" s="100">
        <v>1</v>
      </c>
      <c r="E51" s="1">
        <v>2</v>
      </c>
      <c r="F51">
        <v>1</v>
      </c>
      <c r="I51" s="214">
        <v>3</v>
      </c>
      <c r="J51" t="s">
        <v>2579</v>
      </c>
      <c r="K51" t="s">
        <v>2580</v>
      </c>
      <c r="L51" t="s">
        <v>2580</v>
      </c>
      <c r="M51" t="s">
        <v>2579</v>
      </c>
      <c r="N51" s="100" t="s">
        <v>2581</v>
      </c>
      <c r="O51" s="100" t="s">
        <v>2582</v>
      </c>
      <c r="P51" s="100" t="s">
        <v>2583</v>
      </c>
      <c r="R51" s="213" t="s">
        <v>1730</v>
      </c>
    </row>
    <row r="52" ht="27.75" spans="1:18">
      <c r="A52" s="200">
        <v>47</v>
      </c>
      <c r="B52" t="s">
        <v>1702</v>
      </c>
      <c r="C52" s="100" t="s">
        <v>2584</v>
      </c>
      <c r="D52" s="100">
        <v>1</v>
      </c>
      <c r="E52" s="1">
        <v>2</v>
      </c>
      <c r="F52">
        <v>1</v>
      </c>
      <c r="G52">
        <v>0</v>
      </c>
      <c r="H52" s="179">
        <v>1</v>
      </c>
      <c r="I52" s="214">
        <v>3</v>
      </c>
      <c r="J52" t="s">
        <v>2585</v>
      </c>
      <c r="K52" t="s">
        <v>2586</v>
      </c>
      <c r="L52" t="s">
        <v>2586</v>
      </c>
      <c r="M52" t="s">
        <v>2585</v>
      </c>
      <c r="N52" s="100" t="s">
        <v>2587</v>
      </c>
      <c r="O52" s="100" t="s">
        <v>2588</v>
      </c>
      <c r="P52" s="100" t="s">
        <v>2589</v>
      </c>
      <c r="R52" s="213" t="s">
        <v>1620</v>
      </c>
    </row>
    <row r="53" ht="16.5" spans="1:16">
      <c r="A53" s="1">
        <v>48</v>
      </c>
      <c r="B53" s="1" t="s">
        <v>2590</v>
      </c>
      <c r="C53" s="100" t="s">
        <v>2591</v>
      </c>
      <c r="D53" s="100">
        <v>1</v>
      </c>
      <c r="E53" s="1">
        <v>2</v>
      </c>
      <c r="F53">
        <v>2</v>
      </c>
      <c r="I53" s="214">
        <v>3</v>
      </c>
      <c r="J53" t="s">
        <v>2592</v>
      </c>
      <c r="K53" t="s">
        <v>2593</v>
      </c>
      <c r="L53" t="s">
        <v>2593</v>
      </c>
      <c r="M53" t="s">
        <v>2592</v>
      </c>
      <c r="N53" s="100" t="s">
        <v>2594</v>
      </c>
      <c r="O53" s="100" t="s">
        <v>2595</v>
      </c>
      <c r="P53" s="100" t="s">
        <v>2596</v>
      </c>
    </row>
    <row r="54" ht="16.5" spans="1:18">
      <c r="A54" s="200">
        <v>49</v>
      </c>
      <c r="B54" s="1" t="s">
        <v>1746</v>
      </c>
      <c r="C54" s="100" t="s">
        <v>2597</v>
      </c>
      <c r="D54" s="1">
        <v>1</v>
      </c>
      <c r="E54" s="1">
        <v>2</v>
      </c>
      <c r="F54">
        <v>2</v>
      </c>
      <c r="G54">
        <v>0</v>
      </c>
      <c r="H54" s="179">
        <v>1</v>
      </c>
      <c r="I54">
        <v>3</v>
      </c>
      <c r="J54" t="s">
        <v>2598</v>
      </c>
      <c r="K54" t="s">
        <v>2599</v>
      </c>
      <c r="L54" t="s">
        <v>2599</v>
      </c>
      <c r="M54" t="s">
        <v>2598</v>
      </c>
      <c r="N54" s="100" t="s">
        <v>2600</v>
      </c>
      <c r="O54" s="100" t="s">
        <v>2601</v>
      </c>
      <c r="P54" s="100" t="s">
        <v>2602</v>
      </c>
      <c r="R54" s="215" t="s">
        <v>1748</v>
      </c>
    </row>
    <row r="55" ht="16.5" spans="1:16">
      <c r="A55" s="1">
        <v>50</v>
      </c>
      <c r="B55" s="1" t="s">
        <v>2603</v>
      </c>
      <c r="C55" s="100" t="s">
        <v>2604</v>
      </c>
      <c r="D55" s="1">
        <v>1</v>
      </c>
      <c r="E55" s="1">
        <v>2</v>
      </c>
      <c r="F55">
        <v>1</v>
      </c>
      <c r="I55">
        <v>1</v>
      </c>
      <c r="J55" t="s">
        <v>2605</v>
      </c>
      <c r="K55" t="s">
        <v>2606</v>
      </c>
      <c r="L55" t="s">
        <v>2606</v>
      </c>
      <c r="M55" t="s">
        <v>2605</v>
      </c>
      <c r="N55" t="s">
        <v>2605</v>
      </c>
      <c r="O55" s="100"/>
      <c r="P55" t="s">
        <v>2606</v>
      </c>
    </row>
    <row r="56" ht="16.5" spans="1:16">
      <c r="A56" s="200">
        <v>51</v>
      </c>
      <c r="B56" s="205" t="s">
        <v>1749</v>
      </c>
      <c r="C56" s="100" t="s">
        <v>2607</v>
      </c>
      <c r="D56" s="1">
        <v>1</v>
      </c>
      <c r="E56" s="1">
        <v>2</v>
      </c>
      <c r="F56">
        <v>1</v>
      </c>
      <c r="G56">
        <v>2</v>
      </c>
      <c r="H56" s="179">
        <v>1</v>
      </c>
      <c r="I56">
        <v>3</v>
      </c>
      <c r="J56" t="s">
        <v>2608</v>
      </c>
      <c r="K56" t="s">
        <v>2609</v>
      </c>
      <c r="L56" t="s">
        <v>2609</v>
      </c>
      <c r="M56" t="s">
        <v>2608</v>
      </c>
      <c r="N56" s="100" t="s">
        <v>2610</v>
      </c>
      <c r="O56" s="100" t="s">
        <v>2611</v>
      </c>
      <c r="P56" s="100" t="s">
        <v>2612</v>
      </c>
    </row>
    <row r="57" ht="16.5" spans="1:16">
      <c r="A57" s="1">
        <v>52</v>
      </c>
      <c r="B57" s="1" t="s">
        <v>2613</v>
      </c>
      <c r="C57" s="100" t="s">
        <v>2614</v>
      </c>
      <c r="D57" s="1">
        <v>1</v>
      </c>
      <c r="E57" s="1">
        <v>2</v>
      </c>
      <c r="G57">
        <v>2</v>
      </c>
      <c r="I57">
        <v>2</v>
      </c>
      <c r="N57" s="100" t="s">
        <v>2615</v>
      </c>
      <c r="O57" s="100" t="s">
        <v>2616</v>
      </c>
      <c r="P57" s="100" t="s">
        <v>2617</v>
      </c>
    </row>
    <row r="58" ht="16.5" spans="1:16">
      <c r="A58" s="200">
        <v>53</v>
      </c>
      <c r="B58" s="1" t="s">
        <v>1782</v>
      </c>
      <c r="C58" s="100" t="s">
        <v>2618</v>
      </c>
      <c r="D58" s="1">
        <v>1</v>
      </c>
      <c r="E58" s="1">
        <v>2</v>
      </c>
      <c r="F58">
        <v>1</v>
      </c>
      <c r="G58">
        <v>2</v>
      </c>
      <c r="H58" s="179">
        <v>1</v>
      </c>
      <c r="I58">
        <v>3</v>
      </c>
      <c r="J58" t="s">
        <v>2619</v>
      </c>
      <c r="K58" t="s">
        <v>2620</v>
      </c>
      <c r="L58" t="s">
        <v>2620</v>
      </c>
      <c r="M58" t="s">
        <v>2619</v>
      </c>
      <c r="N58" s="100" t="s">
        <v>2621</v>
      </c>
      <c r="O58" s="100" t="s">
        <v>2622</v>
      </c>
      <c r="P58" s="100" t="s">
        <v>2623</v>
      </c>
    </row>
    <row r="59" ht="16.5" spans="1:16">
      <c r="A59" s="1">
        <v>54</v>
      </c>
      <c r="B59" s="1" t="s">
        <v>2624</v>
      </c>
      <c r="C59" s="100" t="s">
        <v>2625</v>
      </c>
      <c r="D59" s="1">
        <v>1</v>
      </c>
      <c r="E59" s="1">
        <v>2</v>
      </c>
      <c r="F59">
        <v>2</v>
      </c>
      <c r="G59">
        <v>2</v>
      </c>
      <c r="H59" s="179">
        <v>1</v>
      </c>
      <c r="I59">
        <v>3</v>
      </c>
      <c r="J59" t="s">
        <v>2626</v>
      </c>
      <c r="K59" t="s">
        <v>2627</v>
      </c>
      <c r="L59" t="s">
        <v>2627</v>
      </c>
      <c r="M59" t="s">
        <v>2626</v>
      </c>
      <c r="N59" s="100" t="s">
        <v>2628</v>
      </c>
      <c r="O59" s="100" t="s">
        <v>2629</v>
      </c>
      <c r="P59" s="100" t="s">
        <v>2630</v>
      </c>
    </row>
    <row r="60" ht="16.5" spans="1:16">
      <c r="A60" s="200">
        <v>55</v>
      </c>
      <c r="B60" s="1" t="s">
        <v>1721</v>
      </c>
      <c r="C60" s="100" t="s">
        <v>2631</v>
      </c>
      <c r="D60" s="1">
        <v>1</v>
      </c>
      <c r="E60" s="1">
        <v>2</v>
      </c>
      <c r="F60">
        <v>1</v>
      </c>
      <c r="G60">
        <v>0</v>
      </c>
      <c r="H60" s="179">
        <v>1</v>
      </c>
      <c r="I60">
        <v>3</v>
      </c>
      <c r="J60" t="s">
        <v>2632</v>
      </c>
      <c r="K60" t="s">
        <v>2633</v>
      </c>
      <c r="L60" t="s">
        <v>2633</v>
      </c>
      <c r="M60" t="s">
        <v>2632</v>
      </c>
      <c r="N60" s="100" t="s">
        <v>2634</v>
      </c>
      <c r="O60" s="100" t="s">
        <v>2635</v>
      </c>
      <c r="P60" s="100" t="s">
        <v>2636</v>
      </c>
    </row>
    <row r="61" ht="16.5" spans="1:16">
      <c r="A61" s="1">
        <v>56</v>
      </c>
      <c r="B61" s="1" t="s">
        <v>2637</v>
      </c>
      <c r="C61" s="100" t="s">
        <v>2638</v>
      </c>
      <c r="D61" s="1">
        <v>1</v>
      </c>
      <c r="E61" s="1">
        <v>2</v>
      </c>
      <c r="F61">
        <v>1</v>
      </c>
      <c r="G61">
        <v>1</v>
      </c>
      <c r="I61">
        <v>1</v>
      </c>
      <c r="J61" t="s">
        <v>2639</v>
      </c>
      <c r="K61" t="s">
        <v>2640</v>
      </c>
      <c r="L61" t="s">
        <v>2640</v>
      </c>
      <c r="M61" t="s">
        <v>2639</v>
      </c>
      <c r="N61" t="s">
        <v>2639</v>
      </c>
      <c r="O61" s="100"/>
      <c r="P61" t="s">
        <v>2640</v>
      </c>
    </row>
    <row r="62" ht="16.5" spans="1:16">
      <c r="A62" s="200">
        <v>57</v>
      </c>
      <c r="B62" s="205" t="s">
        <v>1874</v>
      </c>
      <c r="C62" s="100" t="s">
        <v>2641</v>
      </c>
      <c r="D62" s="1">
        <v>1</v>
      </c>
      <c r="E62" s="1">
        <v>2</v>
      </c>
      <c r="F62">
        <v>1</v>
      </c>
      <c r="G62">
        <v>0</v>
      </c>
      <c r="H62" s="179">
        <v>1</v>
      </c>
      <c r="I62">
        <v>3</v>
      </c>
      <c r="J62" t="s">
        <v>2642</v>
      </c>
      <c r="K62" t="s">
        <v>2643</v>
      </c>
      <c r="L62" t="s">
        <v>2643</v>
      </c>
      <c r="M62" t="s">
        <v>2642</v>
      </c>
      <c r="N62" s="100" t="s">
        <v>2644</v>
      </c>
      <c r="O62" s="100" t="s">
        <v>2645</v>
      </c>
      <c r="P62" s="100" t="s">
        <v>2646</v>
      </c>
    </row>
    <row r="63" ht="16.5" spans="1:18">
      <c r="A63" s="1">
        <v>58</v>
      </c>
      <c r="B63" s="1" t="s">
        <v>1541</v>
      </c>
      <c r="C63" s="100" t="s">
        <v>2647</v>
      </c>
      <c r="D63" s="1">
        <v>1</v>
      </c>
      <c r="E63" s="1">
        <v>2</v>
      </c>
      <c r="I63">
        <v>2</v>
      </c>
      <c r="J63" s="100" t="s">
        <v>2648</v>
      </c>
      <c r="M63" s="100" t="s">
        <v>2648</v>
      </c>
      <c r="N63" s="100" t="s">
        <v>2648</v>
      </c>
      <c r="O63" s="100" t="s">
        <v>2649</v>
      </c>
      <c r="P63" s="100" t="s">
        <v>2650</v>
      </c>
      <c r="R63" s="1" t="s">
        <v>1542</v>
      </c>
    </row>
    <row r="64" ht="16.5" spans="1:16">
      <c r="A64" s="200">
        <v>59</v>
      </c>
      <c r="B64" s="1" t="s">
        <v>2651</v>
      </c>
      <c r="C64" s="100" t="s">
        <v>2652</v>
      </c>
      <c r="D64" s="1">
        <v>1</v>
      </c>
      <c r="E64" s="1">
        <v>2</v>
      </c>
      <c r="F64">
        <v>2</v>
      </c>
      <c r="G64">
        <v>1</v>
      </c>
      <c r="I64">
        <v>1</v>
      </c>
      <c r="J64" t="s">
        <v>2653</v>
      </c>
      <c r="K64" t="s">
        <v>2654</v>
      </c>
      <c r="L64" t="s">
        <v>2654</v>
      </c>
      <c r="M64" t="s">
        <v>2653</v>
      </c>
      <c r="N64" t="s">
        <v>2653</v>
      </c>
      <c r="O64" s="100"/>
      <c r="P64" t="s">
        <v>2654</v>
      </c>
    </row>
    <row r="65" ht="16.5" spans="1:16">
      <c r="A65" s="1">
        <v>60</v>
      </c>
      <c r="B65" s="1" t="s">
        <v>1784</v>
      </c>
      <c r="C65" s="100" t="s">
        <v>2655</v>
      </c>
      <c r="D65" s="1">
        <v>1</v>
      </c>
      <c r="E65" s="1">
        <v>2</v>
      </c>
      <c r="F65">
        <v>1</v>
      </c>
      <c r="G65">
        <v>2</v>
      </c>
      <c r="H65" s="179">
        <v>1</v>
      </c>
      <c r="I65">
        <v>3</v>
      </c>
      <c r="J65" t="s">
        <v>2619</v>
      </c>
      <c r="K65" t="s">
        <v>2620</v>
      </c>
      <c r="L65" t="s">
        <v>2620</v>
      </c>
      <c r="M65" t="s">
        <v>2619</v>
      </c>
      <c r="N65" s="100" t="s">
        <v>2621</v>
      </c>
      <c r="O65" s="100" t="s">
        <v>2622</v>
      </c>
      <c r="P65" s="100" t="s">
        <v>2623</v>
      </c>
    </row>
    <row r="66" ht="16.5" spans="1:16">
      <c r="A66" s="200">
        <v>61</v>
      </c>
      <c r="B66" s="1" t="s">
        <v>1789</v>
      </c>
      <c r="C66" s="100" t="s">
        <v>2656</v>
      </c>
      <c r="D66" s="1">
        <v>1</v>
      </c>
      <c r="E66" s="1">
        <v>2</v>
      </c>
      <c r="F66">
        <v>1</v>
      </c>
      <c r="G66">
        <v>2</v>
      </c>
      <c r="H66" s="179">
        <v>1</v>
      </c>
      <c r="I66">
        <v>3</v>
      </c>
      <c r="J66" s="100" t="s">
        <v>2462</v>
      </c>
      <c r="K66" s="100" t="s">
        <v>2463</v>
      </c>
      <c r="L66" s="100" t="s">
        <v>2463</v>
      </c>
      <c r="M66" s="100" t="s">
        <v>2462</v>
      </c>
      <c r="N66" s="100" t="s">
        <v>2464</v>
      </c>
      <c r="O66" s="100" t="s">
        <v>2465</v>
      </c>
      <c r="P66" s="100" t="s">
        <v>2466</v>
      </c>
    </row>
    <row r="67" ht="16.5" spans="1:16">
      <c r="A67" s="1">
        <v>62</v>
      </c>
      <c r="B67" s="1" t="s">
        <v>2657</v>
      </c>
      <c r="C67" s="100" t="s">
        <v>2658</v>
      </c>
      <c r="D67" s="1">
        <v>1</v>
      </c>
      <c r="E67" s="1">
        <v>2</v>
      </c>
      <c r="F67">
        <v>1</v>
      </c>
      <c r="H67" s="179">
        <v>1</v>
      </c>
      <c r="I67">
        <v>3</v>
      </c>
      <c r="J67" s="100" t="s">
        <v>2444</v>
      </c>
      <c r="K67" s="100" t="s">
        <v>2445</v>
      </c>
      <c r="L67" s="100" t="s">
        <v>2445</v>
      </c>
      <c r="M67" s="100" t="s">
        <v>2444</v>
      </c>
      <c r="N67" s="100" t="s">
        <v>2446</v>
      </c>
      <c r="O67" t="s">
        <v>2447</v>
      </c>
      <c r="P67" t="s">
        <v>2448</v>
      </c>
    </row>
    <row r="68" ht="16.5" spans="1:16">
      <c r="A68" s="200">
        <v>63</v>
      </c>
      <c r="B68" s="1" t="s">
        <v>1636</v>
      </c>
      <c r="C68" s="100" t="s">
        <v>2659</v>
      </c>
      <c r="D68" s="1">
        <v>1</v>
      </c>
      <c r="E68" s="1">
        <v>2</v>
      </c>
      <c r="H68" s="179"/>
      <c r="I68">
        <v>3</v>
      </c>
      <c r="J68" s="100" t="s">
        <v>2523</v>
      </c>
      <c r="K68" s="100" t="s">
        <v>2523</v>
      </c>
      <c r="L68" s="100" t="s">
        <v>2523</v>
      </c>
      <c r="M68" s="100" t="s">
        <v>2523</v>
      </c>
      <c r="N68" s="100" t="s">
        <v>2523</v>
      </c>
      <c r="O68" s="100" t="s">
        <v>2524</v>
      </c>
      <c r="P68" s="100" t="s">
        <v>2525</v>
      </c>
    </row>
    <row r="69" ht="16.5" spans="1:16">
      <c r="A69" s="1">
        <v>64</v>
      </c>
      <c r="B69" s="1" t="s">
        <v>1795</v>
      </c>
      <c r="C69" s="100" t="s">
        <v>2660</v>
      </c>
      <c r="D69" s="1">
        <v>1</v>
      </c>
      <c r="E69" s="1">
        <v>2</v>
      </c>
      <c r="F69">
        <v>1</v>
      </c>
      <c r="H69" s="179"/>
      <c r="I69">
        <v>3</v>
      </c>
      <c r="J69" t="s">
        <v>2639</v>
      </c>
      <c r="K69" t="s">
        <v>2640</v>
      </c>
      <c r="L69" t="s">
        <v>2640</v>
      </c>
      <c r="M69" t="s">
        <v>2639</v>
      </c>
      <c r="N69" t="s">
        <v>2639</v>
      </c>
      <c r="O69" t="s">
        <v>2639</v>
      </c>
      <c r="P69" t="s">
        <v>2640</v>
      </c>
    </row>
    <row r="70" ht="16.5" spans="1:18">
      <c r="A70" s="211">
        <v>65</v>
      </c>
      <c r="B70" s="95" t="s">
        <v>1681</v>
      </c>
      <c r="C70" s="1" t="s">
        <v>2661</v>
      </c>
      <c r="D70" s="1">
        <v>1</v>
      </c>
      <c r="E70" s="1">
        <v>2</v>
      </c>
      <c r="I70">
        <v>2</v>
      </c>
      <c r="J70" t="s">
        <v>2432</v>
      </c>
      <c r="M70" t="s">
        <v>2432</v>
      </c>
      <c r="N70" t="s">
        <v>2432</v>
      </c>
      <c r="O70" s="100" t="s">
        <v>2433</v>
      </c>
      <c r="P70" t="s">
        <v>2434</v>
      </c>
      <c r="R70" s="1" t="s">
        <v>1601</v>
      </c>
    </row>
    <row r="71" ht="16.5" spans="1:18">
      <c r="A71" s="95">
        <v>66</v>
      </c>
      <c r="B71" s="95" t="s">
        <v>1600</v>
      </c>
      <c r="C71" s="1" t="s">
        <v>2662</v>
      </c>
      <c r="D71" s="1">
        <v>1</v>
      </c>
      <c r="E71" s="1">
        <v>2</v>
      </c>
      <c r="I71">
        <v>2</v>
      </c>
      <c r="J71" t="s">
        <v>2432</v>
      </c>
      <c r="M71" t="s">
        <v>2432</v>
      </c>
      <c r="N71" t="s">
        <v>2432</v>
      </c>
      <c r="O71" s="100" t="s">
        <v>2433</v>
      </c>
      <c r="P71" t="s">
        <v>2434</v>
      </c>
      <c r="R71" s="1" t="s">
        <v>1601</v>
      </c>
    </row>
    <row r="72" ht="16.5" spans="1:18">
      <c r="A72" s="211">
        <v>67</v>
      </c>
      <c r="B72" s="95" t="s">
        <v>1803</v>
      </c>
      <c r="C72" s="1" t="s">
        <v>2663</v>
      </c>
      <c r="D72" s="1">
        <v>1</v>
      </c>
      <c r="E72" s="1">
        <v>2</v>
      </c>
      <c r="I72">
        <v>2</v>
      </c>
      <c r="J72" t="s">
        <v>2424</v>
      </c>
      <c r="M72" t="s">
        <v>2424</v>
      </c>
      <c r="N72" t="s">
        <v>2424</v>
      </c>
      <c r="O72" s="100" t="s">
        <v>2425</v>
      </c>
      <c r="P72" t="s">
        <v>2426</v>
      </c>
      <c r="R72" s="1" t="s">
        <v>1694</v>
      </c>
    </row>
    <row r="73" ht="27.75" spans="1:18">
      <c r="A73" s="95">
        <v>68</v>
      </c>
      <c r="B73" s="95" t="s">
        <v>1878</v>
      </c>
      <c r="C73" s="1" t="s">
        <v>2664</v>
      </c>
      <c r="D73" s="1">
        <v>1</v>
      </c>
      <c r="E73" s="1">
        <v>2</v>
      </c>
      <c r="I73">
        <v>2</v>
      </c>
      <c r="J73" t="s">
        <v>2440</v>
      </c>
      <c r="M73" t="s">
        <v>2440</v>
      </c>
      <c r="N73" t="s">
        <v>2440</v>
      </c>
      <c r="O73" s="100" t="s">
        <v>2441</v>
      </c>
      <c r="P73" t="s">
        <v>2442</v>
      </c>
      <c r="R73" s="213" t="s">
        <v>1562</v>
      </c>
    </row>
    <row r="74" ht="27.75" spans="1:18">
      <c r="A74" s="211">
        <v>69</v>
      </c>
      <c r="B74" s="95" t="s">
        <v>1928</v>
      </c>
      <c r="C74" s="1" t="s">
        <v>2665</v>
      </c>
      <c r="D74" s="1">
        <v>1</v>
      </c>
      <c r="E74" s="1">
        <v>2</v>
      </c>
      <c r="I74">
        <v>2</v>
      </c>
      <c r="J74" t="s">
        <v>2440</v>
      </c>
      <c r="M74" t="s">
        <v>2440</v>
      </c>
      <c r="N74" t="s">
        <v>2440</v>
      </c>
      <c r="O74" s="100" t="s">
        <v>2441</v>
      </c>
      <c r="P74" t="s">
        <v>2442</v>
      </c>
      <c r="R74" s="213" t="s">
        <v>1562</v>
      </c>
    </row>
    <row r="75" ht="16.5" spans="1:18">
      <c r="A75" s="95">
        <v>70</v>
      </c>
      <c r="B75" s="95" t="s">
        <v>1686</v>
      </c>
      <c r="C75" s="1" t="s">
        <v>2666</v>
      </c>
      <c r="D75" s="1">
        <v>1</v>
      </c>
      <c r="E75" s="1">
        <v>2</v>
      </c>
      <c r="I75">
        <v>2</v>
      </c>
      <c r="J75" t="s">
        <v>2428</v>
      </c>
      <c r="M75" t="s">
        <v>2428</v>
      </c>
      <c r="N75" t="s">
        <v>2428</v>
      </c>
      <c r="O75" s="100" t="s">
        <v>2429</v>
      </c>
      <c r="P75" t="s">
        <v>2430</v>
      </c>
      <c r="R75" s="1" t="s">
        <v>1687</v>
      </c>
    </row>
    <row r="76" ht="16.5" spans="1:18">
      <c r="A76" s="211">
        <v>71</v>
      </c>
      <c r="B76" s="95" t="s">
        <v>1922</v>
      </c>
      <c r="C76" s="1" t="s">
        <v>2667</v>
      </c>
      <c r="D76" s="1">
        <v>1</v>
      </c>
      <c r="E76" s="1">
        <v>2</v>
      </c>
      <c r="I76">
        <v>2</v>
      </c>
      <c r="J76" t="s">
        <v>2420</v>
      </c>
      <c r="M76" t="s">
        <v>2420</v>
      </c>
      <c r="N76" t="s">
        <v>2420</v>
      </c>
      <c r="O76" s="100" t="s">
        <v>2421</v>
      </c>
      <c r="P76" t="s">
        <v>2422</v>
      </c>
      <c r="R76" s="1" t="s">
        <v>1529</v>
      </c>
    </row>
    <row r="77" ht="16.5" spans="1:18">
      <c r="A77" s="95">
        <v>72</v>
      </c>
      <c r="B77" s="95" t="s">
        <v>1556</v>
      </c>
      <c r="C77" s="1" t="s">
        <v>2668</v>
      </c>
      <c r="D77" s="1">
        <v>1</v>
      </c>
      <c r="E77" s="1">
        <v>2</v>
      </c>
      <c r="I77">
        <v>2</v>
      </c>
      <c r="J77" t="s">
        <v>2416</v>
      </c>
      <c r="M77" t="s">
        <v>2416</v>
      </c>
      <c r="N77" t="s">
        <v>2416</v>
      </c>
      <c r="O77" s="100" t="s">
        <v>2417</v>
      </c>
      <c r="P77" t="s">
        <v>2418</v>
      </c>
      <c r="R77" s="1" t="s">
        <v>1557</v>
      </c>
    </row>
    <row r="78" spans="1:16">
      <c r="A78" s="211">
        <v>73</v>
      </c>
      <c r="B78" s="95" t="s">
        <v>2669</v>
      </c>
      <c r="C78" s="1" t="s">
        <v>2670</v>
      </c>
      <c r="D78" s="1">
        <v>1</v>
      </c>
      <c r="E78" s="1">
        <v>2</v>
      </c>
      <c r="I78">
        <v>1</v>
      </c>
      <c r="J78" t="s">
        <v>2506</v>
      </c>
      <c r="K78" t="s">
        <v>2507</v>
      </c>
      <c r="L78" t="s">
        <v>2507</v>
      </c>
      <c r="M78" t="s">
        <v>2506</v>
      </c>
      <c r="N78" t="s">
        <v>2506</v>
      </c>
      <c r="P78" t="s">
        <v>2507</v>
      </c>
    </row>
    <row r="79" ht="16.5" spans="1:18">
      <c r="A79" s="95">
        <v>74</v>
      </c>
      <c r="B79" s="95" t="s">
        <v>1800</v>
      </c>
      <c r="C79" s="1" t="s">
        <v>2671</v>
      </c>
      <c r="D79" s="1">
        <v>1</v>
      </c>
      <c r="E79" s="1">
        <v>2.5</v>
      </c>
      <c r="I79">
        <v>2</v>
      </c>
      <c r="J79" s="100" t="s">
        <v>2559</v>
      </c>
      <c r="M79" s="100" t="s">
        <v>2559</v>
      </c>
      <c r="N79" s="100" t="s">
        <v>2559</v>
      </c>
      <c r="O79" s="100" t="s">
        <v>2560</v>
      </c>
      <c r="P79" s="100" t="s">
        <v>2561</v>
      </c>
      <c r="R79" s="213" t="s">
        <v>1697</v>
      </c>
    </row>
    <row r="80" ht="16.5" spans="1:18">
      <c r="A80" s="211">
        <v>75</v>
      </c>
      <c r="B80" s="95" t="s">
        <v>1604</v>
      </c>
      <c r="C80" s="1" t="s">
        <v>2672</v>
      </c>
      <c r="D80" s="1">
        <v>1</v>
      </c>
      <c r="E80" s="1">
        <v>2</v>
      </c>
      <c r="I80">
        <v>2</v>
      </c>
      <c r="J80" s="100" t="s">
        <v>2648</v>
      </c>
      <c r="M80" s="100" t="s">
        <v>2648</v>
      </c>
      <c r="N80" s="100" t="s">
        <v>2648</v>
      </c>
      <c r="O80" s="100" t="s">
        <v>2649</v>
      </c>
      <c r="P80" s="100" t="s">
        <v>2650</v>
      </c>
      <c r="R80" s="1" t="s">
        <v>1705</v>
      </c>
    </row>
    <row r="81" ht="16.5" spans="1:18">
      <c r="A81" s="95">
        <v>76</v>
      </c>
      <c r="B81" s="95" t="s">
        <v>1871</v>
      </c>
      <c r="C81" s="1" t="s">
        <v>2673</v>
      </c>
      <c r="D81" s="1">
        <v>1</v>
      </c>
      <c r="E81" s="1">
        <v>2.5</v>
      </c>
      <c r="I81">
        <v>2</v>
      </c>
      <c r="J81" t="s">
        <v>2416</v>
      </c>
      <c r="M81" t="s">
        <v>2416</v>
      </c>
      <c r="N81" t="s">
        <v>2416</v>
      </c>
      <c r="O81" s="100" t="s">
        <v>2417</v>
      </c>
      <c r="P81" t="s">
        <v>2418</v>
      </c>
      <c r="R81" s="1" t="s">
        <v>1566</v>
      </c>
    </row>
    <row r="82" ht="27.75" spans="1:18">
      <c r="A82" s="211">
        <v>77</v>
      </c>
      <c r="B82" s="95" t="s">
        <v>1689</v>
      </c>
      <c r="C82" s="1" t="s">
        <v>2674</v>
      </c>
      <c r="D82" s="1">
        <v>1</v>
      </c>
      <c r="E82" s="1">
        <v>2.5</v>
      </c>
      <c r="I82">
        <v>2</v>
      </c>
      <c r="J82" t="s">
        <v>2416</v>
      </c>
      <c r="M82" t="s">
        <v>2416</v>
      </c>
      <c r="N82" t="s">
        <v>2416</v>
      </c>
      <c r="O82" s="100" t="s">
        <v>2417</v>
      </c>
      <c r="P82" t="s">
        <v>2418</v>
      </c>
      <c r="R82" s="213" t="s">
        <v>1557</v>
      </c>
    </row>
    <row r="83" ht="16.5" spans="1:16">
      <c r="A83" s="1">
        <v>78</v>
      </c>
      <c r="B83" s="1" t="s">
        <v>1820</v>
      </c>
      <c r="C83" s="1" t="s">
        <v>2675</v>
      </c>
      <c r="D83" s="1">
        <v>1</v>
      </c>
      <c r="E83" s="1">
        <v>2.5</v>
      </c>
      <c r="I83">
        <v>3</v>
      </c>
      <c r="J83" s="100" t="s">
        <v>2676</v>
      </c>
      <c r="K83" s="100" t="s">
        <v>2677</v>
      </c>
      <c r="L83" s="100" t="s">
        <v>2677</v>
      </c>
      <c r="M83" s="100" t="s">
        <v>2676</v>
      </c>
      <c r="N83" s="100" t="s">
        <v>2678</v>
      </c>
      <c r="O83" s="100" t="s">
        <v>2679</v>
      </c>
      <c r="P83" s="100" t="s">
        <v>2680</v>
      </c>
    </row>
    <row r="84" ht="16.5" spans="1:16">
      <c r="A84" s="200">
        <v>79</v>
      </c>
      <c r="B84" s="1" t="s">
        <v>2034</v>
      </c>
      <c r="C84" s="1" t="s">
        <v>2681</v>
      </c>
      <c r="D84" s="1">
        <v>1</v>
      </c>
      <c r="E84" s="1">
        <v>1.5</v>
      </c>
      <c r="I84">
        <v>3</v>
      </c>
      <c r="J84" s="100" t="s">
        <v>2682</v>
      </c>
      <c r="K84" s="100" t="s">
        <v>2683</v>
      </c>
      <c r="L84" s="100" t="s">
        <v>2683</v>
      </c>
      <c r="M84" s="100" t="s">
        <v>2682</v>
      </c>
      <c r="N84" s="100" t="s">
        <v>2684</v>
      </c>
      <c r="O84" s="100" t="s">
        <v>2685</v>
      </c>
      <c r="P84" s="100" t="s">
        <v>2686</v>
      </c>
    </row>
    <row r="85" spans="1:16">
      <c r="A85" s="1">
        <v>80</v>
      </c>
      <c r="B85" s="1" t="s">
        <v>1812</v>
      </c>
      <c r="C85" s="1" t="s">
        <v>2687</v>
      </c>
      <c r="D85" s="1">
        <v>1</v>
      </c>
      <c r="E85" s="1">
        <v>2</v>
      </c>
      <c r="F85">
        <v>2</v>
      </c>
      <c r="G85">
        <v>1</v>
      </c>
      <c r="J85" t="s">
        <v>2688</v>
      </c>
      <c r="K85" t="s">
        <v>2689</v>
      </c>
      <c r="L85" t="s">
        <v>2689</v>
      </c>
      <c r="M85" t="s">
        <v>2688</v>
      </c>
      <c r="N85" t="s">
        <v>2688</v>
      </c>
      <c r="P85" t="s">
        <v>2689</v>
      </c>
    </row>
    <row r="86" spans="1:16">
      <c r="A86" s="1">
        <v>81</v>
      </c>
      <c r="B86" s="1" t="s">
        <v>1818</v>
      </c>
      <c r="C86" s="1" t="s">
        <v>2690</v>
      </c>
      <c r="D86" s="1">
        <v>1</v>
      </c>
      <c r="E86" s="1">
        <v>2</v>
      </c>
      <c r="F86">
        <v>2</v>
      </c>
      <c r="G86">
        <v>2</v>
      </c>
      <c r="J86" t="s">
        <v>2691</v>
      </c>
      <c r="K86" t="s">
        <v>2692</v>
      </c>
      <c r="L86" t="s">
        <v>2692</v>
      </c>
      <c r="M86" t="s">
        <v>2691</v>
      </c>
      <c r="N86" t="s">
        <v>2693</v>
      </c>
      <c r="O86" t="s">
        <v>2694</v>
      </c>
      <c r="P86" t="s">
        <v>2695</v>
      </c>
    </row>
    <row r="87" spans="1:16">
      <c r="A87" s="1">
        <v>82</v>
      </c>
      <c r="B87" s="1" t="s">
        <v>2696</v>
      </c>
      <c r="C87" t="s">
        <v>2697</v>
      </c>
      <c r="D87" s="1">
        <v>1</v>
      </c>
      <c r="E87" s="1">
        <v>2</v>
      </c>
      <c r="J87" t="s">
        <v>2698</v>
      </c>
      <c r="K87" t="s">
        <v>2699</v>
      </c>
      <c r="L87" t="s">
        <v>2699</v>
      </c>
      <c r="M87" t="s">
        <v>2700</v>
      </c>
      <c r="N87" t="s">
        <v>2700</v>
      </c>
      <c r="O87" t="s">
        <v>2701</v>
      </c>
      <c r="P87" t="s">
        <v>2702</v>
      </c>
    </row>
    <row r="88" spans="1:16">
      <c r="A88" s="1">
        <v>83</v>
      </c>
      <c r="B88" s="1" t="s">
        <v>2703</v>
      </c>
      <c r="C88" s="1" t="s">
        <v>2704</v>
      </c>
      <c r="D88" s="1">
        <v>1</v>
      </c>
      <c r="E88" s="1">
        <v>2</v>
      </c>
      <c r="J88" t="s">
        <v>2705</v>
      </c>
      <c r="K88" t="s">
        <v>2706</v>
      </c>
      <c r="L88" t="s">
        <v>2706</v>
      </c>
      <c r="M88" t="s">
        <v>2707</v>
      </c>
      <c r="N88" t="s">
        <v>2707</v>
      </c>
      <c r="O88" t="s">
        <v>2708</v>
      </c>
      <c r="P88" t="s">
        <v>2709</v>
      </c>
    </row>
    <row r="89" spans="1:16">
      <c r="A89" s="1">
        <v>84</v>
      </c>
      <c r="B89" s="1" t="s">
        <v>2710</v>
      </c>
      <c r="C89" s="1" t="s">
        <v>2711</v>
      </c>
      <c r="D89" s="1">
        <v>1</v>
      </c>
      <c r="E89" s="1">
        <v>2</v>
      </c>
      <c r="J89" t="s">
        <v>2712</v>
      </c>
      <c r="K89" t="s">
        <v>2713</v>
      </c>
      <c r="L89" t="s">
        <v>2713</v>
      </c>
      <c r="M89" t="s">
        <v>2714</v>
      </c>
      <c r="N89" t="s">
        <v>2714</v>
      </c>
      <c r="O89" t="s">
        <v>2715</v>
      </c>
      <c r="P89" t="s">
        <v>2716</v>
      </c>
    </row>
    <row r="90" spans="1:16">
      <c r="A90" s="1">
        <v>85</v>
      </c>
      <c r="B90" s="1" t="s">
        <v>2717</v>
      </c>
      <c r="C90" s="1" t="s">
        <v>2718</v>
      </c>
      <c r="D90" s="1">
        <v>1</v>
      </c>
      <c r="E90" s="1">
        <v>2</v>
      </c>
      <c r="J90" t="s">
        <v>2719</v>
      </c>
      <c r="K90" t="s">
        <v>2720</v>
      </c>
      <c r="L90" t="s">
        <v>2720</v>
      </c>
      <c r="M90" t="s">
        <v>2721</v>
      </c>
      <c r="N90" t="s">
        <v>2721</v>
      </c>
      <c r="O90" t="s">
        <v>2722</v>
      </c>
      <c r="P90" t="s">
        <v>2723</v>
      </c>
    </row>
    <row r="91" spans="1:16">
      <c r="A91" s="1">
        <v>86</v>
      </c>
      <c r="B91" s="1" t="s">
        <v>2724</v>
      </c>
      <c r="C91" s="1" t="s">
        <v>2725</v>
      </c>
      <c r="D91" s="1">
        <v>1</v>
      </c>
      <c r="E91" s="1">
        <v>2</v>
      </c>
      <c r="J91" t="s">
        <v>2726</v>
      </c>
      <c r="K91" t="s">
        <v>2727</v>
      </c>
      <c r="L91" t="s">
        <v>2727</v>
      </c>
      <c r="M91" t="s">
        <v>2728</v>
      </c>
      <c r="N91" t="s">
        <v>2728</v>
      </c>
      <c r="O91" t="s">
        <v>2729</v>
      </c>
      <c r="P91" t="s">
        <v>2730</v>
      </c>
    </row>
    <row r="92" spans="1:16">
      <c r="A92" s="1">
        <v>87</v>
      </c>
      <c r="B92" s="1" t="s">
        <v>2731</v>
      </c>
      <c r="C92" s="1" t="s">
        <v>2732</v>
      </c>
      <c r="D92" s="1">
        <v>1</v>
      </c>
      <c r="E92" s="1">
        <v>2</v>
      </c>
      <c r="J92" t="s">
        <v>2733</v>
      </c>
      <c r="K92" t="s">
        <v>2734</v>
      </c>
      <c r="L92" t="s">
        <v>2734</v>
      </c>
      <c r="M92" t="s">
        <v>2735</v>
      </c>
      <c r="N92" t="s">
        <v>2735</v>
      </c>
      <c r="O92" t="s">
        <v>2736</v>
      </c>
      <c r="P92" t="s">
        <v>2737</v>
      </c>
    </row>
    <row r="93" spans="1:16">
      <c r="A93" s="1">
        <v>88</v>
      </c>
      <c r="B93" s="1" t="s">
        <v>2738</v>
      </c>
      <c r="C93" s="1" t="s">
        <v>2739</v>
      </c>
      <c r="D93" s="1">
        <v>1</v>
      </c>
      <c r="E93" s="1">
        <v>2</v>
      </c>
      <c r="J93" t="s">
        <v>2740</v>
      </c>
      <c r="K93" t="s">
        <v>2741</v>
      </c>
      <c r="L93" t="s">
        <v>2741</v>
      </c>
      <c r="M93" t="s">
        <v>2742</v>
      </c>
      <c r="N93" t="s">
        <v>2742</v>
      </c>
      <c r="O93" t="s">
        <v>2743</v>
      </c>
      <c r="P93" t="s">
        <v>2744</v>
      </c>
    </row>
    <row r="94" spans="1:16">
      <c r="A94" s="1">
        <v>89</v>
      </c>
      <c r="B94" s="1" t="s">
        <v>2745</v>
      </c>
      <c r="C94" s="1" t="s">
        <v>2746</v>
      </c>
      <c r="D94" s="1">
        <v>1</v>
      </c>
      <c r="E94" s="1">
        <v>2</v>
      </c>
      <c r="J94" t="s">
        <v>2747</v>
      </c>
      <c r="K94" t="s">
        <v>2748</v>
      </c>
      <c r="L94" t="s">
        <v>2748</v>
      </c>
      <c r="M94" t="s">
        <v>2749</v>
      </c>
      <c r="N94" t="s">
        <v>2749</v>
      </c>
      <c r="O94" t="s">
        <v>2750</v>
      </c>
      <c r="P94" t="s">
        <v>2751</v>
      </c>
    </row>
    <row r="95" spans="1:16">
      <c r="A95" s="1">
        <v>90</v>
      </c>
      <c r="B95" s="1" t="s">
        <v>2752</v>
      </c>
      <c r="C95" s="1" t="s">
        <v>2753</v>
      </c>
      <c r="D95" s="1">
        <v>1</v>
      </c>
      <c r="E95" s="1">
        <v>2</v>
      </c>
      <c r="J95" t="s">
        <v>2754</v>
      </c>
      <c r="K95" t="s">
        <v>2755</v>
      </c>
      <c r="L95" t="s">
        <v>2755</v>
      </c>
      <c r="M95" t="s">
        <v>2756</v>
      </c>
      <c r="N95" t="s">
        <v>2756</v>
      </c>
      <c r="O95" t="s">
        <v>2757</v>
      </c>
      <c r="P95" t="s">
        <v>2758</v>
      </c>
    </row>
  </sheetData>
  <autoFilter xmlns:etc="http://www.wps.cn/officeDocument/2017/etCustomData" ref="A5:P95" etc:filterBottomFollowUsedRange="0">
    <extLst/>
  </autoFilter>
  <conditionalFormatting sqref="A1:A95">
    <cfRule type="duplicateValues" dxfId="9" priority="3"/>
  </conditionalFormatting>
  <conditionalFormatting sqref="A6:A95">
    <cfRule type="duplicateValues" dxfId="9" priority="4"/>
  </conditionalFormatting>
  <pageMargins left="0.7" right="0.7" top="0.75" bottom="0.75" header="0.3" footer="0.3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E548"/>
  <sheetViews>
    <sheetView zoomScale="70" zoomScaleNormal="70" workbookViewId="0">
      <pane ySplit="5" topLeftCell="A335" activePane="bottomLeft" state="frozen"/>
      <selection/>
      <selection pane="bottomLeft" activeCell="D348" sqref="D348"/>
    </sheetView>
  </sheetViews>
  <sheetFormatPr defaultColWidth="9" defaultRowHeight="15"/>
  <cols>
    <col min="1" max="1" width="13.3716814159292" style="45" customWidth="1"/>
    <col min="2" max="2" width="9.24778761061947" style="45" customWidth="1"/>
    <col min="3" max="3" width="7.24778761061947" style="45" customWidth="1"/>
    <col min="4" max="5" width="10" style="45" customWidth="1"/>
    <col min="6" max="7" width="6.50442477876106" style="45" customWidth="1"/>
    <col min="8" max="8" width="10" style="45" customWidth="1"/>
    <col min="9" max="9" width="9.87610619469027" style="46" customWidth="1"/>
    <col min="10" max="10" width="12.7522123893805" style="46" customWidth="1"/>
    <col min="11" max="11" width="11.2477876106195" style="46" customWidth="1"/>
    <col min="12" max="15" width="10.6283185840708" style="46" customWidth="1"/>
    <col min="16" max="16" width="9" style="46"/>
    <col min="17" max="17" width="11.3716814159292" style="46" customWidth="1"/>
    <col min="18" max="18" width="11.7522123893805" style="46" customWidth="1"/>
    <col min="19" max="19" width="6.87610619469027" style="46" customWidth="1"/>
    <col min="20" max="20" width="10.3716814159292" style="47"/>
    <col min="21" max="21" width="12.6283185840708" style="47"/>
    <col min="22" max="22" width="14.1238938053097" style="47"/>
    <col min="23" max="16384" width="9" style="47"/>
  </cols>
  <sheetData>
    <row r="1" ht="30" spans="1:24">
      <c r="A1" s="45" t="s">
        <v>2759</v>
      </c>
      <c r="J1" s="46">
        <v>1</v>
      </c>
      <c r="K1" s="46">
        <v>1</v>
      </c>
      <c r="L1" s="46">
        <v>1.3</v>
      </c>
      <c r="M1" s="46">
        <v>1.1</v>
      </c>
      <c r="N1" s="46">
        <v>2</v>
      </c>
      <c r="T1" s="47">
        <v>1.2</v>
      </c>
      <c r="U1" s="205">
        <v>17600</v>
      </c>
      <c r="V1" s="205">
        <v>60000</v>
      </c>
      <c r="W1" s="205">
        <v>10000</v>
      </c>
      <c r="X1" s="205">
        <v>60000</v>
      </c>
    </row>
    <row r="2" ht="45" spans="1:24">
      <c r="A2" s="45" t="s">
        <v>2760</v>
      </c>
      <c r="B2" s="45" t="s">
        <v>2761</v>
      </c>
      <c r="C2" s="45" t="s">
        <v>2762</v>
      </c>
      <c r="D2" s="45" t="s">
        <v>1508</v>
      </c>
      <c r="E2" s="45" t="s">
        <v>2763</v>
      </c>
      <c r="F2" s="45" t="s">
        <v>2764</v>
      </c>
      <c r="G2" s="45" t="s">
        <v>2765</v>
      </c>
      <c r="H2" s="45" t="s">
        <v>2766</v>
      </c>
      <c r="I2" s="49" t="s">
        <v>2767</v>
      </c>
      <c r="J2" s="49" t="s">
        <v>2768</v>
      </c>
      <c r="K2" s="49" t="s">
        <v>2769</v>
      </c>
      <c r="L2" s="49" t="s">
        <v>2770</v>
      </c>
      <c r="M2" s="46" t="s">
        <v>1151</v>
      </c>
      <c r="N2" s="46" t="s">
        <v>2771</v>
      </c>
      <c r="O2" s="49" t="s">
        <v>2772</v>
      </c>
      <c r="P2" s="49" t="s">
        <v>2773</v>
      </c>
      <c r="Q2" s="49" t="s">
        <v>2774</v>
      </c>
      <c r="R2" s="49" t="s">
        <v>2775</v>
      </c>
      <c r="S2" s="49" t="s">
        <v>2776</v>
      </c>
      <c r="T2" s="206" t="s">
        <v>2777</v>
      </c>
      <c r="U2" s="47" t="s">
        <v>2778</v>
      </c>
      <c r="W2" s="47" t="s">
        <v>2779</v>
      </c>
      <c r="X2" s="47" t="s">
        <v>2780</v>
      </c>
    </row>
    <row r="3" spans="1:20">
      <c r="A3" s="45" t="s">
        <v>109</v>
      </c>
      <c r="B3" s="45" t="s">
        <v>110</v>
      </c>
      <c r="C3" s="45" t="s">
        <v>109</v>
      </c>
      <c r="D3" s="45" t="s">
        <v>109</v>
      </c>
      <c r="E3" s="45" t="s">
        <v>109</v>
      </c>
      <c r="H3" s="45" t="s">
        <v>109</v>
      </c>
      <c r="I3" s="45" t="s">
        <v>109</v>
      </c>
      <c r="J3" s="45" t="s">
        <v>109</v>
      </c>
      <c r="K3" s="45" t="s">
        <v>109</v>
      </c>
      <c r="L3" s="46" t="s">
        <v>109</v>
      </c>
      <c r="M3" s="46" t="s">
        <v>109</v>
      </c>
      <c r="N3" s="46" t="s">
        <v>109</v>
      </c>
      <c r="O3" s="46" t="s">
        <v>109</v>
      </c>
      <c r="P3" s="46" t="s">
        <v>109</v>
      </c>
      <c r="T3" s="207" t="s">
        <v>109</v>
      </c>
    </row>
    <row r="4" ht="30" spans="1:20">
      <c r="A4" s="45" t="s">
        <v>62</v>
      </c>
      <c r="B4" s="45" t="s">
        <v>64</v>
      </c>
      <c r="C4" s="45" t="s">
        <v>2781</v>
      </c>
      <c r="D4" s="45" t="s">
        <v>1521</v>
      </c>
      <c r="H4" s="45" t="s">
        <v>2782</v>
      </c>
      <c r="I4" s="46" t="s">
        <v>2783</v>
      </c>
      <c r="J4" s="46" t="s">
        <v>2784</v>
      </c>
      <c r="K4" s="46" t="s">
        <v>2785</v>
      </c>
      <c r="L4" s="46" t="s">
        <v>2786</v>
      </c>
      <c r="M4" s="46" t="s">
        <v>2787</v>
      </c>
      <c r="N4" s="46" t="s">
        <v>2788</v>
      </c>
      <c r="O4" s="46" t="s">
        <v>2789</v>
      </c>
      <c r="P4" s="46" t="s">
        <v>1036</v>
      </c>
      <c r="T4" s="97" t="s">
        <v>1522</v>
      </c>
    </row>
    <row r="5" ht="30" spans="1:20">
      <c r="A5" s="45" t="s">
        <v>62</v>
      </c>
      <c r="C5" s="45" t="s">
        <v>2781</v>
      </c>
      <c r="D5" s="45" t="s">
        <v>1521</v>
      </c>
      <c r="E5" s="45" t="s">
        <v>2790</v>
      </c>
      <c r="H5" s="45" t="s">
        <v>2782</v>
      </c>
      <c r="I5" s="46" t="s">
        <v>2783</v>
      </c>
      <c r="J5" s="46" t="s">
        <v>2784</v>
      </c>
      <c r="K5" s="46" t="s">
        <v>2785</v>
      </c>
      <c r="L5" s="46" t="s">
        <v>2786</v>
      </c>
      <c r="M5" s="46" t="s">
        <v>2787</v>
      </c>
      <c r="N5" s="46" t="s">
        <v>2788</v>
      </c>
      <c r="O5" s="46" t="s">
        <v>2789</v>
      </c>
      <c r="P5" s="46" t="s">
        <v>1036</v>
      </c>
      <c r="T5" s="97" t="s">
        <v>1522</v>
      </c>
    </row>
    <row r="6" spans="1:22">
      <c r="A6" s="45">
        <f>C6*1000+D6</f>
        <v>1101</v>
      </c>
      <c r="B6" s="46" t="s">
        <v>2791</v>
      </c>
      <c r="C6" s="45">
        <v>1</v>
      </c>
      <c r="D6" s="1">
        <v>101</v>
      </c>
      <c r="E6" s="78"/>
      <c r="F6" s="46">
        <f>C6*1000+P6</f>
        <v>1009</v>
      </c>
      <c r="G6" s="46">
        <v>1.2</v>
      </c>
      <c r="H6" s="46">
        <v>5</v>
      </c>
      <c r="I6" s="46">
        <v>10</v>
      </c>
      <c r="J6" s="46">
        <v>10</v>
      </c>
      <c r="K6" s="46" t="e">
        <f ca="1">ROUND(Q6*0.95,0)</f>
        <v>#VALUE!</v>
      </c>
      <c r="L6" s="46" t="e">
        <f ca="1">ROUND(Q6*1.05,0)</f>
        <v>#VALUE!</v>
      </c>
      <c r="M6" s="46" t="e">
        <f ca="1" t="shared" ref="M6:M40" si="0">$J$1*S6</f>
        <v>#VALUE!</v>
      </c>
      <c r="N6" s="46" t="e">
        <f ca="1">ROUND(M6/$N$1,0)</f>
        <v>#VALUE!</v>
      </c>
      <c r="O6" s="46">
        <v>3</v>
      </c>
      <c r="P6" s="46">
        <v>9</v>
      </c>
      <c r="Q6" s="46" t="e">
        <f ca="1">G6*(R6+S6-N6)*V6</f>
        <v>#VALUE!</v>
      </c>
      <c r="R6" s="46" t="e">
        <f ca="1">OFFSET([2]怪物强度模型!$K$1,MATCH(F6,[2]怪物强度模型!$A:$A,0)-1,0)</f>
        <v>#VALUE!</v>
      </c>
      <c r="S6" s="46" t="e">
        <f ca="1">OFFSET([2]怪物强度模型!$O$1,MATCH(F6,[2]怪物强度模型!$A:$A,0)-1,0)</f>
        <v>#VALUE!</v>
      </c>
      <c r="T6" s="47" t="e">
        <f ca="1">ROUND(U6*$T$1,0)</f>
        <v>#VALUE!</v>
      </c>
      <c r="U6" s="47" t="e">
        <f ca="1">Q6+N6*$V$1/10000+$V$1*OFFSET(卡牌辅助配置表!$V$1,MATCH(C6,卡牌辅助配置表!U:U,0)-1,0)*5*P6/10000/10000+M6*$V$1/10000</f>
        <v>#VALUE!</v>
      </c>
      <c r="V6" s="46" t="e">
        <f ca="1">OFFSET([2]怪物强度模型!$I$1,MATCH(F6,[2]怪物强度模型!$A:$A,0)-1,0)</f>
        <v>#VALUE!</v>
      </c>
    </row>
    <row r="7" spans="1:22">
      <c r="A7" s="45">
        <f t="shared" ref="A7:A38" si="1">C7*1000+D7</f>
        <v>1102</v>
      </c>
      <c r="B7" s="46" t="s">
        <v>2791</v>
      </c>
      <c r="C7" s="45">
        <v>1</v>
      </c>
      <c r="D7" s="1">
        <v>102</v>
      </c>
      <c r="E7" s="78"/>
      <c r="F7" s="46">
        <f t="shared" ref="F7:F40" si="2">C7*1000+P7</f>
        <v>1009</v>
      </c>
      <c r="G7" s="46">
        <v>1.3</v>
      </c>
      <c r="H7" s="46">
        <v>5</v>
      </c>
      <c r="I7" s="46">
        <v>10</v>
      </c>
      <c r="J7" s="46">
        <v>10</v>
      </c>
      <c r="K7" s="46" t="e">
        <f ca="1" t="shared" ref="K7:K40" si="3">ROUND(Q7*0.95,0)</f>
        <v>#VALUE!</v>
      </c>
      <c r="L7" s="46" t="e">
        <f ca="1" t="shared" ref="L7:L40" si="4">ROUND(Q7*1.05,0)</f>
        <v>#VALUE!</v>
      </c>
      <c r="M7" s="46" t="e">
        <f ca="1" t="shared" si="0"/>
        <v>#VALUE!</v>
      </c>
      <c r="N7" s="46" t="e">
        <f ca="1" t="shared" ref="N7:N37" si="5">ROUND(M7/$N$1,0)</f>
        <v>#VALUE!</v>
      </c>
      <c r="O7" s="46">
        <v>3</v>
      </c>
      <c r="P7" s="46">
        <v>9</v>
      </c>
      <c r="Q7" s="46" t="e">
        <f ca="1" t="shared" ref="Q7:Q70" si="6">G7*(R7+S7-N7)*V7</f>
        <v>#VALUE!</v>
      </c>
      <c r="R7" s="46" t="e">
        <f ca="1">OFFSET([2]怪物强度模型!$K$1,MATCH(F7,[2]怪物强度模型!$A:$A,0)-1,0)</f>
        <v>#VALUE!</v>
      </c>
      <c r="S7" s="46" t="e">
        <f ca="1">OFFSET([2]怪物强度模型!$O$1,MATCH(F7,[2]怪物强度模型!$A:$A,0)-1,0)</f>
        <v>#VALUE!</v>
      </c>
      <c r="T7" s="47" t="e">
        <f ca="1" t="shared" ref="T7:T70" si="7">ROUND(U7*$T$1,0)</f>
        <v>#VALUE!</v>
      </c>
      <c r="U7" s="47" t="e">
        <f ca="1">Q7+N7*$V$1/10000+$V$1*OFFSET(卡牌辅助配置表!$V$1,MATCH(C7,卡牌辅助配置表!U:U,0)-1,0)*5*P7/10000/10000+M7*$V$1/10000</f>
        <v>#VALUE!</v>
      </c>
      <c r="V7" s="46" t="e">
        <f ca="1">OFFSET([2]怪物强度模型!$I$1,MATCH(F7,[2]怪物强度模型!$A:$A,0)-1,0)</f>
        <v>#VALUE!</v>
      </c>
    </row>
    <row r="8" spans="1:22">
      <c r="A8" s="45">
        <f t="shared" si="1"/>
        <v>1103</v>
      </c>
      <c r="B8" s="46" t="s">
        <v>2791</v>
      </c>
      <c r="C8" s="45">
        <v>1</v>
      </c>
      <c r="D8" s="1">
        <v>103</v>
      </c>
      <c r="E8" s="78"/>
      <c r="F8" s="46">
        <f t="shared" si="2"/>
        <v>1009</v>
      </c>
      <c r="G8" s="46">
        <v>1.5</v>
      </c>
      <c r="H8" s="46">
        <v>5</v>
      </c>
      <c r="I8" s="46">
        <v>10</v>
      </c>
      <c r="J8" s="46">
        <v>10</v>
      </c>
      <c r="K8" s="46" t="e">
        <f ca="1" t="shared" si="3"/>
        <v>#VALUE!</v>
      </c>
      <c r="L8" s="46" t="e">
        <f ca="1" t="shared" si="4"/>
        <v>#VALUE!</v>
      </c>
      <c r="M8" s="46" t="e">
        <f ca="1" t="shared" si="0"/>
        <v>#VALUE!</v>
      </c>
      <c r="N8" s="46" t="e">
        <f ca="1" t="shared" si="5"/>
        <v>#VALUE!</v>
      </c>
      <c r="O8" s="46">
        <v>3</v>
      </c>
      <c r="P8" s="46">
        <v>9</v>
      </c>
      <c r="Q8" s="46" t="e">
        <f ca="1" t="shared" si="6"/>
        <v>#VALUE!</v>
      </c>
      <c r="R8" s="46" t="e">
        <f ca="1">OFFSET([2]怪物强度模型!$K$1,MATCH(F8,[2]怪物强度模型!$A:$A,0)-1,0)</f>
        <v>#VALUE!</v>
      </c>
      <c r="S8" s="46" t="e">
        <f ca="1">OFFSET([2]怪物强度模型!$O$1,MATCH(F8,[2]怪物强度模型!$A:$A,0)-1,0)</f>
        <v>#VALUE!</v>
      </c>
      <c r="T8" s="47" t="e">
        <f ca="1" t="shared" si="7"/>
        <v>#VALUE!</v>
      </c>
      <c r="U8" s="47" t="e">
        <f ca="1">Q8+N8*$V$1/10000+$V$1*OFFSET(卡牌辅助配置表!$V$1,MATCH(C8,卡牌辅助配置表!U:U,0)-1,0)*5*P8/10000/10000+M8*$V$1/10000</f>
        <v>#VALUE!</v>
      </c>
      <c r="V8" s="46" t="e">
        <f ca="1">OFFSET([2]怪物强度模型!$I$1,MATCH(F8,[2]怪物强度模型!$A:$A,0)-1,0)</f>
        <v>#VALUE!</v>
      </c>
    </row>
    <row r="9" spans="1:22">
      <c r="A9" s="45">
        <f t="shared" si="1"/>
        <v>1104</v>
      </c>
      <c r="B9" s="46" t="s">
        <v>2791</v>
      </c>
      <c r="C9" s="45">
        <v>1</v>
      </c>
      <c r="D9" s="1">
        <v>104</v>
      </c>
      <c r="E9" s="78"/>
      <c r="F9" s="46">
        <f t="shared" si="2"/>
        <v>1010</v>
      </c>
      <c r="G9" s="46">
        <v>1.2</v>
      </c>
      <c r="H9" s="46">
        <v>5</v>
      </c>
      <c r="I9" s="46">
        <v>10</v>
      </c>
      <c r="J9" s="46">
        <v>10</v>
      </c>
      <c r="K9" s="46" t="e">
        <f ca="1" t="shared" si="3"/>
        <v>#VALUE!</v>
      </c>
      <c r="L9" s="46" t="e">
        <f ca="1" t="shared" si="4"/>
        <v>#VALUE!</v>
      </c>
      <c r="M9" s="46" t="e">
        <f ca="1" t="shared" si="0"/>
        <v>#VALUE!</v>
      </c>
      <c r="N9" s="46" t="e">
        <f ca="1" t="shared" si="5"/>
        <v>#VALUE!</v>
      </c>
      <c r="O9" s="46">
        <v>3</v>
      </c>
      <c r="P9" s="46">
        <v>10</v>
      </c>
      <c r="Q9" s="46" t="e">
        <f ca="1" t="shared" si="6"/>
        <v>#VALUE!</v>
      </c>
      <c r="R9" s="46" t="e">
        <f ca="1">OFFSET([2]怪物强度模型!$K$1,MATCH(F9,[2]怪物强度模型!$A:$A,0)-1,0)</f>
        <v>#VALUE!</v>
      </c>
      <c r="S9" s="46" t="e">
        <f ca="1">OFFSET([2]怪物强度模型!$O$1,MATCH(F9,[2]怪物强度模型!$A:$A,0)-1,0)</f>
        <v>#VALUE!</v>
      </c>
      <c r="T9" s="47" t="e">
        <f ca="1" t="shared" si="7"/>
        <v>#VALUE!</v>
      </c>
      <c r="U9" s="47" t="e">
        <f ca="1">Q9+N9*$V$1/10000+$V$1*OFFSET(卡牌辅助配置表!$V$1,MATCH(C9,卡牌辅助配置表!U:U,0)-1,0)*5*P9/10000/10000+M9*$V$1/10000</f>
        <v>#VALUE!</v>
      </c>
      <c r="V9" s="46" t="e">
        <f ca="1">OFFSET([2]怪物强度模型!$I$1,MATCH(F9,[2]怪物强度模型!$A:$A,0)-1,0)</f>
        <v>#VALUE!</v>
      </c>
    </row>
    <row r="10" spans="1:22">
      <c r="A10" s="45">
        <f t="shared" si="1"/>
        <v>1105</v>
      </c>
      <c r="B10" s="46" t="s">
        <v>2791</v>
      </c>
      <c r="C10" s="45">
        <v>1</v>
      </c>
      <c r="D10" s="1">
        <v>105</v>
      </c>
      <c r="E10" s="78"/>
      <c r="F10" s="46">
        <f t="shared" si="2"/>
        <v>1010</v>
      </c>
      <c r="G10" s="46">
        <v>1.3</v>
      </c>
      <c r="H10" s="46">
        <v>5</v>
      </c>
      <c r="I10" s="46">
        <v>10</v>
      </c>
      <c r="J10" s="46">
        <v>10</v>
      </c>
      <c r="K10" s="46" t="e">
        <f ca="1" t="shared" si="3"/>
        <v>#VALUE!</v>
      </c>
      <c r="L10" s="46" t="e">
        <f ca="1" t="shared" si="4"/>
        <v>#VALUE!</v>
      </c>
      <c r="M10" s="46" t="e">
        <f ca="1" t="shared" si="0"/>
        <v>#VALUE!</v>
      </c>
      <c r="N10" s="46" t="e">
        <f ca="1" t="shared" si="5"/>
        <v>#VALUE!</v>
      </c>
      <c r="O10" s="46">
        <v>3</v>
      </c>
      <c r="P10" s="46">
        <v>10</v>
      </c>
      <c r="Q10" s="46" t="e">
        <f ca="1" t="shared" si="6"/>
        <v>#VALUE!</v>
      </c>
      <c r="R10" s="46" t="e">
        <f ca="1">OFFSET([2]怪物强度模型!$K$1,MATCH(F10,[2]怪物强度模型!$A:$A,0)-1,0)</f>
        <v>#VALUE!</v>
      </c>
      <c r="S10" s="46" t="e">
        <f ca="1">OFFSET([2]怪物强度模型!$O$1,MATCH(F10,[2]怪物强度模型!$A:$A,0)-1,0)</f>
        <v>#VALUE!</v>
      </c>
      <c r="T10" s="47" t="e">
        <f ca="1" t="shared" si="7"/>
        <v>#VALUE!</v>
      </c>
      <c r="U10" s="47" t="e">
        <f ca="1">Q10+N10*$V$1/10000+$V$1*OFFSET(卡牌辅助配置表!$V$1,MATCH(C10,卡牌辅助配置表!U:U,0)-1,0)*5*P10/10000/10000+M10*$V$1/10000</f>
        <v>#VALUE!</v>
      </c>
      <c r="V10" s="46" t="e">
        <f ca="1">OFFSET([2]怪物强度模型!$I$1,MATCH(F10,[2]怪物强度模型!$A:$A,0)-1,0)</f>
        <v>#VALUE!</v>
      </c>
    </row>
    <row r="11" spans="1:23">
      <c r="A11" s="45">
        <f t="shared" si="1"/>
        <v>1106</v>
      </c>
      <c r="B11" s="46" t="s">
        <v>2791</v>
      </c>
      <c r="C11" s="45">
        <v>1</v>
      </c>
      <c r="D11" s="1">
        <v>106</v>
      </c>
      <c r="E11" s="78"/>
      <c r="F11" s="46">
        <f t="shared" si="2"/>
        <v>1011</v>
      </c>
      <c r="G11" s="46">
        <v>1.4</v>
      </c>
      <c r="H11" s="46">
        <v>5</v>
      </c>
      <c r="I11" s="46">
        <v>10</v>
      </c>
      <c r="J11" s="46">
        <v>10</v>
      </c>
      <c r="K11" s="46" t="e">
        <f ca="1" t="shared" si="3"/>
        <v>#VALUE!</v>
      </c>
      <c r="L11" s="46" t="e">
        <f ca="1" t="shared" si="4"/>
        <v>#VALUE!</v>
      </c>
      <c r="M11" s="46" t="e">
        <f ca="1" t="shared" si="0"/>
        <v>#VALUE!</v>
      </c>
      <c r="N11" s="46" t="e">
        <f ca="1" t="shared" si="5"/>
        <v>#VALUE!</v>
      </c>
      <c r="O11" s="46">
        <v>3</v>
      </c>
      <c r="P11" s="46">
        <v>11</v>
      </c>
      <c r="Q11" s="46" t="e">
        <f ca="1" t="shared" si="6"/>
        <v>#VALUE!</v>
      </c>
      <c r="R11" s="46" t="e">
        <f ca="1">OFFSET([2]怪物强度模型!$K$1,MATCH(F11,[2]怪物强度模型!$A:$A,0)-1,0)</f>
        <v>#VALUE!</v>
      </c>
      <c r="S11" s="46" t="e">
        <f ca="1">OFFSET([2]怪物强度模型!$O$1,MATCH(F11,[2]怪物强度模型!$A:$A,0)-1,0)</f>
        <v>#VALUE!</v>
      </c>
      <c r="T11" s="47" t="e">
        <f ca="1" t="shared" si="7"/>
        <v>#VALUE!</v>
      </c>
      <c r="U11" s="47" t="e">
        <f ca="1">Q11+N11*$V$1/10000+$V$1*OFFSET(卡牌辅助配置表!$V$1,MATCH(C11,卡牌辅助配置表!U:U,0)-1,0)*5*P11/10000/10000+M11*$V$1/10000</f>
        <v>#VALUE!</v>
      </c>
      <c r="V11" s="46" t="e">
        <f ca="1">OFFSET([2]怪物强度模型!$I$1,MATCH(F11,[2]怪物强度模型!$A:$A,0)-1,0)</f>
        <v>#VALUE!</v>
      </c>
      <c r="W11" s="46"/>
    </row>
    <row r="12" spans="1:23">
      <c r="A12" s="45">
        <f t="shared" si="1"/>
        <v>1107</v>
      </c>
      <c r="B12" s="46" t="s">
        <v>2791</v>
      </c>
      <c r="C12" s="45">
        <v>1</v>
      </c>
      <c r="D12" s="1">
        <v>107</v>
      </c>
      <c r="E12" s="78"/>
      <c r="F12" s="46">
        <f t="shared" si="2"/>
        <v>1011</v>
      </c>
      <c r="G12" s="46">
        <v>1.5</v>
      </c>
      <c r="H12" s="46">
        <v>5</v>
      </c>
      <c r="I12" s="46">
        <v>10</v>
      </c>
      <c r="J12" s="46">
        <v>10</v>
      </c>
      <c r="K12" s="46" t="e">
        <f ca="1" t="shared" si="3"/>
        <v>#VALUE!</v>
      </c>
      <c r="L12" s="46" t="e">
        <f ca="1" t="shared" si="4"/>
        <v>#VALUE!</v>
      </c>
      <c r="M12" s="46" t="e">
        <f ca="1" t="shared" si="0"/>
        <v>#VALUE!</v>
      </c>
      <c r="N12" s="46" t="e">
        <f ca="1" t="shared" si="5"/>
        <v>#VALUE!</v>
      </c>
      <c r="O12" s="46">
        <v>3</v>
      </c>
      <c r="P12" s="46">
        <v>11</v>
      </c>
      <c r="Q12" s="46" t="e">
        <f ca="1" t="shared" si="6"/>
        <v>#VALUE!</v>
      </c>
      <c r="R12" s="46" t="e">
        <f ca="1">OFFSET([2]怪物强度模型!$K$1,MATCH(F12,[2]怪物强度模型!$A:$A,0)-1,0)</f>
        <v>#VALUE!</v>
      </c>
      <c r="S12" s="46" t="e">
        <f ca="1">OFFSET([2]怪物强度模型!$O$1,MATCH(F12,[2]怪物强度模型!$A:$A,0)-1,0)</f>
        <v>#VALUE!</v>
      </c>
      <c r="T12" s="47" t="e">
        <f ca="1" t="shared" si="7"/>
        <v>#VALUE!</v>
      </c>
      <c r="U12" s="47" t="e">
        <f ca="1">Q12+N12*$V$1/10000+$V$1*OFFSET(卡牌辅助配置表!$V$1,MATCH(C12,卡牌辅助配置表!U:U,0)-1,0)*5*P12/10000/10000+M12*$V$1/10000</f>
        <v>#VALUE!</v>
      </c>
      <c r="V12" s="46" t="e">
        <f ca="1">OFFSET([2]怪物强度模型!$I$1,MATCH(F12,[2]怪物强度模型!$A:$A,0)-1,0)</f>
        <v>#VALUE!</v>
      </c>
      <c r="W12" s="46"/>
    </row>
    <row r="13" spans="1:23">
      <c r="A13" s="45">
        <f t="shared" si="1"/>
        <v>1108</v>
      </c>
      <c r="B13" s="46" t="s">
        <v>2791</v>
      </c>
      <c r="C13" s="45">
        <v>1</v>
      </c>
      <c r="D13" s="95">
        <v>108</v>
      </c>
      <c r="E13" s="78"/>
      <c r="F13" s="46">
        <f t="shared" si="2"/>
        <v>1011</v>
      </c>
      <c r="G13" s="46">
        <v>1.6</v>
      </c>
      <c r="H13" s="46">
        <v>5</v>
      </c>
      <c r="I13" s="46">
        <v>10</v>
      </c>
      <c r="J13" s="46">
        <v>10</v>
      </c>
      <c r="K13" s="46" t="e">
        <f ca="1" t="shared" si="3"/>
        <v>#VALUE!</v>
      </c>
      <c r="L13" s="46" t="e">
        <f ca="1" t="shared" si="4"/>
        <v>#VALUE!</v>
      </c>
      <c r="M13" s="46" t="e">
        <f ca="1" t="shared" si="0"/>
        <v>#VALUE!</v>
      </c>
      <c r="N13" s="46" t="e">
        <f ca="1" t="shared" si="5"/>
        <v>#VALUE!</v>
      </c>
      <c r="O13" s="46">
        <v>3</v>
      </c>
      <c r="P13" s="46">
        <v>11</v>
      </c>
      <c r="Q13" s="46" t="e">
        <f ca="1" t="shared" si="6"/>
        <v>#VALUE!</v>
      </c>
      <c r="R13" s="46" t="e">
        <f ca="1">OFFSET([2]怪物强度模型!$K$1,MATCH(F13,[2]怪物强度模型!$A:$A,0)-1,0)</f>
        <v>#VALUE!</v>
      </c>
      <c r="S13" s="46" t="e">
        <f ca="1">OFFSET([2]怪物强度模型!$O$1,MATCH(F13,[2]怪物强度模型!$A:$A,0)-1,0)</f>
        <v>#VALUE!</v>
      </c>
      <c r="T13" s="47" t="e">
        <f ca="1" t="shared" si="7"/>
        <v>#VALUE!</v>
      </c>
      <c r="U13" s="47" t="e">
        <f ca="1">Q13+N13*$V$1/10000+$V$1*OFFSET(卡牌辅助配置表!$V$1,MATCH(C13,卡牌辅助配置表!U:U,0)-1,0)*5*P13/10000/10000+M13*$V$1/10000</f>
        <v>#VALUE!</v>
      </c>
      <c r="V13" s="46" t="e">
        <f ca="1">OFFSET([2]怪物强度模型!$I$1,MATCH(F13,[2]怪物强度模型!$A:$A,0)-1,0)</f>
        <v>#VALUE!</v>
      </c>
      <c r="W13" s="46"/>
    </row>
    <row r="14" spans="1:23">
      <c r="A14" s="45">
        <f t="shared" si="1"/>
        <v>1109</v>
      </c>
      <c r="B14" s="46" t="s">
        <v>2791</v>
      </c>
      <c r="C14" s="45">
        <v>1</v>
      </c>
      <c r="D14" s="1">
        <v>109</v>
      </c>
      <c r="E14" s="78"/>
      <c r="F14" s="46">
        <f t="shared" si="2"/>
        <v>1012</v>
      </c>
      <c r="G14" s="46">
        <v>1.4</v>
      </c>
      <c r="H14" s="46">
        <v>5</v>
      </c>
      <c r="I14" s="46">
        <v>10</v>
      </c>
      <c r="J14" s="46">
        <v>10</v>
      </c>
      <c r="K14" s="46" t="e">
        <f ca="1" t="shared" si="3"/>
        <v>#VALUE!</v>
      </c>
      <c r="L14" s="46" t="e">
        <f ca="1" t="shared" si="4"/>
        <v>#VALUE!</v>
      </c>
      <c r="M14" s="46" t="e">
        <f ca="1" t="shared" si="0"/>
        <v>#VALUE!</v>
      </c>
      <c r="N14" s="46" t="e">
        <f ca="1" t="shared" si="5"/>
        <v>#VALUE!</v>
      </c>
      <c r="O14" s="46">
        <v>3</v>
      </c>
      <c r="P14" s="46">
        <v>12</v>
      </c>
      <c r="Q14" s="46" t="e">
        <f ca="1" t="shared" si="6"/>
        <v>#VALUE!</v>
      </c>
      <c r="R14" s="46" t="e">
        <f ca="1">OFFSET([2]怪物强度模型!$K$1,MATCH(F14,[2]怪物强度模型!$A:$A,0)-1,0)</f>
        <v>#VALUE!</v>
      </c>
      <c r="S14" s="46" t="e">
        <f ca="1">OFFSET([2]怪物强度模型!$O$1,MATCH(F14,[2]怪物强度模型!$A:$A,0)-1,0)</f>
        <v>#VALUE!</v>
      </c>
      <c r="T14" s="47" t="e">
        <f ca="1" t="shared" si="7"/>
        <v>#VALUE!</v>
      </c>
      <c r="U14" s="47" t="e">
        <f ca="1">Q14+N14*$V$1/10000+$V$1*OFFSET(卡牌辅助配置表!$V$1,MATCH(C14,卡牌辅助配置表!U:U,0)-1,0)*5*P14/10000/10000+M14*$V$1/10000</f>
        <v>#VALUE!</v>
      </c>
      <c r="V14" s="46" t="e">
        <f ca="1">OFFSET([2]怪物强度模型!$I$1,MATCH(F14,[2]怪物强度模型!$A:$A,0)-1,0)</f>
        <v>#VALUE!</v>
      </c>
      <c r="W14" s="46"/>
    </row>
    <row r="15" spans="1:23">
      <c r="A15" s="45">
        <f t="shared" si="1"/>
        <v>1110</v>
      </c>
      <c r="B15" s="46" t="s">
        <v>2791</v>
      </c>
      <c r="C15" s="45">
        <v>1</v>
      </c>
      <c r="D15" s="1">
        <v>110</v>
      </c>
      <c r="E15" s="78"/>
      <c r="F15" s="46">
        <f t="shared" si="2"/>
        <v>1012</v>
      </c>
      <c r="G15" s="46">
        <v>1.5</v>
      </c>
      <c r="H15" s="46">
        <v>5</v>
      </c>
      <c r="I15" s="46">
        <v>10</v>
      </c>
      <c r="J15" s="46">
        <v>10</v>
      </c>
      <c r="K15" s="46" t="e">
        <f ca="1" t="shared" si="3"/>
        <v>#VALUE!</v>
      </c>
      <c r="L15" s="46" t="e">
        <f ca="1" t="shared" si="4"/>
        <v>#VALUE!</v>
      </c>
      <c r="M15" s="46" t="e">
        <f ca="1" t="shared" si="0"/>
        <v>#VALUE!</v>
      </c>
      <c r="N15" s="46" t="e">
        <f ca="1" t="shared" si="5"/>
        <v>#VALUE!</v>
      </c>
      <c r="O15" s="46">
        <v>3</v>
      </c>
      <c r="P15" s="46">
        <v>12</v>
      </c>
      <c r="Q15" s="46" t="e">
        <f ca="1" t="shared" si="6"/>
        <v>#VALUE!</v>
      </c>
      <c r="R15" s="46" t="e">
        <f ca="1">OFFSET([2]怪物强度模型!$K$1,MATCH(F15,[2]怪物强度模型!$A:$A,0)-1,0)</f>
        <v>#VALUE!</v>
      </c>
      <c r="S15" s="46" t="e">
        <f ca="1">OFFSET([2]怪物强度模型!$O$1,MATCH(F15,[2]怪物强度模型!$A:$A,0)-1,0)</f>
        <v>#VALUE!</v>
      </c>
      <c r="T15" s="47" t="e">
        <f ca="1" t="shared" si="7"/>
        <v>#VALUE!</v>
      </c>
      <c r="U15" s="47" t="e">
        <f ca="1">Q15+N15*$V$1/10000+$V$1*OFFSET(卡牌辅助配置表!$V$1,MATCH(C15,卡牌辅助配置表!U:U,0)-1,0)*5*P15/10000/10000+M15*$V$1/10000</f>
        <v>#VALUE!</v>
      </c>
      <c r="V15" s="46" t="e">
        <f ca="1">OFFSET([2]怪物强度模型!$I$1,MATCH(F15,[2]怪物强度模型!$A:$A,0)-1,0)</f>
        <v>#VALUE!</v>
      </c>
      <c r="W15" s="46"/>
    </row>
    <row r="16" spans="1:23">
      <c r="A16" s="45">
        <f t="shared" si="1"/>
        <v>1111</v>
      </c>
      <c r="B16" s="46" t="s">
        <v>2791</v>
      </c>
      <c r="C16" s="45">
        <v>1</v>
      </c>
      <c r="D16" s="1">
        <v>111</v>
      </c>
      <c r="E16" s="78"/>
      <c r="F16" s="46">
        <f t="shared" si="2"/>
        <v>1012</v>
      </c>
      <c r="G16" s="46">
        <v>1.6</v>
      </c>
      <c r="H16" s="46">
        <v>5</v>
      </c>
      <c r="I16" s="46">
        <v>10</v>
      </c>
      <c r="J16" s="46">
        <v>10</v>
      </c>
      <c r="K16" s="46" t="e">
        <f ca="1" t="shared" si="3"/>
        <v>#VALUE!</v>
      </c>
      <c r="L16" s="46" t="e">
        <f ca="1" t="shared" si="4"/>
        <v>#VALUE!</v>
      </c>
      <c r="M16" s="46" t="e">
        <f ca="1" t="shared" si="0"/>
        <v>#VALUE!</v>
      </c>
      <c r="N16" s="46" t="e">
        <f ca="1" t="shared" si="5"/>
        <v>#VALUE!</v>
      </c>
      <c r="O16" s="46">
        <v>3</v>
      </c>
      <c r="P16" s="46">
        <v>12</v>
      </c>
      <c r="Q16" s="46" t="e">
        <f ca="1" t="shared" si="6"/>
        <v>#VALUE!</v>
      </c>
      <c r="R16" s="46" t="e">
        <f ca="1">OFFSET([2]怪物强度模型!$K$1,MATCH(F16,[2]怪物强度模型!$A:$A,0)-1,0)</f>
        <v>#VALUE!</v>
      </c>
      <c r="S16" s="46" t="e">
        <f ca="1">OFFSET([2]怪物强度模型!$O$1,MATCH(F16,[2]怪物强度模型!$A:$A,0)-1,0)</f>
        <v>#VALUE!</v>
      </c>
      <c r="T16" s="47" t="e">
        <f ca="1" t="shared" si="7"/>
        <v>#VALUE!</v>
      </c>
      <c r="U16" s="47" t="e">
        <f ca="1">Q16+N16*$V$1/10000+$V$1*OFFSET(卡牌辅助配置表!$V$1,MATCH(C16,卡牌辅助配置表!U:U,0)-1,0)*5*P16/10000/10000+M16*$V$1/10000</f>
        <v>#VALUE!</v>
      </c>
      <c r="V16" s="46" t="e">
        <f ca="1">OFFSET([2]怪物强度模型!$I$1,MATCH(F16,[2]怪物强度模型!$A:$A,0)-1,0)</f>
        <v>#VALUE!</v>
      </c>
      <c r="W16" s="46"/>
    </row>
    <row r="17" spans="1:23">
      <c r="A17" s="45">
        <f t="shared" si="1"/>
        <v>1112</v>
      </c>
      <c r="B17" s="46" t="s">
        <v>2791</v>
      </c>
      <c r="C17" s="45">
        <v>1</v>
      </c>
      <c r="D17" s="1">
        <v>112</v>
      </c>
      <c r="E17" s="78"/>
      <c r="F17" s="46">
        <f t="shared" si="2"/>
        <v>1013</v>
      </c>
      <c r="G17" s="46">
        <v>1.5</v>
      </c>
      <c r="H17" s="46">
        <v>5</v>
      </c>
      <c r="I17" s="46">
        <v>10</v>
      </c>
      <c r="J17" s="46">
        <v>10</v>
      </c>
      <c r="K17" s="46" t="e">
        <f ca="1" t="shared" si="3"/>
        <v>#VALUE!</v>
      </c>
      <c r="L17" s="46" t="e">
        <f ca="1" t="shared" si="4"/>
        <v>#VALUE!</v>
      </c>
      <c r="M17" s="46" t="e">
        <f ca="1" t="shared" si="0"/>
        <v>#VALUE!</v>
      </c>
      <c r="N17" s="46" t="e">
        <f ca="1" t="shared" si="5"/>
        <v>#VALUE!</v>
      </c>
      <c r="O17" s="46">
        <v>3</v>
      </c>
      <c r="P17" s="46">
        <v>13</v>
      </c>
      <c r="Q17" s="46" t="e">
        <f ca="1" t="shared" si="6"/>
        <v>#VALUE!</v>
      </c>
      <c r="R17" s="46" t="e">
        <f ca="1">OFFSET([2]怪物强度模型!$K$1,MATCH(F17,[2]怪物强度模型!$A:$A,0)-1,0)</f>
        <v>#VALUE!</v>
      </c>
      <c r="S17" s="46" t="e">
        <f ca="1">OFFSET([2]怪物强度模型!$O$1,MATCH(F17,[2]怪物强度模型!$A:$A,0)-1,0)</f>
        <v>#VALUE!</v>
      </c>
      <c r="T17" s="47" t="e">
        <f ca="1" t="shared" si="7"/>
        <v>#VALUE!</v>
      </c>
      <c r="U17" s="47" t="e">
        <f ca="1">Q17+N17*$V$1/10000+$V$1*OFFSET(卡牌辅助配置表!$V$1,MATCH(C17,卡牌辅助配置表!U:U,0)-1,0)*5*P17/10000/10000+M17*$V$1/10000</f>
        <v>#VALUE!</v>
      </c>
      <c r="V17" s="46" t="e">
        <f ca="1">OFFSET([2]怪物强度模型!$I$1,MATCH(F17,[2]怪物强度模型!$A:$A,0)-1,0)</f>
        <v>#VALUE!</v>
      </c>
      <c r="W17" s="46"/>
    </row>
    <row r="18" spans="1:23">
      <c r="A18" s="45">
        <f t="shared" si="1"/>
        <v>1113</v>
      </c>
      <c r="B18" s="46" t="s">
        <v>2791</v>
      </c>
      <c r="C18" s="45">
        <v>1</v>
      </c>
      <c r="D18" s="1">
        <v>113</v>
      </c>
      <c r="E18" s="78"/>
      <c r="F18" s="46">
        <f t="shared" si="2"/>
        <v>1013</v>
      </c>
      <c r="G18" s="46">
        <v>1.6</v>
      </c>
      <c r="H18" s="46">
        <v>5</v>
      </c>
      <c r="I18" s="46">
        <v>10</v>
      </c>
      <c r="J18" s="46">
        <v>10</v>
      </c>
      <c r="K18" s="46" t="e">
        <f ca="1" t="shared" si="3"/>
        <v>#VALUE!</v>
      </c>
      <c r="L18" s="46" t="e">
        <f ca="1" t="shared" si="4"/>
        <v>#VALUE!</v>
      </c>
      <c r="M18" s="46" t="e">
        <f ca="1" t="shared" si="0"/>
        <v>#VALUE!</v>
      </c>
      <c r="N18" s="46" t="e">
        <f ca="1" t="shared" si="5"/>
        <v>#VALUE!</v>
      </c>
      <c r="O18" s="46">
        <v>3</v>
      </c>
      <c r="P18" s="46">
        <v>13</v>
      </c>
      <c r="Q18" s="46" t="e">
        <f ca="1" t="shared" si="6"/>
        <v>#VALUE!</v>
      </c>
      <c r="R18" s="46" t="e">
        <f ca="1">OFFSET([2]怪物强度模型!$K$1,MATCH(F18,[2]怪物强度模型!$A:$A,0)-1,0)</f>
        <v>#VALUE!</v>
      </c>
      <c r="S18" s="46" t="e">
        <f ca="1">OFFSET([2]怪物强度模型!$O$1,MATCH(F18,[2]怪物强度模型!$A:$A,0)-1,0)</f>
        <v>#VALUE!</v>
      </c>
      <c r="T18" s="47" t="e">
        <f ca="1" t="shared" si="7"/>
        <v>#VALUE!</v>
      </c>
      <c r="U18" s="47" t="e">
        <f ca="1">Q18+N18*$V$1/10000+$V$1*OFFSET(卡牌辅助配置表!$V$1,MATCH(C18,卡牌辅助配置表!U:U,0)-1,0)*5*P18/10000/10000+M18*$V$1/10000</f>
        <v>#VALUE!</v>
      </c>
      <c r="V18" s="46" t="e">
        <f ca="1">OFFSET([2]怪物强度模型!$I$1,MATCH(F18,[2]怪物强度模型!$A:$A,0)-1,0)</f>
        <v>#VALUE!</v>
      </c>
      <c r="W18" s="46"/>
    </row>
    <row r="19" spans="1:23">
      <c r="A19" s="45">
        <f t="shared" si="1"/>
        <v>1114</v>
      </c>
      <c r="B19" s="46" t="s">
        <v>2791</v>
      </c>
      <c r="C19" s="45">
        <v>1</v>
      </c>
      <c r="D19" s="1">
        <v>114</v>
      </c>
      <c r="E19" s="78"/>
      <c r="F19" s="46">
        <f t="shared" si="2"/>
        <v>1013</v>
      </c>
      <c r="G19" s="46">
        <v>1.7</v>
      </c>
      <c r="H19" s="46">
        <v>5</v>
      </c>
      <c r="I19" s="46">
        <v>10</v>
      </c>
      <c r="J19" s="46">
        <v>10</v>
      </c>
      <c r="K19" s="46" t="e">
        <f ca="1" t="shared" si="3"/>
        <v>#VALUE!</v>
      </c>
      <c r="L19" s="46" t="e">
        <f ca="1" t="shared" si="4"/>
        <v>#VALUE!</v>
      </c>
      <c r="M19" s="46" t="e">
        <f ca="1" t="shared" si="0"/>
        <v>#VALUE!</v>
      </c>
      <c r="N19" s="46" t="e">
        <f ca="1" t="shared" si="5"/>
        <v>#VALUE!</v>
      </c>
      <c r="O19" s="46">
        <v>3</v>
      </c>
      <c r="P19" s="46">
        <v>13</v>
      </c>
      <c r="Q19" s="46" t="e">
        <f ca="1" t="shared" si="6"/>
        <v>#VALUE!</v>
      </c>
      <c r="R19" s="46" t="e">
        <f ca="1">OFFSET([2]怪物强度模型!$K$1,MATCH(F19,[2]怪物强度模型!$A:$A,0)-1,0)</f>
        <v>#VALUE!</v>
      </c>
      <c r="S19" s="46" t="e">
        <f ca="1">OFFSET([2]怪物强度模型!$O$1,MATCH(F19,[2]怪物强度模型!$A:$A,0)-1,0)</f>
        <v>#VALUE!</v>
      </c>
      <c r="T19" s="47" t="e">
        <f ca="1" t="shared" si="7"/>
        <v>#VALUE!</v>
      </c>
      <c r="U19" s="47" t="e">
        <f ca="1">Q19+N19*$V$1/10000+$V$1*OFFSET(卡牌辅助配置表!$V$1,MATCH(C19,卡牌辅助配置表!U:U,0)-1,0)*5*P19/10000/10000+M19*$V$1/10000</f>
        <v>#VALUE!</v>
      </c>
      <c r="V19" s="46" t="e">
        <f ca="1">OFFSET([2]怪物强度模型!$I$1,MATCH(F19,[2]怪物强度模型!$A:$A,0)-1,0)</f>
        <v>#VALUE!</v>
      </c>
      <c r="W19" s="46"/>
    </row>
    <row r="20" spans="1:23">
      <c r="A20" s="45">
        <f t="shared" si="1"/>
        <v>1115</v>
      </c>
      <c r="B20" s="46" t="s">
        <v>2791</v>
      </c>
      <c r="C20" s="45">
        <v>1</v>
      </c>
      <c r="D20" s="1">
        <v>115</v>
      </c>
      <c r="E20" s="78"/>
      <c r="F20" s="46">
        <f t="shared" si="2"/>
        <v>1014</v>
      </c>
      <c r="G20" s="46">
        <v>1.5</v>
      </c>
      <c r="H20" s="46">
        <v>5</v>
      </c>
      <c r="I20" s="46">
        <v>10</v>
      </c>
      <c r="J20" s="46">
        <v>10</v>
      </c>
      <c r="K20" s="46" t="e">
        <f ca="1" t="shared" si="3"/>
        <v>#VALUE!</v>
      </c>
      <c r="L20" s="46" t="e">
        <f ca="1" t="shared" si="4"/>
        <v>#VALUE!</v>
      </c>
      <c r="M20" s="46" t="e">
        <f ca="1" t="shared" si="0"/>
        <v>#VALUE!</v>
      </c>
      <c r="N20" s="46" t="e">
        <f ca="1" t="shared" si="5"/>
        <v>#VALUE!</v>
      </c>
      <c r="O20" s="46">
        <v>3</v>
      </c>
      <c r="P20" s="46">
        <v>14</v>
      </c>
      <c r="Q20" s="46" t="e">
        <f ca="1" t="shared" si="6"/>
        <v>#VALUE!</v>
      </c>
      <c r="R20" s="46" t="e">
        <f ca="1">OFFSET([2]怪物强度模型!$K$1,MATCH(F20,[2]怪物强度模型!$A:$A,0)-1,0)</f>
        <v>#VALUE!</v>
      </c>
      <c r="S20" s="46" t="e">
        <f ca="1">OFFSET([2]怪物强度模型!$O$1,MATCH(F20,[2]怪物强度模型!$A:$A,0)-1,0)</f>
        <v>#VALUE!</v>
      </c>
      <c r="T20" s="47" t="e">
        <f ca="1" t="shared" si="7"/>
        <v>#VALUE!</v>
      </c>
      <c r="U20" s="47" t="e">
        <f ca="1">Q20+N20*$V$1/10000+$V$1*OFFSET(卡牌辅助配置表!$V$1,MATCH(C20,卡牌辅助配置表!U:U,0)-1,0)*5*P20/10000/10000+M20*$V$1/10000</f>
        <v>#VALUE!</v>
      </c>
      <c r="V20" s="46" t="e">
        <f ca="1">OFFSET([2]怪物强度模型!$I$1,MATCH(F20,[2]怪物强度模型!$A:$A,0)-1,0)</f>
        <v>#VALUE!</v>
      </c>
      <c r="W20" s="46"/>
    </row>
    <row r="21" spans="1:23">
      <c r="A21" s="45">
        <f t="shared" si="1"/>
        <v>1116</v>
      </c>
      <c r="B21" s="46" t="s">
        <v>2791</v>
      </c>
      <c r="C21" s="45">
        <v>1</v>
      </c>
      <c r="D21" s="1">
        <v>116</v>
      </c>
      <c r="E21" s="78"/>
      <c r="F21" s="46">
        <f t="shared" si="2"/>
        <v>1014</v>
      </c>
      <c r="G21" s="46">
        <v>1.6</v>
      </c>
      <c r="H21" s="46">
        <v>5</v>
      </c>
      <c r="I21" s="46">
        <v>10</v>
      </c>
      <c r="J21" s="46">
        <v>10</v>
      </c>
      <c r="K21" s="46" t="e">
        <f ca="1" t="shared" si="3"/>
        <v>#VALUE!</v>
      </c>
      <c r="L21" s="46" t="e">
        <f ca="1" t="shared" si="4"/>
        <v>#VALUE!</v>
      </c>
      <c r="M21" s="46" t="e">
        <f ca="1" t="shared" si="0"/>
        <v>#VALUE!</v>
      </c>
      <c r="N21" s="46" t="e">
        <f ca="1" t="shared" si="5"/>
        <v>#VALUE!</v>
      </c>
      <c r="O21" s="46">
        <v>3</v>
      </c>
      <c r="P21" s="46">
        <v>14</v>
      </c>
      <c r="Q21" s="46" t="e">
        <f ca="1" t="shared" si="6"/>
        <v>#VALUE!</v>
      </c>
      <c r="R21" s="46" t="e">
        <f ca="1">OFFSET([2]怪物强度模型!$K$1,MATCH(F21,[2]怪物强度模型!$A:$A,0)-1,0)</f>
        <v>#VALUE!</v>
      </c>
      <c r="S21" s="46" t="e">
        <f ca="1">OFFSET([2]怪物强度模型!$O$1,MATCH(F21,[2]怪物强度模型!$A:$A,0)-1,0)</f>
        <v>#VALUE!</v>
      </c>
      <c r="T21" s="47" t="e">
        <f ca="1" t="shared" si="7"/>
        <v>#VALUE!</v>
      </c>
      <c r="U21" s="47" t="e">
        <f ca="1">Q21+N21*$V$1/10000+$V$1*OFFSET(卡牌辅助配置表!$V$1,MATCH(C21,卡牌辅助配置表!U:U,0)-1,0)*5*P21/10000/10000+M21*$V$1/10000</f>
        <v>#VALUE!</v>
      </c>
      <c r="V21" s="46" t="e">
        <f ca="1">OFFSET([2]怪物强度模型!$I$1,MATCH(F21,[2]怪物强度模型!$A:$A,0)-1,0)</f>
        <v>#VALUE!</v>
      </c>
      <c r="W21" s="46"/>
    </row>
    <row r="22" spans="1:23">
      <c r="A22" s="45">
        <f t="shared" si="1"/>
        <v>1117</v>
      </c>
      <c r="B22" s="46" t="s">
        <v>2791</v>
      </c>
      <c r="C22" s="45">
        <v>1</v>
      </c>
      <c r="D22" s="1">
        <v>117</v>
      </c>
      <c r="E22" s="78"/>
      <c r="F22" s="46">
        <f t="shared" si="2"/>
        <v>1014</v>
      </c>
      <c r="G22" s="46">
        <v>1.7</v>
      </c>
      <c r="H22" s="46">
        <v>5</v>
      </c>
      <c r="I22" s="46">
        <v>10</v>
      </c>
      <c r="J22" s="46">
        <v>10</v>
      </c>
      <c r="K22" s="46" t="e">
        <f ca="1" t="shared" si="3"/>
        <v>#VALUE!</v>
      </c>
      <c r="L22" s="46" t="e">
        <f ca="1" t="shared" si="4"/>
        <v>#VALUE!</v>
      </c>
      <c r="M22" s="46" t="e">
        <f ca="1" t="shared" si="0"/>
        <v>#VALUE!</v>
      </c>
      <c r="N22" s="46" t="e">
        <f ca="1" t="shared" si="5"/>
        <v>#VALUE!</v>
      </c>
      <c r="O22" s="46">
        <v>3</v>
      </c>
      <c r="P22" s="46">
        <v>14</v>
      </c>
      <c r="Q22" s="46" t="e">
        <f ca="1" t="shared" si="6"/>
        <v>#VALUE!</v>
      </c>
      <c r="R22" s="46" t="e">
        <f ca="1">OFFSET([2]怪物强度模型!$K$1,MATCH(F22,[2]怪物强度模型!$A:$A,0)-1,0)</f>
        <v>#VALUE!</v>
      </c>
      <c r="S22" s="46" t="e">
        <f ca="1">OFFSET([2]怪物强度模型!$O$1,MATCH(F22,[2]怪物强度模型!$A:$A,0)-1,0)</f>
        <v>#VALUE!</v>
      </c>
      <c r="T22" s="47" t="e">
        <f ca="1" t="shared" si="7"/>
        <v>#VALUE!</v>
      </c>
      <c r="U22" s="47" t="e">
        <f ca="1">Q22+N22*$V$1/10000+$V$1*OFFSET(卡牌辅助配置表!$V$1,MATCH(C22,卡牌辅助配置表!U:U,0)-1,0)*5*P22/10000/10000+M22*$V$1/10000</f>
        <v>#VALUE!</v>
      </c>
      <c r="V22" s="46" t="e">
        <f ca="1">OFFSET([2]怪物强度模型!$I$1,MATCH(F22,[2]怪物强度模型!$A:$A,0)-1,0)</f>
        <v>#VALUE!</v>
      </c>
      <c r="W22" s="46"/>
    </row>
    <row r="23" spans="1:23">
      <c r="A23" s="45">
        <f t="shared" si="1"/>
        <v>1118</v>
      </c>
      <c r="B23" s="46" t="s">
        <v>2791</v>
      </c>
      <c r="C23" s="45">
        <v>1</v>
      </c>
      <c r="D23" s="95">
        <v>118</v>
      </c>
      <c r="E23" s="78"/>
      <c r="F23" s="46">
        <f t="shared" si="2"/>
        <v>1015</v>
      </c>
      <c r="G23" s="46">
        <v>1.8</v>
      </c>
      <c r="H23" s="46">
        <v>5</v>
      </c>
      <c r="I23" s="46">
        <v>10</v>
      </c>
      <c r="J23" s="46">
        <v>10</v>
      </c>
      <c r="K23" s="46" t="e">
        <f ca="1" t="shared" si="3"/>
        <v>#VALUE!</v>
      </c>
      <c r="L23" s="46" t="e">
        <f ca="1" t="shared" si="4"/>
        <v>#VALUE!</v>
      </c>
      <c r="M23" s="46" t="e">
        <f ca="1" t="shared" si="0"/>
        <v>#VALUE!</v>
      </c>
      <c r="N23" s="46" t="e">
        <f ca="1" t="shared" si="5"/>
        <v>#VALUE!</v>
      </c>
      <c r="O23" s="46">
        <v>3</v>
      </c>
      <c r="P23" s="46">
        <v>15</v>
      </c>
      <c r="Q23" s="46" t="e">
        <f ca="1" t="shared" si="6"/>
        <v>#VALUE!</v>
      </c>
      <c r="R23" s="46" t="e">
        <f ca="1">OFFSET([2]怪物强度模型!$K$1,MATCH(F23,[2]怪物强度模型!$A:$A,0)-1,0)</f>
        <v>#VALUE!</v>
      </c>
      <c r="S23" s="46" t="e">
        <f ca="1">OFFSET([2]怪物强度模型!$O$1,MATCH(F23,[2]怪物强度模型!$A:$A,0)-1,0)</f>
        <v>#VALUE!</v>
      </c>
      <c r="T23" s="47" t="e">
        <f ca="1" t="shared" si="7"/>
        <v>#VALUE!</v>
      </c>
      <c r="U23" s="47" t="e">
        <f ca="1">Q23+N23*$V$1/10000+$V$1*OFFSET(卡牌辅助配置表!$V$1,MATCH(C23,卡牌辅助配置表!U:U,0)-1,0)*5*P23/10000/10000+M23*$V$1/10000</f>
        <v>#VALUE!</v>
      </c>
      <c r="V23" s="46" t="e">
        <f ca="1">OFFSET([2]怪物强度模型!$I$1,MATCH(F23,[2]怪物强度模型!$A:$A,0)-1,0)</f>
        <v>#VALUE!</v>
      </c>
      <c r="W23" s="46"/>
    </row>
    <row r="24" spans="1:23">
      <c r="A24" s="45">
        <f t="shared" si="1"/>
        <v>1119</v>
      </c>
      <c r="B24" s="46" t="s">
        <v>2791</v>
      </c>
      <c r="C24" s="45">
        <v>1</v>
      </c>
      <c r="D24" s="1">
        <v>119</v>
      </c>
      <c r="E24" s="78"/>
      <c r="F24" s="46">
        <f t="shared" si="2"/>
        <v>1015</v>
      </c>
      <c r="G24" s="46">
        <v>1.5</v>
      </c>
      <c r="H24" s="46">
        <v>5</v>
      </c>
      <c r="I24" s="46">
        <v>10</v>
      </c>
      <c r="J24" s="46">
        <v>10</v>
      </c>
      <c r="K24" s="46" t="e">
        <f ca="1" t="shared" si="3"/>
        <v>#VALUE!</v>
      </c>
      <c r="L24" s="46" t="e">
        <f ca="1" t="shared" si="4"/>
        <v>#VALUE!</v>
      </c>
      <c r="M24" s="46" t="e">
        <f ca="1" t="shared" si="0"/>
        <v>#VALUE!</v>
      </c>
      <c r="N24" s="46" t="e">
        <f ca="1" t="shared" si="5"/>
        <v>#VALUE!</v>
      </c>
      <c r="O24" s="46">
        <v>3</v>
      </c>
      <c r="P24" s="46">
        <v>15</v>
      </c>
      <c r="Q24" s="46" t="e">
        <f ca="1" t="shared" si="6"/>
        <v>#VALUE!</v>
      </c>
      <c r="R24" s="46" t="e">
        <f ca="1">OFFSET([2]怪物强度模型!$K$1,MATCH(F24,[2]怪物强度模型!$A:$A,0)-1,0)</f>
        <v>#VALUE!</v>
      </c>
      <c r="S24" s="46" t="e">
        <f ca="1">OFFSET([2]怪物强度模型!$O$1,MATCH(F24,[2]怪物强度模型!$A:$A,0)-1,0)</f>
        <v>#VALUE!</v>
      </c>
      <c r="T24" s="47" t="e">
        <f ca="1" t="shared" si="7"/>
        <v>#VALUE!</v>
      </c>
      <c r="U24" s="47" t="e">
        <f ca="1">Q24+N24*$V$1/10000+$V$1*OFFSET(卡牌辅助配置表!$V$1,MATCH(C24,卡牌辅助配置表!U:U,0)-1,0)*5*P24/10000/10000+M24*$V$1/10000</f>
        <v>#VALUE!</v>
      </c>
      <c r="V24" s="46" t="e">
        <f ca="1">OFFSET([2]怪物强度模型!$I$1,MATCH(F24,[2]怪物强度模型!$A:$A,0)-1,0)</f>
        <v>#VALUE!</v>
      </c>
      <c r="W24" s="46"/>
    </row>
    <row r="25" spans="1:23">
      <c r="A25" s="45">
        <f t="shared" si="1"/>
        <v>1120</v>
      </c>
      <c r="B25" s="46" t="s">
        <v>2791</v>
      </c>
      <c r="C25" s="45">
        <v>1</v>
      </c>
      <c r="D25" s="1">
        <v>120</v>
      </c>
      <c r="E25" s="78"/>
      <c r="F25" s="46">
        <f t="shared" si="2"/>
        <v>1015</v>
      </c>
      <c r="G25" s="46">
        <v>1.6</v>
      </c>
      <c r="H25" s="46">
        <v>5</v>
      </c>
      <c r="I25" s="46">
        <v>10</v>
      </c>
      <c r="J25" s="46">
        <v>10</v>
      </c>
      <c r="K25" s="46" t="e">
        <f ca="1" t="shared" si="3"/>
        <v>#VALUE!</v>
      </c>
      <c r="L25" s="46" t="e">
        <f ca="1" t="shared" si="4"/>
        <v>#VALUE!</v>
      </c>
      <c r="M25" s="46" t="e">
        <f ca="1" t="shared" si="0"/>
        <v>#VALUE!</v>
      </c>
      <c r="N25" s="46" t="e">
        <f ca="1" t="shared" si="5"/>
        <v>#VALUE!</v>
      </c>
      <c r="O25" s="46">
        <v>3</v>
      </c>
      <c r="P25" s="46">
        <v>15</v>
      </c>
      <c r="Q25" s="46" t="e">
        <f ca="1" t="shared" si="6"/>
        <v>#VALUE!</v>
      </c>
      <c r="R25" s="46" t="e">
        <f ca="1">OFFSET([2]怪物强度模型!$K$1,MATCH(F25,[2]怪物强度模型!$A:$A,0)-1,0)</f>
        <v>#VALUE!</v>
      </c>
      <c r="S25" s="46" t="e">
        <f ca="1">OFFSET([2]怪物强度模型!$O$1,MATCH(F25,[2]怪物强度模型!$A:$A,0)-1,0)</f>
        <v>#VALUE!</v>
      </c>
      <c r="T25" s="47" t="e">
        <f ca="1" t="shared" si="7"/>
        <v>#VALUE!</v>
      </c>
      <c r="U25" s="47" t="e">
        <f ca="1">Q25+N25*$V$1/10000+$V$1*OFFSET(卡牌辅助配置表!$V$1,MATCH(C25,卡牌辅助配置表!U:U,0)-1,0)*5*P25/10000/10000+M25*$V$1/10000</f>
        <v>#VALUE!</v>
      </c>
      <c r="V25" s="46" t="e">
        <f ca="1">OFFSET([2]怪物强度模型!$I$1,MATCH(F25,[2]怪物强度模型!$A:$A,0)-1,0)</f>
        <v>#VALUE!</v>
      </c>
      <c r="W25" s="46"/>
    </row>
    <row r="26" spans="1:23">
      <c r="A26" s="45">
        <f t="shared" si="1"/>
        <v>1121</v>
      </c>
      <c r="B26" s="46" t="s">
        <v>2791</v>
      </c>
      <c r="C26" s="45">
        <v>1</v>
      </c>
      <c r="D26" s="1">
        <v>121</v>
      </c>
      <c r="E26" s="78"/>
      <c r="F26" s="46">
        <f t="shared" si="2"/>
        <v>1016</v>
      </c>
      <c r="G26" s="46">
        <v>1.6</v>
      </c>
      <c r="H26" s="46">
        <v>5</v>
      </c>
      <c r="I26" s="46">
        <v>10</v>
      </c>
      <c r="J26" s="46">
        <v>10</v>
      </c>
      <c r="K26" s="46" t="e">
        <f ca="1" t="shared" si="3"/>
        <v>#VALUE!</v>
      </c>
      <c r="L26" s="46" t="e">
        <f ca="1" t="shared" si="4"/>
        <v>#VALUE!</v>
      </c>
      <c r="M26" s="46" t="e">
        <f ca="1" t="shared" si="0"/>
        <v>#VALUE!</v>
      </c>
      <c r="N26" s="46" t="e">
        <f ca="1" t="shared" si="5"/>
        <v>#VALUE!</v>
      </c>
      <c r="O26" s="46">
        <v>3</v>
      </c>
      <c r="P26" s="46">
        <v>16</v>
      </c>
      <c r="Q26" s="46" t="e">
        <f ca="1" t="shared" si="6"/>
        <v>#VALUE!</v>
      </c>
      <c r="R26" s="46" t="e">
        <f ca="1">OFFSET([2]怪物强度模型!$K$1,MATCH(F26,[2]怪物强度模型!$A:$A,0)-1,0)</f>
        <v>#VALUE!</v>
      </c>
      <c r="S26" s="46" t="e">
        <f ca="1">OFFSET([2]怪物强度模型!$O$1,MATCH(F26,[2]怪物强度模型!$A:$A,0)-1,0)</f>
        <v>#VALUE!</v>
      </c>
      <c r="T26" s="47" t="e">
        <f ca="1" t="shared" si="7"/>
        <v>#VALUE!</v>
      </c>
      <c r="U26" s="47" t="e">
        <f ca="1">Q26+N26*$V$1/10000+$V$1*OFFSET(卡牌辅助配置表!$V$1,MATCH(C26,卡牌辅助配置表!U:U,0)-1,0)*5*P26/10000/10000+M26*$V$1/10000</f>
        <v>#VALUE!</v>
      </c>
      <c r="V26" s="46" t="e">
        <f ca="1">OFFSET([2]怪物强度模型!$I$1,MATCH(F26,[2]怪物强度模型!$A:$A,0)-1,0)</f>
        <v>#VALUE!</v>
      </c>
      <c r="W26" s="46"/>
    </row>
    <row r="27" spans="1:23">
      <c r="A27" s="45">
        <f t="shared" si="1"/>
        <v>1122</v>
      </c>
      <c r="B27" s="46" t="s">
        <v>2791</v>
      </c>
      <c r="C27" s="45">
        <v>1</v>
      </c>
      <c r="D27" s="1">
        <v>122</v>
      </c>
      <c r="E27" s="78"/>
      <c r="F27" s="46">
        <f t="shared" si="2"/>
        <v>1016</v>
      </c>
      <c r="G27" s="46">
        <v>1.5</v>
      </c>
      <c r="H27" s="46">
        <v>5</v>
      </c>
      <c r="I27" s="46">
        <v>10</v>
      </c>
      <c r="J27" s="46">
        <v>10</v>
      </c>
      <c r="K27" s="46" t="e">
        <f ca="1" t="shared" si="3"/>
        <v>#VALUE!</v>
      </c>
      <c r="L27" s="46" t="e">
        <f ca="1" t="shared" si="4"/>
        <v>#VALUE!</v>
      </c>
      <c r="M27" s="46" t="e">
        <f ca="1" t="shared" si="0"/>
        <v>#VALUE!</v>
      </c>
      <c r="N27" s="46" t="e">
        <f ca="1" t="shared" si="5"/>
        <v>#VALUE!</v>
      </c>
      <c r="O27" s="46">
        <v>3</v>
      </c>
      <c r="P27" s="46">
        <v>16</v>
      </c>
      <c r="Q27" s="46" t="e">
        <f ca="1" t="shared" si="6"/>
        <v>#VALUE!</v>
      </c>
      <c r="R27" s="46" t="e">
        <f ca="1">OFFSET([2]怪物强度模型!$K$1,MATCH(F27,[2]怪物强度模型!$A:$A,0)-1,0)</f>
        <v>#VALUE!</v>
      </c>
      <c r="S27" s="46" t="e">
        <f ca="1">OFFSET([2]怪物强度模型!$O$1,MATCH(F27,[2]怪物强度模型!$A:$A,0)-1,0)</f>
        <v>#VALUE!</v>
      </c>
      <c r="T27" s="47" t="e">
        <f ca="1" t="shared" si="7"/>
        <v>#VALUE!</v>
      </c>
      <c r="U27" s="47" t="e">
        <f ca="1">Q27+N27*$V$1/10000+$V$1*OFFSET(卡牌辅助配置表!$V$1,MATCH(C27,卡牌辅助配置表!U:U,0)-1,0)*5*P27/10000/10000+M27*$V$1/10000</f>
        <v>#VALUE!</v>
      </c>
      <c r="V27" s="46" t="e">
        <f ca="1">OFFSET([2]怪物强度模型!$I$1,MATCH(F27,[2]怪物强度模型!$A:$A,0)-1,0)</f>
        <v>#VALUE!</v>
      </c>
      <c r="W27" s="46"/>
    </row>
    <row r="28" spans="1:23">
      <c r="A28" s="45">
        <f t="shared" si="1"/>
        <v>1123</v>
      </c>
      <c r="B28" s="46" t="s">
        <v>2791</v>
      </c>
      <c r="C28" s="45">
        <v>1</v>
      </c>
      <c r="D28" s="1">
        <v>123</v>
      </c>
      <c r="E28" s="78"/>
      <c r="F28" s="46">
        <f t="shared" si="2"/>
        <v>1016</v>
      </c>
      <c r="G28" s="46">
        <v>1.6</v>
      </c>
      <c r="H28" s="46">
        <v>5</v>
      </c>
      <c r="I28" s="46">
        <v>10</v>
      </c>
      <c r="J28" s="46">
        <v>10</v>
      </c>
      <c r="K28" s="46" t="e">
        <f ca="1" t="shared" si="3"/>
        <v>#VALUE!</v>
      </c>
      <c r="L28" s="46" t="e">
        <f ca="1" t="shared" si="4"/>
        <v>#VALUE!</v>
      </c>
      <c r="M28" s="46" t="e">
        <f ca="1" t="shared" si="0"/>
        <v>#VALUE!</v>
      </c>
      <c r="N28" s="46" t="e">
        <f ca="1" t="shared" si="5"/>
        <v>#VALUE!</v>
      </c>
      <c r="O28" s="46">
        <v>3</v>
      </c>
      <c r="P28" s="46">
        <v>16</v>
      </c>
      <c r="Q28" s="46" t="e">
        <f ca="1" t="shared" si="6"/>
        <v>#VALUE!</v>
      </c>
      <c r="R28" s="46" t="e">
        <f ca="1">OFFSET([2]怪物强度模型!$K$1,MATCH(F28,[2]怪物强度模型!$A:$A,0)-1,0)</f>
        <v>#VALUE!</v>
      </c>
      <c r="S28" s="46" t="e">
        <f ca="1">OFFSET([2]怪物强度模型!$O$1,MATCH(F28,[2]怪物强度模型!$A:$A,0)-1,0)</f>
        <v>#VALUE!</v>
      </c>
      <c r="T28" s="47" t="e">
        <f ca="1" t="shared" si="7"/>
        <v>#VALUE!</v>
      </c>
      <c r="U28" s="47" t="e">
        <f ca="1">Q28+N28*$V$1/10000+$V$1*OFFSET(卡牌辅助配置表!$V$1,MATCH(C28,卡牌辅助配置表!U:U,0)-1,0)*5*P28/10000/10000+M28*$V$1/10000</f>
        <v>#VALUE!</v>
      </c>
      <c r="V28" s="46" t="e">
        <f ca="1">OFFSET([2]怪物强度模型!$I$1,MATCH(F28,[2]怪物强度模型!$A:$A,0)-1,0)</f>
        <v>#VALUE!</v>
      </c>
      <c r="W28" s="46"/>
    </row>
    <row r="29" spans="1:23">
      <c r="A29" s="45">
        <f t="shared" si="1"/>
        <v>1124</v>
      </c>
      <c r="B29" s="46" t="s">
        <v>2791</v>
      </c>
      <c r="C29" s="45">
        <v>1</v>
      </c>
      <c r="D29" s="1">
        <v>124</v>
      </c>
      <c r="E29" s="78"/>
      <c r="F29" s="46">
        <f t="shared" si="2"/>
        <v>1017</v>
      </c>
      <c r="G29" s="46">
        <v>1.5</v>
      </c>
      <c r="H29" s="46">
        <v>5</v>
      </c>
      <c r="I29" s="46">
        <v>10</v>
      </c>
      <c r="J29" s="46">
        <v>10</v>
      </c>
      <c r="K29" s="46" t="e">
        <f ca="1" t="shared" si="3"/>
        <v>#VALUE!</v>
      </c>
      <c r="L29" s="46" t="e">
        <f ca="1" t="shared" si="4"/>
        <v>#VALUE!</v>
      </c>
      <c r="M29" s="46" t="e">
        <f ca="1" t="shared" si="0"/>
        <v>#VALUE!</v>
      </c>
      <c r="N29" s="46" t="e">
        <f ca="1" t="shared" si="5"/>
        <v>#VALUE!</v>
      </c>
      <c r="O29" s="46">
        <v>3</v>
      </c>
      <c r="P29" s="46">
        <v>17</v>
      </c>
      <c r="Q29" s="46" t="e">
        <f ca="1" t="shared" si="6"/>
        <v>#VALUE!</v>
      </c>
      <c r="R29" s="46" t="e">
        <f ca="1">OFFSET([2]怪物强度模型!$K$1,MATCH(F29,[2]怪物强度模型!$A:$A,0)-1,0)</f>
        <v>#VALUE!</v>
      </c>
      <c r="S29" s="46" t="e">
        <f ca="1">OFFSET([2]怪物强度模型!$O$1,MATCH(F29,[2]怪物强度模型!$A:$A,0)-1,0)</f>
        <v>#VALUE!</v>
      </c>
      <c r="T29" s="47" t="e">
        <f ca="1" t="shared" si="7"/>
        <v>#VALUE!</v>
      </c>
      <c r="U29" s="47" t="e">
        <f ca="1">Q29+N29*$V$1/10000+$V$1*OFFSET(卡牌辅助配置表!$V$1,MATCH(C29,卡牌辅助配置表!U:U,0)-1,0)*5*P29/10000/10000+M29*$V$1/10000</f>
        <v>#VALUE!</v>
      </c>
      <c r="V29" s="46" t="e">
        <f ca="1">OFFSET([2]怪物强度模型!$I$1,MATCH(F29,[2]怪物强度模型!$A:$A,0)-1,0)</f>
        <v>#VALUE!</v>
      </c>
      <c r="W29" s="46"/>
    </row>
    <row r="30" spans="1:23">
      <c r="A30" s="45">
        <f t="shared" si="1"/>
        <v>1125</v>
      </c>
      <c r="B30" s="46" t="s">
        <v>2791</v>
      </c>
      <c r="C30" s="45">
        <v>1</v>
      </c>
      <c r="D30" s="1">
        <v>125</v>
      </c>
      <c r="E30" s="78"/>
      <c r="F30" s="46">
        <f t="shared" si="2"/>
        <v>1017</v>
      </c>
      <c r="G30" s="46">
        <v>1.6</v>
      </c>
      <c r="H30" s="46">
        <v>5</v>
      </c>
      <c r="I30" s="46">
        <v>10</v>
      </c>
      <c r="J30" s="46">
        <v>10</v>
      </c>
      <c r="K30" s="46" t="e">
        <f ca="1" t="shared" si="3"/>
        <v>#VALUE!</v>
      </c>
      <c r="L30" s="46" t="e">
        <f ca="1" t="shared" si="4"/>
        <v>#VALUE!</v>
      </c>
      <c r="M30" s="46" t="e">
        <f ca="1" t="shared" si="0"/>
        <v>#VALUE!</v>
      </c>
      <c r="N30" s="46" t="e">
        <f ca="1" t="shared" si="5"/>
        <v>#VALUE!</v>
      </c>
      <c r="O30" s="46">
        <v>3</v>
      </c>
      <c r="P30" s="46">
        <v>17</v>
      </c>
      <c r="Q30" s="46" t="e">
        <f ca="1" t="shared" si="6"/>
        <v>#VALUE!</v>
      </c>
      <c r="R30" s="46" t="e">
        <f ca="1">OFFSET([2]怪物强度模型!$K$1,MATCH(F30,[2]怪物强度模型!$A:$A,0)-1,0)</f>
        <v>#VALUE!</v>
      </c>
      <c r="S30" s="46" t="e">
        <f ca="1">OFFSET([2]怪物强度模型!$O$1,MATCH(F30,[2]怪物强度模型!$A:$A,0)-1,0)</f>
        <v>#VALUE!</v>
      </c>
      <c r="T30" s="47" t="e">
        <f ca="1" t="shared" si="7"/>
        <v>#VALUE!</v>
      </c>
      <c r="U30" s="47" t="e">
        <f ca="1">Q30+N30*$V$1/10000+$V$1*OFFSET(卡牌辅助配置表!$V$1,MATCH(C30,卡牌辅助配置表!U:U,0)-1,0)*5*P30/10000/10000+M30*$V$1/10000</f>
        <v>#VALUE!</v>
      </c>
      <c r="V30" s="46" t="e">
        <f ca="1">OFFSET([2]怪物强度模型!$I$1,MATCH(F30,[2]怪物强度模型!$A:$A,0)-1,0)</f>
        <v>#VALUE!</v>
      </c>
      <c r="W30" s="46"/>
    </row>
    <row r="31" spans="1:23">
      <c r="A31" s="45">
        <f t="shared" si="1"/>
        <v>1126</v>
      </c>
      <c r="B31" s="46" t="s">
        <v>2791</v>
      </c>
      <c r="C31" s="45">
        <v>1</v>
      </c>
      <c r="D31" s="1">
        <v>126</v>
      </c>
      <c r="E31" s="78"/>
      <c r="F31" s="46">
        <f t="shared" si="2"/>
        <v>1018</v>
      </c>
      <c r="G31" s="46">
        <v>1.7</v>
      </c>
      <c r="H31" s="46">
        <v>5</v>
      </c>
      <c r="I31" s="46">
        <v>10</v>
      </c>
      <c r="J31" s="46">
        <v>10</v>
      </c>
      <c r="K31" s="46" t="e">
        <f ca="1" t="shared" si="3"/>
        <v>#VALUE!</v>
      </c>
      <c r="L31" s="46" t="e">
        <f ca="1" t="shared" si="4"/>
        <v>#VALUE!</v>
      </c>
      <c r="M31" s="46" t="e">
        <f ca="1" t="shared" si="0"/>
        <v>#VALUE!</v>
      </c>
      <c r="N31" s="46" t="e">
        <f ca="1" t="shared" si="5"/>
        <v>#VALUE!</v>
      </c>
      <c r="O31" s="46">
        <v>3</v>
      </c>
      <c r="P31" s="46">
        <v>18</v>
      </c>
      <c r="Q31" s="46" t="e">
        <f ca="1" t="shared" si="6"/>
        <v>#VALUE!</v>
      </c>
      <c r="R31" s="46" t="e">
        <f ca="1">OFFSET([2]怪物强度模型!$K$1,MATCH(F31,[2]怪物强度模型!$A:$A,0)-1,0)</f>
        <v>#VALUE!</v>
      </c>
      <c r="S31" s="46" t="e">
        <f ca="1">OFFSET([2]怪物强度模型!$O$1,MATCH(F31,[2]怪物强度模型!$A:$A,0)-1,0)</f>
        <v>#VALUE!</v>
      </c>
      <c r="T31" s="47" t="e">
        <f ca="1" t="shared" si="7"/>
        <v>#VALUE!</v>
      </c>
      <c r="U31" s="47" t="e">
        <f ca="1">Q31+N31*$V$1/10000+$V$1*OFFSET(卡牌辅助配置表!$V$1,MATCH(C31,卡牌辅助配置表!U:U,0)-1,0)*5*P31/10000/10000+M31*$V$1/10000</f>
        <v>#VALUE!</v>
      </c>
      <c r="V31" s="46" t="e">
        <f ca="1">OFFSET([2]怪物强度模型!$I$1,MATCH(F31,[2]怪物强度模型!$A:$A,0)-1,0)</f>
        <v>#VALUE!</v>
      </c>
      <c r="W31" s="46"/>
    </row>
    <row r="32" spans="1:23">
      <c r="A32" s="45">
        <f t="shared" si="1"/>
        <v>1127</v>
      </c>
      <c r="B32" s="46" t="s">
        <v>2791</v>
      </c>
      <c r="C32" s="45">
        <v>1</v>
      </c>
      <c r="D32" s="1">
        <v>127</v>
      </c>
      <c r="E32" s="78"/>
      <c r="F32" s="46">
        <f t="shared" si="2"/>
        <v>1018</v>
      </c>
      <c r="G32" s="46">
        <v>1.6</v>
      </c>
      <c r="H32" s="46">
        <v>5</v>
      </c>
      <c r="I32" s="46">
        <v>10</v>
      </c>
      <c r="J32" s="46">
        <v>10</v>
      </c>
      <c r="K32" s="46" t="e">
        <f ca="1" t="shared" si="3"/>
        <v>#VALUE!</v>
      </c>
      <c r="L32" s="46" t="e">
        <f ca="1" t="shared" si="4"/>
        <v>#VALUE!</v>
      </c>
      <c r="M32" s="46" t="e">
        <f ca="1" t="shared" si="0"/>
        <v>#VALUE!</v>
      </c>
      <c r="N32" s="46" t="e">
        <f ca="1" t="shared" si="5"/>
        <v>#VALUE!</v>
      </c>
      <c r="O32" s="46">
        <v>3</v>
      </c>
      <c r="P32" s="46">
        <v>18</v>
      </c>
      <c r="Q32" s="46" t="e">
        <f ca="1" t="shared" si="6"/>
        <v>#VALUE!</v>
      </c>
      <c r="R32" s="46" t="e">
        <f ca="1">OFFSET([2]怪物强度模型!$K$1,MATCH(F32,[2]怪物强度模型!$A:$A,0)-1,0)</f>
        <v>#VALUE!</v>
      </c>
      <c r="S32" s="46" t="e">
        <f ca="1">OFFSET([2]怪物强度模型!$O$1,MATCH(F32,[2]怪物强度模型!$A:$A,0)-1,0)</f>
        <v>#VALUE!</v>
      </c>
      <c r="T32" s="47" t="e">
        <f ca="1" t="shared" si="7"/>
        <v>#VALUE!</v>
      </c>
      <c r="U32" s="47" t="e">
        <f ca="1">Q32+N32*$V$1/10000+$V$1*OFFSET(卡牌辅助配置表!$V$1,MATCH(C32,卡牌辅助配置表!U:U,0)-1,0)*5*P32/10000/10000+M32*$V$1/10000</f>
        <v>#VALUE!</v>
      </c>
      <c r="V32" s="46" t="e">
        <f ca="1">OFFSET([2]怪物强度模型!$I$1,MATCH(F32,[2]怪物强度模型!$A:$A,0)-1,0)</f>
        <v>#VALUE!</v>
      </c>
      <c r="W32" s="46"/>
    </row>
    <row r="33" spans="1:23">
      <c r="A33" s="45">
        <f t="shared" si="1"/>
        <v>1128</v>
      </c>
      <c r="B33" s="46" t="s">
        <v>2791</v>
      </c>
      <c r="C33" s="45">
        <v>1</v>
      </c>
      <c r="D33" s="1">
        <v>128</v>
      </c>
      <c r="E33" s="78"/>
      <c r="F33" s="46">
        <f t="shared" si="2"/>
        <v>1018</v>
      </c>
      <c r="G33" s="46">
        <v>1.7</v>
      </c>
      <c r="H33" s="46">
        <v>5</v>
      </c>
      <c r="I33" s="46">
        <v>10</v>
      </c>
      <c r="J33" s="46">
        <v>10</v>
      </c>
      <c r="K33" s="46" t="e">
        <f ca="1" t="shared" si="3"/>
        <v>#VALUE!</v>
      </c>
      <c r="L33" s="46" t="e">
        <f ca="1" t="shared" si="4"/>
        <v>#VALUE!</v>
      </c>
      <c r="M33" s="46" t="e">
        <f ca="1" t="shared" si="0"/>
        <v>#VALUE!</v>
      </c>
      <c r="N33" s="46" t="e">
        <f ca="1" t="shared" si="5"/>
        <v>#VALUE!</v>
      </c>
      <c r="O33" s="46">
        <v>3</v>
      </c>
      <c r="P33" s="46">
        <v>18</v>
      </c>
      <c r="Q33" s="46" t="e">
        <f ca="1" t="shared" si="6"/>
        <v>#VALUE!</v>
      </c>
      <c r="R33" s="46" t="e">
        <f ca="1">OFFSET([2]怪物强度模型!$K$1,MATCH(F33,[2]怪物强度模型!$A:$A,0)-1,0)</f>
        <v>#VALUE!</v>
      </c>
      <c r="S33" s="46" t="e">
        <f ca="1">OFFSET([2]怪物强度模型!$O$1,MATCH(F33,[2]怪物强度模型!$A:$A,0)-1,0)</f>
        <v>#VALUE!</v>
      </c>
      <c r="T33" s="47" t="e">
        <f ca="1" t="shared" si="7"/>
        <v>#VALUE!</v>
      </c>
      <c r="U33" s="47" t="e">
        <f ca="1">Q33+N33*$V$1/10000+$V$1*OFFSET(卡牌辅助配置表!$V$1,MATCH(C33,卡牌辅助配置表!U:U,0)-1,0)*5*P33/10000/10000+M33*$V$1/10000</f>
        <v>#VALUE!</v>
      </c>
      <c r="V33" s="46" t="e">
        <f ca="1">OFFSET([2]怪物强度模型!$I$1,MATCH(F33,[2]怪物强度模型!$A:$A,0)-1,0)</f>
        <v>#VALUE!</v>
      </c>
      <c r="W33" s="46"/>
    </row>
    <row r="34" spans="1:23">
      <c r="A34" s="45">
        <f t="shared" si="1"/>
        <v>1129</v>
      </c>
      <c r="B34" s="46" t="s">
        <v>2791</v>
      </c>
      <c r="C34" s="45">
        <v>1</v>
      </c>
      <c r="D34" s="1">
        <v>129</v>
      </c>
      <c r="E34" s="78"/>
      <c r="F34" s="46">
        <f t="shared" si="2"/>
        <v>1018</v>
      </c>
      <c r="G34" s="46">
        <v>1.7</v>
      </c>
      <c r="H34" s="46">
        <v>5</v>
      </c>
      <c r="I34" s="46">
        <v>10</v>
      </c>
      <c r="J34" s="46">
        <v>10</v>
      </c>
      <c r="K34" s="46" t="e">
        <f ca="1" t="shared" si="3"/>
        <v>#VALUE!</v>
      </c>
      <c r="L34" s="46" t="e">
        <f ca="1" t="shared" si="4"/>
        <v>#VALUE!</v>
      </c>
      <c r="M34" s="46" t="e">
        <f ca="1" t="shared" si="0"/>
        <v>#VALUE!</v>
      </c>
      <c r="N34" s="46" t="e">
        <f ca="1" t="shared" si="5"/>
        <v>#VALUE!</v>
      </c>
      <c r="O34" s="46">
        <v>3</v>
      </c>
      <c r="P34" s="46">
        <v>18</v>
      </c>
      <c r="Q34" s="46" t="e">
        <f ca="1" t="shared" si="6"/>
        <v>#VALUE!</v>
      </c>
      <c r="R34" s="46" t="e">
        <f ca="1">OFFSET([2]怪物强度模型!$K$1,MATCH(F34,[2]怪物强度模型!$A:$A,0)-1,0)</f>
        <v>#VALUE!</v>
      </c>
      <c r="S34" s="46" t="e">
        <f ca="1">OFFSET([2]怪物强度模型!$O$1,MATCH(F34,[2]怪物强度模型!$A:$A,0)-1,0)</f>
        <v>#VALUE!</v>
      </c>
      <c r="T34" s="47" t="e">
        <f ca="1" t="shared" si="7"/>
        <v>#VALUE!</v>
      </c>
      <c r="U34" s="47" t="e">
        <f ca="1">Q34+N34*$V$1/10000+$V$1*OFFSET(卡牌辅助配置表!$V$1,MATCH(C34,卡牌辅助配置表!U:U,0)-1,0)*5*P34/10000/10000+M34*$V$1/10000</f>
        <v>#VALUE!</v>
      </c>
      <c r="V34" s="46" t="e">
        <f ca="1">OFFSET([2]怪物强度模型!$I$1,MATCH(F34,[2]怪物强度模型!$A:$A,0)-1,0)</f>
        <v>#VALUE!</v>
      </c>
      <c r="W34" s="46"/>
    </row>
    <row r="35" spans="1:23">
      <c r="A35" s="45">
        <f t="shared" si="1"/>
        <v>1130</v>
      </c>
      <c r="B35" s="46" t="s">
        <v>2791</v>
      </c>
      <c r="C35" s="45">
        <v>1</v>
      </c>
      <c r="D35" s="1">
        <v>130</v>
      </c>
      <c r="E35" s="78"/>
      <c r="F35" s="46">
        <f t="shared" si="2"/>
        <v>1019</v>
      </c>
      <c r="G35" s="46">
        <v>1.8</v>
      </c>
      <c r="H35" s="46">
        <v>5</v>
      </c>
      <c r="I35" s="46">
        <v>10</v>
      </c>
      <c r="J35" s="46">
        <v>10</v>
      </c>
      <c r="K35" s="46" t="e">
        <f ca="1" t="shared" si="3"/>
        <v>#VALUE!</v>
      </c>
      <c r="L35" s="46" t="e">
        <f ca="1" t="shared" si="4"/>
        <v>#VALUE!</v>
      </c>
      <c r="M35" s="46" t="e">
        <f ca="1" t="shared" si="0"/>
        <v>#VALUE!</v>
      </c>
      <c r="N35" s="46" t="e">
        <f ca="1" t="shared" si="5"/>
        <v>#VALUE!</v>
      </c>
      <c r="O35" s="46">
        <v>3</v>
      </c>
      <c r="P35" s="46">
        <v>19</v>
      </c>
      <c r="Q35" s="46" t="e">
        <f ca="1" t="shared" si="6"/>
        <v>#VALUE!</v>
      </c>
      <c r="R35" s="46" t="e">
        <f ca="1">OFFSET([2]怪物强度模型!$K$1,MATCH(F35,[2]怪物强度模型!$A:$A,0)-1,0)</f>
        <v>#VALUE!</v>
      </c>
      <c r="S35" s="46" t="e">
        <f ca="1">OFFSET([2]怪物强度模型!$O$1,MATCH(F35,[2]怪物强度模型!$A:$A,0)-1,0)</f>
        <v>#VALUE!</v>
      </c>
      <c r="T35" s="47" t="e">
        <f ca="1" t="shared" si="7"/>
        <v>#VALUE!</v>
      </c>
      <c r="U35" s="47" t="e">
        <f ca="1">Q35+N35*$V$1/10000+$V$1*OFFSET(卡牌辅助配置表!$V$1,MATCH(C35,卡牌辅助配置表!U:U,0)-1,0)*5*P35/10000/10000+M35*$V$1/10000</f>
        <v>#VALUE!</v>
      </c>
      <c r="V35" s="46" t="e">
        <f ca="1">OFFSET([2]怪物强度模型!$I$1,MATCH(F35,[2]怪物强度模型!$A:$A,0)-1,0)</f>
        <v>#VALUE!</v>
      </c>
      <c r="W35" s="46"/>
    </row>
    <row r="36" spans="1:23">
      <c r="A36" s="45">
        <f t="shared" si="1"/>
        <v>1131</v>
      </c>
      <c r="B36" s="46" t="s">
        <v>2791</v>
      </c>
      <c r="C36" s="45">
        <v>1</v>
      </c>
      <c r="D36" s="1">
        <v>131</v>
      </c>
      <c r="E36" s="78"/>
      <c r="F36" s="46">
        <f t="shared" si="2"/>
        <v>1019</v>
      </c>
      <c r="G36" s="46">
        <v>1.8</v>
      </c>
      <c r="H36" s="46">
        <v>5</v>
      </c>
      <c r="I36" s="46">
        <v>10</v>
      </c>
      <c r="J36" s="46">
        <v>10</v>
      </c>
      <c r="K36" s="46" t="e">
        <f ca="1" t="shared" si="3"/>
        <v>#VALUE!</v>
      </c>
      <c r="L36" s="46" t="e">
        <f ca="1" t="shared" si="4"/>
        <v>#VALUE!</v>
      </c>
      <c r="M36" s="46" t="e">
        <f ca="1" t="shared" si="0"/>
        <v>#VALUE!</v>
      </c>
      <c r="N36" s="46" t="e">
        <f ca="1" t="shared" si="5"/>
        <v>#VALUE!</v>
      </c>
      <c r="O36" s="46">
        <v>3</v>
      </c>
      <c r="P36" s="46">
        <v>19</v>
      </c>
      <c r="Q36" s="46" t="e">
        <f ca="1" t="shared" si="6"/>
        <v>#VALUE!</v>
      </c>
      <c r="R36" s="46" t="e">
        <f ca="1">OFFSET([2]怪物强度模型!$K$1,MATCH(F36,[2]怪物强度模型!$A:$A,0)-1,0)</f>
        <v>#VALUE!</v>
      </c>
      <c r="S36" s="46" t="e">
        <f ca="1">OFFSET([2]怪物强度模型!$O$1,MATCH(F36,[2]怪物强度模型!$A:$A,0)-1,0)</f>
        <v>#VALUE!</v>
      </c>
      <c r="T36" s="47" t="e">
        <f ca="1" t="shared" si="7"/>
        <v>#VALUE!</v>
      </c>
      <c r="U36" s="47" t="e">
        <f ca="1">Q36+N36*$V$1/10000+$V$1*OFFSET(卡牌辅助配置表!$V$1,MATCH(C36,卡牌辅助配置表!U:U,0)-1,0)*5*P36/10000/10000+M36*$V$1/10000</f>
        <v>#VALUE!</v>
      </c>
      <c r="V36" s="46" t="e">
        <f ca="1">OFFSET([2]怪物强度模型!$I$1,MATCH(F36,[2]怪物强度模型!$A:$A,0)-1,0)</f>
        <v>#VALUE!</v>
      </c>
      <c r="W36" s="46"/>
    </row>
    <row r="37" spans="1:23">
      <c r="A37" s="45">
        <f t="shared" si="1"/>
        <v>1132</v>
      </c>
      <c r="B37" s="46" t="s">
        <v>2791</v>
      </c>
      <c r="C37" s="45">
        <v>1</v>
      </c>
      <c r="D37" s="1">
        <v>132</v>
      </c>
      <c r="E37" s="78"/>
      <c r="F37" s="46">
        <f t="shared" si="2"/>
        <v>1019</v>
      </c>
      <c r="G37" s="46">
        <v>1.7</v>
      </c>
      <c r="H37" s="46">
        <v>5</v>
      </c>
      <c r="I37" s="46">
        <v>10</v>
      </c>
      <c r="J37" s="46">
        <v>10</v>
      </c>
      <c r="K37" s="46" t="e">
        <f ca="1" t="shared" si="3"/>
        <v>#VALUE!</v>
      </c>
      <c r="L37" s="46" t="e">
        <f ca="1" t="shared" si="4"/>
        <v>#VALUE!</v>
      </c>
      <c r="M37" s="46" t="e">
        <f ca="1" t="shared" si="0"/>
        <v>#VALUE!</v>
      </c>
      <c r="N37" s="46" t="e">
        <f ca="1" t="shared" si="5"/>
        <v>#VALUE!</v>
      </c>
      <c r="O37" s="46">
        <v>3</v>
      </c>
      <c r="P37" s="46">
        <v>19</v>
      </c>
      <c r="Q37" s="46" t="e">
        <f ca="1" t="shared" si="6"/>
        <v>#VALUE!</v>
      </c>
      <c r="R37" s="46" t="e">
        <f ca="1">OFFSET([2]怪物强度模型!$K$1,MATCH(F37,[2]怪物强度模型!$A:$A,0)-1,0)</f>
        <v>#VALUE!</v>
      </c>
      <c r="S37" s="46" t="e">
        <f ca="1">OFFSET([2]怪物强度模型!$O$1,MATCH(F37,[2]怪物强度模型!$A:$A,0)-1,0)</f>
        <v>#VALUE!</v>
      </c>
      <c r="T37" s="47" t="e">
        <f ca="1" t="shared" si="7"/>
        <v>#VALUE!</v>
      </c>
      <c r="U37" s="47" t="e">
        <f ca="1">Q37+N37*$V$1/10000+$V$1*OFFSET(卡牌辅助配置表!$V$1,MATCH(C37,卡牌辅助配置表!U:U,0)-1,0)*5*P37/10000/10000+M37*$V$1/10000</f>
        <v>#VALUE!</v>
      </c>
      <c r="V37" s="46" t="e">
        <f ca="1">OFFSET([2]怪物强度模型!$I$1,MATCH(F37,[2]怪物强度模型!$A:$A,0)-1,0)</f>
        <v>#VALUE!</v>
      </c>
      <c r="W37" s="46"/>
    </row>
    <row r="38" spans="1:23">
      <c r="A38" s="45">
        <f t="shared" si="1"/>
        <v>1133</v>
      </c>
      <c r="B38" s="46" t="s">
        <v>2791</v>
      </c>
      <c r="C38" s="45">
        <v>1</v>
      </c>
      <c r="D38" s="1">
        <v>133</v>
      </c>
      <c r="E38" s="78"/>
      <c r="F38" s="46">
        <f t="shared" si="2"/>
        <v>1020</v>
      </c>
      <c r="G38" s="46">
        <v>1.8</v>
      </c>
      <c r="H38" s="46">
        <v>5</v>
      </c>
      <c r="I38" s="46">
        <v>10</v>
      </c>
      <c r="J38" s="46">
        <v>10</v>
      </c>
      <c r="K38" s="46" t="e">
        <f ca="1" t="shared" si="3"/>
        <v>#VALUE!</v>
      </c>
      <c r="L38" s="46" t="e">
        <f ca="1" t="shared" si="4"/>
        <v>#VALUE!</v>
      </c>
      <c r="M38" s="46" t="e">
        <f ca="1" t="shared" si="0"/>
        <v>#VALUE!</v>
      </c>
      <c r="N38" s="46" t="e">
        <f ca="1" t="shared" ref="N38:N62" si="8">ROUND(M38/$N$1,0)</f>
        <v>#VALUE!</v>
      </c>
      <c r="O38" s="46">
        <v>3</v>
      </c>
      <c r="P38" s="46">
        <v>20</v>
      </c>
      <c r="Q38" s="46" t="e">
        <f ca="1" t="shared" si="6"/>
        <v>#VALUE!</v>
      </c>
      <c r="R38" s="46" t="e">
        <f ca="1">OFFSET([2]怪物强度模型!$K$1,MATCH(F38,[2]怪物强度模型!$A:$A,0)-1,0)</f>
        <v>#VALUE!</v>
      </c>
      <c r="S38" s="46" t="e">
        <f ca="1">OFFSET([2]怪物强度模型!$O$1,MATCH(F38,[2]怪物强度模型!$A:$A,0)-1,0)</f>
        <v>#VALUE!</v>
      </c>
      <c r="T38" s="47" t="e">
        <f ca="1" t="shared" si="7"/>
        <v>#VALUE!</v>
      </c>
      <c r="U38" s="47" t="e">
        <f ca="1">Q38+N38*$V$1/10000+$V$1*OFFSET(卡牌辅助配置表!$V$1,MATCH(C38,卡牌辅助配置表!U:U,0)-1,0)*5*P38/10000/10000+M38*$V$1/10000</f>
        <v>#VALUE!</v>
      </c>
      <c r="V38" s="46" t="e">
        <f ca="1">OFFSET([2]怪物强度模型!$I$1,MATCH(F38,[2]怪物强度模型!$A:$A,0)-1,0)</f>
        <v>#VALUE!</v>
      </c>
      <c r="W38" s="46"/>
    </row>
    <row r="39" spans="1:23">
      <c r="A39" s="45">
        <f t="shared" ref="A39:A49" si="9">C39*1000+D39</f>
        <v>1134</v>
      </c>
      <c r="B39" s="46" t="s">
        <v>2791</v>
      </c>
      <c r="C39" s="45">
        <v>1</v>
      </c>
      <c r="D39" s="1">
        <v>134</v>
      </c>
      <c r="E39" s="78"/>
      <c r="F39" s="46">
        <f t="shared" si="2"/>
        <v>1020</v>
      </c>
      <c r="G39" s="46">
        <v>1.8</v>
      </c>
      <c r="H39" s="46">
        <v>5</v>
      </c>
      <c r="I39" s="46">
        <v>10</v>
      </c>
      <c r="J39" s="46">
        <v>10</v>
      </c>
      <c r="K39" s="46" t="e">
        <f ca="1" t="shared" si="3"/>
        <v>#VALUE!</v>
      </c>
      <c r="L39" s="46" t="e">
        <f ca="1" t="shared" si="4"/>
        <v>#VALUE!</v>
      </c>
      <c r="M39" s="46" t="e">
        <f ca="1" t="shared" si="0"/>
        <v>#VALUE!</v>
      </c>
      <c r="N39" s="46" t="e">
        <f ca="1" t="shared" si="8"/>
        <v>#VALUE!</v>
      </c>
      <c r="O39" s="46">
        <v>3</v>
      </c>
      <c r="P39" s="46">
        <v>20</v>
      </c>
      <c r="Q39" s="46" t="e">
        <f ca="1" t="shared" si="6"/>
        <v>#VALUE!</v>
      </c>
      <c r="R39" s="46" t="e">
        <f ca="1">OFFSET([2]怪物强度模型!$K$1,MATCH(F39,[2]怪物强度模型!$A:$A,0)-1,0)</f>
        <v>#VALUE!</v>
      </c>
      <c r="S39" s="46" t="e">
        <f ca="1">OFFSET([2]怪物强度模型!$O$1,MATCH(F39,[2]怪物强度模型!$A:$A,0)-1,0)</f>
        <v>#VALUE!</v>
      </c>
      <c r="T39" s="47" t="e">
        <f ca="1" t="shared" si="7"/>
        <v>#VALUE!</v>
      </c>
      <c r="U39" s="47" t="e">
        <f ca="1">Q39+N39*$V$1/10000+$V$1*OFFSET(卡牌辅助配置表!$V$1,MATCH(C39,卡牌辅助配置表!U:U,0)-1,0)*5*P39/10000/10000+M39*$V$1/10000</f>
        <v>#VALUE!</v>
      </c>
      <c r="V39" s="46" t="e">
        <f ca="1">OFFSET([2]怪物强度模型!$I$1,MATCH(F39,[2]怪物强度模型!$A:$A,0)-1,0)</f>
        <v>#VALUE!</v>
      </c>
      <c r="W39" s="46"/>
    </row>
    <row r="40" spans="1:23">
      <c r="A40" s="45">
        <f t="shared" si="9"/>
        <v>1135</v>
      </c>
      <c r="B40" s="46" t="s">
        <v>2791</v>
      </c>
      <c r="C40" s="45">
        <v>1</v>
      </c>
      <c r="D40" s="95">
        <v>135</v>
      </c>
      <c r="E40" s="78"/>
      <c r="F40" s="46">
        <f t="shared" si="2"/>
        <v>1020</v>
      </c>
      <c r="G40" s="46">
        <v>1.9</v>
      </c>
      <c r="H40" s="46">
        <v>5</v>
      </c>
      <c r="I40" s="46">
        <v>10</v>
      </c>
      <c r="J40" s="46">
        <v>10</v>
      </c>
      <c r="K40" s="46" t="e">
        <f ca="1" t="shared" si="3"/>
        <v>#VALUE!</v>
      </c>
      <c r="L40" s="46" t="e">
        <f ca="1" t="shared" si="4"/>
        <v>#VALUE!</v>
      </c>
      <c r="M40" s="46" t="e">
        <f ca="1" t="shared" si="0"/>
        <v>#VALUE!</v>
      </c>
      <c r="N40" s="46" t="e">
        <f ca="1" t="shared" si="8"/>
        <v>#VALUE!</v>
      </c>
      <c r="O40" s="46">
        <v>3</v>
      </c>
      <c r="P40" s="46">
        <v>20</v>
      </c>
      <c r="Q40" s="46" t="e">
        <f ca="1" t="shared" si="6"/>
        <v>#VALUE!</v>
      </c>
      <c r="R40" s="46" t="e">
        <f ca="1">OFFSET([2]怪物强度模型!$K$1,MATCH(F40,[2]怪物强度模型!$A:$A,0)-1,0)</f>
        <v>#VALUE!</v>
      </c>
      <c r="S40" s="46" t="e">
        <f ca="1">OFFSET([2]怪物强度模型!$O$1,MATCH(F40,[2]怪物强度模型!$A:$A,0)-1,0)</f>
        <v>#VALUE!</v>
      </c>
      <c r="T40" s="47" t="e">
        <f ca="1" t="shared" si="7"/>
        <v>#VALUE!</v>
      </c>
      <c r="U40" s="47" t="e">
        <f ca="1">Q40+N40*$V$1/10000+$V$1*OFFSET(卡牌辅助配置表!$V$1,MATCH(C40,卡牌辅助配置表!U:U,0)-1,0)*5*P40/10000/10000+M40*$V$1/10000</f>
        <v>#VALUE!</v>
      </c>
      <c r="V40" s="46" t="e">
        <f ca="1">OFFSET([2]怪物强度模型!$I$1,MATCH(F40,[2]怪物强度模型!$A:$A,0)-1,0)</f>
        <v>#VALUE!</v>
      </c>
      <c r="W40" s="46"/>
    </row>
    <row r="41" spans="1:22">
      <c r="A41" s="45">
        <f t="shared" si="9"/>
        <v>1136</v>
      </c>
      <c r="B41" s="46" t="s">
        <v>2791</v>
      </c>
      <c r="C41" s="45">
        <v>1</v>
      </c>
      <c r="D41" s="203">
        <v>136</v>
      </c>
      <c r="E41" s="78"/>
      <c r="F41" s="46">
        <f t="shared" ref="F41:F49" si="10">C41*1000+P41</f>
        <v>1020</v>
      </c>
      <c r="G41" s="46">
        <v>3</v>
      </c>
      <c r="H41" s="46">
        <v>5</v>
      </c>
      <c r="I41" s="46">
        <v>10</v>
      </c>
      <c r="J41" s="46">
        <v>10</v>
      </c>
      <c r="K41" s="46" t="e">
        <f ca="1" t="shared" ref="K41:K49" si="11">ROUND(Q41*0.95,0)</f>
        <v>#VALUE!</v>
      </c>
      <c r="L41" s="46" t="e">
        <f ca="1" t="shared" ref="L41:L49" si="12">ROUND(Q41*1.05,0)</f>
        <v>#VALUE!</v>
      </c>
      <c r="M41" s="46" t="e">
        <f ca="1">$L$1*S41</f>
        <v>#VALUE!</v>
      </c>
      <c r="N41" s="46" t="e">
        <f ca="1" t="shared" si="8"/>
        <v>#VALUE!</v>
      </c>
      <c r="O41" s="46">
        <v>3</v>
      </c>
      <c r="P41" s="46">
        <v>20</v>
      </c>
      <c r="Q41" s="46" t="e">
        <f ca="1" t="shared" si="6"/>
        <v>#VALUE!</v>
      </c>
      <c r="R41" s="46" t="e">
        <f ca="1">OFFSET([2]怪物强度模型!$K$1,MATCH(F41,[2]怪物强度模型!$A:$A,0)-1,0)</f>
        <v>#VALUE!</v>
      </c>
      <c r="S41" s="46" t="e">
        <f ca="1">OFFSET([2]怪物强度模型!$O$1,MATCH(F41,[2]怪物强度模型!$A:$A,0)-1,0)</f>
        <v>#VALUE!</v>
      </c>
      <c r="T41" s="47" t="e">
        <f ca="1" t="shared" si="7"/>
        <v>#VALUE!</v>
      </c>
      <c r="U41" s="47" t="e">
        <f ca="1">Q41+N41*$V$1/10000+$V$1*OFFSET(卡牌辅助配置表!$V$1,MATCH(C41,卡牌辅助配置表!U:U,0)-1,0)*5*P41/10000/10000+M41*$V$1/10000</f>
        <v>#VALUE!</v>
      </c>
      <c r="V41" s="46" t="e">
        <f ca="1">OFFSET([2]怪物强度模型!$I$1,MATCH(F41,[2]怪物强度模型!$A:$A,0)-1,0)</f>
        <v>#VALUE!</v>
      </c>
    </row>
    <row r="42" spans="1:22">
      <c r="A42" s="45">
        <f t="shared" si="9"/>
        <v>1137</v>
      </c>
      <c r="B42" s="46" t="s">
        <v>2791</v>
      </c>
      <c r="C42" s="45">
        <v>1</v>
      </c>
      <c r="D42" s="203">
        <v>137</v>
      </c>
      <c r="E42" s="78"/>
      <c r="F42" s="46">
        <f t="shared" si="10"/>
        <v>1020</v>
      </c>
      <c r="G42" s="46">
        <v>4</v>
      </c>
      <c r="H42" s="46">
        <v>5</v>
      </c>
      <c r="I42" s="46">
        <v>10</v>
      </c>
      <c r="J42" s="46">
        <v>10</v>
      </c>
      <c r="K42" s="46" t="e">
        <f ca="1" t="shared" si="11"/>
        <v>#VALUE!</v>
      </c>
      <c r="L42" s="46" t="e">
        <f ca="1" t="shared" si="12"/>
        <v>#VALUE!</v>
      </c>
      <c r="M42" s="46" t="e">
        <f ca="1">$L$1*S42</f>
        <v>#VALUE!</v>
      </c>
      <c r="N42" s="46" t="e">
        <f ca="1" t="shared" si="8"/>
        <v>#VALUE!</v>
      </c>
      <c r="O42" s="46">
        <v>3</v>
      </c>
      <c r="P42" s="46">
        <v>20</v>
      </c>
      <c r="Q42" s="46" t="e">
        <f ca="1" t="shared" si="6"/>
        <v>#VALUE!</v>
      </c>
      <c r="R42" s="46" t="e">
        <f ca="1">OFFSET([2]怪物强度模型!$K$1,MATCH(F42,[2]怪物强度模型!$A:$A,0)-1,0)</f>
        <v>#VALUE!</v>
      </c>
      <c r="S42" s="46" t="e">
        <f ca="1">OFFSET([2]怪物强度模型!$O$1,MATCH(F42,[2]怪物强度模型!$A:$A,0)-1,0)</f>
        <v>#VALUE!</v>
      </c>
      <c r="T42" s="47" t="e">
        <f ca="1" t="shared" si="7"/>
        <v>#VALUE!</v>
      </c>
      <c r="U42" s="47" t="e">
        <f ca="1">Q42+N42*$V$1/10000+$V$1*OFFSET(卡牌辅助配置表!$V$1,MATCH(C42,卡牌辅助配置表!U:U,0)-1,0)*5*P42/10000/10000+M42*$V$1/10000</f>
        <v>#VALUE!</v>
      </c>
      <c r="V42" s="46" t="e">
        <f ca="1">OFFSET([2]怪物强度模型!$I$1,MATCH(F42,[2]怪物强度模型!$A:$A,0)-1,0)</f>
        <v>#VALUE!</v>
      </c>
    </row>
    <row r="43" spans="1:22">
      <c r="A43" s="45">
        <f t="shared" si="9"/>
        <v>1138</v>
      </c>
      <c r="B43" s="46" t="s">
        <v>2791</v>
      </c>
      <c r="C43" s="45">
        <v>1</v>
      </c>
      <c r="D43" s="203">
        <v>138</v>
      </c>
      <c r="E43" s="78"/>
      <c r="F43" s="46">
        <f t="shared" si="10"/>
        <v>1020</v>
      </c>
      <c r="G43" s="46">
        <v>5</v>
      </c>
      <c r="H43" s="46">
        <v>5</v>
      </c>
      <c r="I43" s="46">
        <v>10</v>
      </c>
      <c r="J43" s="46">
        <v>10</v>
      </c>
      <c r="K43" s="46" t="e">
        <f ca="1" t="shared" si="11"/>
        <v>#VALUE!</v>
      </c>
      <c r="L43" s="46" t="e">
        <f ca="1" t="shared" si="12"/>
        <v>#VALUE!</v>
      </c>
      <c r="M43" s="46" t="e">
        <f ca="1">$L$1*S43</f>
        <v>#VALUE!</v>
      </c>
      <c r="N43" s="46" t="e">
        <f ca="1" t="shared" si="8"/>
        <v>#VALUE!</v>
      </c>
      <c r="O43" s="46">
        <v>3</v>
      </c>
      <c r="P43" s="46">
        <v>20</v>
      </c>
      <c r="Q43" s="46" t="e">
        <f ca="1" t="shared" si="6"/>
        <v>#VALUE!</v>
      </c>
      <c r="R43" s="46" t="e">
        <f ca="1">OFFSET([2]怪物强度模型!$K$1,MATCH(F43,[2]怪物强度模型!$A:$A,0)-1,0)</f>
        <v>#VALUE!</v>
      </c>
      <c r="S43" s="46" t="e">
        <f ca="1">OFFSET([2]怪物强度模型!$O$1,MATCH(F43,[2]怪物强度模型!$A:$A,0)-1,0)</f>
        <v>#VALUE!</v>
      </c>
      <c r="T43" s="47" t="e">
        <f ca="1" t="shared" si="7"/>
        <v>#VALUE!</v>
      </c>
      <c r="U43" s="47" t="e">
        <f ca="1">Q43+N43*$V$1/10000+$V$1*OFFSET(卡牌辅助配置表!$V$1,MATCH(C43,卡牌辅助配置表!U:U,0)-1,0)*5*P43/10000/10000+M43*$V$1/10000</f>
        <v>#VALUE!</v>
      </c>
      <c r="V43" s="46" t="e">
        <f ca="1">OFFSET([2]怪物强度模型!$I$1,MATCH(F43,[2]怪物强度模型!$A:$A,0)-1,0)</f>
        <v>#VALUE!</v>
      </c>
    </row>
    <row r="44" spans="1:22">
      <c r="A44" s="45">
        <f t="shared" si="9"/>
        <v>1139</v>
      </c>
      <c r="B44" s="46" t="s">
        <v>2791</v>
      </c>
      <c r="C44" s="45">
        <v>1</v>
      </c>
      <c r="D44" s="204">
        <v>139</v>
      </c>
      <c r="E44" s="78"/>
      <c r="F44" s="46">
        <f t="shared" si="10"/>
        <v>1015</v>
      </c>
      <c r="G44" s="46">
        <v>6</v>
      </c>
      <c r="H44" s="46">
        <v>5</v>
      </c>
      <c r="I44" s="46">
        <v>10</v>
      </c>
      <c r="J44" s="46">
        <v>10</v>
      </c>
      <c r="K44" s="46" t="e">
        <f ca="1" t="shared" si="11"/>
        <v>#VALUE!</v>
      </c>
      <c r="L44" s="46" t="e">
        <f ca="1" t="shared" si="12"/>
        <v>#VALUE!</v>
      </c>
      <c r="M44" s="46" t="e">
        <f ca="1">$K$1*S44</f>
        <v>#VALUE!</v>
      </c>
      <c r="N44" s="46" t="e">
        <f ca="1">ROUND(M44/$N$1,0)</f>
        <v>#VALUE!</v>
      </c>
      <c r="O44" s="46">
        <v>3</v>
      </c>
      <c r="P44" s="46">
        <v>15</v>
      </c>
      <c r="Q44" s="46" t="e">
        <f ca="1" t="shared" si="6"/>
        <v>#VALUE!</v>
      </c>
      <c r="R44" s="46" t="e">
        <f ca="1">OFFSET([2]怪物强度模型!$K$1,MATCH(F44,[2]怪物强度模型!$A:$A,0)-1,0)</f>
        <v>#VALUE!</v>
      </c>
      <c r="S44" s="46" t="e">
        <f ca="1">OFFSET([2]怪物强度模型!$O$1,MATCH(F44,[2]怪物强度模型!$A:$A,0)-1,0)</f>
        <v>#VALUE!</v>
      </c>
      <c r="T44" s="47" t="e">
        <f ca="1" t="shared" si="7"/>
        <v>#VALUE!</v>
      </c>
      <c r="U44" s="47" t="e">
        <f ca="1">Q44+N44*$V$1/10000+$V$1*OFFSET(卡牌辅助配置表!$V$1,MATCH(C44,卡牌辅助配置表!U:U,0)-1,0)*5*P44/10000/10000+M44*$V$1/10000</f>
        <v>#VALUE!</v>
      </c>
      <c r="V44" s="46" t="e">
        <f ca="1">OFFSET([2]怪物强度模型!$I$1,MATCH(F44,[2]怪物强度模型!$A:$A,0)-1,0)</f>
        <v>#VALUE!</v>
      </c>
    </row>
    <row r="45" spans="1:22">
      <c r="A45" s="45">
        <f t="shared" si="9"/>
        <v>1140</v>
      </c>
      <c r="B45" s="46" t="s">
        <v>2791</v>
      </c>
      <c r="C45" s="45">
        <v>1</v>
      </c>
      <c r="D45" s="204">
        <v>140</v>
      </c>
      <c r="E45" s="78"/>
      <c r="F45" s="46">
        <f t="shared" si="10"/>
        <v>1017</v>
      </c>
      <c r="G45" s="46">
        <v>7</v>
      </c>
      <c r="H45" s="46">
        <v>5</v>
      </c>
      <c r="I45" s="46">
        <v>10</v>
      </c>
      <c r="J45" s="46">
        <v>10</v>
      </c>
      <c r="K45" s="46" t="e">
        <f ca="1" t="shared" si="11"/>
        <v>#VALUE!</v>
      </c>
      <c r="L45" s="46" t="e">
        <f ca="1" t="shared" si="12"/>
        <v>#VALUE!</v>
      </c>
      <c r="M45" s="46" t="e">
        <f ca="1">$K$1*S45</f>
        <v>#VALUE!</v>
      </c>
      <c r="N45" s="46" t="e">
        <f ca="1" t="shared" si="8"/>
        <v>#VALUE!</v>
      </c>
      <c r="O45" s="46">
        <v>3</v>
      </c>
      <c r="P45" s="46">
        <v>17</v>
      </c>
      <c r="Q45" s="46" t="e">
        <f ca="1" t="shared" si="6"/>
        <v>#VALUE!</v>
      </c>
      <c r="R45" s="46" t="e">
        <f ca="1">OFFSET([2]怪物强度模型!$K$1,MATCH(F45,[2]怪物强度模型!$A:$A,0)-1,0)</f>
        <v>#VALUE!</v>
      </c>
      <c r="S45" s="46" t="e">
        <f ca="1">OFFSET([2]怪物强度模型!$O$1,MATCH(F45,[2]怪物强度模型!$A:$A,0)-1,0)</f>
        <v>#VALUE!</v>
      </c>
      <c r="T45" s="47" t="e">
        <f ca="1" t="shared" si="7"/>
        <v>#VALUE!</v>
      </c>
      <c r="U45" s="47" t="e">
        <f ca="1">Q45+N45*$V$1/10000+$V$1*OFFSET(卡牌辅助配置表!$V$1,MATCH(C45,卡牌辅助配置表!U:U,0)-1,0)*5*P45/10000/10000+M45*$V$1/10000</f>
        <v>#VALUE!</v>
      </c>
      <c r="V45" s="46" t="e">
        <f ca="1">OFFSET([2]怪物强度模型!$I$1,MATCH(F45,[2]怪物强度模型!$A:$A,0)-1,0)</f>
        <v>#VALUE!</v>
      </c>
    </row>
    <row r="46" spans="1:22">
      <c r="A46" s="45">
        <f t="shared" si="9"/>
        <v>1141</v>
      </c>
      <c r="B46" s="46" t="s">
        <v>2791</v>
      </c>
      <c r="C46" s="45">
        <v>1</v>
      </c>
      <c r="D46" s="204">
        <v>141</v>
      </c>
      <c r="E46" s="78"/>
      <c r="F46" s="46">
        <f t="shared" si="10"/>
        <v>1019</v>
      </c>
      <c r="G46" s="46">
        <v>8</v>
      </c>
      <c r="H46" s="46">
        <v>5</v>
      </c>
      <c r="I46" s="46">
        <v>10</v>
      </c>
      <c r="J46" s="46">
        <v>10</v>
      </c>
      <c r="K46" s="46" t="e">
        <f ca="1" t="shared" si="11"/>
        <v>#VALUE!</v>
      </c>
      <c r="L46" s="46" t="e">
        <f ca="1" t="shared" si="12"/>
        <v>#VALUE!</v>
      </c>
      <c r="M46" s="46" t="e">
        <f ca="1">$K$1*S46</f>
        <v>#VALUE!</v>
      </c>
      <c r="N46" s="46" t="e">
        <f ca="1" t="shared" si="8"/>
        <v>#VALUE!</v>
      </c>
      <c r="O46" s="46">
        <v>3</v>
      </c>
      <c r="P46" s="46">
        <v>19</v>
      </c>
      <c r="Q46" s="46" t="e">
        <f ca="1" t="shared" si="6"/>
        <v>#VALUE!</v>
      </c>
      <c r="R46" s="46" t="e">
        <f ca="1">OFFSET([2]怪物强度模型!$K$1,MATCH(F46,[2]怪物强度模型!$A:$A,0)-1,0)</f>
        <v>#VALUE!</v>
      </c>
      <c r="S46" s="46" t="e">
        <f ca="1">OFFSET([2]怪物强度模型!$O$1,MATCH(F46,[2]怪物强度模型!$A:$A,0)-1,0)</f>
        <v>#VALUE!</v>
      </c>
      <c r="T46" s="47" t="e">
        <f ca="1" t="shared" si="7"/>
        <v>#VALUE!</v>
      </c>
      <c r="U46" s="47" t="e">
        <f ca="1">Q46+N46*$V$1/10000+$V$1*OFFSET(卡牌辅助配置表!$V$1,MATCH(C46,卡牌辅助配置表!U:U,0)-1,0)*5*P46/10000/10000+M46*$V$1/10000</f>
        <v>#VALUE!</v>
      </c>
      <c r="V46" s="46" t="e">
        <f ca="1">OFFSET([2]怪物强度模型!$I$1,MATCH(F46,[2]怪物强度模型!$A:$A,0)-1,0)</f>
        <v>#VALUE!</v>
      </c>
    </row>
    <row r="47" spans="1:22">
      <c r="A47" s="45">
        <f t="shared" si="9"/>
        <v>1142</v>
      </c>
      <c r="B47" s="46" t="s">
        <v>2791</v>
      </c>
      <c r="C47" s="45">
        <v>1</v>
      </c>
      <c r="D47" s="204">
        <v>142</v>
      </c>
      <c r="E47" s="78"/>
      <c r="F47" s="46">
        <f t="shared" si="10"/>
        <v>1005</v>
      </c>
      <c r="G47" s="46">
        <v>3</v>
      </c>
      <c r="H47" s="46">
        <v>5</v>
      </c>
      <c r="I47" s="46">
        <v>10</v>
      </c>
      <c r="J47" s="46">
        <v>10</v>
      </c>
      <c r="K47" s="46" t="e">
        <f ca="1" t="shared" si="11"/>
        <v>#VALUE!</v>
      </c>
      <c r="L47" s="46" t="e">
        <f ca="1" t="shared" si="12"/>
        <v>#VALUE!</v>
      </c>
      <c r="M47" s="46" t="e">
        <f ca="1">$J$1*S47</f>
        <v>#VALUE!</v>
      </c>
      <c r="N47" s="46" t="e">
        <f ca="1" t="shared" si="8"/>
        <v>#VALUE!</v>
      </c>
      <c r="O47" s="46">
        <v>3</v>
      </c>
      <c r="P47" s="46">
        <v>5</v>
      </c>
      <c r="Q47" s="46" t="e">
        <f ca="1" t="shared" si="6"/>
        <v>#VALUE!</v>
      </c>
      <c r="R47" s="46" t="e">
        <f ca="1">OFFSET([2]怪物强度模型!$K$1,MATCH(F47,[2]怪物强度模型!$A:$A,0)-1,0)</f>
        <v>#VALUE!</v>
      </c>
      <c r="S47" s="46" t="e">
        <f ca="1">OFFSET([2]怪物强度模型!$O$1,MATCH(F47,[2]怪物强度模型!$A:$A,0)-1,0)</f>
        <v>#VALUE!</v>
      </c>
      <c r="T47" s="47" t="e">
        <f ca="1" t="shared" si="7"/>
        <v>#VALUE!</v>
      </c>
      <c r="U47" s="47" t="e">
        <f ca="1">Q47+N47*$V$1/10000+$V$1*OFFSET(卡牌辅助配置表!$V$1,MATCH(C47,卡牌辅助配置表!U:U,0)-1,0)*5*P47/10000/10000+M47*$V$1/10000</f>
        <v>#VALUE!</v>
      </c>
      <c r="V47" s="46" t="e">
        <f ca="1">OFFSET([2]怪物强度模型!$I$1,MATCH(F47,[2]怪物强度模型!$A:$A,0)-1,0)</f>
        <v>#VALUE!</v>
      </c>
    </row>
    <row r="48" spans="1:22">
      <c r="A48" s="45">
        <f t="shared" si="9"/>
        <v>1143</v>
      </c>
      <c r="B48" s="46" t="s">
        <v>2791</v>
      </c>
      <c r="C48" s="45">
        <v>1</v>
      </c>
      <c r="D48" s="204">
        <v>143</v>
      </c>
      <c r="E48" s="78"/>
      <c r="F48" s="46">
        <f t="shared" si="10"/>
        <v>1007</v>
      </c>
      <c r="G48" s="46">
        <v>4</v>
      </c>
      <c r="H48" s="46">
        <v>5</v>
      </c>
      <c r="I48" s="46">
        <v>10</v>
      </c>
      <c r="J48" s="46">
        <v>10</v>
      </c>
      <c r="K48" s="46" t="e">
        <f ca="1" t="shared" si="11"/>
        <v>#VALUE!</v>
      </c>
      <c r="L48" s="46" t="e">
        <f ca="1" t="shared" si="12"/>
        <v>#VALUE!</v>
      </c>
      <c r="M48" s="46" t="e">
        <f ca="1">$J$1*S48</f>
        <v>#VALUE!</v>
      </c>
      <c r="N48" s="46" t="e">
        <f ca="1" t="shared" si="8"/>
        <v>#VALUE!</v>
      </c>
      <c r="O48" s="46">
        <v>3</v>
      </c>
      <c r="P48" s="46">
        <v>7</v>
      </c>
      <c r="Q48" s="46" t="e">
        <f ca="1" t="shared" si="6"/>
        <v>#VALUE!</v>
      </c>
      <c r="R48" s="46" t="e">
        <f ca="1">OFFSET([2]怪物强度模型!$K$1,MATCH(F48,[2]怪物强度模型!$A:$A,0)-1,0)</f>
        <v>#VALUE!</v>
      </c>
      <c r="S48" s="46" t="e">
        <f ca="1">OFFSET([2]怪物强度模型!$O$1,MATCH(F48,[2]怪物强度模型!$A:$A,0)-1,0)</f>
        <v>#VALUE!</v>
      </c>
      <c r="T48" s="47" t="e">
        <f ca="1" t="shared" si="7"/>
        <v>#VALUE!</v>
      </c>
      <c r="U48" s="47" t="e">
        <f ca="1">Q48+N48*$V$1/10000+$V$1*OFFSET(卡牌辅助配置表!$V$1,MATCH(C48,卡牌辅助配置表!U:U,0)-1,0)*5*P48/10000/10000+M48*$V$1/10000</f>
        <v>#VALUE!</v>
      </c>
      <c r="V48" s="46" t="e">
        <f ca="1">OFFSET([2]怪物强度模型!$I$1,MATCH(F48,[2]怪物强度模型!$A:$A,0)-1,0)</f>
        <v>#VALUE!</v>
      </c>
    </row>
    <row r="49" spans="1:22">
      <c r="A49" s="45">
        <f t="shared" si="9"/>
        <v>1144</v>
      </c>
      <c r="B49" s="46" t="s">
        <v>2791</v>
      </c>
      <c r="C49" s="45">
        <v>1</v>
      </c>
      <c r="D49" s="204">
        <v>144</v>
      </c>
      <c r="E49" s="78"/>
      <c r="F49" s="46">
        <f t="shared" si="10"/>
        <v>1011</v>
      </c>
      <c r="G49" s="46">
        <v>4.5</v>
      </c>
      <c r="H49" s="46">
        <v>5</v>
      </c>
      <c r="I49" s="46">
        <v>10</v>
      </c>
      <c r="J49" s="46">
        <v>10</v>
      </c>
      <c r="K49" s="46" t="e">
        <f ca="1" t="shared" si="11"/>
        <v>#VALUE!</v>
      </c>
      <c r="L49" s="46" t="e">
        <f ca="1" t="shared" si="12"/>
        <v>#VALUE!</v>
      </c>
      <c r="M49" s="46" t="e">
        <f ca="1">$J$1*S49</f>
        <v>#VALUE!</v>
      </c>
      <c r="N49" s="46" t="e">
        <f ca="1" t="shared" si="8"/>
        <v>#VALUE!</v>
      </c>
      <c r="O49" s="46">
        <v>3</v>
      </c>
      <c r="P49" s="46">
        <v>11</v>
      </c>
      <c r="Q49" s="46" t="e">
        <f ca="1" t="shared" si="6"/>
        <v>#VALUE!</v>
      </c>
      <c r="R49" s="46" t="e">
        <f ca="1">OFFSET([2]怪物强度模型!$K$1,MATCH(F49,[2]怪物强度模型!$A:$A,0)-1,0)</f>
        <v>#VALUE!</v>
      </c>
      <c r="S49" s="46" t="e">
        <f ca="1">OFFSET([2]怪物强度模型!$O$1,MATCH(F49,[2]怪物强度模型!$A:$A,0)-1,0)</f>
        <v>#VALUE!</v>
      </c>
      <c r="T49" s="47" t="e">
        <f ca="1" t="shared" si="7"/>
        <v>#VALUE!</v>
      </c>
      <c r="U49" s="47" t="e">
        <f ca="1">Q49+N49*$V$1/10000+$V$1*OFFSET(卡牌辅助配置表!$V$1,MATCH(C49,卡牌辅助配置表!U:U,0)-1,0)*5*P49/10000/10000+M49*$V$1/10000</f>
        <v>#VALUE!</v>
      </c>
      <c r="V49" s="46" t="e">
        <f ca="1">OFFSET([2]怪物强度模型!$I$1,MATCH(F49,[2]怪物强度模型!$A:$A,0)-1,0)</f>
        <v>#VALUE!</v>
      </c>
    </row>
    <row r="50" spans="1:22">
      <c r="A50" s="45">
        <f t="shared" ref="A50:A64" si="13">C50*1000+D50</f>
        <v>1201</v>
      </c>
      <c r="B50" s="46" t="s">
        <v>2791</v>
      </c>
      <c r="C50" s="45">
        <v>1</v>
      </c>
      <c r="D50" s="45">
        <v>201</v>
      </c>
      <c r="E50" s="78">
        <v>1200</v>
      </c>
      <c r="F50" s="46">
        <f t="shared" ref="F50:F64" si="14">C50*1000+P50</f>
        <v>1011</v>
      </c>
      <c r="G50" s="46">
        <v>1.8</v>
      </c>
      <c r="H50" s="46">
        <v>5</v>
      </c>
      <c r="I50" s="46">
        <v>10</v>
      </c>
      <c r="J50" s="46">
        <v>10</v>
      </c>
      <c r="K50" s="46" t="e">
        <f ca="1" t="shared" ref="K50:K64" si="15">ROUND(Q50*0.95,0)</f>
        <v>#VALUE!</v>
      </c>
      <c r="L50" s="46" t="e">
        <f ca="1" t="shared" ref="L50:L64" si="16">ROUND(Q50*1.05,0)</f>
        <v>#VALUE!</v>
      </c>
      <c r="M50" s="46" t="e">
        <f ca="1" t="shared" ref="M50:M61" si="17">$L$1*S50</f>
        <v>#VALUE!</v>
      </c>
      <c r="N50" s="46" t="e">
        <f ca="1" t="shared" si="8"/>
        <v>#VALUE!</v>
      </c>
      <c r="O50" s="46">
        <v>3</v>
      </c>
      <c r="P50" s="46">
        <v>11</v>
      </c>
      <c r="Q50" s="46" t="e">
        <f ca="1" t="shared" si="6"/>
        <v>#VALUE!</v>
      </c>
      <c r="R50" s="46" t="e">
        <f ca="1">OFFSET([2]怪物强度模型!$K$1,MATCH(F50,[2]怪物强度模型!$A:$A,0)-1,0)</f>
        <v>#VALUE!</v>
      </c>
      <c r="S50" s="46" t="e">
        <f ca="1">OFFSET([2]怪物强度模型!$O$1,MATCH(F50,[2]怪物强度模型!$A:$A,0)-1,0)</f>
        <v>#VALUE!</v>
      </c>
      <c r="T50" s="47" t="e">
        <f ca="1" t="shared" si="7"/>
        <v>#VALUE!</v>
      </c>
      <c r="U50" s="47" t="e">
        <f ca="1">Q50+N50*$V$1/10000+$V$1*OFFSET(卡牌辅助配置表!$V$1,MATCH(C50,卡牌辅助配置表!U:U,0)-1,0)*5*P50/10000/10000+M50*$V$1/10000</f>
        <v>#VALUE!</v>
      </c>
      <c r="V50" s="46" t="e">
        <f ca="1">OFFSET([2]怪物强度模型!$I$1,MATCH(F50,[2]怪物强度模型!$A:$A,0)-1,0)</f>
        <v>#VALUE!</v>
      </c>
    </row>
    <row r="51" spans="1:22">
      <c r="A51" s="45">
        <f t="shared" si="13"/>
        <v>1202</v>
      </c>
      <c r="B51" s="46" t="s">
        <v>2791</v>
      </c>
      <c r="C51" s="45">
        <v>1</v>
      </c>
      <c r="D51" s="45">
        <v>202</v>
      </c>
      <c r="E51" s="78">
        <v>1100</v>
      </c>
      <c r="F51" s="46">
        <f t="shared" si="14"/>
        <v>1012</v>
      </c>
      <c r="G51" s="46">
        <v>1.9</v>
      </c>
      <c r="H51" s="46">
        <v>5</v>
      </c>
      <c r="I51" s="46">
        <v>10</v>
      </c>
      <c r="J51" s="46">
        <v>10</v>
      </c>
      <c r="K51" s="46" t="e">
        <f ca="1" t="shared" si="15"/>
        <v>#VALUE!</v>
      </c>
      <c r="L51" s="46" t="e">
        <f ca="1" t="shared" si="16"/>
        <v>#VALUE!</v>
      </c>
      <c r="M51" s="46" t="e">
        <f ca="1" t="shared" si="17"/>
        <v>#VALUE!</v>
      </c>
      <c r="N51" s="46" t="e">
        <f ca="1" t="shared" si="8"/>
        <v>#VALUE!</v>
      </c>
      <c r="O51" s="46">
        <v>3</v>
      </c>
      <c r="P51" s="46">
        <v>12</v>
      </c>
      <c r="Q51" s="46" t="e">
        <f ca="1" t="shared" si="6"/>
        <v>#VALUE!</v>
      </c>
      <c r="R51" s="46" t="e">
        <f ca="1">OFFSET([2]怪物强度模型!$K$1,MATCH(F51,[2]怪物强度模型!$A:$A,0)-1,0)</f>
        <v>#VALUE!</v>
      </c>
      <c r="S51" s="46" t="e">
        <f ca="1">OFFSET([2]怪物强度模型!$O$1,MATCH(F51,[2]怪物强度模型!$A:$A,0)-1,0)</f>
        <v>#VALUE!</v>
      </c>
      <c r="T51" s="47" t="e">
        <f ca="1" t="shared" si="7"/>
        <v>#VALUE!</v>
      </c>
      <c r="U51" s="47" t="e">
        <f ca="1">Q51+N51*$V$1/10000+$V$1*OFFSET(卡牌辅助配置表!$V$1,MATCH(C51,卡牌辅助配置表!U:U,0)-1,0)*5*P51/10000/10000+M51*$V$1/10000</f>
        <v>#VALUE!</v>
      </c>
      <c r="V51" s="46" t="e">
        <f ca="1">OFFSET([2]怪物强度模型!$I$1,MATCH(F51,[2]怪物强度模型!$A:$A,0)-1,0)</f>
        <v>#VALUE!</v>
      </c>
    </row>
    <row r="52" spans="1:22">
      <c r="A52" s="45">
        <f t="shared" si="13"/>
        <v>1203</v>
      </c>
      <c r="B52" s="46" t="s">
        <v>2791</v>
      </c>
      <c r="C52" s="45">
        <v>1</v>
      </c>
      <c r="D52" s="45">
        <v>203</v>
      </c>
      <c r="E52" s="78">
        <v>1000</v>
      </c>
      <c r="F52" s="46">
        <f t="shared" si="14"/>
        <v>1012</v>
      </c>
      <c r="G52" s="46">
        <v>2</v>
      </c>
      <c r="H52" s="46">
        <v>5</v>
      </c>
      <c r="I52" s="46">
        <v>10</v>
      </c>
      <c r="J52" s="46">
        <v>10</v>
      </c>
      <c r="K52" s="46" t="e">
        <f ca="1" t="shared" si="15"/>
        <v>#VALUE!</v>
      </c>
      <c r="L52" s="46" t="e">
        <f ca="1" t="shared" si="16"/>
        <v>#VALUE!</v>
      </c>
      <c r="M52" s="46" t="e">
        <f ca="1" t="shared" si="17"/>
        <v>#VALUE!</v>
      </c>
      <c r="N52" s="46" t="e">
        <f ca="1" t="shared" si="8"/>
        <v>#VALUE!</v>
      </c>
      <c r="O52" s="46">
        <v>3</v>
      </c>
      <c r="P52" s="46">
        <v>12</v>
      </c>
      <c r="Q52" s="46" t="e">
        <f ca="1" t="shared" si="6"/>
        <v>#VALUE!</v>
      </c>
      <c r="R52" s="46" t="e">
        <f ca="1">OFFSET([2]怪物强度模型!$K$1,MATCH(F52,[2]怪物强度模型!$A:$A,0)-1,0)</f>
        <v>#VALUE!</v>
      </c>
      <c r="S52" s="46" t="e">
        <f ca="1">OFFSET([2]怪物强度模型!$O$1,MATCH(F52,[2]怪物强度模型!$A:$A,0)-1,0)</f>
        <v>#VALUE!</v>
      </c>
      <c r="T52" s="47" t="e">
        <f ca="1" t="shared" si="7"/>
        <v>#VALUE!</v>
      </c>
      <c r="U52" s="47" t="e">
        <f ca="1">Q52+N52*$V$1/10000+$V$1*OFFSET(卡牌辅助配置表!$V$1,MATCH(C52,卡牌辅助配置表!U:U,0)-1,0)*5*P52/10000/10000+M52*$V$1/10000</f>
        <v>#VALUE!</v>
      </c>
      <c r="V52" s="46" t="e">
        <f ca="1">OFFSET([2]怪物强度模型!$I$1,MATCH(F52,[2]怪物强度模型!$A:$A,0)-1,0)</f>
        <v>#VALUE!</v>
      </c>
    </row>
    <row r="53" spans="1:22">
      <c r="A53" s="45">
        <f t="shared" si="13"/>
        <v>1204</v>
      </c>
      <c r="B53" s="46" t="s">
        <v>2791</v>
      </c>
      <c r="C53" s="45">
        <v>1</v>
      </c>
      <c r="D53" s="45">
        <v>204</v>
      </c>
      <c r="E53" s="78">
        <v>900</v>
      </c>
      <c r="F53" s="46">
        <f t="shared" si="14"/>
        <v>1013</v>
      </c>
      <c r="G53" s="46">
        <v>2.1</v>
      </c>
      <c r="H53" s="46">
        <v>5</v>
      </c>
      <c r="I53" s="46">
        <v>10</v>
      </c>
      <c r="J53" s="46">
        <v>10</v>
      </c>
      <c r="K53" s="46" t="e">
        <f ca="1" t="shared" si="15"/>
        <v>#VALUE!</v>
      </c>
      <c r="L53" s="46" t="e">
        <f ca="1" t="shared" si="16"/>
        <v>#VALUE!</v>
      </c>
      <c r="M53" s="46" t="e">
        <f ca="1" t="shared" si="17"/>
        <v>#VALUE!</v>
      </c>
      <c r="N53" s="46" t="e">
        <f ca="1" t="shared" si="8"/>
        <v>#VALUE!</v>
      </c>
      <c r="O53" s="46">
        <v>3</v>
      </c>
      <c r="P53" s="46">
        <v>13</v>
      </c>
      <c r="Q53" s="46" t="e">
        <f ca="1" t="shared" si="6"/>
        <v>#VALUE!</v>
      </c>
      <c r="R53" s="46" t="e">
        <f ca="1">OFFSET([2]怪物强度模型!$K$1,MATCH(F53,[2]怪物强度模型!$A:$A,0)-1,0)</f>
        <v>#VALUE!</v>
      </c>
      <c r="S53" s="46" t="e">
        <f ca="1">OFFSET([2]怪物强度模型!$O$1,MATCH(F53,[2]怪物强度模型!$A:$A,0)-1,0)</f>
        <v>#VALUE!</v>
      </c>
      <c r="T53" s="47" t="e">
        <f ca="1" t="shared" si="7"/>
        <v>#VALUE!</v>
      </c>
      <c r="U53" s="47" t="e">
        <f ca="1">Q53+N53*$V$1/10000+$V$1*OFFSET(卡牌辅助配置表!$V$1,MATCH(C53,卡牌辅助配置表!U:U,0)-1,0)*5*P53/10000/10000+M53*$V$1/10000</f>
        <v>#VALUE!</v>
      </c>
      <c r="V53" s="46" t="e">
        <f ca="1">OFFSET([2]怪物强度模型!$I$1,MATCH(F53,[2]怪物强度模型!$A:$A,0)-1,0)</f>
        <v>#VALUE!</v>
      </c>
    </row>
    <row r="54" spans="1:22">
      <c r="A54" s="45">
        <f t="shared" si="13"/>
        <v>1205</v>
      </c>
      <c r="B54" s="46" t="s">
        <v>2791</v>
      </c>
      <c r="C54" s="45">
        <v>1</v>
      </c>
      <c r="D54" s="45">
        <v>205</v>
      </c>
      <c r="E54" s="78">
        <v>800</v>
      </c>
      <c r="F54" s="46">
        <f t="shared" si="14"/>
        <v>1013</v>
      </c>
      <c r="G54" s="46">
        <v>2.2</v>
      </c>
      <c r="H54" s="46">
        <v>5</v>
      </c>
      <c r="I54" s="46">
        <v>10</v>
      </c>
      <c r="J54" s="46">
        <v>10</v>
      </c>
      <c r="K54" s="46" t="e">
        <f ca="1" t="shared" si="15"/>
        <v>#VALUE!</v>
      </c>
      <c r="L54" s="46" t="e">
        <f ca="1" t="shared" si="16"/>
        <v>#VALUE!</v>
      </c>
      <c r="M54" s="46" t="e">
        <f ca="1" t="shared" si="17"/>
        <v>#VALUE!</v>
      </c>
      <c r="N54" s="46" t="e">
        <f ca="1" t="shared" si="8"/>
        <v>#VALUE!</v>
      </c>
      <c r="O54" s="46">
        <v>3</v>
      </c>
      <c r="P54" s="46">
        <v>13</v>
      </c>
      <c r="Q54" s="46" t="e">
        <f ca="1" t="shared" si="6"/>
        <v>#VALUE!</v>
      </c>
      <c r="R54" s="46" t="e">
        <f ca="1">OFFSET([2]怪物强度模型!$K$1,MATCH(F54,[2]怪物强度模型!$A:$A,0)-1,0)</f>
        <v>#VALUE!</v>
      </c>
      <c r="S54" s="46" t="e">
        <f ca="1">OFFSET([2]怪物强度模型!$O$1,MATCH(F54,[2]怪物强度模型!$A:$A,0)-1,0)</f>
        <v>#VALUE!</v>
      </c>
      <c r="T54" s="47" t="e">
        <f ca="1" t="shared" si="7"/>
        <v>#VALUE!</v>
      </c>
      <c r="U54" s="47" t="e">
        <f ca="1">Q54+N54*$V$1/10000+$V$1*OFFSET(卡牌辅助配置表!$V$1,MATCH(C54,卡牌辅助配置表!U:U,0)-1,0)*5*P54/10000/10000+M54*$V$1/10000</f>
        <v>#VALUE!</v>
      </c>
      <c r="V54" s="46" t="e">
        <f ca="1">OFFSET([2]怪物强度模型!$I$1,MATCH(F54,[2]怪物强度模型!$A:$A,0)-1,0)</f>
        <v>#VALUE!</v>
      </c>
    </row>
    <row r="55" spans="1:22">
      <c r="A55" s="45">
        <f t="shared" si="13"/>
        <v>1206</v>
      </c>
      <c r="B55" s="46" t="s">
        <v>2791</v>
      </c>
      <c r="C55" s="45">
        <v>1</v>
      </c>
      <c r="D55" s="45">
        <v>206</v>
      </c>
      <c r="E55" s="78">
        <v>700</v>
      </c>
      <c r="F55" s="46">
        <f t="shared" si="14"/>
        <v>1014</v>
      </c>
      <c r="G55" s="46">
        <v>2.3</v>
      </c>
      <c r="H55" s="46">
        <v>5</v>
      </c>
      <c r="I55" s="46">
        <v>10</v>
      </c>
      <c r="J55" s="46">
        <v>10</v>
      </c>
      <c r="K55" s="46" t="e">
        <f ca="1" t="shared" si="15"/>
        <v>#VALUE!</v>
      </c>
      <c r="L55" s="46" t="e">
        <f ca="1" t="shared" si="16"/>
        <v>#VALUE!</v>
      </c>
      <c r="M55" s="46" t="e">
        <f ca="1" t="shared" si="17"/>
        <v>#VALUE!</v>
      </c>
      <c r="N55" s="46" t="e">
        <f ca="1" t="shared" si="8"/>
        <v>#VALUE!</v>
      </c>
      <c r="O55" s="46">
        <v>3</v>
      </c>
      <c r="P55" s="46">
        <v>14</v>
      </c>
      <c r="Q55" s="46" t="e">
        <f ca="1" t="shared" si="6"/>
        <v>#VALUE!</v>
      </c>
      <c r="R55" s="46" t="e">
        <f ca="1">OFFSET([2]怪物强度模型!$K$1,MATCH(F55,[2]怪物强度模型!$A:$A,0)-1,0)</f>
        <v>#VALUE!</v>
      </c>
      <c r="S55" s="46" t="e">
        <f ca="1">OFFSET([2]怪物强度模型!$O$1,MATCH(F55,[2]怪物强度模型!$A:$A,0)-1,0)</f>
        <v>#VALUE!</v>
      </c>
      <c r="T55" s="47" t="e">
        <f ca="1" t="shared" si="7"/>
        <v>#VALUE!</v>
      </c>
      <c r="U55" s="47" t="e">
        <f ca="1">Q55+N55*$V$1/10000+$V$1*OFFSET(卡牌辅助配置表!$V$1,MATCH(C55,卡牌辅助配置表!U:U,0)-1,0)*5*P55/10000/10000+M55*$V$1/10000</f>
        <v>#VALUE!</v>
      </c>
      <c r="V55" s="46" t="e">
        <f ca="1">OFFSET([2]怪物强度模型!$I$1,MATCH(F55,[2]怪物强度模型!$A:$A,0)-1,0)</f>
        <v>#VALUE!</v>
      </c>
    </row>
    <row r="56" spans="1:22">
      <c r="A56" s="45">
        <f t="shared" si="13"/>
        <v>1207</v>
      </c>
      <c r="B56" s="46" t="s">
        <v>2791</v>
      </c>
      <c r="C56" s="45">
        <v>1</v>
      </c>
      <c r="D56" s="45">
        <v>207</v>
      </c>
      <c r="E56" s="78">
        <v>600</v>
      </c>
      <c r="F56" s="46">
        <f t="shared" si="14"/>
        <v>1015</v>
      </c>
      <c r="G56" s="46">
        <v>2.4</v>
      </c>
      <c r="H56" s="46">
        <v>5</v>
      </c>
      <c r="I56" s="46">
        <v>10</v>
      </c>
      <c r="J56" s="46">
        <v>10</v>
      </c>
      <c r="K56" s="46" t="e">
        <f ca="1" t="shared" si="15"/>
        <v>#VALUE!</v>
      </c>
      <c r="L56" s="46" t="e">
        <f ca="1" t="shared" si="16"/>
        <v>#VALUE!</v>
      </c>
      <c r="M56" s="46" t="e">
        <f ca="1" t="shared" si="17"/>
        <v>#VALUE!</v>
      </c>
      <c r="N56" s="46" t="e">
        <f ca="1" t="shared" si="8"/>
        <v>#VALUE!</v>
      </c>
      <c r="O56" s="46">
        <v>3</v>
      </c>
      <c r="P56" s="46">
        <v>15</v>
      </c>
      <c r="Q56" s="46" t="e">
        <f ca="1" t="shared" si="6"/>
        <v>#VALUE!</v>
      </c>
      <c r="R56" s="46" t="e">
        <f ca="1">OFFSET([2]怪物强度模型!$K$1,MATCH(F56,[2]怪物强度模型!$A:$A,0)-1,0)</f>
        <v>#VALUE!</v>
      </c>
      <c r="S56" s="46" t="e">
        <f ca="1">OFFSET([2]怪物强度模型!$O$1,MATCH(F56,[2]怪物强度模型!$A:$A,0)-1,0)</f>
        <v>#VALUE!</v>
      </c>
      <c r="T56" s="47" t="e">
        <f ca="1" t="shared" si="7"/>
        <v>#VALUE!</v>
      </c>
      <c r="U56" s="47" t="e">
        <f ca="1">Q56+N56*$V$1/10000+$V$1*OFFSET(卡牌辅助配置表!$V$1,MATCH(C56,卡牌辅助配置表!U:U,0)-1,0)*5*P56/10000/10000+M56*$V$1/10000</f>
        <v>#VALUE!</v>
      </c>
      <c r="V56" s="46" t="e">
        <f ca="1">OFFSET([2]怪物强度模型!$I$1,MATCH(F56,[2]怪物强度模型!$A:$A,0)-1,0)</f>
        <v>#VALUE!</v>
      </c>
    </row>
    <row r="57" spans="1:22">
      <c r="A57" s="45">
        <f t="shared" si="13"/>
        <v>1208</v>
      </c>
      <c r="B57" s="46" t="s">
        <v>2791</v>
      </c>
      <c r="C57" s="45">
        <v>1</v>
      </c>
      <c r="D57" s="45">
        <v>208</v>
      </c>
      <c r="E57" s="78">
        <v>500</v>
      </c>
      <c r="F57" s="46">
        <f t="shared" si="14"/>
        <v>1016</v>
      </c>
      <c r="G57" s="46">
        <v>2.5</v>
      </c>
      <c r="H57" s="46">
        <v>5</v>
      </c>
      <c r="I57" s="46">
        <v>10</v>
      </c>
      <c r="J57" s="46">
        <v>10</v>
      </c>
      <c r="K57" s="46" t="e">
        <f ca="1" t="shared" si="15"/>
        <v>#VALUE!</v>
      </c>
      <c r="L57" s="46" t="e">
        <f ca="1" t="shared" si="16"/>
        <v>#VALUE!</v>
      </c>
      <c r="M57" s="46" t="e">
        <f ca="1" t="shared" si="17"/>
        <v>#VALUE!</v>
      </c>
      <c r="N57" s="46" t="e">
        <f ca="1" t="shared" si="8"/>
        <v>#VALUE!</v>
      </c>
      <c r="O57" s="46">
        <v>3</v>
      </c>
      <c r="P57" s="46">
        <v>16</v>
      </c>
      <c r="Q57" s="46" t="e">
        <f ca="1" t="shared" si="6"/>
        <v>#VALUE!</v>
      </c>
      <c r="R57" s="46" t="e">
        <f ca="1">OFFSET([2]怪物强度模型!$K$1,MATCH(F57,[2]怪物强度模型!$A:$A,0)-1,0)</f>
        <v>#VALUE!</v>
      </c>
      <c r="S57" s="46" t="e">
        <f ca="1">OFFSET([2]怪物强度模型!$O$1,MATCH(F57,[2]怪物强度模型!$A:$A,0)-1,0)</f>
        <v>#VALUE!</v>
      </c>
      <c r="T57" s="47" t="e">
        <f ca="1" t="shared" si="7"/>
        <v>#VALUE!</v>
      </c>
      <c r="U57" s="47" t="e">
        <f ca="1">Q57+N57*$V$1/10000+$V$1*OFFSET(卡牌辅助配置表!$V$1,MATCH(C57,卡牌辅助配置表!U:U,0)-1,0)*5*P57/10000/10000+M57*$V$1/10000</f>
        <v>#VALUE!</v>
      </c>
      <c r="V57" s="46" t="e">
        <f ca="1">OFFSET([2]怪物强度模型!$I$1,MATCH(F57,[2]怪物强度模型!$A:$A,0)-1,0)</f>
        <v>#VALUE!</v>
      </c>
    </row>
    <row r="58" spans="1:22">
      <c r="A58" s="45">
        <f t="shared" si="13"/>
        <v>1209</v>
      </c>
      <c r="B58" s="46" t="s">
        <v>2791</v>
      </c>
      <c r="C58" s="45">
        <v>1</v>
      </c>
      <c r="D58" s="45">
        <v>209</v>
      </c>
      <c r="E58" s="78">
        <v>400</v>
      </c>
      <c r="F58" s="46">
        <f t="shared" si="14"/>
        <v>1017</v>
      </c>
      <c r="G58" s="46">
        <v>2.6</v>
      </c>
      <c r="H58" s="46">
        <v>5</v>
      </c>
      <c r="I58" s="46">
        <v>10</v>
      </c>
      <c r="J58" s="46">
        <v>10</v>
      </c>
      <c r="K58" s="46" t="e">
        <f ca="1" t="shared" si="15"/>
        <v>#VALUE!</v>
      </c>
      <c r="L58" s="46" t="e">
        <f ca="1" t="shared" si="16"/>
        <v>#VALUE!</v>
      </c>
      <c r="M58" s="46" t="e">
        <f ca="1" t="shared" si="17"/>
        <v>#VALUE!</v>
      </c>
      <c r="N58" s="46" t="e">
        <f ca="1" t="shared" si="8"/>
        <v>#VALUE!</v>
      </c>
      <c r="O58" s="46">
        <v>3</v>
      </c>
      <c r="P58" s="46">
        <v>17</v>
      </c>
      <c r="Q58" s="46" t="e">
        <f ca="1" t="shared" si="6"/>
        <v>#VALUE!</v>
      </c>
      <c r="R58" s="46" t="e">
        <f ca="1">OFFSET([2]怪物强度模型!$K$1,MATCH(F58,[2]怪物强度模型!$A:$A,0)-1,0)</f>
        <v>#VALUE!</v>
      </c>
      <c r="S58" s="46" t="e">
        <f ca="1">OFFSET([2]怪物强度模型!$O$1,MATCH(F58,[2]怪物强度模型!$A:$A,0)-1,0)</f>
        <v>#VALUE!</v>
      </c>
      <c r="T58" s="47" t="e">
        <f ca="1" t="shared" si="7"/>
        <v>#VALUE!</v>
      </c>
      <c r="U58" s="47" t="e">
        <f ca="1">Q58+N58*$V$1/10000+$V$1*OFFSET(卡牌辅助配置表!$V$1,MATCH(C58,卡牌辅助配置表!U:U,0)-1,0)*5*P58/10000/10000+M58*$V$1/10000</f>
        <v>#VALUE!</v>
      </c>
      <c r="V58" s="46" t="e">
        <f ca="1">OFFSET([2]怪物强度模型!$I$1,MATCH(F58,[2]怪物强度模型!$A:$A,0)-1,0)</f>
        <v>#VALUE!</v>
      </c>
    </row>
    <row r="59" spans="1:22">
      <c r="A59" s="45">
        <f t="shared" si="13"/>
        <v>1210</v>
      </c>
      <c r="B59" s="46" t="s">
        <v>2791</v>
      </c>
      <c r="C59" s="45">
        <v>1</v>
      </c>
      <c r="D59" s="45">
        <v>210</v>
      </c>
      <c r="E59" s="78">
        <v>300</v>
      </c>
      <c r="F59" s="46">
        <f t="shared" si="14"/>
        <v>1018</v>
      </c>
      <c r="G59" s="46">
        <v>2.7</v>
      </c>
      <c r="H59" s="46">
        <v>5</v>
      </c>
      <c r="I59" s="46">
        <v>10</v>
      </c>
      <c r="J59" s="46">
        <v>10</v>
      </c>
      <c r="K59" s="46" t="e">
        <f ca="1" t="shared" si="15"/>
        <v>#VALUE!</v>
      </c>
      <c r="L59" s="46" t="e">
        <f ca="1" t="shared" si="16"/>
        <v>#VALUE!</v>
      </c>
      <c r="M59" s="46" t="e">
        <f ca="1" t="shared" si="17"/>
        <v>#VALUE!</v>
      </c>
      <c r="N59" s="46" t="e">
        <f ca="1" t="shared" si="8"/>
        <v>#VALUE!</v>
      </c>
      <c r="O59" s="46">
        <v>3</v>
      </c>
      <c r="P59" s="46">
        <v>18</v>
      </c>
      <c r="Q59" s="46" t="e">
        <f ca="1" t="shared" si="6"/>
        <v>#VALUE!</v>
      </c>
      <c r="R59" s="46" t="e">
        <f ca="1">OFFSET([2]怪物强度模型!$K$1,MATCH(F59,[2]怪物强度模型!$A:$A,0)-1,0)</f>
        <v>#VALUE!</v>
      </c>
      <c r="S59" s="46" t="e">
        <f ca="1">OFFSET([2]怪物强度模型!$O$1,MATCH(F59,[2]怪物强度模型!$A:$A,0)-1,0)</f>
        <v>#VALUE!</v>
      </c>
      <c r="T59" s="47" t="e">
        <f ca="1" t="shared" si="7"/>
        <v>#VALUE!</v>
      </c>
      <c r="U59" s="47" t="e">
        <f ca="1">Q59+N59*$V$1/10000+$V$1*OFFSET(卡牌辅助配置表!$V$1,MATCH(C59,卡牌辅助配置表!U:U,0)-1,0)*5*P59/10000/10000+M59*$V$1/10000</f>
        <v>#VALUE!</v>
      </c>
      <c r="V59" s="46" t="e">
        <f ca="1">OFFSET([2]怪物强度模型!$I$1,MATCH(F59,[2]怪物强度模型!$A:$A,0)-1,0)</f>
        <v>#VALUE!</v>
      </c>
    </row>
    <row r="60" spans="1:22">
      <c r="A60" s="45">
        <f t="shared" si="13"/>
        <v>1211</v>
      </c>
      <c r="B60" s="46" t="s">
        <v>2791</v>
      </c>
      <c r="C60" s="45">
        <v>1</v>
      </c>
      <c r="D60" s="45">
        <v>211</v>
      </c>
      <c r="E60" s="78">
        <v>200</v>
      </c>
      <c r="F60" s="46">
        <f t="shared" si="14"/>
        <v>1019</v>
      </c>
      <c r="G60" s="46">
        <v>2.8</v>
      </c>
      <c r="H60" s="46">
        <v>5</v>
      </c>
      <c r="I60" s="46">
        <v>10</v>
      </c>
      <c r="J60" s="46">
        <v>10</v>
      </c>
      <c r="K60" s="46" t="e">
        <f ca="1" t="shared" si="15"/>
        <v>#VALUE!</v>
      </c>
      <c r="L60" s="46" t="e">
        <f ca="1" t="shared" si="16"/>
        <v>#VALUE!</v>
      </c>
      <c r="M60" s="46" t="e">
        <f ca="1" t="shared" si="17"/>
        <v>#VALUE!</v>
      </c>
      <c r="N60" s="46" t="e">
        <f ca="1" t="shared" si="8"/>
        <v>#VALUE!</v>
      </c>
      <c r="O60" s="46">
        <v>3</v>
      </c>
      <c r="P60" s="46">
        <v>19</v>
      </c>
      <c r="Q60" s="46" t="e">
        <f ca="1" t="shared" si="6"/>
        <v>#VALUE!</v>
      </c>
      <c r="R60" s="46" t="e">
        <f ca="1">OFFSET([2]怪物强度模型!$K$1,MATCH(F60,[2]怪物强度模型!$A:$A,0)-1,0)</f>
        <v>#VALUE!</v>
      </c>
      <c r="S60" s="46" t="e">
        <f ca="1">OFFSET([2]怪物强度模型!$O$1,MATCH(F60,[2]怪物强度模型!$A:$A,0)-1,0)</f>
        <v>#VALUE!</v>
      </c>
      <c r="T60" s="47" t="e">
        <f ca="1" t="shared" si="7"/>
        <v>#VALUE!</v>
      </c>
      <c r="U60" s="47" t="e">
        <f ca="1">Q60+N60*$V$1/10000+$V$1*OFFSET(卡牌辅助配置表!$V$1,MATCH(C60,卡牌辅助配置表!U:U,0)-1,0)*5*P60/10000/10000+M60*$V$1/10000</f>
        <v>#VALUE!</v>
      </c>
      <c r="V60" s="46" t="e">
        <f ca="1">OFFSET([2]怪物强度模型!$I$1,MATCH(F60,[2]怪物强度模型!$A:$A,0)-1,0)</f>
        <v>#VALUE!</v>
      </c>
    </row>
    <row r="61" spans="1:22">
      <c r="A61" s="45">
        <f t="shared" si="13"/>
        <v>1212</v>
      </c>
      <c r="B61" s="46" t="s">
        <v>2791</v>
      </c>
      <c r="C61" s="45">
        <v>1</v>
      </c>
      <c r="D61" s="45">
        <v>212</v>
      </c>
      <c r="E61" s="78">
        <v>100</v>
      </c>
      <c r="F61" s="46">
        <f t="shared" si="14"/>
        <v>1020</v>
      </c>
      <c r="G61" s="46">
        <v>2.9</v>
      </c>
      <c r="H61" s="46">
        <v>5</v>
      </c>
      <c r="I61" s="46">
        <v>10</v>
      </c>
      <c r="J61" s="46">
        <v>10</v>
      </c>
      <c r="K61" s="46" t="e">
        <f ca="1" t="shared" si="15"/>
        <v>#VALUE!</v>
      </c>
      <c r="L61" s="46" t="e">
        <f ca="1" t="shared" si="16"/>
        <v>#VALUE!</v>
      </c>
      <c r="M61" s="46" t="e">
        <f ca="1" t="shared" si="17"/>
        <v>#VALUE!</v>
      </c>
      <c r="N61" s="46" t="e">
        <f ca="1" t="shared" si="8"/>
        <v>#VALUE!</v>
      </c>
      <c r="O61" s="46">
        <v>3</v>
      </c>
      <c r="P61" s="46">
        <v>20</v>
      </c>
      <c r="Q61" s="46" t="e">
        <f ca="1" t="shared" si="6"/>
        <v>#VALUE!</v>
      </c>
      <c r="R61" s="46" t="e">
        <f ca="1">OFFSET([2]怪物强度模型!$K$1,MATCH(F61,[2]怪物强度模型!$A:$A,0)-1,0)</f>
        <v>#VALUE!</v>
      </c>
      <c r="S61" s="46" t="e">
        <f ca="1">OFFSET([2]怪物强度模型!$O$1,MATCH(F61,[2]怪物强度模型!$A:$A,0)-1,0)</f>
        <v>#VALUE!</v>
      </c>
      <c r="T61" s="47" t="e">
        <f ca="1" t="shared" si="7"/>
        <v>#VALUE!</v>
      </c>
      <c r="U61" s="47" t="e">
        <f ca="1">Q61+N61*$V$1/10000+$V$1*OFFSET(卡牌辅助配置表!$V$1,MATCH(C61,卡牌辅助配置表!U:U,0)-1,0)*5*P61/10000/10000+M61*$V$1/10000</f>
        <v>#VALUE!</v>
      </c>
      <c r="V61" s="46" t="e">
        <f ca="1">OFFSET([2]怪物强度模型!$I$1,MATCH(F61,[2]怪物强度模型!$A:$A,0)-1,0)</f>
        <v>#VALUE!</v>
      </c>
    </row>
    <row r="62" spans="1:22">
      <c r="A62" s="45">
        <f t="shared" si="13"/>
        <v>1036</v>
      </c>
      <c r="B62" s="46" t="s">
        <v>2791</v>
      </c>
      <c r="C62" s="45">
        <v>1</v>
      </c>
      <c r="D62" s="45">
        <v>36</v>
      </c>
      <c r="E62" s="78">
        <v>0</v>
      </c>
      <c r="F62" s="46">
        <f t="shared" si="14"/>
        <v>1007</v>
      </c>
      <c r="G62" s="46">
        <v>1.3</v>
      </c>
      <c r="H62" s="46">
        <v>5</v>
      </c>
      <c r="I62" s="46">
        <v>10</v>
      </c>
      <c r="J62" s="46">
        <v>10</v>
      </c>
      <c r="K62" s="46" t="e">
        <f ca="1" t="shared" si="15"/>
        <v>#VALUE!</v>
      </c>
      <c r="L62" s="46" t="e">
        <f ca="1" t="shared" si="16"/>
        <v>#VALUE!</v>
      </c>
      <c r="M62" s="46" t="e">
        <f ca="1">$J$1*S62</f>
        <v>#VALUE!</v>
      </c>
      <c r="N62" s="46" t="e">
        <f ca="1" t="shared" si="8"/>
        <v>#VALUE!</v>
      </c>
      <c r="O62" s="46">
        <v>3</v>
      </c>
      <c r="P62" s="46">
        <v>7</v>
      </c>
      <c r="Q62" s="46" t="e">
        <f ca="1" t="shared" si="6"/>
        <v>#VALUE!</v>
      </c>
      <c r="R62" s="46" t="e">
        <f ca="1">OFFSET([2]怪物强度模型!$K$1,MATCH(F62,[2]怪物强度模型!$A:$A,0)-1,0)</f>
        <v>#VALUE!</v>
      </c>
      <c r="S62" s="46" t="e">
        <f ca="1">OFFSET([2]怪物强度模型!$O$1,MATCH(F62,[2]怪物强度模型!$A:$A,0)-1,0)</f>
        <v>#VALUE!</v>
      </c>
      <c r="T62" s="47" t="e">
        <f ca="1" t="shared" si="7"/>
        <v>#VALUE!</v>
      </c>
      <c r="U62" s="47" t="e">
        <f ca="1">Q62+N62*$V$1/10000+$V$1*OFFSET(卡牌辅助配置表!$V$1,MATCH(C62,卡牌辅助配置表!U:U,0)-1,0)*5*P62/10000/10000+M62*$V$1/10000</f>
        <v>#VALUE!</v>
      </c>
      <c r="V62" s="46" t="e">
        <f ca="1">OFFSET([2]怪物强度模型!$I$1,MATCH(F62,[2]怪物强度模型!$A:$A,0)-1,0)</f>
        <v>#VALUE!</v>
      </c>
    </row>
    <row r="63" spans="1:22">
      <c r="A63" s="45">
        <f t="shared" si="13"/>
        <v>1037</v>
      </c>
      <c r="B63" s="46" t="s">
        <v>2791</v>
      </c>
      <c r="C63" s="45">
        <v>1</v>
      </c>
      <c r="D63" s="45">
        <v>37</v>
      </c>
      <c r="E63" s="78">
        <v>0</v>
      </c>
      <c r="F63" s="46">
        <f t="shared" si="14"/>
        <v>1010</v>
      </c>
      <c r="G63" s="46">
        <v>1.2</v>
      </c>
      <c r="H63" s="46">
        <v>6</v>
      </c>
      <c r="I63" s="46">
        <v>10</v>
      </c>
      <c r="J63" s="46">
        <v>10</v>
      </c>
      <c r="K63" s="46" t="e">
        <f ca="1" t="shared" si="15"/>
        <v>#VALUE!</v>
      </c>
      <c r="L63" s="46" t="e">
        <f ca="1" t="shared" si="16"/>
        <v>#VALUE!</v>
      </c>
      <c r="M63" s="46">
        <v>1200</v>
      </c>
      <c r="N63" s="46">
        <v>10</v>
      </c>
      <c r="O63" s="46">
        <v>3</v>
      </c>
      <c r="P63" s="46">
        <v>10</v>
      </c>
      <c r="Q63" s="46" t="e">
        <f ca="1" t="shared" si="6"/>
        <v>#VALUE!</v>
      </c>
      <c r="R63" s="46" t="e">
        <f ca="1">OFFSET([2]怪物强度模型!$K$1,MATCH(F63,[2]怪物强度模型!$A:$A,0)-1,0)</f>
        <v>#VALUE!</v>
      </c>
      <c r="S63" s="46" t="e">
        <f ca="1">OFFSET([2]怪物强度模型!$O$1,MATCH(F63,[2]怪物强度模型!$A:$A,0)-1,0)</f>
        <v>#VALUE!</v>
      </c>
      <c r="T63" s="47">
        <v>9000</v>
      </c>
      <c r="U63" s="47" t="e">
        <f ca="1">Q63+N63*$V$1/10000+$V$1*OFFSET(卡牌辅助配置表!$V$1,MATCH(C63,卡牌辅助配置表!U:U,0)-1,0)*5*P63/10000/10000+M63*$V$1/10000</f>
        <v>#VALUE!</v>
      </c>
      <c r="V63" s="46" t="e">
        <f ca="1">OFFSET([2]怪物强度模型!$I$1,MATCH(F63,[2]怪物强度模型!$A:$A,0)-1,0)</f>
        <v>#VALUE!</v>
      </c>
    </row>
    <row r="64" spans="1:22">
      <c r="A64" s="45">
        <f t="shared" si="13"/>
        <v>1038</v>
      </c>
      <c r="B64" s="46" t="s">
        <v>2791</v>
      </c>
      <c r="C64" s="45">
        <v>1</v>
      </c>
      <c r="D64" s="45">
        <v>38</v>
      </c>
      <c r="E64" s="78">
        <v>0</v>
      </c>
      <c r="F64" s="46">
        <f t="shared" si="14"/>
        <v>1010</v>
      </c>
      <c r="G64" s="46">
        <v>1.2</v>
      </c>
      <c r="H64" s="46">
        <v>5</v>
      </c>
      <c r="I64" s="46">
        <v>10</v>
      </c>
      <c r="J64" s="46">
        <v>10</v>
      </c>
      <c r="K64" s="46" t="e">
        <f ca="1" t="shared" si="15"/>
        <v>#VALUE!</v>
      </c>
      <c r="L64" s="46" t="e">
        <f ca="1" t="shared" si="16"/>
        <v>#VALUE!</v>
      </c>
      <c r="M64" s="46">
        <v>900</v>
      </c>
      <c r="N64" s="46">
        <v>10</v>
      </c>
      <c r="O64" s="46">
        <v>3</v>
      </c>
      <c r="P64" s="46">
        <v>10</v>
      </c>
      <c r="Q64" s="46" t="e">
        <f ca="1" t="shared" si="6"/>
        <v>#VALUE!</v>
      </c>
      <c r="R64" s="46" t="e">
        <f ca="1">OFFSET([2]怪物强度模型!$K$1,MATCH(F64,[2]怪物强度模型!$A:$A,0)-1,0)</f>
        <v>#VALUE!</v>
      </c>
      <c r="S64" s="46" t="e">
        <f ca="1">OFFSET([2]怪物强度模型!$O$1,MATCH(F64,[2]怪物强度模型!$A:$A,0)-1,0)</f>
        <v>#VALUE!</v>
      </c>
      <c r="T64" s="47">
        <v>9000</v>
      </c>
      <c r="U64" s="47" t="e">
        <f ca="1">Q64+N64*$V$1/10000+$V$1*OFFSET(卡牌辅助配置表!$V$1,MATCH(C64,卡牌辅助配置表!U:U,0)-1,0)*5*P64/10000/10000+M64*$V$1/10000</f>
        <v>#VALUE!</v>
      </c>
      <c r="V64" s="46" t="e">
        <f ca="1">OFFSET([2]怪物强度模型!$I$1,MATCH(F64,[2]怪物强度模型!$A:$A,0)-1,0)</f>
        <v>#VALUE!</v>
      </c>
    </row>
    <row r="65" customFormat="1" spans="1:23">
      <c r="A65" s="45">
        <f t="shared" ref="A65:A98" si="18">C65*1000+D65</f>
        <v>2101</v>
      </c>
      <c r="B65" s="46" t="s">
        <v>2792</v>
      </c>
      <c r="C65" s="45">
        <v>2</v>
      </c>
      <c r="D65" s="1">
        <v>101</v>
      </c>
      <c r="E65" s="78"/>
      <c r="F65" s="46">
        <f t="shared" ref="F65:F76" si="19">C65*1000+P65</f>
        <v>2021</v>
      </c>
      <c r="G65" s="46">
        <v>1.7</v>
      </c>
      <c r="H65" s="46">
        <v>6</v>
      </c>
      <c r="I65" s="46">
        <v>10</v>
      </c>
      <c r="J65" s="46">
        <v>15</v>
      </c>
      <c r="K65" s="46" t="e">
        <f ca="1" t="shared" ref="K65:K98" si="20">ROUND(Q65*0.95,0)</f>
        <v>#VALUE!</v>
      </c>
      <c r="L65" s="46" t="e">
        <f ca="1" t="shared" ref="L65:L98" si="21">ROUND(Q65*1.05,0)</f>
        <v>#VALUE!</v>
      </c>
      <c r="M65" s="46" t="e">
        <f ca="1" t="shared" ref="M65:M98" si="22">$J$1*S65</f>
        <v>#VALUE!</v>
      </c>
      <c r="N65" s="46" t="e">
        <f ca="1" t="shared" ref="N65:N128" si="23">ROUND(M65/$N$1,0)</f>
        <v>#VALUE!</v>
      </c>
      <c r="O65" s="46">
        <v>4</v>
      </c>
      <c r="P65" s="46">
        <v>21</v>
      </c>
      <c r="Q65" s="46" t="e">
        <f ca="1" t="shared" si="6"/>
        <v>#VALUE!</v>
      </c>
      <c r="R65" s="46" t="e">
        <f ca="1">OFFSET([2]怪物强度模型!$K$1,MATCH(F65,[2]怪物强度模型!$A:$A,0)-1,0)</f>
        <v>#VALUE!</v>
      </c>
      <c r="S65" s="46" t="e">
        <f ca="1">OFFSET([2]怪物强度模型!$O$1,MATCH(F65,[2]怪物强度模型!$A:$A,0)-1,0)</f>
        <v>#VALUE!</v>
      </c>
      <c r="T65" s="47" t="e">
        <f ca="1" t="shared" si="7"/>
        <v>#VALUE!</v>
      </c>
      <c r="U65" s="47" t="e">
        <f ca="1">Q65+N65*$V$1/10000+$V$1*OFFSET(卡牌辅助配置表!$V$1,MATCH(C65,卡牌辅助配置表!U:U,0)-1,0)*5*P65/10000/10000+M65*$V$1/10000</f>
        <v>#VALUE!</v>
      </c>
      <c r="V65" s="46" t="e">
        <f ca="1">OFFSET([2]怪物强度模型!$I$1,MATCH(F65,[2]怪物强度模型!$A:$A,0)-1,0)</f>
        <v>#VALUE!</v>
      </c>
      <c r="W65" t="e">
        <f ca="1">V65-0.1</f>
        <v>#VALUE!</v>
      </c>
    </row>
    <row r="66" customFormat="1" spans="1:23">
      <c r="A66" s="45">
        <f t="shared" si="18"/>
        <v>2102</v>
      </c>
      <c r="B66" s="46" t="s">
        <v>2792</v>
      </c>
      <c r="C66" s="45">
        <v>2</v>
      </c>
      <c r="D66" s="1">
        <v>102</v>
      </c>
      <c r="E66" s="78"/>
      <c r="F66" s="46">
        <f t="shared" si="19"/>
        <v>2021</v>
      </c>
      <c r="G66" s="46">
        <v>2.7</v>
      </c>
      <c r="H66" s="46">
        <v>7</v>
      </c>
      <c r="I66" s="46">
        <v>11</v>
      </c>
      <c r="J66" s="46">
        <v>16</v>
      </c>
      <c r="K66" s="46" t="e">
        <f ca="1" t="shared" si="20"/>
        <v>#VALUE!</v>
      </c>
      <c r="L66" s="46" t="e">
        <f ca="1" t="shared" si="21"/>
        <v>#VALUE!</v>
      </c>
      <c r="M66" s="46" t="e">
        <f ca="1" t="shared" si="22"/>
        <v>#VALUE!</v>
      </c>
      <c r="N66" s="46" t="e">
        <f ca="1" t="shared" si="23"/>
        <v>#VALUE!</v>
      </c>
      <c r="O66" s="46">
        <v>5</v>
      </c>
      <c r="P66" s="46">
        <v>21</v>
      </c>
      <c r="Q66" s="46" t="e">
        <f ca="1" t="shared" si="6"/>
        <v>#VALUE!</v>
      </c>
      <c r="R66" s="46" t="e">
        <f ca="1">OFFSET([2]怪物强度模型!$K$1,MATCH(F66,[2]怪物强度模型!$A:$A,0)-1,0)</f>
        <v>#VALUE!</v>
      </c>
      <c r="S66" s="46" t="e">
        <f ca="1">OFFSET([2]怪物强度模型!$O$1,MATCH(F66,[2]怪物强度模型!$A:$A,0)-1,0)</f>
        <v>#VALUE!</v>
      </c>
      <c r="T66" s="47" t="e">
        <f ca="1" t="shared" si="7"/>
        <v>#VALUE!</v>
      </c>
      <c r="U66" s="47" t="e">
        <f ca="1">Q66+N66*$V$1/10000+$V$1*OFFSET(卡牌辅助配置表!$V$1,MATCH(C66,卡牌辅助配置表!U:U,0)-1,0)*5*P66/10000/10000+M66*$V$1/10000</f>
        <v>#VALUE!</v>
      </c>
      <c r="V66" s="46" t="e">
        <f ca="1">OFFSET([2]怪物强度模型!$I$1,MATCH(F66,[2]怪物强度模型!$A:$A,0)-1,0)</f>
        <v>#VALUE!</v>
      </c>
      <c r="W66" t="e">
        <f ca="1" t="shared" ref="W66:W98" si="24">V66-0.1</f>
        <v>#VALUE!</v>
      </c>
    </row>
    <row r="67" customFormat="1" spans="1:23">
      <c r="A67" s="45">
        <f t="shared" si="18"/>
        <v>2103</v>
      </c>
      <c r="B67" s="46" t="s">
        <v>2792</v>
      </c>
      <c r="C67" s="45">
        <v>2</v>
      </c>
      <c r="D67" s="1">
        <v>103</v>
      </c>
      <c r="E67" s="78"/>
      <c r="F67" s="46">
        <f t="shared" si="19"/>
        <v>2021</v>
      </c>
      <c r="G67" s="46">
        <v>1.7</v>
      </c>
      <c r="H67" s="46">
        <v>6</v>
      </c>
      <c r="I67" s="46">
        <v>10</v>
      </c>
      <c r="J67" s="46">
        <v>15</v>
      </c>
      <c r="K67" s="46" t="e">
        <f ca="1" t="shared" si="20"/>
        <v>#VALUE!</v>
      </c>
      <c r="L67" s="46" t="e">
        <f ca="1" t="shared" si="21"/>
        <v>#VALUE!</v>
      </c>
      <c r="M67" s="46" t="e">
        <f ca="1" t="shared" si="22"/>
        <v>#VALUE!</v>
      </c>
      <c r="N67" s="46" t="e">
        <f ca="1" t="shared" si="23"/>
        <v>#VALUE!</v>
      </c>
      <c r="O67" s="46">
        <v>4</v>
      </c>
      <c r="P67" s="46">
        <v>21</v>
      </c>
      <c r="Q67" s="46" t="e">
        <f ca="1" t="shared" si="6"/>
        <v>#VALUE!</v>
      </c>
      <c r="R67" s="46" t="e">
        <f ca="1">OFFSET([2]怪物强度模型!$K$1,MATCH(F67,[2]怪物强度模型!$A:$A,0)-1,0)</f>
        <v>#VALUE!</v>
      </c>
      <c r="S67" s="46" t="e">
        <f ca="1">OFFSET([2]怪物强度模型!$O$1,MATCH(F67,[2]怪物强度模型!$A:$A,0)-1,0)</f>
        <v>#VALUE!</v>
      </c>
      <c r="T67" s="47" t="e">
        <f ca="1" t="shared" si="7"/>
        <v>#VALUE!</v>
      </c>
      <c r="U67" s="47" t="e">
        <f ca="1">Q67+N67*$V$1/10000+$V$1*OFFSET(卡牌辅助配置表!$V$1,MATCH(C67,卡牌辅助配置表!U:U,0)-1,0)*5*P67/10000/10000+M67*$V$1/10000</f>
        <v>#VALUE!</v>
      </c>
      <c r="V67" s="46" t="e">
        <f ca="1">OFFSET([2]怪物强度模型!$I$1,MATCH(F67,[2]怪物强度模型!$A:$A,0)-1,0)</f>
        <v>#VALUE!</v>
      </c>
      <c r="W67" t="e">
        <f ca="1" t="shared" si="24"/>
        <v>#VALUE!</v>
      </c>
    </row>
    <row r="68" customFormat="1" spans="1:23">
      <c r="A68" s="45">
        <f t="shared" si="18"/>
        <v>2104</v>
      </c>
      <c r="B68" s="46" t="s">
        <v>2792</v>
      </c>
      <c r="C68" s="45">
        <v>2</v>
      </c>
      <c r="D68" s="1">
        <v>104</v>
      </c>
      <c r="E68" s="78"/>
      <c r="F68" s="46">
        <f t="shared" si="19"/>
        <v>2021</v>
      </c>
      <c r="G68" s="46">
        <v>1.8</v>
      </c>
      <c r="H68" s="46">
        <v>6</v>
      </c>
      <c r="I68" s="46">
        <v>10</v>
      </c>
      <c r="J68" s="46">
        <v>15</v>
      </c>
      <c r="K68" s="46" t="e">
        <f ca="1" t="shared" si="20"/>
        <v>#VALUE!</v>
      </c>
      <c r="L68" s="46" t="e">
        <f ca="1" t="shared" si="21"/>
        <v>#VALUE!</v>
      </c>
      <c r="M68" s="46" t="e">
        <f ca="1" t="shared" si="22"/>
        <v>#VALUE!</v>
      </c>
      <c r="N68" s="46" t="e">
        <f ca="1" t="shared" si="23"/>
        <v>#VALUE!</v>
      </c>
      <c r="O68" s="46">
        <v>4</v>
      </c>
      <c r="P68" s="46">
        <v>21</v>
      </c>
      <c r="Q68" s="46" t="e">
        <f ca="1" t="shared" si="6"/>
        <v>#VALUE!</v>
      </c>
      <c r="R68" s="46" t="e">
        <f ca="1">OFFSET([2]怪物强度模型!$K$1,MATCH(F68,[2]怪物强度模型!$A:$A,0)-1,0)</f>
        <v>#VALUE!</v>
      </c>
      <c r="S68" s="46" t="e">
        <f ca="1">OFFSET([2]怪物强度模型!$O$1,MATCH(F68,[2]怪物强度模型!$A:$A,0)-1,0)</f>
        <v>#VALUE!</v>
      </c>
      <c r="T68" s="47" t="e">
        <f ca="1" t="shared" si="7"/>
        <v>#VALUE!</v>
      </c>
      <c r="U68" s="47" t="e">
        <f ca="1">Q68+N68*$V$1/10000+$V$1*OFFSET(卡牌辅助配置表!$V$1,MATCH(C68,卡牌辅助配置表!U:U,0)-1,0)*5*P68/10000/10000+M68*$V$1/10000</f>
        <v>#VALUE!</v>
      </c>
      <c r="V68" s="46" t="e">
        <f ca="1">OFFSET([2]怪物强度模型!$I$1,MATCH(F68,[2]怪物强度模型!$A:$A,0)-1,0)</f>
        <v>#VALUE!</v>
      </c>
      <c r="W68" t="e">
        <f ca="1" t="shared" si="24"/>
        <v>#VALUE!</v>
      </c>
    </row>
    <row r="69" customFormat="1" spans="1:23">
      <c r="A69" s="45">
        <f t="shared" si="18"/>
        <v>2105</v>
      </c>
      <c r="B69" s="46" t="s">
        <v>2792</v>
      </c>
      <c r="C69" s="45">
        <v>2</v>
      </c>
      <c r="D69" s="1">
        <v>105</v>
      </c>
      <c r="E69" s="78"/>
      <c r="F69" s="46">
        <f t="shared" si="19"/>
        <v>2022</v>
      </c>
      <c r="G69" s="46">
        <v>1.7</v>
      </c>
      <c r="H69" s="46">
        <v>6</v>
      </c>
      <c r="I69" s="46">
        <v>10</v>
      </c>
      <c r="J69" s="46">
        <v>15</v>
      </c>
      <c r="K69" s="46" t="e">
        <f ca="1" t="shared" si="20"/>
        <v>#VALUE!</v>
      </c>
      <c r="L69" s="46" t="e">
        <f ca="1" t="shared" si="21"/>
        <v>#VALUE!</v>
      </c>
      <c r="M69" s="46" t="e">
        <f ca="1" t="shared" si="22"/>
        <v>#VALUE!</v>
      </c>
      <c r="N69" s="46" t="e">
        <f ca="1" t="shared" si="23"/>
        <v>#VALUE!</v>
      </c>
      <c r="O69" s="46">
        <v>4</v>
      </c>
      <c r="P69" s="46">
        <v>22</v>
      </c>
      <c r="Q69" s="46" t="e">
        <f ca="1" t="shared" si="6"/>
        <v>#VALUE!</v>
      </c>
      <c r="R69" s="46" t="e">
        <f ca="1">OFFSET([2]怪物强度模型!$K$1,MATCH(F69,[2]怪物强度模型!$A:$A,0)-1,0)</f>
        <v>#VALUE!</v>
      </c>
      <c r="S69" s="46" t="e">
        <f ca="1">OFFSET([2]怪物强度模型!$O$1,MATCH(F69,[2]怪物强度模型!$A:$A,0)-1,0)</f>
        <v>#VALUE!</v>
      </c>
      <c r="T69" s="47" t="e">
        <f ca="1" t="shared" si="7"/>
        <v>#VALUE!</v>
      </c>
      <c r="U69" s="47" t="e">
        <f ca="1">Q69+N69*$V$1/10000+$V$1*OFFSET(卡牌辅助配置表!$V$1,MATCH(C69,卡牌辅助配置表!U:U,0)-1,0)*5*P69/10000/10000+M69*$V$1/10000</f>
        <v>#VALUE!</v>
      </c>
      <c r="V69" s="46" t="e">
        <f ca="1">OFFSET([2]怪物强度模型!$I$1,MATCH(F69,[2]怪物强度模型!$A:$A,0)-1,0)</f>
        <v>#VALUE!</v>
      </c>
      <c r="W69" t="e">
        <f ca="1" t="shared" si="24"/>
        <v>#VALUE!</v>
      </c>
    </row>
    <row r="70" customFormat="1" spans="1:23">
      <c r="A70" s="45">
        <f t="shared" si="18"/>
        <v>2106</v>
      </c>
      <c r="B70" s="46" t="s">
        <v>2792</v>
      </c>
      <c r="C70" s="45">
        <v>2</v>
      </c>
      <c r="D70" s="1">
        <v>106</v>
      </c>
      <c r="E70" s="78"/>
      <c r="F70" s="46">
        <f t="shared" si="19"/>
        <v>2022</v>
      </c>
      <c r="G70" s="46">
        <v>1.8</v>
      </c>
      <c r="H70" s="46">
        <v>6</v>
      </c>
      <c r="I70" s="46">
        <v>10</v>
      </c>
      <c r="J70" s="46">
        <v>15</v>
      </c>
      <c r="K70" s="46" t="e">
        <f ca="1" t="shared" si="20"/>
        <v>#VALUE!</v>
      </c>
      <c r="L70" s="46" t="e">
        <f ca="1" t="shared" si="21"/>
        <v>#VALUE!</v>
      </c>
      <c r="M70" s="46" t="e">
        <f ca="1" t="shared" si="22"/>
        <v>#VALUE!</v>
      </c>
      <c r="N70" s="46" t="e">
        <f ca="1" t="shared" si="23"/>
        <v>#VALUE!</v>
      </c>
      <c r="O70" s="46">
        <v>4</v>
      </c>
      <c r="P70" s="46">
        <f t="shared" ref="P70:P98" si="25">P67+1</f>
        <v>22</v>
      </c>
      <c r="Q70" s="46" t="e">
        <f ca="1" t="shared" si="6"/>
        <v>#VALUE!</v>
      </c>
      <c r="R70" s="46" t="e">
        <f ca="1">OFFSET([2]怪物强度模型!$K$1,MATCH(F70,[2]怪物强度模型!$A:$A,0)-1,0)</f>
        <v>#VALUE!</v>
      </c>
      <c r="S70" s="46" t="e">
        <f ca="1">OFFSET([2]怪物强度模型!$O$1,MATCH(F70,[2]怪物强度模型!$A:$A,0)-1,0)</f>
        <v>#VALUE!</v>
      </c>
      <c r="T70" s="47" t="e">
        <f ca="1" t="shared" si="7"/>
        <v>#VALUE!</v>
      </c>
      <c r="U70" s="47" t="e">
        <f ca="1">Q70+N70*$V$1/10000+$V$1*OFFSET(卡牌辅助配置表!$V$1,MATCH(C70,卡牌辅助配置表!U:U,0)-1,0)*5*P70/10000/10000+M70*$V$1/10000</f>
        <v>#VALUE!</v>
      </c>
      <c r="V70" s="46" t="e">
        <f ca="1">OFFSET([2]怪物强度模型!$I$1,MATCH(F70,[2]怪物强度模型!$A:$A,0)-1,0)</f>
        <v>#VALUE!</v>
      </c>
      <c r="W70" t="e">
        <f ca="1" t="shared" si="24"/>
        <v>#VALUE!</v>
      </c>
    </row>
    <row r="71" customFormat="1" spans="1:23">
      <c r="A71" s="45">
        <f t="shared" si="18"/>
        <v>2107</v>
      </c>
      <c r="B71" s="46" t="s">
        <v>2792</v>
      </c>
      <c r="C71" s="45">
        <v>2</v>
      </c>
      <c r="D71" s="1">
        <v>107</v>
      </c>
      <c r="E71" s="78"/>
      <c r="F71" s="46">
        <f t="shared" si="19"/>
        <v>2022</v>
      </c>
      <c r="G71" s="46">
        <v>1.8</v>
      </c>
      <c r="H71" s="46">
        <v>6</v>
      </c>
      <c r="I71" s="46">
        <v>10</v>
      </c>
      <c r="J71" s="46">
        <v>15</v>
      </c>
      <c r="K71" s="46" t="e">
        <f ca="1" t="shared" si="20"/>
        <v>#VALUE!</v>
      </c>
      <c r="L71" s="46" t="e">
        <f ca="1" t="shared" si="21"/>
        <v>#VALUE!</v>
      </c>
      <c r="M71" s="46" t="e">
        <f ca="1" t="shared" si="22"/>
        <v>#VALUE!</v>
      </c>
      <c r="N71" s="46" t="e">
        <f ca="1" t="shared" si="23"/>
        <v>#VALUE!</v>
      </c>
      <c r="O71" s="46">
        <v>4</v>
      </c>
      <c r="P71" s="46">
        <f t="shared" si="25"/>
        <v>22</v>
      </c>
      <c r="Q71" s="46" t="e">
        <f ca="1" t="shared" ref="Q71:Q134" si="26">G71*(R71+S71-N71)*V71</f>
        <v>#VALUE!</v>
      </c>
      <c r="R71" s="46" t="e">
        <f ca="1">OFFSET([2]怪物强度模型!$K$1,MATCH(F71,[2]怪物强度模型!$A:$A,0)-1,0)</f>
        <v>#VALUE!</v>
      </c>
      <c r="S71" s="46" t="e">
        <f ca="1">OFFSET([2]怪物强度模型!$O$1,MATCH(F71,[2]怪物强度模型!$A:$A,0)-1,0)</f>
        <v>#VALUE!</v>
      </c>
      <c r="T71" s="47" t="e">
        <f ca="1" t="shared" ref="T71:T134" si="27">ROUND(U71*$T$1,0)</f>
        <v>#VALUE!</v>
      </c>
      <c r="U71" s="47" t="e">
        <f ca="1">Q71+N71*$V$1/10000+$V$1*OFFSET(卡牌辅助配置表!$V$1,MATCH(C71,卡牌辅助配置表!U:U,0)-1,0)*5*P71/10000/10000+M71*$V$1/10000</f>
        <v>#VALUE!</v>
      </c>
      <c r="V71" s="46" t="e">
        <f ca="1">OFFSET([2]怪物强度模型!$I$1,MATCH(F71,[2]怪物强度模型!$A:$A,0)-1,0)</f>
        <v>#VALUE!</v>
      </c>
      <c r="W71" t="e">
        <f ca="1" t="shared" si="24"/>
        <v>#VALUE!</v>
      </c>
    </row>
    <row r="72" customFormat="1" spans="1:23">
      <c r="A72" s="45">
        <f t="shared" si="18"/>
        <v>2108</v>
      </c>
      <c r="B72" s="46" t="s">
        <v>2792</v>
      </c>
      <c r="C72" s="45">
        <v>2</v>
      </c>
      <c r="D72" s="95">
        <v>108</v>
      </c>
      <c r="E72" s="78"/>
      <c r="F72" s="46">
        <f t="shared" si="19"/>
        <v>2023</v>
      </c>
      <c r="G72" s="46">
        <v>1.9</v>
      </c>
      <c r="H72" s="46">
        <v>6</v>
      </c>
      <c r="I72" s="46">
        <v>10</v>
      </c>
      <c r="J72" s="46">
        <v>15</v>
      </c>
      <c r="K72" s="46" t="e">
        <f ca="1" t="shared" si="20"/>
        <v>#VALUE!</v>
      </c>
      <c r="L72" s="46" t="e">
        <f ca="1" t="shared" si="21"/>
        <v>#VALUE!</v>
      </c>
      <c r="M72" s="46" t="e">
        <f ca="1" t="shared" si="22"/>
        <v>#VALUE!</v>
      </c>
      <c r="N72" s="46" t="e">
        <f ca="1" t="shared" si="23"/>
        <v>#VALUE!</v>
      </c>
      <c r="O72" s="46">
        <v>4</v>
      </c>
      <c r="P72" s="46">
        <v>23</v>
      </c>
      <c r="Q72" s="46" t="e">
        <f ca="1" t="shared" si="26"/>
        <v>#VALUE!</v>
      </c>
      <c r="R72" s="46" t="e">
        <f ca="1">OFFSET([2]怪物强度模型!$K$1,MATCH(F72,[2]怪物强度模型!$A:$A,0)-1,0)</f>
        <v>#VALUE!</v>
      </c>
      <c r="S72" s="46" t="e">
        <f ca="1">OFFSET([2]怪物强度模型!$O$1,MATCH(F72,[2]怪物强度模型!$A:$A,0)-1,0)</f>
        <v>#VALUE!</v>
      </c>
      <c r="T72" s="47" t="e">
        <f ca="1" t="shared" si="27"/>
        <v>#VALUE!</v>
      </c>
      <c r="U72" s="47" t="e">
        <f ca="1">Q72+N72*$V$1/10000+$V$1*OFFSET(卡牌辅助配置表!$V$1,MATCH(C72,卡牌辅助配置表!U:U,0)-1,0)*5*P72/10000/10000+M72*$V$1/10000</f>
        <v>#VALUE!</v>
      </c>
      <c r="V72" s="46" t="e">
        <f ca="1">OFFSET([2]怪物强度模型!$I$1,MATCH(F72,[2]怪物强度模型!$A:$A,0)-1,0)</f>
        <v>#VALUE!</v>
      </c>
      <c r="W72" t="e">
        <f ca="1" t="shared" si="24"/>
        <v>#VALUE!</v>
      </c>
    </row>
    <row r="73" customFormat="1" spans="1:23">
      <c r="A73" s="45">
        <f t="shared" si="18"/>
        <v>2109</v>
      </c>
      <c r="B73" s="46" t="s">
        <v>2792</v>
      </c>
      <c r="C73" s="45">
        <v>2</v>
      </c>
      <c r="D73" s="1">
        <v>109</v>
      </c>
      <c r="E73" s="78"/>
      <c r="F73" s="46">
        <f t="shared" si="19"/>
        <v>2023</v>
      </c>
      <c r="G73" s="46">
        <v>1.8</v>
      </c>
      <c r="H73" s="46">
        <v>6</v>
      </c>
      <c r="I73" s="46">
        <v>10</v>
      </c>
      <c r="J73" s="46">
        <v>15</v>
      </c>
      <c r="K73" s="46" t="e">
        <f ca="1" t="shared" si="20"/>
        <v>#VALUE!</v>
      </c>
      <c r="L73" s="46" t="e">
        <f ca="1" t="shared" si="21"/>
        <v>#VALUE!</v>
      </c>
      <c r="M73" s="46" t="e">
        <f ca="1" t="shared" si="22"/>
        <v>#VALUE!</v>
      </c>
      <c r="N73" s="46" t="e">
        <f ca="1" t="shared" si="23"/>
        <v>#VALUE!</v>
      </c>
      <c r="O73" s="46">
        <v>4</v>
      </c>
      <c r="P73" s="46">
        <f t="shared" si="25"/>
        <v>23</v>
      </c>
      <c r="Q73" s="46" t="e">
        <f ca="1" t="shared" si="26"/>
        <v>#VALUE!</v>
      </c>
      <c r="R73" s="46" t="e">
        <f ca="1">OFFSET([2]怪物强度模型!$K$1,MATCH(F73,[2]怪物强度模型!$A:$A,0)-1,0)</f>
        <v>#VALUE!</v>
      </c>
      <c r="S73" s="46" t="e">
        <f ca="1">OFFSET([2]怪物强度模型!$O$1,MATCH(F73,[2]怪物强度模型!$A:$A,0)-1,0)</f>
        <v>#VALUE!</v>
      </c>
      <c r="T73" s="47" t="e">
        <f ca="1" t="shared" si="27"/>
        <v>#VALUE!</v>
      </c>
      <c r="U73" s="47" t="e">
        <f ca="1">Q73+N73*$V$1/10000+$V$1*OFFSET(卡牌辅助配置表!$V$1,MATCH(C73,卡牌辅助配置表!U:U,0)-1,0)*5*P73/10000/10000+M73*$V$1/10000</f>
        <v>#VALUE!</v>
      </c>
      <c r="V73" s="46" t="e">
        <f ca="1">OFFSET([2]怪物强度模型!$I$1,MATCH(F73,[2]怪物强度模型!$A:$A,0)-1,0)</f>
        <v>#VALUE!</v>
      </c>
      <c r="W73" t="e">
        <f ca="1" t="shared" si="24"/>
        <v>#VALUE!</v>
      </c>
    </row>
    <row r="74" customFormat="1" spans="1:23">
      <c r="A74" s="45">
        <f t="shared" si="18"/>
        <v>2110</v>
      </c>
      <c r="B74" s="46" t="s">
        <v>2792</v>
      </c>
      <c r="C74" s="45">
        <v>2</v>
      </c>
      <c r="D74" s="1">
        <v>110</v>
      </c>
      <c r="E74" s="78"/>
      <c r="F74" s="46">
        <f t="shared" si="19"/>
        <v>2023</v>
      </c>
      <c r="G74" s="46">
        <v>1.9</v>
      </c>
      <c r="H74" s="46">
        <v>6</v>
      </c>
      <c r="I74" s="46">
        <v>10</v>
      </c>
      <c r="J74" s="46">
        <v>15</v>
      </c>
      <c r="K74" s="46" t="e">
        <f ca="1" t="shared" si="20"/>
        <v>#VALUE!</v>
      </c>
      <c r="L74" s="46" t="e">
        <f ca="1" t="shared" si="21"/>
        <v>#VALUE!</v>
      </c>
      <c r="M74" s="46" t="e">
        <f ca="1" t="shared" si="22"/>
        <v>#VALUE!</v>
      </c>
      <c r="N74" s="46" t="e">
        <f ca="1" t="shared" si="23"/>
        <v>#VALUE!</v>
      </c>
      <c r="O74" s="46">
        <v>4</v>
      </c>
      <c r="P74" s="46">
        <f t="shared" si="25"/>
        <v>23</v>
      </c>
      <c r="Q74" s="46" t="e">
        <f ca="1" t="shared" si="26"/>
        <v>#VALUE!</v>
      </c>
      <c r="R74" s="46" t="e">
        <f ca="1">OFFSET([2]怪物强度模型!$K$1,MATCH(F74,[2]怪物强度模型!$A:$A,0)-1,0)</f>
        <v>#VALUE!</v>
      </c>
      <c r="S74" s="46" t="e">
        <f ca="1">OFFSET([2]怪物强度模型!$O$1,MATCH(F74,[2]怪物强度模型!$A:$A,0)-1,0)</f>
        <v>#VALUE!</v>
      </c>
      <c r="T74" s="47" t="e">
        <f ca="1" t="shared" si="27"/>
        <v>#VALUE!</v>
      </c>
      <c r="U74" s="47" t="e">
        <f ca="1">Q74+N74*$V$1/10000+$V$1*OFFSET(卡牌辅助配置表!$V$1,MATCH(C74,卡牌辅助配置表!U:U,0)-1,0)*5*P74/10000/10000+M74*$V$1/10000</f>
        <v>#VALUE!</v>
      </c>
      <c r="V74" s="46" t="e">
        <f ca="1">OFFSET([2]怪物强度模型!$I$1,MATCH(F74,[2]怪物强度模型!$A:$A,0)-1,0)</f>
        <v>#VALUE!</v>
      </c>
      <c r="W74" t="e">
        <f ca="1" t="shared" si="24"/>
        <v>#VALUE!</v>
      </c>
    </row>
    <row r="75" customFormat="1" spans="1:23">
      <c r="A75" s="45">
        <f t="shared" si="18"/>
        <v>2111</v>
      </c>
      <c r="B75" s="46" t="s">
        <v>2792</v>
      </c>
      <c r="C75" s="45">
        <v>2</v>
      </c>
      <c r="D75" s="1">
        <v>111</v>
      </c>
      <c r="E75" s="78"/>
      <c r="F75" s="46">
        <f t="shared" si="19"/>
        <v>2024</v>
      </c>
      <c r="G75" s="46">
        <v>2</v>
      </c>
      <c r="H75" s="46">
        <v>6</v>
      </c>
      <c r="I75" s="46">
        <v>10</v>
      </c>
      <c r="J75" s="46">
        <v>15</v>
      </c>
      <c r="K75" s="46" t="e">
        <f ca="1" t="shared" si="20"/>
        <v>#VALUE!</v>
      </c>
      <c r="L75" s="46" t="e">
        <f ca="1" t="shared" si="21"/>
        <v>#VALUE!</v>
      </c>
      <c r="M75" s="46" t="e">
        <f ca="1" t="shared" si="22"/>
        <v>#VALUE!</v>
      </c>
      <c r="N75" s="46" t="e">
        <f ca="1" t="shared" si="23"/>
        <v>#VALUE!</v>
      </c>
      <c r="O75" s="46">
        <v>4</v>
      </c>
      <c r="P75" s="46">
        <f t="shared" si="25"/>
        <v>24</v>
      </c>
      <c r="Q75" s="46" t="e">
        <f ca="1" t="shared" si="26"/>
        <v>#VALUE!</v>
      </c>
      <c r="R75" s="46" t="e">
        <f ca="1">OFFSET([2]怪物强度模型!$K$1,MATCH(F75,[2]怪物强度模型!$A:$A,0)-1,0)</f>
        <v>#VALUE!</v>
      </c>
      <c r="S75" s="46" t="e">
        <f ca="1">OFFSET([2]怪物强度模型!$O$1,MATCH(F75,[2]怪物强度模型!$A:$A,0)-1,0)</f>
        <v>#VALUE!</v>
      </c>
      <c r="T75" s="47" t="e">
        <f ca="1" t="shared" si="27"/>
        <v>#VALUE!</v>
      </c>
      <c r="U75" s="47" t="e">
        <f ca="1">Q75+N75*$V$1/10000+$V$1*OFFSET(卡牌辅助配置表!$V$1,MATCH(C75,卡牌辅助配置表!U:U,0)-1,0)*5*P75/10000/10000+M75*$V$1/10000</f>
        <v>#VALUE!</v>
      </c>
      <c r="V75" s="46" t="e">
        <f ca="1">OFFSET([2]怪物强度模型!$I$1,MATCH(F75,[2]怪物强度模型!$A:$A,0)-1,0)</f>
        <v>#VALUE!</v>
      </c>
      <c r="W75" t="e">
        <f ca="1" t="shared" si="24"/>
        <v>#VALUE!</v>
      </c>
    </row>
    <row r="76" customFormat="1" spans="1:23">
      <c r="A76" s="45">
        <f t="shared" si="18"/>
        <v>2112</v>
      </c>
      <c r="B76" s="46" t="s">
        <v>2792</v>
      </c>
      <c r="C76" s="45">
        <v>2</v>
      </c>
      <c r="D76" s="1">
        <v>112</v>
      </c>
      <c r="E76" s="78"/>
      <c r="F76" s="46">
        <f t="shared" si="19"/>
        <v>2023</v>
      </c>
      <c r="G76" s="46">
        <v>1.9</v>
      </c>
      <c r="H76" s="46">
        <v>6</v>
      </c>
      <c r="I76" s="46">
        <v>10</v>
      </c>
      <c r="J76" s="46">
        <v>15</v>
      </c>
      <c r="K76" s="46" t="e">
        <f ca="1" t="shared" si="20"/>
        <v>#VALUE!</v>
      </c>
      <c r="L76" s="46" t="e">
        <f ca="1" t="shared" si="21"/>
        <v>#VALUE!</v>
      </c>
      <c r="M76" s="46" t="e">
        <f ca="1" t="shared" si="22"/>
        <v>#VALUE!</v>
      </c>
      <c r="N76" s="46" t="e">
        <f ca="1" t="shared" si="23"/>
        <v>#VALUE!</v>
      </c>
      <c r="O76" s="46">
        <v>4</v>
      </c>
      <c r="P76" s="46">
        <v>23</v>
      </c>
      <c r="Q76" s="46" t="e">
        <f ca="1" t="shared" si="26"/>
        <v>#VALUE!</v>
      </c>
      <c r="R76" s="46" t="e">
        <f ca="1">OFFSET([2]怪物强度模型!$K$1,MATCH(F76,[2]怪物强度模型!$A:$A,0)-1,0)</f>
        <v>#VALUE!</v>
      </c>
      <c r="S76" s="46" t="e">
        <f ca="1">OFFSET([2]怪物强度模型!$O$1,MATCH(F76,[2]怪物强度模型!$A:$A,0)-1,0)</f>
        <v>#VALUE!</v>
      </c>
      <c r="T76" s="47" t="e">
        <f ca="1" t="shared" si="27"/>
        <v>#VALUE!</v>
      </c>
      <c r="U76" s="47" t="e">
        <f ca="1">Q76+N76*$V$1/10000+$V$1*OFFSET(卡牌辅助配置表!$V$1,MATCH(C76,卡牌辅助配置表!U:U,0)-1,0)*5*P76/10000/10000+M76*$V$1/10000</f>
        <v>#VALUE!</v>
      </c>
      <c r="V76" s="46" t="e">
        <f ca="1">OFFSET([2]怪物强度模型!$I$1,MATCH(F76,[2]怪物强度模型!$A:$A,0)-1,0)</f>
        <v>#VALUE!</v>
      </c>
      <c r="W76" t="e">
        <f ca="1" t="shared" si="24"/>
        <v>#VALUE!</v>
      </c>
    </row>
    <row r="77" customFormat="1" spans="1:23">
      <c r="A77" s="45">
        <f t="shared" si="18"/>
        <v>2113</v>
      </c>
      <c r="B77" s="46" t="s">
        <v>2792</v>
      </c>
      <c r="C77" s="45">
        <v>2</v>
      </c>
      <c r="D77" s="1">
        <v>113</v>
      </c>
      <c r="E77" s="78"/>
      <c r="F77" s="46">
        <f t="shared" ref="F77:F99" si="28">C77*1000+P77</f>
        <v>2024</v>
      </c>
      <c r="G77" s="46">
        <v>1.9</v>
      </c>
      <c r="H77" s="46">
        <v>6</v>
      </c>
      <c r="I77" s="46">
        <v>10</v>
      </c>
      <c r="J77" s="46">
        <v>15</v>
      </c>
      <c r="K77" s="46" t="e">
        <f ca="1" t="shared" si="20"/>
        <v>#VALUE!</v>
      </c>
      <c r="L77" s="46" t="e">
        <f ca="1" t="shared" si="21"/>
        <v>#VALUE!</v>
      </c>
      <c r="M77" s="46" t="e">
        <f ca="1" t="shared" si="22"/>
        <v>#VALUE!</v>
      </c>
      <c r="N77" s="46" t="e">
        <f ca="1" t="shared" si="23"/>
        <v>#VALUE!</v>
      </c>
      <c r="O77" s="46">
        <v>4</v>
      </c>
      <c r="P77" s="46">
        <f t="shared" si="25"/>
        <v>24</v>
      </c>
      <c r="Q77" s="46" t="e">
        <f ca="1" t="shared" si="26"/>
        <v>#VALUE!</v>
      </c>
      <c r="R77" s="46" t="e">
        <f ca="1">OFFSET([2]怪物强度模型!$K$1,MATCH(F77,[2]怪物强度模型!$A:$A,0)-1,0)</f>
        <v>#VALUE!</v>
      </c>
      <c r="S77" s="46" t="e">
        <f ca="1">OFFSET([2]怪物强度模型!$O$1,MATCH(F77,[2]怪物强度模型!$A:$A,0)-1,0)</f>
        <v>#VALUE!</v>
      </c>
      <c r="T77" s="47" t="e">
        <f ca="1" t="shared" si="27"/>
        <v>#VALUE!</v>
      </c>
      <c r="U77" s="47" t="e">
        <f ca="1">Q77+N77*$V$1/10000+$V$1*OFFSET(卡牌辅助配置表!$V$1,MATCH(C77,卡牌辅助配置表!U:U,0)-1,0)*5*P77/10000/10000+M77*$V$1/10000</f>
        <v>#VALUE!</v>
      </c>
      <c r="V77" s="46" t="e">
        <f ca="1">OFFSET([2]怪物强度模型!$I$1,MATCH(F77,[2]怪物强度模型!$A:$A,0)-1,0)</f>
        <v>#VALUE!</v>
      </c>
      <c r="W77" t="e">
        <f ca="1" t="shared" si="24"/>
        <v>#VALUE!</v>
      </c>
    </row>
    <row r="78" customFormat="1" spans="1:23">
      <c r="A78" s="45">
        <f t="shared" si="18"/>
        <v>2114</v>
      </c>
      <c r="B78" s="46" t="s">
        <v>2792</v>
      </c>
      <c r="C78" s="45">
        <v>2</v>
      </c>
      <c r="D78" s="1">
        <v>114</v>
      </c>
      <c r="E78" s="78"/>
      <c r="F78" s="46">
        <f t="shared" si="28"/>
        <v>2025</v>
      </c>
      <c r="G78" s="46">
        <v>2</v>
      </c>
      <c r="H78" s="46">
        <v>6</v>
      </c>
      <c r="I78" s="46">
        <v>10</v>
      </c>
      <c r="J78" s="46">
        <v>15</v>
      </c>
      <c r="K78" s="46" t="e">
        <f ca="1" t="shared" si="20"/>
        <v>#VALUE!</v>
      </c>
      <c r="L78" s="46" t="e">
        <f ca="1" t="shared" si="21"/>
        <v>#VALUE!</v>
      </c>
      <c r="M78" s="46" t="e">
        <f ca="1" t="shared" si="22"/>
        <v>#VALUE!</v>
      </c>
      <c r="N78" s="46" t="e">
        <f ca="1" t="shared" si="23"/>
        <v>#VALUE!</v>
      </c>
      <c r="O78" s="46">
        <v>4</v>
      </c>
      <c r="P78" s="46">
        <f t="shared" si="25"/>
        <v>25</v>
      </c>
      <c r="Q78" s="46" t="e">
        <f ca="1" t="shared" si="26"/>
        <v>#VALUE!</v>
      </c>
      <c r="R78" s="46" t="e">
        <f ca="1">OFFSET([2]怪物强度模型!$K$1,MATCH(F78,[2]怪物强度模型!$A:$A,0)-1,0)</f>
        <v>#VALUE!</v>
      </c>
      <c r="S78" s="46" t="e">
        <f ca="1">OFFSET([2]怪物强度模型!$O$1,MATCH(F78,[2]怪物强度模型!$A:$A,0)-1,0)</f>
        <v>#VALUE!</v>
      </c>
      <c r="T78" s="47" t="e">
        <f ca="1" t="shared" si="27"/>
        <v>#VALUE!</v>
      </c>
      <c r="U78" s="47" t="e">
        <f ca="1">Q78+N78*$V$1/10000+$V$1*OFFSET(卡牌辅助配置表!$V$1,MATCH(C78,卡牌辅助配置表!U:U,0)-1,0)*5*P78/10000/10000+M78*$V$1/10000</f>
        <v>#VALUE!</v>
      </c>
      <c r="V78" s="46" t="e">
        <f ca="1">OFFSET([2]怪物强度模型!$I$1,MATCH(F78,[2]怪物强度模型!$A:$A,0)-1,0)</f>
        <v>#VALUE!</v>
      </c>
      <c r="W78" t="e">
        <f ca="1" t="shared" si="24"/>
        <v>#VALUE!</v>
      </c>
    </row>
    <row r="79" customFormat="1" spans="1:23">
      <c r="A79" s="45">
        <f t="shared" si="18"/>
        <v>2115</v>
      </c>
      <c r="B79" s="46" t="s">
        <v>2792</v>
      </c>
      <c r="C79" s="45">
        <v>2</v>
      </c>
      <c r="D79" s="1">
        <v>115</v>
      </c>
      <c r="E79" s="78"/>
      <c r="F79" s="46">
        <f t="shared" si="28"/>
        <v>2024</v>
      </c>
      <c r="G79" s="46">
        <v>1.9</v>
      </c>
      <c r="H79" s="46">
        <v>6</v>
      </c>
      <c r="I79" s="46">
        <v>10</v>
      </c>
      <c r="J79" s="46">
        <v>15</v>
      </c>
      <c r="K79" s="46" t="e">
        <f ca="1" t="shared" si="20"/>
        <v>#VALUE!</v>
      </c>
      <c r="L79" s="46" t="e">
        <f ca="1" t="shared" si="21"/>
        <v>#VALUE!</v>
      </c>
      <c r="M79" s="46" t="e">
        <f ca="1" t="shared" si="22"/>
        <v>#VALUE!</v>
      </c>
      <c r="N79" s="46" t="e">
        <f ca="1" t="shared" si="23"/>
        <v>#VALUE!</v>
      </c>
      <c r="O79" s="46">
        <v>4</v>
      </c>
      <c r="P79" s="46">
        <f t="shared" si="25"/>
        <v>24</v>
      </c>
      <c r="Q79" s="46" t="e">
        <f ca="1" t="shared" si="26"/>
        <v>#VALUE!</v>
      </c>
      <c r="R79" s="46" t="e">
        <f ca="1">OFFSET([2]怪物强度模型!$K$1,MATCH(F79,[2]怪物强度模型!$A:$A,0)-1,0)</f>
        <v>#VALUE!</v>
      </c>
      <c r="S79" s="46" t="e">
        <f ca="1">OFFSET([2]怪物强度模型!$O$1,MATCH(F79,[2]怪物强度模型!$A:$A,0)-1,0)</f>
        <v>#VALUE!</v>
      </c>
      <c r="T79" s="47" t="e">
        <f ca="1" t="shared" si="27"/>
        <v>#VALUE!</v>
      </c>
      <c r="U79" s="47" t="e">
        <f ca="1">Q79+N79*$V$1/10000+$V$1*OFFSET(卡牌辅助配置表!$V$1,MATCH(C79,卡牌辅助配置表!U:U,0)-1,0)*5*P79/10000/10000+M79*$V$1/10000</f>
        <v>#VALUE!</v>
      </c>
      <c r="V79" s="46" t="e">
        <f ca="1">OFFSET([2]怪物强度模型!$I$1,MATCH(F79,[2]怪物强度模型!$A:$A,0)-1,0)</f>
        <v>#VALUE!</v>
      </c>
      <c r="W79" t="e">
        <f ca="1" t="shared" si="24"/>
        <v>#VALUE!</v>
      </c>
    </row>
    <row r="80" customFormat="1" spans="1:23">
      <c r="A80" s="45">
        <f t="shared" si="18"/>
        <v>2116</v>
      </c>
      <c r="B80" s="46" t="s">
        <v>2792</v>
      </c>
      <c r="C80" s="45">
        <v>2</v>
      </c>
      <c r="D80" s="1">
        <v>116</v>
      </c>
      <c r="E80" s="78"/>
      <c r="F80" s="46">
        <f t="shared" si="28"/>
        <v>2024</v>
      </c>
      <c r="G80" s="46">
        <v>2</v>
      </c>
      <c r="H80" s="46">
        <v>6</v>
      </c>
      <c r="I80" s="46">
        <v>10</v>
      </c>
      <c r="J80" s="46">
        <v>15</v>
      </c>
      <c r="K80" s="46" t="e">
        <f ca="1" t="shared" si="20"/>
        <v>#VALUE!</v>
      </c>
      <c r="L80" s="46" t="e">
        <f ca="1" t="shared" si="21"/>
        <v>#VALUE!</v>
      </c>
      <c r="M80" s="46" t="e">
        <f ca="1" t="shared" si="22"/>
        <v>#VALUE!</v>
      </c>
      <c r="N80" s="46" t="e">
        <f ca="1" t="shared" si="23"/>
        <v>#VALUE!</v>
      </c>
      <c r="O80" s="46">
        <v>4</v>
      </c>
      <c r="P80" s="46">
        <v>24</v>
      </c>
      <c r="Q80" s="46" t="e">
        <f ca="1" t="shared" si="26"/>
        <v>#VALUE!</v>
      </c>
      <c r="R80" s="46" t="e">
        <f ca="1">OFFSET([2]怪物强度模型!$K$1,MATCH(F80,[2]怪物强度模型!$A:$A,0)-1,0)</f>
        <v>#VALUE!</v>
      </c>
      <c r="S80" s="46" t="e">
        <f ca="1">OFFSET([2]怪物强度模型!$O$1,MATCH(F80,[2]怪物强度模型!$A:$A,0)-1,0)</f>
        <v>#VALUE!</v>
      </c>
      <c r="T80" s="47" t="e">
        <f ca="1" t="shared" si="27"/>
        <v>#VALUE!</v>
      </c>
      <c r="U80" s="47" t="e">
        <f ca="1">Q80+N80*$V$1/10000+$V$1*OFFSET(卡牌辅助配置表!$V$1,MATCH(C80,卡牌辅助配置表!U:U,0)-1,0)*5*P80/10000/10000+M80*$V$1/10000</f>
        <v>#VALUE!</v>
      </c>
      <c r="V80" s="46" t="e">
        <f ca="1">OFFSET([2]怪物强度模型!$I$1,MATCH(F80,[2]怪物强度模型!$A:$A,0)-1,0)</f>
        <v>#VALUE!</v>
      </c>
      <c r="W80" t="e">
        <f ca="1" t="shared" si="24"/>
        <v>#VALUE!</v>
      </c>
    </row>
    <row r="81" customFormat="1" spans="1:23">
      <c r="A81" s="45">
        <f t="shared" si="18"/>
        <v>2117</v>
      </c>
      <c r="B81" s="46" t="s">
        <v>2792</v>
      </c>
      <c r="C81" s="45">
        <v>2</v>
      </c>
      <c r="D81" s="1">
        <v>117</v>
      </c>
      <c r="E81" s="78"/>
      <c r="F81" s="46">
        <f t="shared" si="28"/>
        <v>2026</v>
      </c>
      <c r="G81" s="46">
        <v>2</v>
      </c>
      <c r="H81" s="46">
        <v>6</v>
      </c>
      <c r="I81" s="46">
        <v>10</v>
      </c>
      <c r="J81" s="46">
        <v>15</v>
      </c>
      <c r="K81" s="46" t="e">
        <f ca="1" t="shared" si="20"/>
        <v>#VALUE!</v>
      </c>
      <c r="L81" s="46" t="e">
        <f ca="1" t="shared" si="21"/>
        <v>#VALUE!</v>
      </c>
      <c r="M81" s="46" t="e">
        <f ca="1" t="shared" si="22"/>
        <v>#VALUE!</v>
      </c>
      <c r="N81" s="46" t="e">
        <f ca="1" t="shared" si="23"/>
        <v>#VALUE!</v>
      </c>
      <c r="O81" s="46">
        <v>4</v>
      </c>
      <c r="P81" s="46">
        <f t="shared" si="25"/>
        <v>26</v>
      </c>
      <c r="Q81" s="46" t="e">
        <f ca="1" t="shared" si="26"/>
        <v>#VALUE!</v>
      </c>
      <c r="R81" s="46" t="e">
        <f ca="1">OFFSET([2]怪物强度模型!$K$1,MATCH(F81,[2]怪物强度模型!$A:$A,0)-1,0)</f>
        <v>#VALUE!</v>
      </c>
      <c r="S81" s="46" t="e">
        <f ca="1">OFFSET([2]怪物强度模型!$O$1,MATCH(F81,[2]怪物强度模型!$A:$A,0)-1,0)</f>
        <v>#VALUE!</v>
      </c>
      <c r="T81" s="47" t="e">
        <f ca="1" t="shared" si="27"/>
        <v>#VALUE!</v>
      </c>
      <c r="U81" s="47" t="e">
        <f ca="1">Q81+N81*$V$1/10000+$V$1*OFFSET(卡牌辅助配置表!$V$1,MATCH(C81,卡牌辅助配置表!U:U,0)-1,0)*5*P81/10000/10000+M81*$V$1/10000</f>
        <v>#VALUE!</v>
      </c>
      <c r="V81" s="46" t="e">
        <f ca="1">OFFSET([2]怪物强度模型!$I$1,MATCH(F81,[2]怪物强度模型!$A:$A,0)-1,0)</f>
        <v>#VALUE!</v>
      </c>
      <c r="W81" t="e">
        <f ca="1" t="shared" si="24"/>
        <v>#VALUE!</v>
      </c>
    </row>
    <row r="82" customFormat="1" spans="1:23">
      <c r="A82" s="45">
        <f t="shared" si="18"/>
        <v>2118</v>
      </c>
      <c r="B82" s="46" t="s">
        <v>2792</v>
      </c>
      <c r="C82" s="45">
        <v>2</v>
      </c>
      <c r="D82" s="1">
        <v>118</v>
      </c>
      <c r="E82" s="78"/>
      <c r="F82" s="46">
        <f t="shared" si="28"/>
        <v>2025</v>
      </c>
      <c r="G82" s="46">
        <v>2.1</v>
      </c>
      <c r="H82" s="46">
        <v>6</v>
      </c>
      <c r="I82" s="46">
        <v>10</v>
      </c>
      <c r="J82" s="46">
        <v>15</v>
      </c>
      <c r="K82" s="46" t="e">
        <f ca="1" t="shared" si="20"/>
        <v>#VALUE!</v>
      </c>
      <c r="L82" s="46" t="e">
        <f ca="1" t="shared" si="21"/>
        <v>#VALUE!</v>
      </c>
      <c r="M82" s="46" t="e">
        <f ca="1" t="shared" si="22"/>
        <v>#VALUE!</v>
      </c>
      <c r="N82" s="46" t="e">
        <f ca="1" t="shared" si="23"/>
        <v>#VALUE!</v>
      </c>
      <c r="O82" s="46">
        <v>4</v>
      </c>
      <c r="P82" s="46">
        <f t="shared" si="25"/>
        <v>25</v>
      </c>
      <c r="Q82" s="46" t="e">
        <f ca="1" t="shared" si="26"/>
        <v>#VALUE!</v>
      </c>
      <c r="R82" s="46" t="e">
        <f ca="1">OFFSET([2]怪物强度模型!$K$1,MATCH(F82,[2]怪物强度模型!$A:$A,0)-1,0)</f>
        <v>#VALUE!</v>
      </c>
      <c r="S82" s="46" t="e">
        <f ca="1">OFFSET([2]怪物强度模型!$O$1,MATCH(F82,[2]怪物强度模型!$A:$A,0)-1,0)</f>
        <v>#VALUE!</v>
      </c>
      <c r="T82" s="47" t="e">
        <f ca="1" t="shared" si="27"/>
        <v>#VALUE!</v>
      </c>
      <c r="U82" s="47" t="e">
        <f ca="1">Q82+N82*$V$1/10000+$V$1*OFFSET(卡牌辅助配置表!$V$1,MATCH(C82,卡牌辅助配置表!U:U,0)-1,0)*5*P82/10000/10000+M82*$V$1/10000</f>
        <v>#VALUE!</v>
      </c>
      <c r="V82" s="46" t="e">
        <f ca="1">OFFSET([2]怪物强度模型!$I$1,MATCH(F82,[2]怪物强度模型!$A:$A,0)-1,0)</f>
        <v>#VALUE!</v>
      </c>
      <c r="W82" t="e">
        <f ca="1" t="shared" si="24"/>
        <v>#VALUE!</v>
      </c>
    </row>
    <row r="83" customFormat="1" spans="1:23">
      <c r="A83" s="45">
        <f t="shared" si="18"/>
        <v>2119</v>
      </c>
      <c r="B83" s="46" t="s">
        <v>2792</v>
      </c>
      <c r="C83" s="45">
        <v>2</v>
      </c>
      <c r="D83" s="95">
        <v>119</v>
      </c>
      <c r="E83" s="78"/>
      <c r="F83" s="46">
        <f t="shared" si="28"/>
        <v>2025</v>
      </c>
      <c r="G83" s="46">
        <v>2.2</v>
      </c>
      <c r="H83" s="46">
        <v>6</v>
      </c>
      <c r="I83" s="46">
        <v>10</v>
      </c>
      <c r="J83" s="46">
        <v>15</v>
      </c>
      <c r="K83" s="46" t="e">
        <f ca="1" t="shared" si="20"/>
        <v>#VALUE!</v>
      </c>
      <c r="L83" s="46" t="e">
        <f ca="1" t="shared" si="21"/>
        <v>#VALUE!</v>
      </c>
      <c r="M83" s="46" t="e">
        <f ca="1" t="shared" si="22"/>
        <v>#VALUE!</v>
      </c>
      <c r="N83" s="46" t="e">
        <f ca="1" t="shared" si="23"/>
        <v>#VALUE!</v>
      </c>
      <c r="O83" s="46">
        <v>4</v>
      </c>
      <c r="P83" s="46">
        <f t="shared" si="25"/>
        <v>25</v>
      </c>
      <c r="Q83" s="46" t="e">
        <f ca="1" t="shared" si="26"/>
        <v>#VALUE!</v>
      </c>
      <c r="R83" s="46" t="e">
        <f ca="1">OFFSET([2]怪物强度模型!$K$1,MATCH(F83,[2]怪物强度模型!$A:$A,0)-1,0)</f>
        <v>#VALUE!</v>
      </c>
      <c r="S83" s="46" t="e">
        <f ca="1">OFFSET([2]怪物强度模型!$O$1,MATCH(F83,[2]怪物强度模型!$A:$A,0)-1,0)</f>
        <v>#VALUE!</v>
      </c>
      <c r="T83" s="47" t="e">
        <f ca="1" t="shared" si="27"/>
        <v>#VALUE!</v>
      </c>
      <c r="U83" s="47" t="e">
        <f ca="1">Q83+N83*$V$1/10000+$V$1*OFFSET(卡牌辅助配置表!$V$1,MATCH(C83,卡牌辅助配置表!U:U,0)-1,0)*5*P83/10000/10000+M83*$V$1/10000</f>
        <v>#VALUE!</v>
      </c>
      <c r="V83" s="46" t="e">
        <f ca="1">OFFSET([2]怪物强度模型!$I$1,MATCH(F83,[2]怪物强度模型!$A:$A,0)-1,0)</f>
        <v>#VALUE!</v>
      </c>
      <c r="W83" t="e">
        <f ca="1" t="shared" si="24"/>
        <v>#VALUE!</v>
      </c>
    </row>
    <row r="84" customFormat="1" spans="1:23">
      <c r="A84" s="45">
        <f t="shared" si="18"/>
        <v>2120</v>
      </c>
      <c r="B84" s="46" t="s">
        <v>2792</v>
      </c>
      <c r="C84" s="45">
        <v>2</v>
      </c>
      <c r="D84" s="1">
        <v>120</v>
      </c>
      <c r="E84" s="78"/>
      <c r="F84" s="46">
        <f t="shared" si="28"/>
        <v>2027</v>
      </c>
      <c r="G84" s="46">
        <v>2</v>
      </c>
      <c r="H84" s="46">
        <v>6</v>
      </c>
      <c r="I84" s="46">
        <v>10</v>
      </c>
      <c r="J84" s="46">
        <v>15</v>
      </c>
      <c r="K84" s="46" t="e">
        <f ca="1" t="shared" si="20"/>
        <v>#VALUE!</v>
      </c>
      <c r="L84" s="46" t="e">
        <f ca="1" t="shared" si="21"/>
        <v>#VALUE!</v>
      </c>
      <c r="M84" s="46" t="e">
        <f ca="1" t="shared" si="22"/>
        <v>#VALUE!</v>
      </c>
      <c r="N84" s="46" t="e">
        <f ca="1" t="shared" si="23"/>
        <v>#VALUE!</v>
      </c>
      <c r="O84" s="46">
        <v>4</v>
      </c>
      <c r="P84" s="46">
        <f t="shared" si="25"/>
        <v>27</v>
      </c>
      <c r="Q84" s="46" t="e">
        <f ca="1" t="shared" si="26"/>
        <v>#VALUE!</v>
      </c>
      <c r="R84" s="46" t="e">
        <f ca="1">OFFSET([2]怪物强度模型!$K$1,MATCH(F84,[2]怪物强度模型!$A:$A,0)-1,0)</f>
        <v>#VALUE!</v>
      </c>
      <c r="S84" s="46" t="e">
        <f ca="1">OFFSET([2]怪物强度模型!$O$1,MATCH(F84,[2]怪物强度模型!$A:$A,0)-1,0)</f>
        <v>#VALUE!</v>
      </c>
      <c r="T84" s="47" t="e">
        <f ca="1" t="shared" si="27"/>
        <v>#VALUE!</v>
      </c>
      <c r="U84" s="47" t="e">
        <f ca="1">Q84+N84*$V$1/10000+$V$1*OFFSET(卡牌辅助配置表!$V$1,MATCH(C84,卡牌辅助配置表!U:U,0)-1,0)*5*P84/10000/10000+M84*$V$1/10000</f>
        <v>#VALUE!</v>
      </c>
      <c r="V84" s="46" t="e">
        <f ca="1">OFFSET([2]怪物强度模型!$I$1,MATCH(F84,[2]怪物强度模型!$A:$A,0)-1,0)</f>
        <v>#VALUE!</v>
      </c>
      <c r="W84" t="e">
        <f ca="1" t="shared" si="24"/>
        <v>#VALUE!</v>
      </c>
    </row>
    <row r="85" customFormat="1" spans="1:23">
      <c r="A85" s="45">
        <f t="shared" si="18"/>
        <v>2121</v>
      </c>
      <c r="B85" s="46" t="s">
        <v>2792</v>
      </c>
      <c r="C85" s="45">
        <v>2</v>
      </c>
      <c r="D85" s="1">
        <v>121</v>
      </c>
      <c r="E85" s="78"/>
      <c r="F85" s="46">
        <f t="shared" si="28"/>
        <v>2026</v>
      </c>
      <c r="G85" s="46">
        <v>2.1</v>
      </c>
      <c r="H85" s="46">
        <v>6</v>
      </c>
      <c r="I85" s="46">
        <v>10</v>
      </c>
      <c r="J85" s="46">
        <v>15</v>
      </c>
      <c r="K85" s="46" t="e">
        <f ca="1" t="shared" si="20"/>
        <v>#VALUE!</v>
      </c>
      <c r="L85" s="46" t="e">
        <f ca="1" t="shared" si="21"/>
        <v>#VALUE!</v>
      </c>
      <c r="M85" s="46" t="e">
        <f ca="1" t="shared" si="22"/>
        <v>#VALUE!</v>
      </c>
      <c r="N85" s="46" t="e">
        <f ca="1" t="shared" si="23"/>
        <v>#VALUE!</v>
      </c>
      <c r="O85" s="46">
        <v>4</v>
      </c>
      <c r="P85" s="46">
        <f t="shared" si="25"/>
        <v>26</v>
      </c>
      <c r="Q85" s="46" t="e">
        <f ca="1" t="shared" si="26"/>
        <v>#VALUE!</v>
      </c>
      <c r="R85" s="46" t="e">
        <f ca="1">OFFSET([2]怪物强度模型!$K$1,MATCH(F85,[2]怪物强度模型!$A:$A,0)-1,0)</f>
        <v>#VALUE!</v>
      </c>
      <c r="S85" s="46" t="e">
        <f ca="1">OFFSET([2]怪物强度模型!$O$1,MATCH(F85,[2]怪物强度模型!$A:$A,0)-1,0)</f>
        <v>#VALUE!</v>
      </c>
      <c r="T85" s="47" t="e">
        <f ca="1" t="shared" si="27"/>
        <v>#VALUE!</v>
      </c>
      <c r="U85" s="47" t="e">
        <f ca="1">Q85+N85*$V$1/10000+$V$1*OFFSET(卡牌辅助配置表!$V$1,MATCH(C85,卡牌辅助配置表!U:U,0)-1,0)*5*P85/10000/10000+M85*$V$1/10000</f>
        <v>#VALUE!</v>
      </c>
      <c r="V85" s="46" t="e">
        <f ca="1">OFFSET([2]怪物强度模型!$I$1,MATCH(F85,[2]怪物强度模型!$A:$A,0)-1,0)</f>
        <v>#VALUE!</v>
      </c>
      <c r="W85" t="e">
        <f ca="1" t="shared" si="24"/>
        <v>#VALUE!</v>
      </c>
    </row>
    <row r="86" customFormat="1" spans="1:23">
      <c r="A86" s="45">
        <f t="shared" si="18"/>
        <v>2122</v>
      </c>
      <c r="B86" s="46" t="s">
        <v>2792</v>
      </c>
      <c r="C86" s="45">
        <v>2</v>
      </c>
      <c r="D86" s="1">
        <v>122</v>
      </c>
      <c r="E86" s="78"/>
      <c r="F86" s="46">
        <f t="shared" si="28"/>
        <v>2026</v>
      </c>
      <c r="G86" s="46">
        <v>2.2</v>
      </c>
      <c r="H86" s="46">
        <v>6</v>
      </c>
      <c r="I86" s="46">
        <v>10</v>
      </c>
      <c r="J86" s="46">
        <v>15</v>
      </c>
      <c r="K86" s="46" t="e">
        <f ca="1" t="shared" si="20"/>
        <v>#VALUE!</v>
      </c>
      <c r="L86" s="46" t="e">
        <f ca="1" t="shared" si="21"/>
        <v>#VALUE!</v>
      </c>
      <c r="M86" s="46" t="e">
        <f ca="1" t="shared" si="22"/>
        <v>#VALUE!</v>
      </c>
      <c r="N86" s="46" t="e">
        <f ca="1" t="shared" si="23"/>
        <v>#VALUE!</v>
      </c>
      <c r="O86" s="46">
        <v>4</v>
      </c>
      <c r="P86" s="46">
        <f t="shared" si="25"/>
        <v>26</v>
      </c>
      <c r="Q86" s="46" t="e">
        <f ca="1" t="shared" si="26"/>
        <v>#VALUE!</v>
      </c>
      <c r="R86" s="46" t="e">
        <f ca="1">OFFSET([2]怪物强度模型!$K$1,MATCH(F86,[2]怪物强度模型!$A:$A,0)-1,0)</f>
        <v>#VALUE!</v>
      </c>
      <c r="S86" s="46" t="e">
        <f ca="1">OFFSET([2]怪物强度模型!$O$1,MATCH(F86,[2]怪物强度模型!$A:$A,0)-1,0)</f>
        <v>#VALUE!</v>
      </c>
      <c r="T86" s="47" t="e">
        <f ca="1" t="shared" si="27"/>
        <v>#VALUE!</v>
      </c>
      <c r="U86" s="47" t="e">
        <f ca="1">Q86+N86*$V$1/10000+$V$1*OFFSET(卡牌辅助配置表!$V$1,MATCH(C86,卡牌辅助配置表!U:U,0)-1,0)*5*P86/10000/10000+M86*$V$1/10000</f>
        <v>#VALUE!</v>
      </c>
      <c r="V86" s="46" t="e">
        <f ca="1">OFFSET([2]怪物强度模型!$I$1,MATCH(F86,[2]怪物强度模型!$A:$A,0)-1,0)</f>
        <v>#VALUE!</v>
      </c>
      <c r="W86" t="e">
        <f ca="1" t="shared" si="24"/>
        <v>#VALUE!</v>
      </c>
    </row>
    <row r="87" customFormat="1" spans="1:23">
      <c r="A87" s="45">
        <f t="shared" si="18"/>
        <v>2123</v>
      </c>
      <c r="B87" s="46" t="s">
        <v>2792</v>
      </c>
      <c r="C87" s="45">
        <v>2</v>
      </c>
      <c r="D87" s="1">
        <v>123</v>
      </c>
      <c r="E87" s="78"/>
      <c r="F87" s="46">
        <f t="shared" si="28"/>
        <v>2028</v>
      </c>
      <c r="G87" s="46">
        <v>2</v>
      </c>
      <c r="H87" s="46">
        <v>6</v>
      </c>
      <c r="I87" s="46">
        <v>10</v>
      </c>
      <c r="J87" s="46">
        <v>15</v>
      </c>
      <c r="K87" s="46" t="e">
        <f ca="1" t="shared" si="20"/>
        <v>#VALUE!</v>
      </c>
      <c r="L87" s="46" t="e">
        <f ca="1" t="shared" si="21"/>
        <v>#VALUE!</v>
      </c>
      <c r="M87" s="46" t="e">
        <f ca="1" t="shared" si="22"/>
        <v>#VALUE!</v>
      </c>
      <c r="N87" s="46" t="e">
        <f ca="1" t="shared" si="23"/>
        <v>#VALUE!</v>
      </c>
      <c r="O87" s="46">
        <v>4</v>
      </c>
      <c r="P87" s="46">
        <f t="shared" si="25"/>
        <v>28</v>
      </c>
      <c r="Q87" s="46" t="e">
        <f ca="1" t="shared" si="26"/>
        <v>#VALUE!</v>
      </c>
      <c r="R87" s="46" t="e">
        <f ca="1">OFFSET([2]怪物强度模型!$K$1,MATCH(F87,[2]怪物强度模型!$A:$A,0)-1,0)</f>
        <v>#VALUE!</v>
      </c>
      <c r="S87" s="46" t="e">
        <f ca="1">OFFSET([2]怪物强度模型!$O$1,MATCH(F87,[2]怪物强度模型!$A:$A,0)-1,0)</f>
        <v>#VALUE!</v>
      </c>
      <c r="T87" s="47" t="e">
        <f ca="1" t="shared" si="27"/>
        <v>#VALUE!</v>
      </c>
      <c r="U87" s="47" t="e">
        <f ca="1">Q87+N87*$V$1/10000+$V$1*OFFSET(卡牌辅助配置表!$V$1,MATCH(C87,卡牌辅助配置表!U:U,0)-1,0)*5*P87/10000/10000+M87*$V$1/10000</f>
        <v>#VALUE!</v>
      </c>
      <c r="V87" s="46" t="e">
        <f ca="1">OFFSET([2]怪物强度模型!$I$1,MATCH(F87,[2]怪物强度模型!$A:$A,0)-1,0)</f>
        <v>#VALUE!</v>
      </c>
      <c r="W87" t="e">
        <f ca="1" t="shared" si="24"/>
        <v>#VALUE!</v>
      </c>
    </row>
    <row r="88" customFormat="1" spans="1:23">
      <c r="A88" s="45">
        <f t="shared" si="18"/>
        <v>2124</v>
      </c>
      <c r="B88" s="46" t="s">
        <v>2792</v>
      </c>
      <c r="C88" s="45">
        <v>2</v>
      </c>
      <c r="D88" s="1">
        <v>124</v>
      </c>
      <c r="E88" s="78"/>
      <c r="F88" s="46">
        <f t="shared" si="28"/>
        <v>2027</v>
      </c>
      <c r="G88" s="46">
        <v>2.1</v>
      </c>
      <c r="H88" s="46">
        <v>6</v>
      </c>
      <c r="I88" s="46">
        <v>10</v>
      </c>
      <c r="J88" s="46">
        <v>15</v>
      </c>
      <c r="K88" s="46" t="e">
        <f ca="1" t="shared" si="20"/>
        <v>#VALUE!</v>
      </c>
      <c r="L88" s="46" t="e">
        <f ca="1" t="shared" si="21"/>
        <v>#VALUE!</v>
      </c>
      <c r="M88" s="46" t="e">
        <f ca="1" t="shared" si="22"/>
        <v>#VALUE!</v>
      </c>
      <c r="N88" s="46" t="e">
        <f ca="1" t="shared" si="23"/>
        <v>#VALUE!</v>
      </c>
      <c r="O88" s="46">
        <v>4</v>
      </c>
      <c r="P88" s="46">
        <f t="shared" si="25"/>
        <v>27</v>
      </c>
      <c r="Q88" s="46" t="e">
        <f ca="1" t="shared" si="26"/>
        <v>#VALUE!</v>
      </c>
      <c r="R88" s="46" t="e">
        <f ca="1">OFFSET([2]怪物强度模型!$K$1,MATCH(F88,[2]怪物强度模型!$A:$A,0)-1,0)</f>
        <v>#VALUE!</v>
      </c>
      <c r="S88" s="46" t="e">
        <f ca="1">OFFSET([2]怪物强度模型!$O$1,MATCH(F88,[2]怪物强度模型!$A:$A,0)-1,0)</f>
        <v>#VALUE!</v>
      </c>
      <c r="T88" s="47" t="e">
        <f ca="1" t="shared" si="27"/>
        <v>#VALUE!</v>
      </c>
      <c r="U88" s="47" t="e">
        <f ca="1">Q88+N88*$V$1/10000+$V$1*OFFSET(卡牌辅助配置表!$V$1,MATCH(C88,卡牌辅助配置表!U:U,0)-1,0)*5*P88/10000/10000+M88*$V$1/10000</f>
        <v>#VALUE!</v>
      </c>
      <c r="V88" s="46" t="e">
        <f ca="1">OFFSET([2]怪物强度模型!$I$1,MATCH(F88,[2]怪物强度模型!$A:$A,0)-1,0)</f>
        <v>#VALUE!</v>
      </c>
      <c r="W88" t="e">
        <f ca="1" t="shared" si="24"/>
        <v>#VALUE!</v>
      </c>
    </row>
    <row r="89" customFormat="1" spans="1:23">
      <c r="A89" s="45">
        <f t="shared" si="18"/>
        <v>2125</v>
      </c>
      <c r="B89" s="46" t="s">
        <v>2792</v>
      </c>
      <c r="C89" s="45">
        <v>2</v>
      </c>
      <c r="D89" s="1">
        <v>125</v>
      </c>
      <c r="E89" s="78"/>
      <c r="F89" s="46">
        <f t="shared" si="28"/>
        <v>2027</v>
      </c>
      <c r="G89" s="46">
        <v>2.2</v>
      </c>
      <c r="H89" s="46">
        <v>6</v>
      </c>
      <c r="I89" s="46">
        <v>10</v>
      </c>
      <c r="J89" s="46">
        <v>15</v>
      </c>
      <c r="K89" s="46" t="e">
        <f ca="1" t="shared" si="20"/>
        <v>#VALUE!</v>
      </c>
      <c r="L89" s="46" t="e">
        <f ca="1" t="shared" si="21"/>
        <v>#VALUE!</v>
      </c>
      <c r="M89" s="46" t="e">
        <f ca="1" t="shared" si="22"/>
        <v>#VALUE!</v>
      </c>
      <c r="N89" s="46" t="e">
        <f ca="1" t="shared" si="23"/>
        <v>#VALUE!</v>
      </c>
      <c r="O89" s="46">
        <v>4</v>
      </c>
      <c r="P89" s="46">
        <f t="shared" si="25"/>
        <v>27</v>
      </c>
      <c r="Q89" s="46" t="e">
        <f ca="1" t="shared" si="26"/>
        <v>#VALUE!</v>
      </c>
      <c r="R89" s="46" t="e">
        <f ca="1">OFFSET([2]怪物强度模型!$K$1,MATCH(F89,[2]怪物强度模型!$A:$A,0)-1,0)</f>
        <v>#VALUE!</v>
      </c>
      <c r="S89" s="46" t="e">
        <f ca="1">OFFSET([2]怪物强度模型!$O$1,MATCH(F89,[2]怪物强度模型!$A:$A,0)-1,0)</f>
        <v>#VALUE!</v>
      </c>
      <c r="T89" s="47" t="e">
        <f ca="1" t="shared" si="27"/>
        <v>#VALUE!</v>
      </c>
      <c r="U89" s="47" t="e">
        <f ca="1">Q89+N89*$V$1/10000+$V$1*OFFSET(卡牌辅助配置表!$V$1,MATCH(C89,卡牌辅助配置表!U:U,0)-1,0)*5*P89/10000/10000+M89*$V$1/10000</f>
        <v>#VALUE!</v>
      </c>
      <c r="V89" s="46" t="e">
        <f ca="1">OFFSET([2]怪物强度模型!$I$1,MATCH(F89,[2]怪物强度模型!$A:$A,0)-1,0)</f>
        <v>#VALUE!</v>
      </c>
      <c r="W89" t="e">
        <f ca="1" t="shared" si="24"/>
        <v>#VALUE!</v>
      </c>
    </row>
    <row r="90" customFormat="1" spans="1:23">
      <c r="A90" s="45">
        <f t="shared" si="18"/>
        <v>2126</v>
      </c>
      <c r="B90" s="46" t="s">
        <v>2792</v>
      </c>
      <c r="C90" s="45">
        <v>2</v>
      </c>
      <c r="D90" s="1">
        <v>126</v>
      </c>
      <c r="E90" s="78"/>
      <c r="F90" s="46">
        <f t="shared" si="28"/>
        <v>2029</v>
      </c>
      <c r="G90" s="46">
        <v>2</v>
      </c>
      <c r="H90" s="46">
        <v>6</v>
      </c>
      <c r="I90" s="46">
        <v>10</v>
      </c>
      <c r="J90" s="46">
        <v>15</v>
      </c>
      <c r="K90" s="46" t="e">
        <f ca="1" t="shared" si="20"/>
        <v>#VALUE!</v>
      </c>
      <c r="L90" s="46" t="e">
        <f ca="1" t="shared" si="21"/>
        <v>#VALUE!</v>
      </c>
      <c r="M90" s="46" t="e">
        <f ca="1" t="shared" si="22"/>
        <v>#VALUE!</v>
      </c>
      <c r="N90" s="46" t="e">
        <f ca="1" t="shared" si="23"/>
        <v>#VALUE!</v>
      </c>
      <c r="O90" s="46">
        <v>4</v>
      </c>
      <c r="P90" s="46">
        <f t="shared" si="25"/>
        <v>29</v>
      </c>
      <c r="Q90" s="46" t="e">
        <f ca="1" t="shared" si="26"/>
        <v>#VALUE!</v>
      </c>
      <c r="R90" s="46" t="e">
        <f ca="1">OFFSET([2]怪物强度模型!$K$1,MATCH(F90,[2]怪物强度模型!$A:$A,0)-1,0)</f>
        <v>#VALUE!</v>
      </c>
      <c r="S90" s="46" t="e">
        <f ca="1">OFFSET([2]怪物强度模型!$O$1,MATCH(F90,[2]怪物强度模型!$A:$A,0)-1,0)</f>
        <v>#VALUE!</v>
      </c>
      <c r="T90" s="47" t="e">
        <f ca="1" t="shared" si="27"/>
        <v>#VALUE!</v>
      </c>
      <c r="U90" s="47" t="e">
        <f ca="1">Q90+N90*$V$1/10000+$V$1*OFFSET(卡牌辅助配置表!$V$1,MATCH(C90,卡牌辅助配置表!U:U,0)-1,0)*5*P90/10000/10000+M90*$V$1/10000</f>
        <v>#VALUE!</v>
      </c>
      <c r="V90" s="46" t="e">
        <f ca="1">OFFSET([2]怪物强度模型!$I$1,MATCH(F90,[2]怪物强度模型!$A:$A,0)-1,0)</f>
        <v>#VALUE!</v>
      </c>
      <c r="W90" t="e">
        <f ca="1" t="shared" si="24"/>
        <v>#VALUE!</v>
      </c>
    </row>
    <row r="91" customFormat="1" spans="1:23">
      <c r="A91" s="45">
        <f t="shared" si="18"/>
        <v>2127</v>
      </c>
      <c r="B91" s="46" t="s">
        <v>2792</v>
      </c>
      <c r="C91" s="45">
        <v>2</v>
      </c>
      <c r="D91" s="1">
        <v>127</v>
      </c>
      <c r="E91" s="78"/>
      <c r="F91" s="46">
        <f t="shared" si="28"/>
        <v>2028</v>
      </c>
      <c r="G91" s="46">
        <v>2.1</v>
      </c>
      <c r="H91" s="46">
        <v>6</v>
      </c>
      <c r="I91" s="46">
        <v>10</v>
      </c>
      <c r="J91" s="46">
        <v>15</v>
      </c>
      <c r="K91" s="46" t="e">
        <f ca="1" t="shared" si="20"/>
        <v>#VALUE!</v>
      </c>
      <c r="L91" s="46" t="e">
        <f ca="1" t="shared" si="21"/>
        <v>#VALUE!</v>
      </c>
      <c r="M91" s="46" t="e">
        <f ca="1" t="shared" si="22"/>
        <v>#VALUE!</v>
      </c>
      <c r="N91" s="46" t="e">
        <f ca="1" t="shared" si="23"/>
        <v>#VALUE!</v>
      </c>
      <c r="O91" s="46">
        <v>4</v>
      </c>
      <c r="P91" s="46">
        <f t="shared" si="25"/>
        <v>28</v>
      </c>
      <c r="Q91" s="46" t="e">
        <f ca="1" t="shared" si="26"/>
        <v>#VALUE!</v>
      </c>
      <c r="R91" s="46" t="e">
        <f ca="1">OFFSET([2]怪物强度模型!$K$1,MATCH(F91,[2]怪物强度模型!$A:$A,0)-1,0)</f>
        <v>#VALUE!</v>
      </c>
      <c r="S91" s="46" t="e">
        <f ca="1">OFFSET([2]怪物强度模型!$O$1,MATCH(F91,[2]怪物强度模型!$A:$A,0)-1,0)</f>
        <v>#VALUE!</v>
      </c>
      <c r="T91" s="47" t="e">
        <f ca="1" t="shared" si="27"/>
        <v>#VALUE!</v>
      </c>
      <c r="U91" s="47" t="e">
        <f ca="1">Q91+N91*$V$1/10000+$V$1*OFFSET(卡牌辅助配置表!$V$1,MATCH(C91,卡牌辅助配置表!U:U,0)-1,0)*5*P91/10000/10000+M91*$V$1/10000</f>
        <v>#VALUE!</v>
      </c>
      <c r="V91" s="46" t="e">
        <f ca="1">OFFSET([2]怪物强度模型!$I$1,MATCH(F91,[2]怪物强度模型!$A:$A,0)-1,0)</f>
        <v>#VALUE!</v>
      </c>
      <c r="W91" t="e">
        <f ca="1" t="shared" si="24"/>
        <v>#VALUE!</v>
      </c>
    </row>
    <row r="92" customFormat="1" spans="1:23">
      <c r="A92" s="45">
        <f t="shared" si="18"/>
        <v>2128</v>
      </c>
      <c r="B92" s="46" t="s">
        <v>2792</v>
      </c>
      <c r="C92" s="45">
        <v>2</v>
      </c>
      <c r="D92" s="1">
        <v>128</v>
      </c>
      <c r="E92" s="78"/>
      <c r="F92" s="46">
        <f t="shared" si="28"/>
        <v>2028</v>
      </c>
      <c r="G92" s="46">
        <v>2.2</v>
      </c>
      <c r="H92" s="46">
        <v>6</v>
      </c>
      <c r="I92" s="46">
        <v>10</v>
      </c>
      <c r="J92" s="46">
        <v>15</v>
      </c>
      <c r="K92" s="46" t="e">
        <f ca="1" t="shared" si="20"/>
        <v>#VALUE!</v>
      </c>
      <c r="L92" s="46" t="e">
        <f ca="1" t="shared" si="21"/>
        <v>#VALUE!</v>
      </c>
      <c r="M92" s="46" t="e">
        <f ca="1" t="shared" si="22"/>
        <v>#VALUE!</v>
      </c>
      <c r="N92" s="46" t="e">
        <f ca="1" t="shared" si="23"/>
        <v>#VALUE!</v>
      </c>
      <c r="O92" s="46">
        <v>4</v>
      </c>
      <c r="P92" s="46">
        <f t="shared" si="25"/>
        <v>28</v>
      </c>
      <c r="Q92" s="46" t="e">
        <f ca="1" t="shared" si="26"/>
        <v>#VALUE!</v>
      </c>
      <c r="R92" s="46" t="e">
        <f ca="1">OFFSET([2]怪物强度模型!$K$1,MATCH(F92,[2]怪物强度模型!$A:$A,0)-1,0)</f>
        <v>#VALUE!</v>
      </c>
      <c r="S92" s="46" t="e">
        <f ca="1">OFFSET([2]怪物强度模型!$O$1,MATCH(F92,[2]怪物强度模型!$A:$A,0)-1,0)</f>
        <v>#VALUE!</v>
      </c>
      <c r="T92" s="47" t="e">
        <f ca="1" t="shared" si="27"/>
        <v>#VALUE!</v>
      </c>
      <c r="U92" s="47" t="e">
        <f ca="1">Q92+N92*$V$1/10000+$V$1*OFFSET(卡牌辅助配置表!$V$1,MATCH(C92,卡牌辅助配置表!U:U,0)-1,0)*5*P92/10000/10000+M92*$V$1/10000</f>
        <v>#VALUE!</v>
      </c>
      <c r="V92" s="46" t="e">
        <f ca="1">OFFSET([2]怪物强度模型!$I$1,MATCH(F92,[2]怪物强度模型!$A:$A,0)-1,0)</f>
        <v>#VALUE!</v>
      </c>
      <c r="W92" t="e">
        <f ca="1" t="shared" si="24"/>
        <v>#VALUE!</v>
      </c>
    </row>
    <row r="93" customFormat="1" spans="1:23">
      <c r="A93" s="45">
        <f t="shared" si="18"/>
        <v>2129</v>
      </c>
      <c r="B93" s="46" t="s">
        <v>2792</v>
      </c>
      <c r="C93" s="45">
        <v>2</v>
      </c>
      <c r="D93" s="1">
        <v>129</v>
      </c>
      <c r="E93" s="78"/>
      <c r="F93" s="46">
        <f t="shared" si="28"/>
        <v>2030</v>
      </c>
      <c r="G93" s="46">
        <v>2.1</v>
      </c>
      <c r="H93" s="46">
        <v>6</v>
      </c>
      <c r="I93" s="46">
        <v>10</v>
      </c>
      <c r="J93" s="46">
        <v>15</v>
      </c>
      <c r="K93" s="46" t="e">
        <f ca="1" t="shared" si="20"/>
        <v>#VALUE!</v>
      </c>
      <c r="L93" s="46" t="e">
        <f ca="1" t="shared" si="21"/>
        <v>#VALUE!</v>
      </c>
      <c r="M93" s="46" t="e">
        <f ca="1" t="shared" si="22"/>
        <v>#VALUE!</v>
      </c>
      <c r="N93" s="46" t="e">
        <f ca="1" t="shared" si="23"/>
        <v>#VALUE!</v>
      </c>
      <c r="O93" s="46">
        <v>4</v>
      </c>
      <c r="P93" s="46">
        <f t="shared" si="25"/>
        <v>30</v>
      </c>
      <c r="Q93" s="46" t="e">
        <f ca="1" t="shared" si="26"/>
        <v>#VALUE!</v>
      </c>
      <c r="R93" s="46" t="e">
        <f ca="1">OFFSET([2]怪物强度模型!$K$1,MATCH(F93,[2]怪物强度模型!$A:$A,0)-1,0)</f>
        <v>#VALUE!</v>
      </c>
      <c r="S93" s="46" t="e">
        <f ca="1">OFFSET([2]怪物强度模型!$O$1,MATCH(F93,[2]怪物强度模型!$A:$A,0)-1,0)</f>
        <v>#VALUE!</v>
      </c>
      <c r="T93" s="47" t="e">
        <f ca="1" t="shared" si="27"/>
        <v>#VALUE!</v>
      </c>
      <c r="U93" s="47" t="e">
        <f ca="1">Q93+N93*$V$1/10000+$V$1*OFFSET(卡牌辅助配置表!$V$1,MATCH(C93,卡牌辅助配置表!U:U,0)-1,0)*5*P93/10000/10000+M93*$V$1/10000</f>
        <v>#VALUE!</v>
      </c>
      <c r="V93" s="46" t="e">
        <f ca="1">OFFSET([2]怪物强度模型!$I$1,MATCH(F93,[2]怪物强度模型!$A:$A,0)-1,0)</f>
        <v>#VALUE!</v>
      </c>
      <c r="W93" t="e">
        <f ca="1" t="shared" si="24"/>
        <v>#VALUE!</v>
      </c>
    </row>
    <row r="94" customFormat="1" spans="1:23">
      <c r="A94" s="45">
        <f t="shared" si="18"/>
        <v>2130</v>
      </c>
      <c r="B94" s="46" t="s">
        <v>2792</v>
      </c>
      <c r="C94" s="45">
        <v>2</v>
      </c>
      <c r="D94" s="1">
        <v>130</v>
      </c>
      <c r="E94" s="78"/>
      <c r="F94" s="46">
        <f t="shared" si="28"/>
        <v>2029</v>
      </c>
      <c r="G94" s="46">
        <v>2.2</v>
      </c>
      <c r="H94" s="46">
        <v>6</v>
      </c>
      <c r="I94" s="46">
        <v>10</v>
      </c>
      <c r="J94" s="46">
        <v>15</v>
      </c>
      <c r="K94" s="46" t="e">
        <f ca="1" t="shared" si="20"/>
        <v>#VALUE!</v>
      </c>
      <c r="L94" s="46" t="e">
        <f ca="1" t="shared" si="21"/>
        <v>#VALUE!</v>
      </c>
      <c r="M94" s="46" t="e">
        <f ca="1" t="shared" si="22"/>
        <v>#VALUE!</v>
      </c>
      <c r="N94" s="46" t="e">
        <f ca="1" t="shared" si="23"/>
        <v>#VALUE!</v>
      </c>
      <c r="O94" s="46">
        <v>4</v>
      </c>
      <c r="P94" s="46">
        <f t="shared" si="25"/>
        <v>29</v>
      </c>
      <c r="Q94" s="46" t="e">
        <f ca="1" t="shared" si="26"/>
        <v>#VALUE!</v>
      </c>
      <c r="R94" s="46" t="e">
        <f ca="1">OFFSET([2]怪物强度模型!$K$1,MATCH(F94,[2]怪物强度模型!$A:$A,0)-1,0)</f>
        <v>#VALUE!</v>
      </c>
      <c r="S94" s="46" t="e">
        <f ca="1">OFFSET([2]怪物强度模型!$O$1,MATCH(F94,[2]怪物强度模型!$A:$A,0)-1,0)</f>
        <v>#VALUE!</v>
      </c>
      <c r="T94" s="47" t="e">
        <f ca="1" t="shared" si="27"/>
        <v>#VALUE!</v>
      </c>
      <c r="U94" s="47" t="e">
        <f ca="1">Q94+N94*$V$1/10000+$V$1*OFFSET(卡牌辅助配置表!$V$1,MATCH(C94,卡牌辅助配置表!U:U,0)-1,0)*5*P94/10000/10000+M94*$V$1/10000</f>
        <v>#VALUE!</v>
      </c>
      <c r="V94" s="46" t="e">
        <f ca="1">OFFSET([2]怪物强度模型!$I$1,MATCH(F94,[2]怪物强度模型!$A:$A,0)-1,0)</f>
        <v>#VALUE!</v>
      </c>
      <c r="W94" t="e">
        <f ca="1" t="shared" si="24"/>
        <v>#VALUE!</v>
      </c>
    </row>
    <row r="95" customFormat="1" spans="1:23">
      <c r="A95" s="45">
        <f t="shared" si="18"/>
        <v>2131</v>
      </c>
      <c r="B95" s="46" t="s">
        <v>2792</v>
      </c>
      <c r="C95" s="45">
        <v>2</v>
      </c>
      <c r="D95" s="1">
        <v>131</v>
      </c>
      <c r="E95" s="78"/>
      <c r="F95" s="46">
        <f t="shared" si="28"/>
        <v>2029</v>
      </c>
      <c r="G95" s="46">
        <v>2.3</v>
      </c>
      <c r="H95" s="46">
        <v>6</v>
      </c>
      <c r="I95" s="46">
        <v>10</v>
      </c>
      <c r="J95" s="46">
        <v>15</v>
      </c>
      <c r="K95" s="46" t="e">
        <f ca="1" t="shared" si="20"/>
        <v>#VALUE!</v>
      </c>
      <c r="L95" s="46" t="e">
        <f ca="1" t="shared" si="21"/>
        <v>#VALUE!</v>
      </c>
      <c r="M95" s="46" t="e">
        <f ca="1" t="shared" si="22"/>
        <v>#VALUE!</v>
      </c>
      <c r="N95" s="46" t="e">
        <f ca="1" t="shared" si="23"/>
        <v>#VALUE!</v>
      </c>
      <c r="O95" s="46">
        <v>4</v>
      </c>
      <c r="P95" s="46">
        <f t="shared" si="25"/>
        <v>29</v>
      </c>
      <c r="Q95" s="46" t="e">
        <f ca="1" t="shared" si="26"/>
        <v>#VALUE!</v>
      </c>
      <c r="R95" s="46" t="e">
        <f ca="1">OFFSET([2]怪物强度模型!$K$1,MATCH(F95,[2]怪物强度模型!$A:$A,0)-1,0)</f>
        <v>#VALUE!</v>
      </c>
      <c r="S95" s="46" t="e">
        <f ca="1">OFFSET([2]怪物强度模型!$O$1,MATCH(F95,[2]怪物强度模型!$A:$A,0)-1,0)</f>
        <v>#VALUE!</v>
      </c>
      <c r="T95" s="47" t="e">
        <f ca="1" t="shared" si="27"/>
        <v>#VALUE!</v>
      </c>
      <c r="U95" s="47" t="e">
        <f ca="1">Q95+N95*$V$1/10000+$V$1*OFFSET(卡牌辅助配置表!$V$1,MATCH(C95,卡牌辅助配置表!U:U,0)-1,0)*5*P95/10000/10000+M95*$V$1/10000</f>
        <v>#VALUE!</v>
      </c>
      <c r="V95" s="46" t="e">
        <f ca="1">OFFSET([2]怪物强度模型!$I$1,MATCH(F95,[2]怪物强度模型!$A:$A,0)-1,0)</f>
        <v>#VALUE!</v>
      </c>
      <c r="W95" t="e">
        <f ca="1" t="shared" si="24"/>
        <v>#VALUE!</v>
      </c>
    </row>
    <row r="96" customFormat="1" spans="1:23">
      <c r="A96" s="45">
        <f t="shared" si="18"/>
        <v>2132</v>
      </c>
      <c r="B96" s="46" t="s">
        <v>2792</v>
      </c>
      <c r="C96" s="45">
        <v>2</v>
      </c>
      <c r="D96" s="1">
        <v>132</v>
      </c>
      <c r="E96" s="78"/>
      <c r="F96" s="46">
        <f t="shared" si="28"/>
        <v>2029</v>
      </c>
      <c r="G96" s="46">
        <v>2.1</v>
      </c>
      <c r="H96" s="46">
        <v>6</v>
      </c>
      <c r="I96" s="46">
        <v>10</v>
      </c>
      <c r="J96" s="46">
        <v>15</v>
      </c>
      <c r="K96" s="46" t="e">
        <f ca="1" t="shared" si="20"/>
        <v>#VALUE!</v>
      </c>
      <c r="L96" s="46" t="e">
        <f ca="1" t="shared" si="21"/>
        <v>#VALUE!</v>
      </c>
      <c r="M96" s="46" t="e">
        <f ca="1" t="shared" si="22"/>
        <v>#VALUE!</v>
      </c>
      <c r="N96" s="46" t="e">
        <f ca="1" t="shared" si="23"/>
        <v>#VALUE!</v>
      </c>
      <c r="O96" s="46">
        <v>4</v>
      </c>
      <c r="P96" s="46">
        <v>29</v>
      </c>
      <c r="Q96" s="46" t="e">
        <f ca="1" t="shared" si="26"/>
        <v>#VALUE!</v>
      </c>
      <c r="R96" s="46" t="e">
        <f ca="1">OFFSET([2]怪物强度模型!$K$1,MATCH(F96,[2]怪物强度模型!$A:$A,0)-1,0)</f>
        <v>#VALUE!</v>
      </c>
      <c r="S96" s="46" t="e">
        <f ca="1">OFFSET([2]怪物强度模型!$O$1,MATCH(F96,[2]怪物强度模型!$A:$A,0)-1,0)</f>
        <v>#VALUE!</v>
      </c>
      <c r="T96" s="47" t="e">
        <f ca="1" t="shared" si="27"/>
        <v>#VALUE!</v>
      </c>
      <c r="U96" s="47" t="e">
        <f ca="1">Q96+N96*$V$1/10000+$V$1*OFFSET(卡牌辅助配置表!$V$1,MATCH(C96,卡牌辅助配置表!U:U,0)-1,0)*5*P96/10000/10000+M96*$V$1/10000</f>
        <v>#VALUE!</v>
      </c>
      <c r="V96" s="46" t="e">
        <f ca="1">OFFSET([2]怪物强度模型!$I$1,MATCH(F96,[2]怪物强度模型!$A:$A,0)-1,0)</f>
        <v>#VALUE!</v>
      </c>
      <c r="W96" t="e">
        <f ca="1" t="shared" si="24"/>
        <v>#VALUE!</v>
      </c>
    </row>
    <row r="97" customFormat="1" spans="1:23">
      <c r="A97" s="45">
        <f t="shared" si="18"/>
        <v>2133</v>
      </c>
      <c r="B97" s="46" t="s">
        <v>2792</v>
      </c>
      <c r="C97" s="45">
        <v>2</v>
      </c>
      <c r="D97" s="1">
        <v>133</v>
      </c>
      <c r="E97" s="78"/>
      <c r="F97" s="46">
        <f t="shared" si="28"/>
        <v>2030</v>
      </c>
      <c r="G97" s="46">
        <v>2.2</v>
      </c>
      <c r="H97" s="46">
        <v>6</v>
      </c>
      <c r="I97" s="46">
        <v>10</v>
      </c>
      <c r="J97" s="46">
        <v>15</v>
      </c>
      <c r="K97" s="46" t="e">
        <f ca="1" t="shared" si="20"/>
        <v>#VALUE!</v>
      </c>
      <c r="L97" s="46" t="e">
        <f ca="1" t="shared" si="21"/>
        <v>#VALUE!</v>
      </c>
      <c r="M97" s="46" t="e">
        <f ca="1" t="shared" si="22"/>
        <v>#VALUE!</v>
      </c>
      <c r="N97" s="46" t="e">
        <f ca="1" t="shared" si="23"/>
        <v>#VALUE!</v>
      </c>
      <c r="O97" s="46">
        <v>4</v>
      </c>
      <c r="P97" s="46">
        <f t="shared" si="25"/>
        <v>30</v>
      </c>
      <c r="Q97" s="46" t="e">
        <f ca="1" t="shared" si="26"/>
        <v>#VALUE!</v>
      </c>
      <c r="R97" s="46" t="e">
        <f ca="1">OFFSET([2]怪物强度模型!$K$1,MATCH(F97,[2]怪物强度模型!$A:$A,0)-1,0)</f>
        <v>#VALUE!</v>
      </c>
      <c r="S97" s="46" t="e">
        <f ca="1">OFFSET([2]怪物强度模型!$O$1,MATCH(F97,[2]怪物强度模型!$A:$A,0)-1,0)</f>
        <v>#VALUE!</v>
      </c>
      <c r="T97" s="47" t="e">
        <f ca="1" t="shared" si="27"/>
        <v>#VALUE!</v>
      </c>
      <c r="U97" s="47" t="e">
        <f ca="1">Q97+N97*$V$1/10000+$V$1*OFFSET(卡牌辅助配置表!$V$1,MATCH(C97,卡牌辅助配置表!U:U,0)-1,0)*5*P97/10000/10000+M97*$V$1/10000</f>
        <v>#VALUE!</v>
      </c>
      <c r="V97" s="46" t="e">
        <f ca="1">OFFSET([2]怪物强度模型!$I$1,MATCH(F97,[2]怪物强度模型!$A:$A,0)-1,0)</f>
        <v>#VALUE!</v>
      </c>
      <c r="W97" t="e">
        <f ca="1" t="shared" si="24"/>
        <v>#VALUE!</v>
      </c>
    </row>
    <row r="98" customFormat="1" spans="1:23">
      <c r="A98" s="45">
        <f t="shared" si="18"/>
        <v>2134</v>
      </c>
      <c r="B98" s="46" t="s">
        <v>2792</v>
      </c>
      <c r="C98" s="45">
        <v>2</v>
      </c>
      <c r="D98" s="95">
        <v>134</v>
      </c>
      <c r="E98" s="78"/>
      <c r="F98" s="46">
        <f t="shared" si="28"/>
        <v>2030</v>
      </c>
      <c r="G98" s="46">
        <v>2.3</v>
      </c>
      <c r="H98" s="46">
        <v>6</v>
      </c>
      <c r="I98" s="46">
        <v>10</v>
      </c>
      <c r="J98" s="46">
        <v>15</v>
      </c>
      <c r="K98" s="46" t="e">
        <f ca="1" t="shared" si="20"/>
        <v>#VALUE!</v>
      </c>
      <c r="L98" s="46" t="e">
        <f ca="1" t="shared" si="21"/>
        <v>#VALUE!</v>
      </c>
      <c r="M98" s="46" t="e">
        <f ca="1" t="shared" si="22"/>
        <v>#VALUE!</v>
      </c>
      <c r="N98" s="46" t="e">
        <f ca="1" t="shared" si="23"/>
        <v>#VALUE!</v>
      </c>
      <c r="O98" s="46">
        <v>4</v>
      </c>
      <c r="P98" s="46">
        <f t="shared" si="25"/>
        <v>30</v>
      </c>
      <c r="Q98" s="46" t="e">
        <f ca="1" t="shared" si="26"/>
        <v>#VALUE!</v>
      </c>
      <c r="R98" s="46" t="e">
        <f ca="1">OFFSET([2]怪物强度模型!$K$1,MATCH(F98,[2]怪物强度模型!$A:$A,0)-1,0)</f>
        <v>#VALUE!</v>
      </c>
      <c r="S98" s="46" t="e">
        <f ca="1">OFFSET([2]怪物强度模型!$O$1,MATCH(F98,[2]怪物强度模型!$A:$A,0)-1,0)</f>
        <v>#VALUE!</v>
      </c>
      <c r="T98" s="47" t="e">
        <f ca="1" t="shared" si="27"/>
        <v>#VALUE!</v>
      </c>
      <c r="U98" s="47" t="e">
        <f ca="1">Q98+N98*$V$1/10000+$V$1*OFFSET(卡牌辅助配置表!$V$1,MATCH(C98,卡牌辅助配置表!U:U,0)-1,0)*5*P98/10000/10000+M98*$V$1/10000</f>
        <v>#VALUE!</v>
      </c>
      <c r="V98" s="46" t="e">
        <f ca="1">OFFSET([2]怪物强度模型!$I$1,MATCH(F98,[2]怪物强度模型!$A:$A,0)-1,0)</f>
        <v>#VALUE!</v>
      </c>
      <c r="W98" t="e">
        <f ca="1" t="shared" si="24"/>
        <v>#VALUE!</v>
      </c>
    </row>
    <row r="99" customFormat="1" spans="1:22">
      <c r="A99" s="45">
        <f t="shared" ref="A99:A117" si="29">C99*1000+D99</f>
        <v>2135</v>
      </c>
      <c r="B99" s="46" t="s">
        <v>2792</v>
      </c>
      <c r="C99" s="45">
        <v>2</v>
      </c>
      <c r="D99" s="203">
        <v>135</v>
      </c>
      <c r="E99" s="78"/>
      <c r="F99" s="46">
        <f t="shared" si="28"/>
        <v>2030</v>
      </c>
      <c r="G99" s="46">
        <v>3.5</v>
      </c>
      <c r="H99" s="46">
        <v>6</v>
      </c>
      <c r="I99" s="46">
        <v>10</v>
      </c>
      <c r="J99" s="46">
        <v>15</v>
      </c>
      <c r="K99" s="46" t="e">
        <f ca="1" t="shared" ref="K99:K105" si="30">ROUND(Q99*0.95,0)</f>
        <v>#VALUE!</v>
      </c>
      <c r="L99" s="46" t="e">
        <f ca="1" t="shared" ref="L99:L105" si="31">ROUND(Q99*1.05,0)</f>
        <v>#VALUE!</v>
      </c>
      <c r="M99" s="46" t="e">
        <f ca="1">$L$1*S99</f>
        <v>#VALUE!</v>
      </c>
      <c r="N99" s="46" t="e">
        <f ca="1" t="shared" si="23"/>
        <v>#VALUE!</v>
      </c>
      <c r="O99" s="46">
        <v>4</v>
      </c>
      <c r="P99" s="46">
        <v>30</v>
      </c>
      <c r="Q99" s="46" t="e">
        <f ca="1" t="shared" si="26"/>
        <v>#VALUE!</v>
      </c>
      <c r="R99" s="46" t="e">
        <f ca="1">OFFSET([2]怪物强度模型!$K$1,MATCH(F99,[2]怪物强度模型!$A:$A,0)-1,0)</f>
        <v>#VALUE!</v>
      </c>
      <c r="S99" s="46" t="e">
        <f ca="1">OFFSET([2]怪物强度模型!$O$1,MATCH(F99,[2]怪物强度模型!$A:$A,0)-1,0)</f>
        <v>#VALUE!</v>
      </c>
      <c r="T99" s="47" t="e">
        <f ca="1" t="shared" si="27"/>
        <v>#VALUE!</v>
      </c>
      <c r="U99" s="47" t="e">
        <f ca="1">Q99+N99*$V$1/10000+$V$1*OFFSET(卡牌辅助配置表!$V$1,MATCH(C99,卡牌辅助配置表!U:U,0)-1,0)*5*P99/10000/10000+M99*$V$1/10000</f>
        <v>#VALUE!</v>
      </c>
      <c r="V99" s="46" t="e">
        <f ca="1">OFFSET([2]怪物强度模型!$I$1,MATCH(F99,[2]怪物强度模型!$A:$A,0)-1,0)</f>
        <v>#VALUE!</v>
      </c>
    </row>
    <row r="100" customFormat="1" spans="1:22">
      <c r="A100" s="45">
        <f t="shared" si="29"/>
        <v>2136</v>
      </c>
      <c r="B100" s="46" t="s">
        <v>2792</v>
      </c>
      <c r="C100" s="45">
        <v>2</v>
      </c>
      <c r="D100" s="203">
        <v>136</v>
      </c>
      <c r="E100" s="78"/>
      <c r="F100" s="46">
        <f t="shared" ref="F100:F131" si="32">C100*1000+P100</f>
        <v>2030</v>
      </c>
      <c r="G100" s="46">
        <v>4</v>
      </c>
      <c r="H100" s="46">
        <v>6</v>
      </c>
      <c r="I100" s="46">
        <v>10</v>
      </c>
      <c r="J100" s="46">
        <v>15</v>
      </c>
      <c r="K100" s="46" t="e">
        <f ca="1" t="shared" si="30"/>
        <v>#VALUE!</v>
      </c>
      <c r="L100" s="46" t="e">
        <f ca="1" t="shared" si="31"/>
        <v>#VALUE!</v>
      </c>
      <c r="M100" s="46" t="e">
        <f ca="1">$L$1*S100</f>
        <v>#VALUE!</v>
      </c>
      <c r="N100" s="46" t="e">
        <f ca="1" t="shared" si="23"/>
        <v>#VALUE!</v>
      </c>
      <c r="O100" s="46">
        <v>4</v>
      </c>
      <c r="P100" s="46">
        <v>30</v>
      </c>
      <c r="Q100" s="46" t="e">
        <f ca="1" t="shared" si="26"/>
        <v>#VALUE!</v>
      </c>
      <c r="R100" s="46" t="e">
        <f ca="1">OFFSET([2]怪物强度模型!$K$1,MATCH(F100,[2]怪物强度模型!$A:$A,0)-1,0)</f>
        <v>#VALUE!</v>
      </c>
      <c r="S100" s="46" t="e">
        <f ca="1">OFFSET([2]怪物强度模型!$O$1,MATCH(F100,[2]怪物强度模型!$A:$A,0)-1,0)</f>
        <v>#VALUE!</v>
      </c>
      <c r="T100" s="47" t="e">
        <f ca="1" t="shared" si="27"/>
        <v>#VALUE!</v>
      </c>
      <c r="U100" s="47" t="e">
        <f ca="1">Q100+N100*$V$1/10000+$V$1*OFFSET(卡牌辅助配置表!$V$1,MATCH(C100,卡牌辅助配置表!U:U,0)-1,0)*5*P100/10000/10000+M100*$V$1/10000</f>
        <v>#VALUE!</v>
      </c>
      <c r="V100" s="46" t="e">
        <f ca="1">OFFSET([2]怪物强度模型!$I$1,MATCH(F100,[2]怪物强度模型!$A:$A,0)-1,0)</f>
        <v>#VALUE!</v>
      </c>
    </row>
    <row r="101" customFormat="1" spans="1:22">
      <c r="A101" s="45">
        <f t="shared" si="29"/>
        <v>2137</v>
      </c>
      <c r="B101" s="46" t="s">
        <v>2792</v>
      </c>
      <c r="C101" s="45">
        <v>2</v>
      </c>
      <c r="D101" s="203">
        <v>137</v>
      </c>
      <c r="E101" s="78"/>
      <c r="F101" s="46">
        <f t="shared" si="32"/>
        <v>2030</v>
      </c>
      <c r="G101" s="46">
        <v>4.5</v>
      </c>
      <c r="H101" s="46">
        <v>6</v>
      </c>
      <c r="I101" s="46">
        <v>10</v>
      </c>
      <c r="J101" s="46">
        <v>15</v>
      </c>
      <c r="K101" s="46" t="e">
        <f ca="1" t="shared" si="30"/>
        <v>#VALUE!</v>
      </c>
      <c r="L101" s="46" t="e">
        <f ca="1" t="shared" si="31"/>
        <v>#VALUE!</v>
      </c>
      <c r="M101" s="46" t="e">
        <f ca="1">$L$1*S101</f>
        <v>#VALUE!</v>
      </c>
      <c r="N101" s="46" t="e">
        <f ca="1" t="shared" si="23"/>
        <v>#VALUE!</v>
      </c>
      <c r="O101" s="46">
        <v>4</v>
      </c>
      <c r="P101" s="46">
        <v>30</v>
      </c>
      <c r="Q101" s="46" t="e">
        <f ca="1" t="shared" si="26"/>
        <v>#VALUE!</v>
      </c>
      <c r="R101" s="46" t="e">
        <f ca="1">OFFSET([2]怪物强度模型!$K$1,MATCH(F101,[2]怪物强度模型!$A:$A,0)-1,0)</f>
        <v>#VALUE!</v>
      </c>
      <c r="S101" s="46" t="e">
        <f ca="1">OFFSET([2]怪物强度模型!$O$1,MATCH(F101,[2]怪物强度模型!$A:$A,0)-1,0)</f>
        <v>#VALUE!</v>
      </c>
      <c r="T101" s="47" t="e">
        <f ca="1" t="shared" si="27"/>
        <v>#VALUE!</v>
      </c>
      <c r="U101" s="47" t="e">
        <f ca="1">Q101+N101*$V$1/10000+$V$1*OFFSET(卡牌辅助配置表!$V$1,MATCH(C101,卡牌辅助配置表!U:U,0)-1,0)*5*P101/10000/10000+M101*$V$1/10000</f>
        <v>#VALUE!</v>
      </c>
      <c r="V101" s="46" t="e">
        <f ca="1">OFFSET([2]怪物强度模型!$I$1,MATCH(F101,[2]怪物强度模型!$A:$A,0)-1,0)</f>
        <v>#VALUE!</v>
      </c>
    </row>
    <row r="102" customFormat="1" spans="1:22">
      <c r="A102" s="45">
        <f t="shared" si="29"/>
        <v>2138</v>
      </c>
      <c r="B102" s="46" t="s">
        <v>2792</v>
      </c>
      <c r="C102" s="45">
        <v>2</v>
      </c>
      <c r="D102" s="203">
        <v>138</v>
      </c>
      <c r="E102" s="78"/>
      <c r="F102" s="46">
        <f t="shared" si="32"/>
        <v>2030</v>
      </c>
      <c r="G102" s="46">
        <v>5</v>
      </c>
      <c r="H102" s="46">
        <v>6</v>
      </c>
      <c r="I102" s="46">
        <v>10</v>
      </c>
      <c r="J102" s="46">
        <v>15</v>
      </c>
      <c r="K102" s="46" t="e">
        <f ca="1" t="shared" si="30"/>
        <v>#VALUE!</v>
      </c>
      <c r="L102" s="46" t="e">
        <f ca="1" t="shared" si="31"/>
        <v>#VALUE!</v>
      </c>
      <c r="M102" s="46" t="e">
        <f ca="1">$L$1*S102</f>
        <v>#VALUE!</v>
      </c>
      <c r="N102" s="46" t="e">
        <f ca="1" t="shared" si="23"/>
        <v>#VALUE!</v>
      </c>
      <c r="O102" s="46">
        <v>4</v>
      </c>
      <c r="P102" s="46">
        <v>30</v>
      </c>
      <c r="Q102" s="46" t="e">
        <f ca="1" t="shared" si="26"/>
        <v>#VALUE!</v>
      </c>
      <c r="R102" s="46" t="e">
        <f ca="1">OFFSET([2]怪物强度模型!$K$1,MATCH(F102,[2]怪物强度模型!$A:$A,0)-1,0)</f>
        <v>#VALUE!</v>
      </c>
      <c r="S102" s="46" t="e">
        <f ca="1">OFFSET([2]怪物强度模型!$O$1,MATCH(F102,[2]怪物强度模型!$A:$A,0)-1,0)</f>
        <v>#VALUE!</v>
      </c>
      <c r="T102" s="47" t="e">
        <f ca="1" t="shared" si="27"/>
        <v>#VALUE!</v>
      </c>
      <c r="U102" s="47" t="e">
        <f ca="1">Q102+N102*$V$1/10000+$V$1*OFFSET(卡牌辅助配置表!$V$1,MATCH(C102,卡牌辅助配置表!U:U,0)-1,0)*5*P102/10000/10000+M102*$V$1/10000</f>
        <v>#VALUE!</v>
      </c>
      <c r="V102" s="46" t="e">
        <f ca="1">OFFSET([2]怪物强度模型!$I$1,MATCH(F102,[2]怪物强度模型!$A:$A,0)-1,0)</f>
        <v>#VALUE!</v>
      </c>
    </row>
    <row r="103" customFormat="1" spans="1:22">
      <c r="A103" s="45">
        <f t="shared" si="29"/>
        <v>2139</v>
      </c>
      <c r="B103" s="46" t="s">
        <v>2792</v>
      </c>
      <c r="C103" s="45">
        <v>2</v>
      </c>
      <c r="D103" s="204">
        <v>139</v>
      </c>
      <c r="E103" s="78"/>
      <c r="F103" s="46">
        <f t="shared" si="32"/>
        <v>2025</v>
      </c>
      <c r="G103" s="46">
        <v>6.5</v>
      </c>
      <c r="H103" s="46">
        <v>6</v>
      </c>
      <c r="I103" s="46">
        <v>10</v>
      </c>
      <c r="J103" s="46">
        <v>15</v>
      </c>
      <c r="K103" s="46" t="e">
        <f ca="1" t="shared" si="30"/>
        <v>#VALUE!</v>
      </c>
      <c r="L103" s="46" t="e">
        <f ca="1" t="shared" si="31"/>
        <v>#VALUE!</v>
      </c>
      <c r="M103" s="46" t="e">
        <f ca="1">$K$1*S103</f>
        <v>#VALUE!</v>
      </c>
      <c r="N103" s="46" t="e">
        <f ca="1" t="shared" si="23"/>
        <v>#VALUE!</v>
      </c>
      <c r="O103" s="46">
        <v>4</v>
      </c>
      <c r="P103" s="46">
        <v>25</v>
      </c>
      <c r="Q103" s="46" t="e">
        <f ca="1" t="shared" si="26"/>
        <v>#VALUE!</v>
      </c>
      <c r="R103" s="46" t="e">
        <f ca="1">OFFSET([2]怪物强度模型!$K$1,MATCH(F103,[2]怪物强度模型!$A:$A,0)-1,0)</f>
        <v>#VALUE!</v>
      </c>
      <c r="S103" s="46" t="e">
        <f ca="1">OFFSET([2]怪物强度模型!$O$1,MATCH(F103,[2]怪物强度模型!$A:$A,0)-1,0)</f>
        <v>#VALUE!</v>
      </c>
      <c r="T103" s="47" t="e">
        <f ca="1" t="shared" si="27"/>
        <v>#VALUE!</v>
      </c>
      <c r="U103" s="47" t="e">
        <f ca="1">Q103+N103*$V$1/10000+$V$1*OFFSET(卡牌辅助配置表!$V$1,MATCH(C103,卡牌辅助配置表!U:U,0)-1,0)*5*P103/10000/10000+M103*$V$1/10000</f>
        <v>#VALUE!</v>
      </c>
      <c r="V103" s="46" t="e">
        <f ca="1">OFFSET([2]怪物强度模型!$I$1,MATCH(F103,[2]怪物强度模型!$A:$A,0)-1,0)</f>
        <v>#VALUE!</v>
      </c>
    </row>
    <row r="104" customFormat="1" spans="1:22">
      <c r="A104" s="45">
        <f t="shared" si="29"/>
        <v>2140</v>
      </c>
      <c r="B104" s="46" t="s">
        <v>2792</v>
      </c>
      <c r="C104" s="45">
        <v>2</v>
      </c>
      <c r="D104" s="204">
        <v>140</v>
      </c>
      <c r="E104" s="78"/>
      <c r="F104" s="46">
        <f t="shared" si="32"/>
        <v>2027</v>
      </c>
      <c r="G104" s="46">
        <v>7.5</v>
      </c>
      <c r="H104" s="46">
        <v>6</v>
      </c>
      <c r="I104" s="46">
        <v>10</v>
      </c>
      <c r="J104" s="46">
        <v>15</v>
      </c>
      <c r="K104" s="46" t="e">
        <f ca="1" t="shared" si="30"/>
        <v>#VALUE!</v>
      </c>
      <c r="L104" s="46" t="e">
        <f ca="1" t="shared" si="31"/>
        <v>#VALUE!</v>
      </c>
      <c r="M104" s="46" t="e">
        <f ca="1">$K$1*S104</f>
        <v>#VALUE!</v>
      </c>
      <c r="N104" s="46" t="e">
        <f ca="1" t="shared" si="23"/>
        <v>#VALUE!</v>
      </c>
      <c r="O104" s="46">
        <v>4</v>
      </c>
      <c r="P104" s="46">
        <v>27</v>
      </c>
      <c r="Q104" s="46" t="e">
        <f ca="1" t="shared" si="26"/>
        <v>#VALUE!</v>
      </c>
      <c r="R104" s="46" t="e">
        <f ca="1">OFFSET([2]怪物强度模型!$K$1,MATCH(F104,[2]怪物强度模型!$A:$A,0)-1,0)</f>
        <v>#VALUE!</v>
      </c>
      <c r="S104" s="46" t="e">
        <f ca="1">OFFSET([2]怪物强度模型!$O$1,MATCH(F104,[2]怪物强度模型!$A:$A,0)-1,0)</f>
        <v>#VALUE!</v>
      </c>
      <c r="T104" s="47" t="e">
        <f ca="1" t="shared" si="27"/>
        <v>#VALUE!</v>
      </c>
      <c r="U104" s="47" t="e">
        <f ca="1">Q104+N104*$V$1/10000+$V$1*OFFSET(卡牌辅助配置表!$V$1,MATCH(C104,卡牌辅助配置表!U:U,0)-1,0)*5*P104/10000/10000+M104*$V$1/10000</f>
        <v>#VALUE!</v>
      </c>
      <c r="V104" s="46" t="e">
        <f ca="1">OFFSET([2]怪物强度模型!$I$1,MATCH(F104,[2]怪物强度模型!$A:$A,0)-1,0)</f>
        <v>#VALUE!</v>
      </c>
    </row>
    <row r="105" customFormat="1" spans="1:22">
      <c r="A105" s="45">
        <f t="shared" si="29"/>
        <v>2141</v>
      </c>
      <c r="B105" s="46" t="s">
        <v>2792</v>
      </c>
      <c r="C105" s="45">
        <v>2</v>
      </c>
      <c r="D105" s="204">
        <v>141</v>
      </c>
      <c r="E105" s="78"/>
      <c r="F105" s="46">
        <f t="shared" si="32"/>
        <v>2030</v>
      </c>
      <c r="G105" s="46">
        <v>8.5</v>
      </c>
      <c r="H105" s="46">
        <v>6</v>
      </c>
      <c r="I105" s="46">
        <v>10</v>
      </c>
      <c r="J105" s="46">
        <v>15</v>
      </c>
      <c r="K105" s="46" t="e">
        <f ca="1" t="shared" si="30"/>
        <v>#VALUE!</v>
      </c>
      <c r="L105" s="46" t="e">
        <f ca="1" t="shared" si="31"/>
        <v>#VALUE!</v>
      </c>
      <c r="M105" s="46" t="e">
        <f ca="1">$K$1*S105</f>
        <v>#VALUE!</v>
      </c>
      <c r="N105" s="46" t="e">
        <f ca="1" t="shared" si="23"/>
        <v>#VALUE!</v>
      </c>
      <c r="O105" s="46">
        <v>4</v>
      </c>
      <c r="P105" s="46">
        <v>30</v>
      </c>
      <c r="Q105" s="46" t="e">
        <f ca="1" t="shared" si="26"/>
        <v>#VALUE!</v>
      </c>
      <c r="R105" s="46" t="e">
        <f ca="1">OFFSET([2]怪物强度模型!$K$1,MATCH(F105,[2]怪物强度模型!$A:$A,0)-1,0)</f>
        <v>#VALUE!</v>
      </c>
      <c r="S105" s="46" t="e">
        <f ca="1">OFFSET([2]怪物强度模型!$O$1,MATCH(F105,[2]怪物强度模型!$A:$A,0)-1,0)</f>
        <v>#VALUE!</v>
      </c>
      <c r="T105" s="47" t="e">
        <f ca="1" t="shared" si="27"/>
        <v>#VALUE!</v>
      </c>
      <c r="U105" s="47" t="e">
        <f ca="1">Q105+N105*$V$1/10000+$V$1*OFFSET(卡牌辅助配置表!$V$1,MATCH(C105,卡牌辅助配置表!U:U,0)-1,0)*5*P105/10000/10000+M105*$V$1/10000</f>
        <v>#VALUE!</v>
      </c>
      <c r="V105" s="46" t="e">
        <f ca="1">OFFSET([2]怪物强度模型!$I$1,MATCH(F105,[2]怪物强度模型!$A:$A,0)-1,0)</f>
        <v>#VALUE!</v>
      </c>
    </row>
    <row r="106" spans="1:23">
      <c r="A106" s="45">
        <f t="shared" si="29"/>
        <v>2201</v>
      </c>
      <c r="B106" s="46" t="s">
        <v>2792</v>
      </c>
      <c r="C106" s="45">
        <v>2</v>
      </c>
      <c r="D106" s="45">
        <v>201</v>
      </c>
      <c r="E106" s="78">
        <v>1200</v>
      </c>
      <c r="F106" s="46">
        <f t="shared" si="32"/>
        <v>2021</v>
      </c>
      <c r="G106" s="46">
        <v>2</v>
      </c>
      <c r="H106" s="46">
        <v>6</v>
      </c>
      <c r="I106" s="46">
        <v>10</v>
      </c>
      <c r="J106" s="46">
        <v>15</v>
      </c>
      <c r="K106" s="46" t="e">
        <f ca="1" t="shared" ref="K106:K117" si="33">ROUND(Q106*0.95,0)</f>
        <v>#VALUE!</v>
      </c>
      <c r="L106" s="46" t="e">
        <f ca="1" t="shared" ref="L106:L117" si="34">ROUND(Q106*1.05,0)</f>
        <v>#VALUE!</v>
      </c>
      <c r="M106" s="46" t="e">
        <f ca="1" t="shared" ref="M106:M117" si="35">$L$1*S106</f>
        <v>#VALUE!</v>
      </c>
      <c r="N106" s="46" t="e">
        <f ca="1" t="shared" si="23"/>
        <v>#VALUE!</v>
      </c>
      <c r="O106" s="46">
        <v>4</v>
      </c>
      <c r="P106" s="46">
        <v>21</v>
      </c>
      <c r="Q106" s="46" t="e">
        <f ca="1" t="shared" si="26"/>
        <v>#VALUE!</v>
      </c>
      <c r="R106" s="46" t="e">
        <f ca="1">OFFSET([2]怪物强度模型!$K$1,MATCH(F106,[2]怪物强度模型!$A:$A,0)-1,0)</f>
        <v>#VALUE!</v>
      </c>
      <c r="S106" s="46" t="e">
        <f ca="1">OFFSET([2]怪物强度模型!$O$1,MATCH(F106,[2]怪物强度模型!$A:$A,0)-1,0)</f>
        <v>#VALUE!</v>
      </c>
      <c r="T106" s="47" t="e">
        <f ca="1" t="shared" si="27"/>
        <v>#VALUE!</v>
      </c>
      <c r="U106" s="47" t="e">
        <f ca="1">Q106+N106*$V$1/10000+$V$1*OFFSET(卡牌辅助配置表!$V$1,MATCH(C106,卡牌辅助配置表!U:U,0)-1,0)*5*P106/10000/10000+M106*$V$1/10000</f>
        <v>#VALUE!</v>
      </c>
      <c r="V106" s="46" t="e">
        <f ca="1">OFFSET([2]怪物强度模型!$I$1,MATCH(F106,[2]怪物强度模型!$A:$A,0)-1,0)</f>
        <v>#VALUE!</v>
      </c>
      <c r="W106" t="e">
        <f ca="1" t="shared" ref="W106:W150" si="36">V106-0.1</f>
        <v>#VALUE!</v>
      </c>
    </row>
    <row r="107" spans="1:23">
      <c r="A107" s="45">
        <f t="shared" si="29"/>
        <v>2202</v>
      </c>
      <c r="B107" s="46" t="s">
        <v>2792</v>
      </c>
      <c r="C107" s="45">
        <v>2</v>
      </c>
      <c r="D107" s="45">
        <v>202</v>
      </c>
      <c r="E107" s="78">
        <v>1100</v>
      </c>
      <c r="F107" s="46">
        <f t="shared" si="32"/>
        <v>2021</v>
      </c>
      <c r="G107" s="46">
        <v>2.1</v>
      </c>
      <c r="H107" s="46">
        <v>6</v>
      </c>
      <c r="I107" s="46">
        <v>10</v>
      </c>
      <c r="J107" s="46">
        <v>15</v>
      </c>
      <c r="K107" s="46" t="e">
        <f ca="1" t="shared" si="33"/>
        <v>#VALUE!</v>
      </c>
      <c r="L107" s="46" t="e">
        <f ca="1" t="shared" si="34"/>
        <v>#VALUE!</v>
      </c>
      <c r="M107" s="46" t="e">
        <f ca="1" t="shared" si="35"/>
        <v>#VALUE!</v>
      </c>
      <c r="N107" s="46" t="e">
        <f ca="1" t="shared" si="23"/>
        <v>#VALUE!</v>
      </c>
      <c r="O107" s="46">
        <v>4</v>
      </c>
      <c r="P107" s="46">
        <v>21</v>
      </c>
      <c r="Q107" s="46" t="e">
        <f ca="1" t="shared" si="26"/>
        <v>#VALUE!</v>
      </c>
      <c r="R107" s="46" t="e">
        <f ca="1">OFFSET([2]怪物强度模型!$K$1,MATCH(F107,[2]怪物强度模型!$A:$A,0)-1,0)</f>
        <v>#VALUE!</v>
      </c>
      <c r="S107" s="46" t="e">
        <f ca="1">OFFSET([2]怪物强度模型!$O$1,MATCH(F107,[2]怪物强度模型!$A:$A,0)-1,0)</f>
        <v>#VALUE!</v>
      </c>
      <c r="T107" s="47" t="e">
        <f ca="1" t="shared" si="27"/>
        <v>#VALUE!</v>
      </c>
      <c r="U107" s="47" t="e">
        <f ca="1">Q107+N107*$V$1/10000+$V$1*OFFSET(卡牌辅助配置表!$V$1,MATCH(C107,卡牌辅助配置表!U:U,0)-1,0)*5*P107/10000/10000+M107*$V$1/10000</f>
        <v>#VALUE!</v>
      </c>
      <c r="V107" s="46" t="e">
        <f ca="1">OFFSET([2]怪物强度模型!$I$1,MATCH(F107,[2]怪物强度模型!$A:$A,0)-1,0)</f>
        <v>#VALUE!</v>
      </c>
      <c r="W107" t="e">
        <f ca="1" t="shared" si="36"/>
        <v>#VALUE!</v>
      </c>
    </row>
    <row r="108" spans="1:23">
      <c r="A108" s="45">
        <f t="shared" si="29"/>
        <v>2203</v>
      </c>
      <c r="B108" s="46" t="s">
        <v>2792</v>
      </c>
      <c r="C108" s="45">
        <v>2</v>
      </c>
      <c r="D108" s="45">
        <v>203</v>
      </c>
      <c r="E108" s="78">
        <v>1000</v>
      </c>
      <c r="F108" s="46">
        <f t="shared" si="32"/>
        <v>2022</v>
      </c>
      <c r="G108" s="46">
        <v>2.2</v>
      </c>
      <c r="H108" s="46">
        <v>6</v>
      </c>
      <c r="I108" s="46">
        <v>10</v>
      </c>
      <c r="J108" s="46">
        <v>15</v>
      </c>
      <c r="K108" s="46" t="e">
        <f ca="1" t="shared" si="33"/>
        <v>#VALUE!</v>
      </c>
      <c r="L108" s="46" t="e">
        <f ca="1" t="shared" si="34"/>
        <v>#VALUE!</v>
      </c>
      <c r="M108" s="46" t="e">
        <f ca="1" t="shared" si="35"/>
        <v>#VALUE!</v>
      </c>
      <c r="N108" s="46" t="e">
        <f ca="1" t="shared" si="23"/>
        <v>#VALUE!</v>
      </c>
      <c r="O108" s="46">
        <v>4</v>
      </c>
      <c r="P108" s="46">
        <v>22</v>
      </c>
      <c r="Q108" s="46" t="e">
        <f ca="1" t="shared" si="26"/>
        <v>#VALUE!</v>
      </c>
      <c r="R108" s="46" t="e">
        <f ca="1">OFFSET([2]怪物强度模型!$K$1,MATCH(F108,[2]怪物强度模型!$A:$A,0)-1,0)</f>
        <v>#VALUE!</v>
      </c>
      <c r="S108" s="46" t="e">
        <f ca="1">OFFSET([2]怪物强度模型!$O$1,MATCH(F108,[2]怪物强度模型!$A:$A,0)-1,0)</f>
        <v>#VALUE!</v>
      </c>
      <c r="T108" s="47" t="e">
        <f ca="1" t="shared" si="27"/>
        <v>#VALUE!</v>
      </c>
      <c r="U108" s="47" t="e">
        <f ca="1">Q108+N108*$V$1/10000+$V$1*OFFSET(卡牌辅助配置表!$V$1,MATCH(C108,卡牌辅助配置表!U:U,0)-1,0)*5*P108/10000/10000+M108*$V$1/10000</f>
        <v>#VALUE!</v>
      </c>
      <c r="V108" s="46" t="e">
        <f ca="1">OFFSET([2]怪物强度模型!$I$1,MATCH(F108,[2]怪物强度模型!$A:$A,0)-1,0)</f>
        <v>#VALUE!</v>
      </c>
      <c r="W108" t="e">
        <f ca="1" t="shared" si="36"/>
        <v>#VALUE!</v>
      </c>
    </row>
    <row r="109" spans="1:23">
      <c r="A109" s="45">
        <f t="shared" si="29"/>
        <v>2204</v>
      </c>
      <c r="B109" s="46" t="s">
        <v>2792</v>
      </c>
      <c r="C109" s="45">
        <v>2</v>
      </c>
      <c r="D109" s="45">
        <v>204</v>
      </c>
      <c r="E109" s="78">
        <v>900</v>
      </c>
      <c r="F109" s="46">
        <f t="shared" si="32"/>
        <v>2023</v>
      </c>
      <c r="G109" s="46">
        <v>2.3</v>
      </c>
      <c r="H109" s="46">
        <v>6</v>
      </c>
      <c r="I109" s="46">
        <v>10</v>
      </c>
      <c r="J109" s="46">
        <v>15</v>
      </c>
      <c r="K109" s="46" t="e">
        <f ca="1" t="shared" si="33"/>
        <v>#VALUE!</v>
      </c>
      <c r="L109" s="46" t="e">
        <f ca="1" t="shared" si="34"/>
        <v>#VALUE!</v>
      </c>
      <c r="M109" s="46" t="e">
        <f ca="1" t="shared" si="35"/>
        <v>#VALUE!</v>
      </c>
      <c r="N109" s="46" t="e">
        <f ca="1" t="shared" si="23"/>
        <v>#VALUE!</v>
      </c>
      <c r="O109" s="46">
        <v>4</v>
      </c>
      <c r="P109" s="46">
        <v>23</v>
      </c>
      <c r="Q109" s="46" t="e">
        <f ca="1" t="shared" si="26"/>
        <v>#VALUE!</v>
      </c>
      <c r="R109" s="46" t="e">
        <f ca="1">OFFSET([2]怪物强度模型!$K$1,MATCH(F109,[2]怪物强度模型!$A:$A,0)-1,0)</f>
        <v>#VALUE!</v>
      </c>
      <c r="S109" s="46" t="e">
        <f ca="1">OFFSET([2]怪物强度模型!$O$1,MATCH(F109,[2]怪物强度模型!$A:$A,0)-1,0)</f>
        <v>#VALUE!</v>
      </c>
      <c r="T109" s="47" t="e">
        <f ca="1" t="shared" si="27"/>
        <v>#VALUE!</v>
      </c>
      <c r="U109" s="47" t="e">
        <f ca="1">Q109+N109*$V$1/10000+$V$1*OFFSET(卡牌辅助配置表!$V$1,MATCH(C109,卡牌辅助配置表!U:U,0)-1,0)*5*P109/10000/10000+M109*$V$1/10000</f>
        <v>#VALUE!</v>
      </c>
      <c r="V109" s="46" t="e">
        <f ca="1">OFFSET([2]怪物强度模型!$I$1,MATCH(F109,[2]怪物强度模型!$A:$A,0)-1,0)</f>
        <v>#VALUE!</v>
      </c>
      <c r="W109" t="e">
        <f ca="1" t="shared" si="36"/>
        <v>#VALUE!</v>
      </c>
    </row>
    <row r="110" spans="1:23">
      <c r="A110" s="45">
        <f t="shared" si="29"/>
        <v>2205</v>
      </c>
      <c r="B110" s="46" t="s">
        <v>2792</v>
      </c>
      <c r="C110" s="45">
        <v>2</v>
      </c>
      <c r="D110" s="45">
        <v>205</v>
      </c>
      <c r="E110" s="78">
        <v>800</v>
      </c>
      <c r="F110" s="46">
        <f t="shared" si="32"/>
        <v>2023</v>
      </c>
      <c r="G110" s="46">
        <v>2.4</v>
      </c>
      <c r="H110" s="46">
        <v>6</v>
      </c>
      <c r="I110" s="46">
        <v>10</v>
      </c>
      <c r="J110" s="46">
        <v>15</v>
      </c>
      <c r="K110" s="46" t="e">
        <f ca="1" t="shared" si="33"/>
        <v>#VALUE!</v>
      </c>
      <c r="L110" s="46" t="e">
        <f ca="1" t="shared" si="34"/>
        <v>#VALUE!</v>
      </c>
      <c r="M110" s="46" t="e">
        <f ca="1" t="shared" si="35"/>
        <v>#VALUE!</v>
      </c>
      <c r="N110" s="46" t="e">
        <f ca="1" t="shared" si="23"/>
        <v>#VALUE!</v>
      </c>
      <c r="O110" s="46">
        <v>4</v>
      </c>
      <c r="P110" s="46">
        <v>23</v>
      </c>
      <c r="Q110" s="46" t="e">
        <f ca="1" t="shared" si="26"/>
        <v>#VALUE!</v>
      </c>
      <c r="R110" s="46" t="e">
        <f ca="1">OFFSET([2]怪物强度模型!$K$1,MATCH(F110,[2]怪物强度模型!$A:$A,0)-1,0)</f>
        <v>#VALUE!</v>
      </c>
      <c r="S110" s="46" t="e">
        <f ca="1">OFFSET([2]怪物强度模型!$O$1,MATCH(F110,[2]怪物强度模型!$A:$A,0)-1,0)</f>
        <v>#VALUE!</v>
      </c>
      <c r="T110" s="47" t="e">
        <f ca="1" t="shared" si="27"/>
        <v>#VALUE!</v>
      </c>
      <c r="U110" s="47" t="e">
        <f ca="1">Q110+N110*$V$1/10000+$V$1*OFFSET(卡牌辅助配置表!$V$1,MATCH(C110,卡牌辅助配置表!U:U,0)-1,0)*5*P110/10000/10000+M110*$V$1/10000</f>
        <v>#VALUE!</v>
      </c>
      <c r="V110" s="46" t="e">
        <f ca="1">OFFSET([2]怪物强度模型!$I$1,MATCH(F110,[2]怪物强度模型!$A:$A,0)-1,0)</f>
        <v>#VALUE!</v>
      </c>
      <c r="W110" t="e">
        <f ca="1" t="shared" si="36"/>
        <v>#VALUE!</v>
      </c>
    </row>
    <row r="111" spans="1:23">
      <c r="A111" s="45">
        <f t="shared" si="29"/>
        <v>2206</v>
      </c>
      <c r="B111" s="46" t="s">
        <v>2792</v>
      </c>
      <c r="C111" s="45">
        <v>2</v>
      </c>
      <c r="D111" s="45">
        <v>206</v>
      </c>
      <c r="E111" s="78">
        <v>700</v>
      </c>
      <c r="F111" s="46">
        <f t="shared" si="32"/>
        <v>2024</v>
      </c>
      <c r="G111" s="46">
        <v>2.5</v>
      </c>
      <c r="H111" s="46">
        <v>6</v>
      </c>
      <c r="I111" s="46">
        <v>10</v>
      </c>
      <c r="J111" s="46">
        <v>15</v>
      </c>
      <c r="K111" s="46" t="e">
        <f ca="1" t="shared" si="33"/>
        <v>#VALUE!</v>
      </c>
      <c r="L111" s="46" t="e">
        <f ca="1" t="shared" si="34"/>
        <v>#VALUE!</v>
      </c>
      <c r="M111" s="46" t="e">
        <f ca="1" t="shared" si="35"/>
        <v>#VALUE!</v>
      </c>
      <c r="N111" s="46" t="e">
        <f ca="1" t="shared" si="23"/>
        <v>#VALUE!</v>
      </c>
      <c r="O111" s="46">
        <v>4</v>
      </c>
      <c r="P111" s="46">
        <v>24</v>
      </c>
      <c r="Q111" s="46" t="e">
        <f ca="1" t="shared" si="26"/>
        <v>#VALUE!</v>
      </c>
      <c r="R111" s="46" t="e">
        <f ca="1">OFFSET([2]怪物强度模型!$K$1,MATCH(F111,[2]怪物强度模型!$A:$A,0)-1,0)</f>
        <v>#VALUE!</v>
      </c>
      <c r="S111" s="46" t="e">
        <f ca="1">OFFSET([2]怪物强度模型!$O$1,MATCH(F111,[2]怪物强度模型!$A:$A,0)-1,0)</f>
        <v>#VALUE!</v>
      </c>
      <c r="T111" s="47" t="e">
        <f ca="1" t="shared" si="27"/>
        <v>#VALUE!</v>
      </c>
      <c r="U111" s="47" t="e">
        <f ca="1">Q111+N111*$V$1/10000+$V$1*OFFSET(卡牌辅助配置表!$V$1,MATCH(C111,卡牌辅助配置表!U:U,0)-1,0)*5*P111/10000/10000+M111*$V$1/10000</f>
        <v>#VALUE!</v>
      </c>
      <c r="V111" s="46" t="e">
        <f ca="1">OFFSET([2]怪物强度模型!$I$1,MATCH(F111,[2]怪物强度模型!$A:$A,0)-1,0)</f>
        <v>#VALUE!</v>
      </c>
      <c r="W111" t="e">
        <f ca="1" t="shared" si="36"/>
        <v>#VALUE!</v>
      </c>
    </row>
    <row r="112" spans="1:23">
      <c r="A112" s="45">
        <f t="shared" si="29"/>
        <v>2207</v>
      </c>
      <c r="B112" s="46" t="s">
        <v>2792</v>
      </c>
      <c r="C112" s="45">
        <v>2</v>
      </c>
      <c r="D112" s="45">
        <v>207</v>
      </c>
      <c r="E112" s="78">
        <v>600</v>
      </c>
      <c r="F112" s="46">
        <f t="shared" si="32"/>
        <v>2025</v>
      </c>
      <c r="G112" s="46">
        <v>2.6</v>
      </c>
      <c r="H112" s="46">
        <v>6</v>
      </c>
      <c r="I112" s="46">
        <v>10</v>
      </c>
      <c r="J112" s="46">
        <v>15</v>
      </c>
      <c r="K112" s="46" t="e">
        <f ca="1" t="shared" si="33"/>
        <v>#VALUE!</v>
      </c>
      <c r="L112" s="46" t="e">
        <f ca="1" t="shared" si="34"/>
        <v>#VALUE!</v>
      </c>
      <c r="M112" s="46" t="e">
        <f ca="1" t="shared" si="35"/>
        <v>#VALUE!</v>
      </c>
      <c r="N112" s="46" t="e">
        <f ca="1" t="shared" si="23"/>
        <v>#VALUE!</v>
      </c>
      <c r="O112" s="46">
        <v>4</v>
      </c>
      <c r="P112" s="46">
        <v>25</v>
      </c>
      <c r="Q112" s="46" t="e">
        <f ca="1" t="shared" si="26"/>
        <v>#VALUE!</v>
      </c>
      <c r="R112" s="46" t="e">
        <f ca="1">OFFSET([2]怪物强度模型!$K$1,MATCH(F112,[2]怪物强度模型!$A:$A,0)-1,0)</f>
        <v>#VALUE!</v>
      </c>
      <c r="S112" s="46" t="e">
        <f ca="1">OFFSET([2]怪物强度模型!$O$1,MATCH(F112,[2]怪物强度模型!$A:$A,0)-1,0)</f>
        <v>#VALUE!</v>
      </c>
      <c r="T112" s="47" t="e">
        <f ca="1" t="shared" si="27"/>
        <v>#VALUE!</v>
      </c>
      <c r="U112" s="47" t="e">
        <f ca="1">Q112+N112*$V$1/10000+$V$1*OFFSET(卡牌辅助配置表!$V$1,MATCH(C112,卡牌辅助配置表!U:U,0)-1,0)*5*P112/10000/10000+M112*$V$1/10000</f>
        <v>#VALUE!</v>
      </c>
      <c r="V112" s="46" t="e">
        <f ca="1">OFFSET([2]怪物强度模型!$I$1,MATCH(F112,[2]怪物强度模型!$A:$A,0)-1,0)</f>
        <v>#VALUE!</v>
      </c>
      <c r="W112" t="e">
        <f ca="1" t="shared" si="36"/>
        <v>#VALUE!</v>
      </c>
    </row>
    <row r="113" spans="1:23">
      <c r="A113" s="45">
        <f t="shared" si="29"/>
        <v>2208</v>
      </c>
      <c r="B113" s="46" t="s">
        <v>2792</v>
      </c>
      <c r="C113" s="45">
        <v>2</v>
      </c>
      <c r="D113" s="45">
        <v>208</v>
      </c>
      <c r="E113" s="78">
        <v>500</v>
      </c>
      <c r="F113" s="46">
        <f t="shared" si="32"/>
        <v>2027</v>
      </c>
      <c r="G113" s="46">
        <v>2.7</v>
      </c>
      <c r="H113" s="46">
        <v>6</v>
      </c>
      <c r="I113" s="46">
        <v>10</v>
      </c>
      <c r="J113" s="46">
        <v>15</v>
      </c>
      <c r="K113" s="46" t="e">
        <f ca="1" t="shared" si="33"/>
        <v>#VALUE!</v>
      </c>
      <c r="L113" s="46" t="e">
        <f ca="1" t="shared" si="34"/>
        <v>#VALUE!</v>
      </c>
      <c r="M113" s="46" t="e">
        <f ca="1" t="shared" si="35"/>
        <v>#VALUE!</v>
      </c>
      <c r="N113" s="46" t="e">
        <f ca="1" t="shared" si="23"/>
        <v>#VALUE!</v>
      </c>
      <c r="O113" s="46">
        <v>4</v>
      </c>
      <c r="P113" s="46">
        <v>27</v>
      </c>
      <c r="Q113" s="46" t="e">
        <f ca="1" t="shared" si="26"/>
        <v>#VALUE!</v>
      </c>
      <c r="R113" s="46" t="e">
        <f ca="1">OFFSET([2]怪物强度模型!$K$1,MATCH(F113,[2]怪物强度模型!$A:$A,0)-1,0)</f>
        <v>#VALUE!</v>
      </c>
      <c r="S113" s="46" t="e">
        <f ca="1">OFFSET([2]怪物强度模型!$O$1,MATCH(F113,[2]怪物强度模型!$A:$A,0)-1,0)</f>
        <v>#VALUE!</v>
      </c>
      <c r="T113" s="47" t="e">
        <f ca="1" t="shared" si="27"/>
        <v>#VALUE!</v>
      </c>
      <c r="U113" s="47" t="e">
        <f ca="1">Q113+N113*$V$1/10000+$V$1*OFFSET(卡牌辅助配置表!$V$1,MATCH(C113,卡牌辅助配置表!U:U,0)-1,0)*5*P113/10000/10000+M113*$V$1/10000</f>
        <v>#VALUE!</v>
      </c>
      <c r="V113" s="46" t="e">
        <f ca="1">OFFSET([2]怪物强度模型!$I$1,MATCH(F113,[2]怪物强度模型!$A:$A,0)-1,0)</f>
        <v>#VALUE!</v>
      </c>
      <c r="W113" t="e">
        <f ca="1" t="shared" si="36"/>
        <v>#VALUE!</v>
      </c>
    </row>
    <row r="114" spans="1:23">
      <c r="A114" s="45">
        <f t="shared" si="29"/>
        <v>2209</v>
      </c>
      <c r="B114" s="46" t="s">
        <v>2792</v>
      </c>
      <c r="C114" s="45">
        <v>2</v>
      </c>
      <c r="D114" s="45">
        <v>209</v>
      </c>
      <c r="E114" s="78">
        <v>400</v>
      </c>
      <c r="F114" s="46">
        <f t="shared" si="32"/>
        <v>2026</v>
      </c>
      <c r="G114" s="46">
        <v>2.8</v>
      </c>
      <c r="H114" s="46">
        <v>6</v>
      </c>
      <c r="I114" s="46">
        <v>10</v>
      </c>
      <c r="J114" s="46">
        <v>15</v>
      </c>
      <c r="K114" s="46" t="e">
        <f ca="1" t="shared" si="33"/>
        <v>#VALUE!</v>
      </c>
      <c r="L114" s="46" t="e">
        <f ca="1" t="shared" si="34"/>
        <v>#VALUE!</v>
      </c>
      <c r="M114" s="46" t="e">
        <f ca="1" t="shared" si="35"/>
        <v>#VALUE!</v>
      </c>
      <c r="N114" s="46" t="e">
        <f ca="1" t="shared" si="23"/>
        <v>#VALUE!</v>
      </c>
      <c r="O114" s="46">
        <v>4</v>
      </c>
      <c r="P114" s="46">
        <v>26</v>
      </c>
      <c r="Q114" s="46" t="e">
        <f ca="1" t="shared" si="26"/>
        <v>#VALUE!</v>
      </c>
      <c r="R114" s="46" t="e">
        <f ca="1">OFFSET([2]怪物强度模型!$K$1,MATCH(F114,[2]怪物强度模型!$A:$A,0)-1,0)</f>
        <v>#VALUE!</v>
      </c>
      <c r="S114" s="46" t="e">
        <f ca="1">OFFSET([2]怪物强度模型!$O$1,MATCH(F114,[2]怪物强度模型!$A:$A,0)-1,0)</f>
        <v>#VALUE!</v>
      </c>
      <c r="T114" s="47" t="e">
        <f ca="1" t="shared" si="27"/>
        <v>#VALUE!</v>
      </c>
      <c r="U114" s="47" t="e">
        <f ca="1">Q114+N114*$V$1/10000+$V$1*OFFSET(卡牌辅助配置表!$V$1,MATCH(C114,卡牌辅助配置表!U:U,0)-1,0)*5*P114/10000/10000+M114*$V$1/10000</f>
        <v>#VALUE!</v>
      </c>
      <c r="V114" s="46" t="e">
        <f ca="1">OFFSET([2]怪物强度模型!$I$1,MATCH(F114,[2]怪物强度模型!$A:$A,0)-1,0)</f>
        <v>#VALUE!</v>
      </c>
      <c r="W114" t="e">
        <f ca="1" t="shared" si="36"/>
        <v>#VALUE!</v>
      </c>
    </row>
    <row r="115" spans="1:23">
      <c r="A115" s="45">
        <f t="shared" si="29"/>
        <v>2210</v>
      </c>
      <c r="B115" s="46" t="s">
        <v>2792</v>
      </c>
      <c r="C115" s="45">
        <v>2</v>
      </c>
      <c r="D115" s="45">
        <v>210</v>
      </c>
      <c r="E115" s="78">
        <v>300</v>
      </c>
      <c r="F115" s="46">
        <f t="shared" si="32"/>
        <v>2027</v>
      </c>
      <c r="G115" s="46">
        <v>2.9</v>
      </c>
      <c r="H115" s="46">
        <v>6</v>
      </c>
      <c r="I115" s="46">
        <v>10</v>
      </c>
      <c r="J115" s="46">
        <v>15</v>
      </c>
      <c r="K115" s="46" t="e">
        <f ca="1" t="shared" si="33"/>
        <v>#VALUE!</v>
      </c>
      <c r="L115" s="46" t="e">
        <f ca="1" t="shared" si="34"/>
        <v>#VALUE!</v>
      </c>
      <c r="M115" s="46" t="e">
        <f ca="1" t="shared" si="35"/>
        <v>#VALUE!</v>
      </c>
      <c r="N115" s="46" t="e">
        <f ca="1" t="shared" si="23"/>
        <v>#VALUE!</v>
      </c>
      <c r="O115" s="46">
        <v>4</v>
      </c>
      <c r="P115" s="46">
        <v>27</v>
      </c>
      <c r="Q115" s="46" t="e">
        <f ca="1" t="shared" si="26"/>
        <v>#VALUE!</v>
      </c>
      <c r="R115" s="46" t="e">
        <f ca="1">OFFSET([2]怪物强度模型!$K$1,MATCH(F115,[2]怪物强度模型!$A:$A,0)-1,0)</f>
        <v>#VALUE!</v>
      </c>
      <c r="S115" s="46" t="e">
        <f ca="1">OFFSET([2]怪物强度模型!$O$1,MATCH(F115,[2]怪物强度模型!$A:$A,0)-1,0)</f>
        <v>#VALUE!</v>
      </c>
      <c r="T115" s="47" t="e">
        <f ca="1" t="shared" si="27"/>
        <v>#VALUE!</v>
      </c>
      <c r="U115" s="47" t="e">
        <f ca="1">Q115+N115*$V$1/10000+$V$1*OFFSET(卡牌辅助配置表!$V$1,MATCH(C115,卡牌辅助配置表!U:U,0)-1,0)*5*P115/10000/10000+M115*$V$1/10000</f>
        <v>#VALUE!</v>
      </c>
      <c r="V115" s="46" t="e">
        <f ca="1">OFFSET([2]怪物强度模型!$I$1,MATCH(F115,[2]怪物强度模型!$A:$A,0)-1,0)</f>
        <v>#VALUE!</v>
      </c>
      <c r="W115" t="e">
        <f ca="1" t="shared" si="36"/>
        <v>#VALUE!</v>
      </c>
    </row>
    <row r="116" spans="1:23">
      <c r="A116" s="45">
        <f t="shared" si="29"/>
        <v>2211</v>
      </c>
      <c r="B116" s="46" t="s">
        <v>2792</v>
      </c>
      <c r="C116" s="45">
        <v>2</v>
      </c>
      <c r="D116" s="45">
        <v>211</v>
      </c>
      <c r="E116" s="78">
        <v>200</v>
      </c>
      <c r="F116" s="46">
        <f t="shared" si="32"/>
        <v>2028</v>
      </c>
      <c r="G116" s="46">
        <v>3</v>
      </c>
      <c r="H116" s="46">
        <v>6</v>
      </c>
      <c r="I116" s="46">
        <v>10</v>
      </c>
      <c r="J116" s="46">
        <v>15</v>
      </c>
      <c r="K116" s="46" t="e">
        <f ca="1" t="shared" si="33"/>
        <v>#VALUE!</v>
      </c>
      <c r="L116" s="46" t="e">
        <f ca="1" t="shared" si="34"/>
        <v>#VALUE!</v>
      </c>
      <c r="M116" s="46" t="e">
        <f ca="1" t="shared" si="35"/>
        <v>#VALUE!</v>
      </c>
      <c r="N116" s="46" t="e">
        <f ca="1" t="shared" si="23"/>
        <v>#VALUE!</v>
      </c>
      <c r="O116" s="46">
        <v>4</v>
      </c>
      <c r="P116" s="46">
        <v>28</v>
      </c>
      <c r="Q116" s="46" t="e">
        <f ca="1" t="shared" si="26"/>
        <v>#VALUE!</v>
      </c>
      <c r="R116" s="46" t="e">
        <f ca="1">OFFSET([2]怪物强度模型!$K$1,MATCH(F116,[2]怪物强度模型!$A:$A,0)-1,0)</f>
        <v>#VALUE!</v>
      </c>
      <c r="S116" s="46" t="e">
        <f ca="1">OFFSET([2]怪物强度模型!$O$1,MATCH(F116,[2]怪物强度模型!$A:$A,0)-1,0)</f>
        <v>#VALUE!</v>
      </c>
      <c r="T116" s="47" t="e">
        <f ca="1" t="shared" si="27"/>
        <v>#VALUE!</v>
      </c>
      <c r="U116" s="47" t="e">
        <f ca="1">Q116+N116*$V$1/10000+$V$1*OFFSET(卡牌辅助配置表!$V$1,MATCH(C116,卡牌辅助配置表!U:U,0)-1,0)*5*P116/10000/10000+M116*$V$1/10000</f>
        <v>#VALUE!</v>
      </c>
      <c r="V116" s="46" t="e">
        <f ca="1">OFFSET([2]怪物强度模型!$I$1,MATCH(F116,[2]怪物强度模型!$A:$A,0)-1,0)</f>
        <v>#VALUE!</v>
      </c>
      <c r="W116" t="e">
        <f ca="1" t="shared" si="36"/>
        <v>#VALUE!</v>
      </c>
    </row>
    <row r="117" spans="1:23">
      <c r="A117" s="45">
        <f t="shared" si="29"/>
        <v>2212</v>
      </c>
      <c r="B117" s="46" t="s">
        <v>2792</v>
      </c>
      <c r="C117" s="45">
        <v>2</v>
      </c>
      <c r="D117" s="45">
        <v>212</v>
      </c>
      <c r="E117" s="78">
        <v>100</v>
      </c>
      <c r="F117" s="46">
        <f t="shared" si="32"/>
        <v>2030</v>
      </c>
      <c r="G117" s="46">
        <v>3.1</v>
      </c>
      <c r="H117" s="46">
        <v>6</v>
      </c>
      <c r="I117" s="46">
        <v>10</v>
      </c>
      <c r="J117" s="46">
        <v>15</v>
      </c>
      <c r="K117" s="46" t="e">
        <f ca="1" t="shared" si="33"/>
        <v>#VALUE!</v>
      </c>
      <c r="L117" s="46" t="e">
        <f ca="1" t="shared" si="34"/>
        <v>#VALUE!</v>
      </c>
      <c r="M117" s="46" t="e">
        <f ca="1" t="shared" si="35"/>
        <v>#VALUE!</v>
      </c>
      <c r="N117" s="46" t="e">
        <f ca="1" t="shared" si="23"/>
        <v>#VALUE!</v>
      </c>
      <c r="O117" s="46">
        <v>4</v>
      </c>
      <c r="P117" s="46">
        <v>30</v>
      </c>
      <c r="Q117" s="46" t="e">
        <f ca="1" t="shared" si="26"/>
        <v>#VALUE!</v>
      </c>
      <c r="R117" s="46" t="e">
        <f ca="1">OFFSET([2]怪物强度模型!$K$1,MATCH(F117,[2]怪物强度模型!$A:$A,0)-1,0)</f>
        <v>#VALUE!</v>
      </c>
      <c r="S117" s="46" t="e">
        <f ca="1">OFFSET([2]怪物强度模型!$O$1,MATCH(F117,[2]怪物强度模型!$A:$A,0)-1,0)</f>
        <v>#VALUE!</v>
      </c>
      <c r="T117" s="47" t="e">
        <f ca="1" t="shared" si="27"/>
        <v>#VALUE!</v>
      </c>
      <c r="U117" s="47" t="e">
        <f ca="1">Q117+N117*$V$1/10000+$V$1*OFFSET(卡牌辅助配置表!$V$1,MATCH(C117,卡牌辅助配置表!U:U,0)-1,0)*5*P117/10000/10000+M117*$V$1/10000</f>
        <v>#VALUE!</v>
      </c>
      <c r="V117" s="46" t="e">
        <f ca="1">OFFSET([2]怪物强度模型!$I$1,MATCH(F117,[2]怪物强度模型!$A:$A,0)-1,0)</f>
        <v>#VALUE!</v>
      </c>
      <c r="W117" t="e">
        <f ca="1" t="shared" si="36"/>
        <v>#VALUE!</v>
      </c>
    </row>
    <row r="118" customFormat="1" spans="1:23">
      <c r="A118" s="45">
        <f t="shared" ref="A118:A150" si="37">C118*1000+D118</f>
        <v>3101</v>
      </c>
      <c r="B118" s="46" t="s">
        <v>2793</v>
      </c>
      <c r="C118" s="45">
        <v>3</v>
      </c>
      <c r="D118" s="78">
        <v>101</v>
      </c>
      <c r="E118" s="78"/>
      <c r="F118" s="46">
        <f t="shared" si="32"/>
        <v>3031</v>
      </c>
      <c r="G118" s="46">
        <v>1.9</v>
      </c>
      <c r="H118" s="46">
        <v>7</v>
      </c>
      <c r="I118" s="46">
        <v>10</v>
      </c>
      <c r="J118" s="46">
        <v>20</v>
      </c>
      <c r="K118" s="46" t="e">
        <f ca="1" t="shared" ref="K118:K150" si="38">ROUND(Q118*0.95,0)</f>
        <v>#VALUE!</v>
      </c>
      <c r="L118" s="46" t="e">
        <f ca="1" t="shared" ref="L118:L150" si="39">ROUND(Q118*1.05,0)</f>
        <v>#VALUE!</v>
      </c>
      <c r="M118" s="46" t="e">
        <f ca="1" t="shared" ref="M118:M150" si="40">$J$1*S118</f>
        <v>#VALUE!</v>
      </c>
      <c r="N118" s="46" t="e">
        <f ca="1" t="shared" si="23"/>
        <v>#VALUE!</v>
      </c>
      <c r="O118" s="46">
        <v>5</v>
      </c>
      <c r="P118" s="46">
        <v>31</v>
      </c>
      <c r="Q118" s="46" t="e">
        <f ca="1" t="shared" si="26"/>
        <v>#VALUE!</v>
      </c>
      <c r="R118" s="46" t="e">
        <f ca="1">OFFSET([2]怪物强度模型!$K$1,MATCH(F118,[2]怪物强度模型!$A:$A,0)-1,0)</f>
        <v>#VALUE!</v>
      </c>
      <c r="S118" s="46" t="e">
        <f ca="1">OFFSET([2]怪物强度模型!$O$1,MATCH(F118,[2]怪物强度模型!$A:$A,0)-1,0)</f>
        <v>#VALUE!</v>
      </c>
      <c r="T118" s="47" t="e">
        <f ca="1" t="shared" si="27"/>
        <v>#VALUE!</v>
      </c>
      <c r="U118" s="47" t="e">
        <f ca="1">Q118+N118*$V$1/10000+$V$1*OFFSET(卡牌辅助配置表!$V$1,MATCH(C118,卡牌辅助配置表!U:U,0)-1,0)*5*P118/10000/10000+M118*$V$1/10000</f>
        <v>#VALUE!</v>
      </c>
      <c r="V118" s="46" t="e">
        <f ca="1">OFFSET([2]怪物强度模型!$I$1,MATCH(F118,[2]怪物强度模型!$A:$A,0)-1,0)</f>
        <v>#VALUE!</v>
      </c>
      <c r="W118" t="e">
        <f ca="1" t="shared" si="36"/>
        <v>#VALUE!</v>
      </c>
    </row>
    <row r="119" customFormat="1" spans="1:23">
      <c r="A119" s="45">
        <f t="shared" si="37"/>
        <v>3102</v>
      </c>
      <c r="B119" s="46" t="s">
        <v>2793</v>
      </c>
      <c r="C119" s="45">
        <v>3</v>
      </c>
      <c r="D119" s="78">
        <v>102</v>
      </c>
      <c r="E119" s="78"/>
      <c r="F119" s="46">
        <f t="shared" si="32"/>
        <v>3031</v>
      </c>
      <c r="G119" s="208">
        <v>2</v>
      </c>
      <c r="H119" s="46">
        <v>7</v>
      </c>
      <c r="I119" s="46">
        <v>10</v>
      </c>
      <c r="J119" s="46">
        <v>20</v>
      </c>
      <c r="K119" s="46" t="e">
        <f ca="1" t="shared" si="38"/>
        <v>#VALUE!</v>
      </c>
      <c r="L119" s="46" t="e">
        <f ca="1" t="shared" si="39"/>
        <v>#VALUE!</v>
      </c>
      <c r="M119" s="46" t="e">
        <f ca="1" t="shared" si="40"/>
        <v>#VALUE!</v>
      </c>
      <c r="N119" s="46" t="e">
        <f ca="1" t="shared" si="23"/>
        <v>#VALUE!</v>
      </c>
      <c r="O119" s="46">
        <v>5</v>
      </c>
      <c r="P119" s="46">
        <v>31</v>
      </c>
      <c r="Q119" s="46" t="e">
        <f ca="1" t="shared" si="26"/>
        <v>#VALUE!</v>
      </c>
      <c r="R119" s="46" t="e">
        <f ca="1">OFFSET([2]怪物强度模型!$K$1,MATCH(F119,[2]怪物强度模型!$A:$A,0)-1,0)</f>
        <v>#VALUE!</v>
      </c>
      <c r="S119" s="46" t="e">
        <f ca="1">OFFSET([2]怪物强度模型!$O$1,MATCH(F119,[2]怪物强度模型!$A:$A,0)-1,0)</f>
        <v>#VALUE!</v>
      </c>
      <c r="T119" s="47" t="e">
        <f ca="1" t="shared" si="27"/>
        <v>#VALUE!</v>
      </c>
      <c r="U119" s="47" t="e">
        <f ca="1">Q119+N119*$V$1/10000+$V$1*OFFSET(卡牌辅助配置表!$V$1,MATCH(C119,卡牌辅助配置表!U:U,0)-1,0)*5*P119/10000/10000+M119*$V$1/10000</f>
        <v>#VALUE!</v>
      </c>
      <c r="V119" s="46" t="e">
        <f ca="1">OFFSET([2]怪物强度模型!$I$1,MATCH(F119,[2]怪物强度模型!$A:$A,0)-1,0)</f>
        <v>#VALUE!</v>
      </c>
      <c r="W119" t="e">
        <f ca="1" t="shared" si="36"/>
        <v>#VALUE!</v>
      </c>
    </row>
    <row r="120" customFormat="1" spans="1:23">
      <c r="A120" s="45">
        <f t="shared" si="37"/>
        <v>3103</v>
      </c>
      <c r="B120" s="46" t="s">
        <v>2793</v>
      </c>
      <c r="C120" s="45">
        <v>3</v>
      </c>
      <c r="D120" s="78">
        <v>103</v>
      </c>
      <c r="E120" s="78"/>
      <c r="F120" s="46">
        <f t="shared" si="32"/>
        <v>3032</v>
      </c>
      <c r="G120" s="46">
        <v>2.1</v>
      </c>
      <c r="H120" s="46">
        <v>7</v>
      </c>
      <c r="I120" s="46">
        <v>10</v>
      </c>
      <c r="J120" s="46">
        <v>20</v>
      </c>
      <c r="K120" s="46" t="e">
        <f ca="1" t="shared" si="38"/>
        <v>#VALUE!</v>
      </c>
      <c r="L120" s="46" t="e">
        <f ca="1" t="shared" si="39"/>
        <v>#VALUE!</v>
      </c>
      <c r="M120" s="46" t="e">
        <f ca="1" t="shared" si="40"/>
        <v>#VALUE!</v>
      </c>
      <c r="N120" s="46" t="e">
        <f ca="1" t="shared" si="23"/>
        <v>#VALUE!</v>
      </c>
      <c r="O120" s="46">
        <v>5</v>
      </c>
      <c r="P120" s="46">
        <v>32</v>
      </c>
      <c r="Q120" s="46" t="e">
        <f ca="1" t="shared" si="26"/>
        <v>#VALUE!</v>
      </c>
      <c r="R120" s="46" t="e">
        <f ca="1">OFFSET([2]怪物强度模型!$K$1,MATCH(F120,[2]怪物强度模型!$A:$A,0)-1,0)</f>
        <v>#VALUE!</v>
      </c>
      <c r="S120" s="46" t="e">
        <f ca="1">OFFSET([2]怪物强度模型!$O$1,MATCH(F120,[2]怪物强度模型!$A:$A,0)-1,0)</f>
        <v>#VALUE!</v>
      </c>
      <c r="T120" s="47" t="e">
        <f ca="1" t="shared" si="27"/>
        <v>#VALUE!</v>
      </c>
      <c r="U120" s="47" t="e">
        <f ca="1">Q120+N120*$V$1/10000+$V$1*OFFSET(卡牌辅助配置表!$V$1,MATCH(C120,卡牌辅助配置表!U:U,0)-1,0)*5*P120/10000/10000+M120*$V$1/10000</f>
        <v>#VALUE!</v>
      </c>
      <c r="V120" s="46" t="e">
        <f ca="1">OFFSET([2]怪物强度模型!$I$1,MATCH(F120,[2]怪物强度模型!$A:$A,0)-1,0)</f>
        <v>#VALUE!</v>
      </c>
      <c r="W120" t="e">
        <f ca="1" t="shared" si="36"/>
        <v>#VALUE!</v>
      </c>
    </row>
    <row r="121" customFormat="1" spans="1:23">
      <c r="A121" s="45">
        <f t="shared" si="37"/>
        <v>3104</v>
      </c>
      <c r="B121" s="46" t="s">
        <v>2793</v>
      </c>
      <c r="C121" s="45">
        <v>3</v>
      </c>
      <c r="D121" s="78">
        <v>104</v>
      </c>
      <c r="E121" s="78"/>
      <c r="F121" s="46">
        <f t="shared" si="32"/>
        <v>3032</v>
      </c>
      <c r="G121" s="46">
        <v>1.9</v>
      </c>
      <c r="H121" s="46">
        <v>7</v>
      </c>
      <c r="I121" s="46">
        <v>10</v>
      </c>
      <c r="J121" s="46">
        <v>20</v>
      </c>
      <c r="K121" s="46" t="e">
        <f ca="1" t="shared" si="38"/>
        <v>#VALUE!</v>
      </c>
      <c r="L121" s="46" t="e">
        <f ca="1" t="shared" si="39"/>
        <v>#VALUE!</v>
      </c>
      <c r="M121" s="46" t="e">
        <f ca="1" t="shared" si="40"/>
        <v>#VALUE!</v>
      </c>
      <c r="N121" s="46" t="e">
        <f ca="1" t="shared" si="23"/>
        <v>#VALUE!</v>
      </c>
      <c r="O121" s="46">
        <v>5</v>
      </c>
      <c r="P121" s="46">
        <v>32</v>
      </c>
      <c r="Q121" s="46" t="e">
        <f ca="1" t="shared" si="26"/>
        <v>#VALUE!</v>
      </c>
      <c r="R121" s="46" t="e">
        <f ca="1">OFFSET([2]怪物强度模型!$K$1,MATCH(F121,[2]怪物强度模型!$A:$A,0)-1,0)</f>
        <v>#VALUE!</v>
      </c>
      <c r="S121" s="46" t="e">
        <f ca="1">OFFSET([2]怪物强度模型!$O$1,MATCH(F121,[2]怪物强度模型!$A:$A,0)-1,0)</f>
        <v>#VALUE!</v>
      </c>
      <c r="T121" s="47" t="e">
        <f ca="1" t="shared" si="27"/>
        <v>#VALUE!</v>
      </c>
      <c r="U121" s="47" t="e">
        <f ca="1">Q121+N121*$V$1/10000+$V$1*OFFSET(卡牌辅助配置表!$V$1,MATCH(C121,卡牌辅助配置表!U:U,0)-1,0)*5*P121/10000/10000+M121*$V$1/10000</f>
        <v>#VALUE!</v>
      </c>
      <c r="V121" s="46" t="e">
        <f ca="1">OFFSET([2]怪物强度模型!$I$1,MATCH(F121,[2]怪物强度模型!$A:$A,0)-1,0)</f>
        <v>#VALUE!</v>
      </c>
      <c r="W121" t="e">
        <f ca="1" t="shared" si="36"/>
        <v>#VALUE!</v>
      </c>
    </row>
    <row r="122" customFormat="1" spans="1:23">
      <c r="A122" s="45">
        <f t="shared" si="37"/>
        <v>3105</v>
      </c>
      <c r="B122" s="46" t="s">
        <v>2793</v>
      </c>
      <c r="C122" s="45">
        <v>3</v>
      </c>
      <c r="D122" s="78">
        <v>105</v>
      </c>
      <c r="E122" s="78"/>
      <c r="F122" s="46">
        <f t="shared" si="32"/>
        <v>3032</v>
      </c>
      <c r="G122" s="208">
        <v>2</v>
      </c>
      <c r="H122" s="46">
        <v>7</v>
      </c>
      <c r="I122" s="46">
        <v>10</v>
      </c>
      <c r="J122" s="46">
        <v>20</v>
      </c>
      <c r="K122" s="46" t="e">
        <f ca="1" t="shared" si="38"/>
        <v>#VALUE!</v>
      </c>
      <c r="L122" s="46" t="e">
        <f ca="1" t="shared" si="39"/>
        <v>#VALUE!</v>
      </c>
      <c r="M122" s="46" t="e">
        <f ca="1" t="shared" si="40"/>
        <v>#VALUE!</v>
      </c>
      <c r="N122" s="46" t="e">
        <f ca="1" t="shared" si="23"/>
        <v>#VALUE!</v>
      </c>
      <c r="O122" s="46">
        <v>5</v>
      </c>
      <c r="P122" s="46">
        <v>32</v>
      </c>
      <c r="Q122" s="46" t="e">
        <f ca="1" t="shared" si="26"/>
        <v>#VALUE!</v>
      </c>
      <c r="R122" s="46" t="e">
        <f ca="1">OFFSET([2]怪物强度模型!$K$1,MATCH(F122,[2]怪物强度模型!$A:$A,0)-1,0)</f>
        <v>#VALUE!</v>
      </c>
      <c r="S122" s="46" t="e">
        <f ca="1">OFFSET([2]怪物强度模型!$O$1,MATCH(F122,[2]怪物强度模型!$A:$A,0)-1,0)</f>
        <v>#VALUE!</v>
      </c>
      <c r="T122" s="47" t="e">
        <f ca="1" t="shared" si="27"/>
        <v>#VALUE!</v>
      </c>
      <c r="U122" s="47" t="e">
        <f ca="1">Q122+N122*$V$1/10000+$V$1*OFFSET(卡牌辅助配置表!$V$1,MATCH(C122,卡牌辅助配置表!U:U,0)-1,0)*5*P122/10000/10000+M122*$V$1/10000</f>
        <v>#VALUE!</v>
      </c>
      <c r="V122" s="46" t="e">
        <f ca="1">OFFSET([2]怪物强度模型!$I$1,MATCH(F122,[2]怪物强度模型!$A:$A,0)-1,0)</f>
        <v>#VALUE!</v>
      </c>
      <c r="W122" t="e">
        <f ca="1" t="shared" si="36"/>
        <v>#VALUE!</v>
      </c>
    </row>
    <row r="123" customFormat="1" spans="1:23">
      <c r="A123" s="45">
        <f t="shared" si="37"/>
        <v>3106</v>
      </c>
      <c r="B123" s="46" t="s">
        <v>2793</v>
      </c>
      <c r="C123" s="45">
        <v>3</v>
      </c>
      <c r="D123" s="78">
        <v>106</v>
      </c>
      <c r="E123" s="78"/>
      <c r="F123" s="46">
        <f t="shared" si="32"/>
        <v>3033</v>
      </c>
      <c r="G123" s="46">
        <v>2.1</v>
      </c>
      <c r="H123" s="46">
        <v>7</v>
      </c>
      <c r="I123" s="46">
        <v>10</v>
      </c>
      <c r="J123" s="46">
        <v>20</v>
      </c>
      <c r="K123" s="46" t="e">
        <f ca="1" t="shared" si="38"/>
        <v>#VALUE!</v>
      </c>
      <c r="L123" s="46" t="e">
        <f ca="1" t="shared" si="39"/>
        <v>#VALUE!</v>
      </c>
      <c r="M123" s="46" t="e">
        <f ca="1" t="shared" si="40"/>
        <v>#VALUE!</v>
      </c>
      <c r="N123" s="46" t="e">
        <f ca="1" t="shared" si="23"/>
        <v>#VALUE!</v>
      </c>
      <c r="O123" s="46">
        <v>5</v>
      </c>
      <c r="P123" s="46">
        <v>33</v>
      </c>
      <c r="Q123" s="46" t="e">
        <f ca="1" t="shared" si="26"/>
        <v>#VALUE!</v>
      </c>
      <c r="R123" s="46" t="e">
        <f ca="1">OFFSET([2]怪物强度模型!$K$1,MATCH(F123,[2]怪物强度模型!$A:$A,0)-1,0)</f>
        <v>#VALUE!</v>
      </c>
      <c r="S123" s="46" t="e">
        <f ca="1">OFFSET([2]怪物强度模型!$O$1,MATCH(F123,[2]怪物强度模型!$A:$A,0)-1,0)</f>
        <v>#VALUE!</v>
      </c>
      <c r="T123" s="47" t="e">
        <f ca="1" t="shared" si="27"/>
        <v>#VALUE!</v>
      </c>
      <c r="U123" s="47" t="e">
        <f ca="1">Q123+N123*$V$1/10000+$V$1*OFFSET(卡牌辅助配置表!$V$1,MATCH(C123,卡牌辅助配置表!U:U,0)-1,0)*5*P123/10000/10000+M123*$V$1/10000</f>
        <v>#VALUE!</v>
      </c>
      <c r="V123" s="46" t="e">
        <f ca="1">OFFSET([2]怪物强度模型!$I$1,MATCH(F123,[2]怪物强度模型!$A:$A,0)-1,0)</f>
        <v>#VALUE!</v>
      </c>
      <c r="W123" t="e">
        <f ca="1" t="shared" si="36"/>
        <v>#VALUE!</v>
      </c>
    </row>
    <row r="124" customFormat="1" spans="1:23">
      <c r="A124" s="45">
        <f t="shared" si="37"/>
        <v>3107</v>
      </c>
      <c r="B124" s="46" t="s">
        <v>2793</v>
      </c>
      <c r="C124" s="45">
        <v>3</v>
      </c>
      <c r="D124" s="78">
        <v>107</v>
      </c>
      <c r="E124" s="78"/>
      <c r="F124" s="46">
        <f t="shared" si="32"/>
        <v>3033</v>
      </c>
      <c r="G124" s="46">
        <v>2</v>
      </c>
      <c r="H124" s="46">
        <v>7</v>
      </c>
      <c r="I124" s="46">
        <v>10</v>
      </c>
      <c r="J124" s="46">
        <v>20</v>
      </c>
      <c r="K124" s="46" t="e">
        <f ca="1" t="shared" si="38"/>
        <v>#VALUE!</v>
      </c>
      <c r="L124" s="46" t="e">
        <f ca="1" t="shared" si="39"/>
        <v>#VALUE!</v>
      </c>
      <c r="M124" s="46" t="e">
        <f ca="1" t="shared" si="40"/>
        <v>#VALUE!</v>
      </c>
      <c r="N124" s="46" t="e">
        <f ca="1" t="shared" si="23"/>
        <v>#VALUE!</v>
      </c>
      <c r="O124" s="46">
        <v>5</v>
      </c>
      <c r="P124" s="46">
        <v>33</v>
      </c>
      <c r="Q124" s="46" t="e">
        <f ca="1" t="shared" si="26"/>
        <v>#VALUE!</v>
      </c>
      <c r="R124" s="46" t="e">
        <f ca="1">OFFSET([2]怪物强度模型!$K$1,MATCH(F124,[2]怪物强度模型!$A:$A,0)-1,0)</f>
        <v>#VALUE!</v>
      </c>
      <c r="S124" s="46" t="e">
        <f ca="1">OFFSET([2]怪物强度模型!$O$1,MATCH(F124,[2]怪物强度模型!$A:$A,0)-1,0)</f>
        <v>#VALUE!</v>
      </c>
      <c r="T124" s="47" t="e">
        <f ca="1" t="shared" si="27"/>
        <v>#VALUE!</v>
      </c>
      <c r="U124" s="47" t="e">
        <f ca="1">Q124+N124*$V$1/10000+$V$1*OFFSET(卡牌辅助配置表!$V$1,MATCH(C124,卡牌辅助配置表!U:U,0)-1,0)*5*P124/10000/10000+M124*$V$1/10000</f>
        <v>#VALUE!</v>
      </c>
      <c r="V124" s="46" t="e">
        <f ca="1">OFFSET([2]怪物强度模型!$I$1,MATCH(F124,[2]怪物强度模型!$A:$A,0)-1,0)</f>
        <v>#VALUE!</v>
      </c>
      <c r="W124" t="e">
        <f ca="1" t="shared" si="36"/>
        <v>#VALUE!</v>
      </c>
    </row>
    <row r="125" customFormat="1" spans="1:23">
      <c r="A125" s="45">
        <f t="shared" si="37"/>
        <v>3108</v>
      </c>
      <c r="B125" s="46" t="s">
        <v>2793</v>
      </c>
      <c r="C125" s="45">
        <v>3</v>
      </c>
      <c r="D125" s="78">
        <v>108</v>
      </c>
      <c r="E125" s="78"/>
      <c r="F125" s="46">
        <f t="shared" si="32"/>
        <v>3033</v>
      </c>
      <c r="G125" s="46">
        <v>2.1</v>
      </c>
      <c r="H125" s="46">
        <v>7</v>
      </c>
      <c r="I125" s="46">
        <v>10</v>
      </c>
      <c r="J125" s="46">
        <v>20</v>
      </c>
      <c r="K125" s="46" t="e">
        <f ca="1" t="shared" si="38"/>
        <v>#VALUE!</v>
      </c>
      <c r="L125" s="46" t="e">
        <f ca="1" t="shared" si="39"/>
        <v>#VALUE!</v>
      </c>
      <c r="M125" s="46" t="e">
        <f ca="1" t="shared" si="40"/>
        <v>#VALUE!</v>
      </c>
      <c r="N125" s="46" t="e">
        <f ca="1" t="shared" si="23"/>
        <v>#VALUE!</v>
      </c>
      <c r="O125" s="46">
        <v>5</v>
      </c>
      <c r="P125" s="46">
        <v>33</v>
      </c>
      <c r="Q125" s="46" t="e">
        <f ca="1" t="shared" si="26"/>
        <v>#VALUE!</v>
      </c>
      <c r="R125" s="46" t="e">
        <f ca="1">OFFSET([2]怪物强度模型!$K$1,MATCH(F125,[2]怪物强度模型!$A:$A,0)-1,0)</f>
        <v>#VALUE!</v>
      </c>
      <c r="S125" s="46" t="e">
        <f ca="1">OFFSET([2]怪物强度模型!$O$1,MATCH(F125,[2]怪物强度模型!$A:$A,0)-1,0)</f>
        <v>#VALUE!</v>
      </c>
      <c r="T125" s="47" t="e">
        <f ca="1" t="shared" si="27"/>
        <v>#VALUE!</v>
      </c>
      <c r="U125" s="47" t="e">
        <f ca="1">Q125+N125*$V$1/10000+$V$1*OFFSET(卡牌辅助配置表!$V$1,MATCH(C125,卡牌辅助配置表!U:U,0)-1,0)*5*P125/10000/10000+M125*$V$1/10000</f>
        <v>#VALUE!</v>
      </c>
      <c r="V125" s="46" t="e">
        <f ca="1">OFFSET([2]怪物强度模型!$I$1,MATCH(F125,[2]怪物强度模型!$A:$A,0)-1,0)</f>
        <v>#VALUE!</v>
      </c>
      <c r="W125" t="e">
        <f ca="1" t="shared" si="36"/>
        <v>#VALUE!</v>
      </c>
    </row>
    <row r="126" customFormat="1" spans="1:23">
      <c r="A126" s="45">
        <f t="shared" si="37"/>
        <v>3109</v>
      </c>
      <c r="B126" s="46" t="s">
        <v>2793</v>
      </c>
      <c r="C126" s="45">
        <v>3</v>
      </c>
      <c r="D126" s="17">
        <v>109</v>
      </c>
      <c r="E126" s="78"/>
      <c r="F126" s="46">
        <f t="shared" si="32"/>
        <v>3034</v>
      </c>
      <c r="G126" s="46">
        <v>2.2</v>
      </c>
      <c r="H126" s="46">
        <v>7</v>
      </c>
      <c r="I126" s="46">
        <v>10</v>
      </c>
      <c r="J126" s="46">
        <v>20</v>
      </c>
      <c r="K126" s="46" t="e">
        <f ca="1" t="shared" si="38"/>
        <v>#VALUE!</v>
      </c>
      <c r="L126" s="46" t="e">
        <f ca="1" t="shared" si="39"/>
        <v>#VALUE!</v>
      </c>
      <c r="M126" s="46" t="e">
        <f ca="1" t="shared" si="40"/>
        <v>#VALUE!</v>
      </c>
      <c r="N126" s="46" t="e">
        <f ca="1" t="shared" si="23"/>
        <v>#VALUE!</v>
      </c>
      <c r="O126" s="46">
        <v>5</v>
      </c>
      <c r="P126" s="46">
        <v>34</v>
      </c>
      <c r="Q126" s="46" t="e">
        <f ca="1" t="shared" si="26"/>
        <v>#VALUE!</v>
      </c>
      <c r="R126" s="46" t="e">
        <f ca="1">OFFSET([2]怪物强度模型!$K$1,MATCH(F126,[2]怪物强度模型!$A:$A,0)-1,0)</f>
        <v>#VALUE!</v>
      </c>
      <c r="S126" s="46" t="e">
        <f ca="1">OFFSET([2]怪物强度模型!$O$1,MATCH(F126,[2]怪物强度模型!$A:$A,0)-1,0)</f>
        <v>#VALUE!</v>
      </c>
      <c r="T126" s="47" t="e">
        <f ca="1" t="shared" si="27"/>
        <v>#VALUE!</v>
      </c>
      <c r="U126" s="47" t="e">
        <f ca="1">Q126+N126*$V$1/10000+$V$1*OFFSET(卡牌辅助配置表!$V$1,MATCH(C126,卡牌辅助配置表!U:U,0)-1,0)*5*P126/10000/10000+M126*$V$1/10000</f>
        <v>#VALUE!</v>
      </c>
      <c r="V126" s="46" t="e">
        <f ca="1">OFFSET([2]怪物强度模型!$I$1,MATCH(F126,[2]怪物强度模型!$A:$A,0)-1,0)</f>
        <v>#VALUE!</v>
      </c>
      <c r="W126" t="e">
        <f ca="1" t="shared" si="36"/>
        <v>#VALUE!</v>
      </c>
    </row>
    <row r="127" customFormat="1" spans="1:23">
      <c r="A127" s="45">
        <f t="shared" si="37"/>
        <v>3110</v>
      </c>
      <c r="B127" s="46" t="s">
        <v>2793</v>
      </c>
      <c r="C127" s="45">
        <v>3</v>
      </c>
      <c r="D127" s="78">
        <v>110</v>
      </c>
      <c r="E127" s="78"/>
      <c r="F127" s="46">
        <f t="shared" si="32"/>
        <v>3033</v>
      </c>
      <c r="G127" s="46">
        <v>2.1</v>
      </c>
      <c r="H127" s="46">
        <v>7</v>
      </c>
      <c r="I127" s="46">
        <v>10</v>
      </c>
      <c r="J127" s="46">
        <v>20</v>
      </c>
      <c r="K127" s="46" t="e">
        <f ca="1" t="shared" si="38"/>
        <v>#VALUE!</v>
      </c>
      <c r="L127" s="46" t="e">
        <f ca="1" t="shared" si="39"/>
        <v>#VALUE!</v>
      </c>
      <c r="M127" s="46" t="e">
        <f ca="1" t="shared" si="40"/>
        <v>#VALUE!</v>
      </c>
      <c r="N127" s="46" t="e">
        <f ca="1" t="shared" si="23"/>
        <v>#VALUE!</v>
      </c>
      <c r="O127" s="46">
        <v>5</v>
      </c>
      <c r="P127" s="46">
        <v>33</v>
      </c>
      <c r="Q127" s="46" t="e">
        <f ca="1" t="shared" si="26"/>
        <v>#VALUE!</v>
      </c>
      <c r="R127" s="46" t="e">
        <f ca="1">OFFSET([2]怪物强度模型!$K$1,MATCH(F127,[2]怪物强度模型!$A:$A,0)-1,0)</f>
        <v>#VALUE!</v>
      </c>
      <c r="S127" s="46" t="e">
        <f ca="1">OFFSET([2]怪物强度模型!$O$1,MATCH(F127,[2]怪物强度模型!$A:$A,0)-1,0)</f>
        <v>#VALUE!</v>
      </c>
      <c r="T127" s="47" t="e">
        <f ca="1" t="shared" si="27"/>
        <v>#VALUE!</v>
      </c>
      <c r="U127" s="47" t="e">
        <f ca="1">Q127+N127*$V$1/10000+$V$1*OFFSET(卡牌辅助配置表!$V$1,MATCH(C127,卡牌辅助配置表!U:U,0)-1,0)*5*P127/10000/10000+M127*$V$1/10000</f>
        <v>#VALUE!</v>
      </c>
      <c r="V127" s="46" t="e">
        <f ca="1">OFFSET([2]怪物强度模型!$I$1,MATCH(F127,[2]怪物强度模型!$A:$A,0)-1,0)</f>
        <v>#VALUE!</v>
      </c>
      <c r="W127" t="e">
        <f ca="1" t="shared" si="36"/>
        <v>#VALUE!</v>
      </c>
    </row>
    <row r="128" customFormat="1" spans="1:23">
      <c r="A128" s="45">
        <f t="shared" si="37"/>
        <v>3111</v>
      </c>
      <c r="B128" s="46" t="s">
        <v>2793</v>
      </c>
      <c r="C128" s="45">
        <v>3</v>
      </c>
      <c r="D128" s="78">
        <v>111</v>
      </c>
      <c r="E128" s="78"/>
      <c r="F128" s="46">
        <f t="shared" si="32"/>
        <v>3034</v>
      </c>
      <c r="G128" s="46">
        <v>2.2</v>
      </c>
      <c r="H128" s="46">
        <v>7</v>
      </c>
      <c r="I128" s="46">
        <v>10</v>
      </c>
      <c r="J128" s="46">
        <v>20</v>
      </c>
      <c r="K128" s="46" t="e">
        <f ca="1" t="shared" si="38"/>
        <v>#VALUE!</v>
      </c>
      <c r="L128" s="46" t="e">
        <f ca="1" t="shared" si="39"/>
        <v>#VALUE!</v>
      </c>
      <c r="M128" s="46" t="e">
        <f ca="1" t="shared" si="40"/>
        <v>#VALUE!</v>
      </c>
      <c r="N128" s="46" t="e">
        <f ca="1" t="shared" si="23"/>
        <v>#VALUE!</v>
      </c>
      <c r="O128" s="46">
        <v>5</v>
      </c>
      <c r="P128" s="46">
        <v>34</v>
      </c>
      <c r="Q128" s="46" t="e">
        <f ca="1" t="shared" si="26"/>
        <v>#VALUE!</v>
      </c>
      <c r="R128" s="46" t="e">
        <f ca="1">OFFSET([2]怪物强度模型!$K$1,MATCH(F128,[2]怪物强度模型!$A:$A,0)-1,0)</f>
        <v>#VALUE!</v>
      </c>
      <c r="S128" s="46" t="e">
        <f ca="1">OFFSET([2]怪物强度模型!$O$1,MATCH(F128,[2]怪物强度模型!$A:$A,0)-1,0)</f>
        <v>#VALUE!</v>
      </c>
      <c r="T128" s="47" t="e">
        <f ca="1" t="shared" si="27"/>
        <v>#VALUE!</v>
      </c>
      <c r="U128" s="47" t="e">
        <f ca="1">Q128+N128*$V$1/10000+$V$1*OFFSET(卡牌辅助配置表!$V$1,MATCH(C128,卡牌辅助配置表!U:U,0)-1,0)*5*P128/10000/10000+M128*$V$1/10000</f>
        <v>#VALUE!</v>
      </c>
      <c r="V128" s="46" t="e">
        <f ca="1">OFFSET([2]怪物强度模型!$I$1,MATCH(F128,[2]怪物强度模型!$A:$A,0)-1,0)</f>
        <v>#VALUE!</v>
      </c>
      <c r="W128" t="e">
        <f ca="1" t="shared" si="36"/>
        <v>#VALUE!</v>
      </c>
    </row>
    <row r="129" customFormat="1" spans="1:23">
      <c r="A129" s="45">
        <f t="shared" si="37"/>
        <v>3112</v>
      </c>
      <c r="B129" s="46" t="s">
        <v>2793</v>
      </c>
      <c r="C129" s="45">
        <v>3</v>
      </c>
      <c r="D129" s="78">
        <v>112</v>
      </c>
      <c r="E129" s="78"/>
      <c r="F129" s="46">
        <f t="shared" si="32"/>
        <v>3034</v>
      </c>
      <c r="G129" s="46">
        <v>2.3</v>
      </c>
      <c r="H129" s="46">
        <v>7</v>
      </c>
      <c r="I129" s="46">
        <v>10</v>
      </c>
      <c r="J129" s="46">
        <v>20</v>
      </c>
      <c r="K129" s="46" t="e">
        <f ca="1" t="shared" si="38"/>
        <v>#VALUE!</v>
      </c>
      <c r="L129" s="46" t="e">
        <f ca="1" t="shared" si="39"/>
        <v>#VALUE!</v>
      </c>
      <c r="M129" s="46" t="e">
        <f ca="1" t="shared" si="40"/>
        <v>#VALUE!</v>
      </c>
      <c r="N129" s="46" t="e">
        <f ca="1" t="shared" ref="N129:N192" si="41">ROUND(M129/$N$1,0)</f>
        <v>#VALUE!</v>
      </c>
      <c r="O129" s="46">
        <v>5</v>
      </c>
      <c r="P129" s="46">
        <v>34</v>
      </c>
      <c r="Q129" s="46" t="e">
        <f ca="1" t="shared" si="26"/>
        <v>#VALUE!</v>
      </c>
      <c r="R129" s="46" t="e">
        <f ca="1">OFFSET([2]怪物强度模型!$K$1,MATCH(F129,[2]怪物强度模型!$A:$A,0)-1,0)</f>
        <v>#VALUE!</v>
      </c>
      <c r="S129" s="46" t="e">
        <f ca="1">OFFSET([2]怪物强度模型!$O$1,MATCH(F129,[2]怪物强度模型!$A:$A,0)-1,0)</f>
        <v>#VALUE!</v>
      </c>
      <c r="T129" s="47" t="e">
        <f ca="1" t="shared" si="27"/>
        <v>#VALUE!</v>
      </c>
      <c r="U129" s="47" t="e">
        <f ca="1">Q129+N129*$V$1/10000+$V$1*OFFSET(卡牌辅助配置表!$V$1,MATCH(C129,卡牌辅助配置表!U:U,0)-1,0)*5*P129/10000/10000+M129*$V$1/10000</f>
        <v>#VALUE!</v>
      </c>
      <c r="V129" s="46" t="e">
        <f ca="1">OFFSET([2]怪物强度模型!$I$1,MATCH(F129,[2]怪物强度模型!$A:$A,0)-1,0)</f>
        <v>#VALUE!</v>
      </c>
      <c r="W129" t="e">
        <f ca="1" t="shared" si="36"/>
        <v>#VALUE!</v>
      </c>
    </row>
    <row r="130" customFormat="1" spans="1:23">
      <c r="A130" s="45">
        <f t="shared" si="37"/>
        <v>3113</v>
      </c>
      <c r="B130" s="46" t="s">
        <v>2793</v>
      </c>
      <c r="C130" s="45">
        <v>3</v>
      </c>
      <c r="D130" s="78">
        <v>113</v>
      </c>
      <c r="E130" s="78"/>
      <c r="F130" s="46">
        <f t="shared" si="32"/>
        <v>3034</v>
      </c>
      <c r="G130" s="46">
        <v>2.1</v>
      </c>
      <c r="H130" s="46">
        <v>7</v>
      </c>
      <c r="I130" s="46">
        <v>10</v>
      </c>
      <c r="J130" s="46">
        <v>20</v>
      </c>
      <c r="K130" s="46" t="e">
        <f ca="1" t="shared" si="38"/>
        <v>#VALUE!</v>
      </c>
      <c r="L130" s="46" t="e">
        <f ca="1" t="shared" si="39"/>
        <v>#VALUE!</v>
      </c>
      <c r="M130" s="46" t="e">
        <f ca="1" t="shared" si="40"/>
        <v>#VALUE!</v>
      </c>
      <c r="N130" s="46" t="e">
        <f ca="1" t="shared" si="41"/>
        <v>#VALUE!</v>
      </c>
      <c r="O130" s="46">
        <v>5</v>
      </c>
      <c r="P130" s="46">
        <v>34</v>
      </c>
      <c r="Q130" s="46" t="e">
        <f ca="1" t="shared" si="26"/>
        <v>#VALUE!</v>
      </c>
      <c r="R130" s="46" t="e">
        <f ca="1">OFFSET([2]怪物强度模型!$K$1,MATCH(F130,[2]怪物强度模型!$A:$A,0)-1,0)</f>
        <v>#VALUE!</v>
      </c>
      <c r="S130" s="46" t="e">
        <f ca="1">OFFSET([2]怪物强度模型!$O$1,MATCH(F130,[2]怪物强度模型!$A:$A,0)-1,0)</f>
        <v>#VALUE!</v>
      </c>
      <c r="T130" s="47" t="e">
        <f ca="1" t="shared" si="27"/>
        <v>#VALUE!</v>
      </c>
      <c r="U130" s="47" t="e">
        <f ca="1">Q130+N130*$V$1/10000+$V$1*OFFSET(卡牌辅助配置表!$V$1,MATCH(C130,卡牌辅助配置表!U:U,0)-1,0)*5*P130/10000/10000+M130*$V$1/10000</f>
        <v>#VALUE!</v>
      </c>
      <c r="V130" s="46" t="e">
        <f ca="1">OFFSET([2]怪物强度模型!$I$1,MATCH(F130,[2]怪物强度模型!$A:$A,0)-1,0)</f>
        <v>#VALUE!</v>
      </c>
      <c r="W130" t="e">
        <f ca="1" t="shared" si="36"/>
        <v>#VALUE!</v>
      </c>
    </row>
    <row r="131" customFormat="1" spans="1:31">
      <c r="A131" s="45">
        <f t="shared" si="37"/>
        <v>3114</v>
      </c>
      <c r="B131" s="46" t="s">
        <v>2793</v>
      </c>
      <c r="C131" s="45">
        <v>3</v>
      </c>
      <c r="D131" s="78">
        <v>114</v>
      </c>
      <c r="E131" s="78"/>
      <c r="F131" s="46">
        <f t="shared" si="32"/>
        <v>3035</v>
      </c>
      <c r="G131" s="46">
        <v>2.2</v>
      </c>
      <c r="H131" s="46">
        <v>7</v>
      </c>
      <c r="I131" s="46">
        <v>10</v>
      </c>
      <c r="J131" s="46">
        <v>20</v>
      </c>
      <c r="K131" s="46" t="e">
        <f ca="1" t="shared" si="38"/>
        <v>#VALUE!</v>
      </c>
      <c r="L131" s="46" t="e">
        <f ca="1" t="shared" si="39"/>
        <v>#VALUE!</v>
      </c>
      <c r="M131" s="46" t="e">
        <f ca="1" t="shared" si="40"/>
        <v>#VALUE!</v>
      </c>
      <c r="N131" s="46" t="e">
        <f ca="1" t="shared" si="41"/>
        <v>#VALUE!</v>
      </c>
      <c r="O131" s="46">
        <v>5</v>
      </c>
      <c r="P131" s="46">
        <v>35</v>
      </c>
      <c r="Q131" s="46" t="e">
        <f ca="1" t="shared" si="26"/>
        <v>#VALUE!</v>
      </c>
      <c r="R131" s="46" t="e">
        <f ca="1">OFFSET([2]怪物强度模型!$K$1,MATCH(F131,[2]怪物强度模型!$A:$A,0)-1,0)</f>
        <v>#VALUE!</v>
      </c>
      <c r="S131" s="46" t="e">
        <f ca="1">OFFSET([2]怪物强度模型!$O$1,MATCH(F131,[2]怪物强度模型!$A:$A,0)-1,0)</f>
        <v>#VALUE!</v>
      </c>
      <c r="T131" s="47" t="e">
        <f ca="1" t="shared" si="27"/>
        <v>#VALUE!</v>
      </c>
      <c r="U131" s="47" t="e">
        <f ca="1">Q131+N131*$V$1/10000+$V$1*OFFSET(卡牌辅助配置表!$V$1,MATCH(C131,卡牌辅助配置表!U:U,0)-1,0)*5*P131/10000/10000+M131*$V$1/10000</f>
        <v>#VALUE!</v>
      </c>
      <c r="V131" s="46" t="e">
        <f ca="1">OFFSET([2]怪物强度模型!$I$1,MATCH(F131,[2]怪物强度模型!$A:$A,0)-1,0)</f>
        <v>#VALUE!</v>
      </c>
      <c r="W131" t="e">
        <f ca="1" t="shared" si="36"/>
        <v>#VALUE!</v>
      </c>
      <c r="AD131">
        <v>20</v>
      </c>
      <c r="AE131">
        <f>AD131*8</f>
        <v>160</v>
      </c>
    </row>
    <row r="132" customFormat="1" spans="1:31">
      <c r="A132" s="45">
        <f t="shared" si="37"/>
        <v>3115</v>
      </c>
      <c r="B132" s="46" t="s">
        <v>2793</v>
      </c>
      <c r="C132" s="45">
        <v>3</v>
      </c>
      <c r="D132" s="78">
        <v>115</v>
      </c>
      <c r="E132" s="78"/>
      <c r="F132" s="46">
        <f t="shared" ref="F132:F163" si="42">C132*1000+P132</f>
        <v>3035</v>
      </c>
      <c r="G132" s="46">
        <v>2.3</v>
      </c>
      <c r="H132" s="46">
        <v>7</v>
      </c>
      <c r="I132" s="46">
        <v>10</v>
      </c>
      <c r="J132" s="46">
        <v>20</v>
      </c>
      <c r="K132" s="46" t="e">
        <f ca="1" t="shared" si="38"/>
        <v>#VALUE!</v>
      </c>
      <c r="L132" s="46" t="e">
        <f ca="1" t="shared" si="39"/>
        <v>#VALUE!</v>
      </c>
      <c r="M132" s="46" t="e">
        <f ca="1" t="shared" si="40"/>
        <v>#VALUE!</v>
      </c>
      <c r="N132" s="46" t="e">
        <f ca="1" t="shared" si="41"/>
        <v>#VALUE!</v>
      </c>
      <c r="O132" s="46">
        <v>5</v>
      </c>
      <c r="P132" s="46">
        <v>35</v>
      </c>
      <c r="Q132" s="46" t="e">
        <f ca="1" t="shared" si="26"/>
        <v>#VALUE!</v>
      </c>
      <c r="R132" s="46" t="e">
        <f ca="1">OFFSET([2]怪物强度模型!$K$1,MATCH(F132,[2]怪物强度模型!$A:$A,0)-1,0)</f>
        <v>#VALUE!</v>
      </c>
      <c r="S132" s="46" t="e">
        <f ca="1">OFFSET([2]怪物强度模型!$O$1,MATCH(F132,[2]怪物强度模型!$A:$A,0)-1,0)</f>
        <v>#VALUE!</v>
      </c>
      <c r="T132" s="47" t="e">
        <f ca="1" t="shared" si="27"/>
        <v>#VALUE!</v>
      </c>
      <c r="U132" s="47" t="e">
        <f ca="1">Q132+N132*$V$1/10000+$V$1*OFFSET(卡牌辅助配置表!$V$1,MATCH(C132,卡牌辅助配置表!U:U,0)-1,0)*5*P132/10000/10000+M132*$V$1/10000</f>
        <v>#VALUE!</v>
      </c>
      <c r="V132" s="46" t="e">
        <f ca="1">OFFSET([2]怪物强度模型!$I$1,MATCH(F132,[2]怪物强度模型!$A:$A,0)-1,0)</f>
        <v>#VALUE!</v>
      </c>
      <c r="W132" t="e">
        <f ca="1" t="shared" si="36"/>
        <v>#VALUE!</v>
      </c>
      <c r="AD132">
        <v>10</v>
      </c>
      <c r="AE132">
        <f>AD132*8</f>
        <v>80</v>
      </c>
    </row>
    <row r="133" customFormat="1" spans="1:31">
      <c r="A133" s="45">
        <f t="shared" si="37"/>
        <v>3116</v>
      </c>
      <c r="B133" s="46" t="s">
        <v>2793</v>
      </c>
      <c r="C133" s="45">
        <v>3</v>
      </c>
      <c r="D133" s="78">
        <v>116</v>
      </c>
      <c r="E133" s="78"/>
      <c r="F133" s="46">
        <f t="shared" si="42"/>
        <v>3035</v>
      </c>
      <c r="G133" s="46">
        <v>2.1</v>
      </c>
      <c r="H133" s="46">
        <v>7</v>
      </c>
      <c r="I133" s="46">
        <v>10</v>
      </c>
      <c r="J133" s="46">
        <v>20</v>
      </c>
      <c r="K133" s="46" t="e">
        <f ca="1" t="shared" si="38"/>
        <v>#VALUE!</v>
      </c>
      <c r="L133" s="46" t="e">
        <f ca="1" t="shared" si="39"/>
        <v>#VALUE!</v>
      </c>
      <c r="M133" s="46" t="e">
        <f ca="1" t="shared" si="40"/>
        <v>#VALUE!</v>
      </c>
      <c r="N133" s="46" t="e">
        <f ca="1" t="shared" si="41"/>
        <v>#VALUE!</v>
      </c>
      <c r="O133" s="46">
        <v>5</v>
      </c>
      <c r="P133" s="46">
        <v>35</v>
      </c>
      <c r="Q133" s="46" t="e">
        <f ca="1" t="shared" si="26"/>
        <v>#VALUE!</v>
      </c>
      <c r="R133" s="46" t="e">
        <f ca="1">OFFSET([2]怪物强度模型!$K$1,MATCH(F133,[2]怪物强度模型!$A:$A,0)-1,0)</f>
        <v>#VALUE!</v>
      </c>
      <c r="S133" s="46" t="e">
        <f ca="1">OFFSET([2]怪物强度模型!$O$1,MATCH(F133,[2]怪物强度模型!$A:$A,0)-1,0)</f>
        <v>#VALUE!</v>
      </c>
      <c r="T133" s="47" t="e">
        <f ca="1" t="shared" si="27"/>
        <v>#VALUE!</v>
      </c>
      <c r="U133" s="47" t="e">
        <f ca="1">Q133+N133*$V$1/10000+$V$1*OFFSET(卡牌辅助配置表!$V$1,MATCH(C133,卡牌辅助配置表!U:U,0)-1,0)*5*P133/10000/10000+M133*$V$1/10000</f>
        <v>#VALUE!</v>
      </c>
      <c r="V133" s="46" t="e">
        <f ca="1">OFFSET([2]怪物强度模型!$I$1,MATCH(F133,[2]怪物强度模型!$A:$A,0)-1,0)</f>
        <v>#VALUE!</v>
      </c>
      <c r="W133" t="e">
        <f ca="1" t="shared" si="36"/>
        <v>#VALUE!</v>
      </c>
      <c r="AD133">
        <v>229</v>
      </c>
      <c r="AE133">
        <f>AD133</f>
        <v>229</v>
      </c>
    </row>
    <row r="134" customFormat="1" spans="1:23">
      <c r="A134" s="45">
        <f t="shared" si="37"/>
        <v>3117</v>
      </c>
      <c r="B134" s="46" t="s">
        <v>2793</v>
      </c>
      <c r="C134" s="45">
        <v>3</v>
      </c>
      <c r="D134" s="78">
        <v>117</v>
      </c>
      <c r="E134" s="78"/>
      <c r="F134" s="46">
        <f t="shared" si="42"/>
        <v>3036</v>
      </c>
      <c r="G134" s="46">
        <v>2.2</v>
      </c>
      <c r="H134" s="46">
        <v>7</v>
      </c>
      <c r="I134" s="46">
        <v>10</v>
      </c>
      <c r="J134" s="46">
        <v>20</v>
      </c>
      <c r="K134" s="46" t="e">
        <f ca="1" t="shared" si="38"/>
        <v>#VALUE!</v>
      </c>
      <c r="L134" s="46" t="e">
        <f ca="1" t="shared" si="39"/>
        <v>#VALUE!</v>
      </c>
      <c r="M134" s="46" t="e">
        <f ca="1" t="shared" si="40"/>
        <v>#VALUE!</v>
      </c>
      <c r="N134" s="46" t="e">
        <f ca="1" t="shared" si="41"/>
        <v>#VALUE!</v>
      </c>
      <c r="O134" s="46">
        <v>5</v>
      </c>
      <c r="P134" s="46">
        <v>36</v>
      </c>
      <c r="Q134" s="46" t="e">
        <f ca="1" t="shared" si="26"/>
        <v>#VALUE!</v>
      </c>
      <c r="R134" s="46" t="e">
        <f ca="1">OFFSET([2]怪物强度模型!$K$1,MATCH(F134,[2]怪物强度模型!$A:$A,0)-1,0)</f>
        <v>#VALUE!</v>
      </c>
      <c r="S134" s="46" t="e">
        <f ca="1">OFFSET([2]怪物强度模型!$O$1,MATCH(F134,[2]怪物强度模型!$A:$A,0)-1,0)</f>
        <v>#VALUE!</v>
      </c>
      <c r="T134" s="47" t="e">
        <f ca="1" t="shared" si="27"/>
        <v>#VALUE!</v>
      </c>
      <c r="U134" s="47" t="e">
        <f ca="1">Q134+N134*$V$1/10000+$V$1*OFFSET(卡牌辅助配置表!$V$1,MATCH(C134,卡牌辅助配置表!U:U,0)-1,0)*5*P134/10000/10000+M134*$V$1/10000</f>
        <v>#VALUE!</v>
      </c>
      <c r="V134" s="46" t="e">
        <f ca="1">OFFSET([2]怪物强度模型!$I$1,MATCH(F134,[2]怪物强度模型!$A:$A,0)-1,0)</f>
        <v>#VALUE!</v>
      </c>
      <c r="W134" t="e">
        <f ca="1" t="shared" si="36"/>
        <v>#VALUE!</v>
      </c>
    </row>
    <row r="135" customFormat="1" spans="1:23">
      <c r="A135" s="45">
        <f t="shared" si="37"/>
        <v>3118</v>
      </c>
      <c r="B135" s="46" t="s">
        <v>2793</v>
      </c>
      <c r="C135" s="45">
        <v>3</v>
      </c>
      <c r="D135" s="78">
        <v>118</v>
      </c>
      <c r="E135" s="78"/>
      <c r="F135" s="46">
        <f t="shared" si="42"/>
        <v>3036</v>
      </c>
      <c r="G135" s="46">
        <v>2.3</v>
      </c>
      <c r="H135" s="46">
        <v>7</v>
      </c>
      <c r="I135" s="46">
        <v>10</v>
      </c>
      <c r="J135" s="46">
        <v>20</v>
      </c>
      <c r="K135" s="46" t="e">
        <f ca="1" t="shared" si="38"/>
        <v>#VALUE!</v>
      </c>
      <c r="L135" s="46" t="e">
        <f ca="1" t="shared" si="39"/>
        <v>#VALUE!</v>
      </c>
      <c r="M135" s="46" t="e">
        <f ca="1" t="shared" si="40"/>
        <v>#VALUE!</v>
      </c>
      <c r="N135" s="46" t="e">
        <f ca="1" t="shared" si="41"/>
        <v>#VALUE!</v>
      </c>
      <c r="O135" s="46">
        <v>5</v>
      </c>
      <c r="P135" s="46">
        <v>36</v>
      </c>
      <c r="Q135" s="46" t="e">
        <f ca="1" t="shared" ref="Q135:Q198" si="43">G135*(R135+S135-N135)*V135</f>
        <v>#VALUE!</v>
      </c>
      <c r="R135" s="46" t="e">
        <f ca="1">OFFSET([2]怪物强度模型!$K$1,MATCH(F135,[2]怪物强度模型!$A:$A,0)-1,0)</f>
        <v>#VALUE!</v>
      </c>
      <c r="S135" s="46" t="e">
        <f ca="1">OFFSET([2]怪物强度模型!$O$1,MATCH(F135,[2]怪物强度模型!$A:$A,0)-1,0)</f>
        <v>#VALUE!</v>
      </c>
      <c r="T135" s="47" t="e">
        <f ca="1" t="shared" ref="T135:T198" si="44">ROUND(U135*$T$1,0)</f>
        <v>#VALUE!</v>
      </c>
      <c r="U135" s="47" t="e">
        <f ca="1">Q135+N135*$V$1/10000+$V$1*OFFSET(卡牌辅助配置表!$V$1,MATCH(C135,卡牌辅助配置表!U:U,0)-1,0)*5*P135/10000/10000+M135*$V$1/10000</f>
        <v>#VALUE!</v>
      </c>
      <c r="V135" s="46" t="e">
        <f ca="1">OFFSET([2]怪物强度模型!$I$1,MATCH(F135,[2]怪物强度模型!$A:$A,0)-1,0)</f>
        <v>#VALUE!</v>
      </c>
      <c r="W135" t="e">
        <f ca="1" t="shared" si="36"/>
        <v>#VALUE!</v>
      </c>
    </row>
    <row r="136" customFormat="1" spans="1:23">
      <c r="A136" s="45">
        <f t="shared" si="37"/>
        <v>3119</v>
      </c>
      <c r="B136" s="46" t="s">
        <v>2793</v>
      </c>
      <c r="C136" s="45">
        <v>3</v>
      </c>
      <c r="D136" s="78">
        <v>119</v>
      </c>
      <c r="E136" s="78"/>
      <c r="F136" s="46">
        <f t="shared" si="42"/>
        <v>3036</v>
      </c>
      <c r="G136" s="46">
        <v>2.3</v>
      </c>
      <c r="H136" s="46">
        <v>7</v>
      </c>
      <c r="I136" s="46">
        <v>10</v>
      </c>
      <c r="J136" s="46">
        <v>20</v>
      </c>
      <c r="K136" s="46" t="e">
        <f ca="1" t="shared" si="38"/>
        <v>#VALUE!</v>
      </c>
      <c r="L136" s="46" t="e">
        <f ca="1" t="shared" si="39"/>
        <v>#VALUE!</v>
      </c>
      <c r="M136" s="46" t="e">
        <f ca="1" t="shared" si="40"/>
        <v>#VALUE!</v>
      </c>
      <c r="N136" s="46" t="e">
        <f ca="1" t="shared" si="41"/>
        <v>#VALUE!</v>
      </c>
      <c r="O136" s="46">
        <v>5</v>
      </c>
      <c r="P136" s="46">
        <v>36</v>
      </c>
      <c r="Q136" s="46" t="e">
        <f ca="1" t="shared" si="43"/>
        <v>#VALUE!</v>
      </c>
      <c r="R136" s="46" t="e">
        <f ca="1">OFFSET([2]怪物强度模型!$K$1,MATCH(F136,[2]怪物强度模型!$A:$A,0)-1,0)</f>
        <v>#VALUE!</v>
      </c>
      <c r="S136" s="46" t="e">
        <f ca="1">OFFSET([2]怪物强度模型!$O$1,MATCH(F136,[2]怪物强度模型!$A:$A,0)-1,0)</f>
        <v>#VALUE!</v>
      </c>
      <c r="T136" s="47" t="e">
        <f ca="1" t="shared" si="44"/>
        <v>#VALUE!</v>
      </c>
      <c r="U136" s="47" t="e">
        <f ca="1">Q136+N136*$V$1/10000+$V$1*OFFSET(卡牌辅助配置表!$V$1,MATCH(C136,卡牌辅助配置表!U:U,0)-1,0)*5*P136/10000/10000+M136*$V$1/10000</f>
        <v>#VALUE!</v>
      </c>
      <c r="V136" s="46" t="e">
        <f ca="1">OFFSET([2]怪物强度模型!$I$1,MATCH(F136,[2]怪物强度模型!$A:$A,0)-1,0)</f>
        <v>#VALUE!</v>
      </c>
      <c r="W136" t="e">
        <f ca="1" t="shared" si="36"/>
        <v>#VALUE!</v>
      </c>
    </row>
    <row r="137" customFormat="1" spans="1:23">
      <c r="A137" s="45">
        <f t="shared" si="37"/>
        <v>3120</v>
      </c>
      <c r="B137" s="46" t="s">
        <v>2793</v>
      </c>
      <c r="C137" s="45">
        <v>3</v>
      </c>
      <c r="D137" s="17">
        <v>120</v>
      </c>
      <c r="E137" s="78"/>
      <c r="F137" s="46">
        <f t="shared" si="42"/>
        <v>3037</v>
      </c>
      <c r="G137" s="46">
        <v>2.4</v>
      </c>
      <c r="H137" s="46">
        <v>7</v>
      </c>
      <c r="I137" s="46">
        <v>10</v>
      </c>
      <c r="J137" s="46">
        <v>20</v>
      </c>
      <c r="K137" s="46" t="e">
        <f ca="1" t="shared" si="38"/>
        <v>#VALUE!</v>
      </c>
      <c r="L137" s="46" t="e">
        <f ca="1" t="shared" si="39"/>
        <v>#VALUE!</v>
      </c>
      <c r="M137" s="46" t="e">
        <f ca="1" t="shared" si="40"/>
        <v>#VALUE!</v>
      </c>
      <c r="N137" s="46" t="e">
        <f ca="1" t="shared" si="41"/>
        <v>#VALUE!</v>
      </c>
      <c r="O137" s="46">
        <v>5</v>
      </c>
      <c r="P137" s="46">
        <v>37</v>
      </c>
      <c r="Q137" s="46" t="e">
        <f ca="1" t="shared" si="43"/>
        <v>#VALUE!</v>
      </c>
      <c r="R137" s="46" t="e">
        <f ca="1">OFFSET([2]怪物强度模型!$K$1,MATCH(F137,[2]怪物强度模型!$A:$A,0)-1,0)</f>
        <v>#VALUE!</v>
      </c>
      <c r="S137" s="46" t="e">
        <f ca="1">OFFSET([2]怪物强度模型!$O$1,MATCH(F137,[2]怪物强度模型!$A:$A,0)-1,0)</f>
        <v>#VALUE!</v>
      </c>
      <c r="T137" s="47" t="e">
        <f ca="1" t="shared" si="44"/>
        <v>#VALUE!</v>
      </c>
      <c r="U137" s="47" t="e">
        <f ca="1">Q137+N137*$V$1/10000+$V$1*OFFSET(卡牌辅助配置表!$V$1,MATCH(C137,卡牌辅助配置表!U:U,0)-1,0)*5*P137/10000/10000+M137*$V$1/10000</f>
        <v>#VALUE!</v>
      </c>
      <c r="V137" s="46" t="e">
        <f ca="1">OFFSET([2]怪物强度模型!$I$1,MATCH(F137,[2]怪物强度模型!$A:$A,0)-1,0)</f>
        <v>#VALUE!</v>
      </c>
      <c r="W137" t="e">
        <f ca="1" t="shared" si="36"/>
        <v>#VALUE!</v>
      </c>
    </row>
    <row r="138" customFormat="1" spans="1:23">
      <c r="A138" s="45">
        <f t="shared" si="37"/>
        <v>3121</v>
      </c>
      <c r="B138" s="46" t="s">
        <v>2793</v>
      </c>
      <c r="C138" s="45">
        <v>3</v>
      </c>
      <c r="D138" s="78">
        <v>121</v>
      </c>
      <c r="E138" s="78"/>
      <c r="F138" s="46">
        <f t="shared" si="42"/>
        <v>3037</v>
      </c>
      <c r="G138" s="46">
        <v>2.3</v>
      </c>
      <c r="H138" s="46">
        <v>7</v>
      </c>
      <c r="I138" s="46">
        <v>10</v>
      </c>
      <c r="J138" s="46">
        <v>20</v>
      </c>
      <c r="K138" s="46" t="e">
        <f ca="1" t="shared" si="38"/>
        <v>#VALUE!</v>
      </c>
      <c r="L138" s="46" t="e">
        <f ca="1" t="shared" si="39"/>
        <v>#VALUE!</v>
      </c>
      <c r="M138" s="46" t="e">
        <f ca="1" t="shared" si="40"/>
        <v>#VALUE!</v>
      </c>
      <c r="N138" s="46" t="e">
        <f ca="1" t="shared" si="41"/>
        <v>#VALUE!</v>
      </c>
      <c r="O138" s="46">
        <v>5</v>
      </c>
      <c r="P138" s="46">
        <f t="shared" ref="P138:P148" si="45">P135+1</f>
        <v>37</v>
      </c>
      <c r="Q138" s="46" t="e">
        <f ca="1" t="shared" si="43"/>
        <v>#VALUE!</v>
      </c>
      <c r="R138" s="46" t="e">
        <f ca="1">OFFSET([2]怪物强度模型!$K$1,MATCH(F138,[2]怪物强度模型!$A:$A,0)-1,0)</f>
        <v>#VALUE!</v>
      </c>
      <c r="S138" s="46" t="e">
        <f ca="1">OFFSET([2]怪物强度模型!$O$1,MATCH(F138,[2]怪物强度模型!$A:$A,0)-1,0)</f>
        <v>#VALUE!</v>
      </c>
      <c r="T138" s="47" t="e">
        <f ca="1" t="shared" si="44"/>
        <v>#VALUE!</v>
      </c>
      <c r="U138" s="47" t="e">
        <f ca="1">Q138+N138*$V$1/10000+$V$1*OFFSET(卡牌辅助配置表!$V$1,MATCH(C138,卡牌辅助配置表!U:U,0)-1,0)*5*P138/10000/10000+M138*$V$1/10000</f>
        <v>#VALUE!</v>
      </c>
      <c r="V138" s="46" t="e">
        <f ca="1">OFFSET([2]怪物强度模型!$I$1,MATCH(F138,[2]怪物强度模型!$A:$A,0)-1,0)</f>
        <v>#VALUE!</v>
      </c>
      <c r="W138" t="e">
        <f ca="1" t="shared" si="36"/>
        <v>#VALUE!</v>
      </c>
    </row>
    <row r="139" customFormat="1" spans="1:23">
      <c r="A139" s="45">
        <f t="shared" si="37"/>
        <v>3122</v>
      </c>
      <c r="B139" s="46" t="s">
        <v>2793</v>
      </c>
      <c r="C139" s="45">
        <v>3</v>
      </c>
      <c r="D139" s="78">
        <v>122</v>
      </c>
      <c r="E139" s="78"/>
      <c r="F139" s="46">
        <f t="shared" si="42"/>
        <v>3037</v>
      </c>
      <c r="G139" s="46">
        <v>2.4</v>
      </c>
      <c r="H139" s="46">
        <v>7</v>
      </c>
      <c r="I139" s="46">
        <v>10</v>
      </c>
      <c r="J139" s="46">
        <v>20</v>
      </c>
      <c r="K139" s="46" t="e">
        <f ca="1" t="shared" si="38"/>
        <v>#VALUE!</v>
      </c>
      <c r="L139" s="46" t="e">
        <f ca="1" t="shared" si="39"/>
        <v>#VALUE!</v>
      </c>
      <c r="M139" s="46" t="e">
        <f ca="1" t="shared" si="40"/>
        <v>#VALUE!</v>
      </c>
      <c r="N139" s="46" t="e">
        <f ca="1" t="shared" si="41"/>
        <v>#VALUE!</v>
      </c>
      <c r="O139" s="46">
        <v>5</v>
      </c>
      <c r="P139" s="46">
        <f t="shared" si="45"/>
        <v>37</v>
      </c>
      <c r="Q139" s="46" t="e">
        <f ca="1" t="shared" si="43"/>
        <v>#VALUE!</v>
      </c>
      <c r="R139" s="46" t="e">
        <f ca="1">OFFSET([2]怪物强度模型!$K$1,MATCH(F139,[2]怪物强度模型!$A:$A,0)-1,0)</f>
        <v>#VALUE!</v>
      </c>
      <c r="S139" s="46" t="e">
        <f ca="1">OFFSET([2]怪物强度模型!$O$1,MATCH(F139,[2]怪物强度模型!$A:$A,0)-1,0)</f>
        <v>#VALUE!</v>
      </c>
      <c r="T139" s="47" t="e">
        <f ca="1" t="shared" si="44"/>
        <v>#VALUE!</v>
      </c>
      <c r="U139" s="47" t="e">
        <f ca="1">Q139+N139*$V$1/10000+$V$1*OFFSET(卡牌辅助配置表!$V$1,MATCH(C139,卡牌辅助配置表!U:U,0)-1,0)*5*P139/10000/10000+M139*$V$1/10000</f>
        <v>#VALUE!</v>
      </c>
      <c r="V139" s="46" t="e">
        <f ca="1">OFFSET([2]怪物强度模型!$I$1,MATCH(F139,[2]怪物强度模型!$A:$A,0)-1,0)</f>
        <v>#VALUE!</v>
      </c>
      <c r="W139" t="e">
        <f ca="1" t="shared" si="36"/>
        <v>#VALUE!</v>
      </c>
    </row>
    <row r="140" customFormat="1" spans="1:23">
      <c r="A140" s="45">
        <f t="shared" si="37"/>
        <v>3123</v>
      </c>
      <c r="B140" s="46" t="s">
        <v>2793</v>
      </c>
      <c r="C140" s="45">
        <v>3</v>
      </c>
      <c r="D140" s="78">
        <v>123</v>
      </c>
      <c r="E140" s="78"/>
      <c r="F140" s="46">
        <f t="shared" si="42"/>
        <v>3038</v>
      </c>
      <c r="G140" s="46">
        <v>2.5</v>
      </c>
      <c r="H140" s="46">
        <v>7</v>
      </c>
      <c r="I140" s="46">
        <v>10</v>
      </c>
      <c r="J140" s="46">
        <v>20</v>
      </c>
      <c r="K140" s="46" t="e">
        <f ca="1" t="shared" si="38"/>
        <v>#VALUE!</v>
      </c>
      <c r="L140" s="46" t="e">
        <f ca="1" t="shared" si="39"/>
        <v>#VALUE!</v>
      </c>
      <c r="M140" s="46" t="e">
        <f ca="1" t="shared" si="40"/>
        <v>#VALUE!</v>
      </c>
      <c r="N140" s="46" t="e">
        <f ca="1" t="shared" si="41"/>
        <v>#VALUE!</v>
      </c>
      <c r="O140" s="46">
        <v>5</v>
      </c>
      <c r="P140" s="46">
        <f t="shared" si="45"/>
        <v>38</v>
      </c>
      <c r="Q140" s="46" t="e">
        <f ca="1" t="shared" si="43"/>
        <v>#VALUE!</v>
      </c>
      <c r="R140" s="46" t="e">
        <f ca="1">OFFSET([2]怪物强度模型!$K$1,MATCH(F140,[2]怪物强度模型!$A:$A,0)-1,0)</f>
        <v>#VALUE!</v>
      </c>
      <c r="S140" s="46" t="e">
        <f ca="1">OFFSET([2]怪物强度模型!$O$1,MATCH(F140,[2]怪物强度模型!$A:$A,0)-1,0)</f>
        <v>#VALUE!</v>
      </c>
      <c r="T140" s="47" t="e">
        <f ca="1" t="shared" si="44"/>
        <v>#VALUE!</v>
      </c>
      <c r="U140" s="47" t="e">
        <f ca="1">Q140+N140*$V$1/10000+$V$1*OFFSET(卡牌辅助配置表!$V$1,MATCH(C140,卡牌辅助配置表!U:U,0)-1,0)*5*P140/10000/10000+M140*$V$1/10000</f>
        <v>#VALUE!</v>
      </c>
      <c r="V140" s="46" t="e">
        <f ca="1">OFFSET([2]怪物强度模型!$I$1,MATCH(F140,[2]怪物强度模型!$A:$A,0)-1,0)</f>
        <v>#VALUE!</v>
      </c>
      <c r="W140" t="e">
        <f ca="1" t="shared" si="36"/>
        <v>#VALUE!</v>
      </c>
    </row>
    <row r="141" customFormat="1" spans="1:23">
      <c r="A141" s="45">
        <f t="shared" si="37"/>
        <v>3124</v>
      </c>
      <c r="B141" s="46" t="s">
        <v>2793</v>
      </c>
      <c r="C141" s="45">
        <v>3</v>
      </c>
      <c r="D141" s="78">
        <v>124</v>
      </c>
      <c r="E141" s="78"/>
      <c r="F141" s="46">
        <f t="shared" si="42"/>
        <v>3038</v>
      </c>
      <c r="G141" s="46">
        <v>2.4</v>
      </c>
      <c r="H141" s="46">
        <v>7</v>
      </c>
      <c r="I141" s="46">
        <v>10</v>
      </c>
      <c r="J141" s="46">
        <v>20</v>
      </c>
      <c r="K141" s="46" t="e">
        <f ca="1" t="shared" si="38"/>
        <v>#VALUE!</v>
      </c>
      <c r="L141" s="46" t="e">
        <f ca="1" t="shared" si="39"/>
        <v>#VALUE!</v>
      </c>
      <c r="M141" s="46" t="e">
        <f ca="1" t="shared" si="40"/>
        <v>#VALUE!</v>
      </c>
      <c r="N141" s="46" t="e">
        <f ca="1" t="shared" si="41"/>
        <v>#VALUE!</v>
      </c>
      <c r="O141" s="46">
        <v>5</v>
      </c>
      <c r="P141" s="46">
        <f t="shared" si="45"/>
        <v>38</v>
      </c>
      <c r="Q141" s="46" t="e">
        <f ca="1" t="shared" si="43"/>
        <v>#VALUE!</v>
      </c>
      <c r="R141" s="46" t="e">
        <f ca="1">OFFSET([2]怪物强度模型!$K$1,MATCH(F141,[2]怪物强度模型!$A:$A,0)-1,0)</f>
        <v>#VALUE!</v>
      </c>
      <c r="S141" s="46" t="e">
        <f ca="1">OFFSET([2]怪物强度模型!$O$1,MATCH(F141,[2]怪物强度模型!$A:$A,0)-1,0)</f>
        <v>#VALUE!</v>
      </c>
      <c r="T141" s="47" t="e">
        <f ca="1" t="shared" si="44"/>
        <v>#VALUE!</v>
      </c>
      <c r="U141" s="47" t="e">
        <f ca="1">Q141+N141*$V$1/10000+$V$1*OFFSET(卡牌辅助配置表!$V$1,MATCH(C141,卡牌辅助配置表!U:U,0)-1,0)*5*P141/10000/10000+M141*$V$1/10000</f>
        <v>#VALUE!</v>
      </c>
      <c r="V141" s="46" t="e">
        <f ca="1">OFFSET([2]怪物强度模型!$I$1,MATCH(F141,[2]怪物强度模型!$A:$A,0)-1,0)</f>
        <v>#VALUE!</v>
      </c>
      <c r="W141" t="e">
        <f ca="1" t="shared" si="36"/>
        <v>#VALUE!</v>
      </c>
    </row>
    <row r="142" customFormat="1" spans="1:23">
      <c r="A142" s="45">
        <f t="shared" si="37"/>
        <v>3125</v>
      </c>
      <c r="B142" s="46" t="s">
        <v>2793</v>
      </c>
      <c r="C142" s="45">
        <v>3</v>
      </c>
      <c r="D142" s="78">
        <v>125</v>
      </c>
      <c r="E142" s="78"/>
      <c r="F142" s="46">
        <f t="shared" si="42"/>
        <v>3038</v>
      </c>
      <c r="G142" s="46">
        <v>2.5</v>
      </c>
      <c r="H142" s="46">
        <v>7</v>
      </c>
      <c r="I142" s="46">
        <v>10</v>
      </c>
      <c r="J142" s="46">
        <v>20</v>
      </c>
      <c r="K142" s="46" t="e">
        <f ca="1" t="shared" si="38"/>
        <v>#VALUE!</v>
      </c>
      <c r="L142" s="46" t="e">
        <f ca="1" t="shared" si="39"/>
        <v>#VALUE!</v>
      </c>
      <c r="M142" s="46" t="e">
        <f ca="1" t="shared" si="40"/>
        <v>#VALUE!</v>
      </c>
      <c r="N142" s="46" t="e">
        <f ca="1" t="shared" si="41"/>
        <v>#VALUE!</v>
      </c>
      <c r="O142" s="46">
        <v>5</v>
      </c>
      <c r="P142" s="46">
        <f t="shared" si="45"/>
        <v>38</v>
      </c>
      <c r="Q142" s="46" t="e">
        <f ca="1" t="shared" si="43"/>
        <v>#VALUE!</v>
      </c>
      <c r="R142" s="46" t="e">
        <f ca="1">OFFSET([2]怪物强度模型!$K$1,MATCH(F142,[2]怪物强度模型!$A:$A,0)-1,0)</f>
        <v>#VALUE!</v>
      </c>
      <c r="S142" s="46" t="e">
        <f ca="1">OFFSET([2]怪物强度模型!$O$1,MATCH(F142,[2]怪物强度模型!$A:$A,0)-1,0)</f>
        <v>#VALUE!</v>
      </c>
      <c r="T142" s="47" t="e">
        <f ca="1" t="shared" si="44"/>
        <v>#VALUE!</v>
      </c>
      <c r="U142" s="47" t="e">
        <f ca="1">Q142+N142*$V$1/10000+$V$1*OFFSET(卡牌辅助配置表!$V$1,MATCH(C142,卡牌辅助配置表!U:U,0)-1,0)*5*P142/10000/10000+M142*$V$1/10000</f>
        <v>#VALUE!</v>
      </c>
      <c r="V142" s="46" t="e">
        <f ca="1">OFFSET([2]怪物强度模型!$I$1,MATCH(F142,[2]怪物强度模型!$A:$A,0)-1,0)</f>
        <v>#VALUE!</v>
      </c>
      <c r="W142" t="e">
        <f ca="1" t="shared" si="36"/>
        <v>#VALUE!</v>
      </c>
    </row>
    <row r="143" customFormat="1" spans="1:23">
      <c r="A143" s="45">
        <f t="shared" si="37"/>
        <v>3126</v>
      </c>
      <c r="B143" s="46" t="s">
        <v>2793</v>
      </c>
      <c r="C143" s="45">
        <v>3</v>
      </c>
      <c r="D143" s="78">
        <v>126</v>
      </c>
      <c r="E143" s="78"/>
      <c r="F143" s="46">
        <f t="shared" si="42"/>
        <v>3039</v>
      </c>
      <c r="G143" s="46">
        <v>2.6</v>
      </c>
      <c r="H143" s="46">
        <v>7</v>
      </c>
      <c r="I143" s="46">
        <v>10</v>
      </c>
      <c r="J143" s="46">
        <v>20</v>
      </c>
      <c r="K143" s="46" t="e">
        <f ca="1" t="shared" si="38"/>
        <v>#VALUE!</v>
      </c>
      <c r="L143" s="46" t="e">
        <f ca="1" t="shared" si="39"/>
        <v>#VALUE!</v>
      </c>
      <c r="M143" s="46" t="e">
        <f ca="1" t="shared" si="40"/>
        <v>#VALUE!</v>
      </c>
      <c r="N143" s="46" t="e">
        <f ca="1" t="shared" si="41"/>
        <v>#VALUE!</v>
      </c>
      <c r="O143" s="46">
        <v>5</v>
      </c>
      <c r="P143" s="46">
        <f t="shared" si="45"/>
        <v>39</v>
      </c>
      <c r="Q143" s="46" t="e">
        <f ca="1" t="shared" si="43"/>
        <v>#VALUE!</v>
      </c>
      <c r="R143" s="46" t="e">
        <f ca="1">OFFSET([2]怪物强度模型!$K$1,MATCH(F143,[2]怪物强度模型!$A:$A,0)-1,0)</f>
        <v>#VALUE!</v>
      </c>
      <c r="S143" s="46" t="e">
        <f ca="1">OFFSET([2]怪物强度模型!$O$1,MATCH(F143,[2]怪物强度模型!$A:$A,0)-1,0)</f>
        <v>#VALUE!</v>
      </c>
      <c r="T143" s="47" t="e">
        <f ca="1" t="shared" si="44"/>
        <v>#VALUE!</v>
      </c>
      <c r="U143" s="47" t="e">
        <f ca="1">Q143+N143*$V$1/10000+$V$1*OFFSET(卡牌辅助配置表!$V$1,MATCH(C143,卡牌辅助配置表!U:U,0)-1,0)*5*P143/10000/10000+M143*$V$1/10000</f>
        <v>#VALUE!</v>
      </c>
      <c r="V143" s="46" t="e">
        <f ca="1">OFFSET([2]怪物强度模型!$I$1,MATCH(F143,[2]怪物强度模型!$A:$A,0)-1,0)</f>
        <v>#VALUE!</v>
      </c>
      <c r="W143" t="e">
        <f ca="1" t="shared" si="36"/>
        <v>#VALUE!</v>
      </c>
    </row>
    <row r="144" customFormat="1" spans="1:23">
      <c r="A144" s="45">
        <f t="shared" si="37"/>
        <v>3127</v>
      </c>
      <c r="B144" s="46" t="s">
        <v>2793</v>
      </c>
      <c r="C144" s="45">
        <v>3</v>
      </c>
      <c r="D144" s="78">
        <v>127</v>
      </c>
      <c r="E144" s="78"/>
      <c r="F144" s="46">
        <f t="shared" si="42"/>
        <v>3039</v>
      </c>
      <c r="G144" s="46">
        <v>2.5</v>
      </c>
      <c r="H144" s="46">
        <v>7</v>
      </c>
      <c r="I144" s="46">
        <v>10</v>
      </c>
      <c r="J144" s="46">
        <v>20</v>
      </c>
      <c r="K144" s="46" t="e">
        <f ca="1" t="shared" si="38"/>
        <v>#VALUE!</v>
      </c>
      <c r="L144" s="46" t="e">
        <f ca="1" t="shared" si="39"/>
        <v>#VALUE!</v>
      </c>
      <c r="M144" s="46" t="e">
        <f ca="1" t="shared" si="40"/>
        <v>#VALUE!</v>
      </c>
      <c r="N144" s="46" t="e">
        <f ca="1" t="shared" si="41"/>
        <v>#VALUE!</v>
      </c>
      <c r="O144" s="46">
        <v>5</v>
      </c>
      <c r="P144" s="46">
        <f t="shared" si="45"/>
        <v>39</v>
      </c>
      <c r="Q144" s="46" t="e">
        <f ca="1" t="shared" si="43"/>
        <v>#VALUE!</v>
      </c>
      <c r="R144" s="46" t="e">
        <f ca="1">OFFSET([2]怪物强度模型!$K$1,MATCH(F144,[2]怪物强度模型!$A:$A,0)-1,0)</f>
        <v>#VALUE!</v>
      </c>
      <c r="S144" s="46" t="e">
        <f ca="1">OFFSET([2]怪物强度模型!$O$1,MATCH(F144,[2]怪物强度模型!$A:$A,0)-1,0)</f>
        <v>#VALUE!</v>
      </c>
      <c r="T144" s="47" t="e">
        <f ca="1" t="shared" si="44"/>
        <v>#VALUE!</v>
      </c>
      <c r="U144" s="47" t="e">
        <f ca="1">Q144+N144*$V$1/10000+$V$1*OFFSET(卡牌辅助配置表!$V$1,MATCH(C144,卡牌辅助配置表!U:U,0)-1,0)*5*P144/10000/10000+M144*$V$1/10000</f>
        <v>#VALUE!</v>
      </c>
      <c r="V144" s="46" t="e">
        <f ca="1">OFFSET([2]怪物强度模型!$I$1,MATCH(F144,[2]怪物强度模型!$A:$A,0)-1,0)</f>
        <v>#VALUE!</v>
      </c>
      <c r="W144" t="e">
        <f ca="1" t="shared" si="36"/>
        <v>#VALUE!</v>
      </c>
    </row>
    <row r="145" customFormat="1" spans="1:23">
      <c r="A145" s="45">
        <f t="shared" si="37"/>
        <v>3128</v>
      </c>
      <c r="B145" s="46" t="s">
        <v>2793</v>
      </c>
      <c r="C145" s="45">
        <v>3</v>
      </c>
      <c r="D145" s="78">
        <v>128</v>
      </c>
      <c r="E145" s="78"/>
      <c r="F145" s="46">
        <f t="shared" si="42"/>
        <v>3039</v>
      </c>
      <c r="G145" s="46">
        <v>2.6</v>
      </c>
      <c r="H145" s="46">
        <v>7</v>
      </c>
      <c r="I145" s="46">
        <v>10</v>
      </c>
      <c r="J145" s="46">
        <v>20</v>
      </c>
      <c r="K145" s="46" t="e">
        <f ca="1" t="shared" si="38"/>
        <v>#VALUE!</v>
      </c>
      <c r="L145" s="46" t="e">
        <f ca="1" t="shared" si="39"/>
        <v>#VALUE!</v>
      </c>
      <c r="M145" s="46" t="e">
        <f ca="1" t="shared" si="40"/>
        <v>#VALUE!</v>
      </c>
      <c r="N145" s="46" t="e">
        <f ca="1" t="shared" si="41"/>
        <v>#VALUE!</v>
      </c>
      <c r="O145" s="46">
        <v>5</v>
      </c>
      <c r="P145" s="46">
        <f t="shared" si="45"/>
        <v>39</v>
      </c>
      <c r="Q145" s="46" t="e">
        <f ca="1" t="shared" si="43"/>
        <v>#VALUE!</v>
      </c>
      <c r="R145" s="46" t="e">
        <f ca="1">OFFSET([2]怪物强度模型!$K$1,MATCH(F145,[2]怪物强度模型!$A:$A,0)-1,0)</f>
        <v>#VALUE!</v>
      </c>
      <c r="S145" s="46" t="e">
        <f ca="1">OFFSET([2]怪物强度模型!$O$1,MATCH(F145,[2]怪物强度模型!$A:$A,0)-1,0)</f>
        <v>#VALUE!</v>
      </c>
      <c r="T145" s="47" t="e">
        <f ca="1" t="shared" si="44"/>
        <v>#VALUE!</v>
      </c>
      <c r="U145" s="47" t="e">
        <f ca="1">Q145+N145*$V$1/10000+$V$1*OFFSET(卡牌辅助配置表!$V$1,MATCH(C145,卡牌辅助配置表!U:U,0)-1,0)*5*P145/10000/10000+M145*$V$1/10000</f>
        <v>#VALUE!</v>
      </c>
      <c r="V145" s="46" t="e">
        <f ca="1">OFFSET([2]怪物强度模型!$I$1,MATCH(F145,[2]怪物强度模型!$A:$A,0)-1,0)</f>
        <v>#VALUE!</v>
      </c>
      <c r="W145" t="e">
        <f ca="1" t="shared" si="36"/>
        <v>#VALUE!</v>
      </c>
    </row>
    <row r="146" customFormat="1" spans="1:23">
      <c r="A146" s="45">
        <f t="shared" si="37"/>
        <v>3129</v>
      </c>
      <c r="B146" s="46" t="s">
        <v>2793</v>
      </c>
      <c r="C146" s="45">
        <v>3</v>
      </c>
      <c r="D146" s="78">
        <v>129</v>
      </c>
      <c r="E146" s="78"/>
      <c r="F146" s="46">
        <f t="shared" si="42"/>
        <v>3039</v>
      </c>
      <c r="G146" s="46">
        <v>2.6</v>
      </c>
      <c r="H146" s="46">
        <v>7</v>
      </c>
      <c r="I146" s="46">
        <v>10</v>
      </c>
      <c r="J146" s="46">
        <v>20</v>
      </c>
      <c r="K146" s="46" t="e">
        <f ca="1" t="shared" si="38"/>
        <v>#VALUE!</v>
      </c>
      <c r="L146" s="46" t="e">
        <f ca="1" t="shared" si="39"/>
        <v>#VALUE!</v>
      </c>
      <c r="M146" s="46" t="e">
        <f ca="1" t="shared" si="40"/>
        <v>#VALUE!</v>
      </c>
      <c r="N146" s="46" t="e">
        <f ca="1" t="shared" si="41"/>
        <v>#VALUE!</v>
      </c>
      <c r="O146" s="46">
        <v>5</v>
      </c>
      <c r="P146" s="46">
        <v>39</v>
      </c>
      <c r="Q146" s="46" t="e">
        <f ca="1" t="shared" si="43"/>
        <v>#VALUE!</v>
      </c>
      <c r="R146" s="46" t="e">
        <f ca="1">OFFSET([2]怪物强度模型!$K$1,MATCH(F146,[2]怪物强度模型!$A:$A,0)-1,0)</f>
        <v>#VALUE!</v>
      </c>
      <c r="S146" s="46" t="e">
        <f ca="1">OFFSET([2]怪物强度模型!$O$1,MATCH(F146,[2]怪物强度模型!$A:$A,0)-1,0)</f>
        <v>#VALUE!</v>
      </c>
      <c r="T146" s="47" t="e">
        <f ca="1" t="shared" si="44"/>
        <v>#VALUE!</v>
      </c>
      <c r="U146" s="47" t="e">
        <f ca="1">Q146+N146*$V$1/10000+$V$1*OFFSET(卡牌辅助配置表!$V$1,MATCH(C146,卡牌辅助配置表!U:U,0)-1,0)*5*P146/10000/10000+M146*$V$1/10000</f>
        <v>#VALUE!</v>
      </c>
      <c r="V146" s="46" t="e">
        <f ca="1">OFFSET([2]怪物强度模型!$I$1,MATCH(F146,[2]怪物强度模型!$A:$A,0)-1,0)</f>
        <v>#VALUE!</v>
      </c>
      <c r="W146" t="e">
        <f ca="1" t="shared" si="36"/>
        <v>#VALUE!</v>
      </c>
    </row>
    <row r="147" customFormat="1" spans="1:23">
      <c r="A147" s="45">
        <f t="shared" si="37"/>
        <v>3130</v>
      </c>
      <c r="B147" s="46" t="s">
        <v>2793</v>
      </c>
      <c r="C147" s="45">
        <v>3</v>
      </c>
      <c r="D147" s="78">
        <v>130</v>
      </c>
      <c r="E147" s="78"/>
      <c r="F147" s="46">
        <f t="shared" si="42"/>
        <v>3039</v>
      </c>
      <c r="G147" s="46">
        <v>2.7</v>
      </c>
      <c r="H147" s="46">
        <v>7</v>
      </c>
      <c r="I147" s="46">
        <v>10</v>
      </c>
      <c r="J147" s="46">
        <v>20</v>
      </c>
      <c r="K147" s="46" t="e">
        <f ca="1" t="shared" si="38"/>
        <v>#VALUE!</v>
      </c>
      <c r="L147" s="46" t="e">
        <f ca="1" t="shared" si="39"/>
        <v>#VALUE!</v>
      </c>
      <c r="M147" s="46" t="e">
        <f ca="1" t="shared" si="40"/>
        <v>#VALUE!</v>
      </c>
      <c r="N147" s="46" t="e">
        <f ca="1" t="shared" si="41"/>
        <v>#VALUE!</v>
      </c>
      <c r="O147" s="46">
        <v>5</v>
      </c>
      <c r="P147" s="46">
        <v>39</v>
      </c>
      <c r="Q147" s="46" t="e">
        <f ca="1" t="shared" si="43"/>
        <v>#VALUE!</v>
      </c>
      <c r="R147" s="46" t="e">
        <f ca="1">OFFSET([2]怪物强度模型!$K$1,MATCH(F147,[2]怪物强度模型!$A:$A,0)-1,0)</f>
        <v>#VALUE!</v>
      </c>
      <c r="S147" s="46" t="e">
        <f ca="1">OFFSET([2]怪物强度模型!$O$1,MATCH(F147,[2]怪物强度模型!$A:$A,0)-1,0)</f>
        <v>#VALUE!</v>
      </c>
      <c r="T147" s="47" t="e">
        <f ca="1" t="shared" si="44"/>
        <v>#VALUE!</v>
      </c>
      <c r="U147" s="47" t="e">
        <f ca="1">Q147+N147*$V$1/10000+$V$1*OFFSET(卡牌辅助配置表!$V$1,MATCH(C147,卡牌辅助配置表!U:U,0)-1,0)*5*P147/10000/10000+M147*$V$1/10000</f>
        <v>#VALUE!</v>
      </c>
      <c r="V147" s="46" t="e">
        <f ca="1">OFFSET([2]怪物强度模型!$I$1,MATCH(F147,[2]怪物强度模型!$A:$A,0)-1,0)</f>
        <v>#VALUE!</v>
      </c>
      <c r="W147" t="e">
        <f ca="1" t="shared" si="36"/>
        <v>#VALUE!</v>
      </c>
    </row>
    <row r="148" customFormat="1" spans="1:23">
      <c r="A148" s="45">
        <f t="shared" si="37"/>
        <v>3131</v>
      </c>
      <c r="B148" s="46" t="s">
        <v>2793</v>
      </c>
      <c r="C148" s="45">
        <v>3</v>
      </c>
      <c r="D148" s="78">
        <v>131</v>
      </c>
      <c r="E148" s="78"/>
      <c r="F148" s="46">
        <f t="shared" si="42"/>
        <v>3040</v>
      </c>
      <c r="G148" s="46">
        <v>2.6</v>
      </c>
      <c r="H148" s="46">
        <v>7</v>
      </c>
      <c r="I148" s="46">
        <v>10</v>
      </c>
      <c r="J148" s="46">
        <v>20</v>
      </c>
      <c r="K148" s="46" t="e">
        <f ca="1" t="shared" si="38"/>
        <v>#VALUE!</v>
      </c>
      <c r="L148" s="46" t="e">
        <f ca="1" t="shared" si="39"/>
        <v>#VALUE!</v>
      </c>
      <c r="M148" s="46" t="e">
        <f ca="1" t="shared" si="40"/>
        <v>#VALUE!</v>
      </c>
      <c r="N148" s="46" t="e">
        <f ca="1" t="shared" si="41"/>
        <v>#VALUE!</v>
      </c>
      <c r="O148" s="46">
        <v>5</v>
      </c>
      <c r="P148" s="46">
        <f t="shared" si="45"/>
        <v>40</v>
      </c>
      <c r="Q148" s="46" t="e">
        <f ca="1" t="shared" si="43"/>
        <v>#VALUE!</v>
      </c>
      <c r="R148" s="46" t="e">
        <f ca="1">OFFSET([2]怪物强度模型!$K$1,MATCH(F148,[2]怪物强度模型!$A:$A,0)-1,0)</f>
        <v>#VALUE!</v>
      </c>
      <c r="S148" s="46" t="e">
        <f ca="1">OFFSET([2]怪物强度模型!$O$1,MATCH(F148,[2]怪物强度模型!$A:$A,0)-1,0)</f>
        <v>#VALUE!</v>
      </c>
      <c r="T148" s="47" t="e">
        <f ca="1" t="shared" si="44"/>
        <v>#VALUE!</v>
      </c>
      <c r="U148" s="47" t="e">
        <f ca="1">Q148+N148*$V$1/10000+$V$1*OFFSET(卡牌辅助配置表!$V$1,MATCH(C148,卡牌辅助配置表!U:U,0)-1,0)*5*P148/10000/10000+M148*$V$1/10000</f>
        <v>#VALUE!</v>
      </c>
      <c r="V148" s="46" t="e">
        <f ca="1">OFFSET([2]怪物强度模型!$I$1,MATCH(F148,[2]怪物强度模型!$A:$A,0)-1,0)</f>
        <v>#VALUE!</v>
      </c>
      <c r="W148" t="e">
        <f ca="1" t="shared" si="36"/>
        <v>#VALUE!</v>
      </c>
    </row>
    <row r="149" customFormat="1" spans="1:23">
      <c r="A149" s="45">
        <f t="shared" si="37"/>
        <v>3132</v>
      </c>
      <c r="B149" s="46" t="s">
        <v>2793</v>
      </c>
      <c r="C149" s="45">
        <v>3</v>
      </c>
      <c r="D149" s="78">
        <v>132</v>
      </c>
      <c r="E149" s="78"/>
      <c r="F149" s="46">
        <f t="shared" si="42"/>
        <v>3040</v>
      </c>
      <c r="G149" s="46">
        <v>2.7</v>
      </c>
      <c r="H149" s="46">
        <v>7</v>
      </c>
      <c r="I149" s="46">
        <v>10</v>
      </c>
      <c r="J149" s="46">
        <v>20</v>
      </c>
      <c r="K149" s="46" t="e">
        <f ca="1" t="shared" si="38"/>
        <v>#VALUE!</v>
      </c>
      <c r="L149" s="46" t="e">
        <f ca="1" t="shared" si="39"/>
        <v>#VALUE!</v>
      </c>
      <c r="M149" s="46" t="e">
        <f ca="1" t="shared" si="40"/>
        <v>#VALUE!</v>
      </c>
      <c r="N149" s="46" t="e">
        <f ca="1" t="shared" si="41"/>
        <v>#VALUE!</v>
      </c>
      <c r="O149" s="46">
        <v>5</v>
      </c>
      <c r="P149" s="46">
        <v>40</v>
      </c>
      <c r="Q149" s="46" t="e">
        <f ca="1" t="shared" si="43"/>
        <v>#VALUE!</v>
      </c>
      <c r="R149" s="46" t="e">
        <f ca="1">OFFSET([2]怪物强度模型!$K$1,MATCH(F149,[2]怪物强度模型!$A:$A,0)-1,0)</f>
        <v>#VALUE!</v>
      </c>
      <c r="S149" s="46" t="e">
        <f ca="1">OFFSET([2]怪物强度模型!$O$1,MATCH(F149,[2]怪物强度模型!$A:$A,0)-1,0)</f>
        <v>#VALUE!</v>
      </c>
      <c r="T149" s="47" t="e">
        <f ca="1" t="shared" si="44"/>
        <v>#VALUE!</v>
      </c>
      <c r="U149" s="47" t="e">
        <f ca="1">Q149+N149*$V$1/10000+$V$1*OFFSET(卡牌辅助配置表!$V$1,MATCH(C149,卡牌辅助配置表!U:U,0)-1,0)*5*P149/10000/10000+M149*$V$1/10000</f>
        <v>#VALUE!</v>
      </c>
      <c r="V149" s="46" t="e">
        <f ca="1">OFFSET([2]怪物强度模型!$I$1,MATCH(F149,[2]怪物强度模型!$A:$A,0)-1,0)</f>
        <v>#VALUE!</v>
      </c>
      <c r="W149" t="e">
        <f ca="1" t="shared" si="36"/>
        <v>#VALUE!</v>
      </c>
    </row>
    <row r="150" customFormat="1" spans="1:23">
      <c r="A150" s="45">
        <f t="shared" si="37"/>
        <v>3133</v>
      </c>
      <c r="B150" s="46" t="s">
        <v>2793</v>
      </c>
      <c r="C150" s="45">
        <v>3</v>
      </c>
      <c r="D150" s="17">
        <v>133</v>
      </c>
      <c r="E150" s="78"/>
      <c r="F150" s="46">
        <f t="shared" si="42"/>
        <v>3040</v>
      </c>
      <c r="G150" s="46">
        <v>2.8</v>
      </c>
      <c r="H150" s="46">
        <v>7</v>
      </c>
      <c r="I150" s="46">
        <v>10</v>
      </c>
      <c r="J150" s="46">
        <v>20</v>
      </c>
      <c r="K150" s="46" t="e">
        <f ca="1" t="shared" si="38"/>
        <v>#VALUE!</v>
      </c>
      <c r="L150" s="46" t="e">
        <f ca="1" t="shared" si="39"/>
        <v>#VALUE!</v>
      </c>
      <c r="M150" s="46" t="e">
        <f ca="1" t="shared" si="40"/>
        <v>#VALUE!</v>
      </c>
      <c r="N150" s="46" t="e">
        <f ca="1" t="shared" si="41"/>
        <v>#VALUE!</v>
      </c>
      <c r="O150" s="46">
        <v>5</v>
      </c>
      <c r="P150" s="46">
        <v>40</v>
      </c>
      <c r="Q150" s="46" t="e">
        <f ca="1" t="shared" si="43"/>
        <v>#VALUE!</v>
      </c>
      <c r="R150" s="46" t="e">
        <f ca="1">OFFSET([2]怪物强度模型!$K$1,MATCH(F150,[2]怪物强度模型!$A:$A,0)-1,0)</f>
        <v>#VALUE!</v>
      </c>
      <c r="S150" s="46" t="e">
        <f ca="1">OFFSET([2]怪物强度模型!$O$1,MATCH(F150,[2]怪物强度模型!$A:$A,0)-1,0)</f>
        <v>#VALUE!</v>
      </c>
      <c r="T150" s="47" t="e">
        <f ca="1" t="shared" si="44"/>
        <v>#VALUE!</v>
      </c>
      <c r="U150" s="47" t="e">
        <f ca="1">Q150+N150*$V$1/10000+$V$1*OFFSET(卡牌辅助配置表!$V$1,MATCH(C150,卡牌辅助配置表!U:U,0)-1,0)*5*P150/10000/10000+M150*$V$1/10000</f>
        <v>#VALUE!</v>
      </c>
      <c r="V150" s="46" t="e">
        <f ca="1">OFFSET([2]怪物强度模型!$I$1,MATCH(F150,[2]怪物强度模型!$A:$A,0)-1,0)</f>
        <v>#VALUE!</v>
      </c>
      <c r="W150" t="e">
        <f ca="1" t="shared" si="36"/>
        <v>#VALUE!</v>
      </c>
    </row>
    <row r="151" customFormat="1" spans="1:22">
      <c r="A151" s="45">
        <f t="shared" ref="A151:A158" si="46">C151*1000+D151</f>
        <v>3134</v>
      </c>
      <c r="B151" s="46" t="s">
        <v>2793</v>
      </c>
      <c r="C151" s="45">
        <v>3</v>
      </c>
      <c r="D151" s="209">
        <v>134</v>
      </c>
      <c r="E151" s="78"/>
      <c r="F151" s="46">
        <f t="shared" si="42"/>
        <v>3040</v>
      </c>
      <c r="G151" s="46">
        <v>3.5</v>
      </c>
      <c r="H151" s="46">
        <v>7</v>
      </c>
      <c r="I151" s="46">
        <v>10</v>
      </c>
      <c r="J151" s="46">
        <v>20</v>
      </c>
      <c r="K151" s="46" t="e">
        <f ca="1" t="shared" ref="K151:K158" si="47">ROUND(Q151*0.95,0)</f>
        <v>#VALUE!</v>
      </c>
      <c r="L151" s="46" t="e">
        <f ca="1" t="shared" ref="L151:L158" si="48">ROUND(Q151*1.05,0)</f>
        <v>#VALUE!</v>
      </c>
      <c r="M151" s="46" t="e">
        <f ca="1">$L$1*S151</f>
        <v>#VALUE!</v>
      </c>
      <c r="N151" s="46" t="e">
        <f ca="1" t="shared" si="41"/>
        <v>#VALUE!</v>
      </c>
      <c r="O151" s="46">
        <v>5</v>
      </c>
      <c r="P151" s="46">
        <v>40</v>
      </c>
      <c r="Q151" s="46" t="e">
        <f ca="1" t="shared" si="43"/>
        <v>#VALUE!</v>
      </c>
      <c r="R151" s="46" t="e">
        <f ca="1">OFFSET([2]怪物强度模型!$K$1,MATCH(F151,[2]怪物强度模型!$A:$A,0)-1,0)</f>
        <v>#VALUE!</v>
      </c>
      <c r="S151" s="46" t="e">
        <f ca="1">OFFSET([2]怪物强度模型!$O$1,MATCH(F151,[2]怪物强度模型!$A:$A,0)-1,0)</f>
        <v>#VALUE!</v>
      </c>
      <c r="T151" s="47" t="e">
        <f ca="1" t="shared" si="44"/>
        <v>#VALUE!</v>
      </c>
      <c r="U151" s="47" t="e">
        <f ca="1">Q151+N151*$V$1/10000+$V$1*OFFSET(卡牌辅助配置表!$V$1,MATCH(C151,卡牌辅助配置表!U:U,0)-1,0)*5*P151/10000/10000+M151*$V$1/10000</f>
        <v>#VALUE!</v>
      </c>
      <c r="V151" s="46" t="e">
        <f ca="1">OFFSET([2]怪物强度模型!$I$1,MATCH(F151,[2]怪物强度模型!$A:$A,0)-1,0)</f>
        <v>#VALUE!</v>
      </c>
    </row>
    <row r="152" customFormat="1" spans="1:22">
      <c r="A152" s="45">
        <f t="shared" si="46"/>
        <v>3135</v>
      </c>
      <c r="B152" s="46" t="s">
        <v>2793</v>
      </c>
      <c r="C152" s="45">
        <v>3</v>
      </c>
      <c r="D152" s="209">
        <v>135</v>
      </c>
      <c r="E152" s="78"/>
      <c r="F152" s="46">
        <f t="shared" si="42"/>
        <v>3040</v>
      </c>
      <c r="G152" s="46">
        <v>4</v>
      </c>
      <c r="H152" s="46">
        <v>7</v>
      </c>
      <c r="I152" s="46">
        <v>10</v>
      </c>
      <c r="J152" s="46">
        <v>20</v>
      </c>
      <c r="K152" s="46" t="e">
        <f ca="1" t="shared" si="47"/>
        <v>#VALUE!</v>
      </c>
      <c r="L152" s="46" t="e">
        <f ca="1" t="shared" si="48"/>
        <v>#VALUE!</v>
      </c>
      <c r="M152" s="46" t="e">
        <f ca="1">$L$1*S152</f>
        <v>#VALUE!</v>
      </c>
      <c r="N152" s="46" t="e">
        <f ca="1" t="shared" si="41"/>
        <v>#VALUE!</v>
      </c>
      <c r="O152" s="46">
        <v>5</v>
      </c>
      <c r="P152" s="46">
        <v>40</v>
      </c>
      <c r="Q152" s="46" t="e">
        <f ca="1" t="shared" si="43"/>
        <v>#VALUE!</v>
      </c>
      <c r="R152" s="46" t="e">
        <f ca="1">OFFSET([2]怪物强度模型!$K$1,MATCH(F152,[2]怪物强度模型!$A:$A,0)-1,0)</f>
        <v>#VALUE!</v>
      </c>
      <c r="S152" s="46" t="e">
        <f ca="1">OFFSET([2]怪物强度模型!$O$1,MATCH(F152,[2]怪物强度模型!$A:$A,0)-1,0)</f>
        <v>#VALUE!</v>
      </c>
      <c r="T152" s="47" t="e">
        <f ca="1" t="shared" si="44"/>
        <v>#VALUE!</v>
      </c>
      <c r="U152" s="47" t="e">
        <f ca="1">Q152+N152*$V$1/10000+$V$1*OFFSET(卡牌辅助配置表!$V$1,MATCH(C152,卡牌辅助配置表!U:U,0)-1,0)*5*P152/10000/10000+M152*$V$1/10000</f>
        <v>#VALUE!</v>
      </c>
      <c r="V152" s="46" t="e">
        <f ca="1">OFFSET([2]怪物强度模型!$I$1,MATCH(F152,[2]怪物强度模型!$A:$A,0)-1,0)</f>
        <v>#VALUE!</v>
      </c>
    </row>
    <row r="153" customFormat="1" spans="1:22">
      <c r="A153" s="45">
        <f t="shared" si="46"/>
        <v>3136</v>
      </c>
      <c r="B153" s="46" t="s">
        <v>2793</v>
      </c>
      <c r="C153" s="45">
        <v>3</v>
      </c>
      <c r="D153" s="209">
        <v>136</v>
      </c>
      <c r="E153" s="78"/>
      <c r="F153" s="46">
        <f t="shared" si="42"/>
        <v>3040</v>
      </c>
      <c r="G153" s="46">
        <v>4.5</v>
      </c>
      <c r="H153" s="46">
        <v>7</v>
      </c>
      <c r="I153" s="46">
        <v>10</v>
      </c>
      <c r="J153" s="46">
        <v>20</v>
      </c>
      <c r="K153" s="46" t="e">
        <f ca="1" t="shared" si="47"/>
        <v>#VALUE!</v>
      </c>
      <c r="L153" s="46" t="e">
        <f ca="1" t="shared" si="48"/>
        <v>#VALUE!</v>
      </c>
      <c r="M153" s="46" t="e">
        <f ca="1">$L$1*S153</f>
        <v>#VALUE!</v>
      </c>
      <c r="N153" s="46" t="e">
        <f ca="1" t="shared" si="41"/>
        <v>#VALUE!</v>
      </c>
      <c r="O153" s="46">
        <v>5</v>
      </c>
      <c r="P153" s="46">
        <v>40</v>
      </c>
      <c r="Q153" s="46" t="e">
        <f ca="1" t="shared" si="43"/>
        <v>#VALUE!</v>
      </c>
      <c r="R153" s="46" t="e">
        <f ca="1">OFFSET([2]怪物强度模型!$K$1,MATCH(F153,[2]怪物强度模型!$A:$A,0)-1,0)</f>
        <v>#VALUE!</v>
      </c>
      <c r="S153" s="46" t="e">
        <f ca="1">OFFSET([2]怪物强度模型!$O$1,MATCH(F153,[2]怪物强度模型!$A:$A,0)-1,0)</f>
        <v>#VALUE!</v>
      </c>
      <c r="T153" s="47" t="e">
        <f ca="1" t="shared" si="44"/>
        <v>#VALUE!</v>
      </c>
      <c r="U153" s="47" t="e">
        <f ca="1">Q153+N153*$V$1/10000+$V$1*OFFSET(卡牌辅助配置表!$V$1,MATCH(C153,卡牌辅助配置表!U:U,0)-1,0)*5*P153/10000/10000+M153*$V$1/10000</f>
        <v>#VALUE!</v>
      </c>
      <c r="V153" s="46" t="e">
        <f ca="1">OFFSET([2]怪物强度模型!$I$1,MATCH(F153,[2]怪物强度模型!$A:$A,0)-1,0)</f>
        <v>#VALUE!</v>
      </c>
    </row>
    <row r="154" customFormat="1" spans="1:22">
      <c r="A154" s="45">
        <f t="shared" si="46"/>
        <v>3137</v>
      </c>
      <c r="B154" s="46" t="s">
        <v>2793</v>
      </c>
      <c r="C154" s="45">
        <v>3</v>
      </c>
      <c r="D154" s="209">
        <v>137</v>
      </c>
      <c r="E154" s="78"/>
      <c r="F154" s="46">
        <f t="shared" si="42"/>
        <v>3040</v>
      </c>
      <c r="G154" s="46">
        <v>5</v>
      </c>
      <c r="H154" s="46">
        <v>7</v>
      </c>
      <c r="I154" s="46">
        <v>10</v>
      </c>
      <c r="J154" s="46">
        <v>20</v>
      </c>
      <c r="K154" s="46" t="e">
        <f ca="1" t="shared" si="47"/>
        <v>#VALUE!</v>
      </c>
      <c r="L154" s="46" t="e">
        <f ca="1" t="shared" si="48"/>
        <v>#VALUE!</v>
      </c>
      <c r="M154" s="46" t="e">
        <f ca="1">$L$1*S154</f>
        <v>#VALUE!</v>
      </c>
      <c r="N154" s="46" t="e">
        <f ca="1" t="shared" si="41"/>
        <v>#VALUE!</v>
      </c>
      <c r="O154" s="46">
        <v>5</v>
      </c>
      <c r="P154" s="46">
        <v>40</v>
      </c>
      <c r="Q154" s="46" t="e">
        <f ca="1" t="shared" si="43"/>
        <v>#VALUE!</v>
      </c>
      <c r="R154" s="46" t="e">
        <f ca="1">OFFSET([2]怪物强度模型!$K$1,MATCH(F154,[2]怪物强度模型!$A:$A,0)-1,0)</f>
        <v>#VALUE!</v>
      </c>
      <c r="S154" s="46" t="e">
        <f ca="1">OFFSET([2]怪物强度模型!$O$1,MATCH(F154,[2]怪物强度模型!$A:$A,0)-1,0)</f>
        <v>#VALUE!</v>
      </c>
      <c r="T154" s="47" t="e">
        <f ca="1" t="shared" si="44"/>
        <v>#VALUE!</v>
      </c>
      <c r="U154" s="47" t="e">
        <f ca="1">Q154+N154*$V$1/10000+$V$1*OFFSET(卡牌辅助配置表!$V$1,MATCH(C154,卡牌辅助配置表!U:U,0)-1,0)*5*P154/10000/10000+M154*$V$1/10000</f>
        <v>#VALUE!</v>
      </c>
      <c r="V154" s="46" t="e">
        <f ca="1">OFFSET([2]怪物强度模型!$I$1,MATCH(F154,[2]怪物强度模型!$A:$A,0)-1,0)</f>
        <v>#VALUE!</v>
      </c>
    </row>
    <row r="155" customFormat="1" spans="1:22">
      <c r="A155" s="45">
        <f t="shared" si="46"/>
        <v>3138</v>
      </c>
      <c r="B155" s="46" t="s">
        <v>2793</v>
      </c>
      <c r="C155" s="45">
        <v>3</v>
      </c>
      <c r="D155" s="209">
        <v>138</v>
      </c>
      <c r="E155" s="78"/>
      <c r="F155" s="46">
        <f t="shared" si="42"/>
        <v>3040</v>
      </c>
      <c r="G155" s="46">
        <v>5.5</v>
      </c>
      <c r="H155" s="46">
        <v>7</v>
      </c>
      <c r="I155" s="46">
        <v>10</v>
      </c>
      <c r="J155" s="46">
        <v>20</v>
      </c>
      <c r="K155" s="46" t="e">
        <f ca="1" t="shared" si="47"/>
        <v>#VALUE!</v>
      </c>
      <c r="L155" s="46" t="e">
        <f ca="1" t="shared" si="48"/>
        <v>#VALUE!</v>
      </c>
      <c r="M155" s="46" t="e">
        <f ca="1">$L$1*S155</f>
        <v>#VALUE!</v>
      </c>
      <c r="N155" s="46" t="e">
        <f ca="1" t="shared" si="41"/>
        <v>#VALUE!</v>
      </c>
      <c r="O155" s="46">
        <v>5</v>
      </c>
      <c r="P155" s="46">
        <v>40</v>
      </c>
      <c r="Q155" s="46" t="e">
        <f ca="1" t="shared" si="43"/>
        <v>#VALUE!</v>
      </c>
      <c r="R155" s="46" t="e">
        <f ca="1">OFFSET([2]怪物强度模型!$K$1,MATCH(F155,[2]怪物强度模型!$A:$A,0)-1,0)</f>
        <v>#VALUE!</v>
      </c>
      <c r="S155" s="46" t="e">
        <f ca="1">OFFSET([2]怪物强度模型!$O$1,MATCH(F155,[2]怪物强度模型!$A:$A,0)-1,0)</f>
        <v>#VALUE!</v>
      </c>
      <c r="T155" s="47" t="e">
        <f ca="1" t="shared" si="44"/>
        <v>#VALUE!</v>
      </c>
      <c r="U155" s="47" t="e">
        <f ca="1">Q155+N155*$V$1/10000+$V$1*OFFSET(卡牌辅助配置表!$V$1,MATCH(C155,卡牌辅助配置表!U:U,0)-1,0)*5*P155/10000/10000+M155*$V$1/10000</f>
        <v>#VALUE!</v>
      </c>
      <c r="V155" s="46" t="e">
        <f ca="1">OFFSET([2]怪物强度模型!$I$1,MATCH(F155,[2]怪物强度模型!$A:$A,0)-1,0)</f>
        <v>#VALUE!</v>
      </c>
    </row>
    <row r="156" customFormat="1" spans="1:22">
      <c r="A156" s="45">
        <f t="shared" si="46"/>
        <v>3139</v>
      </c>
      <c r="B156" s="46" t="s">
        <v>2793</v>
      </c>
      <c r="C156" s="45">
        <v>3</v>
      </c>
      <c r="D156" s="210">
        <v>139</v>
      </c>
      <c r="E156" s="78"/>
      <c r="F156" s="46">
        <f t="shared" si="42"/>
        <v>3035</v>
      </c>
      <c r="G156" s="46">
        <v>7</v>
      </c>
      <c r="H156" s="46">
        <v>7</v>
      </c>
      <c r="I156" s="46">
        <v>10</v>
      </c>
      <c r="J156" s="46">
        <v>20</v>
      </c>
      <c r="K156" s="46" t="e">
        <f ca="1" t="shared" si="47"/>
        <v>#VALUE!</v>
      </c>
      <c r="L156" s="46" t="e">
        <f ca="1" t="shared" si="48"/>
        <v>#VALUE!</v>
      </c>
      <c r="M156" s="46" t="e">
        <f ca="1">$K$1*S156</f>
        <v>#VALUE!</v>
      </c>
      <c r="N156" s="46" t="e">
        <f ca="1">ROUND(M156/$N$1,0)</f>
        <v>#VALUE!</v>
      </c>
      <c r="O156" s="46">
        <v>5</v>
      </c>
      <c r="P156" s="46">
        <v>35</v>
      </c>
      <c r="Q156" s="46" t="e">
        <f ca="1" t="shared" si="43"/>
        <v>#VALUE!</v>
      </c>
      <c r="R156" s="46" t="e">
        <f ca="1">OFFSET([2]怪物强度模型!$K$1,MATCH(F156,[2]怪物强度模型!$A:$A,0)-1,0)</f>
        <v>#VALUE!</v>
      </c>
      <c r="S156" s="46" t="e">
        <f ca="1">OFFSET([2]怪物强度模型!$O$1,MATCH(F156,[2]怪物强度模型!$A:$A,0)-1,0)</f>
        <v>#VALUE!</v>
      </c>
      <c r="T156" s="47" t="e">
        <f ca="1" t="shared" si="44"/>
        <v>#VALUE!</v>
      </c>
      <c r="U156" s="47" t="e">
        <f ca="1">Q156+N156*$V$1/10000+$V$1*OFFSET(卡牌辅助配置表!$V$1,MATCH(C156,卡牌辅助配置表!U:U,0)-1,0)*5*P156/10000/10000+M156*$V$1/10000</f>
        <v>#VALUE!</v>
      </c>
      <c r="V156" s="46" t="e">
        <f ca="1">OFFSET([2]怪物强度模型!$I$1,MATCH(F156,[2]怪物强度模型!$A:$A,0)-1,0)</f>
        <v>#VALUE!</v>
      </c>
    </row>
    <row r="157" customFormat="1" spans="1:22">
      <c r="A157" s="45">
        <f t="shared" si="46"/>
        <v>3140</v>
      </c>
      <c r="B157" s="46" t="s">
        <v>2793</v>
      </c>
      <c r="C157" s="45">
        <v>3</v>
      </c>
      <c r="D157" s="210">
        <v>140</v>
      </c>
      <c r="E157" s="78"/>
      <c r="F157" s="46">
        <f t="shared" si="42"/>
        <v>3037</v>
      </c>
      <c r="G157" s="46">
        <v>8</v>
      </c>
      <c r="H157" s="46">
        <v>7</v>
      </c>
      <c r="I157" s="46">
        <v>10</v>
      </c>
      <c r="J157" s="46">
        <v>20</v>
      </c>
      <c r="K157" s="46" t="e">
        <f ca="1" t="shared" si="47"/>
        <v>#VALUE!</v>
      </c>
      <c r="L157" s="46" t="e">
        <f ca="1" t="shared" si="48"/>
        <v>#VALUE!</v>
      </c>
      <c r="M157" s="46" t="e">
        <f ca="1">$K$1*S157</f>
        <v>#VALUE!</v>
      </c>
      <c r="N157" s="46" t="e">
        <f ca="1">ROUND(M157/$N$1,0)</f>
        <v>#VALUE!</v>
      </c>
      <c r="O157" s="46">
        <v>5</v>
      </c>
      <c r="P157" s="46">
        <v>37</v>
      </c>
      <c r="Q157" s="46" t="e">
        <f ca="1" t="shared" si="43"/>
        <v>#VALUE!</v>
      </c>
      <c r="R157" s="46" t="e">
        <f ca="1">OFFSET([2]怪物强度模型!$K$1,MATCH(F157,[2]怪物强度模型!$A:$A,0)-1,0)</f>
        <v>#VALUE!</v>
      </c>
      <c r="S157" s="46" t="e">
        <f ca="1">OFFSET([2]怪物强度模型!$O$1,MATCH(F157,[2]怪物强度模型!$A:$A,0)-1,0)</f>
        <v>#VALUE!</v>
      </c>
      <c r="T157" s="47" t="e">
        <f ca="1" t="shared" si="44"/>
        <v>#VALUE!</v>
      </c>
      <c r="U157" s="47" t="e">
        <f ca="1">Q157+N157*$V$1/10000+$V$1*OFFSET(卡牌辅助配置表!$V$1,MATCH(C157,卡牌辅助配置表!U:U,0)-1,0)*5*P157/10000/10000+M157*$V$1/10000</f>
        <v>#VALUE!</v>
      </c>
      <c r="V157" s="46" t="e">
        <f ca="1">OFFSET([2]怪物强度模型!$I$1,MATCH(F157,[2]怪物强度模型!$A:$A,0)-1,0)</f>
        <v>#VALUE!</v>
      </c>
    </row>
    <row r="158" customFormat="1" spans="1:22">
      <c r="A158" s="45">
        <f t="shared" si="46"/>
        <v>3141</v>
      </c>
      <c r="B158" s="46" t="s">
        <v>2793</v>
      </c>
      <c r="C158" s="45">
        <v>3</v>
      </c>
      <c r="D158" s="210">
        <v>141</v>
      </c>
      <c r="E158" s="78"/>
      <c r="F158" s="46">
        <f t="shared" si="42"/>
        <v>3040</v>
      </c>
      <c r="G158" s="46">
        <v>9</v>
      </c>
      <c r="H158" s="46">
        <v>7</v>
      </c>
      <c r="I158" s="46">
        <v>10</v>
      </c>
      <c r="J158" s="46">
        <v>20</v>
      </c>
      <c r="K158" s="46" t="e">
        <f ca="1" t="shared" si="47"/>
        <v>#VALUE!</v>
      </c>
      <c r="L158" s="46" t="e">
        <f ca="1" t="shared" si="48"/>
        <v>#VALUE!</v>
      </c>
      <c r="M158" s="46" t="e">
        <f ca="1">$K$1*S158</f>
        <v>#VALUE!</v>
      </c>
      <c r="N158" s="46" t="e">
        <f ca="1">ROUND(M158/$N$1,0)</f>
        <v>#VALUE!</v>
      </c>
      <c r="O158" s="46">
        <v>5</v>
      </c>
      <c r="P158" s="46">
        <v>40</v>
      </c>
      <c r="Q158" s="46" t="e">
        <f ca="1" t="shared" si="43"/>
        <v>#VALUE!</v>
      </c>
      <c r="R158" s="46" t="e">
        <f ca="1">OFFSET([2]怪物强度模型!$K$1,MATCH(F158,[2]怪物强度模型!$A:$A,0)-1,0)</f>
        <v>#VALUE!</v>
      </c>
      <c r="S158" s="46" t="e">
        <f ca="1">OFFSET([2]怪物强度模型!$O$1,MATCH(F158,[2]怪物强度模型!$A:$A,0)-1,0)</f>
        <v>#VALUE!</v>
      </c>
      <c r="T158" s="47" t="e">
        <f ca="1" t="shared" si="44"/>
        <v>#VALUE!</v>
      </c>
      <c r="U158" s="47" t="e">
        <f ca="1">Q158+N158*$V$1/10000+$V$1*OFFSET(卡牌辅助配置表!$V$1,MATCH(C158,卡牌辅助配置表!U:U,0)-1,0)*5*P158/10000/10000+M158*$V$1/10000</f>
        <v>#VALUE!</v>
      </c>
      <c r="V158" s="46" t="e">
        <f ca="1">OFFSET([2]怪物强度模型!$I$1,MATCH(F158,[2]怪物强度模型!$A:$A,0)-1,0)</f>
        <v>#VALUE!</v>
      </c>
    </row>
    <row r="159" spans="1:23">
      <c r="A159" s="45">
        <f t="shared" ref="A159:A218" si="49">C159*1000+D159</f>
        <v>3201</v>
      </c>
      <c r="B159" s="46" t="s">
        <v>2793</v>
      </c>
      <c r="C159" s="45">
        <v>3</v>
      </c>
      <c r="D159" s="45">
        <v>201</v>
      </c>
      <c r="E159" s="78">
        <v>1200</v>
      </c>
      <c r="F159" s="46">
        <f t="shared" si="42"/>
        <v>3031</v>
      </c>
      <c r="G159" s="46">
        <v>2.2</v>
      </c>
      <c r="H159" s="46">
        <v>7</v>
      </c>
      <c r="I159" s="46">
        <v>10</v>
      </c>
      <c r="J159" s="46">
        <v>20</v>
      </c>
      <c r="K159" s="46" t="e">
        <f ca="1" t="shared" ref="K159:K218" si="50">ROUND(Q159*0.95,0)</f>
        <v>#VALUE!</v>
      </c>
      <c r="L159" s="46" t="e">
        <f ca="1" t="shared" ref="L159:L218" si="51">ROUND(Q159*1.05,0)</f>
        <v>#VALUE!</v>
      </c>
      <c r="M159" s="46" t="e">
        <f ca="1" t="shared" ref="M159:M190" si="52">$L$1*S159</f>
        <v>#VALUE!</v>
      </c>
      <c r="N159" s="46" t="e">
        <f ca="1" t="shared" si="41"/>
        <v>#VALUE!</v>
      </c>
      <c r="O159" s="46">
        <v>5</v>
      </c>
      <c r="P159" s="46">
        <v>31</v>
      </c>
      <c r="Q159" s="46" t="e">
        <f ca="1" t="shared" si="43"/>
        <v>#VALUE!</v>
      </c>
      <c r="R159" s="46" t="e">
        <f ca="1">OFFSET([2]怪物强度模型!$K$1,MATCH(F159,[2]怪物强度模型!$A:$A,0)-1,0)</f>
        <v>#VALUE!</v>
      </c>
      <c r="S159" s="46" t="e">
        <f ca="1">OFFSET([2]怪物强度模型!$O$1,MATCH(F159,[2]怪物强度模型!$A:$A,0)-1,0)</f>
        <v>#VALUE!</v>
      </c>
      <c r="T159" s="47" t="e">
        <f ca="1" t="shared" si="44"/>
        <v>#VALUE!</v>
      </c>
      <c r="U159" s="47" t="e">
        <f ca="1">Q159+N159*$V$1/10000+$V$1*OFFSET(卡牌辅助配置表!$V$1,MATCH(C159,卡牌辅助配置表!U:U,0)-1,0)*5*P159/10000/10000+M159*$V$1/10000</f>
        <v>#VALUE!</v>
      </c>
      <c r="V159" s="46" t="e">
        <f ca="1">OFFSET([2]怪物强度模型!$I$1,MATCH(F159,[2]怪物强度模型!$A:$A,0)-1,0)</f>
        <v>#VALUE!</v>
      </c>
      <c r="W159" t="e">
        <f ca="1" t="shared" ref="W159:W176" si="53">V159-0.1</f>
        <v>#VALUE!</v>
      </c>
    </row>
    <row r="160" spans="1:23">
      <c r="A160" s="45">
        <f t="shared" si="49"/>
        <v>3202</v>
      </c>
      <c r="B160" s="46" t="s">
        <v>2793</v>
      </c>
      <c r="C160" s="45">
        <v>3</v>
      </c>
      <c r="D160" s="45">
        <v>202</v>
      </c>
      <c r="E160" s="78">
        <v>1100</v>
      </c>
      <c r="F160" s="46">
        <f t="shared" si="42"/>
        <v>3032</v>
      </c>
      <c r="G160" s="46">
        <v>2.3</v>
      </c>
      <c r="H160" s="46">
        <v>7</v>
      </c>
      <c r="I160" s="46">
        <v>10</v>
      </c>
      <c r="J160" s="46">
        <v>20</v>
      </c>
      <c r="K160" s="46" t="e">
        <f ca="1" t="shared" si="50"/>
        <v>#VALUE!</v>
      </c>
      <c r="L160" s="46" t="e">
        <f ca="1" t="shared" si="51"/>
        <v>#VALUE!</v>
      </c>
      <c r="M160" s="46" t="e">
        <f ca="1" t="shared" si="52"/>
        <v>#VALUE!</v>
      </c>
      <c r="N160" s="46" t="e">
        <f ca="1" t="shared" si="41"/>
        <v>#VALUE!</v>
      </c>
      <c r="O160" s="46">
        <v>5</v>
      </c>
      <c r="P160" s="46">
        <v>32</v>
      </c>
      <c r="Q160" s="46" t="e">
        <f ca="1" t="shared" si="43"/>
        <v>#VALUE!</v>
      </c>
      <c r="R160" s="46" t="e">
        <f ca="1">OFFSET([2]怪物强度模型!$K$1,MATCH(F160,[2]怪物强度模型!$A:$A,0)-1,0)</f>
        <v>#VALUE!</v>
      </c>
      <c r="S160" s="46" t="e">
        <f ca="1">OFFSET([2]怪物强度模型!$O$1,MATCH(F160,[2]怪物强度模型!$A:$A,0)-1,0)</f>
        <v>#VALUE!</v>
      </c>
      <c r="T160" s="47" t="e">
        <f ca="1" t="shared" si="44"/>
        <v>#VALUE!</v>
      </c>
      <c r="U160" s="47" t="e">
        <f ca="1">Q160+N160*$V$1/10000+$V$1*OFFSET(卡牌辅助配置表!$V$1,MATCH(C160,卡牌辅助配置表!U:U,0)-1,0)*5*P160/10000/10000+M160*$V$1/10000</f>
        <v>#VALUE!</v>
      </c>
      <c r="V160" s="46" t="e">
        <f ca="1">OFFSET([2]怪物强度模型!$I$1,MATCH(F160,[2]怪物强度模型!$A:$A,0)-1,0)</f>
        <v>#VALUE!</v>
      </c>
      <c r="W160" t="e">
        <f ca="1" t="shared" si="53"/>
        <v>#VALUE!</v>
      </c>
    </row>
    <row r="161" spans="1:23">
      <c r="A161" s="45">
        <f t="shared" si="49"/>
        <v>3203</v>
      </c>
      <c r="B161" s="46" t="s">
        <v>2793</v>
      </c>
      <c r="C161" s="45">
        <v>3</v>
      </c>
      <c r="D161" s="45">
        <v>203</v>
      </c>
      <c r="E161" s="78">
        <v>1000</v>
      </c>
      <c r="F161" s="46">
        <f t="shared" si="42"/>
        <v>3033</v>
      </c>
      <c r="G161" s="46">
        <v>2.4</v>
      </c>
      <c r="H161" s="46">
        <v>7</v>
      </c>
      <c r="I161" s="46">
        <v>10</v>
      </c>
      <c r="J161" s="46">
        <v>20</v>
      </c>
      <c r="K161" s="46" t="e">
        <f ca="1" t="shared" si="50"/>
        <v>#VALUE!</v>
      </c>
      <c r="L161" s="46" t="e">
        <f ca="1" t="shared" si="51"/>
        <v>#VALUE!</v>
      </c>
      <c r="M161" s="46" t="e">
        <f ca="1" t="shared" si="52"/>
        <v>#VALUE!</v>
      </c>
      <c r="N161" s="46" t="e">
        <f ca="1" t="shared" si="41"/>
        <v>#VALUE!</v>
      </c>
      <c r="O161" s="46">
        <v>5</v>
      </c>
      <c r="P161" s="46">
        <v>33</v>
      </c>
      <c r="Q161" s="46" t="e">
        <f ca="1" t="shared" si="43"/>
        <v>#VALUE!</v>
      </c>
      <c r="R161" s="46" t="e">
        <f ca="1">OFFSET([2]怪物强度模型!$K$1,MATCH(F161,[2]怪物强度模型!$A:$A,0)-1,0)</f>
        <v>#VALUE!</v>
      </c>
      <c r="S161" s="46" t="e">
        <f ca="1">OFFSET([2]怪物强度模型!$O$1,MATCH(F161,[2]怪物强度模型!$A:$A,0)-1,0)</f>
        <v>#VALUE!</v>
      </c>
      <c r="T161" s="47" t="e">
        <f ca="1" t="shared" si="44"/>
        <v>#VALUE!</v>
      </c>
      <c r="U161" s="47" t="e">
        <f ca="1">Q161+N161*$V$1/10000+$V$1*OFFSET(卡牌辅助配置表!$V$1,MATCH(C161,卡牌辅助配置表!U:U,0)-1,0)*5*P161/10000/10000+M161*$V$1/10000</f>
        <v>#VALUE!</v>
      </c>
      <c r="V161" s="46" t="e">
        <f ca="1">OFFSET([2]怪物强度模型!$I$1,MATCH(F161,[2]怪物强度模型!$A:$A,0)-1,0)</f>
        <v>#VALUE!</v>
      </c>
      <c r="W161" t="e">
        <f ca="1" t="shared" si="53"/>
        <v>#VALUE!</v>
      </c>
    </row>
    <row r="162" spans="1:23">
      <c r="A162" s="45">
        <f t="shared" si="49"/>
        <v>3204</v>
      </c>
      <c r="B162" s="46" t="s">
        <v>2793</v>
      </c>
      <c r="C162" s="45">
        <v>3</v>
      </c>
      <c r="D162" s="45">
        <v>204</v>
      </c>
      <c r="E162" s="78">
        <v>900</v>
      </c>
      <c r="F162" s="46">
        <f t="shared" si="42"/>
        <v>3034</v>
      </c>
      <c r="G162" s="46">
        <v>2.5</v>
      </c>
      <c r="H162" s="46">
        <v>7</v>
      </c>
      <c r="I162" s="46">
        <v>10</v>
      </c>
      <c r="J162" s="46">
        <v>20</v>
      </c>
      <c r="K162" s="46" t="e">
        <f ca="1" t="shared" si="50"/>
        <v>#VALUE!</v>
      </c>
      <c r="L162" s="46" t="e">
        <f ca="1" t="shared" si="51"/>
        <v>#VALUE!</v>
      </c>
      <c r="M162" s="46" t="e">
        <f ca="1" t="shared" si="52"/>
        <v>#VALUE!</v>
      </c>
      <c r="N162" s="46" t="e">
        <f ca="1" t="shared" si="41"/>
        <v>#VALUE!</v>
      </c>
      <c r="O162" s="46">
        <v>5</v>
      </c>
      <c r="P162" s="46">
        <v>34</v>
      </c>
      <c r="Q162" s="46" t="e">
        <f ca="1" t="shared" si="43"/>
        <v>#VALUE!</v>
      </c>
      <c r="R162" s="46" t="e">
        <f ca="1">OFFSET([2]怪物强度模型!$K$1,MATCH(F162,[2]怪物强度模型!$A:$A,0)-1,0)</f>
        <v>#VALUE!</v>
      </c>
      <c r="S162" s="46" t="e">
        <f ca="1">OFFSET([2]怪物强度模型!$O$1,MATCH(F162,[2]怪物强度模型!$A:$A,0)-1,0)</f>
        <v>#VALUE!</v>
      </c>
      <c r="T162" s="47" t="e">
        <f ca="1" t="shared" si="44"/>
        <v>#VALUE!</v>
      </c>
      <c r="U162" s="47" t="e">
        <f ca="1">Q162+N162*$V$1/10000+$V$1*OFFSET(卡牌辅助配置表!$V$1,MATCH(C162,卡牌辅助配置表!U:U,0)-1,0)*5*P162/10000/10000+M162*$V$1/10000</f>
        <v>#VALUE!</v>
      </c>
      <c r="V162" s="46" t="e">
        <f ca="1">OFFSET([2]怪物强度模型!$I$1,MATCH(F162,[2]怪物强度模型!$A:$A,0)-1,0)</f>
        <v>#VALUE!</v>
      </c>
      <c r="W162" t="e">
        <f ca="1" t="shared" si="53"/>
        <v>#VALUE!</v>
      </c>
    </row>
    <row r="163" spans="1:23">
      <c r="A163" s="45">
        <f t="shared" si="49"/>
        <v>3205</v>
      </c>
      <c r="B163" s="46" t="s">
        <v>2793</v>
      </c>
      <c r="C163" s="45">
        <v>3</v>
      </c>
      <c r="D163" s="45">
        <v>205</v>
      </c>
      <c r="E163" s="78">
        <v>800</v>
      </c>
      <c r="F163" s="46">
        <f t="shared" si="42"/>
        <v>3034</v>
      </c>
      <c r="G163" s="46">
        <v>2.6</v>
      </c>
      <c r="H163" s="46">
        <v>7</v>
      </c>
      <c r="I163" s="46">
        <v>10</v>
      </c>
      <c r="J163" s="46">
        <v>20</v>
      </c>
      <c r="K163" s="46" t="e">
        <f ca="1" t="shared" si="50"/>
        <v>#VALUE!</v>
      </c>
      <c r="L163" s="46" t="e">
        <f ca="1" t="shared" si="51"/>
        <v>#VALUE!</v>
      </c>
      <c r="M163" s="46" t="e">
        <f ca="1" t="shared" si="52"/>
        <v>#VALUE!</v>
      </c>
      <c r="N163" s="46" t="e">
        <f ca="1" t="shared" si="41"/>
        <v>#VALUE!</v>
      </c>
      <c r="O163" s="46">
        <v>5</v>
      </c>
      <c r="P163" s="46">
        <v>34</v>
      </c>
      <c r="Q163" s="46" t="e">
        <f ca="1" t="shared" si="43"/>
        <v>#VALUE!</v>
      </c>
      <c r="R163" s="46" t="e">
        <f ca="1">OFFSET([2]怪物强度模型!$K$1,MATCH(F163,[2]怪物强度模型!$A:$A,0)-1,0)</f>
        <v>#VALUE!</v>
      </c>
      <c r="S163" s="46" t="e">
        <f ca="1">OFFSET([2]怪物强度模型!$O$1,MATCH(F163,[2]怪物强度模型!$A:$A,0)-1,0)</f>
        <v>#VALUE!</v>
      </c>
      <c r="T163" s="47" t="e">
        <f ca="1" t="shared" si="44"/>
        <v>#VALUE!</v>
      </c>
      <c r="U163" s="47" t="e">
        <f ca="1">Q163+N163*$V$1/10000+$V$1*OFFSET(卡牌辅助配置表!$V$1,MATCH(C163,卡牌辅助配置表!U:U,0)-1,0)*5*P163/10000/10000+M163*$V$1/10000</f>
        <v>#VALUE!</v>
      </c>
      <c r="V163" s="46" t="e">
        <f ca="1">OFFSET([2]怪物强度模型!$I$1,MATCH(F163,[2]怪物强度模型!$A:$A,0)-1,0)</f>
        <v>#VALUE!</v>
      </c>
      <c r="W163" t="e">
        <f ca="1" t="shared" si="53"/>
        <v>#VALUE!</v>
      </c>
    </row>
    <row r="164" spans="1:23">
      <c r="A164" s="45">
        <f t="shared" si="49"/>
        <v>3206</v>
      </c>
      <c r="B164" s="46" t="s">
        <v>2793</v>
      </c>
      <c r="C164" s="45">
        <v>3</v>
      </c>
      <c r="D164" s="45">
        <v>206</v>
      </c>
      <c r="E164" s="78">
        <v>700</v>
      </c>
      <c r="F164" s="46">
        <f t="shared" ref="F164:F195" si="54">C164*1000+P164</f>
        <v>3035</v>
      </c>
      <c r="G164" s="46">
        <v>2.7</v>
      </c>
      <c r="H164" s="46">
        <v>7</v>
      </c>
      <c r="I164" s="46">
        <v>10</v>
      </c>
      <c r="J164" s="46">
        <v>20</v>
      </c>
      <c r="K164" s="46" t="e">
        <f ca="1" t="shared" si="50"/>
        <v>#VALUE!</v>
      </c>
      <c r="L164" s="46" t="e">
        <f ca="1" t="shared" si="51"/>
        <v>#VALUE!</v>
      </c>
      <c r="M164" s="46" t="e">
        <f ca="1" t="shared" si="52"/>
        <v>#VALUE!</v>
      </c>
      <c r="N164" s="46" t="e">
        <f ca="1" t="shared" si="41"/>
        <v>#VALUE!</v>
      </c>
      <c r="O164" s="46">
        <v>5</v>
      </c>
      <c r="P164" s="46">
        <v>35</v>
      </c>
      <c r="Q164" s="46" t="e">
        <f ca="1" t="shared" si="43"/>
        <v>#VALUE!</v>
      </c>
      <c r="R164" s="46" t="e">
        <f ca="1">OFFSET([2]怪物强度模型!$K$1,MATCH(F164,[2]怪物强度模型!$A:$A,0)-1,0)</f>
        <v>#VALUE!</v>
      </c>
      <c r="S164" s="46" t="e">
        <f ca="1">OFFSET([2]怪物强度模型!$O$1,MATCH(F164,[2]怪物强度模型!$A:$A,0)-1,0)</f>
        <v>#VALUE!</v>
      </c>
      <c r="T164" s="47" t="e">
        <f ca="1" t="shared" si="44"/>
        <v>#VALUE!</v>
      </c>
      <c r="U164" s="47" t="e">
        <f ca="1">Q164+N164*$V$1/10000+$V$1*OFFSET(卡牌辅助配置表!$V$1,MATCH(C164,卡牌辅助配置表!U:U,0)-1,0)*5*P164/10000/10000+M164*$V$1/10000</f>
        <v>#VALUE!</v>
      </c>
      <c r="V164" s="46" t="e">
        <f ca="1">OFFSET([2]怪物强度模型!$I$1,MATCH(F164,[2]怪物强度模型!$A:$A,0)-1,0)</f>
        <v>#VALUE!</v>
      </c>
      <c r="W164" t="e">
        <f ca="1" t="shared" si="53"/>
        <v>#VALUE!</v>
      </c>
    </row>
    <row r="165" spans="1:23">
      <c r="A165" s="45">
        <f t="shared" si="49"/>
        <v>3207</v>
      </c>
      <c r="B165" s="46" t="s">
        <v>2793</v>
      </c>
      <c r="C165" s="45">
        <v>3</v>
      </c>
      <c r="D165" s="45">
        <v>207</v>
      </c>
      <c r="E165" s="78">
        <v>600</v>
      </c>
      <c r="F165" s="46">
        <f t="shared" si="54"/>
        <v>3036</v>
      </c>
      <c r="G165" s="46">
        <v>2.8</v>
      </c>
      <c r="H165" s="46">
        <v>7</v>
      </c>
      <c r="I165" s="46">
        <v>10</v>
      </c>
      <c r="J165" s="46">
        <v>20</v>
      </c>
      <c r="K165" s="46" t="e">
        <f ca="1" t="shared" si="50"/>
        <v>#VALUE!</v>
      </c>
      <c r="L165" s="46" t="e">
        <f ca="1" t="shared" si="51"/>
        <v>#VALUE!</v>
      </c>
      <c r="M165" s="46" t="e">
        <f ca="1" t="shared" si="52"/>
        <v>#VALUE!</v>
      </c>
      <c r="N165" s="46" t="e">
        <f ca="1" t="shared" si="41"/>
        <v>#VALUE!</v>
      </c>
      <c r="O165" s="46">
        <v>5</v>
      </c>
      <c r="P165" s="46">
        <v>36</v>
      </c>
      <c r="Q165" s="46" t="e">
        <f ca="1" t="shared" si="43"/>
        <v>#VALUE!</v>
      </c>
      <c r="R165" s="46" t="e">
        <f ca="1">OFFSET([2]怪物强度模型!$K$1,MATCH(F165,[2]怪物强度模型!$A:$A,0)-1,0)</f>
        <v>#VALUE!</v>
      </c>
      <c r="S165" s="46" t="e">
        <f ca="1">OFFSET([2]怪物强度模型!$O$1,MATCH(F165,[2]怪物强度模型!$A:$A,0)-1,0)</f>
        <v>#VALUE!</v>
      </c>
      <c r="T165" s="47" t="e">
        <f ca="1" t="shared" si="44"/>
        <v>#VALUE!</v>
      </c>
      <c r="U165" s="47" t="e">
        <f ca="1">Q165+N165*$V$1/10000+$V$1*OFFSET(卡牌辅助配置表!$V$1,MATCH(C165,卡牌辅助配置表!U:U,0)-1,0)*5*P165/10000/10000+M165*$V$1/10000</f>
        <v>#VALUE!</v>
      </c>
      <c r="V165" s="46" t="e">
        <f ca="1">OFFSET([2]怪物强度模型!$I$1,MATCH(F165,[2]怪物强度模型!$A:$A,0)-1,0)</f>
        <v>#VALUE!</v>
      </c>
      <c r="W165" t="e">
        <f ca="1" t="shared" si="53"/>
        <v>#VALUE!</v>
      </c>
    </row>
    <row r="166" spans="1:23">
      <c r="A166" s="45">
        <f t="shared" si="49"/>
        <v>3208</v>
      </c>
      <c r="B166" s="46" t="s">
        <v>2793</v>
      </c>
      <c r="C166" s="45">
        <v>3</v>
      </c>
      <c r="D166" s="45">
        <v>208</v>
      </c>
      <c r="E166" s="78">
        <v>500</v>
      </c>
      <c r="F166" s="46">
        <f t="shared" si="54"/>
        <v>3038</v>
      </c>
      <c r="G166" s="46">
        <v>2.9</v>
      </c>
      <c r="H166" s="46">
        <v>7</v>
      </c>
      <c r="I166" s="46">
        <v>10</v>
      </c>
      <c r="J166" s="46">
        <v>20</v>
      </c>
      <c r="K166" s="46" t="e">
        <f ca="1" t="shared" si="50"/>
        <v>#VALUE!</v>
      </c>
      <c r="L166" s="46" t="e">
        <f ca="1" t="shared" si="51"/>
        <v>#VALUE!</v>
      </c>
      <c r="M166" s="46" t="e">
        <f ca="1" t="shared" si="52"/>
        <v>#VALUE!</v>
      </c>
      <c r="N166" s="46" t="e">
        <f ca="1" t="shared" si="41"/>
        <v>#VALUE!</v>
      </c>
      <c r="O166" s="46">
        <v>5</v>
      </c>
      <c r="P166" s="46">
        <v>38</v>
      </c>
      <c r="Q166" s="46" t="e">
        <f ca="1" t="shared" si="43"/>
        <v>#VALUE!</v>
      </c>
      <c r="R166" s="46" t="e">
        <f ca="1">OFFSET([2]怪物强度模型!$K$1,MATCH(F166,[2]怪物强度模型!$A:$A,0)-1,0)</f>
        <v>#VALUE!</v>
      </c>
      <c r="S166" s="46" t="e">
        <f ca="1">OFFSET([2]怪物强度模型!$O$1,MATCH(F166,[2]怪物强度模型!$A:$A,0)-1,0)</f>
        <v>#VALUE!</v>
      </c>
      <c r="T166" s="47" t="e">
        <f ca="1" t="shared" si="44"/>
        <v>#VALUE!</v>
      </c>
      <c r="U166" s="47" t="e">
        <f ca="1">Q166+N166*$V$1/10000+$V$1*OFFSET(卡牌辅助配置表!$V$1,MATCH(C166,卡牌辅助配置表!U:U,0)-1,0)*5*P166/10000/10000+M166*$V$1/10000</f>
        <v>#VALUE!</v>
      </c>
      <c r="V166" s="46" t="e">
        <f ca="1">OFFSET([2]怪物强度模型!$I$1,MATCH(F166,[2]怪物强度模型!$A:$A,0)-1,0)</f>
        <v>#VALUE!</v>
      </c>
      <c r="W166" t="e">
        <f ca="1" t="shared" si="53"/>
        <v>#VALUE!</v>
      </c>
    </row>
    <row r="167" spans="1:23">
      <c r="A167" s="45">
        <f t="shared" si="49"/>
        <v>3209</v>
      </c>
      <c r="B167" s="46" t="s">
        <v>2793</v>
      </c>
      <c r="C167" s="45">
        <v>3</v>
      </c>
      <c r="D167" s="45">
        <v>209</v>
      </c>
      <c r="E167" s="78">
        <v>400</v>
      </c>
      <c r="F167" s="46">
        <f t="shared" si="54"/>
        <v>3036</v>
      </c>
      <c r="G167" s="46">
        <v>3</v>
      </c>
      <c r="H167" s="46">
        <v>7</v>
      </c>
      <c r="I167" s="46">
        <v>10</v>
      </c>
      <c r="J167" s="46">
        <v>20</v>
      </c>
      <c r="K167" s="46" t="e">
        <f ca="1" t="shared" si="50"/>
        <v>#VALUE!</v>
      </c>
      <c r="L167" s="46" t="e">
        <f ca="1" t="shared" si="51"/>
        <v>#VALUE!</v>
      </c>
      <c r="M167" s="46" t="e">
        <f ca="1" t="shared" si="52"/>
        <v>#VALUE!</v>
      </c>
      <c r="N167" s="46" t="e">
        <f ca="1" t="shared" si="41"/>
        <v>#VALUE!</v>
      </c>
      <c r="O167" s="46">
        <v>5</v>
      </c>
      <c r="P167" s="46">
        <v>36</v>
      </c>
      <c r="Q167" s="46" t="e">
        <f ca="1" t="shared" si="43"/>
        <v>#VALUE!</v>
      </c>
      <c r="R167" s="46" t="e">
        <f ca="1">OFFSET([2]怪物强度模型!$K$1,MATCH(F167,[2]怪物强度模型!$A:$A,0)-1,0)</f>
        <v>#VALUE!</v>
      </c>
      <c r="S167" s="46" t="e">
        <f ca="1">OFFSET([2]怪物强度模型!$O$1,MATCH(F167,[2]怪物强度模型!$A:$A,0)-1,0)</f>
        <v>#VALUE!</v>
      </c>
      <c r="T167" s="47" t="e">
        <f ca="1" t="shared" si="44"/>
        <v>#VALUE!</v>
      </c>
      <c r="U167" s="47" t="e">
        <f ca="1">Q167+N167*$V$1/10000+$V$1*OFFSET(卡牌辅助配置表!$V$1,MATCH(C167,卡牌辅助配置表!U:U,0)-1,0)*5*P167/10000/10000+M167*$V$1/10000</f>
        <v>#VALUE!</v>
      </c>
      <c r="V167" s="46" t="e">
        <f ca="1">OFFSET([2]怪物强度模型!$I$1,MATCH(F167,[2]怪物强度模型!$A:$A,0)-1,0)</f>
        <v>#VALUE!</v>
      </c>
      <c r="W167" t="e">
        <f ca="1" t="shared" si="53"/>
        <v>#VALUE!</v>
      </c>
    </row>
    <row r="168" spans="1:23">
      <c r="A168" s="45">
        <f t="shared" si="49"/>
        <v>3210</v>
      </c>
      <c r="B168" s="46" t="s">
        <v>2793</v>
      </c>
      <c r="C168" s="45">
        <v>3</v>
      </c>
      <c r="D168" s="45">
        <v>210</v>
      </c>
      <c r="E168" s="78">
        <v>300</v>
      </c>
      <c r="F168" s="46">
        <f t="shared" si="54"/>
        <v>3037</v>
      </c>
      <c r="G168" s="46">
        <v>3.1</v>
      </c>
      <c r="H168" s="46">
        <v>7</v>
      </c>
      <c r="I168" s="46">
        <v>10</v>
      </c>
      <c r="J168" s="46">
        <v>20</v>
      </c>
      <c r="K168" s="46" t="e">
        <f ca="1" t="shared" si="50"/>
        <v>#VALUE!</v>
      </c>
      <c r="L168" s="46" t="e">
        <f ca="1" t="shared" si="51"/>
        <v>#VALUE!</v>
      </c>
      <c r="M168" s="46" t="e">
        <f ca="1" t="shared" si="52"/>
        <v>#VALUE!</v>
      </c>
      <c r="N168" s="46" t="e">
        <f ca="1" t="shared" si="41"/>
        <v>#VALUE!</v>
      </c>
      <c r="O168" s="46">
        <v>5</v>
      </c>
      <c r="P168" s="46">
        <v>37</v>
      </c>
      <c r="Q168" s="46" t="e">
        <f ca="1" t="shared" si="43"/>
        <v>#VALUE!</v>
      </c>
      <c r="R168" s="46" t="e">
        <f ca="1">OFFSET([2]怪物强度模型!$K$1,MATCH(F168,[2]怪物强度模型!$A:$A,0)-1,0)</f>
        <v>#VALUE!</v>
      </c>
      <c r="S168" s="46" t="e">
        <f ca="1">OFFSET([2]怪物强度模型!$O$1,MATCH(F168,[2]怪物强度模型!$A:$A,0)-1,0)</f>
        <v>#VALUE!</v>
      </c>
      <c r="T168" s="47" t="e">
        <f ca="1" t="shared" si="44"/>
        <v>#VALUE!</v>
      </c>
      <c r="U168" s="47" t="e">
        <f ca="1">Q168+N168*$V$1/10000+$V$1*OFFSET(卡牌辅助配置表!$V$1,MATCH(C168,卡牌辅助配置表!U:U,0)-1,0)*5*P168/10000/10000+M168*$V$1/10000</f>
        <v>#VALUE!</v>
      </c>
      <c r="V168" s="46" t="e">
        <f ca="1">OFFSET([2]怪物强度模型!$I$1,MATCH(F168,[2]怪物强度模型!$A:$A,0)-1,0)</f>
        <v>#VALUE!</v>
      </c>
      <c r="W168" t="e">
        <f ca="1" t="shared" si="53"/>
        <v>#VALUE!</v>
      </c>
    </row>
    <row r="169" spans="1:23">
      <c r="A169" s="45">
        <f t="shared" si="49"/>
        <v>3211</v>
      </c>
      <c r="B169" s="46" t="s">
        <v>2793</v>
      </c>
      <c r="C169" s="45">
        <v>3</v>
      </c>
      <c r="D169" s="45">
        <v>211</v>
      </c>
      <c r="E169" s="78">
        <v>200</v>
      </c>
      <c r="F169" s="46">
        <f t="shared" si="54"/>
        <v>3038</v>
      </c>
      <c r="G169" s="46">
        <v>3.2</v>
      </c>
      <c r="H169" s="46">
        <v>7</v>
      </c>
      <c r="I169" s="46">
        <v>10</v>
      </c>
      <c r="J169" s="46">
        <v>20</v>
      </c>
      <c r="K169" s="46" t="e">
        <f ca="1" t="shared" si="50"/>
        <v>#VALUE!</v>
      </c>
      <c r="L169" s="46" t="e">
        <f ca="1" t="shared" si="51"/>
        <v>#VALUE!</v>
      </c>
      <c r="M169" s="46" t="e">
        <f ca="1" t="shared" si="52"/>
        <v>#VALUE!</v>
      </c>
      <c r="N169" s="46" t="e">
        <f ca="1" t="shared" si="41"/>
        <v>#VALUE!</v>
      </c>
      <c r="O169" s="46">
        <v>5</v>
      </c>
      <c r="P169" s="46">
        <v>38</v>
      </c>
      <c r="Q169" s="46" t="e">
        <f ca="1" t="shared" si="43"/>
        <v>#VALUE!</v>
      </c>
      <c r="R169" s="46" t="e">
        <f ca="1">OFFSET([2]怪物强度模型!$K$1,MATCH(F169,[2]怪物强度模型!$A:$A,0)-1,0)</f>
        <v>#VALUE!</v>
      </c>
      <c r="S169" s="46" t="e">
        <f ca="1">OFFSET([2]怪物强度模型!$O$1,MATCH(F169,[2]怪物强度模型!$A:$A,0)-1,0)</f>
        <v>#VALUE!</v>
      </c>
      <c r="T169" s="47" t="e">
        <f ca="1" t="shared" si="44"/>
        <v>#VALUE!</v>
      </c>
      <c r="U169" s="47" t="e">
        <f ca="1">Q169+N169*$V$1/10000+$V$1*OFFSET(卡牌辅助配置表!$V$1,MATCH(C169,卡牌辅助配置表!U:U,0)-1,0)*5*P169/10000/10000+M169*$V$1/10000</f>
        <v>#VALUE!</v>
      </c>
      <c r="V169" s="46" t="e">
        <f ca="1">OFFSET([2]怪物强度模型!$I$1,MATCH(F169,[2]怪物强度模型!$A:$A,0)-1,0)</f>
        <v>#VALUE!</v>
      </c>
      <c r="W169" t="e">
        <f ca="1" t="shared" si="53"/>
        <v>#VALUE!</v>
      </c>
    </row>
    <row r="170" spans="1:23">
      <c r="A170" s="45">
        <f t="shared" si="49"/>
        <v>3212</v>
      </c>
      <c r="B170" s="46" t="s">
        <v>2793</v>
      </c>
      <c r="C170" s="45">
        <v>3</v>
      </c>
      <c r="D170" s="45">
        <v>212</v>
      </c>
      <c r="E170" s="78">
        <v>100</v>
      </c>
      <c r="F170" s="46">
        <f t="shared" si="54"/>
        <v>3040</v>
      </c>
      <c r="G170" s="46">
        <v>3.3</v>
      </c>
      <c r="H170" s="46">
        <v>7</v>
      </c>
      <c r="I170" s="46">
        <v>10</v>
      </c>
      <c r="J170" s="46">
        <v>20</v>
      </c>
      <c r="K170" s="46" t="e">
        <f ca="1" t="shared" si="50"/>
        <v>#VALUE!</v>
      </c>
      <c r="L170" s="46" t="e">
        <f ca="1" t="shared" si="51"/>
        <v>#VALUE!</v>
      </c>
      <c r="M170" s="46" t="e">
        <f ca="1" t="shared" si="52"/>
        <v>#VALUE!</v>
      </c>
      <c r="N170" s="46" t="e">
        <f ca="1" t="shared" si="41"/>
        <v>#VALUE!</v>
      </c>
      <c r="O170" s="46">
        <v>5</v>
      </c>
      <c r="P170" s="46">
        <v>40</v>
      </c>
      <c r="Q170" s="46" t="e">
        <f ca="1" t="shared" si="43"/>
        <v>#VALUE!</v>
      </c>
      <c r="R170" s="46" t="e">
        <f ca="1">OFFSET([2]怪物强度模型!$K$1,MATCH(F170,[2]怪物强度模型!$A:$A,0)-1,0)</f>
        <v>#VALUE!</v>
      </c>
      <c r="S170" s="46" t="e">
        <f ca="1">OFFSET([2]怪物强度模型!$O$1,MATCH(F170,[2]怪物强度模型!$A:$A,0)-1,0)</f>
        <v>#VALUE!</v>
      </c>
      <c r="T170" s="47" t="e">
        <f ca="1" t="shared" si="44"/>
        <v>#VALUE!</v>
      </c>
      <c r="U170" s="47" t="e">
        <f ca="1">Q170+N170*$V$1/10000+$V$1*OFFSET(卡牌辅助配置表!$V$1,MATCH(C170,卡牌辅助配置表!U:U,0)-1,0)*5*P170/10000/10000+M170*$V$1/10000</f>
        <v>#VALUE!</v>
      </c>
      <c r="V170" s="46" t="e">
        <f ca="1">OFFSET([2]怪物强度模型!$I$1,MATCH(F170,[2]怪物强度模型!$A:$A,0)-1,0)</f>
        <v>#VALUE!</v>
      </c>
      <c r="W170" t="e">
        <f ca="1" t="shared" si="53"/>
        <v>#VALUE!</v>
      </c>
    </row>
    <row r="171" spans="1:23">
      <c r="A171" s="45">
        <f t="shared" si="49"/>
        <v>4201</v>
      </c>
      <c r="B171" s="45" t="s">
        <v>2794</v>
      </c>
      <c r="C171" s="45">
        <v>4</v>
      </c>
      <c r="D171" s="45">
        <v>201</v>
      </c>
      <c r="E171" s="78">
        <v>1200</v>
      </c>
      <c r="F171" s="46">
        <f t="shared" si="54"/>
        <v>4041</v>
      </c>
      <c r="G171" s="46">
        <f>G159+0.5</f>
        <v>2.7</v>
      </c>
      <c r="H171" s="45">
        <v>8</v>
      </c>
      <c r="I171" s="46">
        <v>10</v>
      </c>
      <c r="J171" s="46">
        <v>20</v>
      </c>
      <c r="K171" s="46" t="e">
        <f ca="1" t="shared" si="50"/>
        <v>#VALUE!</v>
      </c>
      <c r="L171" s="46" t="e">
        <f ca="1" t="shared" si="51"/>
        <v>#VALUE!</v>
      </c>
      <c r="M171" s="46" t="e">
        <f ca="1" t="shared" si="52"/>
        <v>#VALUE!</v>
      </c>
      <c r="N171" s="46" t="e">
        <f ca="1" t="shared" si="41"/>
        <v>#VALUE!</v>
      </c>
      <c r="O171" s="46">
        <v>5</v>
      </c>
      <c r="P171" s="46">
        <v>41</v>
      </c>
      <c r="Q171" s="46" t="e">
        <f ca="1" t="shared" si="43"/>
        <v>#VALUE!</v>
      </c>
      <c r="R171" s="46" t="e">
        <f ca="1">OFFSET([2]怪物强度模型!$K$1,MATCH(F171,[2]怪物强度模型!$A:$A,0)-1,0)</f>
        <v>#VALUE!</v>
      </c>
      <c r="S171" s="46" t="e">
        <f ca="1">OFFSET([2]怪物强度模型!$O$1,MATCH(F171,[2]怪物强度模型!$A:$A,0)-1,0)</f>
        <v>#VALUE!</v>
      </c>
      <c r="T171" s="47" t="e">
        <f ca="1" t="shared" si="44"/>
        <v>#VALUE!</v>
      </c>
      <c r="U171" s="47" t="e">
        <f ca="1">Q171+N171*$V$1/10000+$V$1*OFFSET(卡牌辅助配置表!$V$1,MATCH(C171,卡牌辅助配置表!U:U,0)-1,0)*5*P171/10000/10000+M171*$V$1/10000</f>
        <v>#VALUE!</v>
      </c>
      <c r="V171" s="46" t="e">
        <f ca="1">OFFSET([2]怪物强度模型!$I$1,MATCH(F171,[2]怪物强度模型!$A:$A,0)-1,0)</f>
        <v>#VALUE!</v>
      </c>
      <c r="W171" t="e">
        <f ca="1" t="shared" si="53"/>
        <v>#VALUE!</v>
      </c>
    </row>
    <row r="172" spans="1:23">
      <c r="A172" s="45">
        <f t="shared" si="49"/>
        <v>4202</v>
      </c>
      <c r="B172" s="45" t="s">
        <v>2794</v>
      </c>
      <c r="C172" s="45">
        <v>4</v>
      </c>
      <c r="D172" s="45">
        <v>202</v>
      </c>
      <c r="E172" s="78">
        <v>1100</v>
      </c>
      <c r="F172" s="46">
        <f t="shared" si="54"/>
        <v>4042</v>
      </c>
      <c r="G172" s="46">
        <f t="shared" ref="G172:G218" si="55">G160+0.5</f>
        <v>2.8</v>
      </c>
      <c r="H172" s="45">
        <v>8</v>
      </c>
      <c r="I172" s="46">
        <v>10</v>
      </c>
      <c r="J172" s="46">
        <v>20</v>
      </c>
      <c r="K172" s="46" t="e">
        <f ca="1" t="shared" si="50"/>
        <v>#VALUE!</v>
      </c>
      <c r="L172" s="46" t="e">
        <f ca="1" t="shared" si="51"/>
        <v>#VALUE!</v>
      </c>
      <c r="M172" s="46" t="e">
        <f ca="1" t="shared" si="52"/>
        <v>#VALUE!</v>
      </c>
      <c r="N172" s="46" t="e">
        <f ca="1" t="shared" si="41"/>
        <v>#VALUE!</v>
      </c>
      <c r="O172" s="46">
        <v>5</v>
      </c>
      <c r="P172" s="46">
        <v>42</v>
      </c>
      <c r="Q172" s="46" t="e">
        <f ca="1" t="shared" si="43"/>
        <v>#VALUE!</v>
      </c>
      <c r="R172" s="46" t="e">
        <f ca="1">OFFSET([2]怪物强度模型!$K$1,MATCH(F172,[2]怪物强度模型!$A:$A,0)-1,0)</f>
        <v>#VALUE!</v>
      </c>
      <c r="S172" s="46" t="e">
        <f ca="1">OFFSET([2]怪物强度模型!$O$1,MATCH(F172,[2]怪物强度模型!$A:$A,0)-1,0)</f>
        <v>#VALUE!</v>
      </c>
      <c r="T172" s="47" t="e">
        <f ca="1" t="shared" si="44"/>
        <v>#VALUE!</v>
      </c>
      <c r="U172" s="47" t="e">
        <f ca="1">Q172+N172*$V$1/10000+$V$1*OFFSET(卡牌辅助配置表!$V$1,MATCH(C172,卡牌辅助配置表!U:U,0)-1,0)*5*P172/10000/10000+M172*$V$1/10000</f>
        <v>#VALUE!</v>
      </c>
      <c r="V172" s="46" t="e">
        <f ca="1">OFFSET([2]怪物强度模型!$I$1,MATCH(F172,[2]怪物强度模型!$A:$A,0)-1,0)</f>
        <v>#VALUE!</v>
      </c>
      <c r="W172" t="e">
        <f ca="1" t="shared" si="53"/>
        <v>#VALUE!</v>
      </c>
    </row>
    <row r="173" spans="1:23">
      <c r="A173" s="45">
        <f t="shared" si="49"/>
        <v>4203</v>
      </c>
      <c r="B173" s="45" t="s">
        <v>2794</v>
      </c>
      <c r="C173" s="45">
        <v>4</v>
      </c>
      <c r="D173" s="45">
        <v>203</v>
      </c>
      <c r="E173" s="78">
        <v>1000</v>
      </c>
      <c r="F173" s="46">
        <f t="shared" si="54"/>
        <v>4043</v>
      </c>
      <c r="G173" s="46">
        <f t="shared" si="55"/>
        <v>2.9</v>
      </c>
      <c r="H173" s="45">
        <v>8</v>
      </c>
      <c r="I173" s="46">
        <v>10</v>
      </c>
      <c r="J173" s="46">
        <v>20</v>
      </c>
      <c r="K173" s="46" t="e">
        <f ca="1" t="shared" si="50"/>
        <v>#VALUE!</v>
      </c>
      <c r="L173" s="46" t="e">
        <f ca="1" t="shared" si="51"/>
        <v>#VALUE!</v>
      </c>
      <c r="M173" s="46" t="e">
        <f ca="1" t="shared" si="52"/>
        <v>#VALUE!</v>
      </c>
      <c r="N173" s="46" t="e">
        <f ca="1" t="shared" si="41"/>
        <v>#VALUE!</v>
      </c>
      <c r="O173" s="46">
        <v>5</v>
      </c>
      <c r="P173" s="46">
        <v>43</v>
      </c>
      <c r="Q173" s="46" t="e">
        <f ca="1" t="shared" si="43"/>
        <v>#VALUE!</v>
      </c>
      <c r="R173" s="46" t="e">
        <f ca="1">OFFSET([2]怪物强度模型!$K$1,MATCH(F173,[2]怪物强度模型!$A:$A,0)-1,0)</f>
        <v>#VALUE!</v>
      </c>
      <c r="S173" s="46" t="e">
        <f ca="1">OFFSET([2]怪物强度模型!$O$1,MATCH(F173,[2]怪物强度模型!$A:$A,0)-1,0)</f>
        <v>#VALUE!</v>
      </c>
      <c r="T173" s="47" t="e">
        <f ca="1" t="shared" si="44"/>
        <v>#VALUE!</v>
      </c>
      <c r="U173" s="47" t="e">
        <f ca="1">Q173+N173*$V$1/10000+$V$1*OFFSET(卡牌辅助配置表!$V$1,MATCH(C173,卡牌辅助配置表!U:U,0)-1,0)*5*P173/10000/10000+M173*$V$1/10000</f>
        <v>#VALUE!</v>
      </c>
      <c r="V173" s="46" t="e">
        <f ca="1">OFFSET([2]怪物强度模型!$I$1,MATCH(F173,[2]怪物强度模型!$A:$A,0)-1,0)</f>
        <v>#VALUE!</v>
      </c>
      <c r="W173" t="e">
        <f ca="1" t="shared" si="53"/>
        <v>#VALUE!</v>
      </c>
    </row>
    <row r="174" spans="1:23">
      <c r="A174" s="45">
        <f t="shared" si="49"/>
        <v>4204</v>
      </c>
      <c r="B174" s="45" t="s">
        <v>2794</v>
      </c>
      <c r="C174" s="45">
        <v>4</v>
      </c>
      <c r="D174" s="45">
        <v>204</v>
      </c>
      <c r="E174" s="78">
        <v>900</v>
      </c>
      <c r="F174" s="46">
        <f t="shared" si="54"/>
        <v>4044</v>
      </c>
      <c r="G174" s="46">
        <f t="shared" si="55"/>
        <v>3</v>
      </c>
      <c r="H174" s="45">
        <v>8</v>
      </c>
      <c r="I174" s="46">
        <v>10</v>
      </c>
      <c r="J174" s="46">
        <v>20</v>
      </c>
      <c r="K174" s="46" t="e">
        <f ca="1" t="shared" si="50"/>
        <v>#VALUE!</v>
      </c>
      <c r="L174" s="46" t="e">
        <f ca="1" t="shared" si="51"/>
        <v>#VALUE!</v>
      </c>
      <c r="M174" s="46" t="e">
        <f ca="1" t="shared" si="52"/>
        <v>#VALUE!</v>
      </c>
      <c r="N174" s="46" t="e">
        <f ca="1" t="shared" si="41"/>
        <v>#VALUE!</v>
      </c>
      <c r="O174" s="46">
        <v>5</v>
      </c>
      <c r="P174" s="46">
        <v>44</v>
      </c>
      <c r="Q174" s="46" t="e">
        <f ca="1" t="shared" si="43"/>
        <v>#VALUE!</v>
      </c>
      <c r="R174" s="46" t="e">
        <f ca="1">OFFSET([2]怪物强度模型!$K$1,MATCH(F174,[2]怪物强度模型!$A:$A,0)-1,0)</f>
        <v>#VALUE!</v>
      </c>
      <c r="S174" s="46" t="e">
        <f ca="1">OFFSET([2]怪物强度模型!$O$1,MATCH(F174,[2]怪物强度模型!$A:$A,0)-1,0)</f>
        <v>#VALUE!</v>
      </c>
      <c r="T174" s="47" t="e">
        <f ca="1" t="shared" si="44"/>
        <v>#VALUE!</v>
      </c>
      <c r="U174" s="47" t="e">
        <f ca="1">Q174+N174*$V$1/10000+$V$1*OFFSET(卡牌辅助配置表!$V$1,MATCH(C174,卡牌辅助配置表!U:U,0)-1,0)*5*P174/10000/10000+M174*$V$1/10000</f>
        <v>#VALUE!</v>
      </c>
      <c r="V174" s="46" t="e">
        <f ca="1">OFFSET([2]怪物强度模型!$I$1,MATCH(F174,[2]怪物强度模型!$A:$A,0)-1,0)</f>
        <v>#VALUE!</v>
      </c>
      <c r="W174" t="e">
        <f ca="1" t="shared" si="53"/>
        <v>#VALUE!</v>
      </c>
    </row>
    <row r="175" spans="1:23">
      <c r="A175" s="45">
        <f t="shared" si="49"/>
        <v>4205</v>
      </c>
      <c r="B175" s="45" t="s">
        <v>2794</v>
      </c>
      <c r="C175" s="45">
        <v>4</v>
      </c>
      <c r="D175" s="45">
        <v>205</v>
      </c>
      <c r="E175" s="78">
        <v>800</v>
      </c>
      <c r="F175" s="46">
        <f t="shared" si="54"/>
        <v>4045</v>
      </c>
      <c r="G175" s="46">
        <f t="shared" si="55"/>
        <v>3.1</v>
      </c>
      <c r="H175" s="45">
        <v>8</v>
      </c>
      <c r="I175" s="46">
        <v>10</v>
      </c>
      <c r="J175" s="46">
        <v>20</v>
      </c>
      <c r="K175" s="46" t="e">
        <f ca="1" t="shared" si="50"/>
        <v>#VALUE!</v>
      </c>
      <c r="L175" s="46" t="e">
        <f ca="1" t="shared" si="51"/>
        <v>#VALUE!</v>
      </c>
      <c r="M175" s="46" t="e">
        <f ca="1" t="shared" si="52"/>
        <v>#VALUE!</v>
      </c>
      <c r="N175" s="46" t="e">
        <f ca="1" t="shared" si="41"/>
        <v>#VALUE!</v>
      </c>
      <c r="O175" s="46">
        <v>5</v>
      </c>
      <c r="P175" s="46">
        <v>45</v>
      </c>
      <c r="Q175" s="46" t="e">
        <f ca="1" t="shared" si="43"/>
        <v>#VALUE!</v>
      </c>
      <c r="R175" s="46" t="e">
        <f ca="1">OFFSET([2]怪物强度模型!$K$1,MATCH(F175,[2]怪物强度模型!$A:$A,0)-1,0)</f>
        <v>#VALUE!</v>
      </c>
      <c r="S175" s="46" t="e">
        <f ca="1">OFFSET([2]怪物强度模型!$O$1,MATCH(F175,[2]怪物强度模型!$A:$A,0)-1,0)</f>
        <v>#VALUE!</v>
      </c>
      <c r="T175" s="47" t="e">
        <f ca="1" t="shared" si="44"/>
        <v>#VALUE!</v>
      </c>
      <c r="U175" s="47" t="e">
        <f ca="1">Q175+N175*$V$1/10000+$V$1*OFFSET(卡牌辅助配置表!$V$1,MATCH(C175,卡牌辅助配置表!U:U,0)-1,0)*5*P175/10000/10000+M175*$V$1/10000</f>
        <v>#VALUE!</v>
      </c>
      <c r="V175" s="46" t="e">
        <f ca="1">OFFSET([2]怪物强度模型!$I$1,MATCH(F175,[2]怪物强度模型!$A:$A,0)-1,0)</f>
        <v>#VALUE!</v>
      </c>
      <c r="W175" t="e">
        <f ca="1" t="shared" si="53"/>
        <v>#VALUE!</v>
      </c>
    </row>
    <row r="176" spans="1:23">
      <c r="A176" s="45">
        <f t="shared" si="49"/>
        <v>4206</v>
      </c>
      <c r="B176" s="45" t="s">
        <v>2794</v>
      </c>
      <c r="C176" s="45">
        <v>4</v>
      </c>
      <c r="D176" s="45">
        <v>206</v>
      </c>
      <c r="E176" s="78">
        <v>700</v>
      </c>
      <c r="F176" s="46">
        <f t="shared" si="54"/>
        <v>4046</v>
      </c>
      <c r="G176" s="46">
        <f t="shared" si="55"/>
        <v>3.2</v>
      </c>
      <c r="H176" s="45">
        <v>8</v>
      </c>
      <c r="I176" s="46">
        <v>10</v>
      </c>
      <c r="J176" s="46">
        <v>20</v>
      </c>
      <c r="K176" s="46" t="e">
        <f ca="1" t="shared" si="50"/>
        <v>#VALUE!</v>
      </c>
      <c r="L176" s="46" t="e">
        <f ca="1" t="shared" si="51"/>
        <v>#VALUE!</v>
      </c>
      <c r="M176" s="46" t="e">
        <f ca="1" t="shared" si="52"/>
        <v>#VALUE!</v>
      </c>
      <c r="N176" s="46" t="e">
        <f ca="1" t="shared" si="41"/>
        <v>#VALUE!</v>
      </c>
      <c r="O176" s="46">
        <v>5</v>
      </c>
      <c r="P176" s="46">
        <v>46</v>
      </c>
      <c r="Q176" s="46" t="e">
        <f ca="1" t="shared" si="43"/>
        <v>#VALUE!</v>
      </c>
      <c r="R176" s="46" t="e">
        <f ca="1">OFFSET([2]怪物强度模型!$K$1,MATCH(F176,[2]怪物强度模型!$A:$A,0)-1,0)</f>
        <v>#VALUE!</v>
      </c>
      <c r="S176" s="46" t="e">
        <f ca="1">OFFSET([2]怪物强度模型!$O$1,MATCH(F176,[2]怪物强度模型!$A:$A,0)-1,0)</f>
        <v>#VALUE!</v>
      </c>
      <c r="T176" s="47" t="e">
        <f ca="1" t="shared" si="44"/>
        <v>#VALUE!</v>
      </c>
      <c r="U176" s="47" t="e">
        <f ca="1">Q176+N176*$V$1/10000+$V$1*OFFSET(卡牌辅助配置表!$V$1,MATCH(C176,卡牌辅助配置表!U:U,0)-1,0)*5*P176/10000/10000+M176*$V$1/10000</f>
        <v>#VALUE!</v>
      </c>
      <c r="V176" s="46" t="e">
        <f ca="1">OFFSET([2]怪物强度模型!$I$1,MATCH(F176,[2]怪物强度模型!$A:$A,0)-1,0)</f>
        <v>#VALUE!</v>
      </c>
      <c r="W176" t="e">
        <f ca="1" t="shared" si="53"/>
        <v>#VALUE!</v>
      </c>
    </row>
    <row r="177" spans="1:23">
      <c r="A177" s="45">
        <f t="shared" si="49"/>
        <v>4207</v>
      </c>
      <c r="B177" s="45" t="s">
        <v>2794</v>
      </c>
      <c r="C177" s="45">
        <v>4</v>
      </c>
      <c r="D177" s="45">
        <v>207</v>
      </c>
      <c r="E177" s="78">
        <v>600</v>
      </c>
      <c r="F177" s="46">
        <f t="shared" si="54"/>
        <v>4047</v>
      </c>
      <c r="G177" s="46">
        <f t="shared" si="55"/>
        <v>3.3</v>
      </c>
      <c r="H177" s="45">
        <v>8</v>
      </c>
      <c r="I177" s="46">
        <v>10</v>
      </c>
      <c r="J177" s="46">
        <v>20</v>
      </c>
      <c r="K177" s="46" t="e">
        <f ca="1" t="shared" si="50"/>
        <v>#VALUE!</v>
      </c>
      <c r="L177" s="46" t="e">
        <f ca="1" t="shared" si="51"/>
        <v>#VALUE!</v>
      </c>
      <c r="M177" s="46" t="e">
        <f ca="1" t="shared" si="52"/>
        <v>#VALUE!</v>
      </c>
      <c r="N177" s="46" t="e">
        <f ca="1" t="shared" si="41"/>
        <v>#VALUE!</v>
      </c>
      <c r="O177" s="46">
        <v>5</v>
      </c>
      <c r="P177" s="46">
        <v>47</v>
      </c>
      <c r="Q177" s="46" t="e">
        <f ca="1" t="shared" si="43"/>
        <v>#VALUE!</v>
      </c>
      <c r="R177" s="46" t="e">
        <f ca="1">OFFSET([2]怪物强度模型!$K$1,MATCH(F177,[2]怪物强度模型!$A:$A,0)-1,0)</f>
        <v>#VALUE!</v>
      </c>
      <c r="S177" s="46" t="e">
        <f ca="1">OFFSET([2]怪物强度模型!$O$1,MATCH(F177,[2]怪物强度模型!$A:$A,0)-1,0)</f>
        <v>#VALUE!</v>
      </c>
      <c r="T177" s="47" t="e">
        <f ca="1" t="shared" si="44"/>
        <v>#VALUE!</v>
      </c>
      <c r="U177" s="47" t="e">
        <f ca="1">Q177+N177*$V$1/10000+$V$1*OFFSET(卡牌辅助配置表!$V$1,MATCH(C177,卡牌辅助配置表!U:U,0)-1,0)*5*P177/10000/10000+M177*$V$1/10000</f>
        <v>#VALUE!</v>
      </c>
      <c r="V177" s="46" t="e">
        <f ca="1">OFFSET([2]怪物强度模型!$I$1,MATCH(F177,[2]怪物强度模型!$A:$A,0)-1,0)</f>
        <v>#VALUE!</v>
      </c>
      <c r="W177" t="e">
        <f ca="1" t="shared" ref="W177:W218" si="56">V177-0.1</f>
        <v>#VALUE!</v>
      </c>
    </row>
    <row r="178" spans="1:23">
      <c r="A178" s="45">
        <f t="shared" si="49"/>
        <v>4208</v>
      </c>
      <c r="B178" s="45" t="s">
        <v>2794</v>
      </c>
      <c r="C178" s="45">
        <v>4</v>
      </c>
      <c r="D178" s="45">
        <v>208</v>
      </c>
      <c r="E178" s="78">
        <v>500</v>
      </c>
      <c r="F178" s="46">
        <f t="shared" si="54"/>
        <v>4048</v>
      </c>
      <c r="G178" s="46">
        <f t="shared" si="55"/>
        <v>3.4</v>
      </c>
      <c r="H178" s="45">
        <v>8</v>
      </c>
      <c r="I178" s="46">
        <v>10</v>
      </c>
      <c r="J178" s="46">
        <v>20</v>
      </c>
      <c r="K178" s="46" t="e">
        <f ca="1" t="shared" si="50"/>
        <v>#VALUE!</v>
      </c>
      <c r="L178" s="46" t="e">
        <f ca="1" t="shared" si="51"/>
        <v>#VALUE!</v>
      </c>
      <c r="M178" s="46" t="e">
        <f ca="1" t="shared" si="52"/>
        <v>#VALUE!</v>
      </c>
      <c r="N178" s="46" t="e">
        <f ca="1" t="shared" si="41"/>
        <v>#VALUE!</v>
      </c>
      <c r="O178" s="46">
        <v>5</v>
      </c>
      <c r="P178" s="46">
        <v>48</v>
      </c>
      <c r="Q178" s="46" t="e">
        <f ca="1" t="shared" si="43"/>
        <v>#VALUE!</v>
      </c>
      <c r="R178" s="46" t="e">
        <f ca="1">OFFSET([2]怪物强度模型!$K$1,MATCH(F178,[2]怪物强度模型!$A:$A,0)-1,0)</f>
        <v>#VALUE!</v>
      </c>
      <c r="S178" s="46" t="e">
        <f ca="1">OFFSET([2]怪物强度模型!$O$1,MATCH(F178,[2]怪物强度模型!$A:$A,0)-1,0)</f>
        <v>#VALUE!</v>
      </c>
      <c r="T178" s="47" t="e">
        <f ca="1" t="shared" si="44"/>
        <v>#VALUE!</v>
      </c>
      <c r="U178" s="47" t="e">
        <f ca="1">Q178+N178*$V$1/10000+$V$1*OFFSET(卡牌辅助配置表!$V$1,MATCH(C178,卡牌辅助配置表!U:U,0)-1,0)*5*P178/10000/10000+M178*$V$1/10000</f>
        <v>#VALUE!</v>
      </c>
      <c r="V178" s="46" t="e">
        <f ca="1">OFFSET([2]怪物强度模型!$I$1,MATCH(F178,[2]怪物强度模型!$A:$A,0)-1,0)</f>
        <v>#VALUE!</v>
      </c>
      <c r="W178" t="e">
        <f ca="1" t="shared" si="56"/>
        <v>#VALUE!</v>
      </c>
    </row>
    <row r="179" spans="1:23">
      <c r="A179" s="45">
        <f t="shared" si="49"/>
        <v>4209</v>
      </c>
      <c r="B179" s="45" t="s">
        <v>2794</v>
      </c>
      <c r="C179" s="45">
        <v>4</v>
      </c>
      <c r="D179" s="45">
        <v>209</v>
      </c>
      <c r="E179" s="78">
        <v>400</v>
      </c>
      <c r="F179" s="46">
        <f t="shared" si="54"/>
        <v>4049</v>
      </c>
      <c r="G179" s="46">
        <f t="shared" si="55"/>
        <v>3.5</v>
      </c>
      <c r="H179" s="45">
        <v>8</v>
      </c>
      <c r="I179" s="46">
        <v>10</v>
      </c>
      <c r="J179" s="46">
        <v>20</v>
      </c>
      <c r="K179" s="46" t="e">
        <f ca="1" t="shared" si="50"/>
        <v>#VALUE!</v>
      </c>
      <c r="L179" s="46" t="e">
        <f ca="1" t="shared" si="51"/>
        <v>#VALUE!</v>
      </c>
      <c r="M179" s="46" t="e">
        <f ca="1" t="shared" si="52"/>
        <v>#VALUE!</v>
      </c>
      <c r="N179" s="46" t="e">
        <f ca="1" t="shared" si="41"/>
        <v>#VALUE!</v>
      </c>
      <c r="O179" s="46">
        <v>5</v>
      </c>
      <c r="P179" s="46">
        <v>49</v>
      </c>
      <c r="Q179" s="46" t="e">
        <f ca="1" t="shared" si="43"/>
        <v>#VALUE!</v>
      </c>
      <c r="R179" s="46" t="e">
        <f ca="1">OFFSET([2]怪物强度模型!$K$1,MATCH(F179,[2]怪物强度模型!$A:$A,0)-1,0)</f>
        <v>#VALUE!</v>
      </c>
      <c r="S179" s="46" t="e">
        <f ca="1">OFFSET([2]怪物强度模型!$O$1,MATCH(F179,[2]怪物强度模型!$A:$A,0)-1,0)</f>
        <v>#VALUE!</v>
      </c>
      <c r="T179" s="47" t="e">
        <f ca="1" t="shared" si="44"/>
        <v>#VALUE!</v>
      </c>
      <c r="U179" s="47" t="e">
        <f ca="1">Q179+N179*$V$1/10000+$V$1*OFFSET(卡牌辅助配置表!$V$1,MATCH(C179,卡牌辅助配置表!U:U,0)-1,0)*5*P179/10000/10000+M179*$V$1/10000</f>
        <v>#VALUE!</v>
      </c>
      <c r="V179" s="46" t="e">
        <f ca="1">OFFSET([2]怪物强度模型!$I$1,MATCH(F179,[2]怪物强度模型!$A:$A,0)-1,0)</f>
        <v>#VALUE!</v>
      </c>
      <c r="W179" t="e">
        <f ca="1" t="shared" si="56"/>
        <v>#VALUE!</v>
      </c>
    </row>
    <row r="180" spans="1:23">
      <c r="A180" s="45">
        <f t="shared" si="49"/>
        <v>4210</v>
      </c>
      <c r="B180" s="45" t="s">
        <v>2794</v>
      </c>
      <c r="C180" s="45">
        <v>4</v>
      </c>
      <c r="D180" s="45">
        <v>210</v>
      </c>
      <c r="E180" s="78">
        <v>300</v>
      </c>
      <c r="F180" s="46">
        <f t="shared" si="54"/>
        <v>4050</v>
      </c>
      <c r="G180" s="46">
        <f t="shared" si="55"/>
        <v>3.6</v>
      </c>
      <c r="H180" s="45">
        <v>8</v>
      </c>
      <c r="I180" s="46">
        <v>10</v>
      </c>
      <c r="J180" s="46">
        <v>20</v>
      </c>
      <c r="K180" s="46" t="e">
        <f ca="1" t="shared" si="50"/>
        <v>#VALUE!</v>
      </c>
      <c r="L180" s="46" t="e">
        <f ca="1" t="shared" si="51"/>
        <v>#VALUE!</v>
      </c>
      <c r="M180" s="46" t="e">
        <f ca="1" t="shared" si="52"/>
        <v>#VALUE!</v>
      </c>
      <c r="N180" s="46" t="e">
        <f ca="1" t="shared" si="41"/>
        <v>#VALUE!</v>
      </c>
      <c r="O180" s="46">
        <v>5</v>
      </c>
      <c r="P180" s="46">
        <v>50</v>
      </c>
      <c r="Q180" s="46" t="e">
        <f ca="1" t="shared" si="43"/>
        <v>#VALUE!</v>
      </c>
      <c r="R180" s="46" t="e">
        <f ca="1">OFFSET([2]怪物强度模型!$K$1,MATCH(F180,[2]怪物强度模型!$A:$A,0)-1,0)</f>
        <v>#VALUE!</v>
      </c>
      <c r="S180" s="46" t="e">
        <f ca="1">OFFSET([2]怪物强度模型!$O$1,MATCH(F180,[2]怪物强度模型!$A:$A,0)-1,0)</f>
        <v>#VALUE!</v>
      </c>
      <c r="T180" s="47" t="e">
        <f ca="1" t="shared" si="44"/>
        <v>#VALUE!</v>
      </c>
      <c r="U180" s="47" t="e">
        <f ca="1">Q180+N180*$V$1/10000+$V$1*OFFSET(卡牌辅助配置表!$V$1,MATCH(C180,卡牌辅助配置表!U:U,0)-1,0)*5*P180/10000/10000+M180*$V$1/10000</f>
        <v>#VALUE!</v>
      </c>
      <c r="V180" s="46" t="e">
        <f ca="1">OFFSET([2]怪物强度模型!$I$1,MATCH(F180,[2]怪物强度模型!$A:$A,0)-1,0)</f>
        <v>#VALUE!</v>
      </c>
      <c r="W180" t="e">
        <f ca="1" t="shared" si="56"/>
        <v>#VALUE!</v>
      </c>
    </row>
    <row r="181" spans="1:23">
      <c r="A181" s="45">
        <f t="shared" si="49"/>
        <v>4211</v>
      </c>
      <c r="B181" s="45" t="s">
        <v>2794</v>
      </c>
      <c r="C181" s="45">
        <v>4</v>
      </c>
      <c r="D181" s="45">
        <v>211</v>
      </c>
      <c r="E181" s="78">
        <v>200</v>
      </c>
      <c r="F181" s="46">
        <f t="shared" si="54"/>
        <v>4050</v>
      </c>
      <c r="G181" s="46">
        <f t="shared" si="55"/>
        <v>3.7</v>
      </c>
      <c r="H181" s="45">
        <v>8</v>
      </c>
      <c r="I181" s="46">
        <v>10</v>
      </c>
      <c r="J181" s="46">
        <v>20</v>
      </c>
      <c r="K181" s="46" t="e">
        <f ca="1" t="shared" si="50"/>
        <v>#VALUE!</v>
      </c>
      <c r="L181" s="46" t="e">
        <f ca="1" t="shared" si="51"/>
        <v>#VALUE!</v>
      </c>
      <c r="M181" s="46" t="e">
        <f ca="1" t="shared" si="52"/>
        <v>#VALUE!</v>
      </c>
      <c r="N181" s="46" t="e">
        <f ca="1" t="shared" si="41"/>
        <v>#VALUE!</v>
      </c>
      <c r="O181" s="46">
        <v>5</v>
      </c>
      <c r="P181" s="46">
        <v>50</v>
      </c>
      <c r="Q181" s="46" t="e">
        <f ca="1" t="shared" si="43"/>
        <v>#VALUE!</v>
      </c>
      <c r="R181" s="46" t="e">
        <f ca="1">OFFSET([2]怪物强度模型!$K$1,MATCH(F181,[2]怪物强度模型!$A:$A,0)-1,0)</f>
        <v>#VALUE!</v>
      </c>
      <c r="S181" s="46" t="e">
        <f ca="1">OFFSET([2]怪物强度模型!$O$1,MATCH(F181,[2]怪物强度模型!$A:$A,0)-1,0)</f>
        <v>#VALUE!</v>
      </c>
      <c r="T181" s="47" t="e">
        <f ca="1" t="shared" si="44"/>
        <v>#VALUE!</v>
      </c>
      <c r="U181" s="47" t="e">
        <f ca="1">Q181+N181*$V$1/10000+$V$1*OFFSET(卡牌辅助配置表!$V$1,MATCH(C181,卡牌辅助配置表!U:U,0)-1,0)*5*P181/10000/10000+M181*$V$1/10000</f>
        <v>#VALUE!</v>
      </c>
      <c r="V181" s="46" t="e">
        <f ca="1">OFFSET([2]怪物强度模型!$I$1,MATCH(F181,[2]怪物强度模型!$A:$A,0)-1,0)</f>
        <v>#VALUE!</v>
      </c>
      <c r="W181" t="e">
        <f ca="1" t="shared" si="56"/>
        <v>#VALUE!</v>
      </c>
    </row>
    <row r="182" spans="1:23">
      <c r="A182" s="45">
        <f t="shared" si="49"/>
        <v>4212</v>
      </c>
      <c r="B182" s="45" t="s">
        <v>2794</v>
      </c>
      <c r="C182" s="45">
        <v>4</v>
      </c>
      <c r="D182" s="45">
        <v>212</v>
      </c>
      <c r="E182" s="78">
        <v>100</v>
      </c>
      <c r="F182" s="46">
        <f t="shared" si="54"/>
        <v>4050</v>
      </c>
      <c r="G182" s="46">
        <f t="shared" si="55"/>
        <v>3.8</v>
      </c>
      <c r="H182" s="45">
        <v>8</v>
      </c>
      <c r="I182" s="46">
        <v>10</v>
      </c>
      <c r="J182" s="46">
        <v>20</v>
      </c>
      <c r="K182" s="46" t="e">
        <f ca="1" t="shared" si="50"/>
        <v>#VALUE!</v>
      </c>
      <c r="L182" s="46" t="e">
        <f ca="1" t="shared" si="51"/>
        <v>#VALUE!</v>
      </c>
      <c r="M182" s="46" t="e">
        <f ca="1" t="shared" si="52"/>
        <v>#VALUE!</v>
      </c>
      <c r="N182" s="46" t="e">
        <f ca="1" t="shared" si="41"/>
        <v>#VALUE!</v>
      </c>
      <c r="O182" s="46">
        <v>5</v>
      </c>
      <c r="P182" s="46">
        <v>50</v>
      </c>
      <c r="Q182" s="46" t="e">
        <f ca="1" t="shared" si="43"/>
        <v>#VALUE!</v>
      </c>
      <c r="R182" s="46" t="e">
        <f ca="1">OFFSET([2]怪物强度模型!$K$1,MATCH(F182,[2]怪物强度模型!$A:$A,0)-1,0)</f>
        <v>#VALUE!</v>
      </c>
      <c r="S182" s="46" t="e">
        <f ca="1">OFFSET([2]怪物强度模型!$O$1,MATCH(F182,[2]怪物强度模型!$A:$A,0)-1,0)</f>
        <v>#VALUE!</v>
      </c>
      <c r="T182" s="47" t="e">
        <f ca="1" t="shared" si="44"/>
        <v>#VALUE!</v>
      </c>
      <c r="U182" s="47" t="e">
        <f ca="1">Q182+N182*$V$1/10000+$V$1*OFFSET(卡牌辅助配置表!$V$1,MATCH(C182,卡牌辅助配置表!U:U,0)-1,0)*5*P182/10000/10000+M182*$V$1/10000</f>
        <v>#VALUE!</v>
      </c>
      <c r="V182" s="46" t="e">
        <f ca="1">OFFSET([2]怪物强度模型!$I$1,MATCH(F182,[2]怪物强度模型!$A:$A,0)-1,0)</f>
        <v>#VALUE!</v>
      </c>
      <c r="W182" t="e">
        <f ca="1" t="shared" si="56"/>
        <v>#VALUE!</v>
      </c>
    </row>
    <row r="183" spans="1:23">
      <c r="A183" s="45">
        <f t="shared" si="49"/>
        <v>5201</v>
      </c>
      <c r="B183" s="45" t="s">
        <v>2795</v>
      </c>
      <c r="C183" s="45">
        <v>5</v>
      </c>
      <c r="D183" s="45">
        <v>201</v>
      </c>
      <c r="E183" s="78">
        <v>1200</v>
      </c>
      <c r="F183" s="46">
        <f t="shared" si="54"/>
        <v>5051</v>
      </c>
      <c r="G183" s="46">
        <f t="shared" si="55"/>
        <v>3.2</v>
      </c>
      <c r="H183" s="45">
        <v>8</v>
      </c>
      <c r="I183" s="46">
        <v>10</v>
      </c>
      <c r="J183" s="46">
        <v>20</v>
      </c>
      <c r="K183" s="46" t="e">
        <f ca="1" t="shared" si="50"/>
        <v>#VALUE!</v>
      </c>
      <c r="L183" s="46" t="e">
        <f ca="1" t="shared" si="51"/>
        <v>#VALUE!</v>
      </c>
      <c r="M183" s="46" t="e">
        <f ca="1" t="shared" si="52"/>
        <v>#VALUE!</v>
      </c>
      <c r="N183" s="46" t="e">
        <f ca="1" t="shared" si="41"/>
        <v>#VALUE!</v>
      </c>
      <c r="O183" s="46">
        <v>5</v>
      </c>
      <c r="P183" s="46">
        <f>P171+10</f>
        <v>51</v>
      </c>
      <c r="Q183" s="46" t="e">
        <f ca="1" t="shared" si="43"/>
        <v>#VALUE!</v>
      </c>
      <c r="R183" s="46" t="e">
        <f ca="1">OFFSET([2]怪物强度模型!$K$1,MATCH(F183,[2]怪物强度模型!$A:$A,0)-1,0)</f>
        <v>#VALUE!</v>
      </c>
      <c r="S183" s="46" t="e">
        <f ca="1">OFFSET([2]怪物强度模型!$O$1,MATCH(F183,[2]怪物强度模型!$A:$A,0)-1,0)</f>
        <v>#VALUE!</v>
      </c>
      <c r="T183" s="47" t="e">
        <f ca="1" t="shared" si="44"/>
        <v>#VALUE!</v>
      </c>
      <c r="U183" s="47" t="e">
        <f ca="1">Q183+N183*$V$1/10000+$V$1*OFFSET(卡牌辅助配置表!$V$1,MATCH(C183,卡牌辅助配置表!U:U,0)-1,0)*5*P183/10000/10000+M183*$V$1/10000</f>
        <v>#VALUE!</v>
      </c>
      <c r="V183" s="46" t="e">
        <f ca="1">OFFSET([2]怪物强度模型!$I$1,MATCH(F183,[2]怪物强度模型!$A:$A,0)-1,0)</f>
        <v>#VALUE!</v>
      </c>
      <c r="W183" t="e">
        <f ca="1" t="shared" si="56"/>
        <v>#VALUE!</v>
      </c>
    </row>
    <row r="184" spans="1:23">
      <c r="A184" s="45">
        <f t="shared" si="49"/>
        <v>5202</v>
      </c>
      <c r="B184" s="45" t="s">
        <v>2795</v>
      </c>
      <c r="C184" s="45">
        <v>5</v>
      </c>
      <c r="D184" s="45">
        <v>202</v>
      </c>
      <c r="E184" s="78">
        <v>1100</v>
      </c>
      <c r="F184" s="46">
        <f t="shared" si="54"/>
        <v>5052</v>
      </c>
      <c r="G184" s="46">
        <f t="shared" si="55"/>
        <v>3.3</v>
      </c>
      <c r="H184" s="45">
        <v>8</v>
      </c>
      <c r="I184" s="46">
        <v>10</v>
      </c>
      <c r="J184" s="46">
        <v>20</v>
      </c>
      <c r="K184" s="46" t="e">
        <f ca="1" t="shared" si="50"/>
        <v>#VALUE!</v>
      </c>
      <c r="L184" s="46" t="e">
        <f ca="1" t="shared" si="51"/>
        <v>#VALUE!</v>
      </c>
      <c r="M184" s="46" t="e">
        <f ca="1" t="shared" si="52"/>
        <v>#VALUE!</v>
      </c>
      <c r="N184" s="46" t="e">
        <f ca="1" t="shared" si="41"/>
        <v>#VALUE!</v>
      </c>
      <c r="O184" s="46">
        <v>5</v>
      </c>
      <c r="P184" s="46">
        <f t="shared" ref="P184:P218" si="57">P172+10</f>
        <v>52</v>
      </c>
      <c r="Q184" s="46" t="e">
        <f ca="1" t="shared" si="43"/>
        <v>#VALUE!</v>
      </c>
      <c r="R184" s="46" t="e">
        <f ca="1">OFFSET([2]怪物强度模型!$K$1,MATCH(F184,[2]怪物强度模型!$A:$A,0)-1,0)</f>
        <v>#VALUE!</v>
      </c>
      <c r="S184" s="46" t="e">
        <f ca="1">OFFSET([2]怪物强度模型!$O$1,MATCH(F184,[2]怪物强度模型!$A:$A,0)-1,0)</f>
        <v>#VALUE!</v>
      </c>
      <c r="T184" s="47" t="e">
        <f ca="1" t="shared" si="44"/>
        <v>#VALUE!</v>
      </c>
      <c r="U184" s="47" t="e">
        <f ca="1">Q184+N184*$V$1/10000+$V$1*OFFSET(卡牌辅助配置表!$V$1,MATCH(C184,卡牌辅助配置表!U:U,0)-1,0)*5*P184/10000/10000+M184*$V$1/10000</f>
        <v>#VALUE!</v>
      </c>
      <c r="V184" s="46" t="e">
        <f ca="1">OFFSET([2]怪物强度模型!$I$1,MATCH(F184,[2]怪物强度模型!$A:$A,0)-1,0)</f>
        <v>#VALUE!</v>
      </c>
      <c r="W184" t="e">
        <f ca="1" t="shared" si="56"/>
        <v>#VALUE!</v>
      </c>
    </row>
    <row r="185" spans="1:23">
      <c r="A185" s="45">
        <f t="shared" si="49"/>
        <v>5203</v>
      </c>
      <c r="B185" s="45" t="s">
        <v>2795</v>
      </c>
      <c r="C185" s="45">
        <v>5</v>
      </c>
      <c r="D185" s="45">
        <v>203</v>
      </c>
      <c r="E185" s="78">
        <v>1000</v>
      </c>
      <c r="F185" s="46">
        <f t="shared" si="54"/>
        <v>5053</v>
      </c>
      <c r="G185" s="46">
        <f t="shared" si="55"/>
        <v>3.4</v>
      </c>
      <c r="H185" s="45">
        <v>8</v>
      </c>
      <c r="I185" s="46">
        <v>10</v>
      </c>
      <c r="J185" s="46">
        <v>20</v>
      </c>
      <c r="K185" s="46" t="e">
        <f ca="1" t="shared" si="50"/>
        <v>#VALUE!</v>
      </c>
      <c r="L185" s="46" t="e">
        <f ca="1" t="shared" si="51"/>
        <v>#VALUE!</v>
      </c>
      <c r="M185" s="46" t="e">
        <f ca="1" t="shared" si="52"/>
        <v>#VALUE!</v>
      </c>
      <c r="N185" s="46" t="e">
        <f ca="1" t="shared" si="41"/>
        <v>#VALUE!</v>
      </c>
      <c r="O185" s="46">
        <v>5</v>
      </c>
      <c r="P185" s="46">
        <f t="shared" si="57"/>
        <v>53</v>
      </c>
      <c r="Q185" s="46" t="e">
        <f ca="1" t="shared" si="43"/>
        <v>#VALUE!</v>
      </c>
      <c r="R185" s="46" t="e">
        <f ca="1">OFFSET([2]怪物强度模型!$K$1,MATCH(F185,[2]怪物强度模型!$A:$A,0)-1,0)</f>
        <v>#VALUE!</v>
      </c>
      <c r="S185" s="46" t="e">
        <f ca="1">OFFSET([2]怪物强度模型!$O$1,MATCH(F185,[2]怪物强度模型!$A:$A,0)-1,0)</f>
        <v>#VALUE!</v>
      </c>
      <c r="T185" s="47" t="e">
        <f ca="1" t="shared" si="44"/>
        <v>#VALUE!</v>
      </c>
      <c r="U185" s="47" t="e">
        <f ca="1">Q185+N185*$V$1/10000+$V$1*OFFSET(卡牌辅助配置表!$V$1,MATCH(C185,卡牌辅助配置表!U:U,0)-1,0)*5*P185/10000/10000+M185*$V$1/10000</f>
        <v>#VALUE!</v>
      </c>
      <c r="V185" s="46" t="e">
        <f ca="1">OFFSET([2]怪物强度模型!$I$1,MATCH(F185,[2]怪物强度模型!$A:$A,0)-1,0)</f>
        <v>#VALUE!</v>
      </c>
      <c r="W185" t="e">
        <f ca="1" t="shared" si="56"/>
        <v>#VALUE!</v>
      </c>
    </row>
    <row r="186" spans="1:23">
      <c r="A186" s="45">
        <f t="shared" si="49"/>
        <v>5204</v>
      </c>
      <c r="B186" s="45" t="s">
        <v>2795</v>
      </c>
      <c r="C186" s="45">
        <v>5</v>
      </c>
      <c r="D186" s="45">
        <v>204</v>
      </c>
      <c r="E186" s="78">
        <v>900</v>
      </c>
      <c r="F186" s="46">
        <f t="shared" si="54"/>
        <v>5054</v>
      </c>
      <c r="G186" s="46">
        <f t="shared" si="55"/>
        <v>3.5</v>
      </c>
      <c r="H186" s="45">
        <v>8</v>
      </c>
      <c r="I186" s="46">
        <v>10</v>
      </c>
      <c r="J186" s="46">
        <v>20</v>
      </c>
      <c r="K186" s="46" t="e">
        <f ca="1" t="shared" si="50"/>
        <v>#VALUE!</v>
      </c>
      <c r="L186" s="46" t="e">
        <f ca="1" t="shared" si="51"/>
        <v>#VALUE!</v>
      </c>
      <c r="M186" s="46" t="e">
        <f ca="1" t="shared" si="52"/>
        <v>#VALUE!</v>
      </c>
      <c r="N186" s="46" t="e">
        <f ca="1" t="shared" si="41"/>
        <v>#VALUE!</v>
      </c>
      <c r="O186" s="46">
        <v>5</v>
      </c>
      <c r="P186" s="46">
        <f t="shared" si="57"/>
        <v>54</v>
      </c>
      <c r="Q186" s="46" t="e">
        <f ca="1" t="shared" si="43"/>
        <v>#VALUE!</v>
      </c>
      <c r="R186" s="46" t="e">
        <f ca="1">OFFSET([2]怪物强度模型!$K$1,MATCH(F186,[2]怪物强度模型!$A:$A,0)-1,0)</f>
        <v>#VALUE!</v>
      </c>
      <c r="S186" s="46" t="e">
        <f ca="1">OFFSET([2]怪物强度模型!$O$1,MATCH(F186,[2]怪物强度模型!$A:$A,0)-1,0)</f>
        <v>#VALUE!</v>
      </c>
      <c r="T186" s="47" t="e">
        <f ca="1" t="shared" si="44"/>
        <v>#VALUE!</v>
      </c>
      <c r="U186" s="47" t="e">
        <f ca="1">Q186+N186*$V$1/10000+$V$1*OFFSET(卡牌辅助配置表!$V$1,MATCH(C186,卡牌辅助配置表!U:U,0)-1,0)*5*P186/10000/10000+M186*$V$1/10000</f>
        <v>#VALUE!</v>
      </c>
      <c r="V186" s="46" t="e">
        <f ca="1">OFFSET([2]怪物强度模型!$I$1,MATCH(F186,[2]怪物强度模型!$A:$A,0)-1,0)</f>
        <v>#VALUE!</v>
      </c>
      <c r="W186" t="e">
        <f ca="1" t="shared" si="56"/>
        <v>#VALUE!</v>
      </c>
    </row>
    <row r="187" spans="1:23">
      <c r="A187" s="45">
        <f t="shared" si="49"/>
        <v>5205</v>
      </c>
      <c r="B187" s="45" t="s">
        <v>2795</v>
      </c>
      <c r="C187" s="45">
        <v>5</v>
      </c>
      <c r="D187" s="45">
        <v>205</v>
      </c>
      <c r="E187" s="78">
        <v>800</v>
      </c>
      <c r="F187" s="46">
        <f t="shared" si="54"/>
        <v>5055</v>
      </c>
      <c r="G187" s="46">
        <f t="shared" si="55"/>
        <v>3.6</v>
      </c>
      <c r="H187" s="45">
        <v>8</v>
      </c>
      <c r="I187" s="46">
        <v>10</v>
      </c>
      <c r="J187" s="46">
        <v>20</v>
      </c>
      <c r="K187" s="46" t="e">
        <f ca="1" t="shared" si="50"/>
        <v>#VALUE!</v>
      </c>
      <c r="L187" s="46" t="e">
        <f ca="1" t="shared" si="51"/>
        <v>#VALUE!</v>
      </c>
      <c r="M187" s="46" t="e">
        <f ca="1" t="shared" si="52"/>
        <v>#VALUE!</v>
      </c>
      <c r="N187" s="46" t="e">
        <f ca="1" t="shared" si="41"/>
        <v>#VALUE!</v>
      </c>
      <c r="O187" s="46">
        <v>5</v>
      </c>
      <c r="P187" s="46">
        <f t="shared" si="57"/>
        <v>55</v>
      </c>
      <c r="Q187" s="46" t="e">
        <f ca="1" t="shared" si="43"/>
        <v>#VALUE!</v>
      </c>
      <c r="R187" s="46" t="e">
        <f ca="1">OFFSET([2]怪物强度模型!$K$1,MATCH(F187,[2]怪物强度模型!$A:$A,0)-1,0)</f>
        <v>#VALUE!</v>
      </c>
      <c r="S187" s="46" t="e">
        <f ca="1">OFFSET([2]怪物强度模型!$O$1,MATCH(F187,[2]怪物强度模型!$A:$A,0)-1,0)</f>
        <v>#VALUE!</v>
      </c>
      <c r="T187" s="47" t="e">
        <f ca="1" t="shared" si="44"/>
        <v>#VALUE!</v>
      </c>
      <c r="U187" s="47" t="e">
        <f ca="1">Q187+N187*$V$1/10000+$V$1*OFFSET(卡牌辅助配置表!$V$1,MATCH(C187,卡牌辅助配置表!U:U,0)-1,0)*5*P187/10000/10000+M187*$V$1/10000</f>
        <v>#VALUE!</v>
      </c>
      <c r="V187" s="46" t="e">
        <f ca="1">OFFSET([2]怪物强度模型!$I$1,MATCH(F187,[2]怪物强度模型!$A:$A,0)-1,0)</f>
        <v>#VALUE!</v>
      </c>
      <c r="W187" t="e">
        <f ca="1" t="shared" si="56"/>
        <v>#VALUE!</v>
      </c>
    </row>
    <row r="188" spans="1:23">
      <c r="A188" s="45">
        <f t="shared" si="49"/>
        <v>5206</v>
      </c>
      <c r="B188" s="45" t="s">
        <v>2795</v>
      </c>
      <c r="C188" s="45">
        <v>5</v>
      </c>
      <c r="D188" s="45">
        <v>206</v>
      </c>
      <c r="E188" s="78">
        <v>700</v>
      </c>
      <c r="F188" s="46">
        <f t="shared" si="54"/>
        <v>5056</v>
      </c>
      <c r="G188" s="46">
        <f t="shared" si="55"/>
        <v>3.7</v>
      </c>
      <c r="H188" s="45">
        <v>8</v>
      </c>
      <c r="I188" s="46">
        <v>10</v>
      </c>
      <c r="J188" s="46">
        <v>20</v>
      </c>
      <c r="K188" s="46" t="e">
        <f ca="1" t="shared" si="50"/>
        <v>#VALUE!</v>
      </c>
      <c r="L188" s="46" t="e">
        <f ca="1" t="shared" si="51"/>
        <v>#VALUE!</v>
      </c>
      <c r="M188" s="46" t="e">
        <f ca="1" t="shared" si="52"/>
        <v>#VALUE!</v>
      </c>
      <c r="N188" s="46" t="e">
        <f ca="1" t="shared" si="41"/>
        <v>#VALUE!</v>
      </c>
      <c r="O188" s="46">
        <v>5</v>
      </c>
      <c r="P188" s="46">
        <f t="shared" si="57"/>
        <v>56</v>
      </c>
      <c r="Q188" s="46" t="e">
        <f ca="1" t="shared" si="43"/>
        <v>#VALUE!</v>
      </c>
      <c r="R188" s="46" t="e">
        <f ca="1">OFFSET([2]怪物强度模型!$K$1,MATCH(F188,[2]怪物强度模型!$A:$A,0)-1,0)</f>
        <v>#VALUE!</v>
      </c>
      <c r="S188" s="46" t="e">
        <f ca="1">OFFSET([2]怪物强度模型!$O$1,MATCH(F188,[2]怪物强度模型!$A:$A,0)-1,0)</f>
        <v>#VALUE!</v>
      </c>
      <c r="T188" s="47" t="e">
        <f ca="1" t="shared" si="44"/>
        <v>#VALUE!</v>
      </c>
      <c r="U188" s="47" t="e">
        <f ca="1">Q188+N188*$V$1/10000+$V$1*OFFSET(卡牌辅助配置表!$V$1,MATCH(C188,卡牌辅助配置表!U:U,0)-1,0)*5*P188/10000/10000+M188*$V$1/10000</f>
        <v>#VALUE!</v>
      </c>
      <c r="V188" s="46" t="e">
        <f ca="1">OFFSET([2]怪物强度模型!$I$1,MATCH(F188,[2]怪物强度模型!$A:$A,0)-1,0)</f>
        <v>#VALUE!</v>
      </c>
      <c r="W188" t="e">
        <f ca="1" t="shared" si="56"/>
        <v>#VALUE!</v>
      </c>
    </row>
    <row r="189" spans="1:23">
      <c r="A189" s="45">
        <f t="shared" si="49"/>
        <v>5207</v>
      </c>
      <c r="B189" s="45" t="s">
        <v>2795</v>
      </c>
      <c r="C189" s="45">
        <v>5</v>
      </c>
      <c r="D189" s="45">
        <v>207</v>
      </c>
      <c r="E189" s="78">
        <v>600</v>
      </c>
      <c r="F189" s="46">
        <f t="shared" si="54"/>
        <v>5057</v>
      </c>
      <c r="G189" s="46">
        <f t="shared" si="55"/>
        <v>3.8</v>
      </c>
      <c r="H189" s="45">
        <v>8</v>
      </c>
      <c r="I189" s="46">
        <v>10</v>
      </c>
      <c r="J189" s="46">
        <v>20</v>
      </c>
      <c r="K189" s="46" t="e">
        <f ca="1" t="shared" si="50"/>
        <v>#VALUE!</v>
      </c>
      <c r="L189" s="46" t="e">
        <f ca="1" t="shared" si="51"/>
        <v>#VALUE!</v>
      </c>
      <c r="M189" s="46" t="e">
        <f ca="1" t="shared" si="52"/>
        <v>#VALUE!</v>
      </c>
      <c r="N189" s="46" t="e">
        <f ca="1" t="shared" si="41"/>
        <v>#VALUE!</v>
      </c>
      <c r="O189" s="46">
        <v>5</v>
      </c>
      <c r="P189" s="46">
        <f t="shared" si="57"/>
        <v>57</v>
      </c>
      <c r="Q189" s="46" t="e">
        <f ca="1" t="shared" si="43"/>
        <v>#VALUE!</v>
      </c>
      <c r="R189" s="46" t="e">
        <f ca="1">OFFSET([2]怪物强度模型!$K$1,MATCH(F189,[2]怪物强度模型!$A:$A,0)-1,0)</f>
        <v>#VALUE!</v>
      </c>
      <c r="S189" s="46" t="e">
        <f ca="1">OFFSET([2]怪物强度模型!$O$1,MATCH(F189,[2]怪物强度模型!$A:$A,0)-1,0)</f>
        <v>#VALUE!</v>
      </c>
      <c r="T189" s="47" t="e">
        <f ca="1" t="shared" si="44"/>
        <v>#VALUE!</v>
      </c>
      <c r="U189" s="47" t="e">
        <f ca="1">Q189+N189*$V$1/10000+$V$1*OFFSET(卡牌辅助配置表!$V$1,MATCH(C189,卡牌辅助配置表!U:U,0)-1,0)*5*P189/10000/10000+M189*$V$1/10000</f>
        <v>#VALUE!</v>
      </c>
      <c r="V189" s="46" t="e">
        <f ca="1">OFFSET([2]怪物强度模型!$I$1,MATCH(F189,[2]怪物强度模型!$A:$A,0)-1,0)</f>
        <v>#VALUE!</v>
      </c>
      <c r="W189" t="e">
        <f ca="1" t="shared" si="56"/>
        <v>#VALUE!</v>
      </c>
    </row>
    <row r="190" spans="1:23">
      <c r="A190" s="45">
        <f t="shared" si="49"/>
        <v>5208</v>
      </c>
      <c r="B190" s="45" t="s">
        <v>2795</v>
      </c>
      <c r="C190" s="45">
        <v>5</v>
      </c>
      <c r="D190" s="45">
        <v>208</v>
      </c>
      <c r="E190" s="78">
        <v>500</v>
      </c>
      <c r="F190" s="46">
        <f t="shared" si="54"/>
        <v>5058</v>
      </c>
      <c r="G190" s="46">
        <f t="shared" si="55"/>
        <v>3.9</v>
      </c>
      <c r="H190" s="45">
        <v>8</v>
      </c>
      <c r="I190" s="46">
        <v>10</v>
      </c>
      <c r="J190" s="46">
        <v>20</v>
      </c>
      <c r="K190" s="46" t="e">
        <f ca="1" t="shared" si="50"/>
        <v>#VALUE!</v>
      </c>
      <c r="L190" s="46" t="e">
        <f ca="1" t="shared" si="51"/>
        <v>#VALUE!</v>
      </c>
      <c r="M190" s="46" t="e">
        <f ca="1" t="shared" si="52"/>
        <v>#VALUE!</v>
      </c>
      <c r="N190" s="46" t="e">
        <f ca="1" t="shared" si="41"/>
        <v>#VALUE!</v>
      </c>
      <c r="O190" s="46">
        <v>5</v>
      </c>
      <c r="P190" s="46">
        <f t="shared" si="57"/>
        <v>58</v>
      </c>
      <c r="Q190" s="46" t="e">
        <f ca="1" t="shared" si="43"/>
        <v>#VALUE!</v>
      </c>
      <c r="R190" s="46" t="e">
        <f ca="1">OFFSET([2]怪物强度模型!$K$1,MATCH(F190,[2]怪物强度模型!$A:$A,0)-1,0)</f>
        <v>#VALUE!</v>
      </c>
      <c r="S190" s="46" t="e">
        <f ca="1">OFFSET([2]怪物强度模型!$O$1,MATCH(F190,[2]怪物强度模型!$A:$A,0)-1,0)</f>
        <v>#VALUE!</v>
      </c>
      <c r="T190" s="47" t="e">
        <f ca="1" t="shared" si="44"/>
        <v>#VALUE!</v>
      </c>
      <c r="U190" s="47" t="e">
        <f ca="1">Q190+N190*$V$1/10000+$V$1*OFFSET(卡牌辅助配置表!$V$1,MATCH(C190,卡牌辅助配置表!U:U,0)-1,0)*5*P190/10000/10000+M190*$V$1/10000</f>
        <v>#VALUE!</v>
      </c>
      <c r="V190" s="46" t="e">
        <f ca="1">OFFSET([2]怪物强度模型!$I$1,MATCH(F190,[2]怪物强度模型!$A:$A,0)-1,0)</f>
        <v>#VALUE!</v>
      </c>
      <c r="W190" t="e">
        <f ca="1" t="shared" si="56"/>
        <v>#VALUE!</v>
      </c>
    </row>
    <row r="191" spans="1:23">
      <c r="A191" s="45">
        <f t="shared" si="49"/>
        <v>5209</v>
      </c>
      <c r="B191" s="45" t="s">
        <v>2795</v>
      </c>
      <c r="C191" s="45">
        <v>5</v>
      </c>
      <c r="D191" s="45">
        <v>209</v>
      </c>
      <c r="E191" s="78">
        <v>400</v>
      </c>
      <c r="F191" s="46">
        <f t="shared" si="54"/>
        <v>5059</v>
      </c>
      <c r="G191" s="46">
        <f t="shared" si="55"/>
        <v>4</v>
      </c>
      <c r="H191" s="45">
        <v>8</v>
      </c>
      <c r="I191" s="46">
        <v>10</v>
      </c>
      <c r="J191" s="46">
        <v>20</v>
      </c>
      <c r="K191" s="46" t="e">
        <f ca="1" t="shared" si="50"/>
        <v>#VALUE!</v>
      </c>
      <c r="L191" s="46" t="e">
        <f ca="1" t="shared" si="51"/>
        <v>#VALUE!</v>
      </c>
      <c r="M191" s="46" t="e">
        <f ca="1" t="shared" ref="M191:M218" si="58">$L$1*S191</f>
        <v>#VALUE!</v>
      </c>
      <c r="N191" s="46" t="e">
        <f ca="1" t="shared" si="41"/>
        <v>#VALUE!</v>
      </c>
      <c r="O191" s="46">
        <v>5</v>
      </c>
      <c r="P191" s="46">
        <f t="shared" si="57"/>
        <v>59</v>
      </c>
      <c r="Q191" s="46" t="e">
        <f ca="1" t="shared" si="43"/>
        <v>#VALUE!</v>
      </c>
      <c r="R191" s="46" t="e">
        <f ca="1">OFFSET([2]怪物强度模型!$K$1,MATCH(F191,[2]怪物强度模型!$A:$A,0)-1,0)</f>
        <v>#VALUE!</v>
      </c>
      <c r="S191" s="46" t="e">
        <f ca="1">OFFSET([2]怪物强度模型!$O$1,MATCH(F191,[2]怪物强度模型!$A:$A,0)-1,0)</f>
        <v>#VALUE!</v>
      </c>
      <c r="T191" s="47" t="e">
        <f ca="1" t="shared" si="44"/>
        <v>#VALUE!</v>
      </c>
      <c r="U191" s="47" t="e">
        <f ca="1">Q191+N191*$V$1/10000+$V$1*OFFSET(卡牌辅助配置表!$V$1,MATCH(C191,卡牌辅助配置表!U:U,0)-1,0)*5*P191/10000/10000+M191*$V$1/10000</f>
        <v>#VALUE!</v>
      </c>
      <c r="V191" s="46" t="e">
        <f ca="1">OFFSET([2]怪物强度模型!$I$1,MATCH(F191,[2]怪物强度模型!$A:$A,0)-1,0)</f>
        <v>#VALUE!</v>
      </c>
      <c r="W191" t="e">
        <f ca="1" t="shared" si="56"/>
        <v>#VALUE!</v>
      </c>
    </row>
    <row r="192" spans="1:23">
      <c r="A192" s="45">
        <f t="shared" si="49"/>
        <v>5210</v>
      </c>
      <c r="B192" s="45" t="s">
        <v>2795</v>
      </c>
      <c r="C192" s="45">
        <v>5</v>
      </c>
      <c r="D192" s="45">
        <v>210</v>
      </c>
      <c r="E192" s="78">
        <v>300</v>
      </c>
      <c r="F192" s="46">
        <f t="shared" si="54"/>
        <v>5060</v>
      </c>
      <c r="G192" s="46">
        <f t="shared" si="55"/>
        <v>4.1</v>
      </c>
      <c r="H192" s="45">
        <v>8</v>
      </c>
      <c r="I192" s="46">
        <v>10</v>
      </c>
      <c r="J192" s="46">
        <v>20</v>
      </c>
      <c r="K192" s="46" t="e">
        <f ca="1" t="shared" si="50"/>
        <v>#VALUE!</v>
      </c>
      <c r="L192" s="46" t="e">
        <f ca="1" t="shared" si="51"/>
        <v>#VALUE!</v>
      </c>
      <c r="M192" s="46" t="e">
        <f ca="1" t="shared" si="58"/>
        <v>#VALUE!</v>
      </c>
      <c r="N192" s="46" t="e">
        <f ca="1" t="shared" si="41"/>
        <v>#VALUE!</v>
      </c>
      <c r="O192" s="46">
        <v>5</v>
      </c>
      <c r="P192" s="46">
        <f t="shared" si="57"/>
        <v>60</v>
      </c>
      <c r="Q192" s="46" t="e">
        <f ca="1" t="shared" si="43"/>
        <v>#VALUE!</v>
      </c>
      <c r="R192" s="46" t="e">
        <f ca="1">OFFSET([2]怪物强度模型!$K$1,MATCH(F192,[2]怪物强度模型!$A:$A,0)-1,0)</f>
        <v>#VALUE!</v>
      </c>
      <c r="S192" s="46" t="e">
        <f ca="1">OFFSET([2]怪物强度模型!$O$1,MATCH(F192,[2]怪物强度模型!$A:$A,0)-1,0)</f>
        <v>#VALUE!</v>
      </c>
      <c r="T192" s="47" t="e">
        <f ca="1" t="shared" si="44"/>
        <v>#VALUE!</v>
      </c>
      <c r="U192" s="47" t="e">
        <f ca="1">Q192+N192*$V$1/10000+$V$1*OFFSET(卡牌辅助配置表!$V$1,MATCH(C192,卡牌辅助配置表!U:U,0)-1,0)*5*P192/10000/10000+M192*$V$1/10000</f>
        <v>#VALUE!</v>
      </c>
      <c r="V192" s="46" t="e">
        <f ca="1">OFFSET([2]怪物强度模型!$I$1,MATCH(F192,[2]怪物强度模型!$A:$A,0)-1,0)</f>
        <v>#VALUE!</v>
      </c>
      <c r="W192" t="e">
        <f ca="1" t="shared" si="56"/>
        <v>#VALUE!</v>
      </c>
    </row>
    <row r="193" spans="1:23">
      <c r="A193" s="45">
        <f t="shared" si="49"/>
        <v>5211</v>
      </c>
      <c r="B193" s="45" t="s">
        <v>2795</v>
      </c>
      <c r="C193" s="45">
        <v>5</v>
      </c>
      <c r="D193" s="45">
        <v>211</v>
      </c>
      <c r="E193" s="78">
        <v>200</v>
      </c>
      <c r="F193" s="46">
        <f t="shared" si="54"/>
        <v>5060</v>
      </c>
      <c r="G193" s="46">
        <f t="shared" si="55"/>
        <v>4.2</v>
      </c>
      <c r="H193" s="45">
        <v>8</v>
      </c>
      <c r="I193" s="46">
        <v>10</v>
      </c>
      <c r="J193" s="46">
        <v>20</v>
      </c>
      <c r="K193" s="46" t="e">
        <f ca="1" t="shared" si="50"/>
        <v>#VALUE!</v>
      </c>
      <c r="L193" s="46" t="e">
        <f ca="1" t="shared" si="51"/>
        <v>#VALUE!</v>
      </c>
      <c r="M193" s="46" t="e">
        <f ca="1" t="shared" si="58"/>
        <v>#VALUE!</v>
      </c>
      <c r="N193" s="46" t="e">
        <f ca="1" t="shared" ref="N193:N256" si="59">ROUND(M193/$N$1,0)</f>
        <v>#VALUE!</v>
      </c>
      <c r="O193" s="46">
        <v>5</v>
      </c>
      <c r="P193" s="46">
        <f t="shared" si="57"/>
        <v>60</v>
      </c>
      <c r="Q193" s="46" t="e">
        <f ca="1" t="shared" si="43"/>
        <v>#VALUE!</v>
      </c>
      <c r="R193" s="46" t="e">
        <f ca="1">OFFSET([2]怪物强度模型!$K$1,MATCH(F193,[2]怪物强度模型!$A:$A,0)-1,0)</f>
        <v>#VALUE!</v>
      </c>
      <c r="S193" s="46" t="e">
        <f ca="1">OFFSET([2]怪物强度模型!$O$1,MATCH(F193,[2]怪物强度模型!$A:$A,0)-1,0)</f>
        <v>#VALUE!</v>
      </c>
      <c r="T193" s="47" t="e">
        <f ca="1" t="shared" si="44"/>
        <v>#VALUE!</v>
      </c>
      <c r="U193" s="47" t="e">
        <f ca="1">Q193+N193*$V$1/10000+$V$1*OFFSET(卡牌辅助配置表!$V$1,MATCH(C193,卡牌辅助配置表!U:U,0)-1,0)*5*P193/10000/10000+M193*$V$1/10000</f>
        <v>#VALUE!</v>
      </c>
      <c r="V193" s="46" t="e">
        <f ca="1">OFFSET([2]怪物强度模型!$I$1,MATCH(F193,[2]怪物强度模型!$A:$A,0)-1,0)</f>
        <v>#VALUE!</v>
      </c>
      <c r="W193" t="e">
        <f ca="1" t="shared" si="56"/>
        <v>#VALUE!</v>
      </c>
    </row>
    <row r="194" spans="1:23">
      <c r="A194" s="45">
        <f t="shared" si="49"/>
        <v>5212</v>
      </c>
      <c r="B194" s="45" t="s">
        <v>2795</v>
      </c>
      <c r="C194" s="45">
        <v>5</v>
      </c>
      <c r="D194" s="45">
        <v>212</v>
      </c>
      <c r="E194" s="78">
        <v>100</v>
      </c>
      <c r="F194" s="46">
        <f t="shared" si="54"/>
        <v>5060</v>
      </c>
      <c r="G194" s="46">
        <f t="shared" si="55"/>
        <v>4.3</v>
      </c>
      <c r="H194" s="45">
        <v>8</v>
      </c>
      <c r="I194" s="46">
        <v>10</v>
      </c>
      <c r="J194" s="46">
        <v>20</v>
      </c>
      <c r="K194" s="46" t="e">
        <f ca="1" t="shared" si="50"/>
        <v>#VALUE!</v>
      </c>
      <c r="L194" s="46" t="e">
        <f ca="1" t="shared" si="51"/>
        <v>#VALUE!</v>
      </c>
      <c r="M194" s="46" t="e">
        <f ca="1" t="shared" si="58"/>
        <v>#VALUE!</v>
      </c>
      <c r="N194" s="46" t="e">
        <f ca="1" t="shared" si="59"/>
        <v>#VALUE!</v>
      </c>
      <c r="O194" s="46">
        <v>5</v>
      </c>
      <c r="P194" s="46">
        <f t="shared" si="57"/>
        <v>60</v>
      </c>
      <c r="Q194" s="46" t="e">
        <f ca="1" t="shared" si="43"/>
        <v>#VALUE!</v>
      </c>
      <c r="R194" s="46" t="e">
        <f ca="1">OFFSET([2]怪物强度模型!$K$1,MATCH(F194,[2]怪物强度模型!$A:$A,0)-1,0)</f>
        <v>#VALUE!</v>
      </c>
      <c r="S194" s="46" t="e">
        <f ca="1">OFFSET([2]怪物强度模型!$O$1,MATCH(F194,[2]怪物强度模型!$A:$A,0)-1,0)</f>
        <v>#VALUE!</v>
      </c>
      <c r="T194" s="47" t="e">
        <f ca="1" t="shared" si="44"/>
        <v>#VALUE!</v>
      </c>
      <c r="U194" s="47" t="e">
        <f ca="1">Q194+N194*$V$1/10000+$V$1*OFFSET(卡牌辅助配置表!$V$1,MATCH(C194,卡牌辅助配置表!U:U,0)-1,0)*5*P194/10000/10000+M194*$V$1/10000</f>
        <v>#VALUE!</v>
      </c>
      <c r="V194" s="46" t="e">
        <f ca="1">OFFSET([2]怪物强度模型!$I$1,MATCH(F194,[2]怪物强度模型!$A:$A,0)-1,0)</f>
        <v>#VALUE!</v>
      </c>
      <c r="W194" t="e">
        <f ca="1" t="shared" si="56"/>
        <v>#VALUE!</v>
      </c>
    </row>
    <row r="195" spans="1:23">
      <c r="A195" s="45">
        <f t="shared" si="49"/>
        <v>6201</v>
      </c>
      <c r="B195" s="45" t="s">
        <v>2796</v>
      </c>
      <c r="C195" s="45">
        <v>6</v>
      </c>
      <c r="D195" s="45">
        <v>201</v>
      </c>
      <c r="E195" s="78">
        <v>1200</v>
      </c>
      <c r="F195" s="46">
        <f t="shared" si="54"/>
        <v>6061</v>
      </c>
      <c r="G195" s="46">
        <f t="shared" si="55"/>
        <v>3.7</v>
      </c>
      <c r="H195" s="45">
        <v>8</v>
      </c>
      <c r="I195" s="46">
        <v>10</v>
      </c>
      <c r="J195" s="46">
        <v>20</v>
      </c>
      <c r="K195" s="46" t="e">
        <f ca="1" t="shared" si="50"/>
        <v>#VALUE!</v>
      </c>
      <c r="L195" s="46" t="e">
        <f ca="1" t="shared" si="51"/>
        <v>#VALUE!</v>
      </c>
      <c r="M195" s="46" t="e">
        <f ca="1" t="shared" si="58"/>
        <v>#VALUE!</v>
      </c>
      <c r="N195" s="46" t="e">
        <f ca="1" t="shared" si="59"/>
        <v>#VALUE!</v>
      </c>
      <c r="O195" s="46">
        <v>5</v>
      </c>
      <c r="P195" s="46">
        <f t="shared" si="57"/>
        <v>61</v>
      </c>
      <c r="Q195" s="46" t="e">
        <f ca="1" t="shared" si="43"/>
        <v>#VALUE!</v>
      </c>
      <c r="R195" s="46" t="e">
        <f ca="1">OFFSET([2]怪物强度模型!$K$1,MATCH(F195,[2]怪物强度模型!$A:$A,0)-1,0)</f>
        <v>#VALUE!</v>
      </c>
      <c r="S195" s="46" t="e">
        <f ca="1">OFFSET([2]怪物强度模型!$O$1,MATCH(F195,[2]怪物强度模型!$A:$A,0)-1,0)</f>
        <v>#VALUE!</v>
      </c>
      <c r="T195" s="47" t="e">
        <f ca="1" t="shared" si="44"/>
        <v>#VALUE!</v>
      </c>
      <c r="U195" s="47" t="e">
        <f ca="1">Q195+N195*$V$1/10000+$V$1*OFFSET(卡牌辅助配置表!$V$1,MATCH(C195,卡牌辅助配置表!U:U,0)-1,0)*5*P195/10000/10000+M195*$V$1/10000</f>
        <v>#VALUE!</v>
      </c>
      <c r="V195" s="46" t="e">
        <f ca="1">OFFSET([2]怪物强度模型!$I$1,MATCH(F195,[2]怪物强度模型!$A:$A,0)-1,0)</f>
        <v>#VALUE!</v>
      </c>
      <c r="W195" t="e">
        <f ca="1" t="shared" si="56"/>
        <v>#VALUE!</v>
      </c>
    </row>
    <row r="196" spans="1:23">
      <c r="A196" s="45">
        <f t="shared" si="49"/>
        <v>6202</v>
      </c>
      <c r="B196" s="45" t="s">
        <v>2796</v>
      </c>
      <c r="C196" s="45">
        <v>6</v>
      </c>
      <c r="D196" s="45">
        <v>202</v>
      </c>
      <c r="E196" s="78">
        <v>1100</v>
      </c>
      <c r="F196" s="46">
        <f t="shared" ref="F196:F227" si="60">C196*1000+P196</f>
        <v>6062</v>
      </c>
      <c r="G196" s="46">
        <f t="shared" si="55"/>
        <v>3.8</v>
      </c>
      <c r="H196" s="45">
        <v>8</v>
      </c>
      <c r="I196" s="46">
        <v>10</v>
      </c>
      <c r="J196" s="46">
        <v>20</v>
      </c>
      <c r="K196" s="46" t="e">
        <f ca="1" t="shared" si="50"/>
        <v>#VALUE!</v>
      </c>
      <c r="L196" s="46" t="e">
        <f ca="1" t="shared" si="51"/>
        <v>#VALUE!</v>
      </c>
      <c r="M196" s="46" t="e">
        <f ca="1" t="shared" si="58"/>
        <v>#VALUE!</v>
      </c>
      <c r="N196" s="46" t="e">
        <f ca="1" t="shared" si="59"/>
        <v>#VALUE!</v>
      </c>
      <c r="O196" s="46">
        <v>5</v>
      </c>
      <c r="P196" s="46">
        <f t="shared" si="57"/>
        <v>62</v>
      </c>
      <c r="Q196" s="46" t="e">
        <f ca="1" t="shared" si="43"/>
        <v>#VALUE!</v>
      </c>
      <c r="R196" s="46" t="e">
        <f ca="1">OFFSET([2]怪物强度模型!$K$1,MATCH(F196,[2]怪物强度模型!$A:$A,0)-1,0)</f>
        <v>#VALUE!</v>
      </c>
      <c r="S196" s="46" t="e">
        <f ca="1">OFFSET([2]怪物强度模型!$O$1,MATCH(F196,[2]怪物强度模型!$A:$A,0)-1,0)</f>
        <v>#VALUE!</v>
      </c>
      <c r="T196" s="47" t="e">
        <f ca="1" t="shared" si="44"/>
        <v>#VALUE!</v>
      </c>
      <c r="U196" s="47" t="e">
        <f ca="1">Q196+N196*$V$1/10000+$V$1*OFFSET(卡牌辅助配置表!$V$1,MATCH(C196,卡牌辅助配置表!U:U,0)-1,0)*5*P196/10000/10000+M196*$V$1/10000</f>
        <v>#VALUE!</v>
      </c>
      <c r="V196" s="46" t="e">
        <f ca="1">OFFSET([2]怪物强度模型!$I$1,MATCH(F196,[2]怪物强度模型!$A:$A,0)-1,0)</f>
        <v>#VALUE!</v>
      </c>
      <c r="W196" t="e">
        <f ca="1" t="shared" si="56"/>
        <v>#VALUE!</v>
      </c>
    </row>
    <row r="197" spans="1:23">
      <c r="A197" s="45">
        <f t="shared" si="49"/>
        <v>6203</v>
      </c>
      <c r="B197" s="45" t="s">
        <v>2796</v>
      </c>
      <c r="C197" s="45">
        <v>6</v>
      </c>
      <c r="D197" s="45">
        <v>203</v>
      </c>
      <c r="E197" s="78">
        <v>1000</v>
      </c>
      <c r="F197" s="46">
        <f t="shared" si="60"/>
        <v>6063</v>
      </c>
      <c r="G197" s="46">
        <f t="shared" si="55"/>
        <v>3.9</v>
      </c>
      <c r="H197" s="45">
        <v>8</v>
      </c>
      <c r="I197" s="46">
        <v>10</v>
      </c>
      <c r="J197" s="46">
        <v>20</v>
      </c>
      <c r="K197" s="46" t="e">
        <f ca="1" t="shared" si="50"/>
        <v>#VALUE!</v>
      </c>
      <c r="L197" s="46" t="e">
        <f ca="1" t="shared" si="51"/>
        <v>#VALUE!</v>
      </c>
      <c r="M197" s="46" t="e">
        <f ca="1" t="shared" si="58"/>
        <v>#VALUE!</v>
      </c>
      <c r="N197" s="46" t="e">
        <f ca="1" t="shared" si="59"/>
        <v>#VALUE!</v>
      </c>
      <c r="O197" s="46">
        <v>5</v>
      </c>
      <c r="P197" s="46">
        <f t="shared" si="57"/>
        <v>63</v>
      </c>
      <c r="Q197" s="46" t="e">
        <f ca="1" t="shared" si="43"/>
        <v>#VALUE!</v>
      </c>
      <c r="R197" s="46" t="e">
        <f ca="1">OFFSET([2]怪物强度模型!$K$1,MATCH(F197,[2]怪物强度模型!$A:$A,0)-1,0)</f>
        <v>#VALUE!</v>
      </c>
      <c r="S197" s="46" t="e">
        <f ca="1">OFFSET([2]怪物强度模型!$O$1,MATCH(F197,[2]怪物强度模型!$A:$A,0)-1,0)</f>
        <v>#VALUE!</v>
      </c>
      <c r="T197" s="47" t="e">
        <f ca="1" t="shared" si="44"/>
        <v>#VALUE!</v>
      </c>
      <c r="U197" s="47" t="e">
        <f ca="1">Q197+N197*$V$1/10000+$V$1*OFFSET(卡牌辅助配置表!$V$1,MATCH(C197,卡牌辅助配置表!U:U,0)-1,0)*5*P197/10000/10000+M197*$V$1/10000</f>
        <v>#VALUE!</v>
      </c>
      <c r="V197" s="46" t="e">
        <f ca="1">OFFSET([2]怪物强度模型!$I$1,MATCH(F197,[2]怪物强度模型!$A:$A,0)-1,0)</f>
        <v>#VALUE!</v>
      </c>
      <c r="W197" t="e">
        <f ca="1" t="shared" si="56"/>
        <v>#VALUE!</v>
      </c>
    </row>
    <row r="198" spans="1:23">
      <c r="A198" s="45">
        <f t="shared" si="49"/>
        <v>6204</v>
      </c>
      <c r="B198" s="45" t="s">
        <v>2796</v>
      </c>
      <c r="C198" s="45">
        <v>6</v>
      </c>
      <c r="D198" s="45">
        <v>204</v>
      </c>
      <c r="E198" s="78">
        <v>900</v>
      </c>
      <c r="F198" s="46">
        <f t="shared" si="60"/>
        <v>6064</v>
      </c>
      <c r="G198" s="46">
        <f t="shared" si="55"/>
        <v>4</v>
      </c>
      <c r="H198" s="45">
        <v>8</v>
      </c>
      <c r="I198" s="46">
        <v>10</v>
      </c>
      <c r="J198" s="46">
        <v>20</v>
      </c>
      <c r="K198" s="46" t="e">
        <f ca="1" t="shared" si="50"/>
        <v>#VALUE!</v>
      </c>
      <c r="L198" s="46" t="e">
        <f ca="1" t="shared" si="51"/>
        <v>#VALUE!</v>
      </c>
      <c r="M198" s="46" t="e">
        <f ca="1" t="shared" si="58"/>
        <v>#VALUE!</v>
      </c>
      <c r="N198" s="46" t="e">
        <f ca="1" t="shared" si="59"/>
        <v>#VALUE!</v>
      </c>
      <c r="O198" s="46">
        <v>5</v>
      </c>
      <c r="P198" s="46">
        <f t="shared" si="57"/>
        <v>64</v>
      </c>
      <c r="Q198" s="46" t="e">
        <f ca="1" t="shared" si="43"/>
        <v>#VALUE!</v>
      </c>
      <c r="R198" s="46" t="e">
        <f ca="1">OFFSET([2]怪物强度模型!$K$1,MATCH(F198,[2]怪物强度模型!$A:$A,0)-1,0)</f>
        <v>#VALUE!</v>
      </c>
      <c r="S198" s="46" t="e">
        <f ca="1">OFFSET([2]怪物强度模型!$O$1,MATCH(F198,[2]怪物强度模型!$A:$A,0)-1,0)</f>
        <v>#VALUE!</v>
      </c>
      <c r="T198" s="47" t="e">
        <f ca="1" t="shared" si="44"/>
        <v>#VALUE!</v>
      </c>
      <c r="U198" s="47" t="e">
        <f ca="1">Q198+N198*$V$1/10000+$V$1*OFFSET(卡牌辅助配置表!$V$1,MATCH(C198,卡牌辅助配置表!U:U,0)-1,0)*5*P198/10000/10000+M198*$V$1/10000</f>
        <v>#VALUE!</v>
      </c>
      <c r="V198" s="46" t="e">
        <f ca="1">OFFSET([2]怪物强度模型!$I$1,MATCH(F198,[2]怪物强度模型!$A:$A,0)-1,0)</f>
        <v>#VALUE!</v>
      </c>
      <c r="W198" t="e">
        <f ca="1" t="shared" si="56"/>
        <v>#VALUE!</v>
      </c>
    </row>
    <row r="199" spans="1:23">
      <c r="A199" s="45">
        <f t="shared" si="49"/>
        <v>6205</v>
      </c>
      <c r="B199" s="45" t="s">
        <v>2796</v>
      </c>
      <c r="C199" s="45">
        <v>6</v>
      </c>
      <c r="D199" s="45">
        <v>205</v>
      </c>
      <c r="E199" s="78">
        <v>800</v>
      </c>
      <c r="F199" s="46">
        <f t="shared" si="60"/>
        <v>6065</v>
      </c>
      <c r="G199" s="46">
        <f t="shared" si="55"/>
        <v>4.1</v>
      </c>
      <c r="H199" s="45">
        <v>8</v>
      </c>
      <c r="I199" s="46">
        <v>10</v>
      </c>
      <c r="J199" s="46">
        <v>20</v>
      </c>
      <c r="K199" s="46" t="e">
        <f ca="1" t="shared" si="50"/>
        <v>#VALUE!</v>
      </c>
      <c r="L199" s="46" t="e">
        <f ca="1" t="shared" si="51"/>
        <v>#VALUE!</v>
      </c>
      <c r="M199" s="46" t="e">
        <f ca="1" t="shared" si="58"/>
        <v>#VALUE!</v>
      </c>
      <c r="N199" s="46" t="e">
        <f ca="1" t="shared" si="59"/>
        <v>#VALUE!</v>
      </c>
      <c r="O199" s="46">
        <v>5</v>
      </c>
      <c r="P199" s="46">
        <f t="shared" si="57"/>
        <v>65</v>
      </c>
      <c r="Q199" s="46" t="e">
        <f ca="1" t="shared" ref="Q199:Q262" si="61">G199*(R199+S199-N199)*V199</f>
        <v>#VALUE!</v>
      </c>
      <c r="R199" s="46" t="e">
        <f ca="1">OFFSET([2]怪物强度模型!$K$1,MATCH(F199,[2]怪物强度模型!$A:$A,0)-1,0)</f>
        <v>#VALUE!</v>
      </c>
      <c r="S199" s="46" t="e">
        <f ca="1">OFFSET([2]怪物强度模型!$O$1,MATCH(F199,[2]怪物强度模型!$A:$A,0)-1,0)</f>
        <v>#VALUE!</v>
      </c>
      <c r="T199" s="47" t="e">
        <f ca="1" t="shared" ref="T199:T248" si="62">ROUND(U199*$T$1,0)</f>
        <v>#VALUE!</v>
      </c>
      <c r="U199" s="47" t="e">
        <f ca="1">Q199+N199*$V$1/10000+$V$1*OFFSET(卡牌辅助配置表!$V$1,MATCH(C199,卡牌辅助配置表!U:U,0)-1,0)*5*P199/10000/10000+M199*$V$1/10000</f>
        <v>#VALUE!</v>
      </c>
      <c r="V199" s="46" t="e">
        <f ca="1">OFFSET([2]怪物强度模型!$I$1,MATCH(F199,[2]怪物强度模型!$A:$A,0)-1,0)</f>
        <v>#VALUE!</v>
      </c>
      <c r="W199" t="e">
        <f ca="1" t="shared" si="56"/>
        <v>#VALUE!</v>
      </c>
    </row>
    <row r="200" spans="1:23">
      <c r="A200" s="45">
        <f t="shared" si="49"/>
        <v>6206</v>
      </c>
      <c r="B200" s="45" t="s">
        <v>2796</v>
      </c>
      <c r="C200" s="45">
        <v>6</v>
      </c>
      <c r="D200" s="45">
        <v>206</v>
      </c>
      <c r="E200" s="78">
        <v>700</v>
      </c>
      <c r="F200" s="46">
        <f t="shared" si="60"/>
        <v>6066</v>
      </c>
      <c r="G200" s="46">
        <f t="shared" si="55"/>
        <v>4.2</v>
      </c>
      <c r="H200" s="45">
        <v>8</v>
      </c>
      <c r="I200" s="46">
        <v>10</v>
      </c>
      <c r="J200" s="46">
        <v>20</v>
      </c>
      <c r="K200" s="46" t="e">
        <f ca="1" t="shared" si="50"/>
        <v>#VALUE!</v>
      </c>
      <c r="L200" s="46" t="e">
        <f ca="1" t="shared" si="51"/>
        <v>#VALUE!</v>
      </c>
      <c r="M200" s="46" t="e">
        <f ca="1" t="shared" si="58"/>
        <v>#VALUE!</v>
      </c>
      <c r="N200" s="46" t="e">
        <f ca="1" t="shared" si="59"/>
        <v>#VALUE!</v>
      </c>
      <c r="O200" s="46">
        <v>5</v>
      </c>
      <c r="P200" s="46">
        <f t="shared" si="57"/>
        <v>66</v>
      </c>
      <c r="Q200" s="46" t="e">
        <f ca="1" t="shared" si="61"/>
        <v>#VALUE!</v>
      </c>
      <c r="R200" s="46" t="e">
        <f ca="1">OFFSET([2]怪物强度模型!$K$1,MATCH(F200,[2]怪物强度模型!$A:$A,0)-1,0)</f>
        <v>#VALUE!</v>
      </c>
      <c r="S200" s="46" t="e">
        <f ca="1">OFFSET([2]怪物强度模型!$O$1,MATCH(F200,[2]怪物强度模型!$A:$A,0)-1,0)</f>
        <v>#VALUE!</v>
      </c>
      <c r="T200" s="47" t="e">
        <f ca="1" t="shared" si="62"/>
        <v>#VALUE!</v>
      </c>
      <c r="U200" s="47" t="e">
        <f ca="1">Q200+N200*$V$1/10000+$V$1*OFFSET(卡牌辅助配置表!$V$1,MATCH(C200,卡牌辅助配置表!U:U,0)-1,0)*5*P200/10000/10000+M200*$V$1/10000</f>
        <v>#VALUE!</v>
      </c>
      <c r="V200" s="46" t="e">
        <f ca="1">OFFSET([2]怪物强度模型!$I$1,MATCH(F200,[2]怪物强度模型!$A:$A,0)-1,0)</f>
        <v>#VALUE!</v>
      </c>
      <c r="W200" t="e">
        <f ca="1" t="shared" si="56"/>
        <v>#VALUE!</v>
      </c>
    </row>
    <row r="201" spans="1:23">
      <c r="A201" s="45">
        <f t="shared" si="49"/>
        <v>6207</v>
      </c>
      <c r="B201" s="45" t="s">
        <v>2796</v>
      </c>
      <c r="C201" s="45">
        <v>6</v>
      </c>
      <c r="D201" s="45">
        <v>207</v>
      </c>
      <c r="E201" s="78">
        <v>600</v>
      </c>
      <c r="F201" s="46">
        <f t="shared" si="60"/>
        <v>6067</v>
      </c>
      <c r="G201" s="46">
        <f t="shared" si="55"/>
        <v>4.3</v>
      </c>
      <c r="H201" s="45">
        <v>8</v>
      </c>
      <c r="I201" s="46">
        <v>10</v>
      </c>
      <c r="J201" s="46">
        <v>20</v>
      </c>
      <c r="K201" s="46" t="e">
        <f ca="1" t="shared" si="50"/>
        <v>#VALUE!</v>
      </c>
      <c r="L201" s="46" t="e">
        <f ca="1" t="shared" si="51"/>
        <v>#VALUE!</v>
      </c>
      <c r="M201" s="46" t="e">
        <f ca="1" t="shared" si="58"/>
        <v>#VALUE!</v>
      </c>
      <c r="N201" s="46" t="e">
        <f ca="1" t="shared" si="59"/>
        <v>#VALUE!</v>
      </c>
      <c r="O201" s="46">
        <v>5</v>
      </c>
      <c r="P201" s="46">
        <f t="shared" si="57"/>
        <v>67</v>
      </c>
      <c r="Q201" s="46" t="e">
        <f ca="1" t="shared" si="61"/>
        <v>#VALUE!</v>
      </c>
      <c r="R201" s="46" t="e">
        <f ca="1">OFFSET([2]怪物强度模型!$K$1,MATCH(F201,[2]怪物强度模型!$A:$A,0)-1,0)</f>
        <v>#VALUE!</v>
      </c>
      <c r="S201" s="46" t="e">
        <f ca="1">OFFSET([2]怪物强度模型!$O$1,MATCH(F201,[2]怪物强度模型!$A:$A,0)-1,0)</f>
        <v>#VALUE!</v>
      </c>
      <c r="T201" s="47" t="e">
        <f ca="1" t="shared" si="62"/>
        <v>#VALUE!</v>
      </c>
      <c r="U201" s="47" t="e">
        <f ca="1">Q201+N201*$V$1/10000+$V$1*OFFSET(卡牌辅助配置表!$V$1,MATCH(C201,卡牌辅助配置表!U:U,0)-1,0)*5*P201/10000/10000+M201*$V$1/10000</f>
        <v>#VALUE!</v>
      </c>
      <c r="V201" s="46" t="e">
        <f ca="1">OFFSET([2]怪物强度模型!$I$1,MATCH(F201,[2]怪物强度模型!$A:$A,0)-1,0)</f>
        <v>#VALUE!</v>
      </c>
      <c r="W201" t="e">
        <f ca="1" t="shared" si="56"/>
        <v>#VALUE!</v>
      </c>
    </row>
    <row r="202" spans="1:23">
      <c r="A202" s="45">
        <f t="shared" si="49"/>
        <v>6208</v>
      </c>
      <c r="B202" s="45" t="s">
        <v>2796</v>
      </c>
      <c r="C202" s="45">
        <v>6</v>
      </c>
      <c r="D202" s="45">
        <v>208</v>
      </c>
      <c r="E202" s="78">
        <v>500</v>
      </c>
      <c r="F202" s="46">
        <f t="shared" si="60"/>
        <v>6068</v>
      </c>
      <c r="G202" s="46">
        <f t="shared" si="55"/>
        <v>4.4</v>
      </c>
      <c r="H202" s="45">
        <v>8</v>
      </c>
      <c r="I202" s="46">
        <v>10</v>
      </c>
      <c r="J202" s="46">
        <v>20</v>
      </c>
      <c r="K202" s="46" t="e">
        <f ca="1" t="shared" si="50"/>
        <v>#VALUE!</v>
      </c>
      <c r="L202" s="46" t="e">
        <f ca="1" t="shared" si="51"/>
        <v>#VALUE!</v>
      </c>
      <c r="M202" s="46" t="e">
        <f ca="1" t="shared" si="58"/>
        <v>#VALUE!</v>
      </c>
      <c r="N202" s="46" t="e">
        <f ca="1" t="shared" si="59"/>
        <v>#VALUE!</v>
      </c>
      <c r="O202" s="46">
        <v>5</v>
      </c>
      <c r="P202" s="46">
        <f t="shared" si="57"/>
        <v>68</v>
      </c>
      <c r="Q202" s="46" t="e">
        <f ca="1" t="shared" si="61"/>
        <v>#VALUE!</v>
      </c>
      <c r="R202" s="46" t="e">
        <f ca="1">OFFSET([2]怪物强度模型!$K$1,MATCH(F202,[2]怪物强度模型!$A:$A,0)-1,0)</f>
        <v>#VALUE!</v>
      </c>
      <c r="S202" s="46" t="e">
        <f ca="1">OFFSET([2]怪物强度模型!$O$1,MATCH(F202,[2]怪物强度模型!$A:$A,0)-1,0)</f>
        <v>#VALUE!</v>
      </c>
      <c r="T202" s="47" t="e">
        <f ca="1" t="shared" si="62"/>
        <v>#VALUE!</v>
      </c>
      <c r="U202" s="47" t="e">
        <f ca="1">Q202+N202*$V$1/10000+$V$1*OFFSET(卡牌辅助配置表!$V$1,MATCH(C202,卡牌辅助配置表!U:U,0)-1,0)*5*P202/10000/10000+M202*$V$1/10000</f>
        <v>#VALUE!</v>
      </c>
      <c r="V202" s="46" t="e">
        <f ca="1">OFFSET([2]怪物强度模型!$I$1,MATCH(F202,[2]怪物强度模型!$A:$A,0)-1,0)</f>
        <v>#VALUE!</v>
      </c>
      <c r="W202" t="e">
        <f ca="1" t="shared" si="56"/>
        <v>#VALUE!</v>
      </c>
    </row>
    <row r="203" spans="1:23">
      <c r="A203" s="45">
        <f t="shared" si="49"/>
        <v>6209</v>
      </c>
      <c r="B203" s="45" t="s">
        <v>2796</v>
      </c>
      <c r="C203" s="45">
        <v>6</v>
      </c>
      <c r="D203" s="45">
        <v>209</v>
      </c>
      <c r="E203" s="78">
        <v>400</v>
      </c>
      <c r="F203" s="46">
        <f t="shared" si="60"/>
        <v>6069</v>
      </c>
      <c r="G203" s="46">
        <f t="shared" si="55"/>
        <v>4.5</v>
      </c>
      <c r="H203" s="45">
        <v>8</v>
      </c>
      <c r="I203" s="46">
        <v>10</v>
      </c>
      <c r="J203" s="46">
        <v>20</v>
      </c>
      <c r="K203" s="46" t="e">
        <f ca="1" t="shared" si="50"/>
        <v>#VALUE!</v>
      </c>
      <c r="L203" s="46" t="e">
        <f ca="1" t="shared" si="51"/>
        <v>#VALUE!</v>
      </c>
      <c r="M203" s="46" t="e">
        <f ca="1" t="shared" si="58"/>
        <v>#VALUE!</v>
      </c>
      <c r="N203" s="46" t="e">
        <f ca="1" t="shared" si="59"/>
        <v>#VALUE!</v>
      </c>
      <c r="O203" s="46">
        <v>5</v>
      </c>
      <c r="P203" s="46">
        <f t="shared" si="57"/>
        <v>69</v>
      </c>
      <c r="Q203" s="46" t="e">
        <f ca="1" t="shared" si="61"/>
        <v>#VALUE!</v>
      </c>
      <c r="R203" s="46" t="e">
        <f ca="1">OFFSET([2]怪物强度模型!$K$1,MATCH(F203,[2]怪物强度模型!$A:$A,0)-1,0)</f>
        <v>#VALUE!</v>
      </c>
      <c r="S203" s="46" t="e">
        <f ca="1">OFFSET([2]怪物强度模型!$O$1,MATCH(F203,[2]怪物强度模型!$A:$A,0)-1,0)</f>
        <v>#VALUE!</v>
      </c>
      <c r="T203" s="47" t="e">
        <f ca="1" t="shared" si="62"/>
        <v>#VALUE!</v>
      </c>
      <c r="U203" s="47" t="e">
        <f ca="1">Q203+N203*$V$1/10000+$V$1*OFFSET(卡牌辅助配置表!$V$1,MATCH(C203,卡牌辅助配置表!U:U,0)-1,0)*5*P203/10000/10000+M203*$V$1/10000</f>
        <v>#VALUE!</v>
      </c>
      <c r="V203" s="46" t="e">
        <f ca="1">OFFSET([2]怪物强度模型!$I$1,MATCH(F203,[2]怪物强度模型!$A:$A,0)-1,0)</f>
        <v>#VALUE!</v>
      </c>
      <c r="W203" t="e">
        <f ca="1" t="shared" si="56"/>
        <v>#VALUE!</v>
      </c>
    </row>
    <row r="204" spans="1:23">
      <c r="A204" s="45">
        <f t="shared" si="49"/>
        <v>6210</v>
      </c>
      <c r="B204" s="45" t="s">
        <v>2796</v>
      </c>
      <c r="C204" s="45">
        <v>6</v>
      </c>
      <c r="D204" s="45">
        <v>210</v>
      </c>
      <c r="E204" s="78">
        <v>300</v>
      </c>
      <c r="F204" s="46">
        <f t="shared" si="60"/>
        <v>6070</v>
      </c>
      <c r="G204" s="46">
        <f t="shared" si="55"/>
        <v>4.6</v>
      </c>
      <c r="H204" s="45">
        <v>8</v>
      </c>
      <c r="I204" s="46">
        <v>10</v>
      </c>
      <c r="J204" s="46">
        <v>20</v>
      </c>
      <c r="K204" s="46" t="e">
        <f ca="1" t="shared" si="50"/>
        <v>#VALUE!</v>
      </c>
      <c r="L204" s="46" t="e">
        <f ca="1" t="shared" si="51"/>
        <v>#VALUE!</v>
      </c>
      <c r="M204" s="46" t="e">
        <f ca="1" t="shared" si="58"/>
        <v>#VALUE!</v>
      </c>
      <c r="N204" s="46" t="e">
        <f ca="1" t="shared" si="59"/>
        <v>#VALUE!</v>
      </c>
      <c r="O204" s="46">
        <v>5</v>
      </c>
      <c r="P204" s="46">
        <f t="shared" si="57"/>
        <v>70</v>
      </c>
      <c r="Q204" s="46" t="e">
        <f ca="1" t="shared" si="61"/>
        <v>#VALUE!</v>
      </c>
      <c r="R204" s="46" t="e">
        <f ca="1">OFFSET([2]怪物强度模型!$K$1,MATCH(F204,[2]怪物强度模型!$A:$A,0)-1,0)</f>
        <v>#VALUE!</v>
      </c>
      <c r="S204" s="46" t="e">
        <f ca="1">OFFSET([2]怪物强度模型!$O$1,MATCH(F204,[2]怪物强度模型!$A:$A,0)-1,0)</f>
        <v>#VALUE!</v>
      </c>
      <c r="T204" s="47" t="e">
        <f ca="1" t="shared" si="62"/>
        <v>#VALUE!</v>
      </c>
      <c r="U204" s="47" t="e">
        <f ca="1">Q204+N204*$V$1/10000+$V$1*OFFSET(卡牌辅助配置表!$V$1,MATCH(C204,卡牌辅助配置表!U:U,0)-1,0)*5*P204/10000/10000+M204*$V$1/10000</f>
        <v>#VALUE!</v>
      </c>
      <c r="V204" s="46" t="e">
        <f ca="1">OFFSET([2]怪物强度模型!$I$1,MATCH(F204,[2]怪物强度模型!$A:$A,0)-1,0)</f>
        <v>#VALUE!</v>
      </c>
      <c r="W204" t="e">
        <f ca="1" t="shared" si="56"/>
        <v>#VALUE!</v>
      </c>
    </row>
    <row r="205" spans="1:23">
      <c r="A205" s="45">
        <f t="shared" si="49"/>
        <v>6211</v>
      </c>
      <c r="B205" s="45" t="s">
        <v>2796</v>
      </c>
      <c r="C205" s="45">
        <v>6</v>
      </c>
      <c r="D205" s="45">
        <v>211</v>
      </c>
      <c r="E205" s="78">
        <v>200</v>
      </c>
      <c r="F205" s="46">
        <f t="shared" si="60"/>
        <v>6070</v>
      </c>
      <c r="G205" s="46">
        <f t="shared" si="55"/>
        <v>4.7</v>
      </c>
      <c r="H205" s="45">
        <v>8</v>
      </c>
      <c r="I205" s="46">
        <v>10</v>
      </c>
      <c r="J205" s="46">
        <v>20</v>
      </c>
      <c r="K205" s="46" t="e">
        <f ca="1" t="shared" si="50"/>
        <v>#VALUE!</v>
      </c>
      <c r="L205" s="46" t="e">
        <f ca="1" t="shared" si="51"/>
        <v>#VALUE!</v>
      </c>
      <c r="M205" s="46" t="e">
        <f ca="1" t="shared" si="58"/>
        <v>#VALUE!</v>
      </c>
      <c r="N205" s="46" t="e">
        <f ca="1" t="shared" si="59"/>
        <v>#VALUE!</v>
      </c>
      <c r="O205" s="46">
        <v>5</v>
      </c>
      <c r="P205" s="46">
        <f t="shared" si="57"/>
        <v>70</v>
      </c>
      <c r="Q205" s="46" t="e">
        <f ca="1" t="shared" si="61"/>
        <v>#VALUE!</v>
      </c>
      <c r="R205" s="46" t="e">
        <f ca="1">OFFSET([2]怪物强度模型!$K$1,MATCH(F205,[2]怪物强度模型!$A:$A,0)-1,0)</f>
        <v>#VALUE!</v>
      </c>
      <c r="S205" s="46" t="e">
        <f ca="1">OFFSET([2]怪物强度模型!$O$1,MATCH(F205,[2]怪物强度模型!$A:$A,0)-1,0)</f>
        <v>#VALUE!</v>
      </c>
      <c r="T205" s="47" t="e">
        <f ca="1" t="shared" si="62"/>
        <v>#VALUE!</v>
      </c>
      <c r="U205" s="47" t="e">
        <f ca="1">Q205+N205*$V$1/10000+$V$1*OFFSET(卡牌辅助配置表!$V$1,MATCH(C205,卡牌辅助配置表!U:U,0)-1,0)*5*P205/10000/10000+M205*$V$1/10000</f>
        <v>#VALUE!</v>
      </c>
      <c r="V205" s="46" t="e">
        <f ca="1">OFFSET([2]怪物强度模型!$I$1,MATCH(F205,[2]怪物强度模型!$A:$A,0)-1,0)</f>
        <v>#VALUE!</v>
      </c>
      <c r="W205" t="e">
        <f ca="1" t="shared" si="56"/>
        <v>#VALUE!</v>
      </c>
    </row>
    <row r="206" spans="1:23">
      <c r="A206" s="45">
        <f t="shared" si="49"/>
        <v>6212</v>
      </c>
      <c r="B206" s="45" t="s">
        <v>2796</v>
      </c>
      <c r="C206" s="45">
        <v>6</v>
      </c>
      <c r="D206" s="45">
        <v>212</v>
      </c>
      <c r="E206" s="78">
        <v>100</v>
      </c>
      <c r="F206" s="46">
        <f t="shared" si="60"/>
        <v>6070</v>
      </c>
      <c r="G206" s="46">
        <f t="shared" si="55"/>
        <v>4.8</v>
      </c>
      <c r="H206" s="45">
        <v>8</v>
      </c>
      <c r="I206" s="46">
        <v>10</v>
      </c>
      <c r="J206" s="46">
        <v>20</v>
      </c>
      <c r="K206" s="46" t="e">
        <f ca="1" t="shared" si="50"/>
        <v>#VALUE!</v>
      </c>
      <c r="L206" s="46" t="e">
        <f ca="1" t="shared" si="51"/>
        <v>#VALUE!</v>
      </c>
      <c r="M206" s="46" t="e">
        <f ca="1" t="shared" si="58"/>
        <v>#VALUE!</v>
      </c>
      <c r="N206" s="46" t="e">
        <f ca="1" t="shared" si="59"/>
        <v>#VALUE!</v>
      </c>
      <c r="O206" s="46">
        <v>5</v>
      </c>
      <c r="P206" s="46">
        <f t="shared" si="57"/>
        <v>70</v>
      </c>
      <c r="Q206" s="46" t="e">
        <f ca="1" t="shared" si="61"/>
        <v>#VALUE!</v>
      </c>
      <c r="R206" s="46" t="e">
        <f ca="1">OFFSET([2]怪物强度模型!$K$1,MATCH(F206,[2]怪物强度模型!$A:$A,0)-1,0)</f>
        <v>#VALUE!</v>
      </c>
      <c r="S206" s="46" t="e">
        <f ca="1">OFFSET([2]怪物强度模型!$O$1,MATCH(F206,[2]怪物强度模型!$A:$A,0)-1,0)</f>
        <v>#VALUE!</v>
      </c>
      <c r="T206" s="47" t="e">
        <f ca="1" t="shared" si="62"/>
        <v>#VALUE!</v>
      </c>
      <c r="U206" s="47" t="e">
        <f ca="1">Q206+N206*$V$1/10000+$V$1*OFFSET(卡牌辅助配置表!$V$1,MATCH(C206,卡牌辅助配置表!U:U,0)-1,0)*5*P206/10000/10000+M206*$V$1/10000</f>
        <v>#VALUE!</v>
      </c>
      <c r="V206" s="46" t="e">
        <f ca="1">OFFSET([2]怪物强度模型!$I$1,MATCH(F206,[2]怪物强度模型!$A:$A,0)-1,0)</f>
        <v>#VALUE!</v>
      </c>
      <c r="W206" t="e">
        <f ca="1" t="shared" si="56"/>
        <v>#VALUE!</v>
      </c>
    </row>
    <row r="207" spans="1:23">
      <c r="A207" s="45">
        <f t="shared" si="49"/>
        <v>7201</v>
      </c>
      <c r="B207" s="45" t="s">
        <v>2797</v>
      </c>
      <c r="C207" s="45">
        <v>7</v>
      </c>
      <c r="D207" s="45">
        <v>201</v>
      </c>
      <c r="E207" s="78">
        <v>1200</v>
      </c>
      <c r="F207" s="46">
        <f t="shared" si="60"/>
        <v>7071</v>
      </c>
      <c r="G207" s="46">
        <f t="shared" si="55"/>
        <v>4.2</v>
      </c>
      <c r="H207" s="45">
        <v>8</v>
      </c>
      <c r="I207" s="46">
        <v>10</v>
      </c>
      <c r="J207" s="46">
        <v>20</v>
      </c>
      <c r="K207" s="46" t="e">
        <f ca="1" t="shared" si="50"/>
        <v>#VALUE!</v>
      </c>
      <c r="L207" s="46" t="e">
        <f ca="1" t="shared" si="51"/>
        <v>#VALUE!</v>
      </c>
      <c r="M207" s="46" t="e">
        <f ca="1" t="shared" si="58"/>
        <v>#VALUE!</v>
      </c>
      <c r="N207" s="46" t="e">
        <f ca="1" t="shared" si="59"/>
        <v>#VALUE!</v>
      </c>
      <c r="O207" s="46">
        <v>5</v>
      </c>
      <c r="P207" s="46">
        <f t="shared" si="57"/>
        <v>71</v>
      </c>
      <c r="Q207" s="46" t="e">
        <f ca="1" t="shared" si="61"/>
        <v>#VALUE!</v>
      </c>
      <c r="R207" s="46" t="e">
        <f ca="1">OFFSET([2]怪物强度模型!$K$1,MATCH(F207,[2]怪物强度模型!$A:$A,0)-1,0)</f>
        <v>#VALUE!</v>
      </c>
      <c r="S207" s="46" t="e">
        <f ca="1">OFFSET([2]怪物强度模型!$O$1,MATCH(F207,[2]怪物强度模型!$A:$A,0)-1,0)</f>
        <v>#VALUE!</v>
      </c>
      <c r="T207" s="47" t="e">
        <f ca="1" t="shared" si="62"/>
        <v>#VALUE!</v>
      </c>
      <c r="U207" s="47" t="e">
        <f ca="1">Q207+N207*$V$1/10000+$V$1*OFFSET(卡牌辅助配置表!$V$1,MATCH(C207,卡牌辅助配置表!U:U,0)-1,0)*5*P207/10000/10000+M207*$V$1/10000</f>
        <v>#VALUE!</v>
      </c>
      <c r="V207" s="46" t="e">
        <f ca="1">OFFSET([2]怪物强度模型!$I$1,MATCH(F207,[2]怪物强度模型!$A:$A,0)-1,0)</f>
        <v>#VALUE!</v>
      </c>
      <c r="W207" t="e">
        <f ca="1" t="shared" si="56"/>
        <v>#VALUE!</v>
      </c>
    </row>
    <row r="208" spans="1:23">
      <c r="A208" s="45">
        <f t="shared" si="49"/>
        <v>7202</v>
      </c>
      <c r="B208" s="45" t="s">
        <v>2797</v>
      </c>
      <c r="C208" s="45">
        <v>7</v>
      </c>
      <c r="D208" s="45">
        <v>202</v>
      </c>
      <c r="E208" s="78">
        <v>1100</v>
      </c>
      <c r="F208" s="46">
        <f t="shared" si="60"/>
        <v>7072</v>
      </c>
      <c r="G208" s="46">
        <f t="shared" si="55"/>
        <v>4.3</v>
      </c>
      <c r="H208" s="45">
        <v>8</v>
      </c>
      <c r="I208" s="46">
        <v>10</v>
      </c>
      <c r="J208" s="46">
        <v>20</v>
      </c>
      <c r="K208" s="46" t="e">
        <f ca="1" t="shared" si="50"/>
        <v>#VALUE!</v>
      </c>
      <c r="L208" s="46" t="e">
        <f ca="1" t="shared" si="51"/>
        <v>#VALUE!</v>
      </c>
      <c r="M208" s="46" t="e">
        <f ca="1" t="shared" si="58"/>
        <v>#VALUE!</v>
      </c>
      <c r="N208" s="46" t="e">
        <f ca="1" t="shared" si="59"/>
        <v>#VALUE!</v>
      </c>
      <c r="O208" s="46">
        <v>5</v>
      </c>
      <c r="P208" s="46">
        <f t="shared" si="57"/>
        <v>72</v>
      </c>
      <c r="Q208" s="46" t="e">
        <f ca="1" t="shared" si="61"/>
        <v>#VALUE!</v>
      </c>
      <c r="R208" s="46" t="e">
        <f ca="1">OFFSET([2]怪物强度模型!$K$1,MATCH(F208,[2]怪物强度模型!$A:$A,0)-1,0)</f>
        <v>#VALUE!</v>
      </c>
      <c r="S208" s="46" t="e">
        <f ca="1">OFFSET([2]怪物强度模型!$O$1,MATCH(F208,[2]怪物强度模型!$A:$A,0)-1,0)</f>
        <v>#VALUE!</v>
      </c>
      <c r="T208" s="47" t="e">
        <f ca="1" t="shared" si="62"/>
        <v>#VALUE!</v>
      </c>
      <c r="U208" s="47" t="e">
        <f ca="1">Q208+N208*$V$1/10000+$V$1*OFFSET(卡牌辅助配置表!$V$1,MATCH(C208,卡牌辅助配置表!U:U,0)-1,0)*5*P208/10000/10000+M208*$V$1/10000</f>
        <v>#VALUE!</v>
      </c>
      <c r="V208" s="46" t="e">
        <f ca="1">OFFSET([2]怪物强度模型!$I$1,MATCH(F208,[2]怪物强度模型!$A:$A,0)-1,0)</f>
        <v>#VALUE!</v>
      </c>
      <c r="W208" t="e">
        <f ca="1" t="shared" si="56"/>
        <v>#VALUE!</v>
      </c>
    </row>
    <row r="209" spans="1:23">
      <c r="A209" s="45">
        <f t="shared" si="49"/>
        <v>7203</v>
      </c>
      <c r="B209" s="45" t="s">
        <v>2797</v>
      </c>
      <c r="C209" s="45">
        <v>7</v>
      </c>
      <c r="D209" s="45">
        <v>203</v>
      </c>
      <c r="E209" s="78">
        <v>1000</v>
      </c>
      <c r="F209" s="46">
        <f t="shared" si="60"/>
        <v>7073</v>
      </c>
      <c r="G209" s="46">
        <f t="shared" si="55"/>
        <v>4.4</v>
      </c>
      <c r="H209" s="45">
        <v>8</v>
      </c>
      <c r="I209" s="46">
        <v>10</v>
      </c>
      <c r="J209" s="46">
        <v>20</v>
      </c>
      <c r="K209" s="46" t="e">
        <f ca="1" t="shared" si="50"/>
        <v>#VALUE!</v>
      </c>
      <c r="L209" s="46" t="e">
        <f ca="1" t="shared" si="51"/>
        <v>#VALUE!</v>
      </c>
      <c r="M209" s="46" t="e">
        <f ca="1" t="shared" si="58"/>
        <v>#VALUE!</v>
      </c>
      <c r="N209" s="46" t="e">
        <f ca="1" t="shared" si="59"/>
        <v>#VALUE!</v>
      </c>
      <c r="O209" s="46">
        <v>5</v>
      </c>
      <c r="P209" s="46">
        <f t="shared" si="57"/>
        <v>73</v>
      </c>
      <c r="Q209" s="46" t="e">
        <f ca="1" t="shared" si="61"/>
        <v>#VALUE!</v>
      </c>
      <c r="R209" s="46" t="e">
        <f ca="1">OFFSET([2]怪物强度模型!$K$1,MATCH(F209,[2]怪物强度模型!$A:$A,0)-1,0)</f>
        <v>#VALUE!</v>
      </c>
      <c r="S209" s="46" t="e">
        <f ca="1">OFFSET([2]怪物强度模型!$O$1,MATCH(F209,[2]怪物强度模型!$A:$A,0)-1,0)</f>
        <v>#VALUE!</v>
      </c>
      <c r="T209" s="47" t="e">
        <f ca="1" t="shared" si="62"/>
        <v>#VALUE!</v>
      </c>
      <c r="U209" s="47" t="e">
        <f ca="1">Q209+N209*$V$1/10000+$V$1*OFFSET(卡牌辅助配置表!$V$1,MATCH(C209,卡牌辅助配置表!U:U,0)-1,0)*5*P209/10000/10000+M209*$V$1/10000</f>
        <v>#VALUE!</v>
      </c>
      <c r="V209" s="46" t="e">
        <f ca="1">OFFSET([2]怪物强度模型!$I$1,MATCH(F209,[2]怪物强度模型!$A:$A,0)-1,0)</f>
        <v>#VALUE!</v>
      </c>
      <c r="W209" t="e">
        <f ca="1" t="shared" si="56"/>
        <v>#VALUE!</v>
      </c>
    </row>
    <row r="210" spans="1:23">
      <c r="A210" s="45">
        <f t="shared" si="49"/>
        <v>7204</v>
      </c>
      <c r="B210" s="45" t="s">
        <v>2797</v>
      </c>
      <c r="C210" s="45">
        <v>7</v>
      </c>
      <c r="D210" s="45">
        <v>204</v>
      </c>
      <c r="E210" s="78">
        <v>900</v>
      </c>
      <c r="F210" s="46">
        <f t="shared" si="60"/>
        <v>7074</v>
      </c>
      <c r="G210" s="46">
        <f t="shared" si="55"/>
        <v>4.5</v>
      </c>
      <c r="H210" s="45">
        <v>8</v>
      </c>
      <c r="I210" s="46">
        <v>10</v>
      </c>
      <c r="J210" s="46">
        <v>20</v>
      </c>
      <c r="K210" s="46" t="e">
        <f ca="1" t="shared" si="50"/>
        <v>#VALUE!</v>
      </c>
      <c r="L210" s="46" t="e">
        <f ca="1" t="shared" si="51"/>
        <v>#VALUE!</v>
      </c>
      <c r="M210" s="46" t="e">
        <f ca="1" t="shared" si="58"/>
        <v>#VALUE!</v>
      </c>
      <c r="N210" s="46" t="e">
        <f ca="1" t="shared" si="59"/>
        <v>#VALUE!</v>
      </c>
      <c r="O210" s="46">
        <v>5</v>
      </c>
      <c r="P210" s="46">
        <f t="shared" si="57"/>
        <v>74</v>
      </c>
      <c r="Q210" s="46" t="e">
        <f ca="1" t="shared" si="61"/>
        <v>#VALUE!</v>
      </c>
      <c r="R210" s="46" t="e">
        <f ca="1">OFFSET([2]怪物强度模型!$K$1,MATCH(F210,[2]怪物强度模型!$A:$A,0)-1,0)</f>
        <v>#VALUE!</v>
      </c>
      <c r="S210" s="46" t="e">
        <f ca="1">OFFSET([2]怪物强度模型!$O$1,MATCH(F210,[2]怪物强度模型!$A:$A,0)-1,0)</f>
        <v>#VALUE!</v>
      </c>
      <c r="T210" s="47" t="e">
        <f ca="1" t="shared" si="62"/>
        <v>#VALUE!</v>
      </c>
      <c r="U210" s="47" t="e">
        <f ca="1">Q210+N210*$V$1/10000+$V$1*OFFSET(卡牌辅助配置表!$V$1,MATCH(C210,卡牌辅助配置表!U:U,0)-1,0)*5*P210/10000/10000+M210*$V$1/10000</f>
        <v>#VALUE!</v>
      </c>
      <c r="V210" s="46" t="e">
        <f ca="1">OFFSET([2]怪物强度模型!$I$1,MATCH(F210,[2]怪物强度模型!$A:$A,0)-1,0)</f>
        <v>#VALUE!</v>
      </c>
      <c r="W210" t="e">
        <f ca="1" t="shared" si="56"/>
        <v>#VALUE!</v>
      </c>
    </row>
    <row r="211" spans="1:23">
      <c r="A211" s="45">
        <f t="shared" si="49"/>
        <v>7205</v>
      </c>
      <c r="B211" s="45" t="s">
        <v>2797</v>
      </c>
      <c r="C211" s="45">
        <v>7</v>
      </c>
      <c r="D211" s="45">
        <v>205</v>
      </c>
      <c r="E211" s="78">
        <v>800</v>
      </c>
      <c r="F211" s="46">
        <f t="shared" si="60"/>
        <v>7075</v>
      </c>
      <c r="G211" s="46">
        <f t="shared" si="55"/>
        <v>4.6</v>
      </c>
      <c r="H211" s="45">
        <v>8</v>
      </c>
      <c r="I211" s="46">
        <v>10</v>
      </c>
      <c r="J211" s="46">
        <v>20</v>
      </c>
      <c r="K211" s="46" t="e">
        <f ca="1" t="shared" si="50"/>
        <v>#VALUE!</v>
      </c>
      <c r="L211" s="46" t="e">
        <f ca="1" t="shared" si="51"/>
        <v>#VALUE!</v>
      </c>
      <c r="M211" s="46" t="e">
        <f ca="1" t="shared" si="58"/>
        <v>#VALUE!</v>
      </c>
      <c r="N211" s="46" t="e">
        <f ca="1" t="shared" si="59"/>
        <v>#VALUE!</v>
      </c>
      <c r="O211" s="46">
        <v>5</v>
      </c>
      <c r="P211" s="46">
        <f t="shared" si="57"/>
        <v>75</v>
      </c>
      <c r="Q211" s="46" t="e">
        <f ca="1" t="shared" si="61"/>
        <v>#VALUE!</v>
      </c>
      <c r="R211" s="46" t="e">
        <f ca="1">OFFSET([2]怪物强度模型!$K$1,MATCH(F211,[2]怪物强度模型!$A:$A,0)-1,0)</f>
        <v>#VALUE!</v>
      </c>
      <c r="S211" s="46" t="e">
        <f ca="1">OFFSET([2]怪物强度模型!$O$1,MATCH(F211,[2]怪物强度模型!$A:$A,0)-1,0)</f>
        <v>#VALUE!</v>
      </c>
      <c r="T211" s="47" t="e">
        <f ca="1" t="shared" si="62"/>
        <v>#VALUE!</v>
      </c>
      <c r="U211" s="47" t="e">
        <f ca="1">Q211+N211*$V$1/10000+$V$1*OFFSET(卡牌辅助配置表!$V$1,MATCH(C211,卡牌辅助配置表!U:U,0)-1,0)*5*P211/10000/10000+M211*$V$1/10000</f>
        <v>#VALUE!</v>
      </c>
      <c r="V211" s="46" t="e">
        <f ca="1">OFFSET([2]怪物强度模型!$I$1,MATCH(F211,[2]怪物强度模型!$A:$A,0)-1,0)</f>
        <v>#VALUE!</v>
      </c>
      <c r="W211" t="e">
        <f ca="1" t="shared" si="56"/>
        <v>#VALUE!</v>
      </c>
    </row>
    <row r="212" spans="1:23">
      <c r="A212" s="45">
        <f t="shared" si="49"/>
        <v>7206</v>
      </c>
      <c r="B212" s="45" t="s">
        <v>2797</v>
      </c>
      <c r="C212" s="45">
        <v>7</v>
      </c>
      <c r="D212" s="45">
        <v>206</v>
      </c>
      <c r="E212" s="78">
        <v>700</v>
      </c>
      <c r="F212" s="46">
        <f t="shared" si="60"/>
        <v>7076</v>
      </c>
      <c r="G212" s="46">
        <f t="shared" si="55"/>
        <v>4.7</v>
      </c>
      <c r="H212" s="45">
        <v>8</v>
      </c>
      <c r="I212" s="46">
        <v>10</v>
      </c>
      <c r="J212" s="46">
        <v>20</v>
      </c>
      <c r="K212" s="46" t="e">
        <f ca="1" t="shared" si="50"/>
        <v>#VALUE!</v>
      </c>
      <c r="L212" s="46" t="e">
        <f ca="1" t="shared" si="51"/>
        <v>#VALUE!</v>
      </c>
      <c r="M212" s="46" t="e">
        <f ca="1" t="shared" si="58"/>
        <v>#VALUE!</v>
      </c>
      <c r="N212" s="46" t="e">
        <f ca="1" t="shared" si="59"/>
        <v>#VALUE!</v>
      </c>
      <c r="O212" s="46">
        <v>5</v>
      </c>
      <c r="P212" s="46">
        <f t="shared" si="57"/>
        <v>76</v>
      </c>
      <c r="Q212" s="46" t="e">
        <f ca="1" t="shared" si="61"/>
        <v>#VALUE!</v>
      </c>
      <c r="R212" s="46" t="e">
        <f ca="1">OFFSET([2]怪物强度模型!$K$1,MATCH(F212,[2]怪物强度模型!$A:$A,0)-1,0)</f>
        <v>#VALUE!</v>
      </c>
      <c r="S212" s="46" t="e">
        <f ca="1">OFFSET([2]怪物强度模型!$O$1,MATCH(F212,[2]怪物强度模型!$A:$A,0)-1,0)</f>
        <v>#VALUE!</v>
      </c>
      <c r="T212" s="47" t="e">
        <f ca="1" t="shared" si="62"/>
        <v>#VALUE!</v>
      </c>
      <c r="U212" s="47" t="e">
        <f ca="1">Q212+N212*$V$1/10000+$V$1*OFFSET(卡牌辅助配置表!$V$1,MATCH(C212,卡牌辅助配置表!U:U,0)-1,0)*5*P212/10000/10000+M212*$V$1/10000</f>
        <v>#VALUE!</v>
      </c>
      <c r="V212" s="46" t="e">
        <f ca="1">OFFSET([2]怪物强度模型!$I$1,MATCH(F212,[2]怪物强度模型!$A:$A,0)-1,0)</f>
        <v>#VALUE!</v>
      </c>
      <c r="W212" t="e">
        <f ca="1" t="shared" si="56"/>
        <v>#VALUE!</v>
      </c>
    </row>
    <row r="213" spans="1:23">
      <c r="A213" s="45">
        <f t="shared" si="49"/>
        <v>7207</v>
      </c>
      <c r="B213" s="45" t="s">
        <v>2797</v>
      </c>
      <c r="C213" s="45">
        <v>7</v>
      </c>
      <c r="D213" s="45">
        <v>207</v>
      </c>
      <c r="E213" s="78">
        <v>600</v>
      </c>
      <c r="F213" s="46">
        <f t="shared" si="60"/>
        <v>7077</v>
      </c>
      <c r="G213" s="46">
        <f t="shared" si="55"/>
        <v>4.8</v>
      </c>
      <c r="H213" s="45">
        <v>8</v>
      </c>
      <c r="I213" s="46">
        <v>10</v>
      </c>
      <c r="J213" s="46">
        <v>20</v>
      </c>
      <c r="K213" s="46" t="e">
        <f ca="1" t="shared" si="50"/>
        <v>#VALUE!</v>
      </c>
      <c r="L213" s="46" t="e">
        <f ca="1" t="shared" si="51"/>
        <v>#VALUE!</v>
      </c>
      <c r="M213" s="46" t="e">
        <f ca="1" t="shared" si="58"/>
        <v>#VALUE!</v>
      </c>
      <c r="N213" s="46" t="e">
        <f ca="1" t="shared" si="59"/>
        <v>#VALUE!</v>
      </c>
      <c r="O213" s="46">
        <v>5</v>
      </c>
      <c r="P213" s="46">
        <f t="shared" si="57"/>
        <v>77</v>
      </c>
      <c r="Q213" s="46" t="e">
        <f ca="1" t="shared" si="61"/>
        <v>#VALUE!</v>
      </c>
      <c r="R213" s="46" t="e">
        <f ca="1">OFFSET([2]怪物强度模型!$K$1,MATCH(F213,[2]怪物强度模型!$A:$A,0)-1,0)</f>
        <v>#VALUE!</v>
      </c>
      <c r="S213" s="46" t="e">
        <f ca="1">OFFSET([2]怪物强度模型!$O$1,MATCH(F213,[2]怪物强度模型!$A:$A,0)-1,0)</f>
        <v>#VALUE!</v>
      </c>
      <c r="T213" s="47" t="e">
        <f ca="1" t="shared" si="62"/>
        <v>#VALUE!</v>
      </c>
      <c r="U213" s="47" t="e">
        <f ca="1">Q213+N213*$V$1/10000+$V$1*OFFSET(卡牌辅助配置表!$V$1,MATCH(C213,卡牌辅助配置表!U:U,0)-1,0)*5*P213/10000/10000+M213*$V$1/10000</f>
        <v>#VALUE!</v>
      </c>
      <c r="V213" s="46" t="e">
        <f ca="1">OFFSET([2]怪物强度模型!$I$1,MATCH(F213,[2]怪物强度模型!$A:$A,0)-1,0)</f>
        <v>#VALUE!</v>
      </c>
      <c r="W213" t="e">
        <f ca="1" t="shared" si="56"/>
        <v>#VALUE!</v>
      </c>
    </row>
    <row r="214" spans="1:23">
      <c r="A214" s="45">
        <f t="shared" si="49"/>
        <v>7208</v>
      </c>
      <c r="B214" s="45" t="s">
        <v>2797</v>
      </c>
      <c r="C214" s="45">
        <v>7</v>
      </c>
      <c r="D214" s="45">
        <v>208</v>
      </c>
      <c r="E214" s="78">
        <v>500</v>
      </c>
      <c r="F214" s="46">
        <f t="shared" si="60"/>
        <v>7078</v>
      </c>
      <c r="G214" s="46">
        <f t="shared" si="55"/>
        <v>4.9</v>
      </c>
      <c r="H214" s="45">
        <v>8</v>
      </c>
      <c r="I214" s="46">
        <v>10</v>
      </c>
      <c r="J214" s="46">
        <v>20</v>
      </c>
      <c r="K214" s="46" t="e">
        <f ca="1" t="shared" si="50"/>
        <v>#VALUE!</v>
      </c>
      <c r="L214" s="46" t="e">
        <f ca="1" t="shared" si="51"/>
        <v>#VALUE!</v>
      </c>
      <c r="M214" s="46" t="e">
        <f ca="1" t="shared" si="58"/>
        <v>#VALUE!</v>
      </c>
      <c r="N214" s="46" t="e">
        <f ca="1" t="shared" si="59"/>
        <v>#VALUE!</v>
      </c>
      <c r="O214" s="46">
        <v>5</v>
      </c>
      <c r="P214" s="46">
        <f t="shared" si="57"/>
        <v>78</v>
      </c>
      <c r="Q214" s="46" t="e">
        <f ca="1" t="shared" si="61"/>
        <v>#VALUE!</v>
      </c>
      <c r="R214" s="46" t="e">
        <f ca="1">OFFSET([2]怪物强度模型!$K$1,MATCH(F214,[2]怪物强度模型!$A:$A,0)-1,0)</f>
        <v>#VALUE!</v>
      </c>
      <c r="S214" s="46" t="e">
        <f ca="1">OFFSET([2]怪物强度模型!$O$1,MATCH(F214,[2]怪物强度模型!$A:$A,0)-1,0)</f>
        <v>#VALUE!</v>
      </c>
      <c r="T214" s="47" t="e">
        <f ca="1" t="shared" si="62"/>
        <v>#VALUE!</v>
      </c>
      <c r="U214" s="47" t="e">
        <f ca="1">Q214+N214*$V$1/10000+$V$1*OFFSET(卡牌辅助配置表!$V$1,MATCH(C214,卡牌辅助配置表!U:U,0)-1,0)*5*P214/10000/10000+M214*$V$1/10000</f>
        <v>#VALUE!</v>
      </c>
      <c r="V214" s="46" t="e">
        <f ca="1">OFFSET([2]怪物强度模型!$I$1,MATCH(F214,[2]怪物强度模型!$A:$A,0)-1,0)</f>
        <v>#VALUE!</v>
      </c>
      <c r="W214" t="e">
        <f ca="1" t="shared" si="56"/>
        <v>#VALUE!</v>
      </c>
    </row>
    <row r="215" spans="1:23">
      <c r="A215" s="45">
        <f t="shared" si="49"/>
        <v>7209</v>
      </c>
      <c r="B215" s="45" t="s">
        <v>2797</v>
      </c>
      <c r="C215" s="45">
        <v>7</v>
      </c>
      <c r="D215" s="45">
        <v>209</v>
      </c>
      <c r="E215" s="78">
        <v>400</v>
      </c>
      <c r="F215" s="46">
        <f t="shared" si="60"/>
        <v>7079</v>
      </c>
      <c r="G215" s="46">
        <f t="shared" si="55"/>
        <v>5</v>
      </c>
      <c r="H215" s="45">
        <v>8</v>
      </c>
      <c r="I215" s="46">
        <v>10</v>
      </c>
      <c r="J215" s="46">
        <v>20</v>
      </c>
      <c r="K215" s="46" t="e">
        <f ca="1" t="shared" si="50"/>
        <v>#VALUE!</v>
      </c>
      <c r="L215" s="46" t="e">
        <f ca="1" t="shared" si="51"/>
        <v>#VALUE!</v>
      </c>
      <c r="M215" s="46" t="e">
        <f ca="1" t="shared" si="58"/>
        <v>#VALUE!</v>
      </c>
      <c r="N215" s="46" t="e">
        <f ca="1" t="shared" si="59"/>
        <v>#VALUE!</v>
      </c>
      <c r="O215" s="46">
        <v>5</v>
      </c>
      <c r="P215" s="46">
        <f t="shared" si="57"/>
        <v>79</v>
      </c>
      <c r="Q215" s="46" t="e">
        <f ca="1" t="shared" si="61"/>
        <v>#VALUE!</v>
      </c>
      <c r="R215" s="46" t="e">
        <f ca="1">OFFSET([2]怪物强度模型!$K$1,MATCH(F215,[2]怪物强度模型!$A:$A,0)-1,0)</f>
        <v>#VALUE!</v>
      </c>
      <c r="S215" s="46" t="e">
        <f ca="1">OFFSET([2]怪物强度模型!$O$1,MATCH(F215,[2]怪物强度模型!$A:$A,0)-1,0)</f>
        <v>#VALUE!</v>
      </c>
      <c r="T215" s="47" t="e">
        <f ca="1" t="shared" si="62"/>
        <v>#VALUE!</v>
      </c>
      <c r="U215" s="47" t="e">
        <f ca="1">Q215+N215*$V$1/10000+$V$1*OFFSET(卡牌辅助配置表!$V$1,MATCH(C215,卡牌辅助配置表!U:U,0)-1,0)*5*P215/10000/10000+M215*$V$1/10000</f>
        <v>#VALUE!</v>
      </c>
      <c r="V215" s="46" t="e">
        <f ca="1">OFFSET([2]怪物强度模型!$I$1,MATCH(F215,[2]怪物强度模型!$A:$A,0)-1,0)</f>
        <v>#VALUE!</v>
      </c>
      <c r="W215" t="e">
        <f ca="1" t="shared" si="56"/>
        <v>#VALUE!</v>
      </c>
    </row>
    <row r="216" spans="1:23">
      <c r="A216" s="45">
        <f t="shared" si="49"/>
        <v>7210</v>
      </c>
      <c r="B216" s="45" t="s">
        <v>2797</v>
      </c>
      <c r="C216" s="45">
        <v>7</v>
      </c>
      <c r="D216" s="45">
        <v>210</v>
      </c>
      <c r="E216" s="78">
        <v>300</v>
      </c>
      <c r="F216" s="46">
        <f t="shared" si="60"/>
        <v>7080</v>
      </c>
      <c r="G216" s="46">
        <f t="shared" si="55"/>
        <v>5.1</v>
      </c>
      <c r="H216" s="45">
        <v>8</v>
      </c>
      <c r="I216" s="46">
        <v>10</v>
      </c>
      <c r="J216" s="46">
        <v>20</v>
      </c>
      <c r="K216" s="46" t="e">
        <f ca="1" t="shared" si="50"/>
        <v>#VALUE!</v>
      </c>
      <c r="L216" s="46" t="e">
        <f ca="1" t="shared" si="51"/>
        <v>#VALUE!</v>
      </c>
      <c r="M216" s="46" t="e">
        <f ca="1" t="shared" si="58"/>
        <v>#VALUE!</v>
      </c>
      <c r="N216" s="46" t="e">
        <f ca="1" t="shared" si="59"/>
        <v>#VALUE!</v>
      </c>
      <c r="O216" s="46">
        <v>5</v>
      </c>
      <c r="P216" s="46">
        <f t="shared" si="57"/>
        <v>80</v>
      </c>
      <c r="Q216" s="46" t="e">
        <f ca="1" t="shared" si="61"/>
        <v>#VALUE!</v>
      </c>
      <c r="R216" s="46" t="e">
        <f ca="1">OFFSET([2]怪物强度模型!$K$1,MATCH(F216,[2]怪物强度模型!$A:$A,0)-1,0)</f>
        <v>#VALUE!</v>
      </c>
      <c r="S216" s="46" t="e">
        <f ca="1">OFFSET([2]怪物强度模型!$O$1,MATCH(F216,[2]怪物强度模型!$A:$A,0)-1,0)</f>
        <v>#VALUE!</v>
      </c>
      <c r="T216" s="47" t="e">
        <f ca="1" t="shared" si="62"/>
        <v>#VALUE!</v>
      </c>
      <c r="U216" s="47" t="e">
        <f ca="1">Q216+N216*$V$1/10000+$V$1*OFFSET(卡牌辅助配置表!$V$1,MATCH(C216,卡牌辅助配置表!U:U,0)-1,0)*5*P216/10000/10000+M216*$V$1/10000</f>
        <v>#VALUE!</v>
      </c>
      <c r="V216" s="46" t="e">
        <f ca="1">OFFSET([2]怪物强度模型!$I$1,MATCH(F216,[2]怪物强度模型!$A:$A,0)-1,0)</f>
        <v>#VALUE!</v>
      </c>
      <c r="W216" t="e">
        <f ca="1" t="shared" si="56"/>
        <v>#VALUE!</v>
      </c>
    </row>
    <row r="217" spans="1:23">
      <c r="A217" s="45">
        <f t="shared" si="49"/>
        <v>7211</v>
      </c>
      <c r="B217" s="45" t="s">
        <v>2797</v>
      </c>
      <c r="C217" s="45">
        <v>7</v>
      </c>
      <c r="D217" s="45">
        <v>211</v>
      </c>
      <c r="E217" s="78">
        <v>200</v>
      </c>
      <c r="F217" s="46">
        <f t="shared" si="60"/>
        <v>7080</v>
      </c>
      <c r="G217" s="46">
        <f t="shared" si="55"/>
        <v>5.2</v>
      </c>
      <c r="H217" s="45">
        <v>8</v>
      </c>
      <c r="I217" s="46">
        <v>10</v>
      </c>
      <c r="J217" s="46">
        <v>20</v>
      </c>
      <c r="K217" s="46" t="e">
        <f ca="1" t="shared" si="50"/>
        <v>#VALUE!</v>
      </c>
      <c r="L217" s="46" t="e">
        <f ca="1" t="shared" si="51"/>
        <v>#VALUE!</v>
      </c>
      <c r="M217" s="46" t="e">
        <f ca="1" t="shared" si="58"/>
        <v>#VALUE!</v>
      </c>
      <c r="N217" s="46" t="e">
        <f ca="1" t="shared" si="59"/>
        <v>#VALUE!</v>
      </c>
      <c r="O217" s="46">
        <v>5</v>
      </c>
      <c r="P217" s="46">
        <f t="shared" si="57"/>
        <v>80</v>
      </c>
      <c r="Q217" s="46" t="e">
        <f ca="1" t="shared" si="61"/>
        <v>#VALUE!</v>
      </c>
      <c r="R217" s="46" t="e">
        <f ca="1">OFFSET([2]怪物强度模型!$K$1,MATCH(F217,[2]怪物强度模型!$A:$A,0)-1,0)</f>
        <v>#VALUE!</v>
      </c>
      <c r="S217" s="46" t="e">
        <f ca="1">OFFSET([2]怪物强度模型!$O$1,MATCH(F217,[2]怪物强度模型!$A:$A,0)-1,0)</f>
        <v>#VALUE!</v>
      </c>
      <c r="T217" s="47" t="e">
        <f ca="1" t="shared" si="62"/>
        <v>#VALUE!</v>
      </c>
      <c r="U217" s="47" t="e">
        <f ca="1">Q217+N217*$V$1/10000+$V$1*OFFSET(卡牌辅助配置表!$V$1,MATCH(C217,卡牌辅助配置表!U:U,0)-1,0)*5*P217/10000/10000+M217*$V$1/10000</f>
        <v>#VALUE!</v>
      </c>
      <c r="V217" s="46" t="e">
        <f ca="1">OFFSET([2]怪物强度模型!$I$1,MATCH(F217,[2]怪物强度模型!$A:$A,0)-1,0)</f>
        <v>#VALUE!</v>
      </c>
      <c r="W217" t="e">
        <f ca="1" t="shared" si="56"/>
        <v>#VALUE!</v>
      </c>
    </row>
    <row r="218" spans="1:23">
      <c r="A218" s="45">
        <f t="shared" si="49"/>
        <v>7212</v>
      </c>
      <c r="B218" s="45" t="s">
        <v>2797</v>
      </c>
      <c r="C218" s="45">
        <v>7</v>
      </c>
      <c r="D218" s="45">
        <v>212</v>
      </c>
      <c r="E218" s="78">
        <v>100</v>
      </c>
      <c r="F218" s="46">
        <f t="shared" si="60"/>
        <v>7080</v>
      </c>
      <c r="G218" s="46">
        <f t="shared" si="55"/>
        <v>5.3</v>
      </c>
      <c r="H218" s="45">
        <v>8</v>
      </c>
      <c r="I218" s="46">
        <v>10</v>
      </c>
      <c r="J218" s="46">
        <v>20</v>
      </c>
      <c r="K218" s="46" t="e">
        <f ca="1" t="shared" si="50"/>
        <v>#VALUE!</v>
      </c>
      <c r="L218" s="46" t="e">
        <f ca="1" t="shared" si="51"/>
        <v>#VALUE!</v>
      </c>
      <c r="M218" s="46" t="e">
        <f ca="1" t="shared" si="58"/>
        <v>#VALUE!</v>
      </c>
      <c r="N218" s="46" t="e">
        <f ca="1" t="shared" si="59"/>
        <v>#VALUE!</v>
      </c>
      <c r="O218" s="46">
        <v>5</v>
      </c>
      <c r="P218" s="46">
        <f t="shared" si="57"/>
        <v>80</v>
      </c>
      <c r="Q218" s="46" t="e">
        <f ca="1" t="shared" si="61"/>
        <v>#VALUE!</v>
      </c>
      <c r="R218" s="46" t="e">
        <f ca="1">OFFSET([2]怪物强度模型!$K$1,MATCH(F218,[2]怪物强度模型!$A:$A,0)-1,0)</f>
        <v>#VALUE!</v>
      </c>
      <c r="S218" s="46" t="e">
        <f ca="1">OFFSET([2]怪物强度模型!$O$1,MATCH(F218,[2]怪物强度模型!$A:$A,0)-1,0)</f>
        <v>#VALUE!</v>
      </c>
      <c r="T218" s="47" t="e">
        <f ca="1" t="shared" si="62"/>
        <v>#VALUE!</v>
      </c>
      <c r="U218" s="47" t="e">
        <f ca="1">Q218+N218*$V$1/10000+$V$1*OFFSET(卡牌辅助配置表!$V$1,MATCH(C218,卡牌辅助配置表!U:U,0)-1,0)*5*P218/10000/10000+M218*$V$1/10000</f>
        <v>#VALUE!</v>
      </c>
      <c r="V218" s="46" t="e">
        <f ca="1">OFFSET([2]怪物强度模型!$I$1,MATCH(F218,[2]怪物强度模型!$A:$A,0)-1,0)</f>
        <v>#VALUE!</v>
      </c>
      <c r="W218" t="e">
        <f ca="1" t="shared" si="56"/>
        <v>#VALUE!</v>
      </c>
    </row>
    <row r="219" spans="1:22">
      <c r="A219" s="45">
        <f t="shared" ref="A219:A248" si="63">C219*1000+D219</f>
        <v>1301</v>
      </c>
      <c r="B219" s="45" t="s">
        <v>2792</v>
      </c>
      <c r="C219" s="45">
        <v>1</v>
      </c>
      <c r="D219" s="45">
        <v>301</v>
      </c>
      <c r="F219" s="46">
        <f t="shared" si="60"/>
        <v>1011</v>
      </c>
      <c r="G219" s="45">
        <v>9</v>
      </c>
      <c r="H219" s="45">
        <v>5</v>
      </c>
      <c r="I219" s="46">
        <v>10</v>
      </c>
      <c r="J219" s="46">
        <v>20</v>
      </c>
      <c r="K219" s="46" t="e">
        <f ca="1" t="shared" ref="K219:K229" si="64">ROUND(Q219*0.95,0)</f>
        <v>#VALUE!</v>
      </c>
      <c r="L219" s="46" t="e">
        <f ca="1" t="shared" ref="L219:L229" si="65">ROUND(Q219*1.05,0)</f>
        <v>#VALUE!</v>
      </c>
      <c r="M219" s="46" t="e">
        <f ca="1">K1*S219</f>
        <v>#VALUE!</v>
      </c>
      <c r="N219" s="46" t="e">
        <f ca="1" t="shared" si="59"/>
        <v>#VALUE!</v>
      </c>
      <c r="O219" s="46">
        <v>5</v>
      </c>
      <c r="P219" s="46">
        <v>11</v>
      </c>
      <c r="Q219" s="46" t="e">
        <f ca="1" t="shared" si="61"/>
        <v>#VALUE!</v>
      </c>
      <c r="R219" s="46" t="e">
        <f ca="1">OFFSET([2]怪物强度模型!$K$1,MATCH(F219,[2]怪物强度模型!$A:$A,0)-1,0)</f>
        <v>#VALUE!</v>
      </c>
      <c r="S219" s="46" t="e">
        <f ca="1">OFFSET([2]怪物强度模型!$O$1,MATCH(F219,[2]怪物强度模型!$A:$A,0)-1,0)</f>
        <v>#VALUE!</v>
      </c>
      <c r="T219" s="47" t="e">
        <f ca="1" t="shared" si="62"/>
        <v>#VALUE!</v>
      </c>
      <c r="U219" s="47" t="e">
        <f ca="1">Q219+N219*$V$1/10000+$V$1*OFFSET(卡牌辅助配置表!$V$1,MATCH(C219,卡牌辅助配置表!U:U,0)-1,0)*5*P219/10000/10000+M219*$V$1/10000</f>
        <v>#VALUE!</v>
      </c>
      <c r="V219" s="46" t="e">
        <f ca="1">OFFSET([2]怪物强度模型!$I$1,MATCH(F219,[2]怪物强度模型!$A:$A,0)-1,0)</f>
        <v>#VALUE!</v>
      </c>
    </row>
    <row r="220" spans="1:22">
      <c r="A220" s="45">
        <f t="shared" si="63"/>
        <v>1302</v>
      </c>
      <c r="B220" s="45" t="s">
        <v>2792</v>
      </c>
      <c r="C220" s="45">
        <v>1</v>
      </c>
      <c r="D220" s="45">
        <v>302</v>
      </c>
      <c r="F220" s="46">
        <f t="shared" si="60"/>
        <v>1012</v>
      </c>
      <c r="G220" s="45">
        <v>9</v>
      </c>
      <c r="H220" s="45">
        <v>5</v>
      </c>
      <c r="I220" s="46">
        <v>10</v>
      </c>
      <c r="J220" s="46">
        <v>20</v>
      </c>
      <c r="K220" s="46" t="e">
        <f ca="1" t="shared" si="64"/>
        <v>#VALUE!</v>
      </c>
      <c r="L220" s="46" t="e">
        <f ca="1" t="shared" si="65"/>
        <v>#VALUE!</v>
      </c>
      <c r="M220" s="46" t="e">
        <f ca="1">K1*S220</f>
        <v>#VALUE!</v>
      </c>
      <c r="N220" s="46" t="e">
        <f ca="1" t="shared" si="59"/>
        <v>#VALUE!</v>
      </c>
      <c r="O220" s="46">
        <v>5</v>
      </c>
      <c r="P220" s="46">
        <v>12</v>
      </c>
      <c r="Q220" s="46" t="e">
        <f ca="1" t="shared" si="61"/>
        <v>#VALUE!</v>
      </c>
      <c r="R220" s="46" t="e">
        <f ca="1">OFFSET([2]怪物强度模型!$K$1,MATCH(F220,[2]怪物强度模型!$A:$A,0)-1,0)</f>
        <v>#VALUE!</v>
      </c>
      <c r="S220" s="46" t="e">
        <f ca="1">OFFSET([2]怪物强度模型!$O$1,MATCH(F220,[2]怪物强度模型!$A:$A,0)-1,0)</f>
        <v>#VALUE!</v>
      </c>
      <c r="T220" s="47" t="e">
        <f ca="1" t="shared" si="62"/>
        <v>#VALUE!</v>
      </c>
      <c r="U220" s="47" t="e">
        <f ca="1">Q220+N220*$V$1/10000+$V$1*OFFSET(卡牌辅助配置表!$V$1,MATCH(C220,卡牌辅助配置表!U:U,0)-1,0)*5*P220/10000/10000+M220*$V$1/10000</f>
        <v>#VALUE!</v>
      </c>
      <c r="V220" s="46" t="e">
        <f ca="1">OFFSET([2]怪物强度模型!$I$1,MATCH(F220,[2]怪物强度模型!$A:$A,0)-1,0)</f>
        <v>#VALUE!</v>
      </c>
    </row>
    <row r="221" spans="1:22">
      <c r="A221" s="45">
        <f t="shared" si="63"/>
        <v>1303</v>
      </c>
      <c r="B221" s="45" t="s">
        <v>2792</v>
      </c>
      <c r="C221" s="45">
        <v>1</v>
      </c>
      <c r="D221" s="45">
        <v>303</v>
      </c>
      <c r="F221" s="46">
        <f t="shared" si="60"/>
        <v>1013</v>
      </c>
      <c r="G221" s="45">
        <v>9</v>
      </c>
      <c r="H221" s="45">
        <v>5</v>
      </c>
      <c r="I221" s="46">
        <v>10</v>
      </c>
      <c r="J221" s="46">
        <v>20</v>
      </c>
      <c r="K221" s="46" t="e">
        <f ca="1" t="shared" si="64"/>
        <v>#VALUE!</v>
      </c>
      <c r="L221" s="46" t="e">
        <f ca="1" t="shared" si="65"/>
        <v>#VALUE!</v>
      </c>
      <c r="M221" s="46" t="e">
        <f ca="1">K1*S221</f>
        <v>#VALUE!</v>
      </c>
      <c r="N221" s="46" t="e">
        <f ca="1" t="shared" si="59"/>
        <v>#VALUE!</v>
      </c>
      <c r="O221" s="46">
        <v>5</v>
      </c>
      <c r="P221" s="46">
        <v>13</v>
      </c>
      <c r="Q221" s="46" t="e">
        <f ca="1" t="shared" si="61"/>
        <v>#VALUE!</v>
      </c>
      <c r="R221" s="46" t="e">
        <f ca="1">OFFSET([2]怪物强度模型!$K$1,MATCH(F221,[2]怪物强度模型!$A:$A,0)-1,0)</f>
        <v>#VALUE!</v>
      </c>
      <c r="S221" s="46" t="e">
        <f ca="1">OFFSET([2]怪物强度模型!$O$1,MATCH(F221,[2]怪物强度模型!$A:$A,0)-1,0)</f>
        <v>#VALUE!</v>
      </c>
      <c r="T221" s="47" t="e">
        <f ca="1" t="shared" si="62"/>
        <v>#VALUE!</v>
      </c>
      <c r="U221" s="47" t="e">
        <f ca="1">Q221+N221*$V$1/10000+$V$1*OFFSET(卡牌辅助配置表!$V$1,MATCH(C221,卡牌辅助配置表!U:U,0)-1,0)*5*P221/10000/10000+M221*$V$1/10000</f>
        <v>#VALUE!</v>
      </c>
      <c r="V221" s="46" t="e">
        <f ca="1">OFFSET([2]怪物强度模型!$I$1,MATCH(F221,[2]怪物强度模型!$A:$A,0)-1,0)</f>
        <v>#VALUE!</v>
      </c>
    </row>
    <row r="222" spans="1:22">
      <c r="A222" s="45">
        <f t="shared" si="63"/>
        <v>1304</v>
      </c>
      <c r="B222" s="45" t="s">
        <v>2792</v>
      </c>
      <c r="C222" s="45">
        <v>1</v>
      </c>
      <c r="D222" s="45">
        <v>304</v>
      </c>
      <c r="F222" s="46">
        <f t="shared" si="60"/>
        <v>1014</v>
      </c>
      <c r="G222" s="45">
        <v>9</v>
      </c>
      <c r="H222" s="45">
        <v>5</v>
      </c>
      <c r="I222" s="46">
        <v>10</v>
      </c>
      <c r="J222" s="46">
        <v>20</v>
      </c>
      <c r="K222" s="46" t="e">
        <f ca="1" t="shared" si="64"/>
        <v>#VALUE!</v>
      </c>
      <c r="L222" s="46" t="e">
        <f ca="1" t="shared" si="65"/>
        <v>#VALUE!</v>
      </c>
      <c r="M222" s="46" t="e">
        <f ca="1">K1*S222</f>
        <v>#VALUE!</v>
      </c>
      <c r="N222" s="46" t="e">
        <f ca="1" t="shared" si="59"/>
        <v>#VALUE!</v>
      </c>
      <c r="O222" s="46">
        <v>5</v>
      </c>
      <c r="P222" s="46">
        <v>14</v>
      </c>
      <c r="Q222" s="46" t="e">
        <f ca="1" t="shared" si="61"/>
        <v>#VALUE!</v>
      </c>
      <c r="R222" s="46" t="e">
        <f ca="1">OFFSET([2]怪物强度模型!$K$1,MATCH(F222,[2]怪物强度模型!$A:$A,0)-1,0)</f>
        <v>#VALUE!</v>
      </c>
      <c r="S222" s="46" t="e">
        <f ca="1">OFFSET([2]怪物强度模型!$O$1,MATCH(F222,[2]怪物强度模型!$A:$A,0)-1,0)</f>
        <v>#VALUE!</v>
      </c>
      <c r="T222" s="47" t="e">
        <f ca="1" t="shared" si="62"/>
        <v>#VALUE!</v>
      </c>
      <c r="U222" s="47" t="e">
        <f ca="1">Q222+N222*$V$1/10000+$V$1*OFFSET(卡牌辅助配置表!$V$1,MATCH(C222,卡牌辅助配置表!U:U,0)-1,0)*5*P222/10000/10000+M222*$V$1/10000</f>
        <v>#VALUE!</v>
      </c>
      <c r="V222" s="46" t="e">
        <f ca="1">OFFSET([2]怪物强度模型!$I$1,MATCH(F222,[2]怪物强度模型!$A:$A,0)-1,0)</f>
        <v>#VALUE!</v>
      </c>
    </row>
    <row r="223" spans="1:22">
      <c r="A223" s="45">
        <f t="shared" si="63"/>
        <v>1305</v>
      </c>
      <c r="B223" s="45" t="s">
        <v>2792</v>
      </c>
      <c r="C223" s="45">
        <v>1</v>
      </c>
      <c r="D223" s="45">
        <v>305</v>
      </c>
      <c r="F223" s="46">
        <f t="shared" si="60"/>
        <v>1015</v>
      </c>
      <c r="G223" s="45">
        <v>9</v>
      </c>
      <c r="H223" s="45">
        <v>5</v>
      </c>
      <c r="I223" s="46">
        <v>10</v>
      </c>
      <c r="J223" s="46">
        <v>20</v>
      </c>
      <c r="K223" s="46" t="e">
        <f ca="1" t="shared" si="64"/>
        <v>#VALUE!</v>
      </c>
      <c r="L223" s="46" t="e">
        <f ca="1" t="shared" si="65"/>
        <v>#VALUE!</v>
      </c>
      <c r="M223" s="46" t="e">
        <f ca="1">K1*S223</f>
        <v>#VALUE!</v>
      </c>
      <c r="N223" s="46" t="e">
        <f ca="1" t="shared" si="59"/>
        <v>#VALUE!</v>
      </c>
      <c r="O223" s="46">
        <v>5</v>
      </c>
      <c r="P223" s="46">
        <v>15</v>
      </c>
      <c r="Q223" s="46" t="e">
        <f ca="1" t="shared" si="61"/>
        <v>#VALUE!</v>
      </c>
      <c r="R223" s="46" t="e">
        <f ca="1">OFFSET([2]怪物强度模型!$K$1,MATCH(F223,[2]怪物强度模型!$A:$A,0)-1,0)</f>
        <v>#VALUE!</v>
      </c>
      <c r="S223" s="46" t="e">
        <f ca="1">OFFSET([2]怪物强度模型!$O$1,MATCH(F223,[2]怪物强度模型!$A:$A,0)-1,0)</f>
        <v>#VALUE!</v>
      </c>
      <c r="T223" s="47" t="e">
        <f ca="1" t="shared" si="62"/>
        <v>#VALUE!</v>
      </c>
      <c r="U223" s="47" t="e">
        <f ca="1">Q223+N223*$V$1/10000+$V$1*OFFSET(卡牌辅助配置表!$V$1,MATCH(C223,卡牌辅助配置表!U:U,0)-1,0)*5*P223/10000/10000+M223*$V$1/10000</f>
        <v>#VALUE!</v>
      </c>
      <c r="V223" s="46" t="e">
        <f ca="1">OFFSET([2]怪物强度模型!$I$1,MATCH(F223,[2]怪物强度模型!$A:$A,0)-1,0)</f>
        <v>#VALUE!</v>
      </c>
    </row>
    <row r="224" spans="1:22">
      <c r="A224" s="45">
        <f t="shared" si="63"/>
        <v>1306</v>
      </c>
      <c r="B224" s="45" t="s">
        <v>2792</v>
      </c>
      <c r="C224" s="45">
        <v>1</v>
      </c>
      <c r="D224" s="45">
        <v>306</v>
      </c>
      <c r="F224" s="46">
        <f t="shared" si="60"/>
        <v>1016</v>
      </c>
      <c r="G224" s="45">
        <v>9</v>
      </c>
      <c r="H224" s="45">
        <v>5</v>
      </c>
      <c r="I224" s="46">
        <v>10</v>
      </c>
      <c r="J224" s="46">
        <v>20</v>
      </c>
      <c r="K224" s="46" t="e">
        <f ca="1" t="shared" si="64"/>
        <v>#VALUE!</v>
      </c>
      <c r="L224" s="46" t="e">
        <f ca="1" t="shared" si="65"/>
        <v>#VALUE!</v>
      </c>
      <c r="M224" s="46" t="e">
        <f ca="1">K1*S224</f>
        <v>#VALUE!</v>
      </c>
      <c r="N224" s="46" t="e">
        <f ca="1" t="shared" si="59"/>
        <v>#VALUE!</v>
      </c>
      <c r="O224" s="46">
        <v>5</v>
      </c>
      <c r="P224" s="46">
        <v>16</v>
      </c>
      <c r="Q224" s="46" t="e">
        <f ca="1" t="shared" si="61"/>
        <v>#VALUE!</v>
      </c>
      <c r="R224" s="46" t="e">
        <f ca="1">OFFSET([2]怪物强度模型!$K$1,MATCH(F224,[2]怪物强度模型!$A:$A,0)-1,0)</f>
        <v>#VALUE!</v>
      </c>
      <c r="S224" s="46" t="e">
        <f ca="1">OFFSET([2]怪物强度模型!$O$1,MATCH(F224,[2]怪物强度模型!$A:$A,0)-1,0)</f>
        <v>#VALUE!</v>
      </c>
      <c r="T224" s="47" t="e">
        <f ca="1" t="shared" si="62"/>
        <v>#VALUE!</v>
      </c>
      <c r="U224" s="47" t="e">
        <f ca="1">Q224+N224*$V$1/10000+$V$1*OFFSET(卡牌辅助配置表!$V$1,MATCH(C224,卡牌辅助配置表!U:U,0)-1,0)*5*P224/10000/10000+M224*$V$1/10000</f>
        <v>#VALUE!</v>
      </c>
      <c r="V224" s="46" t="e">
        <f ca="1">OFFSET([2]怪物强度模型!$I$1,MATCH(F224,[2]怪物强度模型!$A:$A,0)-1,0)</f>
        <v>#VALUE!</v>
      </c>
    </row>
    <row r="225" spans="1:22">
      <c r="A225" s="45">
        <f t="shared" si="63"/>
        <v>1307</v>
      </c>
      <c r="B225" s="45" t="s">
        <v>2792</v>
      </c>
      <c r="C225" s="45">
        <v>1</v>
      </c>
      <c r="D225" s="45">
        <v>307</v>
      </c>
      <c r="F225" s="46">
        <f t="shared" si="60"/>
        <v>1017</v>
      </c>
      <c r="G225" s="45">
        <v>9</v>
      </c>
      <c r="H225" s="45">
        <v>5</v>
      </c>
      <c r="I225" s="46">
        <v>10</v>
      </c>
      <c r="J225" s="46">
        <v>20</v>
      </c>
      <c r="K225" s="46" t="e">
        <f ca="1" t="shared" si="64"/>
        <v>#VALUE!</v>
      </c>
      <c r="L225" s="46" t="e">
        <f ca="1" t="shared" si="65"/>
        <v>#VALUE!</v>
      </c>
      <c r="M225" s="46" t="e">
        <f ca="1">K1*S225</f>
        <v>#VALUE!</v>
      </c>
      <c r="N225" s="46" t="e">
        <f ca="1" t="shared" si="59"/>
        <v>#VALUE!</v>
      </c>
      <c r="O225" s="46">
        <v>5</v>
      </c>
      <c r="P225" s="46">
        <v>17</v>
      </c>
      <c r="Q225" s="46" t="e">
        <f ca="1" t="shared" si="61"/>
        <v>#VALUE!</v>
      </c>
      <c r="R225" s="46" t="e">
        <f ca="1">OFFSET([2]怪物强度模型!$K$1,MATCH(F225,[2]怪物强度模型!$A:$A,0)-1,0)</f>
        <v>#VALUE!</v>
      </c>
      <c r="S225" s="46" t="e">
        <f ca="1">OFFSET([2]怪物强度模型!$O$1,MATCH(F225,[2]怪物强度模型!$A:$A,0)-1,0)</f>
        <v>#VALUE!</v>
      </c>
      <c r="T225" s="47" t="e">
        <f ca="1" t="shared" si="62"/>
        <v>#VALUE!</v>
      </c>
      <c r="U225" s="47" t="e">
        <f ca="1">Q225+N225*$V$1/10000+$V$1*OFFSET(卡牌辅助配置表!$V$1,MATCH(C225,卡牌辅助配置表!U:U,0)-1,0)*5*P225/10000/10000+M225*$V$1/10000</f>
        <v>#VALUE!</v>
      </c>
      <c r="V225" s="46" t="e">
        <f ca="1">OFFSET([2]怪物强度模型!$I$1,MATCH(F225,[2]怪物强度模型!$A:$A,0)-1,0)</f>
        <v>#VALUE!</v>
      </c>
    </row>
    <row r="226" spans="1:22">
      <c r="A226" s="45">
        <f t="shared" si="63"/>
        <v>1308</v>
      </c>
      <c r="B226" s="45" t="s">
        <v>2792</v>
      </c>
      <c r="C226" s="45">
        <v>1</v>
      </c>
      <c r="D226" s="45">
        <v>308</v>
      </c>
      <c r="F226" s="46">
        <f t="shared" si="60"/>
        <v>1018</v>
      </c>
      <c r="G226" s="45">
        <v>9</v>
      </c>
      <c r="H226" s="45">
        <v>5</v>
      </c>
      <c r="I226" s="46">
        <v>10</v>
      </c>
      <c r="J226" s="46">
        <v>20</v>
      </c>
      <c r="K226" s="46" t="e">
        <f ca="1" t="shared" si="64"/>
        <v>#VALUE!</v>
      </c>
      <c r="L226" s="46" t="e">
        <f ca="1" t="shared" si="65"/>
        <v>#VALUE!</v>
      </c>
      <c r="M226" s="46" t="e">
        <f ca="1">K1*S226</f>
        <v>#VALUE!</v>
      </c>
      <c r="N226" s="46" t="e">
        <f ca="1" t="shared" si="59"/>
        <v>#VALUE!</v>
      </c>
      <c r="O226" s="46">
        <v>5</v>
      </c>
      <c r="P226" s="46">
        <v>18</v>
      </c>
      <c r="Q226" s="46" t="e">
        <f ca="1" t="shared" si="61"/>
        <v>#VALUE!</v>
      </c>
      <c r="R226" s="46" t="e">
        <f ca="1">OFFSET([2]怪物强度模型!$K$1,MATCH(F226,[2]怪物强度模型!$A:$A,0)-1,0)</f>
        <v>#VALUE!</v>
      </c>
      <c r="S226" s="46" t="e">
        <f ca="1">OFFSET([2]怪物强度模型!$O$1,MATCH(F226,[2]怪物强度模型!$A:$A,0)-1,0)</f>
        <v>#VALUE!</v>
      </c>
      <c r="T226" s="47" t="e">
        <f ca="1" t="shared" si="62"/>
        <v>#VALUE!</v>
      </c>
      <c r="U226" s="47" t="e">
        <f ca="1">Q226+N226*$V$1/10000+$V$1*OFFSET(卡牌辅助配置表!$V$1,MATCH(C226,卡牌辅助配置表!U:U,0)-1,0)*5*P226/10000/10000+M226*$V$1/10000</f>
        <v>#VALUE!</v>
      </c>
      <c r="V226" s="46" t="e">
        <f ca="1">OFFSET([2]怪物强度模型!$I$1,MATCH(F226,[2]怪物强度模型!$A:$A,0)-1,0)</f>
        <v>#VALUE!</v>
      </c>
    </row>
    <row r="227" spans="1:22">
      <c r="A227" s="45">
        <f t="shared" si="63"/>
        <v>1309</v>
      </c>
      <c r="B227" s="45" t="s">
        <v>2792</v>
      </c>
      <c r="C227" s="45">
        <v>1</v>
      </c>
      <c r="D227" s="45">
        <v>309</v>
      </c>
      <c r="F227" s="46">
        <f t="shared" si="60"/>
        <v>1019</v>
      </c>
      <c r="G227" s="45">
        <v>9</v>
      </c>
      <c r="H227" s="45">
        <v>5</v>
      </c>
      <c r="I227" s="46">
        <v>10</v>
      </c>
      <c r="J227" s="46">
        <v>20</v>
      </c>
      <c r="K227" s="46" t="e">
        <f ca="1" t="shared" si="64"/>
        <v>#VALUE!</v>
      </c>
      <c r="L227" s="46" t="e">
        <f ca="1" t="shared" si="65"/>
        <v>#VALUE!</v>
      </c>
      <c r="M227" s="46" t="e">
        <f ca="1">K1*S227</f>
        <v>#VALUE!</v>
      </c>
      <c r="N227" s="46" t="e">
        <f ca="1" t="shared" si="59"/>
        <v>#VALUE!</v>
      </c>
      <c r="O227" s="46">
        <v>5</v>
      </c>
      <c r="P227" s="46">
        <v>19</v>
      </c>
      <c r="Q227" s="46" t="e">
        <f ca="1" t="shared" si="61"/>
        <v>#VALUE!</v>
      </c>
      <c r="R227" s="46" t="e">
        <f ca="1">OFFSET([2]怪物强度模型!$K$1,MATCH(F227,[2]怪物强度模型!$A:$A,0)-1,0)</f>
        <v>#VALUE!</v>
      </c>
      <c r="S227" s="46" t="e">
        <f ca="1">OFFSET([2]怪物强度模型!$O$1,MATCH(F227,[2]怪物强度模型!$A:$A,0)-1,0)</f>
        <v>#VALUE!</v>
      </c>
      <c r="T227" s="47" t="e">
        <f ca="1" t="shared" si="62"/>
        <v>#VALUE!</v>
      </c>
      <c r="U227" s="47" t="e">
        <f ca="1">Q227+N227*$V$1/10000+$V$1*OFFSET(卡牌辅助配置表!$V$1,MATCH(C227,卡牌辅助配置表!U:U,0)-1,0)*5*P227/10000/10000+M227*$V$1/10000</f>
        <v>#VALUE!</v>
      </c>
      <c r="V227" s="46" t="e">
        <f ca="1">OFFSET([2]怪物强度模型!$I$1,MATCH(F227,[2]怪物强度模型!$A:$A,0)-1,0)</f>
        <v>#VALUE!</v>
      </c>
    </row>
    <row r="228" spans="1:22">
      <c r="A228" s="45">
        <f t="shared" si="63"/>
        <v>1310</v>
      </c>
      <c r="B228" s="45" t="s">
        <v>2792</v>
      </c>
      <c r="C228" s="45">
        <v>1</v>
      </c>
      <c r="D228" s="45">
        <v>310</v>
      </c>
      <c r="F228" s="46">
        <f t="shared" ref="F228:F248" si="66">C228*1000+P228</f>
        <v>1020</v>
      </c>
      <c r="G228" s="45">
        <v>9</v>
      </c>
      <c r="H228" s="45">
        <v>5</v>
      </c>
      <c r="I228" s="46">
        <v>10</v>
      </c>
      <c r="J228" s="46">
        <v>20</v>
      </c>
      <c r="K228" s="46" t="e">
        <f ca="1" t="shared" si="64"/>
        <v>#VALUE!</v>
      </c>
      <c r="L228" s="46" t="e">
        <f ca="1" t="shared" si="65"/>
        <v>#VALUE!</v>
      </c>
      <c r="M228" s="46" t="e">
        <f ca="1">K1*S228</f>
        <v>#VALUE!</v>
      </c>
      <c r="N228" s="46" t="e">
        <f ca="1" t="shared" si="59"/>
        <v>#VALUE!</v>
      </c>
      <c r="O228" s="46">
        <v>5</v>
      </c>
      <c r="P228" s="46">
        <v>20</v>
      </c>
      <c r="Q228" s="46" t="e">
        <f ca="1" t="shared" si="61"/>
        <v>#VALUE!</v>
      </c>
      <c r="R228" s="46" t="e">
        <f ca="1">OFFSET([2]怪物强度模型!$K$1,MATCH(F228,[2]怪物强度模型!$A:$A,0)-1,0)</f>
        <v>#VALUE!</v>
      </c>
      <c r="S228" s="46" t="e">
        <f ca="1">OFFSET([2]怪物强度模型!$O$1,MATCH(F228,[2]怪物强度模型!$A:$A,0)-1,0)</f>
        <v>#VALUE!</v>
      </c>
      <c r="T228" s="47" t="e">
        <f ca="1" t="shared" si="62"/>
        <v>#VALUE!</v>
      </c>
      <c r="U228" s="47" t="e">
        <f ca="1">Q228+N228*$V$1/10000+$V$1*OFFSET(卡牌辅助配置表!$V$1,MATCH(C228,卡牌辅助配置表!U:U,0)-1,0)*5*P228/10000/10000+M228*$V$1/10000</f>
        <v>#VALUE!</v>
      </c>
      <c r="V228" s="46" t="e">
        <f ca="1">OFFSET([2]怪物强度模型!$I$1,MATCH(F228,[2]怪物强度模型!$A:$A,0)-1,0)</f>
        <v>#VALUE!</v>
      </c>
    </row>
    <row r="229" spans="1:22">
      <c r="A229" s="45">
        <f t="shared" si="63"/>
        <v>2301</v>
      </c>
      <c r="B229" s="46" t="s">
        <v>2793</v>
      </c>
      <c r="C229" s="45">
        <v>2</v>
      </c>
      <c r="D229" s="45">
        <v>301</v>
      </c>
      <c r="F229" s="46">
        <f t="shared" si="66"/>
        <v>2021</v>
      </c>
      <c r="G229" s="45">
        <v>9</v>
      </c>
      <c r="H229" s="45">
        <v>6</v>
      </c>
      <c r="I229" s="46">
        <v>10</v>
      </c>
      <c r="J229" s="46">
        <v>20</v>
      </c>
      <c r="K229" s="46" t="e">
        <f ca="1" t="shared" si="64"/>
        <v>#VALUE!</v>
      </c>
      <c r="L229" s="46" t="e">
        <f ca="1" t="shared" si="65"/>
        <v>#VALUE!</v>
      </c>
      <c r="M229" s="46" t="e">
        <f ca="1">K1*S229</f>
        <v>#VALUE!</v>
      </c>
      <c r="N229" s="46" t="e">
        <f ca="1" t="shared" si="59"/>
        <v>#VALUE!</v>
      </c>
      <c r="O229" s="46">
        <v>5</v>
      </c>
      <c r="P229" s="46">
        <v>21</v>
      </c>
      <c r="Q229" s="46" t="e">
        <f ca="1" t="shared" si="61"/>
        <v>#VALUE!</v>
      </c>
      <c r="R229" s="46" t="e">
        <f ca="1">OFFSET([2]怪物强度模型!$K$1,MATCH(F229,[2]怪物强度模型!$A:$A,0)-1,0)</f>
        <v>#VALUE!</v>
      </c>
      <c r="S229" s="46" t="e">
        <f ca="1">OFFSET([2]怪物强度模型!$O$1,MATCH(F229,[2]怪物强度模型!$A:$A,0)-1,0)</f>
        <v>#VALUE!</v>
      </c>
      <c r="T229" s="47" t="e">
        <f ca="1" t="shared" si="62"/>
        <v>#VALUE!</v>
      </c>
      <c r="U229" s="47" t="e">
        <f ca="1">Q229+N229*$V$1/10000+$V$1*OFFSET(卡牌辅助配置表!$V$1,MATCH(C229,卡牌辅助配置表!U:U,0)-1,0)*5*P229/10000/10000+M229*$V$1/10000</f>
        <v>#VALUE!</v>
      </c>
      <c r="V229" s="46" t="e">
        <f ca="1">OFFSET([2]怪物强度模型!$I$1,MATCH(F229,[2]怪物强度模型!$A:$A,0)-1,0)</f>
        <v>#VALUE!</v>
      </c>
    </row>
    <row r="230" spans="1:22">
      <c r="A230" s="45">
        <f t="shared" si="63"/>
        <v>2302</v>
      </c>
      <c r="B230" s="46" t="s">
        <v>2793</v>
      </c>
      <c r="C230" s="45">
        <v>2</v>
      </c>
      <c r="D230" s="45">
        <v>302</v>
      </c>
      <c r="F230" s="46">
        <f t="shared" si="66"/>
        <v>2022</v>
      </c>
      <c r="G230" s="45">
        <v>9</v>
      </c>
      <c r="H230" s="45">
        <v>6</v>
      </c>
      <c r="I230" s="46">
        <v>10</v>
      </c>
      <c r="J230" s="46">
        <v>20</v>
      </c>
      <c r="K230" s="46" t="e">
        <f ca="1" t="shared" ref="K230:K248" si="67">ROUND(Q230*0.95,0)</f>
        <v>#VALUE!</v>
      </c>
      <c r="L230" s="46" t="e">
        <f ca="1" t="shared" ref="L230:L248" si="68">ROUND(Q230*1.05,0)</f>
        <v>#VALUE!</v>
      </c>
      <c r="M230" s="46" t="e">
        <f ca="1">K1*S230</f>
        <v>#VALUE!</v>
      </c>
      <c r="N230" s="46" t="e">
        <f ca="1" t="shared" si="59"/>
        <v>#VALUE!</v>
      </c>
      <c r="O230" s="46">
        <v>5</v>
      </c>
      <c r="P230" s="46">
        <v>22</v>
      </c>
      <c r="Q230" s="46" t="e">
        <f ca="1" t="shared" si="61"/>
        <v>#VALUE!</v>
      </c>
      <c r="R230" s="46" t="e">
        <f ca="1">OFFSET([2]怪物强度模型!$K$1,MATCH(F230,[2]怪物强度模型!$A:$A,0)-1,0)</f>
        <v>#VALUE!</v>
      </c>
      <c r="S230" s="46" t="e">
        <f ca="1">OFFSET([2]怪物强度模型!$O$1,MATCH(F230,[2]怪物强度模型!$A:$A,0)-1,0)</f>
        <v>#VALUE!</v>
      </c>
      <c r="T230" s="47" t="e">
        <f ca="1" t="shared" si="62"/>
        <v>#VALUE!</v>
      </c>
      <c r="U230" s="47" t="e">
        <f ca="1">Q230+N230*$V$1/10000+$V$1*OFFSET(卡牌辅助配置表!$V$1,MATCH(C230,卡牌辅助配置表!U:U,0)-1,0)*5*P230/10000/10000+M230*$V$1/10000</f>
        <v>#VALUE!</v>
      </c>
      <c r="V230" s="46" t="e">
        <f ca="1">OFFSET([2]怪物强度模型!$I$1,MATCH(F230,[2]怪物强度模型!$A:$A,0)-1,0)</f>
        <v>#VALUE!</v>
      </c>
    </row>
    <row r="231" spans="1:22">
      <c r="A231" s="45">
        <f t="shared" si="63"/>
        <v>2303</v>
      </c>
      <c r="B231" s="46" t="s">
        <v>2793</v>
      </c>
      <c r="C231" s="45">
        <v>2</v>
      </c>
      <c r="D231" s="45">
        <v>303</v>
      </c>
      <c r="F231" s="46">
        <f t="shared" si="66"/>
        <v>2023</v>
      </c>
      <c r="G231" s="45">
        <v>9</v>
      </c>
      <c r="H231" s="45">
        <v>6</v>
      </c>
      <c r="I231" s="46">
        <v>10</v>
      </c>
      <c r="J231" s="46">
        <v>20</v>
      </c>
      <c r="K231" s="46" t="e">
        <f ca="1" t="shared" si="67"/>
        <v>#VALUE!</v>
      </c>
      <c r="L231" s="46" t="e">
        <f ca="1" t="shared" si="68"/>
        <v>#VALUE!</v>
      </c>
      <c r="M231" s="46" t="e">
        <f ca="1">K1*S231</f>
        <v>#VALUE!</v>
      </c>
      <c r="N231" s="46" t="e">
        <f ca="1" t="shared" si="59"/>
        <v>#VALUE!</v>
      </c>
      <c r="O231" s="46">
        <v>5</v>
      </c>
      <c r="P231" s="46">
        <v>23</v>
      </c>
      <c r="Q231" s="46" t="e">
        <f ca="1" t="shared" si="61"/>
        <v>#VALUE!</v>
      </c>
      <c r="R231" s="46" t="e">
        <f ca="1">OFFSET([2]怪物强度模型!$K$1,MATCH(F231,[2]怪物强度模型!$A:$A,0)-1,0)</f>
        <v>#VALUE!</v>
      </c>
      <c r="S231" s="46" t="e">
        <f ca="1">OFFSET([2]怪物强度模型!$O$1,MATCH(F231,[2]怪物强度模型!$A:$A,0)-1,0)</f>
        <v>#VALUE!</v>
      </c>
      <c r="T231" s="47" t="e">
        <f ca="1" t="shared" si="62"/>
        <v>#VALUE!</v>
      </c>
      <c r="U231" s="47" t="e">
        <f ca="1">Q231+N231*$V$1/10000+$V$1*OFFSET(卡牌辅助配置表!$V$1,MATCH(C231,卡牌辅助配置表!U:U,0)-1,0)*5*P231/10000/10000+M231*$V$1/10000</f>
        <v>#VALUE!</v>
      </c>
      <c r="V231" s="46" t="e">
        <f ca="1">OFFSET([2]怪物强度模型!$I$1,MATCH(F231,[2]怪物强度模型!$A:$A,0)-1,0)</f>
        <v>#VALUE!</v>
      </c>
    </row>
    <row r="232" spans="1:22">
      <c r="A232" s="45">
        <f t="shared" si="63"/>
        <v>2304</v>
      </c>
      <c r="B232" s="46" t="s">
        <v>2793</v>
      </c>
      <c r="C232" s="45">
        <v>2</v>
      </c>
      <c r="D232" s="45">
        <v>304</v>
      </c>
      <c r="F232" s="46">
        <f t="shared" si="66"/>
        <v>2024</v>
      </c>
      <c r="G232" s="45">
        <v>9</v>
      </c>
      <c r="H232" s="45">
        <v>6</v>
      </c>
      <c r="I232" s="46">
        <v>10</v>
      </c>
      <c r="J232" s="46">
        <v>20</v>
      </c>
      <c r="K232" s="46" t="e">
        <f ca="1" t="shared" si="67"/>
        <v>#VALUE!</v>
      </c>
      <c r="L232" s="46" t="e">
        <f ca="1" t="shared" si="68"/>
        <v>#VALUE!</v>
      </c>
      <c r="M232" s="46" t="e">
        <f ca="1">K1*S232</f>
        <v>#VALUE!</v>
      </c>
      <c r="N232" s="46" t="e">
        <f ca="1" t="shared" si="59"/>
        <v>#VALUE!</v>
      </c>
      <c r="O232" s="46">
        <v>5</v>
      </c>
      <c r="P232" s="46">
        <v>24</v>
      </c>
      <c r="Q232" s="46" t="e">
        <f ca="1" t="shared" si="61"/>
        <v>#VALUE!</v>
      </c>
      <c r="R232" s="46" t="e">
        <f ca="1">OFFSET([2]怪物强度模型!$K$1,MATCH(F232,[2]怪物强度模型!$A:$A,0)-1,0)</f>
        <v>#VALUE!</v>
      </c>
      <c r="S232" s="46" t="e">
        <f ca="1">OFFSET([2]怪物强度模型!$O$1,MATCH(F232,[2]怪物强度模型!$A:$A,0)-1,0)</f>
        <v>#VALUE!</v>
      </c>
      <c r="T232" s="47" t="e">
        <f ca="1" t="shared" si="62"/>
        <v>#VALUE!</v>
      </c>
      <c r="U232" s="47" t="e">
        <f ca="1">Q232+N232*$V$1/10000+$V$1*OFFSET(卡牌辅助配置表!$V$1,MATCH(C232,卡牌辅助配置表!U:U,0)-1,0)*5*P232/10000/10000+M232*$V$1/10000</f>
        <v>#VALUE!</v>
      </c>
      <c r="V232" s="46" t="e">
        <f ca="1">OFFSET([2]怪物强度模型!$I$1,MATCH(F232,[2]怪物强度模型!$A:$A,0)-1,0)</f>
        <v>#VALUE!</v>
      </c>
    </row>
    <row r="233" spans="1:22">
      <c r="A233" s="45">
        <f t="shared" si="63"/>
        <v>2305</v>
      </c>
      <c r="B233" s="46" t="s">
        <v>2793</v>
      </c>
      <c r="C233" s="45">
        <v>2</v>
      </c>
      <c r="D233" s="45">
        <v>305</v>
      </c>
      <c r="F233" s="46">
        <f t="shared" si="66"/>
        <v>2025</v>
      </c>
      <c r="G233" s="45">
        <v>9</v>
      </c>
      <c r="H233" s="45">
        <v>6</v>
      </c>
      <c r="I233" s="46">
        <v>10</v>
      </c>
      <c r="J233" s="46">
        <v>20</v>
      </c>
      <c r="K233" s="46" t="e">
        <f ca="1" t="shared" si="67"/>
        <v>#VALUE!</v>
      </c>
      <c r="L233" s="46" t="e">
        <f ca="1" t="shared" si="68"/>
        <v>#VALUE!</v>
      </c>
      <c r="M233" s="46" t="e">
        <f ca="1">K1*S233</f>
        <v>#VALUE!</v>
      </c>
      <c r="N233" s="46" t="e">
        <f ca="1" t="shared" si="59"/>
        <v>#VALUE!</v>
      </c>
      <c r="O233" s="46">
        <v>5</v>
      </c>
      <c r="P233" s="46">
        <v>25</v>
      </c>
      <c r="Q233" s="46" t="e">
        <f ca="1" t="shared" si="61"/>
        <v>#VALUE!</v>
      </c>
      <c r="R233" s="46" t="e">
        <f ca="1">OFFSET([2]怪物强度模型!$K$1,MATCH(F233,[2]怪物强度模型!$A:$A,0)-1,0)</f>
        <v>#VALUE!</v>
      </c>
      <c r="S233" s="46" t="e">
        <f ca="1">OFFSET([2]怪物强度模型!$O$1,MATCH(F233,[2]怪物强度模型!$A:$A,0)-1,0)</f>
        <v>#VALUE!</v>
      </c>
      <c r="T233" s="47" t="e">
        <f ca="1" t="shared" si="62"/>
        <v>#VALUE!</v>
      </c>
      <c r="U233" s="47" t="e">
        <f ca="1">Q233+N233*$V$1/10000+$V$1*OFFSET(卡牌辅助配置表!$V$1,MATCH(C233,卡牌辅助配置表!U:U,0)-1,0)*5*P233/10000/10000+M233*$V$1/10000</f>
        <v>#VALUE!</v>
      </c>
      <c r="V233" s="46" t="e">
        <f ca="1">OFFSET([2]怪物强度模型!$I$1,MATCH(F233,[2]怪物强度模型!$A:$A,0)-1,0)</f>
        <v>#VALUE!</v>
      </c>
    </row>
    <row r="234" spans="1:22">
      <c r="A234" s="45">
        <f t="shared" si="63"/>
        <v>2306</v>
      </c>
      <c r="B234" s="46" t="s">
        <v>2793</v>
      </c>
      <c r="C234" s="45">
        <v>2</v>
      </c>
      <c r="D234" s="45">
        <v>306</v>
      </c>
      <c r="F234" s="46">
        <f t="shared" si="66"/>
        <v>2026</v>
      </c>
      <c r="G234" s="45">
        <v>9</v>
      </c>
      <c r="H234" s="45">
        <v>6</v>
      </c>
      <c r="I234" s="46">
        <v>10</v>
      </c>
      <c r="J234" s="46">
        <v>20</v>
      </c>
      <c r="K234" s="46" t="e">
        <f ca="1" t="shared" si="67"/>
        <v>#VALUE!</v>
      </c>
      <c r="L234" s="46" t="e">
        <f ca="1" t="shared" si="68"/>
        <v>#VALUE!</v>
      </c>
      <c r="M234" s="46" t="e">
        <f ca="1">K1*S234</f>
        <v>#VALUE!</v>
      </c>
      <c r="N234" s="46" t="e">
        <f ca="1" t="shared" si="59"/>
        <v>#VALUE!</v>
      </c>
      <c r="O234" s="46">
        <v>5</v>
      </c>
      <c r="P234" s="46">
        <v>26</v>
      </c>
      <c r="Q234" s="46" t="e">
        <f ca="1" t="shared" si="61"/>
        <v>#VALUE!</v>
      </c>
      <c r="R234" s="46" t="e">
        <f ca="1">OFFSET([2]怪物强度模型!$K$1,MATCH(F234,[2]怪物强度模型!$A:$A,0)-1,0)</f>
        <v>#VALUE!</v>
      </c>
      <c r="S234" s="46" t="e">
        <f ca="1">OFFSET([2]怪物强度模型!$O$1,MATCH(F234,[2]怪物强度模型!$A:$A,0)-1,0)</f>
        <v>#VALUE!</v>
      </c>
      <c r="T234" s="47" t="e">
        <f ca="1" t="shared" si="62"/>
        <v>#VALUE!</v>
      </c>
      <c r="U234" s="47" t="e">
        <f ca="1">Q234+N234*$V$1/10000+$V$1*OFFSET(卡牌辅助配置表!$V$1,MATCH(C234,卡牌辅助配置表!U:U,0)-1,0)*5*P234/10000/10000+M234*$V$1/10000</f>
        <v>#VALUE!</v>
      </c>
      <c r="V234" s="46" t="e">
        <f ca="1">OFFSET([2]怪物强度模型!$I$1,MATCH(F234,[2]怪物强度模型!$A:$A,0)-1,0)</f>
        <v>#VALUE!</v>
      </c>
    </row>
    <row r="235" spans="1:22">
      <c r="A235" s="45">
        <f t="shared" si="63"/>
        <v>2307</v>
      </c>
      <c r="B235" s="46" t="s">
        <v>2793</v>
      </c>
      <c r="C235" s="45">
        <v>2</v>
      </c>
      <c r="D235" s="45">
        <v>307</v>
      </c>
      <c r="F235" s="46">
        <f t="shared" si="66"/>
        <v>2027</v>
      </c>
      <c r="G235" s="45">
        <v>9</v>
      </c>
      <c r="H235" s="45">
        <v>6</v>
      </c>
      <c r="I235" s="46">
        <v>10</v>
      </c>
      <c r="J235" s="46">
        <v>20</v>
      </c>
      <c r="K235" s="46" t="e">
        <f ca="1" t="shared" si="67"/>
        <v>#VALUE!</v>
      </c>
      <c r="L235" s="46" t="e">
        <f ca="1" t="shared" si="68"/>
        <v>#VALUE!</v>
      </c>
      <c r="M235" s="46" t="e">
        <f ca="1">K1*S235</f>
        <v>#VALUE!</v>
      </c>
      <c r="N235" s="46" t="e">
        <f ca="1" t="shared" si="59"/>
        <v>#VALUE!</v>
      </c>
      <c r="O235" s="46">
        <v>5</v>
      </c>
      <c r="P235" s="46">
        <v>27</v>
      </c>
      <c r="Q235" s="46" t="e">
        <f ca="1" t="shared" si="61"/>
        <v>#VALUE!</v>
      </c>
      <c r="R235" s="46" t="e">
        <f ca="1">OFFSET([2]怪物强度模型!$K$1,MATCH(F235,[2]怪物强度模型!$A:$A,0)-1,0)</f>
        <v>#VALUE!</v>
      </c>
      <c r="S235" s="46" t="e">
        <f ca="1">OFFSET([2]怪物强度模型!$O$1,MATCH(F235,[2]怪物强度模型!$A:$A,0)-1,0)</f>
        <v>#VALUE!</v>
      </c>
      <c r="T235" s="47" t="e">
        <f ca="1" t="shared" si="62"/>
        <v>#VALUE!</v>
      </c>
      <c r="U235" s="47" t="e">
        <f ca="1">Q235+N235*$V$1/10000+$V$1*OFFSET(卡牌辅助配置表!$V$1,MATCH(C235,卡牌辅助配置表!U:U,0)-1,0)*5*P235/10000/10000+M235*$V$1/10000</f>
        <v>#VALUE!</v>
      </c>
      <c r="V235" s="46" t="e">
        <f ca="1">OFFSET([2]怪物强度模型!$I$1,MATCH(F235,[2]怪物强度模型!$A:$A,0)-1,0)</f>
        <v>#VALUE!</v>
      </c>
    </row>
    <row r="236" spans="1:22">
      <c r="A236" s="45">
        <f t="shared" si="63"/>
        <v>2308</v>
      </c>
      <c r="B236" s="46" t="s">
        <v>2793</v>
      </c>
      <c r="C236" s="45">
        <v>2</v>
      </c>
      <c r="D236" s="45">
        <v>308</v>
      </c>
      <c r="F236" s="46">
        <f t="shared" si="66"/>
        <v>2028</v>
      </c>
      <c r="G236" s="45">
        <v>9</v>
      </c>
      <c r="H236" s="45">
        <v>6</v>
      </c>
      <c r="I236" s="46">
        <v>10</v>
      </c>
      <c r="J236" s="46">
        <v>20</v>
      </c>
      <c r="K236" s="46" t="e">
        <f ca="1" t="shared" si="67"/>
        <v>#VALUE!</v>
      </c>
      <c r="L236" s="46" t="e">
        <f ca="1" t="shared" si="68"/>
        <v>#VALUE!</v>
      </c>
      <c r="M236" s="46" t="e">
        <f ca="1">K1*S236</f>
        <v>#VALUE!</v>
      </c>
      <c r="N236" s="46" t="e">
        <f ca="1" t="shared" si="59"/>
        <v>#VALUE!</v>
      </c>
      <c r="O236" s="46">
        <v>5</v>
      </c>
      <c r="P236" s="46">
        <v>28</v>
      </c>
      <c r="Q236" s="46" t="e">
        <f ca="1" t="shared" si="61"/>
        <v>#VALUE!</v>
      </c>
      <c r="R236" s="46" t="e">
        <f ca="1">OFFSET([2]怪物强度模型!$K$1,MATCH(F236,[2]怪物强度模型!$A:$A,0)-1,0)</f>
        <v>#VALUE!</v>
      </c>
      <c r="S236" s="46" t="e">
        <f ca="1">OFFSET([2]怪物强度模型!$O$1,MATCH(F236,[2]怪物强度模型!$A:$A,0)-1,0)</f>
        <v>#VALUE!</v>
      </c>
      <c r="T236" s="47" t="e">
        <f ca="1" t="shared" si="62"/>
        <v>#VALUE!</v>
      </c>
      <c r="U236" s="47" t="e">
        <f ca="1">Q236+N236*$V$1/10000+$V$1*OFFSET(卡牌辅助配置表!$V$1,MATCH(C236,卡牌辅助配置表!U:U,0)-1,0)*5*P236/10000/10000+M236*$V$1/10000</f>
        <v>#VALUE!</v>
      </c>
      <c r="V236" s="46" t="e">
        <f ca="1">OFFSET([2]怪物强度模型!$I$1,MATCH(F236,[2]怪物强度模型!$A:$A,0)-1,0)</f>
        <v>#VALUE!</v>
      </c>
    </row>
    <row r="237" spans="1:22">
      <c r="A237" s="45">
        <f t="shared" si="63"/>
        <v>2309</v>
      </c>
      <c r="B237" s="46" t="s">
        <v>2793</v>
      </c>
      <c r="C237" s="45">
        <v>2</v>
      </c>
      <c r="D237" s="45">
        <v>309</v>
      </c>
      <c r="F237" s="46">
        <f t="shared" si="66"/>
        <v>2029</v>
      </c>
      <c r="G237" s="45">
        <v>9</v>
      </c>
      <c r="H237" s="45">
        <v>6</v>
      </c>
      <c r="I237" s="46">
        <v>10</v>
      </c>
      <c r="J237" s="46">
        <v>20</v>
      </c>
      <c r="K237" s="46" t="e">
        <f ca="1" t="shared" si="67"/>
        <v>#VALUE!</v>
      </c>
      <c r="L237" s="46" t="e">
        <f ca="1" t="shared" si="68"/>
        <v>#VALUE!</v>
      </c>
      <c r="M237" s="46" t="e">
        <f ca="1">K1*S237</f>
        <v>#VALUE!</v>
      </c>
      <c r="N237" s="46" t="e">
        <f ca="1" t="shared" si="59"/>
        <v>#VALUE!</v>
      </c>
      <c r="O237" s="46">
        <v>5</v>
      </c>
      <c r="P237" s="46">
        <v>29</v>
      </c>
      <c r="Q237" s="46" t="e">
        <f ca="1" t="shared" si="61"/>
        <v>#VALUE!</v>
      </c>
      <c r="R237" s="46" t="e">
        <f ca="1">OFFSET([2]怪物强度模型!$K$1,MATCH(F237,[2]怪物强度模型!$A:$A,0)-1,0)</f>
        <v>#VALUE!</v>
      </c>
      <c r="S237" s="46" t="e">
        <f ca="1">OFFSET([2]怪物强度模型!$O$1,MATCH(F237,[2]怪物强度模型!$A:$A,0)-1,0)</f>
        <v>#VALUE!</v>
      </c>
      <c r="T237" s="47" t="e">
        <f ca="1" t="shared" si="62"/>
        <v>#VALUE!</v>
      </c>
      <c r="U237" s="47" t="e">
        <f ca="1">Q237+N237*$V$1/10000+$V$1*OFFSET(卡牌辅助配置表!$V$1,MATCH(C237,卡牌辅助配置表!U:U,0)-1,0)*5*P237/10000/10000+M237*$V$1/10000</f>
        <v>#VALUE!</v>
      </c>
      <c r="V237" s="46" t="e">
        <f ca="1">OFFSET([2]怪物强度模型!$I$1,MATCH(F237,[2]怪物强度模型!$A:$A,0)-1,0)</f>
        <v>#VALUE!</v>
      </c>
    </row>
    <row r="238" spans="1:22">
      <c r="A238" s="45">
        <f t="shared" si="63"/>
        <v>2310</v>
      </c>
      <c r="B238" s="46" t="s">
        <v>2793</v>
      </c>
      <c r="C238" s="45">
        <v>2</v>
      </c>
      <c r="D238" s="45">
        <v>310</v>
      </c>
      <c r="F238" s="46">
        <f t="shared" si="66"/>
        <v>2030</v>
      </c>
      <c r="G238" s="45">
        <v>9</v>
      </c>
      <c r="H238" s="45">
        <v>6</v>
      </c>
      <c r="I238" s="46">
        <v>10</v>
      </c>
      <c r="J238" s="46">
        <v>20</v>
      </c>
      <c r="K238" s="46" t="e">
        <f ca="1" t="shared" si="67"/>
        <v>#VALUE!</v>
      </c>
      <c r="L238" s="46" t="e">
        <f ca="1" t="shared" si="68"/>
        <v>#VALUE!</v>
      </c>
      <c r="M238" s="46" t="e">
        <f ca="1">K1*S238</f>
        <v>#VALUE!</v>
      </c>
      <c r="N238" s="46" t="e">
        <f ca="1" t="shared" si="59"/>
        <v>#VALUE!</v>
      </c>
      <c r="O238" s="46">
        <v>5</v>
      </c>
      <c r="P238" s="46">
        <v>30</v>
      </c>
      <c r="Q238" s="46" t="e">
        <f ca="1" t="shared" si="61"/>
        <v>#VALUE!</v>
      </c>
      <c r="R238" s="46" t="e">
        <f ca="1">OFFSET([2]怪物强度模型!$K$1,MATCH(F238,[2]怪物强度模型!$A:$A,0)-1,0)</f>
        <v>#VALUE!</v>
      </c>
      <c r="S238" s="46" t="e">
        <f ca="1">OFFSET([2]怪物强度模型!$O$1,MATCH(F238,[2]怪物强度模型!$A:$A,0)-1,0)</f>
        <v>#VALUE!</v>
      </c>
      <c r="T238" s="47" t="e">
        <f ca="1" t="shared" si="62"/>
        <v>#VALUE!</v>
      </c>
      <c r="U238" s="47" t="e">
        <f ca="1">Q238+N238*$V$1/10000+$V$1*OFFSET(卡牌辅助配置表!$V$1,MATCH(C238,卡牌辅助配置表!U:U,0)-1,0)*5*P238/10000/10000+M238*$V$1/10000</f>
        <v>#VALUE!</v>
      </c>
      <c r="V238" s="46" t="e">
        <f ca="1">OFFSET([2]怪物强度模型!$I$1,MATCH(F238,[2]怪物强度模型!$A:$A,0)-1,0)</f>
        <v>#VALUE!</v>
      </c>
    </row>
    <row r="239" spans="1:22">
      <c r="A239" s="45">
        <f t="shared" si="63"/>
        <v>3301</v>
      </c>
      <c r="B239" s="46" t="s">
        <v>2794</v>
      </c>
      <c r="C239" s="45">
        <v>3</v>
      </c>
      <c r="D239" s="45">
        <v>301</v>
      </c>
      <c r="F239" s="46">
        <f t="shared" si="66"/>
        <v>3031</v>
      </c>
      <c r="G239" s="45">
        <v>9</v>
      </c>
      <c r="H239" s="45">
        <v>7</v>
      </c>
      <c r="I239" s="46">
        <v>10</v>
      </c>
      <c r="J239" s="46">
        <v>20</v>
      </c>
      <c r="K239" s="46" t="e">
        <f ca="1" t="shared" si="67"/>
        <v>#VALUE!</v>
      </c>
      <c r="L239" s="46" t="e">
        <f ca="1" t="shared" si="68"/>
        <v>#VALUE!</v>
      </c>
      <c r="M239" s="46" t="e">
        <f ca="1">K1*S239</f>
        <v>#VALUE!</v>
      </c>
      <c r="N239" s="46" t="e">
        <f ca="1" t="shared" si="59"/>
        <v>#VALUE!</v>
      </c>
      <c r="O239" s="46">
        <v>5</v>
      </c>
      <c r="P239" s="46">
        <v>31</v>
      </c>
      <c r="Q239" s="46" t="e">
        <f ca="1" t="shared" si="61"/>
        <v>#VALUE!</v>
      </c>
      <c r="R239" s="46" t="e">
        <f ca="1">OFFSET([2]怪物强度模型!$K$1,MATCH(F239,[2]怪物强度模型!$A:$A,0)-1,0)</f>
        <v>#VALUE!</v>
      </c>
      <c r="S239" s="46" t="e">
        <f ca="1">OFFSET([2]怪物强度模型!$O$1,MATCH(F239,[2]怪物强度模型!$A:$A,0)-1,0)</f>
        <v>#VALUE!</v>
      </c>
      <c r="T239" s="47" t="e">
        <f ca="1" t="shared" si="62"/>
        <v>#VALUE!</v>
      </c>
      <c r="U239" s="47" t="e">
        <f ca="1">Q239+N239*$V$1/10000+$V$1*OFFSET(卡牌辅助配置表!$V$1,MATCH(C239,卡牌辅助配置表!U:U,0)-1,0)*5*P239/10000/10000+M239*$V$1/10000</f>
        <v>#VALUE!</v>
      </c>
      <c r="V239" s="46" t="e">
        <f ca="1">OFFSET([2]怪物强度模型!$I$1,MATCH(F239,[2]怪物强度模型!$A:$A,0)-1,0)</f>
        <v>#VALUE!</v>
      </c>
    </row>
    <row r="240" spans="1:22">
      <c r="A240" s="45">
        <f t="shared" si="63"/>
        <v>3302</v>
      </c>
      <c r="B240" s="46" t="s">
        <v>2794</v>
      </c>
      <c r="C240" s="45">
        <v>3</v>
      </c>
      <c r="D240" s="45">
        <v>302</v>
      </c>
      <c r="F240" s="46">
        <f t="shared" si="66"/>
        <v>3032</v>
      </c>
      <c r="G240" s="45">
        <v>9</v>
      </c>
      <c r="H240" s="45">
        <v>7</v>
      </c>
      <c r="I240" s="46">
        <v>10</v>
      </c>
      <c r="J240" s="46">
        <v>20</v>
      </c>
      <c r="K240" s="46" t="e">
        <f ca="1" t="shared" si="67"/>
        <v>#VALUE!</v>
      </c>
      <c r="L240" s="46" t="e">
        <f ca="1" t="shared" si="68"/>
        <v>#VALUE!</v>
      </c>
      <c r="M240" s="46" t="e">
        <f ca="1">K1*S240</f>
        <v>#VALUE!</v>
      </c>
      <c r="N240" s="46" t="e">
        <f ca="1" t="shared" si="59"/>
        <v>#VALUE!</v>
      </c>
      <c r="O240" s="46">
        <v>5</v>
      </c>
      <c r="P240" s="46">
        <v>32</v>
      </c>
      <c r="Q240" s="46" t="e">
        <f ca="1" t="shared" si="61"/>
        <v>#VALUE!</v>
      </c>
      <c r="R240" s="46" t="e">
        <f ca="1">OFFSET([2]怪物强度模型!$K$1,MATCH(F240,[2]怪物强度模型!$A:$A,0)-1,0)</f>
        <v>#VALUE!</v>
      </c>
      <c r="S240" s="46" t="e">
        <f ca="1">OFFSET([2]怪物强度模型!$O$1,MATCH(F240,[2]怪物强度模型!$A:$A,0)-1,0)</f>
        <v>#VALUE!</v>
      </c>
      <c r="T240" s="47" t="e">
        <f ca="1" t="shared" si="62"/>
        <v>#VALUE!</v>
      </c>
      <c r="U240" s="47" t="e">
        <f ca="1">Q240+N240*$V$1/10000+$V$1*OFFSET(卡牌辅助配置表!$V$1,MATCH(C240,卡牌辅助配置表!U:U,0)-1,0)*5*P240/10000/10000+M240*$V$1/10000</f>
        <v>#VALUE!</v>
      </c>
      <c r="V240" s="46" t="e">
        <f ca="1">OFFSET([2]怪物强度模型!$I$1,MATCH(F240,[2]怪物强度模型!$A:$A,0)-1,0)</f>
        <v>#VALUE!</v>
      </c>
    </row>
    <row r="241" spans="1:22">
      <c r="A241" s="45">
        <f t="shared" si="63"/>
        <v>3303</v>
      </c>
      <c r="B241" s="46" t="s">
        <v>2794</v>
      </c>
      <c r="C241" s="45">
        <v>3</v>
      </c>
      <c r="D241" s="45">
        <v>303</v>
      </c>
      <c r="F241" s="46">
        <f t="shared" si="66"/>
        <v>3033</v>
      </c>
      <c r="G241" s="45">
        <v>9</v>
      </c>
      <c r="H241" s="45">
        <v>7</v>
      </c>
      <c r="I241" s="46">
        <v>10</v>
      </c>
      <c r="J241" s="46">
        <v>20</v>
      </c>
      <c r="K241" s="46" t="e">
        <f ca="1" t="shared" si="67"/>
        <v>#VALUE!</v>
      </c>
      <c r="L241" s="46" t="e">
        <f ca="1" t="shared" si="68"/>
        <v>#VALUE!</v>
      </c>
      <c r="M241" s="46" t="e">
        <f ca="1">K1*S241</f>
        <v>#VALUE!</v>
      </c>
      <c r="N241" s="46" t="e">
        <f ca="1" t="shared" si="59"/>
        <v>#VALUE!</v>
      </c>
      <c r="O241" s="46">
        <v>5</v>
      </c>
      <c r="P241" s="46">
        <v>33</v>
      </c>
      <c r="Q241" s="46" t="e">
        <f ca="1" t="shared" si="61"/>
        <v>#VALUE!</v>
      </c>
      <c r="R241" s="46" t="e">
        <f ca="1">OFFSET([2]怪物强度模型!$K$1,MATCH(F241,[2]怪物强度模型!$A:$A,0)-1,0)</f>
        <v>#VALUE!</v>
      </c>
      <c r="S241" s="46" t="e">
        <f ca="1">OFFSET([2]怪物强度模型!$O$1,MATCH(F241,[2]怪物强度模型!$A:$A,0)-1,0)</f>
        <v>#VALUE!</v>
      </c>
      <c r="T241" s="47" t="e">
        <f ca="1" t="shared" si="62"/>
        <v>#VALUE!</v>
      </c>
      <c r="U241" s="47" t="e">
        <f ca="1">Q241+N241*$V$1/10000+$V$1*OFFSET(卡牌辅助配置表!$V$1,MATCH(C241,卡牌辅助配置表!U:U,0)-1,0)*5*P241/10000/10000+M241*$V$1/10000</f>
        <v>#VALUE!</v>
      </c>
      <c r="V241" s="46" t="e">
        <f ca="1">OFFSET([2]怪物强度模型!$I$1,MATCH(F241,[2]怪物强度模型!$A:$A,0)-1,0)</f>
        <v>#VALUE!</v>
      </c>
    </row>
    <row r="242" spans="1:22">
      <c r="A242" s="45">
        <f t="shared" si="63"/>
        <v>3304</v>
      </c>
      <c r="B242" s="46" t="s">
        <v>2794</v>
      </c>
      <c r="C242" s="45">
        <v>3</v>
      </c>
      <c r="D242" s="45">
        <v>304</v>
      </c>
      <c r="F242" s="46">
        <f t="shared" si="66"/>
        <v>3034</v>
      </c>
      <c r="G242" s="45">
        <v>9</v>
      </c>
      <c r="H242" s="45">
        <v>7</v>
      </c>
      <c r="I242" s="46">
        <v>10</v>
      </c>
      <c r="J242" s="46">
        <v>20</v>
      </c>
      <c r="K242" s="46" t="e">
        <f ca="1" t="shared" si="67"/>
        <v>#VALUE!</v>
      </c>
      <c r="L242" s="46" t="e">
        <f ca="1" t="shared" si="68"/>
        <v>#VALUE!</v>
      </c>
      <c r="M242" s="46" t="e">
        <f ca="1">K1*S242</f>
        <v>#VALUE!</v>
      </c>
      <c r="N242" s="46" t="e">
        <f ca="1" t="shared" si="59"/>
        <v>#VALUE!</v>
      </c>
      <c r="O242" s="46">
        <v>5</v>
      </c>
      <c r="P242" s="46">
        <v>34</v>
      </c>
      <c r="Q242" s="46" t="e">
        <f ca="1" t="shared" si="61"/>
        <v>#VALUE!</v>
      </c>
      <c r="R242" s="46" t="e">
        <f ca="1">OFFSET([2]怪物强度模型!$K$1,MATCH(F242,[2]怪物强度模型!$A:$A,0)-1,0)</f>
        <v>#VALUE!</v>
      </c>
      <c r="S242" s="46" t="e">
        <f ca="1">OFFSET([2]怪物强度模型!$O$1,MATCH(F242,[2]怪物强度模型!$A:$A,0)-1,0)</f>
        <v>#VALUE!</v>
      </c>
      <c r="T242" s="47" t="e">
        <f ca="1" t="shared" si="62"/>
        <v>#VALUE!</v>
      </c>
      <c r="U242" s="47" t="e">
        <f ca="1">Q242+N242*$V$1/10000+$V$1*OFFSET(卡牌辅助配置表!$V$1,MATCH(C242,卡牌辅助配置表!U:U,0)-1,0)*5*P242/10000/10000+M242*$V$1/10000</f>
        <v>#VALUE!</v>
      </c>
      <c r="V242" s="46" t="e">
        <f ca="1">OFFSET([2]怪物强度模型!$I$1,MATCH(F242,[2]怪物强度模型!$A:$A,0)-1,0)</f>
        <v>#VALUE!</v>
      </c>
    </row>
    <row r="243" spans="1:22">
      <c r="A243" s="45">
        <f t="shared" si="63"/>
        <v>3305</v>
      </c>
      <c r="B243" s="46" t="s">
        <v>2794</v>
      </c>
      <c r="C243" s="45">
        <v>3</v>
      </c>
      <c r="D243" s="45">
        <v>305</v>
      </c>
      <c r="F243" s="46">
        <f t="shared" si="66"/>
        <v>3035</v>
      </c>
      <c r="G243" s="45">
        <v>9</v>
      </c>
      <c r="H243" s="45">
        <v>7</v>
      </c>
      <c r="I243" s="46">
        <v>10</v>
      </c>
      <c r="J243" s="46">
        <v>20</v>
      </c>
      <c r="K243" s="46" t="e">
        <f ca="1" t="shared" si="67"/>
        <v>#VALUE!</v>
      </c>
      <c r="L243" s="46" t="e">
        <f ca="1" t="shared" si="68"/>
        <v>#VALUE!</v>
      </c>
      <c r="M243" s="46" t="e">
        <f ca="1">K1*S243</f>
        <v>#VALUE!</v>
      </c>
      <c r="N243" s="46" t="e">
        <f ca="1" t="shared" si="59"/>
        <v>#VALUE!</v>
      </c>
      <c r="O243" s="46">
        <v>5</v>
      </c>
      <c r="P243" s="46">
        <v>35</v>
      </c>
      <c r="Q243" s="46" t="e">
        <f ca="1" t="shared" si="61"/>
        <v>#VALUE!</v>
      </c>
      <c r="R243" s="46" t="e">
        <f ca="1">OFFSET([2]怪物强度模型!$K$1,MATCH(F243,[2]怪物强度模型!$A:$A,0)-1,0)</f>
        <v>#VALUE!</v>
      </c>
      <c r="S243" s="46" t="e">
        <f ca="1">OFFSET([2]怪物强度模型!$O$1,MATCH(F243,[2]怪物强度模型!$A:$A,0)-1,0)</f>
        <v>#VALUE!</v>
      </c>
      <c r="T243" s="47" t="e">
        <f ca="1" t="shared" si="62"/>
        <v>#VALUE!</v>
      </c>
      <c r="U243" s="47" t="e">
        <f ca="1">Q243+N243*$V$1/10000+$V$1*OFFSET(卡牌辅助配置表!$V$1,MATCH(C243,卡牌辅助配置表!U:U,0)-1,0)*5*P243/10000/10000+M243*$V$1/10000</f>
        <v>#VALUE!</v>
      </c>
      <c r="V243" s="46" t="e">
        <f ca="1">OFFSET([2]怪物强度模型!$I$1,MATCH(F243,[2]怪物强度模型!$A:$A,0)-1,0)</f>
        <v>#VALUE!</v>
      </c>
    </row>
    <row r="244" spans="1:22">
      <c r="A244" s="45">
        <f t="shared" si="63"/>
        <v>3306</v>
      </c>
      <c r="B244" s="46" t="s">
        <v>2794</v>
      </c>
      <c r="C244" s="45">
        <v>3</v>
      </c>
      <c r="D244" s="45">
        <v>306</v>
      </c>
      <c r="F244" s="46">
        <f t="shared" si="66"/>
        <v>3036</v>
      </c>
      <c r="G244" s="45">
        <v>9</v>
      </c>
      <c r="H244" s="45">
        <v>7</v>
      </c>
      <c r="I244" s="46">
        <v>10</v>
      </c>
      <c r="J244" s="46">
        <v>20</v>
      </c>
      <c r="K244" s="46" t="e">
        <f ca="1" t="shared" si="67"/>
        <v>#VALUE!</v>
      </c>
      <c r="L244" s="46" t="e">
        <f ca="1" t="shared" si="68"/>
        <v>#VALUE!</v>
      </c>
      <c r="M244" s="46" t="e">
        <f ca="1">K1*S244</f>
        <v>#VALUE!</v>
      </c>
      <c r="N244" s="46" t="e">
        <f ca="1" t="shared" si="59"/>
        <v>#VALUE!</v>
      </c>
      <c r="O244" s="46">
        <v>5</v>
      </c>
      <c r="P244" s="46">
        <v>36</v>
      </c>
      <c r="Q244" s="46" t="e">
        <f ca="1" t="shared" si="61"/>
        <v>#VALUE!</v>
      </c>
      <c r="R244" s="46" t="e">
        <f ca="1">OFFSET([2]怪物强度模型!$K$1,MATCH(F244,[2]怪物强度模型!$A:$A,0)-1,0)</f>
        <v>#VALUE!</v>
      </c>
      <c r="S244" s="46" t="e">
        <f ca="1">OFFSET([2]怪物强度模型!$O$1,MATCH(F244,[2]怪物强度模型!$A:$A,0)-1,0)</f>
        <v>#VALUE!</v>
      </c>
      <c r="T244" s="47" t="e">
        <f ca="1" t="shared" si="62"/>
        <v>#VALUE!</v>
      </c>
      <c r="U244" s="47" t="e">
        <f ca="1">Q244+N244*$V$1/10000+$V$1*OFFSET(卡牌辅助配置表!$V$1,MATCH(C244,卡牌辅助配置表!U:U,0)-1,0)*5*P244/10000/10000+M244*$V$1/10000</f>
        <v>#VALUE!</v>
      </c>
      <c r="V244" s="46" t="e">
        <f ca="1">OFFSET([2]怪物强度模型!$I$1,MATCH(F244,[2]怪物强度模型!$A:$A,0)-1,0)</f>
        <v>#VALUE!</v>
      </c>
    </row>
    <row r="245" spans="1:22">
      <c r="A245" s="45">
        <f t="shared" si="63"/>
        <v>3307</v>
      </c>
      <c r="B245" s="46" t="s">
        <v>2794</v>
      </c>
      <c r="C245" s="45">
        <v>3</v>
      </c>
      <c r="D245" s="45">
        <v>307</v>
      </c>
      <c r="F245" s="46">
        <f t="shared" si="66"/>
        <v>3037</v>
      </c>
      <c r="G245" s="45">
        <v>9</v>
      </c>
      <c r="H245" s="45">
        <v>7</v>
      </c>
      <c r="I245" s="46">
        <v>10</v>
      </c>
      <c r="J245" s="46">
        <v>20</v>
      </c>
      <c r="K245" s="46" t="e">
        <f ca="1" t="shared" si="67"/>
        <v>#VALUE!</v>
      </c>
      <c r="L245" s="46" t="e">
        <f ca="1" t="shared" si="68"/>
        <v>#VALUE!</v>
      </c>
      <c r="M245" s="46" t="e">
        <f ca="1">K1*S245</f>
        <v>#VALUE!</v>
      </c>
      <c r="N245" s="46" t="e">
        <f ca="1" t="shared" si="59"/>
        <v>#VALUE!</v>
      </c>
      <c r="O245" s="46">
        <v>5</v>
      </c>
      <c r="P245" s="46">
        <v>37</v>
      </c>
      <c r="Q245" s="46" t="e">
        <f ca="1" t="shared" si="61"/>
        <v>#VALUE!</v>
      </c>
      <c r="R245" s="46" t="e">
        <f ca="1">OFFSET([2]怪物强度模型!$K$1,MATCH(F245,[2]怪物强度模型!$A:$A,0)-1,0)</f>
        <v>#VALUE!</v>
      </c>
      <c r="S245" s="46" t="e">
        <f ca="1">OFFSET([2]怪物强度模型!$O$1,MATCH(F245,[2]怪物强度模型!$A:$A,0)-1,0)</f>
        <v>#VALUE!</v>
      </c>
      <c r="T245" s="47" t="e">
        <f ca="1" t="shared" si="62"/>
        <v>#VALUE!</v>
      </c>
      <c r="U245" s="47" t="e">
        <f ca="1">Q245+N245*$V$1/10000+$V$1*OFFSET(卡牌辅助配置表!$V$1,MATCH(C245,卡牌辅助配置表!U:U,0)-1,0)*5*P245/10000/10000+M245*$V$1/10000</f>
        <v>#VALUE!</v>
      </c>
      <c r="V245" s="46" t="e">
        <f ca="1">OFFSET([2]怪物强度模型!$I$1,MATCH(F245,[2]怪物强度模型!$A:$A,0)-1,0)</f>
        <v>#VALUE!</v>
      </c>
    </row>
    <row r="246" spans="1:22">
      <c r="A246" s="45">
        <f t="shared" si="63"/>
        <v>3308</v>
      </c>
      <c r="B246" s="46" t="s">
        <v>2794</v>
      </c>
      <c r="C246" s="45">
        <v>3</v>
      </c>
      <c r="D246" s="45">
        <v>308</v>
      </c>
      <c r="F246" s="46">
        <f t="shared" si="66"/>
        <v>3038</v>
      </c>
      <c r="G246" s="45">
        <v>9</v>
      </c>
      <c r="H246" s="45">
        <v>7</v>
      </c>
      <c r="I246" s="46">
        <v>10</v>
      </c>
      <c r="J246" s="46">
        <v>20</v>
      </c>
      <c r="K246" s="46" t="e">
        <f ca="1" t="shared" si="67"/>
        <v>#VALUE!</v>
      </c>
      <c r="L246" s="46" t="e">
        <f ca="1" t="shared" si="68"/>
        <v>#VALUE!</v>
      </c>
      <c r="M246" s="46" t="e">
        <f ca="1">K1*S246</f>
        <v>#VALUE!</v>
      </c>
      <c r="N246" s="46" t="e">
        <f ca="1" t="shared" si="59"/>
        <v>#VALUE!</v>
      </c>
      <c r="O246" s="46">
        <v>5</v>
      </c>
      <c r="P246" s="46">
        <v>38</v>
      </c>
      <c r="Q246" s="46" t="e">
        <f ca="1" t="shared" si="61"/>
        <v>#VALUE!</v>
      </c>
      <c r="R246" s="46" t="e">
        <f ca="1">OFFSET([2]怪物强度模型!$K$1,MATCH(F246,[2]怪物强度模型!$A:$A,0)-1,0)</f>
        <v>#VALUE!</v>
      </c>
      <c r="S246" s="46" t="e">
        <f ca="1">OFFSET([2]怪物强度模型!$O$1,MATCH(F246,[2]怪物强度模型!$A:$A,0)-1,0)</f>
        <v>#VALUE!</v>
      </c>
      <c r="T246" s="47" t="e">
        <f ca="1" t="shared" si="62"/>
        <v>#VALUE!</v>
      </c>
      <c r="U246" s="47" t="e">
        <f ca="1">Q246+N246*$V$1/10000+$V$1*OFFSET(卡牌辅助配置表!$V$1,MATCH(C246,卡牌辅助配置表!U:U,0)-1,0)*5*P246/10000/10000+M246*$V$1/10000</f>
        <v>#VALUE!</v>
      </c>
      <c r="V246" s="46" t="e">
        <f ca="1">OFFSET([2]怪物强度模型!$I$1,MATCH(F246,[2]怪物强度模型!$A:$A,0)-1,0)</f>
        <v>#VALUE!</v>
      </c>
    </row>
    <row r="247" spans="1:22">
      <c r="A247" s="45">
        <f t="shared" si="63"/>
        <v>3309</v>
      </c>
      <c r="B247" s="46" t="s">
        <v>2794</v>
      </c>
      <c r="C247" s="45">
        <v>3</v>
      </c>
      <c r="D247" s="45">
        <v>309</v>
      </c>
      <c r="F247" s="46">
        <f t="shared" si="66"/>
        <v>3039</v>
      </c>
      <c r="G247" s="45">
        <v>9</v>
      </c>
      <c r="H247" s="45">
        <v>7</v>
      </c>
      <c r="I247" s="46">
        <v>10</v>
      </c>
      <c r="J247" s="46">
        <v>20</v>
      </c>
      <c r="K247" s="46" t="e">
        <f ca="1" t="shared" si="67"/>
        <v>#VALUE!</v>
      </c>
      <c r="L247" s="46" t="e">
        <f ca="1" t="shared" si="68"/>
        <v>#VALUE!</v>
      </c>
      <c r="M247" s="46" t="e">
        <f ca="1">K1*S247</f>
        <v>#VALUE!</v>
      </c>
      <c r="N247" s="46" t="e">
        <f ca="1" t="shared" si="59"/>
        <v>#VALUE!</v>
      </c>
      <c r="O247" s="46">
        <v>5</v>
      </c>
      <c r="P247" s="46">
        <v>39</v>
      </c>
      <c r="Q247" s="46" t="e">
        <f ca="1" t="shared" si="61"/>
        <v>#VALUE!</v>
      </c>
      <c r="R247" s="46" t="e">
        <f ca="1">OFFSET([2]怪物强度模型!$K$1,MATCH(F247,[2]怪物强度模型!$A:$A,0)-1,0)</f>
        <v>#VALUE!</v>
      </c>
      <c r="S247" s="46" t="e">
        <f ca="1">OFFSET([2]怪物强度模型!$O$1,MATCH(F247,[2]怪物强度模型!$A:$A,0)-1,0)</f>
        <v>#VALUE!</v>
      </c>
      <c r="T247" s="47" t="e">
        <f ca="1" t="shared" si="62"/>
        <v>#VALUE!</v>
      </c>
      <c r="U247" s="47" t="e">
        <f ca="1">Q247+N247*$V$1/10000+$V$1*OFFSET(卡牌辅助配置表!$V$1,MATCH(C247,卡牌辅助配置表!U:U,0)-1,0)*5*P247/10000/10000+M247*$V$1/10000</f>
        <v>#VALUE!</v>
      </c>
      <c r="V247" s="46" t="e">
        <f ca="1">OFFSET([2]怪物强度模型!$I$1,MATCH(F247,[2]怪物强度模型!$A:$A,0)-1,0)</f>
        <v>#VALUE!</v>
      </c>
    </row>
    <row r="248" spans="1:22">
      <c r="A248" s="45">
        <f t="shared" si="63"/>
        <v>3310</v>
      </c>
      <c r="B248" s="46" t="s">
        <v>2794</v>
      </c>
      <c r="C248" s="45">
        <v>3</v>
      </c>
      <c r="D248" s="45">
        <v>310</v>
      </c>
      <c r="F248" s="46">
        <f t="shared" si="66"/>
        <v>3040</v>
      </c>
      <c r="G248" s="45">
        <v>6</v>
      </c>
      <c r="H248" s="45">
        <v>7</v>
      </c>
      <c r="I248" s="46">
        <v>10</v>
      </c>
      <c r="J248" s="46">
        <v>20</v>
      </c>
      <c r="K248" s="46" t="e">
        <f ca="1" t="shared" si="67"/>
        <v>#VALUE!</v>
      </c>
      <c r="L248" s="46" t="e">
        <f ca="1" t="shared" si="68"/>
        <v>#VALUE!</v>
      </c>
      <c r="M248" s="46" t="e">
        <f ca="1">K1*S248</f>
        <v>#VALUE!</v>
      </c>
      <c r="N248" s="46" t="e">
        <f ca="1" t="shared" si="59"/>
        <v>#VALUE!</v>
      </c>
      <c r="O248" s="46">
        <v>5</v>
      </c>
      <c r="P248" s="46">
        <v>40</v>
      </c>
      <c r="Q248" s="46" t="e">
        <f ca="1" t="shared" si="61"/>
        <v>#VALUE!</v>
      </c>
      <c r="R248" s="46" t="e">
        <f ca="1">OFFSET([2]怪物强度模型!$K$1,MATCH(F248,[2]怪物强度模型!$A:$A,0)-1,0)</f>
        <v>#VALUE!</v>
      </c>
      <c r="S248" s="46" t="e">
        <f ca="1">OFFSET([2]怪物强度模型!$O$1,MATCH(F248,[2]怪物强度模型!$A:$A,0)-1,0)</f>
        <v>#VALUE!</v>
      </c>
      <c r="T248" s="47" t="e">
        <f ca="1" t="shared" si="62"/>
        <v>#VALUE!</v>
      </c>
      <c r="U248" s="47" t="e">
        <f ca="1">Q248+N248*$V$1/10000+$V$1*OFFSET(卡牌辅助配置表!$V$1,MATCH(C248,卡牌辅助配置表!U:U,0)-1,0)*5*P248/10000/10000+M248*$V$1/10000</f>
        <v>#VALUE!</v>
      </c>
      <c r="V248" s="46" t="e">
        <f ca="1">OFFSET([2]怪物强度模型!$I$1,MATCH(F248,[2]怪物强度模型!$A:$A,0)-1,0)</f>
        <v>#VALUE!</v>
      </c>
    </row>
    <row r="249" spans="1:24">
      <c r="A249" s="45">
        <f t="shared" ref="A249:A280" si="69">C249*1000+D249</f>
        <v>1500</v>
      </c>
      <c r="B249" s="45" t="s">
        <v>2792</v>
      </c>
      <c r="C249" s="45">
        <v>1</v>
      </c>
      <c r="D249" s="45">
        <v>500</v>
      </c>
      <c r="F249" s="46">
        <f t="shared" ref="F249:F280" si="70">C249*1000+P249</f>
        <v>1011</v>
      </c>
      <c r="G249" s="45">
        <v>2</v>
      </c>
      <c r="H249" s="45">
        <v>5</v>
      </c>
      <c r="I249" s="46">
        <v>10</v>
      </c>
      <c r="J249" s="46">
        <v>20</v>
      </c>
      <c r="K249" s="46" t="e">
        <f ca="1" t="shared" ref="K249:K280" si="71">ROUND(Q249*0.95,0)</f>
        <v>#VALUE!</v>
      </c>
      <c r="L249" s="46" t="e">
        <f ca="1" t="shared" ref="L249:L280" si="72">ROUND(Q249*1.05,0)</f>
        <v>#VALUE!</v>
      </c>
      <c r="M249" s="46" t="e">
        <f ca="1">S249*W249</f>
        <v>#VALUE!</v>
      </c>
      <c r="N249" s="46" t="e">
        <f ca="1" t="shared" si="59"/>
        <v>#VALUE!</v>
      </c>
      <c r="O249" s="46">
        <v>6</v>
      </c>
      <c r="P249" s="46">
        <v>11</v>
      </c>
      <c r="Q249" s="46" t="e">
        <f ca="1" t="shared" si="61"/>
        <v>#VALUE!</v>
      </c>
      <c r="R249" s="46" t="e">
        <f ca="1">OFFSET([2]怪物强度模型!$K$1,MATCH(F249,[2]怪物强度模型!$A:$A,0)-1,0)</f>
        <v>#VALUE!</v>
      </c>
      <c r="S249" s="46" t="e">
        <f ca="1">OFFSET([2]怪物强度模型!$O$1,MATCH(F249,[2]怪物强度模型!$A:$A,0)-1,0)</f>
        <v>#VALUE!</v>
      </c>
      <c r="T249" s="47" t="e">
        <f ca="1">ROUND(U249*X249,0)</f>
        <v>#VALUE!</v>
      </c>
      <c r="U249" s="47" t="e">
        <f ca="1">Q249+N249*$V$1/10000+$V$1*OFFSET(卡牌辅助配置表!$V$1,MATCH(C249,卡牌辅助配置表!U:U,0)-1,0)*5*P249/10000/10000+M249*$V$1/10000</f>
        <v>#VALUE!</v>
      </c>
      <c r="V249" s="46" t="e">
        <f ca="1">OFFSET([2]怪物强度模型!$I$1,MATCH(F249,[2]怪物强度模型!$A:$A,0)-1,0)</f>
        <v>#VALUE!</v>
      </c>
      <c r="W249" s="47">
        <v>1.2</v>
      </c>
      <c r="X249" s="47">
        <v>1.2</v>
      </c>
    </row>
    <row r="250" spans="1:24">
      <c r="A250" s="45">
        <f t="shared" si="69"/>
        <v>1501</v>
      </c>
      <c r="B250" s="45" t="s">
        <v>2792</v>
      </c>
      <c r="C250" s="45">
        <v>1</v>
      </c>
      <c r="D250" s="45">
        <v>501</v>
      </c>
      <c r="F250" s="46">
        <f t="shared" si="70"/>
        <v>1011</v>
      </c>
      <c r="G250" s="45">
        <v>2.1</v>
      </c>
      <c r="H250" s="45">
        <v>5</v>
      </c>
      <c r="I250" s="46">
        <v>10</v>
      </c>
      <c r="J250" s="46">
        <v>20</v>
      </c>
      <c r="K250" s="46" t="e">
        <f ca="1" t="shared" si="71"/>
        <v>#VALUE!</v>
      </c>
      <c r="L250" s="46" t="e">
        <f ca="1" t="shared" si="72"/>
        <v>#VALUE!</v>
      </c>
      <c r="M250" s="46" t="e">
        <f ca="1" t="shared" ref="M250:M313" si="73">S250*W250</f>
        <v>#VALUE!</v>
      </c>
      <c r="N250" s="46" t="e">
        <f ca="1" t="shared" si="59"/>
        <v>#VALUE!</v>
      </c>
      <c r="O250" s="46">
        <v>7</v>
      </c>
      <c r="P250" s="46">
        <v>11</v>
      </c>
      <c r="Q250" s="46" t="e">
        <f ca="1" t="shared" si="61"/>
        <v>#VALUE!</v>
      </c>
      <c r="R250" s="46" t="e">
        <f ca="1">OFFSET([2]怪物强度模型!$K$1,MATCH(F250,[2]怪物强度模型!$A:$A,0)-1,0)</f>
        <v>#VALUE!</v>
      </c>
      <c r="S250" s="46" t="e">
        <f ca="1">OFFSET([2]怪物强度模型!$O$1,MATCH(F250,[2]怪物强度模型!$A:$A,0)-1,0)</f>
        <v>#VALUE!</v>
      </c>
      <c r="T250" s="47" t="e">
        <f ca="1" t="shared" ref="T250:T313" si="74">ROUND(U250*X250,0)</f>
        <v>#VALUE!</v>
      </c>
      <c r="U250" s="47" t="e">
        <f ca="1">Q250+N250*$V$1/10000+$V$1*OFFSET(卡牌辅助配置表!$V$1,MATCH(C250,卡牌辅助配置表!U:U,0)-1,0)*5*P250/10000/10000+M250*$V$1/10000</f>
        <v>#VALUE!</v>
      </c>
      <c r="V250" s="46" t="e">
        <f ca="1">OFFSET([2]怪物强度模型!$I$1,MATCH(F250,[2]怪物强度模型!$A:$A,0)-1,0)</f>
        <v>#VALUE!</v>
      </c>
      <c r="W250" s="47">
        <v>1.2</v>
      </c>
      <c r="X250" s="47">
        <v>1.2</v>
      </c>
    </row>
    <row r="251" spans="1:24">
      <c r="A251" s="45">
        <f t="shared" si="69"/>
        <v>1502</v>
      </c>
      <c r="B251" s="45" t="s">
        <v>2792</v>
      </c>
      <c r="C251" s="45">
        <v>1</v>
      </c>
      <c r="D251" s="45">
        <v>502</v>
      </c>
      <c r="F251" s="46">
        <f t="shared" si="70"/>
        <v>1011</v>
      </c>
      <c r="G251" s="45">
        <v>2.15</v>
      </c>
      <c r="H251" s="45">
        <v>5</v>
      </c>
      <c r="I251" s="46">
        <v>10</v>
      </c>
      <c r="J251" s="46">
        <v>20</v>
      </c>
      <c r="K251" s="46" t="e">
        <f ca="1" t="shared" si="71"/>
        <v>#VALUE!</v>
      </c>
      <c r="L251" s="46" t="e">
        <f ca="1" t="shared" si="72"/>
        <v>#VALUE!</v>
      </c>
      <c r="M251" s="46" t="e">
        <f ca="1" t="shared" si="73"/>
        <v>#VALUE!</v>
      </c>
      <c r="N251" s="46" t="e">
        <f ca="1" t="shared" si="59"/>
        <v>#VALUE!</v>
      </c>
      <c r="O251" s="46">
        <v>8</v>
      </c>
      <c r="P251" s="46">
        <v>11</v>
      </c>
      <c r="Q251" s="46" t="e">
        <f ca="1" t="shared" si="61"/>
        <v>#VALUE!</v>
      </c>
      <c r="R251" s="46" t="e">
        <f ca="1">OFFSET([2]怪物强度模型!$K$1,MATCH(F251,[2]怪物强度模型!$A:$A,0)-1,0)</f>
        <v>#VALUE!</v>
      </c>
      <c r="S251" s="46" t="e">
        <f ca="1">OFFSET([2]怪物强度模型!$O$1,MATCH(F251,[2]怪物强度模型!$A:$A,0)-1,0)</f>
        <v>#VALUE!</v>
      </c>
      <c r="T251" s="47" t="e">
        <f ca="1" t="shared" si="74"/>
        <v>#VALUE!</v>
      </c>
      <c r="U251" s="47" t="e">
        <f ca="1">Q251+N251*$V$1/10000+$V$1*OFFSET(卡牌辅助配置表!$V$1,MATCH(C251,卡牌辅助配置表!U:U,0)-1,0)*5*P251/10000/10000+M251*$V$1/10000</f>
        <v>#VALUE!</v>
      </c>
      <c r="V251" s="46" t="e">
        <f ca="1">OFFSET([2]怪物强度模型!$I$1,MATCH(F251,[2]怪物强度模型!$A:$A,0)-1,0)</f>
        <v>#VALUE!</v>
      </c>
      <c r="W251" s="47">
        <v>1.2</v>
      </c>
      <c r="X251" s="47">
        <v>1.2</v>
      </c>
    </row>
    <row r="252" spans="1:24">
      <c r="A252" s="45">
        <f t="shared" si="69"/>
        <v>1503</v>
      </c>
      <c r="B252" s="45" t="s">
        <v>2792</v>
      </c>
      <c r="C252" s="45">
        <v>1</v>
      </c>
      <c r="D252" s="45">
        <v>503</v>
      </c>
      <c r="F252" s="46">
        <f t="shared" si="70"/>
        <v>1011</v>
      </c>
      <c r="G252" s="45">
        <v>2.2</v>
      </c>
      <c r="H252" s="45">
        <v>5</v>
      </c>
      <c r="I252" s="46">
        <v>10</v>
      </c>
      <c r="J252" s="46">
        <v>20</v>
      </c>
      <c r="K252" s="46" t="e">
        <f ca="1" t="shared" si="71"/>
        <v>#VALUE!</v>
      </c>
      <c r="L252" s="46" t="e">
        <f ca="1" t="shared" si="72"/>
        <v>#VALUE!</v>
      </c>
      <c r="M252" s="46" t="e">
        <f ca="1" t="shared" si="73"/>
        <v>#VALUE!</v>
      </c>
      <c r="N252" s="46" t="e">
        <f ca="1" t="shared" si="59"/>
        <v>#VALUE!</v>
      </c>
      <c r="O252" s="46">
        <v>9</v>
      </c>
      <c r="P252" s="46">
        <v>11</v>
      </c>
      <c r="Q252" s="46" t="e">
        <f ca="1" t="shared" si="61"/>
        <v>#VALUE!</v>
      </c>
      <c r="R252" s="46" t="e">
        <f ca="1">OFFSET([2]怪物强度模型!$K$1,MATCH(F252,[2]怪物强度模型!$A:$A,0)-1,0)</f>
        <v>#VALUE!</v>
      </c>
      <c r="S252" s="46" t="e">
        <f ca="1">OFFSET([2]怪物强度模型!$O$1,MATCH(F252,[2]怪物强度模型!$A:$A,0)-1,0)</f>
        <v>#VALUE!</v>
      </c>
      <c r="T252" s="47" t="e">
        <f ca="1" t="shared" si="74"/>
        <v>#VALUE!</v>
      </c>
      <c r="U252" s="47" t="e">
        <f ca="1">Q252+N252*$V$1/10000+$V$1*OFFSET(卡牌辅助配置表!$V$1,MATCH(C252,卡牌辅助配置表!U:U,0)-1,0)*5*P252/10000/10000+M252*$V$1/10000</f>
        <v>#VALUE!</v>
      </c>
      <c r="V252" s="46" t="e">
        <f ca="1">OFFSET([2]怪物强度模型!$I$1,MATCH(F252,[2]怪物强度模型!$A:$A,0)-1,0)</f>
        <v>#VALUE!</v>
      </c>
      <c r="W252" s="47">
        <v>1.21</v>
      </c>
      <c r="X252" s="47">
        <v>1.2</v>
      </c>
    </row>
    <row r="253" spans="1:24">
      <c r="A253" s="45">
        <f t="shared" si="69"/>
        <v>1504</v>
      </c>
      <c r="B253" s="45" t="s">
        <v>2792</v>
      </c>
      <c r="C253" s="45">
        <v>1</v>
      </c>
      <c r="D253" s="45">
        <v>504</v>
      </c>
      <c r="F253" s="46">
        <f t="shared" si="70"/>
        <v>1011</v>
      </c>
      <c r="G253" s="45">
        <v>2.25</v>
      </c>
      <c r="H253" s="45">
        <v>5</v>
      </c>
      <c r="I253" s="46">
        <v>10</v>
      </c>
      <c r="J253" s="46">
        <v>20</v>
      </c>
      <c r="K253" s="46" t="e">
        <f ca="1" t="shared" si="71"/>
        <v>#VALUE!</v>
      </c>
      <c r="L253" s="46" t="e">
        <f ca="1" t="shared" si="72"/>
        <v>#VALUE!</v>
      </c>
      <c r="M253" s="46" t="e">
        <f ca="1" t="shared" si="73"/>
        <v>#VALUE!</v>
      </c>
      <c r="N253" s="46" t="e">
        <f ca="1" t="shared" si="59"/>
        <v>#VALUE!</v>
      </c>
      <c r="O253" s="46">
        <v>10</v>
      </c>
      <c r="P253" s="46">
        <v>11</v>
      </c>
      <c r="Q253" s="46" t="e">
        <f ca="1" t="shared" si="61"/>
        <v>#VALUE!</v>
      </c>
      <c r="R253" s="46" t="e">
        <f ca="1">OFFSET([2]怪物强度模型!$K$1,MATCH(F253,[2]怪物强度模型!$A:$A,0)-1,0)</f>
        <v>#VALUE!</v>
      </c>
      <c r="S253" s="46" t="e">
        <f ca="1">OFFSET([2]怪物强度模型!$O$1,MATCH(F253,[2]怪物强度模型!$A:$A,0)-1,0)</f>
        <v>#VALUE!</v>
      </c>
      <c r="T253" s="47" t="e">
        <f ca="1" t="shared" si="74"/>
        <v>#VALUE!</v>
      </c>
      <c r="U253" s="47" t="e">
        <f ca="1">Q253+N253*$V$1/10000+$V$1*OFFSET(卡牌辅助配置表!$V$1,MATCH(C253,卡牌辅助配置表!U:U,0)-1,0)*5*P253/10000/10000+M253*$V$1/10000</f>
        <v>#VALUE!</v>
      </c>
      <c r="V253" s="46" t="e">
        <f ca="1">OFFSET([2]怪物强度模型!$I$1,MATCH(F253,[2]怪物强度模型!$A:$A,0)-1,0)</f>
        <v>#VALUE!</v>
      </c>
      <c r="W253" s="47">
        <v>1.21</v>
      </c>
      <c r="X253" s="47">
        <v>1.2</v>
      </c>
    </row>
    <row r="254" spans="1:24">
      <c r="A254" s="45">
        <f t="shared" si="69"/>
        <v>1505</v>
      </c>
      <c r="B254" s="45" t="s">
        <v>2792</v>
      </c>
      <c r="C254" s="45">
        <v>1</v>
      </c>
      <c r="D254" s="45">
        <v>505</v>
      </c>
      <c r="F254" s="46">
        <f t="shared" si="70"/>
        <v>1011</v>
      </c>
      <c r="G254" s="45">
        <v>2.3</v>
      </c>
      <c r="H254" s="45">
        <v>5</v>
      </c>
      <c r="I254" s="46">
        <v>10</v>
      </c>
      <c r="J254" s="46">
        <v>20</v>
      </c>
      <c r="K254" s="46" t="e">
        <f ca="1" t="shared" si="71"/>
        <v>#VALUE!</v>
      </c>
      <c r="L254" s="46" t="e">
        <f ca="1" t="shared" si="72"/>
        <v>#VALUE!</v>
      </c>
      <c r="M254" s="46" t="e">
        <f ca="1" t="shared" si="73"/>
        <v>#VALUE!</v>
      </c>
      <c r="N254" s="46" t="e">
        <f ca="1" t="shared" si="59"/>
        <v>#VALUE!</v>
      </c>
      <c r="O254" s="46">
        <v>11</v>
      </c>
      <c r="P254" s="46">
        <v>11</v>
      </c>
      <c r="Q254" s="46" t="e">
        <f ca="1" t="shared" si="61"/>
        <v>#VALUE!</v>
      </c>
      <c r="R254" s="46" t="e">
        <f ca="1">OFFSET([2]怪物强度模型!$K$1,MATCH(F254,[2]怪物强度模型!$A:$A,0)-1,0)</f>
        <v>#VALUE!</v>
      </c>
      <c r="S254" s="46" t="e">
        <f ca="1">OFFSET([2]怪物强度模型!$O$1,MATCH(F254,[2]怪物强度模型!$A:$A,0)-1,0)</f>
        <v>#VALUE!</v>
      </c>
      <c r="T254" s="47" t="e">
        <f ca="1" t="shared" si="74"/>
        <v>#VALUE!</v>
      </c>
      <c r="U254" s="47" t="e">
        <f ca="1">Q254+N254*$V$1/10000+$V$1*OFFSET(卡牌辅助配置表!$V$1,MATCH(C254,卡牌辅助配置表!U:U,0)-1,0)*5*P254/10000/10000+M254*$V$1/10000</f>
        <v>#VALUE!</v>
      </c>
      <c r="V254" s="46" t="e">
        <f ca="1">OFFSET([2]怪物强度模型!$I$1,MATCH(F254,[2]怪物强度模型!$A:$A,0)-1,0)</f>
        <v>#VALUE!</v>
      </c>
      <c r="W254" s="47">
        <v>1.21</v>
      </c>
      <c r="X254" s="47">
        <v>1.2</v>
      </c>
    </row>
    <row r="255" spans="1:24">
      <c r="A255" s="45">
        <f t="shared" si="69"/>
        <v>1506</v>
      </c>
      <c r="B255" s="45" t="s">
        <v>2792</v>
      </c>
      <c r="C255" s="45">
        <v>1</v>
      </c>
      <c r="D255" s="45">
        <v>506</v>
      </c>
      <c r="F255" s="46">
        <f t="shared" si="70"/>
        <v>1011</v>
      </c>
      <c r="G255" s="45">
        <v>2.35</v>
      </c>
      <c r="H255" s="45">
        <v>5</v>
      </c>
      <c r="I255" s="46">
        <v>10</v>
      </c>
      <c r="J255" s="46">
        <v>20</v>
      </c>
      <c r="K255" s="46" t="e">
        <f ca="1" t="shared" si="71"/>
        <v>#VALUE!</v>
      </c>
      <c r="L255" s="46" t="e">
        <f ca="1" t="shared" si="72"/>
        <v>#VALUE!</v>
      </c>
      <c r="M255" s="46" t="e">
        <f ca="1" t="shared" si="73"/>
        <v>#VALUE!</v>
      </c>
      <c r="N255" s="46" t="e">
        <f ca="1" t="shared" si="59"/>
        <v>#VALUE!</v>
      </c>
      <c r="O255" s="46">
        <v>12</v>
      </c>
      <c r="P255" s="46">
        <v>11</v>
      </c>
      <c r="Q255" s="46" t="e">
        <f ca="1" t="shared" si="61"/>
        <v>#VALUE!</v>
      </c>
      <c r="R255" s="46" t="e">
        <f ca="1">OFFSET([2]怪物强度模型!$K$1,MATCH(F255,[2]怪物强度模型!$A:$A,0)-1,0)</f>
        <v>#VALUE!</v>
      </c>
      <c r="S255" s="46" t="e">
        <f ca="1">OFFSET([2]怪物强度模型!$O$1,MATCH(F255,[2]怪物强度模型!$A:$A,0)-1,0)</f>
        <v>#VALUE!</v>
      </c>
      <c r="T255" s="47" t="e">
        <f ca="1" t="shared" si="74"/>
        <v>#VALUE!</v>
      </c>
      <c r="U255" s="47" t="e">
        <f ca="1">Q255+N255*$V$1/10000+$V$1*OFFSET(卡牌辅助配置表!$V$1,MATCH(C255,卡牌辅助配置表!U:U,0)-1,0)*5*P255/10000/10000+M255*$V$1/10000</f>
        <v>#VALUE!</v>
      </c>
      <c r="V255" s="46" t="e">
        <f ca="1">OFFSET([2]怪物强度模型!$I$1,MATCH(F255,[2]怪物强度模型!$A:$A,0)-1,0)</f>
        <v>#VALUE!</v>
      </c>
      <c r="W255" s="47">
        <v>1.22</v>
      </c>
      <c r="X255" s="47">
        <v>1.2</v>
      </c>
    </row>
    <row r="256" spans="1:24">
      <c r="A256" s="45">
        <f t="shared" si="69"/>
        <v>1507</v>
      </c>
      <c r="B256" s="45" t="s">
        <v>2792</v>
      </c>
      <c r="C256" s="45">
        <v>1</v>
      </c>
      <c r="D256" s="45">
        <v>507</v>
      </c>
      <c r="F256" s="46">
        <f t="shared" si="70"/>
        <v>1011</v>
      </c>
      <c r="G256" s="45">
        <v>2.4</v>
      </c>
      <c r="H256" s="45">
        <v>5</v>
      </c>
      <c r="I256" s="46">
        <v>10</v>
      </c>
      <c r="J256" s="46">
        <v>20</v>
      </c>
      <c r="K256" s="46" t="e">
        <f ca="1" t="shared" si="71"/>
        <v>#VALUE!</v>
      </c>
      <c r="L256" s="46" t="e">
        <f ca="1" t="shared" si="72"/>
        <v>#VALUE!</v>
      </c>
      <c r="M256" s="46" t="e">
        <f ca="1" t="shared" si="73"/>
        <v>#VALUE!</v>
      </c>
      <c r="N256" s="46" t="e">
        <f ca="1" t="shared" si="59"/>
        <v>#VALUE!</v>
      </c>
      <c r="O256" s="46">
        <v>13</v>
      </c>
      <c r="P256" s="46">
        <v>11</v>
      </c>
      <c r="Q256" s="46" t="e">
        <f ca="1" t="shared" si="61"/>
        <v>#VALUE!</v>
      </c>
      <c r="R256" s="46" t="e">
        <f ca="1">OFFSET([2]怪物强度模型!$K$1,MATCH(F256,[2]怪物强度模型!$A:$A,0)-1,0)</f>
        <v>#VALUE!</v>
      </c>
      <c r="S256" s="46" t="e">
        <f ca="1">OFFSET([2]怪物强度模型!$O$1,MATCH(F256,[2]怪物强度模型!$A:$A,0)-1,0)</f>
        <v>#VALUE!</v>
      </c>
      <c r="T256" s="47" t="e">
        <f ca="1" t="shared" si="74"/>
        <v>#VALUE!</v>
      </c>
      <c r="U256" s="47" t="e">
        <f ca="1">Q256+N256*$V$1/10000+$V$1*OFFSET(卡牌辅助配置表!$V$1,MATCH(C256,卡牌辅助配置表!U:U,0)-1,0)*5*P256/10000/10000+M256*$V$1/10000</f>
        <v>#VALUE!</v>
      </c>
      <c r="V256" s="46" t="e">
        <f ca="1">OFFSET([2]怪物强度模型!$I$1,MATCH(F256,[2]怪物强度模型!$A:$A,0)-1,0)</f>
        <v>#VALUE!</v>
      </c>
      <c r="W256" s="47">
        <v>1.22</v>
      </c>
      <c r="X256" s="47">
        <v>1.2</v>
      </c>
    </row>
    <row r="257" spans="1:24">
      <c r="A257" s="45">
        <f t="shared" si="69"/>
        <v>1508</v>
      </c>
      <c r="B257" s="45" t="s">
        <v>2792</v>
      </c>
      <c r="C257" s="45">
        <v>1</v>
      </c>
      <c r="D257" s="45">
        <v>508</v>
      </c>
      <c r="F257" s="46">
        <f t="shared" si="70"/>
        <v>1011</v>
      </c>
      <c r="G257" s="45">
        <v>2.45</v>
      </c>
      <c r="H257" s="45">
        <v>5</v>
      </c>
      <c r="I257" s="46">
        <v>10</v>
      </c>
      <c r="J257" s="46">
        <v>20</v>
      </c>
      <c r="K257" s="46" t="e">
        <f ca="1" t="shared" si="71"/>
        <v>#VALUE!</v>
      </c>
      <c r="L257" s="46" t="e">
        <f ca="1" t="shared" si="72"/>
        <v>#VALUE!</v>
      </c>
      <c r="M257" s="46" t="e">
        <f ca="1" t="shared" si="73"/>
        <v>#VALUE!</v>
      </c>
      <c r="N257" s="46" t="e">
        <f ca="1" t="shared" ref="N257:N320" si="75">ROUND(M257/$N$1,0)</f>
        <v>#VALUE!</v>
      </c>
      <c r="O257" s="46">
        <v>14</v>
      </c>
      <c r="P257" s="46">
        <v>11</v>
      </c>
      <c r="Q257" s="46" t="e">
        <f ca="1" t="shared" si="61"/>
        <v>#VALUE!</v>
      </c>
      <c r="R257" s="46" t="e">
        <f ca="1">OFFSET([2]怪物强度模型!$K$1,MATCH(F257,[2]怪物强度模型!$A:$A,0)-1,0)</f>
        <v>#VALUE!</v>
      </c>
      <c r="S257" s="46" t="e">
        <f ca="1">OFFSET([2]怪物强度模型!$O$1,MATCH(F257,[2]怪物强度模型!$A:$A,0)-1,0)</f>
        <v>#VALUE!</v>
      </c>
      <c r="T257" s="47" t="e">
        <f ca="1" t="shared" si="74"/>
        <v>#VALUE!</v>
      </c>
      <c r="U257" s="47" t="e">
        <f ca="1">Q257+N257*$V$1/10000+$V$1*OFFSET(卡牌辅助配置表!$V$1,MATCH(C257,卡牌辅助配置表!U:U,0)-1,0)*5*P257/10000/10000+M257*$V$1/10000</f>
        <v>#VALUE!</v>
      </c>
      <c r="V257" s="46" t="e">
        <f ca="1">OFFSET([2]怪物强度模型!$I$1,MATCH(F257,[2]怪物强度模型!$A:$A,0)-1,0)</f>
        <v>#VALUE!</v>
      </c>
      <c r="W257" s="47">
        <v>1.22</v>
      </c>
      <c r="X257" s="47">
        <v>1.2</v>
      </c>
    </row>
    <row r="258" spans="1:24">
      <c r="A258" s="45">
        <f t="shared" si="69"/>
        <v>1509</v>
      </c>
      <c r="B258" s="45" t="s">
        <v>2792</v>
      </c>
      <c r="C258" s="45">
        <v>1</v>
      </c>
      <c r="D258" s="45">
        <v>509</v>
      </c>
      <c r="F258" s="46">
        <f t="shared" si="70"/>
        <v>1011</v>
      </c>
      <c r="G258" s="45">
        <v>4</v>
      </c>
      <c r="H258" s="45">
        <v>5</v>
      </c>
      <c r="I258" s="46">
        <v>10</v>
      </c>
      <c r="J258" s="46">
        <v>20</v>
      </c>
      <c r="K258" s="46" t="e">
        <f ca="1" t="shared" si="71"/>
        <v>#VALUE!</v>
      </c>
      <c r="L258" s="46" t="e">
        <f ca="1" t="shared" si="72"/>
        <v>#VALUE!</v>
      </c>
      <c r="M258" s="46" t="e">
        <f ca="1" t="shared" si="73"/>
        <v>#VALUE!</v>
      </c>
      <c r="N258" s="46" t="e">
        <f ca="1" t="shared" si="75"/>
        <v>#VALUE!</v>
      </c>
      <c r="O258" s="46">
        <v>15</v>
      </c>
      <c r="P258" s="46">
        <v>11</v>
      </c>
      <c r="Q258" s="46" t="e">
        <f ca="1" t="shared" si="61"/>
        <v>#VALUE!</v>
      </c>
      <c r="R258" s="46" t="e">
        <f ca="1">OFFSET([2]怪物强度模型!$K$1,MATCH(F258,[2]怪物强度模型!$A:$A,0)-1,0)</f>
        <v>#VALUE!</v>
      </c>
      <c r="S258" s="46" t="e">
        <f ca="1">OFFSET([2]怪物强度模型!$O$1,MATCH(F258,[2]怪物强度模型!$A:$A,0)-1,0)</f>
        <v>#VALUE!</v>
      </c>
      <c r="T258" s="47" t="e">
        <f ca="1" t="shared" si="74"/>
        <v>#VALUE!</v>
      </c>
      <c r="U258" s="47" t="e">
        <f ca="1">Q258+N258*$V$1/10000+$V$1*OFFSET(卡牌辅助配置表!$V$1,MATCH(C258,卡牌辅助配置表!U:U,0)-1,0)*5*P258/10000/10000+M258*$V$1/10000</f>
        <v>#VALUE!</v>
      </c>
      <c r="V258" s="46" t="e">
        <f ca="1">OFFSET([2]怪物强度模型!$I$1,MATCH(F258,[2]怪物强度模型!$A:$A,0)-1,0)</f>
        <v>#VALUE!</v>
      </c>
      <c r="W258" s="47">
        <v>1.35</v>
      </c>
      <c r="X258" s="47">
        <v>1.2</v>
      </c>
    </row>
    <row r="259" spans="1:24">
      <c r="A259" s="45">
        <f t="shared" si="69"/>
        <v>1510</v>
      </c>
      <c r="B259" s="45" t="s">
        <v>2792</v>
      </c>
      <c r="C259" s="45">
        <v>1</v>
      </c>
      <c r="D259" s="45">
        <v>510</v>
      </c>
      <c r="F259" s="46">
        <f t="shared" si="70"/>
        <v>1012</v>
      </c>
      <c r="G259" s="45">
        <f>G249+0.03</f>
        <v>2.03</v>
      </c>
      <c r="H259" s="45">
        <v>5</v>
      </c>
      <c r="I259" s="46">
        <v>10</v>
      </c>
      <c r="J259" s="46">
        <v>20</v>
      </c>
      <c r="K259" s="46" t="e">
        <f ca="1" t="shared" si="71"/>
        <v>#VALUE!</v>
      </c>
      <c r="L259" s="46" t="e">
        <f ca="1" t="shared" si="72"/>
        <v>#VALUE!</v>
      </c>
      <c r="M259" s="46" t="e">
        <f ca="1" t="shared" si="73"/>
        <v>#VALUE!</v>
      </c>
      <c r="N259" s="46" t="e">
        <f ca="1" t="shared" si="75"/>
        <v>#VALUE!</v>
      </c>
      <c r="O259" s="46">
        <v>16</v>
      </c>
      <c r="P259" s="46">
        <f>P249+1</f>
        <v>12</v>
      </c>
      <c r="Q259" s="46" t="e">
        <f ca="1" t="shared" si="61"/>
        <v>#VALUE!</v>
      </c>
      <c r="R259" s="46" t="e">
        <f ca="1">OFFSET([2]怪物强度模型!$K$1,MATCH(F259,[2]怪物强度模型!$A:$A,0)-1,0)</f>
        <v>#VALUE!</v>
      </c>
      <c r="S259" s="46" t="e">
        <f ca="1">OFFSET([2]怪物强度模型!$O$1,MATCH(F259,[2]怪物强度模型!$A:$A,0)-1,0)</f>
        <v>#VALUE!</v>
      </c>
      <c r="T259" s="47" t="e">
        <f ca="1" t="shared" si="74"/>
        <v>#VALUE!</v>
      </c>
      <c r="U259" s="47" t="e">
        <f ca="1">Q259+N259*$V$1/10000+$V$1*OFFSET(卡牌辅助配置表!$V$1,MATCH(C259,卡牌辅助配置表!U:U,0)-1,0)*5*P259/10000/10000+M259*$V$1/10000</f>
        <v>#VALUE!</v>
      </c>
      <c r="V259" s="46" t="e">
        <f ca="1">OFFSET([2]怪物强度模型!$I$1,MATCH(F259,[2]怪物强度模型!$A:$A,0)-1,0)</f>
        <v>#VALUE!</v>
      </c>
      <c r="W259" s="47">
        <f>W249+0.05</f>
        <v>1.25</v>
      </c>
      <c r="X259" s="47">
        <f>X249+0.02</f>
        <v>1.22</v>
      </c>
    </row>
    <row r="260" spans="1:24">
      <c r="A260" s="45">
        <f t="shared" si="69"/>
        <v>1511</v>
      </c>
      <c r="B260" s="45" t="s">
        <v>2792</v>
      </c>
      <c r="C260" s="45">
        <v>1</v>
      </c>
      <c r="D260" s="45">
        <v>511</v>
      </c>
      <c r="F260" s="46">
        <f t="shared" si="70"/>
        <v>1012</v>
      </c>
      <c r="G260" s="45">
        <f t="shared" ref="G260:G267" si="76">G250+0.03</f>
        <v>2.13</v>
      </c>
      <c r="H260" s="45">
        <v>5</v>
      </c>
      <c r="I260" s="46">
        <v>10</v>
      </c>
      <c r="J260" s="46">
        <v>20</v>
      </c>
      <c r="K260" s="46" t="e">
        <f ca="1" t="shared" si="71"/>
        <v>#VALUE!</v>
      </c>
      <c r="L260" s="46" t="e">
        <f ca="1" t="shared" si="72"/>
        <v>#VALUE!</v>
      </c>
      <c r="M260" s="46" t="e">
        <f ca="1" t="shared" si="73"/>
        <v>#VALUE!</v>
      </c>
      <c r="N260" s="46" t="e">
        <f ca="1" t="shared" si="75"/>
        <v>#VALUE!</v>
      </c>
      <c r="O260" s="46">
        <v>17</v>
      </c>
      <c r="P260" s="46">
        <f t="shared" ref="P260:P291" si="77">P250+1</f>
        <v>12</v>
      </c>
      <c r="Q260" s="46" t="e">
        <f ca="1" t="shared" si="61"/>
        <v>#VALUE!</v>
      </c>
      <c r="R260" s="46" t="e">
        <f ca="1">OFFSET([2]怪物强度模型!$K$1,MATCH(F260,[2]怪物强度模型!$A:$A,0)-1,0)</f>
        <v>#VALUE!</v>
      </c>
      <c r="S260" s="46" t="e">
        <f ca="1">OFFSET([2]怪物强度模型!$O$1,MATCH(F260,[2]怪物强度模型!$A:$A,0)-1,0)</f>
        <v>#VALUE!</v>
      </c>
      <c r="T260" s="47" t="e">
        <f ca="1" t="shared" si="74"/>
        <v>#VALUE!</v>
      </c>
      <c r="U260" s="47" t="e">
        <f ca="1">Q260+N260*$V$1/10000+$V$1*OFFSET(卡牌辅助配置表!$V$1,MATCH(C260,卡牌辅助配置表!U:U,0)-1,0)*5*P260/10000/10000+M260*$V$1/10000</f>
        <v>#VALUE!</v>
      </c>
      <c r="V260" s="46" t="e">
        <f ca="1">OFFSET([2]怪物强度模型!$I$1,MATCH(F260,[2]怪物强度模型!$A:$A,0)-1,0)</f>
        <v>#VALUE!</v>
      </c>
      <c r="W260" s="47">
        <f t="shared" ref="W260:W323" si="78">W250+0.05</f>
        <v>1.25</v>
      </c>
      <c r="X260" s="47">
        <f t="shared" ref="X260:X323" si="79">X250+0.02</f>
        <v>1.22</v>
      </c>
    </row>
    <row r="261" spans="1:24">
      <c r="A261" s="45">
        <f t="shared" si="69"/>
        <v>1512</v>
      </c>
      <c r="B261" s="45" t="s">
        <v>2792</v>
      </c>
      <c r="C261" s="45">
        <v>1</v>
      </c>
      <c r="D261" s="45">
        <v>512</v>
      </c>
      <c r="F261" s="46">
        <f t="shared" si="70"/>
        <v>1012</v>
      </c>
      <c r="G261" s="45">
        <f t="shared" si="76"/>
        <v>2.18</v>
      </c>
      <c r="H261" s="45">
        <v>5</v>
      </c>
      <c r="I261" s="46">
        <v>10</v>
      </c>
      <c r="J261" s="46">
        <v>20</v>
      </c>
      <c r="K261" s="46" t="e">
        <f ca="1" t="shared" si="71"/>
        <v>#VALUE!</v>
      </c>
      <c r="L261" s="46" t="e">
        <f ca="1" t="shared" si="72"/>
        <v>#VALUE!</v>
      </c>
      <c r="M261" s="46" t="e">
        <f ca="1" t="shared" si="73"/>
        <v>#VALUE!</v>
      </c>
      <c r="N261" s="46" t="e">
        <f ca="1" t="shared" si="75"/>
        <v>#VALUE!</v>
      </c>
      <c r="O261" s="46">
        <v>18</v>
      </c>
      <c r="P261" s="46">
        <f t="shared" si="77"/>
        <v>12</v>
      </c>
      <c r="Q261" s="46" t="e">
        <f ca="1" t="shared" si="61"/>
        <v>#VALUE!</v>
      </c>
      <c r="R261" s="46" t="e">
        <f ca="1">OFFSET([2]怪物强度模型!$K$1,MATCH(F261,[2]怪物强度模型!$A:$A,0)-1,0)</f>
        <v>#VALUE!</v>
      </c>
      <c r="S261" s="46" t="e">
        <f ca="1">OFFSET([2]怪物强度模型!$O$1,MATCH(F261,[2]怪物强度模型!$A:$A,0)-1,0)</f>
        <v>#VALUE!</v>
      </c>
      <c r="T261" s="47" t="e">
        <f ca="1" t="shared" si="74"/>
        <v>#VALUE!</v>
      </c>
      <c r="U261" s="47" t="e">
        <f ca="1">Q261+N261*$V$1/10000+$V$1*OFFSET(卡牌辅助配置表!$V$1,MATCH(C261,卡牌辅助配置表!U:U,0)-1,0)*5*P261/10000/10000+M261*$V$1/10000</f>
        <v>#VALUE!</v>
      </c>
      <c r="V261" s="46" t="e">
        <f ca="1">OFFSET([2]怪物强度模型!$I$1,MATCH(F261,[2]怪物强度模型!$A:$A,0)-1,0)</f>
        <v>#VALUE!</v>
      </c>
      <c r="W261" s="47">
        <f t="shared" si="78"/>
        <v>1.25</v>
      </c>
      <c r="X261" s="47">
        <f t="shared" si="79"/>
        <v>1.22</v>
      </c>
    </row>
    <row r="262" spans="1:24">
      <c r="A262" s="45">
        <f t="shared" si="69"/>
        <v>1513</v>
      </c>
      <c r="B262" s="45" t="s">
        <v>2792</v>
      </c>
      <c r="C262" s="45">
        <v>1</v>
      </c>
      <c r="D262" s="45">
        <v>513</v>
      </c>
      <c r="F262" s="46">
        <f t="shared" si="70"/>
        <v>1012</v>
      </c>
      <c r="G262" s="45">
        <f t="shared" si="76"/>
        <v>2.23</v>
      </c>
      <c r="H262" s="45">
        <v>5</v>
      </c>
      <c r="I262" s="46">
        <v>10</v>
      </c>
      <c r="J262" s="46">
        <v>20</v>
      </c>
      <c r="K262" s="46" t="e">
        <f ca="1" t="shared" si="71"/>
        <v>#VALUE!</v>
      </c>
      <c r="L262" s="46" t="e">
        <f ca="1" t="shared" si="72"/>
        <v>#VALUE!</v>
      </c>
      <c r="M262" s="46" t="e">
        <f ca="1" t="shared" si="73"/>
        <v>#VALUE!</v>
      </c>
      <c r="N262" s="46" t="e">
        <f ca="1" t="shared" si="75"/>
        <v>#VALUE!</v>
      </c>
      <c r="O262" s="46">
        <v>19</v>
      </c>
      <c r="P262" s="46">
        <f t="shared" si="77"/>
        <v>12</v>
      </c>
      <c r="Q262" s="46" t="e">
        <f ca="1" t="shared" si="61"/>
        <v>#VALUE!</v>
      </c>
      <c r="R262" s="46" t="e">
        <f ca="1">OFFSET([2]怪物强度模型!$K$1,MATCH(F262,[2]怪物强度模型!$A:$A,0)-1,0)</f>
        <v>#VALUE!</v>
      </c>
      <c r="S262" s="46" t="e">
        <f ca="1">OFFSET([2]怪物强度模型!$O$1,MATCH(F262,[2]怪物强度模型!$A:$A,0)-1,0)</f>
        <v>#VALUE!</v>
      </c>
      <c r="T262" s="47" t="e">
        <f ca="1" t="shared" si="74"/>
        <v>#VALUE!</v>
      </c>
      <c r="U262" s="47" t="e">
        <f ca="1">Q262+N262*$V$1/10000+$V$1*OFFSET(卡牌辅助配置表!$V$1,MATCH(C262,卡牌辅助配置表!U:U,0)-1,0)*5*P262/10000/10000+M262*$V$1/10000</f>
        <v>#VALUE!</v>
      </c>
      <c r="V262" s="46" t="e">
        <f ca="1">OFFSET([2]怪物强度模型!$I$1,MATCH(F262,[2]怪物强度模型!$A:$A,0)-1,0)</f>
        <v>#VALUE!</v>
      </c>
      <c r="W262" s="47">
        <f t="shared" si="78"/>
        <v>1.26</v>
      </c>
      <c r="X262" s="47">
        <f t="shared" si="79"/>
        <v>1.22</v>
      </c>
    </row>
    <row r="263" spans="1:24">
      <c r="A263" s="45">
        <f t="shared" si="69"/>
        <v>1514</v>
      </c>
      <c r="B263" s="45" t="s">
        <v>2792</v>
      </c>
      <c r="C263" s="45">
        <v>1</v>
      </c>
      <c r="D263" s="45">
        <v>514</v>
      </c>
      <c r="F263" s="46">
        <f t="shared" si="70"/>
        <v>1012</v>
      </c>
      <c r="G263" s="45">
        <f t="shared" si="76"/>
        <v>2.28</v>
      </c>
      <c r="H263" s="45">
        <v>5</v>
      </c>
      <c r="I263" s="46">
        <v>10</v>
      </c>
      <c r="J263" s="46">
        <v>20</v>
      </c>
      <c r="K263" s="46" t="e">
        <f ca="1" t="shared" si="71"/>
        <v>#VALUE!</v>
      </c>
      <c r="L263" s="46" t="e">
        <f ca="1" t="shared" si="72"/>
        <v>#VALUE!</v>
      </c>
      <c r="M263" s="46" t="e">
        <f ca="1" t="shared" si="73"/>
        <v>#VALUE!</v>
      </c>
      <c r="N263" s="46" t="e">
        <f ca="1" t="shared" si="75"/>
        <v>#VALUE!</v>
      </c>
      <c r="O263" s="46">
        <v>20</v>
      </c>
      <c r="P263" s="46">
        <f t="shared" si="77"/>
        <v>12</v>
      </c>
      <c r="Q263" s="46" t="e">
        <f ca="1" t="shared" ref="Q263:Q326" si="80">G263*(R263+S263-N263)*V263</f>
        <v>#VALUE!</v>
      </c>
      <c r="R263" s="46" t="e">
        <f ca="1">OFFSET([2]怪物强度模型!$K$1,MATCH(F263,[2]怪物强度模型!$A:$A,0)-1,0)</f>
        <v>#VALUE!</v>
      </c>
      <c r="S263" s="46" t="e">
        <f ca="1">OFFSET([2]怪物强度模型!$O$1,MATCH(F263,[2]怪物强度模型!$A:$A,0)-1,0)</f>
        <v>#VALUE!</v>
      </c>
      <c r="T263" s="47" t="e">
        <f ca="1" t="shared" si="74"/>
        <v>#VALUE!</v>
      </c>
      <c r="U263" s="47" t="e">
        <f ca="1">Q263+N263*$V$1/10000+$V$1*OFFSET(卡牌辅助配置表!$V$1,MATCH(C263,卡牌辅助配置表!U:U,0)-1,0)*5*P263/10000/10000+M263*$V$1/10000</f>
        <v>#VALUE!</v>
      </c>
      <c r="V263" s="46" t="e">
        <f ca="1">OFFSET([2]怪物强度模型!$I$1,MATCH(F263,[2]怪物强度模型!$A:$A,0)-1,0)</f>
        <v>#VALUE!</v>
      </c>
      <c r="W263" s="47">
        <f t="shared" si="78"/>
        <v>1.26</v>
      </c>
      <c r="X263" s="47">
        <f t="shared" si="79"/>
        <v>1.22</v>
      </c>
    </row>
    <row r="264" spans="1:24">
      <c r="A264" s="45">
        <f t="shared" si="69"/>
        <v>1515</v>
      </c>
      <c r="B264" s="45" t="s">
        <v>2792</v>
      </c>
      <c r="C264" s="45">
        <v>1</v>
      </c>
      <c r="D264" s="45">
        <v>515</v>
      </c>
      <c r="F264" s="46">
        <f t="shared" si="70"/>
        <v>1012</v>
      </c>
      <c r="G264" s="45">
        <f t="shared" si="76"/>
        <v>2.33</v>
      </c>
      <c r="H264" s="45">
        <v>5</v>
      </c>
      <c r="I264" s="46">
        <v>10</v>
      </c>
      <c r="J264" s="46">
        <v>20</v>
      </c>
      <c r="K264" s="46" t="e">
        <f ca="1" t="shared" si="71"/>
        <v>#VALUE!</v>
      </c>
      <c r="L264" s="46" t="e">
        <f ca="1" t="shared" si="72"/>
        <v>#VALUE!</v>
      </c>
      <c r="M264" s="46" t="e">
        <f ca="1" t="shared" si="73"/>
        <v>#VALUE!</v>
      </c>
      <c r="N264" s="46" t="e">
        <f ca="1" t="shared" si="75"/>
        <v>#VALUE!</v>
      </c>
      <c r="O264" s="46">
        <v>21</v>
      </c>
      <c r="P264" s="46">
        <f t="shared" si="77"/>
        <v>12</v>
      </c>
      <c r="Q264" s="46" t="e">
        <f ca="1" t="shared" si="80"/>
        <v>#VALUE!</v>
      </c>
      <c r="R264" s="46" t="e">
        <f ca="1">OFFSET([2]怪物强度模型!$K$1,MATCH(F264,[2]怪物强度模型!$A:$A,0)-1,0)</f>
        <v>#VALUE!</v>
      </c>
      <c r="S264" s="46" t="e">
        <f ca="1">OFFSET([2]怪物强度模型!$O$1,MATCH(F264,[2]怪物强度模型!$A:$A,0)-1,0)</f>
        <v>#VALUE!</v>
      </c>
      <c r="T264" s="47" t="e">
        <f ca="1" t="shared" si="74"/>
        <v>#VALUE!</v>
      </c>
      <c r="U264" s="47" t="e">
        <f ca="1">Q264+N264*$V$1/10000+$V$1*OFFSET(卡牌辅助配置表!$V$1,MATCH(C264,卡牌辅助配置表!U:U,0)-1,0)*5*P264/10000/10000+M264*$V$1/10000</f>
        <v>#VALUE!</v>
      </c>
      <c r="V264" s="46" t="e">
        <f ca="1">OFFSET([2]怪物强度模型!$I$1,MATCH(F264,[2]怪物强度模型!$A:$A,0)-1,0)</f>
        <v>#VALUE!</v>
      </c>
      <c r="W264" s="47">
        <f t="shared" si="78"/>
        <v>1.26</v>
      </c>
      <c r="X264" s="47">
        <f t="shared" si="79"/>
        <v>1.22</v>
      </c>
    </row>
    <row r="265" spans="1:24">
      <c r="A265" s="45">
        <f t="shared" si="69"/>
        <v>1516</v>
      </c>
      <c r="B265" s="45" t="s">
        <v>2792</v>
      </c>
      <c r="C265" s="45">
        <v>1</v>
      </c>
      <c r="D265" s="45">
        <v>516</v>
      </c>
      <c r="F265" s="46">
        <f t="shared" si="70"/>
        <v>1012</v>
      </c>
      <c r="G265" s="45">
        <f t="shared" si="76"/>
        <v>2.38</v>
      </c>
      <c r="H265" s="45">
        <v>5</v>
      </c>
      <c r="I265" s="46">
        <v>10</v>
      </c>
      <c r="J265" s="46">
        <v>20</v>
      </c>
      <c r="K265" s="46" t="e">
        <f ca="1" t="shared" si="71"/>
        <v>#VALUE!</v>
      </c>
      <c r="L265" s="46" t="e">
        <f ca="1" t="shared" si="72"/>
        <v>#VALUE!</v>
      </c>
      <c r="M265" s="46" t="e">
        <f ca="1" t="shared" si="73"/>
        <v>#VALUE!</v>
      </c>
      <c r="N265" s="46" t="e">
        <f ca="1" t="shared" si="75"/>
        <v>#VALUE!</v>
      </c>
      <c r="O265" s="46">
        <v>22</v>
      </c>
      <c r="P265" s="46">
        <f t="shared" si="77"/>
        <v>12</v>
      </c>
      <c r="Q265" s="46" t="e">
        <f ca="1" t="shared" si="80"/>
        <v>#VALUE!</v>
      </c>
      <c r="R265" s="46" t="e">
        <f ca="1">OFFSET([2]怪物强度模型!$K$1,MATCH(F265,[2]怪物强度模型!$A:$A,0)-1,0)</f>
        <v>#VALUE!</v>
      </c>
      <c r="S265" s="46" t="e">
        <f ca="1">OFFSET([2]怪物强度模型!$O$1,MATCH(F265,[2]怪物强度模型!$A:$A,0)-1,0)</f>
        <v>#VALUE!</v>
      </c>
      <c r="T265" s="47" t="e">
        <f ca="1" t="shared" si="74"/>
        <v>#VALUE!</v>
      </c>
      <c r="U265" s="47" t="e">
        <f ca="1">Q265+N265*$V$1/10000+$V$1*OFFSET(卡牌辅助配置表!$V$1,MATCH(C265,卡牌辅助配置表!U:U,0)-1,0)*5*P265/10000/10000+M265*$V$1/10000</f>
        <v>#VALUE!</v>
      </c>
      <c r="V265" s="46" t="e">
        <f ca="1">OFFSET([2]怪物强度模型!$I$1,MATCH(F265,[2]怪物强度模型!$A:$A,0)-1,0)</f>
        <v>#VALUE!</v>
      </c>
      <c r="W265" s="47">
        <f t="shared" si="78"/>
        <v>1.27</v>
      </c>
      <c r="X265" s="47">
        <f t="shared" si="79"/>
        <v>1.22</v>
      </c>
    </row>
    <row r="266" spans="1:24">
      <c r="A266" s="45">
        <f t="shared" si="69"/>
        <v>1517</v>
      </c>
      <c r="B266" s="45" t="s">
        <v>2792</v>
      </c>
      <c r="C266" s="45">
        <v>1</v>
      </c>
      <c r="D266" s="45">
        <v>517</v>
      </c>
      <c r="F266" s="46">
        <f t="shared" si="70"/>
        <v>1012</v>
      </c>
      <c r="G266" s="45">
        <f t="shared" si="76"/>
        <v>2.43</v>
      </c>
      <c r="H266" s="45">
        <v>5</v>
      </c>
      <c r="I266" s="46">
        <v>10</v>
      </c>
      <c r="J266" s="46">
        <v>20</v>
      </c>
      <c r="K266" s="46" t="e">
        <f ca="1" t="shared" si="71"/>
        <v>#VALUE!</v>
      </c>
      <c r="L266" s="46" t="e">
        <f ca="1" t="shared" si="72"/>
        <v>#VALUE!</v>
      </c>
      <c r="M266" s="46" t="e">
        <f ca="1" t="shared" si="73"/>
        <v>#VALUE!</v>
      </c>
      <c r="N266" s="46" t="e">
        <f ca="1" t="shared" si="75"/>
        <v>#VALUE!</v>
      </c>
      <c r="O266" s="46">
        <v>23</v>
      </c>
      <c r="P266" s="46">
        <f t="shared" si="77"/>
        <v>12</v>
      </c>
      <c r="Q266" s="46" t="e">
        <f ca="1" t="shared" si="80"/>
        <v>#VALUE!</v>
      </c>
      <c r="R266" s="46" t="e">
        <f ca="1">OFFSET([2]怪物强度模型!$K$1,MATCH(F266,[2]怪物强度模型!$A:$A,0)-1,0)</f>
        <v>#VALUE!</v>
      </c>
      <c r="S266" s="46" t="e">
        <f ca="1">OFFSET([2]怪物强度模型!$O$1,MATCH(F266,[2]怪物强度模型!$A:$A,0)-1,0)</f>
        <v>#VALUE!</v>
      </c>
      <c r="T266" s="47" t="e">
        <f ca="1" t="shared" si="74"/>
        <v>#VALUE!</v>
      </c>
      <c r="U266" s="47" t="e">
        <f ca="1">Q266+N266*$V$1/10000+$V$1*OFFSET(卡牌辅助配置表!$V$1,MATCH(C266,卡牌辅助配置表!U:U,0)-1,0)*5*P266/10000/10000+M266*$V$1/10000</f>
        <v>#VALUE!</v>
      </c>
      <c r="V266" s="46" t="e">
        <f ca="1">OFFSET([2]怪物强度模型!$I$1,MATCH(F266,[2]怪物强度模型!$A:$A,0)-1,0)</f>
        <v>#VALUE!</v>
      </c>
      <c r="W266" s="47">
        <f t="shared" si="78"/>
        <v>1.27</v>
      </c>
      <c r="X266" s="47">
        <f t="shared" si="79"/>
        <v>1.22</v>
      </c>
    </row>
    <row r="267" spans="1:24">
      <c r="A267" s="45">
        <f t="shared" si="69"/>
        <v>1518</v>
      </c>
      <c r="B267" s="45" t="s">
        <v>2792</v>
      </c>
      <c r="C267" s="45">
        <v>1</v>
      </c>
      <c r="D267" s="45">
        <v>518</v>
      </c>
      <c r="F267" s="46">
        <f t="shared" si="70"/>
        <v>1012</v>
      </c>
      <c r="G267" s="45">
        <f t="shared" si="76"/>
        <v>2.48</v>
      </c>
      <c r="H267" s="45">
        <v>5</v>
      </c>
      <c r="I267" s="46">
        <v>10</v>
      </c>
      <c r="J267" s="46">
        <v>20</v>
      </c>
      <c r="K267" s="46" t="e">
        <f ca="1" t="shared" si="71"/>
        <v>#VALUE!</v>
      </c>
      <c r="L267" s="46" t="e">
        <f ca="1" t="shared" si="72"/>
        <v>#VALUE!</v>
      </c>
      <c r="M267" s="46" t="e">
        <f ca="1" t="shared" si="73"/>
        <v>#VALUE!</v>
      </c>
      <c r="N267" s="46" t="e">
        <f ca="1" t="shared" si="75"/>
        <v>#VALUE!</v>
      </c>
      <c r="O267" s="46">
        <v>24</v>
      </c>
      <c r="P267" s="46">
        <f t="shared" si="77"/>
        <v>12</v>
      </c>
      <c r="Q267" s="46" t="e">
        <f ca="1" t="shared" si="80"/>
        <v>#VALUE!</v>
      </c>
      <c r="R267" s="46" t="e">
        <f ca="1">OFFSET([2]怪物强度模型!$K$1,MATCH(F267,[2]怪物强度模型!$A:$A,0)-1,0)</f>
        <v>#VALUE!</v>
      </c>
      <c r="S267" s="46" t="e">
        <f ca="1">OFFSET([2]怪物强度模型!$O$1,MATCH(F267,[2]怪物强度模型!$A:$A,0)-1,0)</f>
        <v>#VALUE!</v>
      </c>
      <c r="T267" s="47" t="e">
        <f ca="1" t="shared" si="74"/>
        <v>#VALUE!</v>
      </c>
      <c r="U267" s="47" t="e">
        <f ca="1">Q267+N267*$V$1/10000+$V$1*OFFSET(卡牌辅助配置表!$V$1,MATCH(C267,卡牌辅助配置表!U:U,0)-1,0)*5*P267/10000/10000+M267*$V$1/10000</f>
        <v>#VALUE!</v>
      </c>
      <c r="V267" s="46" t="e">
        <f ca="1">OFFSET([2]怪物强度模型!$I$1,MATCH(F267,[2]怪物强度模型!$A:$A,0)-1,0)</f>
        <v>#VALUE!</v>
      </c>
      <c r="W267" s="47">
        <f t="shared" si="78"/>
        <v>1.27</v>
      </c>
      <c r="X267" s="47">
        <f t="shared" si="79"/>
        <v>1.22</v>
      </c>
    </row>
    <row r="268" spans="1:24">
      <c r="A268" s="45">
        <f t="shared" si="69"/>
        <v>1519</v>
      </c>
      <c r="B268" s="45" t="s">
        <v>2792</v>
      </c>
      <c r="C268" s="45">
        <v>1</v>
      </c>
      <c r="D268" s="45">
        <v>519</v>
      </c>
      <c r="F268" s="46">
        <f t="shared" si="70"/>
        <v>1012</v>
      </c>
      <c r="G268" s="45">
        <f>G258+0.1</f>
        <v>4.1</v>
      </c>
      <c r="H268" s="45">
        <v>5</v>
      </c>
      <c r="I268" s="46">
        <v>10</v>
      </c>
      <c r="J268" s="46">
        <v>20</v>
      </c>
      <c r="K268" s="46" t="e">
        <f ca="1" t="shared" si="71"/>
        <v>#VALUE!</v>
      </c>
      <c r="L268" s="46" t="e">
        <f ca="1" t="shared" si="72"/>
        <v>#VALUE!</v>
      </c>
      <c r="M268" s="46" t="e">
        <f ca="1" t="shared" si="73"/>
        <v>#VALUE!</v>
      </c>
      <c r="N268" s="46" t="e">
        <f ca="1" t="shared" si="75"/>
        <v>#VALUE!</v>
      </c>
      <c r="O268" s="46">
        <v>25</v>
      </c>
      <c r="P268" s="46">
        <f t="shared" si="77"/>
        <v>12</v>
      </c>
      <c r="Q268" s="46" t="e">
        <f ca="1" t="shared" si="80"/>
        <v>#VALUE!</v>
      </c>
      <c r="R268" s="46" t="e">
        <f ca="1">OFFSET([2]怪物强度模型!$K$1,MATCH(F268,[2]怪物强度模型!$A:$A,0)-1,0)</f>
        <v>#VALUE!</v>
      </c>
      <c r="S268" s="46" t="e">
        <f ca="1">OFFSET([2]怪物强度模型!$O$1,MATCH(F268,[2]怪物强度模型!$A:$A,0)-1,0)</f>
        <v>#VALUE!</v>
      </c>
      <c r="T268" s="47" t="e">
        <f ca="1" t="shared" si="74"/>
        <v>#VALUE!</v>
      </c>
      <c r="U268" s="47" t="e">
        <f ca="1">Q268+N268*$V$1/10000+$V$1*OFFSET(卡牌辅助配置表!$V$1,MATCH(C268,卡牌辅助配置表!U:U,0)-1,0)*5*P268/10000/10000+M268*$V$1/10000</f>
        <v>#VALUE!</v>
      </c>
      <c r="V268" s="46" t="e">
        <f ca="1">OFFSET([2]怪物强度模型!$I$1,MATCH(F268,[2]怪物强度模型!$A:$A,0)-1,0)</f>
        <v>#VALUE!</v>
      </c>
      <c r="W268" s="47">
        <f t="shared" si="78"/>
        <v>1.4</v>
      </c>
      <c r="X268" s="47">
        <f t="shared" si="79"/>
        <v>1.22</v>
      </c>
    </row>
    <row r="269" spans="1:24">
      <c r="A269" s="45">
        <f t="shared" si="69"/>
        <v>1520</v>
      </c>
      <c r="B269" s="45" t="s">
        <v>2792</v>
      </c>
      <c r="C269" s="45">
        <v>1</v>
      </c>
      <c r="D269" s="45">
        <v>520</v>
      </c>
      <c r="F269" s="46">
        <f t="shared" si="70"/>
        <v>1013</v>
      </c>
      <c r="G269" s="45">
        <f t="shared" ref="G269:G277" si="81">G259+0.03</f>
        <v>2.06</v>
      </c>
      <c r="H269" s="45">
        <v>5</v>
      </c>
      <c r="I269" s="46">
        <v>10</v>
      </c>
      <c r="J269" s="46">
        <v>20</v>
      </c>
      <c r="K269" s="46" t="e">
        <f ca="1" t="shared" si="71"/>
        <v>#VALUE!</v>
      </c>
      <c r="L269" s="46" t="e">
        <f ca="1" t="shared" si="72"/>
        <v>#VALUE!</v>
      </c>
      <c r="M269" s="46" t="e">
        <f ca="1" t="shared" si="73"/>
        <v>#VALUE!</v>
      </c>
      <c r="N269" s="46" t="e">
        <f ca="1" t="shared" si="75"/>
        <v>#VALUE!</v>
      </c>
      <c r="O269" s="46">
        <v>26</v>
      </c>
      <c r="P269" s="46">
        <f t="shared" si="77"/>
        <v>13</v>
      </c>
      <c r="Q269" s="46" t="e">
        <f ca="1" t="shared" si="80"/>
        <v>#VALUE!</v>
      </c>
      <c r="R269" s="46" t="e">
        <f ca="1">OFFSET([2]怪物强度模型!$K$1,MATCH(F269,[2]怪物强度模型!$A:$A,0)-1,0)</f>
        <v>#VALUE!</v>
      </c>
      <c r="S269" s="46" t="e">
        <f ca="1">OFFSET([2]怪物强度模型!$O$1,MATCH(F269,[2]怪物强度模型!$A:$A,0)-1,0)</f>
        <v>#VALUE!</v>
      </c>
      <c r="T269" s="47" t="e">
        <f ca="1" t="shared" si="74"/>
        <v>#VALUE!</v>
      </c>
      <c r="U269" s="47" t="e">
        <f ca="1">Q269+N269*$V$1/10000+$V$1*OFFSET(卡牌辅助配置表!$V$1,MATCH(C269,卡牌辅助配置表!U:U,0)-1,0)*5*P269/10000/10000+M269*$V$1/10000</f>
        <v>#VALUE!</v>
      </c>
      <c r="V269" s="46" t="e">
        <f ca="1">OFFSET([2]怪物强度模型!$I$1,MATCH(F269,[2]怪物强度模型!$A:$A,0)-1,0)</f>
        <v>#VALUE!</v>
      </c>
      <c r="W269" s="47">
        <f t="shared" si="78"/>
        <v>1.3</v>
      </c>
      <c r="X269" s="47">
        <f t="shared" si="79"/>
        <v>1.24</v>
      </c>
    </row>
    <row r="270" spans="1:24">
      <c r="A270" s="45">
        <f t="shared" si="69"/>
        <v>1521</v>
      </c>
      <c r="B270" s="45" t="s">
        <v>2792</v>
      </c>
      <c r="C270" s="45">
        <v>1</v>
      </c>
      <c r="D270" s="45">
        <v>521</v>
      </c>
      <c r="F270" s="46">
        <f t="shared" si="70"/>
        <v>1013</v>
      </c>
      <c r="G270" s="45">
        <f t="shared" si="81"/>
        <v>2.16</v>
      </c>
      <c r="H270" s="45">
        <v>5</v>
      </c>
      <c r="I270" s="46">
        <v>10</v>
      </c>
      <c r="J270" s="46">
        <v>20</v>
      </c>
      <c r="K270" s="46" t="e">
        <f ca="1" t="shared" si="71"/>
        <v>#VALUE!</v>
      </c>
      <c r="L270" s="46" t="e">
        <f ca="1" t="shared" si="72"/>
        <v>#VALUE!</v>
      </c>
      <c r="M270" s="46" t="e">
        <f ca="1" t="shared" si="73"/>
        <v>#VALUE!</v>
      </c>
      <c r="N270" s="46" t="e">
        <f ca="1" t="shared" si="75"/>
        <v>#VALUE!</v>
      </c>
      <c r="O270" s="46">
        <v>27</v>
      </c>
      <c r="P270" s="46">
        <f t="shared" si="77"/>
        <v>13</v>
      </c>
      <c r="Q270" s="46" t="e">
        <f ca="1" t="shared" si="80"/>
        <v>#VALUE!</v>
      </c>
      <c r="R270" s="46" t="e">
        <f ca="1">OFFSET([2]怪物强度模型!$K$1,MATCH(F270,[2]怪物强度模型!$A:$A,0)-1,0)</f>
        <v>#VALUE!</v>
      </c>
      <c r="S270" s="46" t="e">
        <f ca="1">OFFSET([2]怪物强度模型!$O$1,MATCH(F270,[2]怪物强度模型!$A:$A,0)-1,0)</f>
        <v>#VALUE!</v>
      </c>
      <c r="T270" s="47" t="e">
        <f ca="1" t="shared" si="74"/>
        <v>#VALUE!</v>
      </c>
      <c r="U270" s="47" t="e">
        <f ca="1">Q270+N270*$V$1/10000+$V$1*OFFSET(卡牌辅助配置表!$V$1,MATCH(C270,卡牌辅助配置表!U:U,0)-1,0)*5*P270/10000/10000+M270*$V$1/10000</f>
        <v>#VALUE!</v>
      </c>
      <c r="V270" s="46" t="e">
        <f ca="1">OFFSET([2]怪物强度模型!$I$1,MATCH(F270,[2]怪物强度模型!$A:$A,0)-1,0)</f>
        <v>#VALUE!</v>
      </c>
      <c r="W270" s="47">
        <f t="shared" si="78"/>
        <v>1.3</v>
      </c>
      <c r="X270" s="47">
        <f t="shared" si="79"/>
        <v>1.24</v>
      </c>
    </row>
    <row r="271" spans="1:24">
      <c r="A271" s="45">
        <f t="shared" si="69"/>
        <v>1522</v>
      </c>
      <c r="B271" s="45" t="s">
        <v>2792</v>
      </c>
      <c r="C271" s="45">
        <v>1</v>
      </c>
      <c r="D271" s="45">
        <v>522</v>
      </c>
      <c r="F271" s="46">
        <f t="shared" si="70"/>
        <v>1013</v>
      </c>
      <c r="G271" s="45">
        <f t="shared" si="81"/>
        <v>2.21</v>
      </c>
      <c r="H271" s="45">
        <v>5</v>
      </c>
      <c r="I271" s="46">
        <v>10</v>
      </c>
      <c r="J271" s="46">
        <v>20</v>
      </c>
      <c r="K271" s="46" t="e">
        <f ca="1" t="shared" si="71"/>
        <v>#VALUE!</v>
      </c>
      <c r="L271" s="46" t="e">
        <f ca="1" t="shared" si="72"/>
        <v>#VALUE!</v>
      </c>
      <c r="M271" s="46" t="e">
        <f ca="1" t="shared" si="73"/>
        <v>#VALUE!</v>
      </c>
      <c r="N271" s="46" t="e">
        <f ca="1" t="shared" si="75"/>
        <v>#VALUE!</v>
      </c>
      <c r="O271" s="46">
        <v>28</v>
      </c>
      <c r="P271" s="46">
        <f t="shared" si="77"/>
        <v>13</v>
      </c>
      <c r="Q271" s="46" t="e">
        <f ca="1" t="shared" si="80"/>
        <v>#VALUE!</v>
      </c>
      <c r="R271" s="46" t="e">
        <f ca="1">OFFSET([2]怪物强度模型!$K$1,MATCH(F271,[2]怪物强度模型!$A:$A,0)-1,0)</f>
        <v>#VALUE!</v>
      </c>
      <c r="S271" s="46" t="e">
        <f ca="1">OFFSET([2]怪物强度模型!$O$1,MATCH(F271,[2]怪物强度模型!$A:$A,0)-1,0)</f>
        <v>#VALUE!</v>
      </c>
      <c r="T271" s="47" t="e">
        <f ca="1" t="shared" si="74"/>
        <v>#VALUE!</v>
      </c>
      <c r="U271" s="47" t="e">
        <f ca="1">Q271+N271*$V$1/10000+$V$1*OFFSET(卡牌辅助配置表!$V$1,MATCH(C271,卡牌辅助配置表!U:U,0)-1,0)*5*P271/10000/10000+M271*$V$1/10000</f>
        <v>#VALUE!</v>
      </c>
      <c r="V271" s="46" t="e">
        <f ca="1">OFFSET([2]怪物强度模型!$I$1,MATCH(F271,[2]怪物强度模型!$A:$A,0)-1,0)</f>
        <v>#VALUE!</v>
      </c>
      <c r="W271" s="47">
        <f t="shared" si="78"/>
        <v>1.3</v>
      </c>
      <c r="X271" s="47">
        <f t="shared" si="79"/>
        <v>1.24</v>
      </c>
    </row>
    <row r="272" spans="1:24">
      <c r="A272" s="45">
        <f t="shared" si="69"/>
        <v>1523</v>
      </c>
      <c r="B272" s="45" t="s">
        <v>2792</v>
      </c>
      <c r="C272" s="45">
        <v>1</v>
      </c>
      <c r="D272" s="45">
        <v>523</v>
      </c>
      <c r="F272" s="46">
        <f t="shared" si="70"/>
        <v>1013</v>
      </c>
      <c r="G272" s="45">
        <f t="shared" si="81"/>
        <v>2.26</v>
      </c>
      <c r="H272" s="45">
        <v>5</v>
      </c>
      <c r="I272" s="46">
        <v>10</v>
      </c>
      <c r="J272" s="46">
        <v>20</v>
      </c>
      <c r="K272" s="46" t="e">
        <f ca="1" t="shared" si="71"/>
        <v>#VALUE!</v>
      </c>
      <c r="L272" s="46" t="e">
        <f ca="1" t="shared" si="72"/>
        <v>#VALUE!</v>
      </c>
      <c r="M272" s="46" t="e">
        <f ca="1" t="shared" si="73"/>
        <v>#VALUE!</v>
      </c>
      <c r="N272" s="46" t="e">
        <f ca="1" t="shared" si="75"/>
        <v>#VALUE!</v>
      </c>
      <c r="O272" s="46">
        <v>29</v>
      </c>
      <c r="P272" s="46">
        <f t="shared" si="77"/>
        <v>13</v>
      </c>
      <c r="Q272" s="46" t="e">
        <f ca="1" t="shared" si="80"/>
        <v>#VALUE!</v>
      </c>
      <c r="R272" s="46" t="e">
        <f ca="1">OFFSET([2]怪物强度模型!$K$1,MATCH(F272,[2]怪物强度模型!$A:$A,0)-1,0)</f>
        <v>#VALUE!</v>
      </c>
      <c r="S272" s="46" t="e">
        <f ca="1">OFFSET([2]怪物强度模型!$O$1,MATCH(F272,[2]怪物强度模型!$A:$A,0)-1,0)</f>
        <v>#VALUE!</v>
      </c>
      <c r="T272" s="47" t="e">
        <f ca="1" t="shared" si="74"/>
        <v>#VALUE!</v>
      </c>
      <c r="U272" s="47" t="e">
        <f ca="1">Q272+N272*$V$1/10000+$V$1*OFFSET(卡牌辅助配置表!$V$1,MATCH(C272,卡牌辅助配置表!U:U,0)-1,0)*5*P272/10000/10000+M272*$V$1/10000</f>
        <v>#VALUE!</v>
      </c>
      <c r="V272" s="46" t="e">
        <f ca="1">OFFSET([2]怪物强度模型!$I$1,MATCH(F272,[2]怪物强度模型!$A:$A,0)-1,0)</f>
        <v>#VALUE!</v>
      </c>
      <c r="W272" s="47">
        <f t="shared" si="78"/>
        <v>1.31</v>
      </c>
      <c r="X272" s="47">
        <f t="shared" si="79"/>
        <v>1.24</v>
      </c>
    </row>
    <row r="273" spans="1:24">
      <c r="A273" s="45">
        <f t="shared" si="69"/>
        <v>1524</v>
      </c>
      <c r="B273" s="45" t="s">
        <v>2792</v>
      </c>
      <c r="C273" s="45">
        <v>1</v>
      </c>
      <c r="D273" s="45">
        <v>524</v>
      </c>
      <c r="F273" s="46">
        <f t="shared" si="70"/>
        <v>1013</v>
      </c>
      <c r="G273" s="45">
        <f t="shared" si="81"/>
        <v>2.31</v>
      </c>
      <c r="H273" s="45">
        <v>5</v>
      </c>
      <c r="I273" s="46">
        <v>10</v>
      </c>
      <c r="J273" s="46">
        <v>20</v>
      </c>
      <c r="K273" s="46" t="e">
        <f ca="1" t="shared" si="71"/>
        <v>#VALUE!</v>
      </c>
      <c r="L273" s="46" t="e">
        <f ca="1" t="shared" si="72"/>
        <v>#VALUE!</v>
      </c>
      <c r="M273" s="46" t="e">
        <f ca="1" t="shared" si="73"/>
        <v>#VALUE!</v>
      </c>
      <c r="N273" s="46" t="e">
        <f ca="1" t="shared" si="75"/>
        <v>#VALUE!</v>
      </c>
      <c r="O273" s="46">
        <v>30</v>
      </c>
      <c r="P273" s="46">
        <f t="shared" si="77"/>
        <v>13</v>
      </c>
      <c r="Q273" s="46" t="e">
        <f ca="1" t="shared" si="80"/>
        <v>#VALUE!</v>
      </c>
      <c r="R273" s="46" t="e">
        <f ca="1">OFFSET([2]怪物强度模型!$K$1,MATCH(F273,[2]怪物强度模型!$A:$A,0)-1,0)</f>
        <v>#VALUE!</v>
      </c>
      <c r="S273" s="46" t="e">
        <f ca="1">OFFSET([2]怪物强度模型!$O$1,MATCH(F273,[2]怪物强度模型!$A:$A,0)-1,0)</f>
        <v>#VALUE!</v>
      </c>
      <c r="T273" s="47" t="e">
        <f ca="1" t="shared" si="74"/>
        <v>#VALUE!</v>
      </c>
      <c r="U273" s="47" t="e">
        <f ca="1">Q273+N273*$V$1/10000+$V$1*OFFSET(卡牌辅助配置表!$V$1,MATCH(C273,卡牌辅助配置表!U:U,0)-1,0)*5*P273/10000/10000+M273*$V$1/10000</f>
        <v>#VALUE!</v>
      </c>
      <c r="V273" s="46" t="e">
        <f ca="1">OFFSET([2]怪物强度模型!$I$1,MATCH(F273,[2]怪物强度模型!$A:$A,0)-1,0)</f>
        <v>#VALUE!</v>
      </c>
      <c r="W273" s="47">
        <f t="shared" si="78"/>
        <v>1.31</v>
      </c>
      <c r="X273" s="47">
        <f t="shared" si="79"/>
        <v>1.24</v>
      </c>
    </row>
    <row r="274" spans="1:24">
      <c r="A274" s="45">
        <f t="shared" si="69"/>
        <v>1525</v>
      </c>
      <c r="B274" s="45" t="s">
        <v>2792</v>
      </c>
      <c r="C274" s="45">
        <v>1</v>
      </c>
      <c r="D274" s="45">
        <v>525</v>
      </c>
      <c r="F274" s="46">
        <f t="shared" si="70"/>
        <v>1013</v>
      </c>
      <c r="G274" s="45">
        <f t="shared" si="81"/>
        <v>2.36</v>
      </c>
      <c r="H274" s="45">
        <v>5</v>
      </c>
      <c r="I274" s="46">
        <v>10</v>
      </c>
      <c r="J274" s="46">
        <v>20</v>
      </c>
      <c r="K274" s="46" t="e">
        <f ca="1" t="shared" si="71"/>
        <v>#VALUE!</v>
      </c>
      <c r="L274" s="46" t="e">
        <f ca="1" t="shared" si="72"/>
        <v>#VALUE!</v>
      </c>
      <c r="M274" s="46" t="e">
        <f ca="1" t="shared" si="73"/>
        <v>#VALUE!</v>
      </c>
      <c r="N274" s="46" t="e">
        <f ca="1" t="shared" si="75"/>
        <v>#VALUE!</v>
      </c>
      <c r="O274" s="46">
        <v>31</v>
      </c>
      <c r="P274" s="46">
        <f t="shared" si="77"/>
        <v>13</v>
      </c>
      <c r="Q274" s="46" t="e">
        <f ca="1" t="shared" si="80"/>
        <v>#VALUE!</v>
      </c>
      <c r="R274" s="46" t="e">
        <f ca="1">OFFSET([2]怪物强度模型!$K$1,MATCH(F274,[2]怪物强度模型!$A:$A,0)-1,0)</f>
        <v>#VALUE!</v>
      </c>
      <c r="S274" s="46" t="e">
        <f ca="1">OFFSET([2]怪物强度模型!$O$1,MATCH(F274,[2]怪物强度模型!$A:$A,0)-1,0)</f>
        <v>#VALUE!</v>
      </c>
      <c r="T274" s="47" t="e">
        <f ca="1" t="shared" si="74"/>
        <v>#VALUE!</v>
      </c>
      <c r="U274" s="47" t="e">
        <f ca="1">Q274+N274*$V$1/10000+$V$1*OFFSET(卡牌辅助配置表!$V$1,MATCH(C274,卡牌辅助配置表!U:U,0)-1,0)*5*P274/10000/10000+M274*$V$1/10000</f>
        <v>#VALUE!</v>
      </c>
      <c r="V274" s="46" t="e">
        <f ca="1">OFFSET([2]怪物强度模型!$I$1,MATCH(F274,[2]怪物强度模型!$A:$A,0)-1,0)</f>
        <v>#VALUE!</v>
      </c>
      <c r="W274" s="47">
        <f t="shared" si="78"/>
        <v>1.31</v>
      </c>
      <c r="X274" s="47">
        <f t="shared" si="79"/>
        <v>1.24</v>
      </c>
    </row>
    <row r="275" spans="1:24">
      <c r="A275" s="45">
        <f t="shared" si="69"/>
        <v>1526</v>
      </c>
      <c r="B275" s="45" t="s">
        <v>2792</v>
      </c>
      <c r="C275" s="45">
        <v>1</v>
      </c>
      <c r="D275" s="45">
        <v>526</v>
      </c>
      <c r="F275" s="46">
        <f t="shared" si="70"/>
        <v>1013</v>
      </c>
      <c r="G275" s="45">
        <f t="shared" si="81"/>
        <v>2.41</v>
      </c>
      <c r="H275" s="45">
        <v>5</v>
      </c>
      <c r="I275" s="46">
        <v>10</v>
      </c>
      <c r="J275" s="46">
        <v>20</v>
      </c>
      <c r="K275" s="46" t="e">
        <f ca="1" t="shared" si="71"/>
        <v>#VALUE!</v>
      </c>
      <c r="L275" s="46" t="e">
        <f ca="1" t="shared" si="72"/>
        <v>#VALUE!</v>
      </c>
      <c r="M275" s="46" t="e">
        <f ca="1" t="shared" si="73"/>
        <v>#VALUE!</v>
      </c>
      <c r="N275" s="46" t="e">
        <f ca="1" t="shared" si="75"/>
        <v>#VALUE!</v>
      </c>
      <c r="O275" s="46">
        <v>32</v>
      </c>
      <c r="P275" s="46">
        <f t="shared" si="77"/>
        <v>13</v>
      </c>
      <c r="Q275" s="46" t="e">
        <f ca="1" t="shared" si="80"/>
        <v>#VALUE!</v>
      </c>
      <c r="R275" s="46" t="e">
        <f ca="1">OFFSET([2]怪物强度模型!$K$1,MATCH(F275,[2]怪物强度模型!$A:$A,0)-1,0)</f>
        <v>#VALUE!</v>
      </c>
      <c r="S275" s="46" t="e">
        <f ca="1">OFFSET([2]怪物强度模型!$O$1,MATCH(F275,[2]怪物强度模型!$A:$A,0)-1,0)</f>
        <v>#VALUE!</v>
      </c>
      <c r="T275" s="47" t="e">
        <f ca="1" t="shared" si="74"/>
        <v>#VALUE!</v>
      </c>
      <c r="U275" s="47" t="e">
        <f ca="1">Q275+N275*$V$1/10000+$V$1*OFFSET(卡牌辅助配置表!$V$1,MATCH(C275,卡牌辅助配置表!U:U,0)-1,0)*5*P275/10000/10000+M275*$V$1/10000</f>
        <v>#VALUE!</v>
      </c>
      <c r="V275" s="46" t="e">
        <f ca="1">OFFSET([2]怪物强度模型!$I$1,MATCH(F275,[2]怪物强度模型!$A:$A,0)-1,0)</f>
        <v>#VALUE!</v>
      </c>
      <c r="W275" s="47">
        <f t="shared" si="78"/>
        <v>1.32</v>
      </c>
      <c r="X275" s="47">
        <f t="shared" si="79"/>
        <v>1.24</v>
      </c>
    </row>
    <row r="276" spans="1:24">
      <c r="A276" s="45">
        <f t="shared" si="69"/>
        <v>1527</v>
      </c>
      <c r="B276" s="45" t="s">
        <v>2792</v>
      </c>
      <c r="C276" s="45">
        <v>1</v>
      </c>
      <c r="D276" s="45">
        <v>527</v>
      </c>
      <c r="F276" s="46">
        <f t="shared" si="70"/>
        <v>1013</v>
      </c>
      <c r="G276" s="45">
        <f t="shared" si="81"/>
        <v>2.46</v>
      </c>
      <c r="H276" s="45">
        <v>5</v>
      </c>
      <c r="I276" s="46">
        <v>10</v>
      </c>
      <c r="J276" s="46">
        <v>20</v>
      </c>
      <c r="K276" s="46" t="e">
        <f ca="1" t="shared" si="71"/>
        <v>#VALUE!</v>
      </c>
      <c r="L276" s="46" t="e">
        <f ca="1" t="shared" si="72"/>
        <v>#VALUE!</v>
      </c>
      <c r="M276" s="46" t="e">
        <f ca="1" t="shared" si="73"/>
        <v>#VALUE!</v>
      </c>
      <c r="N276" s="46" t="e">
        <f ca="1" t="shared" si="75"/>
        <v>#VALUE!</v>
      </c>
      <c r="O276" s="46">
        <v>33</v>
      </c>
      <c r="P276" s="46">
        <f t="shared" si="77"/>
        <v>13</v>
      </c>
      <c r="Q276" s="46" t="e">
        <f ca="1" t="shared" si="80"/>
        <v>#VALUE!</v>
      </c>
      <c r="R276" s="46" t="e">
        <f ca="1">OFFSET([2]怪物强度模型!$K$1,MATCH(F276,[2]怪物强度模型!$A:$A,0)-1,0)</f>
        <v>#VALUE!</v>
      </c>
      <c r="S276" s="46" t="e">
        <f ca="1">OFFSET([2]怪物强度模型!$O$1,MATCH(F276,[2]怪物强度模型!$A:$A,0)-1,0)</f>
        <v>#VALUE!</v>
      </c>
      <c r="T276" s="47" t="e">
        <f ca="1" t="shared" si="74"/>
        <v>#VALUE!</v>
      </c>
      <c r="U276" s="47" t="e">
        <f ca="1">Q276+N276*$V$1/10000+$V$1*OFFSET(卡牌辅助配置表!$V$1,MATCH(C276,卡牌辅助配置表!U:U,0)-1,0)*5*P276/10000/10000+M276*$V$1/10000</f>
        <v>#VALUE!</v>
      </c>
      <c r="V276" s="46" t="e">
        <f ca="1">OFFSET([2]怪物强度模型!$I$1,MATCH(F276,[2]怪物强度模型!$A:$A,0)-1,0)</f>
        <v>#VALUE!</v>
      </c>
      <c r="W276" s="47">
        <f t="shared" si="78"/>
        <v>1.32</v>
      </c>
      <c r="X276" s="47">
        <f t="shared" si="79"/>
        <v>1.24</v>
      </c>
    </row>
    <row r="277" spans="1:24">
      <c r="A277" s="45">
        <f t="shared" si="69"/>
        <v>1528</v>
      </c>
      <c r="B277" s="45" t="s">
        <v>2792</v>
      </c>
      <c r="C277" s="45">
        <v>1</v>
      </c>
      <c r="D277" s="45">
        <v>528</v>
      </c>
      <c r="F277" s="46">
        <f t="shared" si="70"/>
        <v>1013</v>
      </c>
      <c r="G277" s="45">
        <f t="shared" si="81"/>
        <v>2.51</v>
      </c>
      <c r="H277" s="45">
        <v>5</v>
      </c>
      <c r="I277" s="46">
        <v>10</v>
      </c>
      <c r="J277" s="46">
        <v>20</v>
      </c>
      <c r="K277" s="46" t="e">
        <f ca="1" t="shared" si="71"/>
        <v>#VALUE!</v>
      </c>
      <c r="L277" s="46" t="e">
        <f ca="1" t="shared" si="72"/>
        <v>#VALUE!</v>
      </c>
      <c r="M277" s="46" t="e">
        <f ca="1" t="shared" si="73"/>
        <v>#VALUE!</v>
      </c>
      <c r="N277" s="46" t="e">
        <f ca="1" t="shared" si="75"/>
        <v>#VALUE!</v>
      </c>
      <c r="O277" s="46">
        <v>34</v>
      </c>
      <c r="P277" s="46">
        <f t="shared" si="77"/>
        <v>13</v>
      </c>
      <c r="Q277" s="46" t="e">
        <f ca="1" t="shared" si="80"/>
        <v>#VALUE!</v>
      </c>
      <c r="R277" s="46" t="e">
        <f ca="1">OFFSET([2]怪物强度模型!$K$1,MATCH(F277,[2]怪物强度模型!$A:$A,0)-1,0)</f>
        <v>#VALUE!</v>
      </c>
      <c r="S277" s="46" t="e">
        <f ca="1">OFFSET([2]怪物强度模型!$O$1,MATCH(F277,[2]怪物强度模型!$A:$A,0)-1,0)</f>
        <v>#VALUE!</v>
      </c>
      <c r="T277" s="47" t="e">
        <f ca="1" t="shared" si="74"/>
        <v>#VALUE!</v>
      </c>
      <c r="U277" s="47" t="e">
        <f ca="1">Q277+N277*$V$1/10000+$V$1*OFFSET(卡牌辅助配置表!$V$1,MATCH(C277,卡牌辅助配置表!U:U,0)-1,0)*5*P277/10000/10000+M277*$V$1/10000</f>
        <v>#VALUE!</v>
      </c>
      <c r="V277" s="46" t="e">
        <f ca="1">OFFSET([2]怪物强度模型!$I$1,MATCH(F277,[2]怪物强度模型!$A:$A,0)-1,0)</f>
        <v>#VALUE!</v>
      </c>
      <c r="W277" s="47">
        <f t="shared" si="78"/>
        <v>1.32</v>
      </c>
      <c r="X277" s="47">
        <f t="shared" si="79"/>
        <v>1.24</v>
      </c>
    </row>
    <row r="278" spans="1:24">
      <c r="A278" s="45">
        <f t="shared" si="69"/>
        <v>1529</v>
      </c>
      <c r="B278" s="45" t="s">
        <v>2792</v>
      </c>
      <c r="C278" s="45">
        <v>1</v>
      </c>
      <c r="D278" s="45">
        <v>529</v>
      </c>
      <c r="F278" s="46">
        <f t="shared" si="70"/>
        <v>1013</v>
      </c>
      <c r="G278" s="45">
        <f>G268+0.1</f>
        <v>4.2</v>
      </c>
      <c r="H278" s="45">
        <v>5</v>
      </c>
      <c r="I278" s="46">
        <v>10</v>
      </c>
      <c r="J278" s="46">
        <v>20</v>
      </c>
      <c r="K278" s="46" t="e">
        <f ca="1" t="shared" si="71"/>
        <v>#VALUE!</v>
      </c>
      <c r="L278" s="46" t="e">
        <f ca="1" t="shared" si="72"/>
        <v>#VALUE!</v>
      </c>
      <c r="M278" s="46" t="e">
        <f ca="1" t="shared" si="73"/>
        <v>#VALUE!</v>
      </c>
      <c r="N278" s="46" t="e">
        <f ca="1" t="shared" si="75"/>
        <v>#VALUE!</v>
      </c>
      <c r="O278" s="46">
        <v>35</v>
      </c>
      <c r="P278" s="46">
        <f t="shared" si="77"/>
        <v>13</v>
      </c>
      <c r="Q278" s="46" t="e">
        <f ca="1" t="shared" si="80"/>
        <v>#VALUE!</v>
      </c>
      <c r="R278" s="46" t="e">
        <f ca="1">OFFSET([2]怪物强度模型!$K$1,MATCH(F278,[2]怪物强度模型!$A:$A,0)-1,0)</f>
        <v>#VALUE!</v>
      </c>
      <c r="S278" s="46" t="e">
        <f ca="1">OFFSET([2]怪物强度模型!$O$1,MATCH(F278,[2]怪物强度模型!$A:$A,0)-1,0)</f>
        <v>#VALUE!</v>
      </c>
      <c r="T278" s="47" t="e">
        <f ca="1" t="shared" si="74"/>
        <v>#VALUE!</v>
      </c>
      <c r="U278" s="47" t="e">
        <f ca="1">Q278+N278*$V$1/10000+$V$1*OFFSET(卡牌辅助配置表!$V$1,MATCH(C278,卡牌辅助配置表!U:U,0)-1,0)*5*P278/10000/10000+M278*$V$1/10000</f>
        <v>#VALUE!</v>
      </c>
      <c r="V278" s="46" t="e">
        <f ca="1">OFFSET([2]怪物强度模型!$I$1,MATCH(F278,[2]怪物强度模型!$A:$A,0)-1,0)</f>
        <v>#VALUE!</v>
      </c>
      <c r="W278" s="47">
        <f t="shared" si="78"/>
        <v>1.45</v>
      </c>
      <c r="X278" s="47">
        <f t="shared" si="79"/>
        <v>1.24</v>
      </c>
    </row>
    <row r="279" spans="1:24">
      <c r="A279" s="45">
        <f t="shared" si="69"/>
        <v>1530</v>
      </c>
      <c r="B279" s="45" t="s">
        <v>2792</v>
      </c>
      <c r="C279" s="45">
        <v>1</v>
      </c>
      <c r="D279" s="45">
        <v>530</v>
      </c>
      <c r="F279" s="46">
        <f t="shared" si="70"/>
        <v>1014</v>
      </c>
      <c r="G279" s="45">
        <f t="shared" ref="G279:G317" si="82">G274+0.03</f>
        <v>2.39</v>
      </c>
      <c r="H279" s="45">
        <v>5</v>
      </c>
      <c r="I279" s="46">
        <v>10</v>
      </c>
      <c r="J279" s="46">
        <v>20</v>
      </c>
      <c r="K279" s="46" t="e">
        <f ca="1" t="shared" si="71"/>
        <v>#VALUE!</v>
      </c>
      <c r="L279" s="46" t="e">
        <f ca="1" t="shared" si="72"/>
        <v>#VALUE!</v>
      </c>
      <c r="M279" s="46" t="e">
        <f ca="1" t="shared" si="73"/>
        <v>#VALUE!</v>
      </c>
      <c r="N279" s="46" t="e">
        <f ca="1" t="shared" si="75"/>
        <v>#VALUE!</v>
      </c>
      <c r="O279" s="46">
        <v>36</v>
      </c>
      <c r="P279" s="46">
        <f t="shared" si="77"/>
        <v>14</v>
      </c>
      <c r="Q279" s="46" t="e">
        <f ca="1" t="shared" si="80"/>
        <v>#VALUE!</v>
      </c>
      <c r="R279" s="46" t="e">
        <f ca="1">OFFSET([2]怪物强度模型!$K$1,MATCH(F279,[2]怪物强度模型!$A:$A,0)-1,0)</f>
        <v>#VALUE!</v>
      </c>
      <c r="S279" s="46" t="e">
        <f ca="1">OFFSET([2]怪物强度模型!$O$1,MATCH(F279,[2]怪物强度模型!$A:$A,0)-1,0)</f>
        <v>#VALUE!</v>
      </c>
      <c r="T279" s="47" t="e">
        <f ca="1" t="shared" si="74"/>
        <v>#VALUE!</v>
      </c>
      <c r="U279" s="47" t="e">
        <f ca="1">Q279+N279*$V$1/10000+$V$1*OFFSET(卡牌辅助配置表!$V$1,MATCH(C279,卡牌辅助配置表!U:U,0)-1,0)*5*P279/10000/10000+M279*$V$1/10000</f>
        <v>#VALUE!</v>
      </c>
      <c r="V279" s="46" t="e">
        <f ca="1">OFFSET([2]怪物强度模型!$I$1,MATCH(F279,[2]怪物强度模型!$A:$A,0)-1,0)</f>
        <v>#VALUE!</v>
      </c>
      <c r="W279" s="47">
        <f t="shared" si="78"/>
        <v>1.35</v>
      </c>
      <c r="X279" s="47">
        <f t="shared" si="79"/>
        <v>1.26</v>
      </c>
    </row>
    <row r="280" spans="1:24">
      <c r="A280" s="45">
        <f t="shared" si="69"/>
        <v>1531</v>
      </c>
      <c r="B280" s="45" t="s">
        <v>2792</v>
      </c>
      <c r="C280" s="45">
        <v>1</v>
      </c>
      <c r="D280" s="45">
        <v>531</v>
      </c>
      <c r="F280" s="46">
        <f t="shared" si="70"/>
        <v>1014</v>
      </c>
      <c r="G280" s="45">
        <f t="shared" si="82"/>
        <v>2.44</v>
      </c>
      <c r="H280" s="45">
        <v>5</v>
      </c>
      <c r="I280" s="46">
        <v>10</v>
      </c>
      <c r="J280" s="46">
        <v>20</v>
      </c>
      <c r="K280" s="46" t="e">
        <f ca="1" t="shared" si="71"/>
        <v>#VALUE!</v>
      </c>
      <c r="L280" s="46" t="e">
        <f ca="1" t="shared" si="72"/>
        <v>#VALUE!</v>
      </c>
      <c r="M280" s="46" t="e">
        <f ca="1" t="shared" si="73"/>
        <v>#VALUE!</v>
      </c>
      <c r="N280" s="46" t="e">
        <f ca="1" t="shared" si="75"/>
        <v>#VALUE!</v>
      </c>
      <c r="O280" s="46">
        <v>37</v>
      </c>
      <c r="P280" s="46">
        <f t="shared" si="77"/>
        <v>14</v>
      </c>
      <c r="Q280" s="46" t="e">
        <f ca="1" t="shared" si="80"/>
        <v>#VALUE!</v>
      </c>
      <c r="R280" s="46" t="e">
        <f ca="1">OFFSET([2]怪物强度模型!$K$1,MATCH(F280,[2]怪物强度模型!$A:$A,0)-1,0)</f>
        <v>#VALUE!</v>
      </c>
      <c r="S280" s="46" t="e">
        <f ca="1">OFFSET([2]怪物强度模型!$O$1,MATCH(F280,[2]怪物强度模型!$A:$A,0)-1,0)</f>
        <v>#VALUE!</v>
      </c>
      <c r="T280" s="47" t="e">
        <f ca="1" t="shared" si="74"/>
        <v>#VALUE!</v>
      </c>
      <c r="U280" s="47" t="e">
        <f ca="1">Q280+N280*$V$1/10000+$V$1*OFFSET(卡牌辅助配置表!$V$1,MATCH(C280,卡牌辅助配置表!U:U,0)-1,0)*5*P280/10000/10000+M280*$V$1/10000</f>
        <v>#VALUE!</v>
      </c>
      <c r="V280" s="46" t="e">
        <f ca="1">OFFSET([2]怪物强度模型!$I$1,MATCH(F280,[2]怪物强度模型!$A:$A,0)-1,0)</f>
        <v>#VALUE!</v>
      </c>
      <c r="W280" s="47">
        <f t="shared" si="78"/>
        <v>1.35</v>
      </c>
      <c r="X280" s="47">
        <f t="shared" si="79"/>
        <v>1.26</v>
      </c>
    </row>
    <row r="281" spans="1:24">
      <c r="A281" s="45">
        <f t="shared" ref="A281:A312" si="83">C281*1000+D281</f>
        <v>1532</v>
      </c>
      <c r="B281" s="45" t="s">
        <v>2792</v>
      </c>
      <c r="C281" s="45">
        <v>1</v>
      </c>
      <c r="D281" s="45">
        <v>532</v>
      </c>
      <c r="F281" s="46">
        <f t="shared" ref="F281:F312" si="84">C281*1000+P281</f>
        <v>1014</v>
      </c>
      <c r="G281" s="45">
        <f t="shared" si="82"/>
        <v>2.49</v>
      </c>
      <c r="H281" s="45">
        <v>5</v>
      </c>
      <c r="I281" s="46">
        <v>10</v>
      </c>
      <c r="J281" s="46">
        <v>20</v>
      </c>
      <c r="K281" s="46" t="e">
        <f ca="1" t="shared" ref="K281:K312" si="85">ROUND(Q281*0.95,0)</f>
        <v>#VALUE!</v>
      </c>
      <c r="L281" s="46" t="e">
        <f ca="1" t="shared" ref="L281:L312" si="86">ROUND(Q281*1.05,0)</f>
        <v>#VALUE!</v>
      </c>
      <c r="M281" s="46" t="e">
        <f ca="1" t="shared" si="73"/>
        <v>#VALUE!</v>
      </c>
      <c r="N281" s="46" t="e">
        <f ca="1" t="shared" si="75"/>
        <v>#VALUE!</v>
      </c>
      <c r="O281" s="46">
        <v>38</v>
      </c>
      <c r="P281" s="46">
        <f t="shared" si="77"/>
        <v>14</v>
      </c>
      <c r="Q281" s="46" t="e">
        <f ca="1" t="shared" si="80"/>
        <v>#VALUE!</v>
      </c>
      <c r="R281" s="46" t="e">
        <f ca="1">OFFSET([2]怪物强度模型!$K$1,MATCH(F281,[2]怪物强度模型!$A:$A,0)-1,0)</f>
        <v>#VALUE!</v>
      </c>
      <c r="S281" s="46" t="e">
        <f ca="1">OFFSET([2]怪物强度模型!$O$1,MATCH(F281,[2]怪物强度模型!$A:$A,0)-1,0)</f>
        <v>#VALUE!</v>
      </c>
      <c r="T281" s="47" t="e">
        <f ca="1" t="shared" si="74"/>
        <v>#VALUE!</v>
      </c>
      <c r="U281" s="47" t="e">
        <f ca="1">Q281+N281*$V$1/10000+$V$1*OFFSET(卡牌辅助配置表!$V$1,MATCH(C281,卡牌辅助配置表!U:U,0)-1,0)*5*P281/10000/10000+M281*$V$1/10000</f>
        <v>#VALUE!</v>
      </c>
      <c r="V281" s="46" t="e">
        <f ca="1">OFFSET([2]怪物强度模型!$I$1,MATCH(F281,[2]怪物强度模型!$A:$A,0)-1,0)</f>
        <v>#VALUE!</v>
      </c>
      <c r="W281" s="47">
        <f t="shared" si="78"/>
        <v>1.35</v>
      </c>
      <c r="X281" s="47">
        <f t="shared" si="79"/>
        <v>1.26</v>
      </c>
    </row>
    <row r="282" spans="1:24">
      <c r="A282" s="45">
        <f t="shared" si="83"/>
        <v>1533</v>
      </c>
      <c r="B282" s="45" t="s">
        <v>2792</v>
      </c>
      <c r="C282" s="45">
        <v>1</v>
      </c>
      <c r="D282" s="45">
        <v>533</v>
      </c>
      <c r="F282" s="46">
        <f t="shared" si="84"/>
        <v>1014</v>
      </c>
      <c r="G282" s="45">
        <f t="shared" si="82"/>
        <v>2.54</v>
      </c>
      <c r="H282" s="45">
        <v>5</v>
      </c>
      <c r="I282" s="46">
        <v>10</v>
      </c>
      <c r="J282" s="46">
        <v>20</v>
      </c>
      <c r="K282" s="46" t="e">
        <f ca="1" t="shared" si="85"/>
        <v>#VALUE!</v>
      </c>
      <c r="L282" s="46" t="e">
        <f ca="1" t="shared" si="86"/>
        <v>#VALUE!</v>
      </c>
      <c r="M282" s="46" t="e">
        <f ca="1" t="shared" si="73"/>
        <v>#VALUE!</v>
      </c>
      <c r="N282" s="46" t="e">
        <f ca="1" t="shared" si="75"/>
        <v>#VALUE!</v>
      </c>
      <c r="O282" s="46">
        <v>39</v>
      </c>
      <c r="P282" s="46">
        <f t="shared" si="77"/>
        <v>14</v>
      </c>
      <c r="Q282" s="46" t="e">
        <f ca="1" t="shared" si="80"/>
        <v>#VALUE!</v>
      </c>
      <c r="R282" s="46" t="e">
        <f ca="1">OFFSET([2]怪物强度模型!$K$1,MATCH(F282,[2]怪物强度模型!$A:$A,0)-1,0)</f>
        <v>#VALUE!</v>
      </c>
      <c r="S282" s="46" t="e">
        <f ca="1">OFFSET([2]怪物强度模型!$O$1,MATCH(F282,[2]怪物强度模型!$A:$A,0)-1,0)</f>
        <v>#VALUE!</v>
      </c>
      <c r="T282" s="47" t="e">
        <f ca="1" t="shared" si="74"/>
        <v>#VALUE!</v>
      </c>
      <c r="U282" s="47" t="e">
        <f ca="1">Q282+N282*$V$1/10000+$V$1*OFFSET(卡牌辅助配置表!$V$1,MATCH(C282,卡牌辅助配置表!U:U,0)-1,0)*5*P282/10000/10000+M282*$V$1/10000</f>
        <v>#VALUE!</v>
      </c>
      <c r="V282" s="46" t="e">
        <f ca="1">OFFSET([2]怪物强度模型!$I$1,MATCH(F282,[2]怪物强度模型!$A:$A,0)-1,0)</f>
        <v>#VALUE!</v>
      </c>
      <c r="W282" s="47">
        <f t="shared" si="78"/>
        <v>1.36</v>
      </c>
      <c r="X282" s="47">
        <f t="shared" si="79"/>
        <v>1.26</v>
      </c>
    </row>
    <row r="283" spans="1:24">
      <c r="A283" s="45">
        <f t="shared" si="83"/>
        <v>1534</v>
      </c>
      <c r="B283" s="45" t="s">
        <v>2792</v>
      </c>
      <c r="C283" s="45">
        <v>1</v>
      </c>
      <c r="D283" s="45">
        <v>534</v>
      </c>
      <c r="F283" s="46">
        <f t="shared" si="84"/>
        <v>1014</v>
      </c>
      <c r="G283" s="45">
        <f t="shared" si="82"/>
        <v>4.23</v>
      </c>
      <c r="H283" s="45">
        <v>5</v>
      </c>
      <c r="I283" s="46">
        <v>10</v>
      </c>
      <c r="J283" s="46">
        <v>20</v>
      </c>
      <c r="K283" s="46" t="e">
        <f ca="1" t="shared" si="85"/>
        <v>#VALUE!</v>
      </c>
      <c r="L283" s="46" t="e">
        <f ca="1" t="shared" si="86"/>
        <v>#VALUE!</v>
      </c>
      <c r="M283" s="46" t="e">
        <f ca="1" t="shared" si="73"/>
        <v>#VALUE!</v>
      </c>
      <c r="N283" s="46" t="e">
        <f ca="1" t="shared" si="75"/>
        <v>#VALUE!</v>
      </c>
      <c r="O283" s="46">
        <v>40</v>
      </c>
      <c r="P283" s="46">
        <f t="shared" si="77"/>
        <v>14</v>
      </c>
      <c r="Q283" s="46" t="e">
        <f ca="1" t="shared" si="80"/>
        <v>#VALUE!</v>
      </c>
      <c r="R283" s="46" t="e">
        <f ca="1">OFFSET([2]怪物强度模型!$K$1,MATCH(F283,[2]怪物强度模型!$A:$A,0)-1,0)</f>
        <v>#VALUE!</v>
      </c>
      <c r="S283" s="46" t="e">
        <f ca="1">OFFSET([2]怪物强度模型!$O$1,MATCH(F283,[2]怪物强度模型!$A:$A,0)-1,0)</f>
        <v>#VALUE!</v>
      </c>
      <c r="T283" s="47" t="e">
        <f ca="1" t="shared" si="74"/>
        <v>#VALUE!</v>
      </c>
      <c r="U283" s="47" t="e">
        <f ca="1">Q283+N283*$V$1/10000+$V$1*OFFSET(卡牌辅助配置表!$V$1,MATCH(C283,卡牌辅助配置表!U:U,0)-1,0)*5*P283/10000/10000+M283*$V$1/10000</f>
        <v>#VALUE!</v>
      </c>
      <c r="V283" s="46" t="e">
        <f ca="1">OFFSET([2]怪物强度模型!$I$1,MATCH(F283,[2]怪物强度模型!$A:$A,0)-1,0)</f>
        <v>#VALUE!</v>
      </c>
      <c r="W283" s="47">
        <f t="shared" si="78"/>
        <v>1.36</v>
      </c>
      <c r="X283" s="47">
        <f t="shared" si="79"/>
        <v>1.26</v>
      </c>
    </row>
    <row r="284" spans="1:24">
      <c r="A284" s="45">
        <f t="shared" si="83"/>
        <v>1535</v>
      </c>
      <c r="B284" s="45" t="s">
        <v>2792</v>
      </c>
      <c r="C284" s="45">
        <v>1</v>
      </c>
      <c r="D284" s="45">
        <v>535</v>
      </c>
      <c r="F284" s="46">
        <f t="shared" si="84"/>
        <v>1014</v>
      </c>
      <c r="G284" s="45">
        <f t="shared" si="82"/>
        <v>2.42</v>
      </c>
      <c r="H284" s="45">
        <v>5</v>
      </c>
      <c r="I284" s="46">
        <v>10</v>
      </c>
      <c r="J284" s="46">
        <v>20</v>
      </c>
      <c r="K284" s="46" t="e">
        <f ca="1" t="shared" si="85"/>
        <v>#VALUE!</v>
      </c>
      <c r="L284" s="46" t="e">
        <f ca="1" t="shared" si="86"/>
        <v>#VALUE!</v>
      </c>
      <c r="M284" s="46" t="e">
        <f ca="1" t="shared" si="73"/>
        <v>#VALUE!</v>
      </c>
      <c r="N284" s="46" t="e">
        <f ca="1" t="shared" si="75"/>
        <v>#VALUE!</v>
      </c>
      <c r="O284" s="46">
        <v>41</v>
      </c>
      <c r="P284" s="46">
        <f t="shared" si="77"/>
        <v>14</v>
      </c>
      <c r="Q284" s="46" t="e">
        <f ca="1" t="shared" si="80"/>
        <v>#VALUE!</v>
      </c>
      <c r="R284" s="46" t="e">
        <f ca="1">OFFSET([2]怪物强度模型!$K$1,MATCH(F284,[2]怪物强度模型!$A:$A,0)-1,0)</f>
        <v>#VALUE!</v>
      </c>
      <c r="S284" s="46" t="e">
        <f ca="1">OFFSET([2]怪物强度模型!$O$1,MATCH(F284,[2]怪物强度模型!$A:$A,0)-1,0)</f>
        <v>#VALUE!</v>
      </c>
      <c r="T284" s="47" t="e">
        <f ca="1" t="shared" si="74"/>
        <v>#VALUE!</v>
      </c>
      <c r="U284" s="47" t="e">
        <f ca="1">Q284+N284*$V$1/10000+$V$1*OFFSET(卡牌辅助配置表!$V$1,MATCH(C284,卡牌辅助配置表!U:U,0)-1,0)*5*P284/10000/10000+M284*$V$1/10000</f>
        <v>#VALUE!</v>
      </c>
      <c r="V284" s="46" t="e">
        <f ca="1">OFFSET([2]怪物强度模型!$I$1,MATCH(F284,[2]怪物强度模型!$A:$A,0)-1,0)</f>
        <v>#VALUE!</v>
      </c>
      <c r="W284" s="47">
        <f t="shared" si="78"/>
        <v>1.36</v>
      </c>
      <c r="X284" s="47">
        <f t="shared" si="79"/>
        <v>1.26</v>
      </c>
    </row>
    <row r="285" spans="1:24">
      <c r="A285" s="45">
        <f t="shared" si="83"/>
        <v>1536</v>
      </c>
      <c r="B285" s="45" t="s">
        <v>2792</v>
      </c>
      <c r="C285" s="45">
        <v>1</v>
      </c>
      <c r="D285" s="45">
        <v>536</v>
      </c>
      <c r="F285" s="46">
        <f t="shared" si="84"/>
        <v>1014</v>
      </c>
      <c r="G285" s="45">
        <f t="shared" si="82"/>
        <v>2.47</v>
      </c>
      <c r="H285" s="45">
        <v>5</v>
      </c>
      <c r="I285" s="46">
        <v>10</v>
      </c>
      <c r="J285" s="46">
        <v>20</v>
      </c>
      <c r="K285" s="46" t="e">
        <f ca="1" t="shared" si="85"/>
        <v>#VALUE!</v>
      </c>
      <c r="L285" s="46" t="e">
        <f ca="1" t="shared" si="86"/>
        <v>#VALUE!</v>
      </c>
      <c r="M285" s="46" t="e">
        <f ca="1" t="shared" si="73"/>
        <v>#VALUE!</v>
      </c>
      <c r="N285" s="46" t="e">
        <f ca="1" t="shared" si="75"/>
        <v>#VALUE!</v>
      </c>
      <c r="O285" s="46">
        <v>42</v>
      </c>
      <c r="P285" s="46">
        <f t="shared" si="77"/>
        <v>14</v>
      </c>
      <c r="Q285" s="46" t="e">
        <f ca="1" t="shared" si="80"/>
        <v>#VALUE!</v>
      </c>
      <c r="R285" s="46" t="e">
        <f ca="1">OFFSET([2]怪物强度模型!$K$1,MATCH(F285,[2]怪物强度模型!$A:$A,0)-1,0)</f>
        <v>#VALUE!</v>
      </c>
      <c r="S285" s="46" t="e">
        <f ca="1">OFFSET([2]怪物强度模型!$O$1,MATCH(F285,[2]怪物强度模型!$A:$A,0)-1,0)</f>
        <v>#VALUE!</v>
      </c>
      <c r="T285" s="47" t="e">
        <f ca="1" t="shared" si="74"/>
        <v>#VALUE!</v>
      </c>
      <c r="U285" s="47" t="e">
        <f ca="1">Q285+N285*$V$1/10000+$V$1*OFFSET(卡牌辅助配置表!$V$1,MATCH(C285,卡牌辅助配置表!U:U,0)-1,0)*5*P285/10000/10000+M285*$V$1/10000</f>
        <v>#VALUE!</v>
      </c>
      <c r="V285" s="46" t="e">
        <f ca="1">OFFSET([2]怪物强度模型!$I$1,MATCH(F285,[2]怪物强度模型!$A:$A,0)-1,0)</f>
        <v>#VALUE!</v>
      </c>
      <c r="W285" s="47">
        <f t="shared" si="78"/>
        <v>1.37</v>
      </c>
      <c r="X285" s="47">
        <f t="shared" si="79"/>
        <v>1.26</v>
      </c>
    </row>
    <row r="286" spans="1:24">
      <c r="A286" s="45">
        <f t="shared" si="83"/>
        <v>1537</v>
      </c>
      <c r="B286" s="45" t="s">
        <v>2792</v>
      </c>
      <c r="C286" s="45">
        <v>1</v>
      </c>
      <c r="D286" s="45">
        <v>537</v>
      </c>
      <c r="F286" s="46">
        <f t="shared" si="84"/>
        <v>1014</v>
      </c>
      <c r="G286" s="45">
        <f t="shared" si="82"/>
        <v>2.52</v>
      </c>
      <c r="H286" s="45">
        <v>5</v>
      </c>
      <c r="I286" s="46">
        <v>10</v>
      </c>
      <c r="J286" s="46">
        <v>20</v>
      </c>
      <c r="K286" s="46" t="e">
        <f ca="1" t="shared" si="85"/>
        <v>#VALUE!</v>
      </c>
      <c r="L286" s="46" t="e">
        <f ca="1" t="shared" si="86"/>
        <v>#VALUE!</v>
      </c>
      <c r="M286" s="46" t="e">
        <f ca="1" t="shared" si="73"/>
        <v>#VALUE!</v>
      </c>
      <c r="N286" s="46" t="e">
        <f ca="1" t="shared" si="75"/>
        <v>#VALUE!</v>
      </c>
      <c r="O286" s="46">
        <v>43</v>
      </c>
      <c r="P286" s="46">
        <f t="shared" si="77"/>
        <v>14</v>
      </c>
      <c r="Q286" s="46" t="e">
        <f ca="1" t="shared" si="80"/>
        <v>#VALUE!</v>
      </c>
      <c r="R286" s="46" t="e">
        <f ca="1">OFFSET([2]怪物强度模型!$K$1,MATCH(F286,[2]怪物强度模型!$A:$A,0)-1,0)</f>
        <v>#VALUE!</v>
      </c>
      <c r="S286" s="46" t="e">
        <f ca="1">OFFSET([2]怪物强度模型!$O$1,MATCH(F286,[2]怪物强度模型!$A:$A,0)-1,0)</f>
        <v>#VALUE!</v>
      </c>
      <c r="T286" s="47" t="e">
        <f ca="1" t="shared" si="74"/>
        <v>#VALUE!</v>
      </c>
      <c r="U286" s="47" t="e">
        <f ca="1">Q286+N286*$V$1/10000+$V$1*OFFSET(卡牌辅助配置表!$V$1,MATCH(C286,卡牌辅助配置表!U:U,0)-1,0)*5*P286/10000/10000+M286*$V$1/10000</f>
        <v>#VALUE!</v>
      </c>
      <c r="V286" s="46" t="e">
        <f ca="1">OFFSET([2]怪物强度模型!$I$1,MATCH(F286,[2]怪物强度模型!$A:$A,0)-1,0)</f>
        <v>#VALUE!</v>
      </c>
      <c r="W286" s="47">
        <f t="shared" si="78"/>
        <v>1.37</v>
      </c>
      <c r="X286" s="47">
        <f t="shared" si="79"/>
        <v>1.26</v>
      </c>
    </row>
    <row r="287" spans="1:24">
      <c r="A287" s="45">
        <f t="shared" si="83"/>
        <v>1538</v>
      </c>
      <c r="B287" s="45" t="s">
        <v>2792</v>
      </c>
      <c r="C287" s="45">
        <v>1</v>
      </c>
      <c r="D287" s="45">
        <v>538</v>
      </c>
      <c r="F287" s="46">
        <f t="shared" si="84"/>
        <v>1014</v>
      </c>
      <c r="G287" s="45">
        <f t="shared" si="82"/>
        <v>2.57</v>
      </c>
      <c r="H287" s="45">
        <v>5</v>
      </c>
      <c r="I287" s="46">
        <v>10</v>
      </c>
      <c r="J287" s="46">
        <v>20</v>
      </c>
      <c r="K287" s="46" t="e">
        <f ca="1" t="shared" si="85"/>
        <v>#VALUE!</v>
      </c>
      <c r="L287" s="46" t="e">
        <f ca="1" t="shared" si="86"/>
        <v>#VALUE!</v>
      </c>
      <c r="M287" s="46" t="e">
        <f ca="1" t="shared" si="73"/>
        <v>#VALUE!</v>
      </c>
      <c r="N287" s="46" t="e">
        <f ca="1" t="shared" si="75"/>
        <v>#VALUE!</v>
      </c>
      <c r="O287" s="46">
        <v>44</v>
      </c>
      <c r="P287" s="46">
        <f t="shared" si="77"/>
        <v>14</v>
      </c>
      <c r="Q287" s="46" t="e">
        <f ca="1" t="shared" si="80"/>
        <v>#VALUE!</v>
      </c>
      <c r="R287" s="46" t="e">
        <f ca="1">OFFSET([2]怪物强度模型!$K$1,MATCH(F287,[2]怪物强度模型!$A:$A,0)-1,0)</f>
        <v>#VALUE!</v>
      </c>
      <c r="S287" s="46" t="e">
        <f ca="1">OFFSET([2]怪物强度模型!$O$1,MATCH(F287,[2]怪物强度模型!$A:$A,0)-1,0)</f>
        <v>#VALUE!</v>
      </c>
      <c r="T287" s="47" t="e">
        <f ca="1" t="shared" si="74"/>
        <v>#VALUE!</v>
      </c>
      <c r="U287" s="47" t="e">
        <f ca="1">Q287+N287*$V$1/10000+$V$1*OFFSET(卡牌辅助配置表!$V$1,MATCH(C287,卡牌辅助配置表!U:U,0)-1,0)*5*P287/10000/10000+M287*$V$1/10000</f>
        <v>#VALUE!</v>
      </c>
      <c r="V287" s="46" t="e">
        <f ca="1">OFFSET([2]怪物强度模型!$I$1,MATCH(F287,[2]怪物强度模型!$A:$A,0)-1,0)</f>
        <v>#VALUE!</v>
      </c>
      <c r="W287" s="47">
        <f t="shared" si="78"/>
        <v>1.37</v>
      </c>
      <c r="X287" s="47">
        <f t="shared" si="79"/>
        <v>1.26</v>
      </c>
    </row>
    <row r="288" spans="1:24">
      <c r="A288" s="45">
        <f t="shared" si="83"/>
        <v>1539</v>
      </c>
      <c r="B288" s="45" t="s">
        <v>2792</v>
      </c>
      <c r="C288" s="45">
        <v>1</v>
      </c>
      <c r="D288" s="45">
        <v>539</v>
      </c>
      <c r="F288" s="46">
        <f t="shared" si="84"/>
        <v>1014</v>
      </c>
      <c r="G288" s="45">
        <f>G278+0.1</f>
        <v>4.3</v>
      </c>
      <c r="H288" s="45">
        <v>5</v>
      </c>
      <c r="I288" s="46">
        <v>10</v>
      </c>
      <c r="J288" s="46">
        <v>20</v>
      </c>
      <c r="K288" s="46" t="e">
        <f ca="1" t="shared" si="85"/>
        <v>#VALUE!</v>
      </c>
      <c r="L288" s="46" t="e">
        <f ca="1" t="shared" si="86"/>
        <v>#VALUE!</v>
      </c>
      <c r="M288" s="46" t="e">
        <f ca="1" t="shared" si="73"/>
        <v>#VALUE!</v>
      </c>
      <c r="N288" s="46" t="e">
        <f ca="1" t="shared" si="75"/>
        <v>#VALUE!</v>
      </c>
      <c r="O288" s="46">
        <v>45</v>
      </c>
      <c r="P288" s="46">
        <f t="shared" si="77"/>
        <v>14</v>
      </c>
      <c r="Q288" s="46" t="e">
        <f ca="1" t="shared" si="80"/>
        <v>#VALUE!</v>
      </c>
      <c r="R288" s="46" t="e">
        <f ca="1">OFFSET([2]怪物强度模型!$K$1,MATCH(F288,[2]怪物强度模型!$A:$A,0)-1,0)</f>
        <v>#VALUE!</v>
      </c>
      <c r="S288" s="46" t="e">
        <f ca="1">OFFSET([2]怪物强度模型!$O$1,MATCH(F288,[2]怪物强度模型!$A:$A,0)-1,0)</f>
        <v>#VALUE!</v>
      </c>
      <c r="T288" s="47" t="e">
        <f ca="1" t="shared" si="74"/>
        <v>#VALUE!</v>
      </c>
      <c r="U288" s="47" t="e">
        <f ca="1">Q288+N288*$V$1/10000+$V$1*OFFSET(卡牌辅助配置表!$V$1,MATCH(C288,卡牌辅助配置表!U:U,0)-1,0)*5*P288/10000/10000+M288*$V$1/10000</f>
        <v>#VALUE!</v>
      </c>
      <c r="V288" s="46" t="e">
        <f ca="1">OFFSET([2]怪物强度模型!$I$1,MATCH(F288,[2]怪物强度模型!$A:$A,0)-1,0)</f>
        <v>#VALUE!</v>
      </c>
      <c r="W288" s="47">
        <f t="shared" si="78"/>
        <v>1.5</v>
      </c>
      <c r="X288" s="47">
        <f t="shared" si="79"/>
        <v>1.26</v>
      </c>
    </row>
    <row r="289" spans="1:24">
      <c r="A289" s="45">
        <f t="shared" si="83"/>
        <v>1540</v>
      </c>
      <c r="B289" s="45" t="s">
        <v>2792</v>
      </c>
      <c r="C289" s="45">
        <v>1</v>
      </c>
      <c r="D289" s="45">
        <v>540</v>
      </c>
      <c r="F289" s="46">
        <f t="shared" si="84"/>
        <v>1015</v>
      </c>
      <c r="G289" s="45">
        <f t="shared" si="82"/>
        <v>2.45</v>
      </c>
      <c r="H289" s="45">
        <v>5</v>
      </c>
      <c r="I289" s="46">
        <v>10</v>
      </c>
      <c r="J289" s="46">
        <v>20</v>
      </c>
      <c r="K289" s="46" t="e">
        <f ca="1" t="shared" si="85"/>
        <v>#VALUE!</v>
      </c>
      <c r="L289" s="46" t="e">
        <f ca="1" t="shared" si="86"/>
        <v>#VALUE!</v>
      </c>
      <c r="M289" s="46" t="e">
        <f ca="1" t="shared" si="73"/>
        <v>#VALUE!</v>
      </c>
      <c r="N289" s="46" t="e">
        <f ca="1" t="shared" si="75"/>
        <v>#VALUE!</v>
      </c>
      <c r="O289" s="46">
        <v>46</v>
      </c>
      <c r="P289" s="46">
        <f t="shared" si="77"/>
        <v>15</v>
      </c>
      <c r="Q289" s="46" t="e">
        <f ca="1" t="shared" si="80"/>
        <v>#VALUE!</v>
      </c>
      <c r="R289" s="46" t="e">
        <f ca="1">OFFSET([2]怪物强度模型!$K$1,MATCH(F289,[2]怪物强度模型!$A:$A,0)-1,0)</f>
        <v>#VALUE!</v>
      </c>
      <c r="S289" s="46" t="e">
        <f ca="1">OFFSET([2]怪物强度模型!$O$1,MATCH(F289,[2]怪物强度模型!$A:$A,0)-1,0)</f>
        <v>#VALUE!</v>
      </c>
      <c r="T289" s="47" t="e">
        <f ca="1" t="shared" si="74"/>
        <v>#VALUE!</v>
      </c>
      <c r="U289" s="47" t="e">
        <f ca="1">Q289+N289*$V$1/10000+$V$1*OFFSET(卡牌辅助配置表!$V$1,MATCH(C289,卡牌辅助配置表!U:U,0)-1,0)*5*P289/10000/10000+M289*$V$1/10000</f>
        <v>#VALUE!</v>
      </c>
      <c r="V289" s="46" t="e">
        <f ca="1">OFFSET([2]怪物强度模型!$I$1,MATCH(F289,[2]怪物强度模型!$A:$A,0)-1,0)</f>
        <v>#VALUE!</v>
      </c>
      <c r="W289" s="47">
        <f t="shared" si="78"/>
        <v>1.4</v>
      </c>
      <c r="X289" s="47">
        <f t="shared" si="79"/>
        <v>1.28</v>
      </c>
    </row>
    <row r="290" spans="1:24">
      <c r="A290" s="45">
        <f t="shared" si="83"/>
        <v>1541</v>
      </c>
      <c r="B290" s="45" t="s">
        <v>2792</v>
      </c>
      <c r="C290" s="45">
        <v>1</v>
      </c>
      <c r="D290" s="45">
        <v>541</v>
      </c>
      <c r="F290" s="46">
        <f t="shared" si="84"/>
        <v>1015</v>
      </c>
      <c r="G290" s="45">
        <f t="shared" si="82"/>
        <v>2.5</v>
      </c>
      <c r="H290" s="45">
        <v>5</v>
      </c>
      <c r="I290" s="46">
        <v>10</v>
      </c>
      <c r="J290" s="46">
        <v>20</v>
      </c>
      <c r="K290" s="46" t="e">
        <f ca="1" t="shared" si="85"/>
        <v>#VALUE!</v>
      </c>
      <c r="L290" s="46" t="e">
        <f ca="1" t="shared" si="86"/>
        <v>#VALUE!</v>
      </c>
      <c r="M290" s="46" t="e">
        <f ca="1" t="shared" si="73"/>
        <v>#VALUE!</v>
      </c>
      <c r="N290" s="46" t="e">
        <f ca="1" t="shared" si="75"/>
        <v>#VALUE!</v>
      </c>
      <c r="O290" s="46">
        <v>47</v>
      </c>
      <c r="P290" s="46">
        <f t="shared" si="77"/>
        <v>15</v>
      </c>
      <c r="Q290" s="46" t="e">
        <f ca="1" t="shared" si="80"/>
        <v>#VALUE!</v>
      </c>
      <c r="R290" s="46" t="e">
        <f ca="1">OFFSET([2]怪物强度模型!$K$1,MATCH(F290,[2]怪物强度模型!$A:$A,0)-1,0)</f>
        <v>#VALUE!</v>
      </c>
      <c r="S290" s="46" t="e">
        <f ca="1">OFFSET([2]怪物强度模型!$O$1,MATCH(F290,[2]怪物强度模型!$A:$A,0)-1,0)</f>
        <v>#VALUE!</v>
      </c>
      <c r="T290" s="47" t="e">
        <f ca="1" t="shared" si="74"/>
        <v>#VALUE!</v>
      </c>
      <c r="U290" s="47" t="e">
        <f ca="1">Q290+N290*$V$1/10000+$V$1*OFFSET(卡牌辅助配置表!$V$1,MATCH(C290,卡牌辅助配置表!U:U,0)-1,0)*5*P290/10000/10000+M290*$V$1/10000</f>
        <v>#VALUE!</v>
      </c>
      <c r="V290" s="46" t="e">
        <f ca="1">OFFSET([2]怪物强度模型!$I$1,MATCH(F290,[2]怪物强度模型!$A:$A,0)-1,0)</f>
        <v>#VALUE!</v>
      </c>
      <c r="W290" s="47">
        <f t="shared" si="78"/>
        <v>1.4</v>
      </c>
      <c r="X290" s="47">
        <f t="shared" si="79"/>
        <v>1.28</v>
      </c>
    </row>
    <row r="291" spans="1:24">
      <c r="A291" s="45">
        <f t="shared" si="83"/>
        <v>1542</v>
      </c>
      <c r="B291" s="45" t="s">
        <v>2792</v>
      </c>
      <c r="C291" s="45">
        <v>1</v>
      </c>
      <c r="D291" s="45">
        <v>542</v>
      </c>
      <c r="F291" s="46">
        <f t="shared" si="84"/>
        <v>1015</v>
      </c>
      <c r="G291" s="45">
        <f t="shared" si="82"/>
        <v>2.55</v>
      </c>
      <c r="H291" s="45">
        <v>5</v>
      </c>
      <c r="I291" s="46">
        <v>10</v>
      </c>
      <c r="J291" s="46">
        <v>20</v>
      </c>
      <c r="K291" s="46" t="e">
        <f ca="1" t="shared" si="85"/>
        <v>#VALUE!</v>
      </c>
      <c r="L291" s="46" t="e">
        <f ca="1" t="shared" si="86"/>
        <v>#VALUE!</v>
      </c>
      <c r="M291" s="46" t="e">
        <f ca="1" t="shared" si="73"/>
        <v>#VALUE!</v>
      </c>
      <c r="N291" s="46" t="e">
        <f ca="1" t="shared" si="75"/>
        <v>#VALUE!</v>
      </c>
      <c r="O291" s="46">
        <v>48</v>
      </c>
      <c r="P291" s="46">
        <f t="shared" si="77"/>
        <v>15</v>
      </c>
      <c r="Q291" s="46" t="e">
        <f ca="1" t="shared" si="80"/>
        <v>#VALUE!</v>
      </c>
      <c r="R291" s="46" t="e">
        <f ca="1">OFFSET([2]怪物强度模型!$K$1,MATCH(F291,[2]怪物强度模型!$A:$A,0)-1,0)</f>
        <v>#VALUE!</v>
      </c>
      <c r="S291" s="46" t="e">
        <f ca="1">OFFSET([2]怪物强度模型!$O$1,MATCH(F291,[2]怪物强度模型!$A:$A,0)-1,0)</f>
        <v>#VALUE!</v>
      </c>
      <c r="T291" s="47" t="e">
        <f ca="1" t="shared" si="74"/>
        <v>#VALUE!</v>
      </c>
      <c r="U291" s="47" t="e">
        <f ca="1">Q291+N291*$V$1/10000+$V$1*OFFSET(卡牌辅助配置表!$V$1,MATCH(C291,卡牌辅助配置表!U:U,0)-1,0)*5*P291/10000/10000+M291*$V$1/10000</f>
        <v>#VALUE!</v>
      </c>
      <c r="V291" s="46" t="e">
        <f ca="1">OFFSET([2]怪物强度模型!$I$1,MATCH(F291,[2]怪物强度模型!$A:$A,0)-1,0)</f>
        <v>#VALUE!</v>
      </c>
      <c r="W291" s="47">
        <f t="shared" si="78"/>
        <v>1.4</v>
      </c>
      <c r="X291" s="47">
        <f t="shared" si="79"/>
        <v>1.28</v>
      </c>
    </row>
    <row r="292" spans="1:24">
      <c r="A292" s="45">
        <f t="shared" si="83"/>
        <v>1543</v>
      </c>
      <c r="B292" s="45" t="s">
        <v>2792</v>
      </c>
      <c r="C292" s="45">
        <v>1</v>
      </c>
      <c r="D292" s="45">
        <v>543</v>
      </c>
      <c r="F292" s="46">
        <f t="shared" si="84"/>
        <v>1015</v>
      </c>
      <c r="G292" s="45">
        <f t="shared" si="82"/>
        <v>2.6</v>
      </c>
      <c r="H292" s="45">
        <v>5</v>
      </c>
      <c r="I292" s="46">
        <v>10</v>
      </c>
      <c r="J292" s="46">
        <v>20</v>
      </c>
      <c r="K292" s="46" t="e">
        <f ca="1" t="shared" si="85"/>
        <v>#VALUE!</v>
      </c>
      <c r="L292" s="46" t="e">
        <f ca="1" t="shared" si="86"/>
        <v>#VALUE!</v>
      </c>
      <c r="M292" s="46" t="e">
        <f ca="1" t="shared" si="73"/>
        <v>#VALUE!</v>
      </c>
      <c r="N292" s="46" t="e">
        <f ca="1" t="shared" si="75"/>
        <v>#VALUE!</v>
      </c>
      <c r="O292" s="46">
        <v>49</v>
      </c>
      <c r="P292" s="46">
        <f t="shared" ref="P292:P323" si="87">P282+1</f>
        <v>15</v>
      </c>
      <c r="Q292" s="46" t="e">
        <f ca="1" t="shared" si="80"/>
        <v>#VALUE!</v>
      </c>
      <c r="R292" s="46" t="e">
        <f ca="1">OFFSET([2]怪物强度模型!$K$1,MATCH(F292,[2]怪物强度模型!$A:$A,0)-1,0)</f>
        <v>#VALUE!</v>
      </c>
      <c r="S292" s="46" t="e">
        <f ca="1">OFFSET([2]怪物强度模型!$O$1,MATCH(F292,[2]怪物强度模型!$A:$A,0)-1,0)</f>
        <v>#VALUE!</v>
      </c>
      <c r="T292" s="47" t="e">
        <f ca="1" t="shared" si="74"/>
        <v>#VALUE!</v>
      </c>
      <c r="U292" s="47" t="e">
        <f ca="1">Q292+N292*$V$1/10000+$V$1*OFFSET(卡牌辅助配置表!$V$1,MATCH(C292,卡牌辅助配置表!U:U,0)-1,0)*5*P292/10000/10000+M292*$V$1/10000</f>
        <v>#VALUE!</v>
      </c>
      <c r="V292" s="46" t="e">
        <f ca="1">OFFSET([2]怪物强度模型!$I$1,MATCH(F292,[2]怪物强度模型!$A:$A,0)-1,0)</f>
        <v>#VALUE!</v>
      </c>
      <c r="W292" s="47">
        <f t="shared" si="78"/>
        <v>1.41</v>
      </c>
      <c r="X292" s="47">
        <f t="shared" si="79"/>
        <v>1.28</v>
      </c>
    </row>
    <row r="293" spans="1:24">
      <c r="A293" s="45">
        <f t="shared" si="83"/>
        <v>1544</v>
      </c>
      <c r="B293" s="45" t="s">
        <v>2792</v>
      </c>
      <c r="C293" s="45">
        <v>1</v>
      </c>
      <c r="D293" s="45">
        <v>544</v>
      </c>
      <c r="F293" s="46">
        <f t="shared" si="84"/>
        <v>1015</v>
      </c>
      <c r="G293" s="45">
        <f t="shared" si="82"/>
        <v>4.33</v>
      </c>
      <c r="H293" s="45">
        <v>5</v>
      </c>
      <c r="I293" s="46">
        <v>10</v>
      </c>
      <c r="J293" s="46">
        <v>20</v>
      </c>
      <c r="K293" s="46" t="e">
        <f ca="1" t="shared" si="85"/>
        <v>#VALUE!</v>
      </c>
      <c r="L293" s="46" t="e">
        <f ca="1" t="shared" si="86"/>
        <v>#VALUE!</v>
      </c>
      <c r="M293" s="46" t="e">
        <f ca="1" t="shared" si="73"/>
        <v>#VALUE!</v>
      </c>
      <c r="N293" s="46" t="e">
        <f ca="1" t="shared" si="75"/>
        <v>#VALUE!</v>
      </c>
      <c r="O293" s="46">
        <v>50</v>
      </c>
      <c r="P293" s="46">
        <f t="shared" si="87"/>
        <v>15</v>
      </c>
      <c r="Q293" s="46" t="e">
        <f ca="1" t="shared" si="80"/>
        <v>#VALUE!</v>
      </c>
      <c r="R293" s="46" t="e">
        <f ca="1">OFFSET([2]怪物强度模型!$K$1,MATCH(F293,[2]怪物强度模型!$A:$A,0)-1,0)</f>
        <v>#VALUE!</v>
      </c>
      <c r="S293" s="46" t="e">
        <f ca="1">OFFSET([2]怪物强度模型!$O$1,MATCH(F293,[2]怪物强度模型!$A:$A,0)-1,0)</f>
        <v>#VALUE!</v>
      </c>
      <c r="T293" s="47" t="e">
        <f ca="1" t="shared" si="74"/>
        <v>#VALUE!</v>
      </c>
      <c r="U293" s="47" t="e">
        <f ca="1">Q293+N293*$V$1/10000+$V$1*OFFSET(卡牌辅助配置表!$V$1,MATCH(C293,卡牌辅助配置表!U:U,0)-1,0)*5*P293/10000/10000+M293*$V$1/10000</f>
        <v>#VALUE!</v>
      </c>
      <c r="V293" s="46" t="e">
        <f ca="1">OFFSET([2]怪物强度模型!$I$1,MATCH(F293,[2]怪物强度模型!$A:$A,0)-1,0)</f>
        <v>#VALUE!</v>
      </c>
      <c r="W293" s="47">
        <f t="shared" si="78"/>
        <v>1.41</v>
      </c>
      <c r="X293" s="47">
        <f t="shared" si="79"/>
        <v>1.28</v>
      </c>
    </row>
    <row r="294" spans="1:24">
      <c r="A294" s="45">
        <f t="shared" si="83"/>
        <v>1545</v>
      </c>
      <c r="B294" s="45" t="s">
        <v>2792</v>
      </c>
      <c r="C294" s="45">
        <v>1</v>
      </c>
      <c r="D294" s="45">
        <v>545</v>
      </c>
      <c r="F294" s="46">
        <f t="shared" si="84"/>
        <v>1015</v>
      </c>
      <c r="G294" s="45">
        <f t="shared" si="82"/>
        <v>2.48</v>
      </c>
      <c r="H294" s="45">
        <v>5</v>
      </c>
      <c r="I294" s="46">
        <v>10</v>
      </c>
      <c r="J294" s="46">
        <v>20</v>
      </c>
      <c r="K294" s="46" t="e">
        <f ca="1" t="shared" si="85"/>
        <v>#VALUE!</v>
      </c>
      <c r="L294" s="46" t="e">
        <f ca="1" t="shared" si="86"/>
        <v>#VALUE!</v>
      </c>
      <c r="M294" s="46" t="e">
        <f ca="1" t="shared" si="73"/>
        <v>#VALUE!</v>
      </c>
      <c r="N294" s="46" t="e">
        <f ca="1" t="shared" si="75"/>
        <v>#VALUE!</v>
      </c>
      <c r="O294" s="46">
        <v>51</v>
      </c>
      <c r="P294" s="46">
        <f t="shared" si="87"/>
        <v>15</v>
      </c>
      <c r="Q294" s="46" t="e">
        <f ca="1" t="shared" si="80"/>
        <v>#VALUE!</v>
      </c>
      <c r="R294" s="46" t="e">
        <f ca="1">OFFSET([2]怪物强度模型!$K$1,MATCH(F294,[2]怪物强度模型!$A:$A,0)-1,0)</f>
        <v>#VALUE!</v>
      </c>
      <c r="S294" s="46" t="e">
        <f ca="1">OFFSET([2]怪物强度模型!$O$1,MATCH(F294,[2]怪物强度模型!$A:$A,0)-1,0)</f>
        <v>#VALUE!</v>
      </c>
      <c r="T294" s="47" t="e">
        <f ca="1" t="shared" si="74"/>
        <v>#VALUE!</v>
      </c>
      <c r="U294" s="47" t="e">
        <f ca="1">Q294+N294*$V$1/10000+$V$1*OFFSET(卡牌辅助配置表!$V$1,MATCH(C294,卡牌辅助配置表!U:U,0)-1,0)*5*P294/10000/10000+M294*$V$1/10000</f>
        <v>#VALUE!</v>
      </c>
      <c r="V294" s="46" t="e">
        <f ca="1">OFFSET([2]怪物强度模型!$I$1,MATCH(F294,[2]怪物强度模型!$A:$A,0)-1,0)</f>
        <v>#VALUE!</v>
      </c>
      <c r="W294" s="47">
        <f t="shared" si="78"/>
        <v>1.41</v>
      </c>
      <c r="X294" s="47">
        <f t="shared" si="79"/>
        <v>1.28</v>
      </c>
    </row>
    <row r="295" spans="1:24">
      <c r="A295" s="45">
        <f t="shared" si="83"/>
        <v>1546</v>
      </c>
      <c r="B295" s="45" t="s">
        <v>2792</v>
      </c>
      <c r="C295" s="45">
        <v>1</v>
      </c>
      <c r="D295" s="45">
        <v>546</v>
      </c>
      <c r="F295" s="46">
        <f t="shared" si="84"/>
        <v>1015</v>
      </c>
      <c r="G295" s="45">
        <f t="shared" si="82"/>
        <v>2.53</v>
      </c>
      <c r="H295" s="45">
        <v>5</v>
      </c>
      <c r="I295" s="46">
        <v>10</v>
      </c>
      <c r="J295" s="46">
        <v>20</v>
      </c>
      <c r="K295" s="46" t="e">
        <f ca="1" t="shared" si="85"/>
        <v>#VALUE!</v>
      </c>
      <c r="L295" s="46" t="e">
        <f ca="1" t="shared" si="86"/>
        <v>#VALUE!</v>
      </c>
      <c r="M295" s="46" t="e">
        <f ca="1" t="shared" si="73"/>
        <v>#VALUE!</v>
      </c>
      <c r="N295" s="46" t="e">
        <f ca="1" t="shared" si="75"/>
        <v>#VALUE!</v>
      </c>
      <c r="O295" s="46">
        <v>52</v>
      </c>
      <c r="P295" s="46">
        <f t="shared" si="87"/>
        <v>15</v>
      </c>
      <c r="Q295" s="46" t="e">
        <f ca="1" t="shared" si="80"/>
        <v>#VALUE!</v>
      </c>
      <c r="R295" s="46" t="e">
        <f ca="1">OFFSET([2]怪物强度模型!$K$1,MATCH(F295,[2]怪物强度模型!$A:$A,0)-1,0)</f>
        <v>#VALUE!</v>
      </c>
      <c r="S295" s="46" t="e">
        <f ca="1">OFFSET([2]怪物强度模型!$O$1,MATCH(F295,[2]怪物强度模型!$A:$A,0)-1,0)</f>
        <v>#VALUE!</v>
      </c>
      <c r="T295" s="47" t="e">
        <f ca="1" t="shared" si="74"/>
        <v>#VALUE!</v>
      </c>
      <c r="U295" s="47" t="e">
        <f ca="1">Q295+N295*$V$1/10000+$V$1*OFFSET(卡牌辅助配置表!$V$1,MATCH(C295,卡牌辅助配置表!U:U,0)-1,0)*5*P295/10000/10000+M295*$V$1/10000</f>
        <v>#VALUE!</v>
      </c>
      <c r="V295" s="46" t="e">
        <f ca="1">OFFSET([2]怪物强度模型!$I$1,MATCH(F295,[2]怪物强度模型!$A:$A,0)-1,0)</f>
        <v>#VALUE!</v>
      </c>
      <c r="W295" s="47">
        <f t="shared" si="78"/>
        <v>1.42</v>
      </c>
      <c r="X295" s="47">
        <f t="shared" si="79"/>
        <v>1.28</v>
      </c>
    </row>
    <row r="296" spans="1:24">
      <c r="A296" s="45">
        <f t="shared" si="83"/>
        <v>1547</v>
      </c>
      <c r="B296" s="45" t="s">
        <v>2792</v>
      </c>
      <c r="C296" s="45">
        <v>1</v>
      </c>
      <c r="D296" s="45">
        <v>547</v>
      </c>
      <c r="F296" s="46">
        <f t="shared" si="84"/>
        <v>1015</v>
      </c>
      <c r="G296" s="45">
        <f t="shared" si="82"/>
        <v>2.58</v>
      </c>
      <c r="H296" s="45">
        <v>5</v>
      </c>
      <c r="I296" s="46">
        <v>10</v>
      </c>
      <c r="J296" s="46">
        <v>20</v>
      </c>
      <c r="K296" s="46" t="e">
        <f ca="1" t="shared" si="85"/>
        <v>#VALUE!</v>
      </c>
      <c r="L296" s="46" t="e">
        <f ca="1" t="shared" si="86"/>
        <v>#VALUE!</v>
      </c>
      <c r="M296" s="46" t="e">
        <f ca="1" t="shared" si="73"/>
        <v>#VALUE!</v>
      </c>
      <c r="N296" s="46" t="e">
        <f ca="1" t="shared" si="75"/>
        <v>#VALUE!</v>
      </c>
      <c r="O296" s="46">
        <v>53</v>
      </c>
      <c r="P296" s="46">
        <f t="shared" si="87"/>
        <v>15</v>
      </c>
      <c r="Q296" s="46" t="e">
        <f ca="1" t="shared" si="80"/>
        <v>#VALUE!</v>
      </c>
      <c r="R296" s="46" t="e">
        <f ca="1">OFFSET([2]怪物强度模型!$K$1,MATCH(F296,[2]怪物强度模型!$A:$A,0)-1,0)</f>
        <v>#VALUE!</v>
      </c>
      <c r="S296" s="46" t="e">
        <f ca="1">OFFSET([2]怪物强度模型!$O$1,MATCH(F296,[2]怪物强度模型!$A:$A,0)-1,0)</f>
        <v>#VALUE!</v>
      </c>
      <c r="T296" s="47" t="e">
        <f ca="1" t="shared" si="74"/>
        <v>#VALUE!</v>
      </c>
      <c r="U296" s="47" t="e">
        <f ca="1">Q296+N296*$V$1/10000+$V$1*OFFSET(卡牌辅助配置表!$V$1,MATCH(C296,卡牌辅助配置表!U:U,0)-1,0)*5*P296/10000/10000+M296*$V$1/10000</f>
        <v>#VALUE!</v>
      </c>
      <c r="V296" s="46" t="e">
        <f ca="1">OFFSET([2]怪物强度模型!$I$1,MATCH(F296,[2]怪物强度模型!$A:$A,0)-1,0)</f>
        <v>#VALUE!</v>
      </c>
      <c r="W296" s="47">
        <f t="shared" si="78"/>
        <v>1.42</v>
      </c>
      <c r="X296" s="47">
        <f t="shared" si="79"/>
        <v>1.28</v>
      </c>
    </row>
    <row r="297" spans="1:24">
      <c r="A297" s="45">
        <f t="shared" si="83"/>
        <v>1548</v>
      </c>
      <c r="B297" s="45" t="s">
        <v>2792</v>
      </c>
      <c r="C297" s="45">
        <v>1</v>
      </c>
      <c r="D297" s="45">
        <v>548</v>
      </c>
      <c r="F297" s="46">
        <f t="shared" si="84"/>
        <v>1015</v>
      </c>
      <c r="G297" s="45">
        <f t="shared" si="82"/>
        <v>2.63</v>
      </c>
      <c r="H297" s="45">
        <v>5</v>
      </c>
      <c r="I297" s="46">
        <v>10</v>
      </c>
      <c r="J297" s="46">
        <v>20</v>
      </c>
      <c r="K297" s="46" t="e">
        <f ca="1" t="shared" si="85"/>
        <v>#VALUE!</v>
      </c>
      <c r="L297" s="46" t="e">
        <f ca="1" t="shared" si="86"/>
        <v>#VALUE!</v>
      </c>
      <c r="M297" s="46" t="e">
        <f ca="1" t="shared" si="73"/>
        <v>#VALUE!</v>
      </c>
      <c r="N297" s="46" t="e">
        <f ca="1" t="shared" si="75"/>
        <v>#VALUE!</v>
      </c>
      <c r="O297" s="46">
        <v>54</v>
      </c>
      <c r="P297" s="46">
        <f t="shared" si="87"/>
        <v>15</v>
      </c>
      <c r="Q297" s="46" t="e">
        <f ca="1" t="shared" si="80"/>
        <v>#VALUE!</v>
      </c>
      <c r="R297" s="46" t="e">
        <f ca="1">OFFSET([2]怪物强度模型!$K$1,MATCH(F297,[2]怪物强度模型!$A:$A,0)-1,0)</f>
        <v>#VALUE!</v>
      </c>
      <c r="S297" s="46" t="e">
        <f ca="1">OFFSET([2]怪物强度模型!$O$1,MATCH(F297,[2]怪物强度模型!$A:$A,0)-1,0)</f>
        <v>#VALUE!</v>
      </c>
      <c r="T297" s="47" t="e">
        <f ca="1" t="shared" si="74"/>
        <v>#VALUE!</v>
      </c>
      <c r="U297" s="47" t="e">
        <f ca="1">Q297+N297*$V$1/10000+$V$1*OFFSET(卡牌辅助配置表!$V$1,MATCH(C297,卡牌辅助配置表!U:U,0)-1,0)*5*P297/10000/10000+M297*$V$1/10000</f>
        <v>#VALUE!</v>
      </c>
      <c r="V297" s="46" t="e">
        <f ca="1">OFFSET([2]怪物强度模型!$I$1,MATCH(F297,[2]怪物强度模型!$A:$A,0)-1,0)</f>
        <v>#VALUE!</v>
      </c>
      <c r="W297" s="47">
        <f t="shared" si="78"/>
        <v>1.42</v>
      </c>
      <c r="X297" s="47">
        <f t="shared" si="79"/>
        <v>1.28</v>
      </c>
    </row>
    <row r="298" spans="1:24">
      <c r="A298" s="45">
        <f t="shared" si="83"/>
        <v>1549</v>
      </c>
      <c r="B298" s="45" t="s">
        <v>2792</v>
      </c>
      <c r="C298" s="45">
        <v>1</v>
      </c>
      <c r="D298" s="45">
        <v>549</v>
      </c>
      <c r="F298" s="46">
        <f t="shared" si="84"/>
        <v>1015</v>
      </c>
      <c r="G298" s="45">
        <f>G288+0.1</f>
        <v>4.4</v>
      </c>
      <c r="H298" s="45">
        <v>5</v>
      </c>
      <c r="I298" s="46">
        <v>10</v>
      </c>
      <c r="J298" s="46">
        <v>20</v>
      </c>
      <c r="K298" s="46" t="e">
        <f ca="1" t="shared" si="85"/>
        <v>#VALUE!</v>
      </c>
      <c r="L298" s="46" t="e">
        <f ca="1" t="shared" si="86"/>
        <v>#VALUE!</v>
      </c>
      <c r="M298" s="46" t="e">
        <f ca="1" t="shared" si="73"/>
        <v>#VALUE!</v>
      </c>
      <c r="N298" s="46" t="e">
        <f ca="1" t="shared" si="75"/>
        <v>#VALUE!</v>
      </c>
      <c r="O298" s="46">
        <v>55</v>
      </c>
      <c r="P298" s="46">
        <f t="shared" si="87"/>
        <v>15</v>
      </c>
      <c r="Q298" s="46" t="e">
        <f ca="1" t="shared" si="80"/>
        <v>#VALUE!</v>
      </c>
      <c r="R298" s="46" t="e">
        <f ca="1">OFFSET([2]怪物强度模型!$K$1,MATCH(F298,[2]怪物强度模型!$A:$A,0)-1,0)</f>
        <v>#VALUE!</v>
      </c>
      <c r="S298" s="46" t="e">
        <f ca="1">OFFSET([2]怪物强度模型!$O$1,MATCH(F298,[2]怪物强度模型!$A:$A,0)-1,0)</f>
        <v>#VALUE!</v>
      </c>
      <c r="T298" s="47" t="e">
        <f ca="1" t="shared" si="74"/>
        <v>#VALUE!</v>
      </c>
      <c r="U298" s="47" t="e">
        <f ca="1">Q298+N298*$V$1/10000+$V$1*OFFSET(卡牌辅助配置表!$V$1,MATCH(C298,卡牌辅助配置表!U:U,0)-1,0)*5*P298/10000/10000+M298*$V$1/10000</f>
        <v>#VALUE!</v>
      </c>
      <c r="V298" s="46" t="e">
        <f ca="1">OFFSET([2]怪物强度模型!$I$1,MATCH(F298,[2]怪物强度模型!$A:$A,0)-1,0)</f>
        <v>#VALUE!</v>
      </c>
      <c r="W298" s="47">
        <f t="shared" si="78"/>
        <v>1.55</v>
      </c>
      <c r="X298" s="47">
        <f t="shared" si="79"/>
        <v>1.28</v>
      </c>
    </row>
    <row r="299" spans="1:24">
      <c r="A299" s="45">
        <f t="shared" si="83"/>
        <v>1550</v>
      </c>
      <c r="B299" s="45" t="s">
        <v>2792</v>
      </c>
      <c r="C299" s="45">
        <v>1</v>
      </c>
      <c r="D299" s="45">
        <v>550</v>
      </c>
      <c r="F299" s="46">
        <f t="shared" si="84"/>
        <v>1016</v>
      </c>
      <c r="G299" s="45">
        <f t="shared" si="82"/>
        <v>2.51</v>
      </c>
      <c r="H299" s="45">
        <v>5</v>
      </c>
      <c r="I299" s="46">
        <v>10</v>
      </c>
      <c r="J299" s="46">
        <v>20</v>
      </c>
      <c r="K299" s="46" t="e">
        <f ca="1" t="shared" si="85"/>
        <v>#VALUE!</v>
      </c>
      <c r="L299" s="46" t="e">
        <f ca="1" t="shared" si="86"/>
        <v>#VALUE!</v>
      </c>
      <c r="M299" s="46" t="e">
        <f ca="1" t="shared" si="73"/>
        <v>#VALUE!</v>
      </c>
      <c r="N299" s="46" t="e">
        <f ca="1" t="shared" si="75"/>
        <v>#VALUE!</v>
      </c>
      <c r="O299" s="46">
        <v>56</v>
      </c>
      <c r="P299" s="46">
        <f t="shared" si="87"/>
        <v>16</v>
      </c>
      <c r="Q299" s="46" t="e">
        <f ca="1" t="shared" si="80"/>
        <v>#VALUE!</v>
      </c>
      <c r="R299" s="46" t="e">
        <f ca="1">OFFSET([2]怪物强度模型!$K$1,MATCH(F299,[2]怪物强度模型!$A:$A,0)-1,0)</f>
        <v>#VALUE!</v>
      </c>
      <c r="S299" s="46" t="e">
        <f ca="1">OFFSET([2]怪物强度模型!$O$1,MATCH(F299,[2]怪物强度模型!$A:$A,0)-1,0)</f>
        <v>#VALUE!</v>
      </c>
      <c r="T299" s="47" t="e">
        <f ca="1" t="shared" si="74"/>
        <v>#VALUE!</v>
      </c>
      <c r="U299" s="47" t="e">
        <f ca="1">Q299+N299*$V$1/10000+$V$1*OFFSET(卡牌辅助配置表!$V$1,MATCH(C299,卡牌辅助配置表!U:U,0)-1,0)*5*P299/10000/10000+M299*$V$1/10000</f>
        <v>#VALUE!</v>
      </c>
      <c r="V299" s="46" t="e">
        <f ca="1">OFFSET([2]怪物强度模型!$I$1,MATCH(F299,[2]怪物强度模型!$A:$A,0)-1,0)</f>
        <v>#VALUE!</v>
      </c>
      <c r="W299" s="47">
        <f t="shared" si="78"/>
        <v>1.45</v>
      </c>
      <c r="X299" s="47">
        <f t="shared" si="79"/>
        <v>1.3</v>
      </c>
    </row>
    <row r="300" spans="1:24">
      <c r="A300" s="45">
        <f t="shared" si="83"/>
        <v>1551</v>
      </c>
      <c r="B300" s="45" t="s">
        <v>2792</v>
      </c>
      <c r="C300" s="45">
        <v>1</v>
      </c>
      <c r="D300" s="45">
        <v>551</v>
      </c>
      <c r="F300" s="46">
        <f t="shared" si="84"/>
        <v>1016</v>
      </c>
      <c r="G300" s="45">
        <f t="shared" si="82"/>
        <v>2.56</v>
      </c>
      <c r="H300" s="45">
        <v>5</v>
      </c>
      <c r="I300" s="46">
        <v>10</v>
      </c>
      <c r="J300" s="46">
        <v>20</v>
      </c>
      <c r="K300" s="46" t="e">
        <f ca="1" t="shared" si="85"/>
        <v>#VALUE!</v>
      </c>
      <c r="L300" s="46" t="e">
        <f ca="1" t="shared" si="86"/>
        <v>#VALUE!</v>
      </c>
      <c r="M300" s="46" t="e">
        <f ca="1" t="shared" si="73"/>
        <v>#VALUE!</v>
      </c>
      <c r="N300" s="46" t="e">
        <f ca="1" t="shared" si="75"/>
        <v>#VALUE!</v>
      </c>
      <c r="O300" s="46">
        <v>57</v>
      </c>
      <c r="P300" s="46">
        <f t="shared" si="87"/>
        <v>16</v>
      </c>
      <c r="Q300" s="46" t="e">
        <f ca="1" t="shared" si="80"/>
        <v>#VALUE!</v>
      </c>
      <c r="R300" s="46" t="e">
        <f ca="1">OFFSET([2]怪物强度模型!$K$1,MATCH(F300,[2]怪物强度模型!$A:$A,0)-1,0)</f>
        <v>#VALUE!</v>
      </c>
      <c r="S300" s="46" t="e">
        <f ca="1">OFFSET([2]怪物强度模型!$O$1,MATCH(F300,[2]怪物强度模型!$A:$A,0)-1,0)</f>
        <v>#VALUE!</v>
      </c>
      <c r="T300" s="47" t="e">
        <f ca="1" t="shared" si="74"/>
        <v>#VALUE!</v>
      </c>
      <c r="U300" s="47" t="e">
        <f ca="1">Q300+N300*$V$1/10000+$V$1*OFFSET(卡牌辅助配置表!$V$1,MATCH(C300,卡牌辅助配置表!U:U,0)-1,0)*5*P300/10000/10000+M300*$V$1/10000</f>
        <v>#VALUE!</v>
      </c>
      <c r="V300" s="46" t="e">
        <f ca="1">OFFSET([2]怪物强度模型!$I$1,MATCH(F300,[2]怪物强度模型!$A:$A,0)-1,0)</f>
        <v>#VALUE!</v>
      </c>
      <c r="W300" s="47">
        <f t="shared" si="78"/>
        <v>1.45</v>
      </c>
      <c r="X300" s="47">
        <f t="shared" si="79"/>
        <v>1.3</v>
      </c>
    </row>
    <row r="301" spans="1:24">
      <c r="A301" s="45">
        <f t="shared" si="83"/>
        <v>1552</v>
      </c>
      <c r="B301" s="45" t="s">
        <v>2792</v>
      </c>
      <c r="C301" s="45">
        <v>1</v>
      </c>
      <c r="D301" s="45">
        <v>552</v>
      </c>
      <c r="F301" s="46">
        <f t="shared" si="84"/>
        <v>1016</v>
      </c>
      <c r="G301" s="45">
        <f t="shared" si="82"/>
        <v>2.61</v>
      </c>
      <c r="H301" s="45">
        <v>5</v>
      </c>
      <c r="I301" s="46">
        <v>10</v>
      </c>
      <c r="J301" s="46">
        <v>20</v>
      </c>
      <c r="K301" s="46" t="e">
        <f ca="1" t="shared" si="85"/>
        <v>#VALUE!</v>
      </c>
      <c r="L301" s="46" t="e">
        <f ca="1" t="shared" si="86"/>
        <v>#VALUE!</v>
      </c>
      <c r="M301" s="46" t="e">
        <f ca="1" t="shared" si="73"/>
        <v>#VALUE!</v>
      </c>
      <c r="N301" s="46" t="e">
        <f ca="1" t="shared" si="75"/>
        <v>#VALUE!</v>
      </c>
      <c r="O301" s="46">
        <v>58</v>
      </c>
      <c r="P301" s="46">
        <f t="shared" si="87"/>
        <v>16</v>
      </c>
      <c r="Q301" s="46" t="e">
        <f ca="1" t="shared" si="80"/>
        <v>#VALUE!</v>
      </c>
      <c r="R301" s="46" t="e">
        <f ca="1">OFFSET([2]怪物强度模型!$K$1,MATCH(F301,[2]怪物强度模型!$A:$A,0)-1,0)</f>
        <v>#VALUE!</v>
      </c>
      <c r="S301" s="46" t="e">
        <f ca="1">OFFSET([2]怪物强度模型!$O$1,MATCH(F301,[2]怪物强度模型!$A:$A,0)-1,0)</f>
        <v>#VALUE!</v>
      </c>
      <c r="T301" s="47" t="e">
        <f ca="1" t="shared" si="74"/>
        <v>#VALUE!</v>
      </c>
      <c r="U301" s="47" t="e">
        <f ca="1">Q301+N301*$V$1/10000+$V$1*OFFSET(卡牌辅助配置表!$V$1,MATCH(C301,卡牌辅助配置表!U:U,0)-1,0)*5*P301/10000/10000+M301*$V$1/10000</f>
        <v>#VALUE!</v>
      </c>
      <c r="V301" s="46" t="e">
        <f ca="1">OFFSET([2]怪物强度模型!$I$1,MATCH(F301,[2]怪物强度模型!$A:$A,0)-1,0)</f>
        <v>#VALUE!</v>
      </c>
      <c r="W301" s="47">
        <f t="shared" si="78"/>
        <v>1.45</v>
      </c>
      <c r="X301" s="47">
        <f t="shared" si="79"/>
        <v>1.3</v>
      </c>
    </row>
    <row r="302" spans="1:24">
      <c r="A302" s="45">
        <f t="shared" si="83"/>
        <v>1553</v>
      </c>
      <c r="B302" s="45" t="s">
        <v>2792</v>
      </c>
      <c r="C302" s="45">
        <v>1</v>
      </c>
      <c r="D302" s="45">
        <v>553</v>
      </c>
      <c r="F302" s="46">
        <f t="shared" si="84"/>
        <v>1016</v>
      </c>
      <c r="G302" s="45">
        <f t="shared" si="82"/>
        <v>2.66</v>
      </c>
      <c r="H302" s="45">
        <v>5</v>
      </c>
      <c r="I302" s="46">
        <v>10</v>
      </c>
      <c r="J302" s="46">
        <v>20</v>
      </c>
      <c r="K302" s="46" t="e">
        <f ca="1" t="shared" si="85"/>
        <v>#VALUE!</v>
      </c>
      <c r="L302" s="46" t="e">
        <f ca="1" t="shared" si="86"/>
        <v>#VALUE!</v>
      </c>
      <c r="M302" s="46" t="e">
        <f ca="1" t="shared" si="73"/>
        <v>#VALUE!</v>
      </c>
      <c r="N302" s="46" t="e">
        <f ca="1" t="shared" si="75"/>
        <v>#VALUE!</v>
      </c>
      <c r="O302" s="46">
        <v>59</v>
      </c>
      <c r="P302" s="46">
        <f t="shared" si="87"/>
        <v>16</v>
      </c>
      <c r="Q302" s="46" t="e">
        <f ca="1" t="shared" si="80"/>
        <v>#VALUE!</v>
      </c>
      <c r="R302" s="46" t="e">
        <f ca="1">OFFSET([2]怪物强度模型!$K$1,MATCH(F302,[2]怪物强度模型!$A:$A,0)-1,0)</f>
        <v>#VALUE!</v>
      </c>
      <c r="S302" s="46" t="e">
        <f ca="1">OFFSET([2]怪物强度模型!$O$1,MATCH(F302,[2]怪物强度模型!$A:$A,0)-1,0)</f>
        <v>#VALUE!</v>
      </c>
      <c r="T302" s="47" t="e">
        <f ca="1" t="shared" si="74"/>
        <v>#VALUE!</v>
      </c>
      <c r="U302" s="47" t="e">
        <f ca="1">Q302+N302*$V$1/10000+$V$1*OFFSET(卡牌辅助配置表!$V$1,MATCH(C302,卡牌辅助配置表!U:U,0)-1,0)*5*P302/10000/10000+M302*$V$1/10000</f>
        <v>#VALUE!</v>
      </c>
      <c r="V302" s="46" t="e">
        <f ca="1">OFFSET([2]怪物强度模型!$I$1,MATCH(F302,[2]怪物强度模型!$A:$A,0)-1,0)</f>
        <v>#VALUE!</v>
      </c>
      <c r="W302" s="47">
        <f t="shared" si="78"/>
        <v>1.46</v>
      </c>
      <c r="X302" s="47">
        <f t="shared" si="79"/>
        <v>1.3</v>
      </c>
    </row>
    <row r="303" spans="1:24">
      <c r="A303" s="45">
        <f t="shared" si="83"/>
        <v>1554</v>
      </c>
      <c r="B303" s="45" t="s">
        <v>2792</v>
      </c>
      <c r="C303" s="45">
        <v>1</v>
      </c>
      <c r="D303" s="45">
        <v>554</v>
      </c>
      <c r="F303" s="46">
        <f t="shared" si="84"/>
        <v>1016</v>
      </c>
      <c r="G303" s="45">
        <f t="shared" si="82"/>
        <v>4.43</v>
      </c>
      <c r="H303" s="45">
        <v>5</v>
      </c>
      <c r="I303" s="46">
        <v>10</v>
      </c>
      <c r="J303" s="46">
        <v>20</v>
      </c>
      <c r="K303" s="46" t="e">
        <f ca="1" t="shared" si="85"/>
        <v>#VALUE!</v>
      </c>
      <c r="L303" s="46" t="e">
        <f ca="1" t="shared" si="86"/>
        <v>#VALUE!</v>
      </c>
      <c r="M303" s="46" t="e">
        <f ca="1" t="shared" si="73"/>
        <v>#VALUE!</v>
      </c>
      <c r="N303" s="46" t="e">
        <f ca="1" t="shared" si="75"/>
        <v>#VALUE!</v>
      </c>
      <c r="O303" s="46">
        <v>60</v>
      </c>
      <c r="P303" s="46">
        <f t="shared" si="87"/>
        <v>16</v>
      </c>
      <c r="Q303" s="46" t="e">
        <f ca="1" t="shared" si="80"/>
        <v>#VALUE!</v>
      </c>
      <c r="R303" s="46" t="e">
        <f ca="1">OFFSET([2]怪物强度模型!$K$1,MATCH(F303,[2]怪物强度模型!$A:$A,0)-1,0)</f>
        <v>#VALUE!</v>
      </c>
      <c r="S303" s="46" t="e">
        <f ca="1">OFFSET([2]怪物强度模型!$O$1,MATCH(F303,[2]怪物强度模型!$A:$A,0)-1,0)</f>
        <v>#VALUE!</v>
      </c>
      <c r="T303" s="47" t="e">
        <f ca="1" t="shared" si="74"/>
        <v>#VALUE!</v>
      </c>
      <c r="U303" s="47" t="e">
        <f ca="1">Q303+N303*$V$1/10000+$V$1*OFFSET(卡牌辅助配置表!$V$1,MATCH(C303,卡牌辅助配置表!U:U,0)-1,0)*5*P303/10000/10000+M303*$V$1/10000</f>
        <v>#VALUE!</v>
      </c>
      <c r="V303" s="46" t="e">
        <f ca="1">OFFSET([2]怪物强度模型!$I$1,MATCH(F303,[2]怪物强度模型!$A:$A,0)-1,0)</f>
        <v>#VALUE!</v>
      </c>
      <c r="W303" s="47">
        <f t="shared" si="78"/>
        <v>1.46</v>
      </c>
      <c r="X303" s="47">
        <f t="shared" si="79"/>
        <v>1.3</v>
      </c>
    </row>
    <row r="304" spans="1:24">
      <c r="A304" s="45">
        <f t="shared" si="83"/>
        <v>1555</v>
      </c>
      <c r="B304" s="45" t="s">
        <v>2792</v>
      </c>
      <c r="C304" s="45">
        <v>1</v>
      </c>
      <c r="D304" s="45">
        <v>555</v>
      </c>
      <c r="F304" s="46">
        <f t="shared" si="84"/>
        <v>1016</v>
      </c>
      <c r="G304" s="45">
        <f t="shared" si="82"/>
        <v>2.54</v>
      </c>
      <c r="H304" s="45">
        <v>5</v>
      </c>
      <c r="I304" s="46">
        <v>10</v>
      </c>
      <c r="J304" s="46">
        <v>20</v>
      </c>
      <c r="K304" s="46" t="e">
        <f ca="1" t="shared" si="85"/>
        <v>#VALUE!</v>
      </c>
      <c r="L304" s="46" t="e">
        <f ca="1" t="shared" si="86"/>
        <v>#VALUE!</v>
      </c>
      <c r="M304" s="46" t="e">
        <f ca="1" t="shared" si="73"/>
        <v>#VALUE!</v>
      </c>
      <c r="N304" s="46" t="e">
        <f ca="1" t="shared" si="75"/>
        <v>#VALUE!</v>
      </c>
      <c r="O304" s="46">
        <v>61</v>
      </c>
      <c r="P304" s="46">
        <f t="shared" si="87"/>
        <v>16</v>
      </c>
      <c r="Q304" s="46" t="e">
        <f ca="1" t="shared" si="80"/>
        <v>#VALUE!</v>
      </c>
      <c r="R304" s="46" t="e">
        <f ca="1">OFFSET([2]怪物强度模型!$K$1,MATCH(F304,[2]怪物强度模型!$A:$A,0)-1,0)</f>
        <v>#VALUE!</v>
      </c>
      <c r="S304" s="46" t="e">
        <f ca="1">OFFSET([2]怪物强度模型!$O$1,MATCH(F304,[2]怪物强度模型!$A:$A,0)-1,0)</f>
        <v>#VALUE!</v>
      </c>
      <c r="T304" s="47" t="e">
        <f ca="1" t="shared" si="74"/>
        <v>#VALUE!</v>
      </c>
      <c r="U304" s="47" t="e">
        <f ca="1">Q304+N304*$V$1/10000+$V$1*OFFSET(卡牌辅助配置表!$V$1,MATCH(C304,卡牌辅助配置表!U:U,0)-1,0)*5*P304/10000/10000+M304*$V$1/10000</f>
        <v>#VALUE!</v>
      </c>
      <c r="V304" s="46" t="e">
        <f ca="1">OFFSET([2]怪物强度模型!$I$1,MATCH(F304,[2]怪物强度模型!$A:$A,0)-1,0)</f>
        <v>#VALUE!</v>
      </c>
      <c r="W304" s="47">
        <f t="shared" si="78"/>
        <v>1.46</v>
      </c>
      <c r="X304" s="47">
        <f t="shared" si="79"/>
        <v>1.3</v>
      </c>
    </row>
    <row r="305" spans="1:24">
      <c r="A305" s="45">
        <f t="shared" si="83"/>
        <v>1556</v>
      </c>
      <c r="B305" s="45" t="s">
        <v>2792</v>
      </c>
      <c r="C305" s="45">
        <v>1</v>
      </c>
      <c r="D305" s="45">
        <v>556</v>
      </c>
      <c r="F305" s="46">
        <f t="shared" si="84"/>
        <v>1016</v>
      </c>
      <c r="G305" s="45">
        <f t="shared" si="82"/>
        <v>2.59</v>
      </c>
      <c r="H305" s="45">
        <v>5</v>
      </c>
      <c r="I305" s="46">
        <v>10</v>
      </c>
      <c r="J305" s="46">
        <v>20</v>
      </c>
      <c r="K305" s="46" t="e">
        <f ca="1" t="shared" si="85"/>
        <v>#VALUE!</v>
      </c>
      <c r="L305" s="46" t="e">
        <f ca="1" t="shared" si="86"/>
        <v>#VALUE!</v>
      </c>
      <c r="M305" s="46" t="e">
        <f ca="1" t="shared" si="73"/>
        <v>#VALUE!</v>
      </c>
      <c r="N305" s="46" t="e">
        <f ca="1" t="shared" si="75"/>
        <v>#VALUE!</v>
      </c>
      <c r="O305" s="46">
        <v>62</v>
      </c>
      <c r="P305" s="46">
        <f t="shared" si="87"/>
        <v>16</v>
      </c>
      <c r="Q305" s="46" t="e">
        <f ca="1" t="shared" si="80"/>
        <v>#VALUE!</v>
      </c>
      <c r="R305" s="46" t="e">
        <f ca="1">OFFSET([2]怪物强度模型!$K$1,MATCH(F305,[2]怪物强度模型!$A:$A,0)-1,0)</f>
        <v>#VALUE!</v>
      </c>
      <c r="S305" s="46" t="e">
        <f ca="1">OFFSET([2]怪物强度模型!$O$1,MATCH(F305,[2]怪物强度模型!$A:$A,0)-1,0)</f>
        <v>#VALUE!</v>
      </c>
      <c r="T305" s="47" t="e">
        <f ca="1" t="shared" si="74"/>
        <v>#VALUE!</v>
      </c>
      <c r="U305" s="47" t="e">
        <f ca="1">Q305+N305*$V$1/10000+$V$1*OFFSET(卡牌辅助配置表!$V$1,MATCH(C305,卡牌辅助配置表!U:U,0)-1,0)*5*P305/10000/10000+M305*$V$1/10000</f>
        <v>#VALUE!</v>
      </c>
      <c r="V305" s="46" t="e">
        <f ca="1">OFFSET([2]怪物强度模型!$I$1,MATCH(F305,[2]怪物强度模型!$A:$A,0)-1,0)</f>
        <v>#VALUE!</v>
      </c>
      <c r="W305" s="47">
        <f t="shared" si="78"/>
        <v>1.47</v>
      </c>
      <c r="X305" s="47">
        <f t="shared" si="79"/>
        <v>1.3</v>
      </c>
    </row>
    <row r="306" spans="1:24">
      <c r="A306" s="45">
        <f t="shared" si="83"/>
        <v>1557</v>
      </c>
      <c r="B306" s="45" t="s">
        <v>2792</v>
      </c>
      <c r="C306" s="45">
        <v>1</v>
      </c>
      <c r="D306" s="45">
        <v>557</v>
      </c>
      <c r="F306" s="46">
        <f t="shared" si="84"/>
        <v>1016</v>
      </c>
      <c r="G306" s="45">
        <f t="shared" si="82"/>
        <v>2.64</v>
      </c>
      <c r="H306" s="45">
        <v>5</v>
      </c>
      <c r="I306" s="46">
        <v>10</v>
      </c>
      <c r="J306" s="46">
        <v>20</v>
      </c>
      <c r="K306" s="46" t="e">
        <f ca="1" t="shared" si="85"/>
        <v>#VALUE!</v>
      </c>
      <c r="L306" s="46" t="e">
        <f ca="1" t="shared" si="86"/>
        <v>#VALUE!</v>
      </c>
      <c r="M306" s="46" t="e">
        <f ca="1" t="shared" si="73"/>
        <v>#VALUE!</v>
      </c>
      <c r="N306" s="46" t="e">
        <f ca="1" t="shared" si="75"/>
        <v>#VALUE!</v>
      </c>
      <c r="O306" s="46">
        <v>63</v>
      </c>
      <c r="P306" s="46">
        <f t="shared" si="87"/>
        <v>16</v>
      </c>
      <c r="Q306" s="46" t="e">
        <f ca="1" t="shared" si="80"/>
        <v>#VALUE!</v>
      </c>
      <c r="R306" s="46" t="e">
        <f ca="1">OFFSET([2]怪物强度模型!$K$1,MATCH(F306,[2]怪物强度模型!$A:$A,0)-1,0)</f>
        <v>#VALUE!</v>
      </c>
      <c r="S306" s="46" t="e">
        <f ca="1">OFFSET([2]怪物强度模型!$O$1,MATCH(F306,[2]怪物强度模型!$A:$A,0)-1,0)</f>
        <v>#VALUE!</v>
      </c>
      <c r="T306" s="47" t="e">
        <f ca="1" t="shared" si="74"/>
        <v>#VALUE!</v>
      </c>
      <c r="U306" s="47" t="e">
        <f ca="1">Q306+N306*$V$1/10000+$V$1*OFFSET(卡牌辅助配置表!$V$1,MATCH(C306,卡牌辅助配置表!U:U,0)-1,0)*5*P306/10000/10000+M306*$V$1/10000</f>
        <v>#VALUE!</v>
      </c>
      <c r="V306" s="46" t="e">
        <f ca="1">OFFSET([2]怪物强度模型!$I$1,MATCH(F306,[2]怪物强度模型!$A:$A,0)-1,0)</f>
        <v>#VALUE!</v>
      </c>
      <c r="W306" s="47">
        <f t="shared" si="78"/>
        <v>1.47</v>
      </c>
      <c r="X306" s="47">
        <f t="shared" si="79"/>
        <v>1.3</v>
      </c>
    </row>
    <row r="307" spans="1:24">
      <c r="A307" s="45">
        <f t="shared" si="83"/>
        <v>1558</v>
      </c>
      <c r="B307" s="45" t="s">
        <v>2792</v>
      </c>
      <c r="C307" s="45">
        <v>1</v>
      </c>
      <c r="D307" s="45">
        <v>558</v>
      </c>
      <c r="F307" s="46">
        <f t="shared" si="84"/>
        <v>1016</v>
      </c>
      <c r="G307" s="45">
        <f t="shared" si="82"/>
        <v>2.69</v>
      </c>
      <c r="H307" s="45">
        <v>5</v>
      </c>
      <c r="I307" s="46">
        <v>10</v>
      </c>
      <c r="J307" s="46">
        <v>20</v>
      </c>
      <c r="K307" s="46" t="e">
        <f ca="1" t="shared" si="85"/>
        <v>#VALUE!</v>
      </c>
      <c r="L307" s="46" t="e">
        <f ca="1" t="shared" si="86"/>
        <v>#VALUE!</v>
      </c>
      <c r="M307" s="46" t="e">
        <f ca="1" t="shared" si="73"/>
        <v>#VALUE!</v>
      </c>
      <c r="N307" s="46" t="e">
        <f ca="1" t="shared" si="75"/>
        <v>#VALUE!</v>
      </c>
      <c r="O307" s="46">
        <v>64</v>
      </c>
      <c r="P307" s="46">
        <f t="shared" si="87"/>
        <v>16</v>
      </c>
      <c r="Q307" s="46" t="e">
        <f ca="1" t="shared" si="80"/>
        <v>#VALUE!</v>
      </c>
      <c r="R307" s="46" t="e">
        <f ca="1">OFFSET([2]怪物强度模型!$K$1,MATCH(F307,[2]怪物强度模型!$A:$A,0)-1,0)</f>
        <v>#VALUE!</v>
      </c>
      <c r="S307" s="46" t="e">
        <f ca="1">OFFSET([2]怪物强度模型!$O$1,MATCH(F307,[2]怪物强度模型!$A:$A,0)-1,0)</f>
        <v>#VALUE!</v>
      </c>
      <c r="T307" s="47" t="e">
        <f ca="1" t="shared" si="74"/>
        <v>#VALUE!</v>
      </c>
      <c r="U307" s="47" t="e">
        <f ca="1">Q307+N307*$V$1/10000+$V$1*OFFSET(卡牌辅助配置表!$V$1,MATCH(C307,卡牌辅助配置表!U:U,0)-1,0)*5*P307/10000/10000+M307*$V$1/10000</f>
        <v>#VALUE!</v>
      </c>
      <c r="V307" s="46" t="e">
        <f ca="1">OFFSET([2]怪物强度模型!$I$1,MATCH(F307,[2]怪物强度模型!$A:$A,0)-1,0)</f>
        <v>#VALUE!</v>
      </c>
      <c r="W307" s="47">
        <f t="shared" si="78"/>
        <v>1.47</v>
      </c>
      <c r="X307" s="47">
        <f t="shared" si="79"/>
        <v>1.3</v>
      </c>
    </row>
    <row r="308" spans="1:24">
      <c r="A308" s="45">
        <f t="shared" si="83"/>
        <v>1559</v>
      </c>
      <c r="B308" s="45" t="s">
        <v>2792</v>
      </c>
      <c r="C308" s="45">
        <v>1</v>
      </c>
      <c r="D308" s="45">
        <v>559</v>
      </c>
      <c r="F308" s="46">
        <f t="shared" si="84"/>
        <v>1016</v>
      </c>
      <c r="G308" s="45">
        <f>G298+0.1</f>
        <v>4.5</v>
      </c>
      <c r="H308" s="45">
        <v>5</v>
      </c>
      <c r="I308" s="46">
        <v>10</v>
      </c>
      <c r="J308" s="46">
        <v>20</v>
      </c>
      <c r="K308" s="46" t="e">
        <f ca="1" t="shared" si="85"/>
        <v>#VALUE!</v>
      </c>
      <c r="L308" s="46" t="e">
        <f ca="1" t="shared" si="86"/>
        <v>#VALUE!</v>
      </c>
      <c r="M308" s="46" t="e">
        <f ca="1" t="shared" si="73"/>
        <v>#VALUE!</v>
      </c>
      <c r="N308" s="46" t="e">
        <f ca="1" t="shared" si="75"/>
        <v>#VALUE!</v>
      </c>
      <c r="O308" s="46">
        <v>65</v>
      </c>
      <c r="P308" s="46">
        <f t="shared" si="87"/>
        <v>16</v>
      </c>
      <c r="Q308" s="46" t="e">
        <f ca="1" t="shared" si="80"/>
        <v>#VALUE!</v>
      </c>
      <c r="R308" s="46" t="e">
        <f ca="1">OFFSET([2]怪物强度模型!$K$1,MATCH(F308,[2]怪物强度模型!$A:$A,0)-1,0)</f>
        <v>#VALUE!</v>
      </c>
      <c r="S308" s="46" t="e">
        <f ca="1">OFFSET([2]怪物强度模型!$O$1,MATCH(F308,[2]怪物强度模型!$A:$A,0)-1,0)</f>
        <v>#VALUE!</v>
      </c>
      <c r="T308" s="47" t="e">
        <f ca="1" t="shared" si="74"/>
        <v>#VALUE!</v>
      </c>
      <c r="U308" s="47" t="e">
        <f ca="1">Q308+N308*$V$1/10000+$V$1*OFFSET(卡牌辅助配置表!$V$1,MATCH(C308,卡牌辅助配置表!U:U,0)-1,0)*5*P308/10000/10000+M308*$V$1/10000</f>
        <v>#VALUE!</v>
      </c>
      <c r="V308" s="46" t="e">
        <f ca="1">OFFSET([2]怪物强度模型!$I$1,MATCH(F308,[2]怪物强度模型!$A:$A,0)-1,0)</f>
        <v>#VALUE!</v>
      </c>
      <c r="W308" s="47">
        <f t="shared" si="78"/>
        <v>1.6</v>
      </c>
      <c r="X308" s="47">
        <f t="shared" si="79"/>
        <v>1.3</v>
      </c>
    </row>
    <row r="309" spans="1:24">
      <c r="A309" s="45">
        <f t="shared" si="83"/>
        <v>1560</v>
      </c>
      <c r="B309" s="45" t="s">
        <v>2792</v>
      </c>
      <c r="C309" s="45">
        <v>1</v>
      </c>
      <c r="D309" s="45">
        <v>560</v>
      </c>
      <c r="F309" s="46">
        <f t="shared" si="84"/>
        <v>1017</v>
      </c>
      <c r="G309" s="45">
        <f t="shared" si="82"/>
        <v>2.57</v>
      </c>
      <c r="H309" s="45">
        <v>5</v>
      </c>
      <c r="I309" s="46">
        <v>10</v>
      </c>
      <c r="J309" s="46">
        <v>20</v>
      </c>
      <c r="K309" s="46" t="e">
        <f ca="1" t="shared" si="85"/>
        <v>#VALUE!</v>
      </c>
      <c r="L309" s="46" t="e">
        <f ca="1" t="shared" si="86"/>
        <v>#VALUE!</v>
      </c>
      <c r="M309" s="46" t="e">
        <f ca="1" t="shared" si="73"/>
        <v>#VALUE!</v>
      </c>
      <c r="N309" s="46" t="e">
        <f ca="1" t="shared" si="75"/>
        <v>#VALUE!</v>
      </c>
      <c r="O309" s="46">
        <v>66</v>
      </c>
      <c r="P309" s="46">
        <f t="shared" si="87"/>
        <v>17</v>
      </c>
      <c r="Q309" s="46" t="e">
        <f ca="1" t="shared" si="80"/>
        <v>#VALUE!</v>
      </c>
      <c r="R309" s="46" t="e">
        <f ca="1">OFFSET([2]怪物强度模型!$K$1,MATCH(F309,[2]怪物强度模型!$A:$A,0)-1,0)</f>
        <v>#VALUE!</v>
      </c>
      <c r="S309" s="46" t="e">
        <f ca="1">OFFSET([2]怪物强度模型!$O$1,MATCH(F309,[2]怪物强度模型!$A:$A,0)-1,0)</f>
        <v>#VALUE!</v>
      </c>
      <c r="T309" s="47" t="e">
        <f ca="1" t="shared" si="74"/>
        <v>#VALUE!</v>
      </c>
      <c r="U309" s="47" t="e">
        <f ca="1">Q309+N309*$V$1/10000+$V$1*OFFSET(卡牌辅助配置表!$V$1,MATCH(C309,卡牌辅助配置表!U:U,0)-1,0)*5*P309/10000/10000+M309*$V$1/10000</f>
        <v>#VALUE!</v>
      </c>
      <c r="V309" s="46" t="e">
        <f ca="1">OFFSET([2]怪物强度模型!$I$1,MATCH(F309,[2]怪物强度模型!$A:$A,0)-1,0)</f>
        <v>#VALUE!</v>
      </c>
      <c r="W309" s="47">
        <f t="shared" si="78"/>
        <v>1.5</v>
      </c>
      <c r="X309" s="47">
        <f t="shared" si="79"/>
        <v>1.32</v>
      </c>
    </row>
    <row r="310" spans="1:24">
      <c r="A310" s="45">
        <f t="shared" si="83"/>
        <v>1561</v>
      </c>
      <c r="B310" s="45" t="s">
        <v>2792</v>
      </c>
      <c r="C310" s="45">
        <v>1</v>
      </c>
      <c r="D310" s="45">
        <v>561</v>
      </c>
      <c r="F310" s="46">
        <f t="shared" si="84"/>
        <v>1017</v>
      </c>
      <c r="G310" s="45">
        <f t="shared" si="82"/>
        <v>2.62</v>
      </c>
      <c r="H310" s="45">
        <v>5</v>
      </c>
      <c r="I310" s="46">
        <v>10</v>
      </c>
      <c r="J310" s="46">
        <v>20</v>
      </c>
      <c r="K310" s="46" t="e">
        <f ca="1" t="shared" si="85"/>
        <v>#VALUE!</v>
      </c>
      <c r="L310" s="46" t="e">
        <f ca="1" t="shared" si="86"/>
        <v>#VALUE!</v>
      </c>
      <c r="M310" s="46" t="e">
        <f ca="1" t="shared" si="73"/>
        <v>#VALUE!</v>
      </c>
      <c r="N310" s="46" t="e">
        <f ca="1" t="shared" si="75"/>
        <v>#VALUE!</v>
      </c>
      <c r="O310" s="46">
        <v>67</v>
      </c>
      <c r="P310" s="46">
        <f t="shared" si="87"/>
        <v>17</v>
      </c>
      <c r="Q310" s="46" t="e">
        <f ca="1" t="shared" si="80"/>
        <v>#VALUE!</v>
      </c>
      <c r="R310" s="46" t="e">
        <f ca="1">OFFSET([2]怪物强度模型!$K$1,MATCH(F310,[2]怪物强度模型!$A:$A,0)-1,0)</f>
        <v>#VALUE!</v>
      </c>
      <c r="S310" s="46" t="e">
        <f ca="1">OFFSET([2]怪物强度模型!$O$1,MATCH(F310,[2]怪物强度模型!$A:$A,0)-1,0)</f>
        <v>#VALUE!</v>
      </c>
      <c r="T310" s="47" t="e">
        <f ca="1" t="shared" si="74"/>
        <v>#VALUE!</v>
      </c>
      <c r="U310" s="47" t="e">
        <f ca="1">Q310+N310*$V$1/10000+$V$1*OFFSET(卡牌辅助配置表!$V$1,MATCH(C310,卡牌辅助配置表!U:U,0)-1,0)*5*P310/10000/10000+M310*$V$1/10000</f>
        <v>#VALUE!</v>
      </c>
      <c r="V310" s="46" t="e">
        <f ca="1">OFFSET([2]怪物强度模型!$I$1,MATCH(F310,[2]怪物强度模型!$A:$A,0)-1,0)</f>
        <v>#VALUE!</v>
      </c>
      <c r="W310" s="47">
        <f t="shared" si="78"/>
        <v>1.5</v>
      </c>
      <c r="X310" s="47">
        <f t="shared" si="79"/>
        <v>1.32</v>
      </c>
    </row>
    <row r="311" spans="1:24">
      <c r="A311" s="45">
        <f t="shared" si="83"/>
        <v>1562</v>
      </c>
      <c r="B311" s="45" t="s">
        <v>2792</v>
      </c>
      <c r="C311" s="45">
        <v>1</v>
      </c>
      <c r="D311" s="45">
        <v>562</v>
      </c>
      <c r="F311" s="46">
        <f t="shared" si="84"/>
        <v>1017</v>
      </c>
      <c r="G311" s="45">
        <f t="shared" si="82"/>
        <v>2.67</v>
      </c>
      <c r="H311" s="45">
        <v>5</v>
      </c>
      <c r="I311" s="46">
        <v>10</v>
      </c>
      <c r="J311" s="46">
        <v>20</v>
      </c>
      <c r="K311" s="46" t="e">
        <f ca="1" t="shared" si="85"/>
        <v>#VALUE!</v>
      </c>
      <c r="L311" s="46" t="e">
        <f ca="1" t="shared" si="86"/>
        <v>#VALUE!</v>
      </c>
      <c r="M311" s="46" t="e">
        <f ca="1" t="shared" si="73"/>
        <v>#VALUE!</v>
      </c>
      <c r="N311" s="46" t="e">
        <f ca="1" t="shared" si="75"/>
        <v>#VALUE!</v>
      </c>
      <c r="O311" s="46">
        <v>68</v>
      </c>
      <c r="P311" s="46">
        <f t="shared" si="87"/>
        <v>17</v>
      </c>
      <c r="Q311" s="46" t="e">
        <f ca="1" t="shared" si="80"/>
        <v>#VALUE!</v>
      </c>
      <c r="R311" s="46" t="e">
        <f ca="1">OFFSET([2]怪物强度模型!$K$1,MATCH(F311,[2]怪物强度模型!$A:$A,0)-1,0)</f>
        <v>#VALUE!</v>
      </c>
      <c r="S311" s="46" t="e">
        <f ca="1">OFFSET([2]怪物强度模型!$O$1,MATCH(F311,[2]怪物强度模型!$A:$A,0)-1,0)</f>
        <v>#VALUE!</v>
      </c>
      <c r="T311" s="47" t="e">
        <f ca="1" t="shared" si="74"/>
        <v>#VALUE!</v>
      </c>
      <c r="U311" s="47" t="e">
        <f ca="1">Q311+N311*$V$1/10000+$V$1*OFFSET(卡牌辅助配置表!$V$1,MATCH(C311,卡牌辅助配置表!U:U,0)-1,0)*5*P311/10000/10000+M311*$V$1/10000</f>
        <v>#VALUE!</v>
      </c>
      <c r="V311" s="46" t="e">
        <f ca="1">OFFSET([2]怪物强度模型!$I$1,MATCH(F311,[2]怪物强度模型!$A:$A,0)-1,0)</f>
        <v>#VALUE!</v>
      </c>
      <c r="W311" s="47">
        <f t="shared" si="78"/>
        <v>1.5</v>
      </c>
      <c r="X311" s="47">
        <f t="shared" si="79"/>
        <v>1.32</v>
      </c>
    </row>
    <row r="312" spans="1:24">
      <c r="A312" s="45">
        <f t="shared" si="83"/>
        <v>1563</v>
      </c>
      <c r="B312" s="45" t="s">
        <v>2792</v>
      </c>
      <c r="C312" s="45">
        <v>1</v>
      </c>
      <c r="D312" s="45">
        <v>563</v>
      </c>
      <c r="F312" s="46">
        <f t="shared" si="84"/>
        <v>1017</v>
      </c>
      <c r="G312" s="45">
        <f t="shared" si="82"/>
        <v>2.72</v>
      </c>
      <c r="H312" s="45">
        <v>5</v>
      </c>
      <c r="I312" s="46">
        <v>10</v>
      </c>
      <c r="J312" s="46">
        <v>20</v>
      </c>
      <c r="K312" s="46" t="e">
        <f ca="1" t="shared" si="85"/>
        <v>#VALUE!</v>
      </c>
      <c r="L312" s="46" t="e">
        <f ca="1" t="shared" si="86"/>
        <v>#VALUE!</v>
      </c>
      <c r="M312" s="46" t="e">
        <f ca="1" t="shared" si="73"/>
        <v>#VALUE!</v>
      </c>
      <c r="N312" s="46" t="e">
        <f ca="1" t="shared" si="75"/>
        <v>#VALUE!</v>
      </c>
      <c r="O312" s="46">
        <v>69</v>
      </c>
      <c r="P312" s="46">
        <f t="shared" si="87"/>
        <v>17</v>
      </c>
      <c r="Q312" s="46" t="e">
        <f ca="1" t="shared" si="80"/>
        <v>#VALUE!</v>
      </c>
      <c r="R312" s="46" t="e">
        <f ca="1">OFFSET([2]怪物强度模型!$K$1,MATCH(F312,[2]怪物强度模型!$A:$A,0)-1,0)</f>
        <v>#VALUE!</v>
      </c>
      <c r="S312" s="46" t="e">
        <f ca="1">OFFSET([2]怪物强度模型!$O$1,MATCH(F312,[2]怪物强度模型!$A:$A,0)-1,0)</f>
        <v>#VALUE!</v>
      </c>
      <c r="T312" s="47" t="e">
        <f ca="1" t="shared" si="74"/>
        <v>#VALUE!</v>
      </c>
      <c r="U312" s="47" t="e">
        <f ca="1">Q312+N312*$V$1/10000+$V$1*OFFSET(卡牌辅助配置表!$V$1,MATCH(C312,卡牌辅助配置表!U:U,0)-1,0)*5*P312/10000/10000+M312*$V$1/10000</f>
        <v>#VALUE!</v>
      </c>
      <c r="V312" s="46" t="e">
        <f ca="1">OFFSET([2]怪物强度模型!$I$1,MATCH(F312,[2]怪物强度模型!$A:$A,0)-1,0)</f>
        <v>#VALUE!</v>
      </c>
      <c r="W312" s="47">
        <f t="shared" si="78"/>
        <v>1.51</v>
      </c>
      <c r="X312" s="47">
        <f t="shared" si="79"/>
        <v>1.32</v>
      </c>
    </row>
    <row r="313" spans="1:24">
      <c r="A313" s="45">
        <f t="shared" ref="A313:A344" si="88">C313*1000+D313</f>
        <v>1564</v>
      </c>
      <c r="B313" s="45" t="s">
        <v>2792</v>
      </c>
      <c r="C313" s="45">
        <v>1</v>
      </c>
      <c r="D313" s="45">
        <v>564</v>
      </c>
      <c r="F313" s="46">
        <f t="shared" ref="F313:F344" si="89">C313*1000+P313</f>
        <v>1017</v>
      </c>
      <c r="G313" s="45">
        <f t="shared" si="82"/>
        <v>4.53</v>
      </c>
      <c r="H313" s="45">
        <v>5</v>
      </c>
      <c r="I313" s="46">
        <v>10</v>
      </c>
      <c r="J313" s="46">
        <v>20</v>
      </c>
      <c r="K313" s="46" t="e">
        <f ca="1" t="shared" ref="K313:K344" si="90">ROUND(Q313*0.95,0)</f>
        <v>#VALUE!</v>
      </c>
      <c r="L313" s="46" t="e">
        <f ca="1" t="shared" ref="L313:L344" si="91">ROUND(Q313*1.05,0)</f>
        <v>#VALUE!</v>
      </c>
      <c r="M313" s="46" t="e">
        <f ca="1" t="shared" si="73"/>
        <v>#VALUE!</v>
      </c>
      <c r="N313" s="46" t="e">
        <f ca="1" t="shared" si="75"/>
        <v>#VALUE!</v>
      </c>
      <c r="O313" s="46">
        <v>70</v>
      </c>
      <c r="P313" s="46">
        <f t="shared" si="87"/>
        <v>17</v>
      </c>
      <c r="Q313" s="46" t="e">
        <f ca="1" t="shared" si="80"/>
        <v>#VALUE!</v>
      </c>
      <c r="R313" s="46" t="e">
        <f ca="1">OFFSET([2]怪物强度模型!$K$1,MATCH(F313,[2]怪物强度模型!$A:$A,0)-1,0)</f>
        <v>#VALUE!</v>
      </c>
      <c r="S313" s="46" t="e">
        <f ca="1">OFFSET([2]怪物强度模型!$O$1,MATCH(F313,[2]怪物强度模型!$A:$A,0)-1,0)</f>
        <v>#VALUE!</v>
      </c>
      <c r="T313" s="47" t="e">
        <f ca="1" t="shared" si="74"/>
        <v>#VALUE!</v>
      </c>
      <c r="U313" s="47" t="e">
        <f ca="1">Q313+N313*$V$1/10000+$V$1*OFFSET(卡牌辅助配置表!$V$1,MATCH(C313,卡牌辅助配置表!U:U,0)-1,0)*5*P313/10000/10000+M313*$V$1/10000</f>
        <v>#VALUE!</v>
      </c>
      <c r="V313" s="46" t="e">
        <f ca="1">OFFSET([2]怪物强度模型!$I$1,MATCH(F313,[2]怪物强度模型!$A:$A,0)-1,0)</f>
        <v>#VALUE!</v>
      </c>
      <c r="W313" s="47">
        <f t="shared" si="78"/>
        <v>1.51</v>
      </c>
      <c r="X313" s="47">
        <f t="shared" si="79"/>
        <v>1.32</v>
      </c>
    </row>
    <row r="314" spans="1:24">
      <c r="A314" s="45">
        <f t="shared" si="88"/>
        <v>1565</v>
      </c>
      <c r="B314" s="45" t="s">
        <v>2792</v>
      </c>
      <c r="C314" s="45">
        <v>1</v>
      </c>
      <c r="D314" s="45">
        <v>565</v>
      </c>
      <c r="F314" s="46">
        <f t="shared" si="89"/>
        <v>1017</v>
      </c>
      <c r="G314" s="45">
        <f t="shared" si="82"/>
        <v>2.6</v>
      </c>
      <c r="H314" s="45">
        <v>5</v>
      </c>
      <c r="I314" s="46">
        <v>10</v>
      </c>
      <c r="J314" s="46">
        <v>20</v>
      </c>
      <c r="K314" s="46" t="e">
        <f ca="1" t="shared" si="90"/>
        <v>#VALUE!</v>
      </c>
      <c r="L314" s="46" t="e">
        <f ca="1" t="shared" si="91"/>
        <v>#VALUE!</v>
      </c>
      <c r="M314" s="46" t="e">
        <f ca="1" t="shared" ref="M314:M377" si="92">S314*W314</f>
        <v>#VALUE!</v>
      </c>
      <c r="N314" s="46" t="e">
        <f ca="1" t="shared" si="75"/>
        <v>#VALUE!</v>
      </c>
      <c r="O314" s="46">
        <v>71</v>
      </c>
      <c r="P314" s="46">
        <f t="shared" si="87"/>
        <v>17</v>
      </c>
      <c r="Q314" s="46" t="e">
        <f ca="1" t="shared" si="80"/>
        <v>#VALUE!</v>
      </c>
      <c r="R314" s="46" t="e">
        <f ca="1">OFFSET([2]怪物强度模型!$K$1,MATCH(F314,[2]怪物强度模型!$A:$A,0)-1,0)</f>
        <v>#VALUE!</v>
      </c>
      <c r="S314" s="46" t="e">
        <f ca="1">OFFSET([2]怪物强度模型!$O$1,MATCH(F314,[2]怪物强度模型!$A:$A,0)-1,0)</f>
        <v>#VALUE!</v>
      </c>
      <c r="T314" s="47" t="e">
        <f ca="1" t="shared" ref="T314:T377" si="93">ROUND(U314*X314,0)</f>
        <v>#VALUE!</v>
      </c>
      <c r="U314" s="47" t="e">
        <f ca="1">Q314+N314*$V$1/10000+$V$1*OFFSET(卡牌辅助配置表!$V$1,MATCH(C314,卡牌辅助配置表!U:U,0)-1,0)*5*P314/10000/10000+M314*$V$1/10000</f>
        <v>#VALUE!</v>
      </c>
      <c r="V314" s="46" t="e">
        <f ca="1">OFFSET([2]怪物强度模型!$I$1,MATCH(F314,[2]怪物强度模型!$A:$A,0)-1,0)</f>
        <v>#VALUE!</v>
      </c>
      <c r="W314" s="47">
        <f t="shared" si="78"/>
        <v>1.51</v>
      </c>
      <c r="X314" s="47">
        <f t="shared" si="79"/>
        <v>1.32</v>
      </c>
    </row>
    <row r="315" spans="1:24">
      <c r="A315" s="45">
        <f t="shared" si="88"/>
        <v>1566</v>
      </c>
      <c r="B315" s="45" t="s">
        <v>2792</v>
      </c>
      <c r="C315" s="45">
        <v>1</v>
      </c>
      <c r="D315" s="45">
        <v>566</v>
      </c>
      <c r="F315" s="46">
        <f t="shared" si="89"/>
        <v>1017</v>
      </c>
      <c r="G315" s="45">
        <f t="shared" si="82"/>
        <v>2.65</v>
      </c>
      <c r="H315" s="45">
        <v>5</v>
      </c>
      <c r="I315" s="46">
        <v>10</v>
      </c>
      <c r="J315" s="46">
        <v>20</v>
      </c>
      <c r="K315" s="46" t="e">
        <f ca="1" t="shared" si="90"/>
        <v>#VALUE!</v>
      </c>
      <c r="L315" s="46" t="e">
        <f ca="1" t="shared" si="91"/>
        <v>#VALUE!</v>
      </c>
      <c r="M315" s="46" t="e">
        <f ca="1" t="shared" si="92"/>
        <v>#VALUE!</v>
      </c>
      <c r="N315" s="46" t="e">
        <f ca="1" t="shared" si="75"/>
        <v>#VALUE!</v>
      </c>
      <c r="O315" s="46">
        <v>72</v>
      </c>
      <c r="P315" s="46">
        <f t="shared" si="87"/>
        <v>17</v>
      </c>
      <c r="Q315" s="46" t="e">
        <f ca="1" t="shared" si="80"/>
        <v>#VALUE!</v>
      </c>
      <c r="R315" s="46" t="e">
        <f ca="1">OFFSET([2]怪物强度模型!$K$1,MATCH(F315,[2]怪物强度模型!$A:$A,0)-1,0)</f>
        <v>#VALUE!</v>
      </c>
      <c r="S315" s="46" t="e">
        <f ca="1">OFFSET([2]怪物强度模型!$O$1,MATCH(F315,[2]怪物强度模型!$A:$A,0)-1,0)</f>
        <v>#VALUE!</v>
      </c>
      <c r="T315" s="47" t="e">
        <f ca="1" t="shared" si="93"/>
        <v>#VALUE!</v>
      </c>
      <c r="U315" s="47" t="e">
        <f ca="1">Q315+N315*$V$1/10000+$V$1*OFFSET(卡牌辅助配置表!$V$1,MATCH(C315,卡牌辅助配置表!U:U,0)-1,0)*5*P315/10000/10000+M315*$V$1/10000</f>
        <v>#VALUE!</v>
      </c>
      <c r="V315" s="46" t="e">
        <f ca="1">OFFSET([2]怪物强度模型!$I$1,MATCH(F315,[2]怪物强度模型!$A:$A,0)-1,0)</f>
        <v>#VALUE!</v>
      </c>
      <c r="W315" s="47">
        <f t="shared" si="78"/>
        <v>1.52</v>
      </c>
      <c r="X315" s="47">
        <f t="shared" si="79"/>
        <v>1.32</v>
      </c>
    </row>
    <row r="316" spans="1:24">
      <c r="A316" s="45">
        <f t="shared" si="88"/>
        <v>1567</v>
      </c>
      <c r="B316" s="45" t="s">
        <v>2792</v>
      </c>
      <c r="C316" s="45">
        <v>1</v>
      </c>
      <c r="D316" s="45">
        <v>567</v>
      </c>
      <c r="F316" s="46">
        <f t="shared" si="89"/>
        <v>1017</v>
      </c>
      <c r="G316" s="45">
        <f t="shared" si="82"/>
        <v>2.7</v>
      </c>
      <c r="H316" s="45">
        <v>5</v>
      </c>
      <c r="I316" s="46">
        <v>10</v>
      </c>
      <c r="J316" s="46">
        <v>20</v>
      </c>
      <c r="K316" s="46" t="e">
        <f ca="1" t="shared" si="90"/>
        <v>#VALUE!</v>
      </c>
      <c r="L316" s="46" t="e">
        <f ca="1" t="shared" si="91"/>
        <v>#VALUE!</v>
      </c>
      <c r="M316" s="46" t="e">
        <f ca="1" t="shared" si="92"/>
        <v>#VALUE!</v>
      </c>
      <c r="N316" s="46" t="e">
        <f ca="1" t="shared" si="75"/>
        <v>#VALUE!</v>
      </c>
      <c r="O316" s="46">
        <v>73</v>
      </c>
      <c r="P316" s="46">
        <f t="shared" si="87"/>
        <v>17</v>
      </c>
      <c r="Q316" s="46" t="e">
        <f ca="1" t="shared" si="80"/>
        <v>#VALUE!</v>
      </c>
      <c r="R316" s="46" t="e">
        <f ca="1">OFFSET([2]怪物强度模型!$K$1,MATCH(F316,[2]怪物强度模型!$A:$A,0)-1,0)</f>
        <v>#VALUE!</v>
      </c>
      <c r="S316" s="46" t="e">
        <f ca="1">OFFSET([2]怪物强度模型!$O$1,MATCH(F316,[2]怪物强度模型!$A:$A,0)-1,0)</f>
        <v>#VALUE!</v>
      </c>
      <c r="T316" s="47" t="e">
        <f ca="1" t="shared" si="93"/>
        <v>#VALUE!</v>
      </c>
      <c r="U316" s="47" t="e">
        <f ca="1">Q316+N316*$V$1/10000+$V$1*OFFSET(卡牌辅助配置表!$V$1,MATCH(C316,卡牌辅助配置表!U:U,0)-1,0)*5*P316/10000/10000+M316*$V$1/10000</f>
        <v>#VALUE!</v>
      </c>
      <c r="V316" s="46" t="e">
        <f ca="1">OFFSET([2]怪物强度模型!$I$1,MATCH(F316,[2]怪物强度模型!$A:$A,0)-1,0)</f>
        <v>#VALUE!</v>
      </c>
      <c r="W316" s="47">
        <f t="shared" si="78"/>
        <v>1.52</v>
      </c>
      <c r="X316" s="47">
        <f t="shared" si="79"/>
        <v>1.32</v>
      </c>
    </row>
    <row r="317" spans="1:24">
      <c r="A317" s="45">
        <f t="shared" si="88"/>
        <v>1568</v>
      </c>
      <c r="B317" s="45" t="s">
        <v>2792</v>
      </c>
      <c r="C317" s="45">
        <v>1</v>
      </c>
      <c r="D317" s="45">
        <v>568</v>
      </c>
      <c r="F317" s="46">
        <f t="shared" si="89"/>
        <v>1017</v>
      </c>
      <c r="G317" s="45">
        <f t="shared" si="82"/>
        <v>2.75</v>
      </c>
      <c r="H317" s="45">
        <v>5</v>
      </c>
      <c r="I317" s="46">
        <v>10</v>
      </c>
      <c r="J317" s="46">
        <v>20</v>
      </c>
      <c r="K317" s="46" t="e">
        <f ca="1" t="shared" si="90"/>
        <v>#VALUE!</v>
      </c>
      <c r="L317" s="46" t="e">
        <f ca="1" t="shared" si="91"/>
        <v>#VALUE!</v>
      </c>
      <c r="M317" s="46" t="e">
        <f ca="1" t="shared" si="92"/>
        <v>#VALUE!</v>
      </c>
      <c r="N317" s="46" t="e">
        <f ca="1" t="shared" si="75"/>
        <v>#VALUE!</v>
      </c>
      <c r="O317" s="46">
        <v>74</v>
      </c>
      <c r="P317" s="46">
        <f t="shared" si="87"/>
        <v>17</v>
      </c>
      <c r="Q317" s="46" t="e">
        <f ca="1" t="shared" si="80"/>
        <v>#VALUE!</v>
      </c>
      <c r="R317" s="46" t="e">
        <f ca="1">OFFSET([2]怪物强度模型!$K$1,MATCH(F317,[2]怪物强度模型!$A:$A,0)-1,0)</f>
        <v>#VALUE!</v>
      </c>
      <c r="S317" s="46" t="e">
        <f ca="1">OFFSET([2]怪物强度模型!$O$1,MATCH(F317,[2]怪物强度模型!$A:$A,0)-1,0)</f>
        <v>#VALUE!</v>
      </c>
      <c r="T317" s="47" t="e">
        <f ca="1" t="shared" si="93"/>
        <v>#VALUE!</v>
      </c>
      <c r="U317" s="47" t="e">
        <f ca="1">Q317+N317*$V$1/10000+$V$1*OFFSET(卡牌辅助配置表!$V$1,MATCH(C317,卡牌辅助配置表!U:U,0)-1,0)*5*P317/10000/10000+M317*$V$1/10000</f>
        <v>#VALUE!</v>
      </c>
      <c r="V317" s="46" t="e">
        <f ca="1">OFFSET([2]怪物强度模型!$I$1,MATCH(F317,[2]怪物强度模型!$A:$A,0)-1,0)</f>
        <v>#VALUE!</v>
      </c>
      <c r="W317" s="47">
        <f t="shared" si="78"/>
        <v>1.52</v>
      </c>
      <c r="X317" s="47">
        <f t="shared" si="79"/>
        <v>1.32</v>
      </c>
    </row>
    <row r="318" spans="1:24">
      <c r="A318" s="45">
        <f t="shared" si="88"/>
        <v>1569</v>
      </c>
      <c r="B318" s="45" t="s">
        <v>2792</v>
      </c>
      <c r="C318" s="45">
        <v>1</v>
      </c>
      <c r="D318" s="45">
        <v>569</v>
      </c>
      <c r="F318" s="46">
        <f t="shared" si="89"/>
        <v>1017</v>
      </c>
      <c r="G318" s="45">
        <f>G308+0.1</f>
        <v>4.6</v>
      </c>
      <c r="H318" s="45">
        <v>5</v>
      </c>
      <c r="I318" s="46">
        <v>10</v>
      </c>
      <c r="J318" s="46">
        <v>20</v>
      </c>
      <c r="K318" s="46" t="e">
        <f ca="1" t="shared" si="90"/>
        <v>#VALUE!</v>
      </c>
      <c r="L318" s="46" t="e">
        <f ca="1" t="shared" si="91"/>
        <v>#VALUE!</v>
      </c>
      <c r="M318" s="46" t="e">
        <f ca="1" t="shared" si="92"/>
        <v>#VALUE!</v>
      </c>
      <c r="N318" s="46" t="e">
        <f ca="1" t="shared" si="75"/>
        <v>#VALUE!</v>
      </c>
      <c r="O318" s="46">
        <v>75</v>
      </c>
      <c r="P318" s="46">
        <f t="shared" si="87"/>
        <v>17</v>
      </c>
      <c r="Q318" s="46" t="e">
        <f ca="1" t="shared" si="80"/>
        <v>#VALUE!</v>
      </c>
      <c r="R318" s="46" t="e">
        <f ca="1">OFFSET([2]怪物强度模型!$K$1,MATCH(F318,[2]怪物强度模型!$A:$A,0)-1,0)</f>
        <v>#VALUE!</v>
      </c>
      <c r="S318" s="46" t="e">
        <f ca="1">OFFSET([2]怪物强度模型!$O$1,MATCH(F318,[2]怪物强度模型!$A:$A,0)-1,0)</f>
        <v>#VALUE!</v>
      </c>
      <c r="T318" s="47" t="e">
        <f ca="1" t="shared" si="93"/>
        <v>#VALUE!</v>
      </c>
      <c r="U318" s="47" t="e">
        <f ca="1">Q318+N318*$V$1/10000+$V$1*OFFSET(卡牌辅助配置表!$V$1,MATCH(C318,卡牌辅助配置表!U:U,0)-1,0)*5*P318/10000/10000+M318*$V$1/10000</f>
        <v>#VALUE!</v>
      </c>
      <c r="V318" s="46" t="e">
        <f ca="1">OFFSET([2]怪物强度模型!$I$1,MATCH(F318,[2]怪物强度模型!$A:$A,0)-1,0)</f>
        <v>#VALUE!</v>
      </c>
      <c r="W318" s="47">
        <f t="shared" si="78"/>
        <v>1.65</v>
      </c>
      <c r="X318" s="47">
        <f t="shared" si="79"/>
        <v>1.32</v>
      </c>
    </row>
    <row r="319" spans="1:24">
      <c r="A319" s="45">
        <f t="shared" si="88"/>
        <v>1570</v>
      </c>
      <c r="B319" s="45" t="s">
        <v>2792</v>
      </c>
      <c r="C319" s="45">
        <v>1</v>
      </c>
      <c r="D319" s="45">
        <v>570</v>
      </c>
      <c r="F319" s="46">
        <f t="shared" si="89"/>
        <v>1018</v>
      </c>
      <c r="G319" s="45">
        <f t="shared" ref="G319:G382" si="94">G314+0.03</f>
        <v>2.63</v>
      </c>
      <c r="H319" s="45">
        <v>5</v>
      </c>
      <c r="I319" s="46">
        <v>10</v>
      </c>
      <c r="J319" s="46">
        <v>20</v>
      </c>
      <c r="K319" s="46" t="e">
        <f ca="1" t="shared" si="90"/>
        <v>#VALUE!</v>
      </c>
      <c r="L319" s="46" t="e">
        <f ca="1" t="shared" si="91"/>
        <v>#VALUE!</v>
      </c>
      <c r="M319" s="46" t="e">
        <f ca="1" t="shared" si="92"/>
        <v>#VALUE!</v>
      </c>
      <c r="N319" s="46" t="e">
        <f ca="1" t="shared" si="75"/>
        <v>#VALUE!</v>
      </c>
      <c r="O319" s="46">
        <v>76</v>
      </c>
      <c r="P319" s="46">
        <f t="shared" si="87"/>
        <v>18</v>
      </c>
      <c r="Q319" s="46" t="e">
        <f ca="1" t="shared" si="80"/>
        <v>#VALUE!</v>
      </c>
      <c r="R319" s="46" t="e">
        <f ca="1">OFFSET([2]怪物强度模型!$K$1,MATCH(F319,[2]怪物强度模型!$A:$A,0)-1,0)</f>
        <v>#VALUE!</v>
      </c>
      <c r="S319" s="46" t="e">
        <f ca="1">OFFSET([2]怪物强度模型!$O$1,MATCH(F319,[2]怪物强度模型!$A:$A,0)-1,0)</f>
        <v>#VALUE!</v>
      </c>
      <c r="T319" s="47" t="e">
        <f ca="1" t="shared" si="93"/>
        <v>#VALUE!</v>
      </c>
      <c r="U319" s="47" t="e">
        <f ca="1">Q319+N319*$V$1/10000+$V$1*OFFSET(卡牌辅助配置表!$V$1,MATCH(C319,卡牌辅助配置表!U:U,0)-1,0)*5*P319/10000/10000+M319*$V$1/10000</f>
        <v>#VALUE!</v>
      </c>
      <c r="V319" s="46" t="e">
        <f ca="1">OFFSET([2]怪物强度模型!$I$1,MATCH(F319,[2]怪物强度模型!$A:$A,0)-1,0)</f>
        <v>#VALUE!</v>
      </c>
      <c r="W319" s="47">
        <f t="shared" si="78"/>
        <v>1.55</v>
      </c>
      <c r="X319" s="47">
        <f t="shared" si="79"/>
        <v>1.34</v>
      </c>
    </row>
    <row r="320" spans="1:24">
      <c r="A320" s="45">
        <f t="shared" si="88"/>
        <v>1571</v>
      </c>
      <c r="B320" s="45" t="s">
        <v>2792</v>
      </c>
      <c r="C320" s="45">
        <v>1</v>
      </c>
      <c r="D320" s="45">
        <v>571</v>
      </c>
      <c r="F320" s="46">
        <f t="shared" si="89"/>
        <v>1018</v>
      </c>
      <c r="G320" s="45">
        <f t="shared" si="94"/>
        <v>2.68</v>
      </c>
      <c r="H320" s="45">
        <v>5</v>
      </c>
      <c r="I320" s="46">
        <v>10</v>
      </c>
      <c r="J320" s="46">
        <v>20</v>
      </c>
      <c r="K320" s="46" t="e">
        <f ca="1" t="shared" si="90"/>
        <v>#VALUE!</v>
      </c>
      <c r="L320" s="46" t="e">
        <f ca="1" t="shared" si="91"/>
        <v>#VALUE!</v>
      </c>
      <c r="M320" s="46" t="e">
        <f ca="1" t="shared" si="92"/>
        <v>#VALUE!</v>
      </c>
      <c r="N320" s="46" t="e">
        <f ca="1" t="shared" si="75"/>
        <v>#VALUE!</v>
      </c>
      <c r="O320" s="46">
        <v>77</v>
      </c>
      <c r="P320" s="46">
        <f t="shared" si="87"/>
        <v>18</v>
      </c>
      <c r="Q320" s="46" t="e">
        <f ca="1" t="shared" si="80"/>
        <v>#VALUE!</v>
      </c>
      <c r="R320" s="46" t="e">
        <f ca="1">OFFSET([2]怪物强度模型!$K$1,MATCH(F320,[2]怪物强度模型!$A:$A,0)-1,0)</f>
        <v>#VALUE!</v>
      </c>
      <c r="S320" s="46" t="e">
        <f ca="1">OFFSET([2]怪物强度模型!$O$1,MATCH(F320,[2]怪物强度模型!$A:$A,0)-1,0)</f>
        <v>#VALUE!</v>
      </c>
      <c r="T320" s="47" t="e">
        <f ca="1" t="shared" si="93"/>
        <v>#VALUE!</v>
      </c>
      <c r="U320" s="47" t="e">
        <f ca="1">Q320+N320*$V$1/10000+$V$1*OFFSET(卡牌辅助配置表!$V$1,MATCH(C320,卡牌辅助配置表!U:U,0)-1,0)*5*P320/10000/10000+M320*$V$1/10000</f>
        <v>#VALUE!</v>
      </c>
      <c r="V320" s="46" t="e">
        <f ca="1">OFFSET([2]怪物强度模型!$I$1,MATCH(F320,[2]怪物强度模型!$A:$A,0)-1,0)</f>
        <v>#VALUE!</v>
      </c>
      <c r="W320" s="47">
        <f t="shared" si="78"/>
        <v>1.55</v>
      </c>
      <c r="X320" s="47">
        <f t="shared" si="79"/>
        <v>1.34</v>
      </c>
    </row>
    <row r="321" spans="1:24">
      <c r="A321" s="45">
        <f t="shared" si="88"/>
        <v>1572</v>
      </c>
      <c r="B321" s="45" t="s">
        <v>2792</v>
      </c>
      <c r="C321" s="45">
        <v>1</v>
      </c>
      <c r="D321" s="45">
        <v>572</v>
      </c>
      <c r="F321" s="46">
        <f t="shared" si="89"/>
        <v>1018</v>
      </c>
      <c r="G321" s="45">
        <f t="shared" si="94"/>
        <v>2.73</v>
      </c>
      <c r="H321" s="45">
        <v>5</v>
      </c>
      <c r="I321" s="46">
        <v>10</v>
      </c>
      <c r="J321" s="46">
        <v>20</v>
      </c>
      <c r="K321" s="46" t="e">
        <f ca="1" t="shared" si="90"/>
        <v>#VALUE!</v>
      </c>
      <c r="L321" s="46" t="e">
        <f ca="1" t="shared" si="91"/>
        <v>#VALUE!</v>
      </c>
      <c r="M321" s="46" t="e">
        <f ca="1" t="shared" si="92"/>
        <v>#VALUE!</v>
      </c>
      <c r="N321" s="46" t="e">
        <f ca="1" t="shared" ref="N321:N384" si="95">ROUND(M321/$N$1,0)</f>
        <v>#VALUE!</v>
      </c>
      <c r="O321" s="46">
        <v>78</v>
      </c>
      <c r="P321" s="46">
        <f t="shared" si="87"/>
        <v>18</v>
      </c>
      <c r="Q321" s="46" t="e">
        <f ca="1" t="shared" si="80"/>
        <v>#VALUE!</v>
      </c>
      <c r="R321" s="46" t="e">
        <f ca="1">OFFSET([2]怪物强度模型!$K$1,MATCH(F321,[2]怪物强度模型!$A:$A,0)-1,0)</f>
        <v>#VALUE!</v>
      </c>
      <c r="S321" s="46" t="e">
        <f ca="1">OFFSET([2]怪物强度模型!$O$1,MATCH(F321,[2]怪物强度模型!$A:$A,0)-1,0)</f>
        <v>#VALUE!</v>
      </c>
      <c r="T321" s="47" t="e">
        <f ca="1" t="shared" si="93"/>
        <v>#VALUE!</v>
      </c>
      <c r="U321" s="47" t="e">
        <f ca="1">Q321+N321*$V$1/10000+$V$1*OFFSET(卡牌辅助配置表!$V$1,MATCH(C321,卡牌辅助配置表!U:U,0)-1,0)*5*P321/10000/10000+M321*$V$1/10000</f>
        <v>#VALUE!</v>
      </c>
      <c r="V321" s="46" t="e">
        <f ca="1">OFFSET([2]怪物强度模型!$I$1,MATCH(F321,[2]怪物强度模型!$A:$A,0)-1,0)</f>
        <v>#VALUE!</v>
      </c>
      <c r="W321" s="47">
        <f t="shared" si="78"/>
        <v>1.55</v>
      </c>
      <c r="X321" s="47">
        <f t="shared" si="79"/>
        <v>1.34</v>
      </c>
    </row>
    <row r="322" spans="1:24">
      <c r="A322" s="45">
        <f t="shared" si="88"/>
        <v>1573</v>
      </c>
      <c r="B322" s="45" t="s">
        <v>2792</v>
      </c>
      <c r="C322" s="45">
        <v>1</v>
      </c>
      <c r="D322" s="45">
        <v>573</v>
      </c>
      <c r="F322" s="46">
        <f t="shared" si="89"/>
        <v>1018</v>
      </c>
      <c r="G322" s="45">
        <f t="shared" si="94"/>
        <v>2.78</v>
      </c>
      <c r="H322" s="45">
        <v>5</v>
      </c>
      <c r="I322" s="46">
        <v>10</v>
      </c>
      <c r="J322" s="46">
        <v>20</v>
      </c>
      <c r="K322" s="46" t="e">
        <f ca="1" t="shared" si="90"/>
        <v>#VALUE!</v>
      </c>
      <c r="L322" s="46" t="e">
        <f ca="1" t="shared" si="91"/>
        <v>#VALUE!</v>
      </c>
      <c r="M322" s="46" t="e">
        <f ca="1" t="shared" si="92"/>
        <v>#VALUE!</v>
      </c>
      <c r="N322" s="46" t="e">
        <f ca="1" t="shared" si="95"/>
        <v>#VALUE!</v>
      </c>
      <c r="O322" s="46">
        <v>79</v>
      </c>
      <c r="P322" s="46">
        <f t="shared" si="87"/>
        <v>18</v>
      </c>
      <c r="Q322" s="46" t="e">
        <f ca="1" t="shared" si="80"/>
        <v>#VALUE!</v>
      </c>
      <c r="R322" s="46" t="e">
        <f ca="1">OFFSET([2]怪物强度模型!$K$1,MATCH(F322,[2]怪物强度模型!$A:$A,0)-1,0)</f>
        <v>#VALUE!</v>
      </c>
      <c r="S322" s="46" t="e">
        <f ca="1">OFFSET([2]怪物强度模型!$O$1,MATCH(F322,[2]怪物强度模型!$A:$A,0)-1,0)</f>
        <v>#VALUE!</v>
      </c>
      <c r="T322" s="47" t="e">
        <f ca="1" t="shared" si="93"/>
        <v>#VALUE!</v>
      </c>
      <c r="U322" s="47" t="e">
        <f ca="1">Q322+N322*$V$1/10000+$V$1*OFFSET(卡牌辅助配置表!$V$1,MATCH(C322,卡牌辅助配置表!U:U,0)-1,0)*5*P322/10000/10000+M322*$V$1/10000</f>
        <v>#VALUE!</v>
      </c>
      <c r="V322" s="46" t="e">
        <f ca="1">OFFSET([2]怪物强度模型!$I$1,MATCH(F322,[2]怪物强度模型!$A:$A,0)-1,0)</f>
        <v>#VALUE!</v>
      </c>
      <c r="W322" s="47">
        <f t="shared" si="78"/>
        <v>1.56</v>
      </c>
      <c r="X322" s="47">
        <f t="shared" si="79"/>
        <v>1.34</v>
      </c>
    </row>
    <row r="323" spans="1:24">
      <c r="A323" s="45">
        <f t="shared" si="88"/>
        <v>1574</v>
      </c>
      <c r="B323" s="45" t="s">
        <v>2792</v>
      </c>
      <c r="C323" s="45">
        <v>1</v>
      </c>
      <c r="D323" s="45">
        <v>574</v>
      </c>
      <c r="F323" s="46">
        <f t="shared" si="89"/>
        <v>1018</v>
      </c>
      <c r="G323" s="45">
        <f t="shared" si="94"/>
        <v>4.63</v>
      </c>
      <c r="H323" s="45">
        <v>5</v>
      </c>
      <c r="I323" s="46">
        <v>10</v>
      </c>
      <c r="J323" s="46">
        <v>20</v>
      </c>
      <c r="K323" s="46" t="e">
        <f ca="1" t="shared" si="90"/>
        <v>#VALUE!</v>
      </c>
      <c r="L323" s="46" t="e">
        <f ca="1" t="shared" si="91"/>
        <v>#VALUE!</v>
      </c>
      <c r="M323" s="46" t="e">
        <f ca="1" t="shared" si="92"/>
        <v>#VALUE!</v>
      </c>
      <c r="N323" s="46" t="e">
        <f ca="1" t="shared" si="95"/>
        <v>#VALUE!</v>
      </c>
      <c r="O323" s="46">
        <v>80</v>
      </c>
      <c r="P323" s="46">
        <f t="shared" si="87"/>
        <v>18</v>
      </c>
      <c r="Q323" s="46" t="e">
        <f ca="1" t="shared" si="80"/>
        <v>#VALUE!</v>
      </c>
      <c r="R323" s="46" t="e">
        <f ca="1">OFFSET([2]怪物强度模型!$K$1,MATCH(F323,[2]怪物强度模型!$A:$A,0)-1,0)</f>
        <v>#VALUE!</v>
      </c>
      <c r="S323" s="46" t="e">
        <f ca="1">OFFSET([2]怪物强度模型!$O$1,MATCH(F323,[2]怪物强度模型!$A:$A,0)-1,0)</f>
        <v>#VALUE!</v>
      </c>
      <c r="T323" s="47" t="e">
        <f ca="1" t="shared" si="93"/>
        <v>#VALUE!</v>
      </c>
      <c r="U323" s="47" t="e">
        <f ca="1">Q323+N323*$V$1/10000+$V$1*OFFSET(卡牌辅助配置表!$V$1,MATCH(C323,卡牌辅助配置表!U:U,0)-1,0)*5*P323/10000/10000+M323*$V$1/10000</f>
        <v>#VALUE!</v>
      </c>
      <c r="V323" s="46" t="e">
        <f ca="1">OFFSET([2]怪物强度模型!$I$1,MATCH(F323,[2]怪物强度模型!$A:$A,0)-1,0)</f>
        <v>#VALUE!</v>
      </c>
      <c r="W323" s="47">
        <f t="shared" si="78"/>
        <v>1.56</v>
      </c>
      <c r="X323" s="47">
        <f t="shared" si="79"/>
        <v>1.34</v>
      </c>
    </row>
    <row r="324" spans="1:24">
      <c r="A324" s="45">
        <f t="shared" si="88"/>
        <v>1575</v>
      </c>
      <c r="B324" s="45" t="s">
        <v>2792</v>
      </c>
      <c r="C324" s="45">
        <v>1</v>
      </c>
      <c r="D324" s="45">
        <v>575</v>
      </c>
      <c r="F324" s="46">
        <f t="shared" si="89"/>
        <v>1018</v>
      </c>
      <c r="G324" s="45">
        <f t="shared" si="94"/>
        <v>2.66</v>
      </c>
      <c r="H324" s="45">
        <v>5</v>
      </c>
      <c r="I324" s="46">
        <v>10</v>
      </c>
      <c r="J324" s="46">
        <v>20</v>
      </c>
      <c r="K324" s="46" t="e">
        <f ca="1" t="shared" si="90"/>
        <v>#VALUE!</v>
      </c>
      <c r="L324" s="46" t="e">
        <f ca="1" t="shared" si="91"/>
        <v>#VALUE!</v>
      </c>
      <c r="M324" s="46" t="e">
        <f ca="1" t="shared" si="92"/>
        <v>#VALUE!</v>
      </c>
      <c r="N324" s="46" t="e">
        <f ca="1" t="shared" si="95"/>
        <v>#VALUE!</v>
      </c>
      <c r="O324" s="46">
        <v>81</v>
      </c>
      <c r="P324" s="46">
        <f t="shared" ref="P324:P348" si="96">P314+1</f>
        <v>18</v>
      </c>
      <c r="Q324" s="46" t="e">
        <f ca="1" t="shared" si="80"/>
        <v>#VALUE!</v>
      </c>
      <c r="R324" s="46" t="e">
        <f ca="1">OFFSET([2]怪物强度模型!$K$1,MATCH(F324,[2]怪物强度模型!$A:$A,0)-1,0)</f>
        <v>#VALUE!</v>
      </c>
      <c r="S324" s="46" t="e">
        <f ca="1">OFFSET([2]怪物强度模型!$O$1,MATCH(F324,[2]怪物强度模型!$A:$A,0)-1,0)</f>
        <v>#VALUE!</v>
      </c>
      <c r="T324" s="47" t="e">
        <f ca="1" t="shared" si="93"/>
        <v>#VALUE!</v>
      </c>
      <c r="U324" s="47" t="e">
        <f ca="1">Q324+N324*$V$1/10000+$V$1*OFFSET(卡牌辅助配置表!$V$1,MATCH(C324,卡牌辅助配置表!U:U,0)-1,0)*5*P324/10000/10000+M324*$V$1/10000</f>
        <v>#VALUE!</v>
      </c>
      <c r="V324" s="46" t="e">
        <f ca="1">OFFSET([2]怪物强度模型!$I$1,MATCH(F324,[2]怪物强度模型!$A:$A,0)-1,0)</f>
        <v>#VALUE!</v>
      </c>
      <c r="W324" s="47">
        <f t="shared" ref="W324:W387" si="97">W314+0.05</f>
        <v>1.56</v>
      </c>
      <c r="X324" s="47">
        <f t="shared" ref="X324:X387" si="98">X314+0.02</f>
        <v>1.34</v>
      </c>
    </row>
    <row r="325" spans="1:24">
      <c r="A325" s="45">
        <f t="shared" si="88"/>
        <v>1576</v>
      </c>
      <c r="B325" s="45" t="s">
        <v>2792</v>
      </c>
      <c r="C325" s="45">
        <v>1</v>
      </c>
      <c r="D325" s="45">
        <v>576</v>
      </c>
      <c r="F325" s="46">
        <f t="shared" si="89"/>
        <v>1018</v>
      </c>
      <c r="G325" s="45">
        <f t="shared" si="94"/>
        <v>2.71</v>
      </c>
      <c r="H325" s="45">
        <v>5</v>
      </c>
      <c r="I325" s="46">
        <v>10</v>
      </c>
      <c r="J325" s="46">
        <v>20</v>
      </c>
      <c r="K325" s="46" t="e">
        <f ca="1" t="shared" si="90"/>
        <v>#VALUE!</v>
      </c>
      <c r="L325" s="46" t="e">
        <f ca="1" t="shared" si="91"/>
        <v>#VALUE!</v>
      </c>
      <c r="M325" s="46" t="e">
        <f ca="1" t="shared" si="92"/>
        <v>#VALUE!</v>
      </c>
      <c r="N325" s="46" t="e">
        <f ca="1" t="shared" si="95"/>
        <v>#VALUE!</v>
      </c>
      <c r="O325" s="46">
        <v>82</v>
      </c>
      <c r="P325" s="46">
        <f t="shared" si="96"/>
        <v>18</v>
      </c>
      <c r="Q325" s="46" t="e">
        <f ca="1" t="shared" si="80"/>
        <v>#VALUE!</v>
      </c>
      <c r="R325" s="46" t="e">
        <f ca="1">OFFSET([2]怪物强度模型!$K$1,MATCH(F325,[2]怪物强度模型!$A:$A,0)-1,0)</f>
        <v>#VALUE!</v>
      </c>
      <c r="S325" s="46" t="e">
        <f ca="1">OFFSET([2]怪物强度模型!$O$1,MATCH(F325,[2]怪物强度模型!$A:$A,0)-1,0)</f>
        <v>#VALUE!</v>
      </c>
      <c r="T325" s="47" t="e">
        <f ca="1" t="shared" si="93"/>
        <v>#VALUE!</v>
      </c>
      <c r="U325" s="47" t="e">
        <f ca="1">Q325+N325*$V$1/10000+$V$1*OFFSET(卡牌辅助配置表!$V$1,MATCH(C325,卡牌辅助配置表!U:U,0)-1,0)*5*P325/10000/10000+M325*$V$1/10000</f>
        <v>#VALUE!</v>
      </c>
      <c r="V325" s="46" t="e">
        <f ca="1">OFFSET([2]怪物强度模型!$I$1,MATCH(F325,[2]怪物强度模型!$A:$A,0)-1,0)</f>
        <v>#VALUE!</v>
      </c>
      <c r="W325" s="47">
        <f t="shared" si="97"/>
        <v>1.57</v>
      </c>
      <c r="X325" s="47">
        <f t="shared" si="98"/>
        <v>1.34</v>
      </c>
    </row>
    <row r="326" spans="1:24">
      <c r="A326" s="45">
        <f t="shared" si="88"/>
        <v>1577</v>
      </c>
      <c r="B326" s="45" t="s">
        <v>2792</v>
      </c>
      <c r="C326" s="45">
        <v>1</v>
      </c>
      <c r="D326" s="45">
        <v>577</v>
      </c>
      <c r="F326" s="46">
        <f t="shared" si="89"/>
        <v>1018</v>
      </c>
      <c r="G326" s="45">
        <f t="shared" si="94"/>
        <v>2.76</v>
      </c>
      <c r="H326" s="45">
        <v>5</v>
      </c>
      <c r="I326" s="46">
        <v>10</v>
      </c>
      <c r="J326" s="46">
        <v>20</v>
      </c>
      <c r="K326" s="46" t="e">
        <f ca="1" t="shared" si="90"/>
        <v>#VALUE!</v>
      </c>
      <c r="L326" s="46" t="e">
        <f ca="1" t="shared" si="91"/>
        <v>#VALUE!</v>
      </c>
      <c r="M326" s="46" t="e">
        <f ca="1" t="shared" si="92"/>
        <v>#VALUE!</v>
      </c>
      <c r="N326" s="46" t="e">
        <f ca="1" t="shared" si="95"/>
        <v>#VALUE!</v>
      </c>
      <c r="O326" s="46">
        <v>83</v>
      </c>
      <c r="P326" s="46">
        <f t="shared" si="96"/>
        <v>18</v>
      </c>
      <c r="Q326" s="46" t="e">
        <f ca="1" t="shared" si="80"/>
        <v>#VALUE!</v>
      </c>
      <c r="R326" s="46" t="e">
        <f ca="1">OFFSET([2]怪物强度模型!$K$1,MATCH(F326,[2]怪物强度模型!$A:$A,0)-1,0)</f>
        <v>#VALUE!</v>
      </c>
      <c r="S326" s="46" t="e">
        <f ca="1">OFFSET([2]怪物强度模型!$O$1,MATCH(F326,[2]怪物强度模型!$A:$A,0)-1,0)</f>
        <v>#VALUE!</v>
      </c>
      <c r="T326" s="47" t="e">
        <f ca="1" t="shared" si="93"/>
        <v>#VALUE!</v>
      </c>
      <c r="U326" s="47" t="e">
        <f ca="1">Q326+N326*$V$1/10000+$V$1*OFFSET(卡牌辅助配置表!$V$1,MATCH(C326,卡牌辅助配置表!U:U,0)-1,0)*5*P326/10000/10000+M326*$V$1/10000</f>
        <v>#VALUE!</v>
      </c>
      <c r="V326" s="46" t="e">
        <f ca="1">OFFSET([2]怪物强度模型!$I$1,MATCH(F326,[2]怪物强度模型!$A:$A,0)-1,0)</f>
        <v>#VALUE!</v>
      </c>
      <c r="W326" s="47">
        <f t="shared" si="97"/>
        <v>1.57</v>
      </c>
      <c r="X326" s="47">
        <f t="shared" si="98"/>
        <v>1.34</v>
      </c>
    </row>
    <row r="327" spans="1:24">
      <c r="A327" s="45">
        <f t="shared" si="88"/>
        <v>1578</v>
      </c>
      <c r="B327" s="45" t="s">
        <v>2792</v>
      </c>
      <c r="C327" s="45">
        <v>1</v>
      </c>
      <c r="D327" s="45">
        <v>578</v>
      </c>
      <c r="F327" s="46">
        <f t="shared" si="89"/>
        <v>1018</v>
      </c>
      <c r="G327" s="45">
        <f t="shared" si="94"/>
        <v>2.81</v>
      </c>
      <c r="H327" s="45">
        <v>5</v>
      </c>
      <c r="I327" s="46">
        <v>10</v>
      </c>
      <c r="J327" s="46">
        <v>20</v>
      </c>
      <c r="K327" s="46" t="e">
        <f ca="1" t="shared" si="90"/>
        <v>#VALUE!</v>
      </c>
      <c r="L327" s="46" t="e">
        <f ca="1" t="shared" si="91"/>
        <v>#VALUE!</v>
      </c>
      <c r="M327" s="46" t="e">
        <f ca="1" t="shared" si="92"/>
        <v>#VALUE!</v>
      </c>
      <c r="N327" s="46" t="e">
        <f ca="1" t="shared" si="95"/>
        <v>#VALUE!</v>
      </c>
      <c r="O327" s="46">
        <v>84</v>
      </c>
      <c r="P327" s="46">
        <f t="shared" si="96"/>
        <v>18</v>
      </c>
      <c r="Q327" s="46" t="e">
        <f ca="1" t="shared" ref="Q327:Q390" si="99">G327*(R327+S327-N327)*V327</f>
        <v>#VALUE!</v>
      </c>
      <c r="R327" s="46" t="e">
        <f ca="1">OFFSET([2]怪物强度模型!$K$1,MATCH(F327,[2]怪物强度模型!$A:$A,0)-1,0)</f>
        <v>#VALUE!</v>
      </c>
      <c r="S327" s="46" t="e">
        <f ca="1">OFFSET([2]怪物强度模型!$O$1,MATCH(F327,[2]怪物强度模型!$A:$A,0)-1,0)</f>
        <v>#VALUE!</v>
      </c>
      <c r="T327" s="47" t="e">
        <f ca="1" t="shared" si="93"/>
        <v>#VALUE!</v>
      </c>
      <c r="U327" s="47" t="e">
        <f ca="1">Q327+N327*$V$1/10000+$V$1*OFFSET(卡牌辅助配置表!$V$1,MATCH(C327,卡牌辅助配置表!U:U,0)-1,0)*5*P327/10000/10000+M327*$V$1/10000</f>
        <v>#VALUE!</v>
      </c>
      <c r="V327" s="46" t="e">
        <f ca="1">OFFSET([2]怪物强度模型!$I$1,MATCH(F327,[2]怪物强度模型!$A:$A,0)-1,0)</f>
        <v>#VALUE!</v>
      </c>
      <c r="W327" s="47">
        <f t="shared" si="97"/>
        <v>1.57</v>
      </c>
      <c r="X327" s="47">
        <f t="shared" si="98"/>
        <v>1.34</v>
      </c>
    </row>
    <row r="328" spans="1:24">
      <c r="A328" s="45">
        <f t="shared" si="88"/>
        <v>1579</v>
      </c>
      <c r="B328" s="45" t="s">
        <v>2792</v>
      </c>
      <c r="C328" s="45">
        <v>1</v>
      </c>
      <c r="D328" s="45">
        <v>579</v>
      </c>
      <c r="F328" s="46">
        <f t="shared" si="89"/>
        <v>1018</v>
      </c>
      <c r="G328" s="45">
        <f>G318+0.1</f>
        <v>4.7</v>
      </c>
      <c r="H328" s="45">
        <v>5</v>
      </c>
      <c r="I328" s="46">
        <v>10</v>
      </c>
      <c r="J328" s="46">
        <v>20</v>
      </c>
      <c r="K328" s="46" t="e">
        <f ca="1" t="shared" si="90"/>
        <v>#VALUE!</v>
      </c>
      <c r="L328" s="46" t="e">
        <f ca="1" t="shared" si="91"/>
        <v>#VALUE!</v>
      </c>
      <c r="M328" s="46" t="e">
        <f ca="1" t="shared" si="92"/>
        <v>#VALUE!</v>
      </c>
      <c r="N328" s="46" t="e">
        <f ca="1" t="shared" si="95"/>
        <v>#VALUE!</v>
      </c>
      <c r="O328" s="46">
        <v>85</v>
      </c>
      <c r="P328" s="46">
        <f t="shared" si="96"/>
        <v>18</v>
      </c>
      <c r="Q328" s="46" t="e">
        <f ca="1" t="shared" si="99"/>
        <v>#VALUE!</v>
      </c>
      <c r="R328" s="46" t="e">
        <f ca="1">OFFSET([2]怪物强度模型!$K$1,MATCH(F328,[2]怪物强度模型!$A:$A,0)-1,0)</f>
        <v>#VALUE!</v>
      </c>
      <c r="S328" s="46" t="e">
        <f ca="1">OFFSET([2]怪物强度模型!$O$1,MATCH(F328,[2]怪物强度模型!$A:$A,0)-1,0)</f>
        <v>#VALUE!</v>
      </c>
      <c r="T328" s="47" t="e">
        <f ca="1" t="shared" si="93"/>
        <v>#VALUE!</v>
      </c>
      <c r="U328" s="47" t="e">
        <f ca="1">Q328+N328*$V$1/10000+$V$1*OFFSET(卡牌辅助配置表!$V$1,MATCH(C328,卡牌辅助配置表!U:U,0)-1,0)*5*P328/10000/10000+M328*$V$1/10000</f>
        <v>#VALUE!</v>
      </c>
      <c r="V328" s="46" t="e">
        <f ca="1">OFFSET([2]怪物强度模型!$I$1,MATCH(F328,[2]怪物强度模型!$A:$A,0)-1,0)</f>
        <v>#VALUE!</v>
      </c>
      <c r="W328" s="47">
        <f t="shared" si="97"/>
        <v>1.7</v>
      </c>
      <c r="X328" s="47">
        <f t="shared" si="98"/>
        <v>1.34</v>
      </c>
    </row>
    <row r="329" spans="1:24">
      <c r="A329" s="45">
        <f t="shared" si="88"/>
        <v>1580</v>
      </c>
      <c r="B329" s="45" t="s">
        <v>2792</v>
      </c>
      <c r="C329" s="45">
        <v>1</v>
      </c>
      <c r="D329" s="45">
        <v>580</v>
      </c>
      <c r="F329" s="46">
        <f t="shared" si="89"/>
        <v>1019</v>
      </c>
      <c r="G329" s="45">
        <f t="shared" si="94"/>
        <v>2.69</v>
      </c>
      <c r="H329" s="45">
        <v>5</v>
      </c>
      <c r="I329" s="46">
        <v>10</v>
      </c>
      <c r="J329" s="46">
        <v>20</v>
      </c>
      <c r="K329" s="46" t="e">
        <f ca="1" t="shared" si="90"/>
        <v>#VALUE!</v>
      </c>
      <c r="L329" s="46" t="e">
        <f ca="1" t="shared" si="91"/>
        <v>#VALUE!</v>
      </c>
      <c r="M329" s="46" t="e">
        <f ca="1" t="shared" si="92"/>
        <v>#VALUE!</v>
      </c>
      <c r="N329" s="46" t="e">
        <f ca="1" t="shared" si="95"/>
        <v>#VALUE!</v>
      </c>
      <c r="O329" s="46">
        <v>86</v>
      </c>
      <c r="P329" s="46">
        <f t="shared" si="96"/>
        <v>19</v>
      </c>
      <c r="Q329" s="46" t="e">
        <f ca="1" t="shared" si="99"/>
        <v>#VALUE!</v>
      </c>
      <c r="R329" s="46" t="e">
        <f ca="1">OFFSET([2]怪物强度模型!$K$1,MATCH(F329,[2]怪物强度模型!$A:$A,0)-1,0)</f>
        <v>#VALUE!</v>
      </c>
      <c r="S329" s="46" t="e">
        <f ca="1">OFFSET([2]怪物强度模型!$O$1,MATCH(F329,[2]怪物强度模型!$A:$A,0)-1,0)</f>
        <v>#VALUE!</v>
      </c>
      <c r="T329" s="47" t="e">
        <f ca="1" t="shared" si="93"/>
        <v>#VALUE!</v>
      </c>
      <c r="U329" s="47" t="e">
        <f ca="1">Q329+N329*$V$1/10000+$V$1*OFFSET(卡牌辅助配置表!$V$1,MATCH(C329,卡牌辅助配置表!U:U,0)-1,0)*5*P329/10000/10000+M329*$V$1/10000</f>
        <v>#VALUE!</v>
      </c>
      <c r="V329" s="46" t="e">
        <f ca="1">OFFSET([2]怪物强度模型!$I$1,MATCH(F329,[2]怪物强度模型!$A:$A,0)-1,0)</f>
        <v>#VALUE!</v>
      </c>
      <c r="W329" s="47">
        <f t="shared" si="97"/>
        <v>1.6</v>
      </c>
      <c r="X329" s="47">
        <f t="shared" si="98"/>
        <v>1.36</v>
      </c>
    </row>
    <row r="330" spans="1:24">
      <c r="A330" s="45">
        <f t="shared" si="88"/>
        <v>1581</v>
      </c>
      <c r="B330" s="45" t="s">
        <v>2792</v>
      </c>
      <c r="C330" s="45">
        <v>1</v>
      </c>
      <c r="D330" s="45">
        <v>581</v>
      </c>
      <c r="F330" s="46">
        <f t="shared" si="89"/>
        <v>1019</v>
      </c>
      <c r="G330" s="45">
        <f t="shared" si="94"/>
        <v>2.74</v>
      </c>
      <c r="H330" s="45">
        <v>5</v>
      </c>
      <c r="I330" s="46">
        <v>10</v>
      </c>
      <c r="J330" s="46">
        <v>20</v>
      </c>
      <c r="K330" s="46" t="e">
        <f ca="1" t="shared" si="90"/>
        <v>#VALUE!</v>
      </c>
      <c r="L330" s="46" t="e">
        <f ca="1" t="shared" si="91"/>
        <v>#VALUE!</v>
      </c>
      <c r="M330" s="46" t="e">
        <f ca="1" t="shared" si="92"/>
        <v>#VALUE!</v>
      </c>
      <c r="N330" s="46" t="e">
        <f ca="1" t="shared" si="95"/>
        <v>#VALUE!</v>
      </c>
      <c r="O330" s="46">
        <v>87</v>
      </c>
      <c r="P330" s="46">
        <f t="shared" si="96"/>
        <v>19</v>
      </c>
      <c r="Q330" s="46" t="e">
        <f ca="1" t="shared" si="99"/>
        <v>#VALUE!</v>
      </c>
      <c r="R330" s="46" t="e">
        <f ca="1">OFFSET([2]怪物强度模型!$K$1,MATCH(F330,[2]怪物强度模型!$A:$A,0)-1,0)</f>
        <v>#VALUE!</v>
      </c>
      <c r="S330" s="46" t="e">
        <f ca="1">OFFSET([2]怪物强度模型!$O$1,MATCH(F330,[2]怪物强度模型!$A:$A,0)-1,0)</f>
        <v>#VALUE!</v>
      </c>
      <c r="T330" s="47" t="e">
        <f ca="1" t="shared" si="93"/>
        <v>#VALUE!</v>
      </c>
      <c r="U330" s="47" t="e">
        <f ca="1">Q330+N330*$V$1/10000+$V$1*OFFSET(卡牌辅助配置表!$V$1,MATCH(C330,卡牌辅助配置表!U:U,0)-1,0)*5*P330/10000/10000+M330*$V$1/10000</f>
        <v>#VALUE!</v>
      </c>
      <c r="V330" s="46" t="e">
        <f ca="1">OFFSET([2]怪物强度模型!$I$1,MATCH(F330,[2]怪物强度模型!$A:$A,0)-1,0)</f>
        <v>#VALUE!</v>
      </c>
      <c r="W330" s="47">
        <f t="shared" si="97"/>
        <v>1.6</v>
      </c>
      <c r="X330" s="47">
        <f t="shared" si="98"/>
        <v>1.36</v>
      </c>
    </row>
    <row r="331" spans="1:24">
      <c r="A331" s="45">
        <f t="shared" si="88"/>
        <v>1582</v>
      </c>
      <c r="B331" s="45" t="s">
        <v>2792</v>
      </c>
      <c r="C331" s="45">
        <v>1</v>
      </c>
      <c r="D331" s="45">
        <v>582</v>
      </c>
      <c r="F331" s="46">
        <f t="shared" si="89"/>
        <v>1019</v>
      </c>
      <c r="G331" s="45">
        <f t="shared" si="94"/>
        <v>2.79</v>
      </c>
      <c r="H331" s="45">
        <v>5</v>
      </c>
      <c r="I331" s="46">
        <v>10</v>
      </c>
      <c r="J331" s="46">
        <v>20</v>
      </c>
      <c r="K331" s="46" t="e">
        <f ca="1" t="shared" si="90"/>
        <v>#VALUE!</v>
      </c>
      <c r="L331" s="46" t="e">
        <f ca="1" t="shared" si="91"/>
        <v>#VALUE!</v>
      </c>
      <c r="M331" s="46" t="e">
        <f ca="1" t="shared" si="92"/>
        <v>#VALUE!</v>
      </c>
      <c r="N331" s="46" t="e">
        <f ca="1" t="shared" si="95"/>
        <v>#VALUE!</v>
      </c>
      <c r="O331" s="46">
        <v>88</v>
      </c>
      <c r="P331" s="46">
        <f t="shared" si="96"/>
        <v>19</v>
      </c>
      <c r="Q331" s="46" t="e">
        <f ca="1" t="shared" si="99"/>
        <v>#VALUE!</v>
      </c>
      <c r="R331" s="46" t="e">
        <f ca="1">OFFSET([2]怪物强度模型!$K$1,MATCH(F331,[2]怪物强度模型!$A:$A,0)-1,0)</f>
        <v>#VALUE!</v>
      </c>
      <c r="S331" s="46" t="e">
        <f ca="1">OFFSET([2]怪物强度模型!$O$1,MATCH(F331,[2]怪物强度模型!$A:$A,0)-1,0)</f>
        <v>#VALUE!</v>
      </c>
      <c r="T331" s="47" t="e">
        <f ca="1" t="shared" si="93"/>
        <v>#VALUE!</v>
      </c>
      <c r="U331" s="47" t="e">
        <f ca="1">Q331+N331*$V$1/10000+$V$1*OFFSET(卡牌辅助配置表!$V$1,MATCH(C331,卡牌辅助配置表!U:U,0)-1,0)*5*P331/10000/10000+M331*$V$1/10000</f>
        <v>#VALUE!</v>
      </c>
      <c r="V331" s="46" t="e">
        <f ca="1">OFFSET([2]怪物强度模型!$I$1,MATCH(F331,[2]怪物强度模型!$A:$A,0)-1,0)</f>
        <v>#VALUE!</v>
      </c>
      <c r="W331" s="47">
        <f t="shared" si="97"/>
        <v>1.6</v>
      </c>
      <c r="X331" s="47">
        <f t="shared" si="98"/>
        <v>1.36</v>
      </c>
    </row>
    <row r="332" spans="1:24">
      <c r="A332" s="45">
        <f t="shared" si="88"/>
        <v>1583</v>
      </c>
      <c r="B332" s="45" t="s">
        <v>2792</v>
      </c>
      <c r="C332" s="45">
        <v>1</v>
      </c>
      <c r="D332" s="45">
        <v>583</v>
      </c>
      <c r="F332" s="46">
        <f t="shared" si="89"/>
        <v>1019</v>
      </c>
      <c r="G332" s="45">
        <f t="shared" si="94"/>
        <v>2.84</v>
      </c>
      <c r="H332" s="45">
        <v>5</v>
      </c>
      <c r="I332" s="46">
        <v>10</v>
      </c>
      <c r="J332" s="46">
        <v>20</v>
      </c>
      <c r="K332" s="46" t="e">
        <f ca="1" t="shared" si="90"/>
        <v>#VALUE!</v>
      </c>
      <c r="L332" s="46" t="e">
        <f ca="1" t="shared" si="91"/>
        <v>#VALUE!</v>
      </c>
      <c r="M332" s="46" t="e">
        <f ca="1" t="shared" si="92"/>
        <v>#VALUE!</v>
      </c>
      <c r="N332" s="46" t="e">
        <f ca="1" t="shared" si="95"/>
        <v>#VALUE!</v>
      </c>
      <c r="O332" s="46">
        <v>89</v>
      </c>
      <c r="P332" s="46">
        <f t="shared" si="96"/>
        <v>19</v>
      </c>
      <c r="Q332" s="46" t="e">
        <f ca="1" t="shared" si="99"/>
        <v>#VALUE!</v>
      </c>
      <c r="R332" s="46" t="e">
        <f ca="1">OFFSET([2]怪物强度模型!$K$1,MATCH(F332,[2]怪物强度模型!$A:$A,0)-1,0)</f>
        <v>#VALUE!</v>
      </c>
      <c r="S332" s="46" t="e">
        <f ca="1">OFFSET([2]怪物强度模型!$O$1,MATCH(F332,[2]怪物强度模型!$A:$A,0)-1,0)</f>
        <v>#VALUE!</v>
      </c>
      <c r="T332" s="47" t="e">
        <f ca="1" t="shared" si="93"/>
        <v>#VALUE!</v>
      </c>
      <c r="U332" s="47" t="e">
        <f ca="1">Q332+N332*$V$1/10000+$V$1*OFFSET(卡牌辅助配置表!$V$1,MATCH(C332,卡牌辅助配置表!U:U,0)-1,0)*5*P332/10000/10000+M332*$V$1/10000</f>
        <v>#VALUE!</v>
      </c>
      <c r="V332" s="46" t="e">
        <f ca="1">OFFSET([2]怪物强度模型!$I$1,MATCH(F332,[2]怪物强度模型!$A:$A,0)-1,0)</f>
        <v>#VALUE!</v>
      </c>
      <c r="W332" s="47">
        <f t="shared" si="97"/>
        <v>1.61</v>
      </c>
      <c r="X332" s="47">
        <f t="shared" si="98"/>
        <v>1.36</v>
      </c>
    </row>
    <row r="333" spans="1:24">
      <c r="A333" s="45">
        <f t="shared" si="88"/>
        <v>1584</v>
      </c>
      <c r="B333" s="45" t="s">
        <v>2792</v>
      </c>
      <c r="C333" s="45">
        <v>1</v>
      </c>
      <c r="D333" s="45">
        <v>584</v>
      </c>
      <c r="F333" s="46">
        <f t="shared" si="89"/>
        <v>1019</v>
      </c>
      <c r="G333" s="45">
        <f t="shared" si="94"/>
        <v>4.73</v>
      </c>
      <c r="H333" s="45">
        <v>5</v>
      </c>
      <c r="I333" s="46">
        <v>10</v>
      </c>
      <c r="J333" s="46">
        <v>20</v>
      </c>
      <c r="K333" s="46" t="e">
        <f ca="1" t="shared" si="90"/>
        <v>#VALUE!</v>
      </c>
      <c r="L333" s="46" t="e">
        <f ca="1" t="shared" si="91"/>
        <v>#VALUE!</v>
      </c>
      <c r="M333" s="46" t="e">
        <f ca="1" t="shared" si="92"/>
        <v>#VALUE!</v>
      </c>
      <c r="N333" s="46" t="e">
        <f ca="1" t="shared" si="95"/>
        <v>#VALUE!</v>
      </c>
      <c r="O333" s="46">
        <v>90</v>
      </c>
      <c r="P333" s="46">
        <f t="shared" si="96"/>
        <v>19</v>
      </c>
      <c r="Q333" s="46" t="e">
        <f ca="1" t="shared" si="99"/>
        <v>#VALUE!</v>
      </c>
      <c r="R333" s="46" t="e">
        <f ca="1">OFFSET([2]怪物强度模型!$K$1,MATCH(F333,[2]怪物强度模型!$A:$A,0)-1,0)</f>
        <v>#VALUE!</v>
      </c>
      <c r="S333" s="46" t="e">
        <f ca="1">OFFSET([2]怪物强度模型!$O$1,MATCH(F333,[2]怪物强度模型!$A:$A,0)-1,0)</f>
        <v>#VALUE!</v>
      </c>
      <c r="T333" s="47" t="e">
        <f ca="1" t="shared" si="93"/>
        <v>#VALUE!</v>
      </c>
      <c r="U333" s="47" t="e">
        <f ca="1">Q333+N333*$V$1/10000+$V$1*OFFSET(卡牌辅助配置表!$V$1,MATCH(C333,卡牌辅助配置表!U:U,0)-1,0)*5*P333/10000/10000+M333*$V$1/10000</f>
        <v>#VALUE!</v>
      </c>
      <c r="V333" s="46" t="e">
        <f ca="1">OFFSET([2]怪物强度模型!$I$1,MATCH(F333,[2]怪物强度模型!$A:$A,0)-1,0)</f>
        <v>#VALUE!</v>
      </c>
      <c r="W333" s="47">
        <f t="shared" si="97"/>
        <v>1.61</v>
      </c>
      <c r="X333" s="47">
        <f t="shared" si="98"/>
        <v>1.36</v>
      </c>
    </row>
    <row r="334" spans="1:24">
      <c r="A334" s="45">
        <f t="shared" si="88"/>
        <v>1585</v>
      </c>
      <c r="B334" s="45" t="s">
        <v>2792</v>
      </c>
      <c r="C334" s="45">
        <v>1</v>
      </c>
      <c r="D334" s="45">
        <v>585</v>
      </c>
      <c r="F334" s="46">
        <f t="shared" si="89"/>
        <v>1019</v>
      </c>
      <c r="G334" s="45">
        <f t="shared" si="94"/>
        <v>2.72</v>
      </c>
      <c r="H334" s="45">
        <v>5</v>
      </c>
      <c r="I334" s="46">
        <v>10</v>
      </c>
      <c r="J334" s="46">
        <v>20</v>
      </c>
      <c r="K334" s="46" t="e">
        <f ca="1" t="shared" si="90"/>
        <v>#VALUE!</v>
      </c>
      <c r="L334" s="46" t="e">
        <f ca="1" t="shared" si="91"/>
        <v>#VALUE!</v>
      </c>
      <c r="M334" s="46" t="e">
        <f ca="1" t="shared" si="92"/>
        <v>#VALUE!</v>
      </c>
      <c r="N334" s="46" t="e">
        <f ca="1" t="shared" si="95"/>
        <v>#VALUE!</v>
      </c>
      <c r="O334" s="46">
        <v>91</v>
      </c>
      <c r="P334" s="46">
        <f t="shared" si="96"/>
        <v>19</v>
      </c>
      <c r="Q334" s="46" t="e">
        <f ca="1" t="shared" si="99"/>
        <v>#VALUE!</v>
      </c>
      <c r="R334" s="46" t="e">
        <f ca="1">OFFSET([2]怪物强度模型!$K$1,MATCH(F334,[2]怪物强度模型!$A:$A,0)-1,0)</f>
        <v>#VALUE!</v>
      </c>
      <c r="S334" s="46" t="e">
        <f ca="1">OFFSET([2]怪物强度模型!$O$1,MATCH(F334,[2]怪物强度模型!$A:$A,0)-1,0)</f>
        <v>#VALUE!</v>
      </c>
      <c r="T334" s="47" t="e">
        <f ca="1" t="shared" si="93"/>
        <v>#VALUE!</v>
      </c>
      <c r="U334" s="47" t="e">
        <f ca="1">Q334+N334*$V$1/10000+$V$1*OFFSET(卡牌辅助配置表!$V$1,MATCH(C334,卡牌辅助配置表!U:U,0)-1,0)*5*P334/10000/10000+M334*$V$1/10000</f>
        <v>#VALUE!</v>
      </c>
      <c r="V334" s="46" t="e">
        <f ca="1">OFFSET([2]怪物强度模型!$I$1,MATCH(F334,[2]怪物强度模型!$A:$A,0)-1,0)</f>
        <v>#VALUE!</v>
      </c>
      <c r="W334" s="47">
        <f t="shared" si="97"/>
        <v>1.61</v>
      </c>
      <c r="X334" s="47">
        <f t="shared" si="98"/>
        <v>1.36</v>
      </c>
    </row>
    <row r="335" spans="1:24">
      <c r="A335" s="45">
        <f t="shared" si="88"/>
        <v>1586</v>
      </c>
      <c r="B335" s="45" t="s">
        <v>2792</v>
      </c>
      <c r="C335" s="45">
        <v>1</v>
      </c>
      <c r="D335" s="45">
        <v>586</v>
      </c>
      <c r="F335" s="46">
        <f t="shared" si="89"/>
        <v>1019</v>
      </c>
      <c r="G335" s="45">
        <f t="shared" si="94"/>
        <v>2.77</v>
      </c>
      <c r="H335" s="45">
        <v>5</v>
      </c>
      <c r="I335" s="46">
        <v>10</v>
      </c>
      <c r="J335" s="46">
        <v>20</v>
      </c>
      <c r="K335" s="46" t="e">
        <f ca="1" t="shared" si="90"/>
        <v>#VALUE!</v>
      </c>
      <c r="L335" s="46" t="e">
        <f ca="1" t="shared" si="91"/>
        <v>#VALUE!</v>
      </c>
      <c r="M335" s="46" t="e">
        <f ca="1" t="shared" si="92"/>
        <v>#VALUE!</v>
      </c>
      <c r="N335" s="46" t="e">
        <f ca="1" t="shared" si="95"/>
        <v>#VALUE!</v>
      </c>
      <c r="O335" s="46">
        <v>92</v>
      </c>
      <c r="P335" s="46">
        <f t="shared" si="96"/>
        <v>19</v>
      </c>
      <c r="Q335" s="46" t="e">
        <f ca="1" t="shared" si="99"/>
        <v>#VALUE!</v>
      </c>
      <c r="R335" s="46" t="e">
        <f ca="1">OFFSET([2]怪物强度模型!$K$1,MATCH(F335,[2]怪物强度模型!$A:$A,0)-1,0)</f>
        <v>#VALUE!</v>
      </c>
      <c r="S335" s="46" t="e">
        <f ca="1">OFFSET([2]怪物强度模型!$O$1,MATCH(F335,[2]怪物强度模型!$A:$A,0)-1,0)</f>
        <v>#VALUE!</v>
      </c>
      <c r="T335" s="47" t="e">
        <f ca="1" t="shared" si="93"/>
        <v>#VALUE!</v>
      </c>
      <c r="U335" s="47" t="e">
        <f ca="1">Q335+N335*$V$1/10000+$V$1*OFFSET(卡牌辅助配置表!$V$1,MATCH(C335,卡牌辅助配置表!U:U,0)-1,0)*5*P335/10000/10000+M335*$V$1/10000</f>
        <v>#VALUE!</v>
      </c>
      <c r="V335" s="46" t="e">
        <f ca="1">OFFSET([2]怪物强度模型!$I$1,MATCH(F335,[2]怪物强度模型!$A:$A,0)-1,0)</f>
        <v>#VALUE!</v>
      </c>
      <c r="W335" s="47">
        <f t="shared" si="97"/>
        <v>1.62</v>
      </c>
      <c r="X335" s="47">
        <f t="shared" si="98"/>
        <v>1.36</v>
      </c>
    </row>
    <row r="336" spans="1:24">
      <c r="A336" s="45">
        <f t="shared" si="88"/>
        <v>1587</v>
      </c>
      <c r="B336" s="45" t="s">
        <v>2792</v>
      </c>
      <c r="C336" s="45">
        <v>1</v>
      </c>
      <c r="D336" s="45">
        <v>587</v>
      </c>
      <c r="F336" s="46">
        <f t="shared" si="89"/>
        <v>1019</v>
      </c>
      <c r="G336" s="45">
        <f t="shared" si="94"/>
        <v>2.82</v>
      </c>
      <c r="H336" s="45">
        <v>5</v>
      </c>
      <c r="I336" s="46">
        <v>10</v>
      </c>
      <c r="J336" s="46">
        <v>20</v>
      </c>
      <c r="K336" s="46" t="e">
        <f ca="1" t="shared" si="90"/>
        <v>#VALUE!</v>
      </c>
      <c r="L336" s="46" t="e">
        <f ca="1" t="shared" si="91"/>
        <v>#VALUE!</v>
      </c>
      <c r="M336" s="46" t="e">
        <f ca="1" t="shared" si="92"/>
        <v>#VALUE!</v>
      </c>
      <c r="N336" s="46" t="e">
        <f ca="1" t="shared" si="95"/>
        <v>#VALUE!</v>
      </c>
      <c r="O336" s="46">
        <v>93</v>
      </c>
      <c r="P336" s="46">
        <f t="shared" si="96"/>
        <v>19</v>
      </c>
      <c r="Q336" s="46" t="e">
        <f ca="1" t="shared" si="99"/>
        <v>#VALUE!</v>
      </c>
      <c r="R336" s="46" t="e">
        <f ca="1">OFFSET([2]怪物强度模型!$K$1,MATCH(F336,[2]怪物强度模型!$A:$A,0)-1,0)</f>
        <v>#VALUE!</v>
      </c>
      <c r="S336" s="46" t="e">
        <f ca="1">OFFSET([2]怪物强度模型!$O$1,MATCH(F336,[2]怪物强度模型!$A:$A,0)-1,0)</f>
        <v>#VALUE!</v>
      </c>
      <c r="T336" s="47" t="e">
        <f ca="1" t="shared" si="93"/>
        <v>#VALUE!</v>
      </c>
      <c r="U336" s="47" t="e">
        <f ca="1">Q336+N336*$V$1/10000+$V$1*OFFSET(卡牌辅助配置表!$V$1,MATCH(C336,卡牌辅助配置表!U:U,0)-1,0)*5*P336/10000/10000+M336*$V$1/10000</f>
        <v>#VALUE!</v>
      </c>
      <c r="V336" s="46" t="e">
        <f ca="1">OFFSET([2]怪物强度模型!$I$1,MATCH(F336,[2]怪物强度模型!$A:$A,0)-1,0)</f>
        <v>#VALUE!</v>
      </c>
      <c r="W336" s="47">
        <f t="shared" si="97"/>
        <v>1.62</v>
      </c>
      <c r="X336" s="47">
        <f t="shared" si="98"/>
        <v>1.36</v>
      </c>
    </row>
    <row r="337" spans="1:24">
      <c r="A337" s="45">
        <f t="shared" si="88"/>
        <v>1588</v>
      </c>
      <c r="B337" s="45" t="s">
        <v>2792</v>
      </c>
      <c r="C337" s="45">
        <v>1</v>
      </c>
      <c r="D337" s="45">
        <v>588</v>
      </c>
      <c r="F337" s="46">
        <f t="shared" si="89"/>
        <v>1019</v>
      </c>
      <c r="G337" s="45">
        <f t="shared" si="94"/>
        <v>2.87</v>
      </c>
      <c r="H337" s="45">
        <v>5</v>
      </c>
      <c r="I337" s="46">
        <v>10</v>
      </c>
      <c r="J337" s="46">
        <v>20</v>
      </c>
      <c r="K337" s="46" t="e">
        <f ca="1" t="shared" si="90"/>
        <v>#VALUE!</v>
      </c>
      <c r="L337" s="46" t="e">
        <f ca="1" t="shared" si="91"/>
        <v>#VALUE!</v>
      </c>
      <c r="M337" s="46" t="e">
        <f ca="1" t="shared" si="92"/>
        <v>#VALUE!</v>
      </c>
      <c r="N337" s="46" t="e">
        <f ca="1" t="shared" si="95"/>
        <v>#VALUE!</v>
      </c>
      <c r="O337" s="46">
        <v>94</v>
      </c>
      <c r="P337" s="46">
        <f t="shared" si="96"/>
        <v>19</v>
      </c>
      <c r="Q337" s="46" t="e">
        <f ca="1" t="shared" si="99"/>
        <v>#VALUE!</v>
      </c>
      <c r="R337" s="46" t="e">
        <f ca="1">OFFSET([2]怪物强度模型!$K$1,MATCH(F337,[2]怪物强度模型!$A:$A,0)-1,0)</f>
        <v>#VALUE!</v>
      </c>
      <c r="S337" s="46" t="e">
        <f ca="1">OFFSET([2]怪物强度模型!$O$1,MATCH(F337,[2]怪物强度模型!$A:$A,0)-1,0)</f>
        <v>#VALUE!</v>
      </c>
      <c r="T337" s="47" t="e">
        <f ca="1" t="shared" si="93"/>
        <v>#VALUE!</v>
      </c>
      <c r="U337" s="47" t="e">
        <f ca="1">Q337+N337*$V$1/10000+$V$1*OFFSET(卡牌辅助配置表!$V$1,MATCH(C337,卡牌辅助配置表!U:U,0)-1,0)*5*P337/10000/10000+M337*$V$1/10000</f>
        <v>#VALUE!</v>
      </c>
      <c r="V337" s="46" t="e">
        <f ca="1">OFFSET([2]怪物强度模型!$I$1,MATCH(F337,[2]怪物强度模型!$A:$A,0)-1,0)</f>
        <v>#VALUE!</v>
      </c>
      <c r="W337" s="47">
        <f t="shared" si="97"/>
        <v>1.62</v>
      </c>
      <c r="X337" s="47">
        <f t="shared" si="98"/>
        <v>1.36</v>
      </c>
    </row>
    <row r="338" spans="1:24">
      <c r="A338" s="45">
        <f t="shared" si="88"/>
        <v>1589</v>
      </c>
      <c r="B338" s="45" t="s">
        <v>2792</v>
      </c>
      <c r="C338" s="45">
        <v>1</v>
      </c>
      <c r="D338" s="45">
        <v>589</v>
      </c>
      <c r="F338" s="46">
        <f t="shared" si="89"/>
        <v>1019</v>
      </c>
      <c r="G338" s="45">
        <f>G328+0.1</f>
        <v>4.8</v>
      </c>
      <c r="H338" s="45">
        <v>5</v>
      </c>
      <c r="I338" s="46">
        <v>10</v>
      </c>
      <c r="J338" s="46">
        <v>20</v>
      </c>
      <c r="K338" s="46" t="e">
        <f ca="1" t="shared" si="90"/>
        <v>#VALUE!</v>
      </c>
      <c r="L338" s="46" t="e">
        <f ca="1" t="shared" si="91"/>
        <v>#VALUE!</v>
      </c>
      <c r="M338" s="46" t="e">
        <f ca="1" t="shared" si="92"/>
        <v>#VALUE!</v>
      </c>
      <c r="N338" s="46" t="e">
        <f ca="1" t="shared" si="95"/>
        <v>#VALUE!</v>
      </c>
      <c r="O338" s="46">
        <v>95</v>
      </c>
      <c r="P338" s="46">
        <f t="shared" si="96"/>
        <v>19</v>
      </c>
      <c r="Q338" s="46" t="e">
        <f ca="1" t="shared" si="99"/>
        <v>#VALUE!</v>
      </c>
      <c r="R338" s="46" t="e">
        <f ca="1">OFFSET([2]怪物强度模型!$K$1,MATCH(F338,[2]怪物强度模型!$A:$A,0)-1,0)</f>
        <v>#VALUE!</v>
      </c>
      <c r="S338" s="46" t="e">
        <f ca="1">OFFSET([2]怪物强度模型!$O$1,MATCH(F338,[2]怪物强度模型!$A:$A,0)-1,0)</f>
        <v>#VALUE!</v>
      </c>
      <c r="T338" s="47" t="e">
        <f ca="1" t="shared" si="93"/>
        <v>#VALUE!</v>
      </c>
      <c r="U338" s="47" t="e">
        <f ca="1">Q338+N338*$V$1/10000+$V$1*OFFSET(卡牌辅助配置表!$V$1,MATCH(C338,卡牌辅助配置表!U:U,0)-1,0)*5*P338/10000/10000+M338*$V$1/10000</f>
        <v>#VALUE!</v>
      </c>
      <c r="V338" s="46" t="e">
        <f ca="1">OFFSET([2]怪物强度模型!$I$1,MATCH(F338,[2]怪物强度模型!$A:$A,0)-1,0)</f>
        <v>#VALUE!</v>
      </c>
      <c r="W338" s="47">
        <f t="shared" si="97"/>
        <v>1.75</v>
      </c>
      <c r="X338" s="47">
        <f t="shared" si="98"/>
        <v>1.36</v>
      </c>
    </row>
    <row r="339" spans="1:24">
      <c r="A339" s="45">
        <f t="shared" si="88"/>
        <v>1590</v>
      </c>
      <c r="B339" s="45" t="s">
        <v>2792</v>
      </c>
      <c r="C339" s="45">
        <v>1</v>
      </c>
      <c r="D339" s="45">
        <v>590</v>
      </c>
      <c r="F339" s="46">
        <f t="shared" si="89"/>
        <v>1020</v>
      </c>
      <c r="G339" s="45">
        <f t="shared" si="94"/>
        <v>2.75</v>
      </c>
      <c r="H339" s="45">
        <v>5</v>
      </c>
      <c r="I339" s="46">
        <v>10</v>
      </c>
      <c r="J339" s="46">
        <v>20</v>
      </c>
      <c r="K339" s="46" t="e">
        <f ca="1" t="shared" si="90"/>
        <v>#VALUE!</v>
      </c>
      <c r="L339" s="46" t="e">
        <f ca="1" t="shared" si="91"/>
        <v>#VALUE!</v>
      </c>
      <c r="M339" s="46" t="e">
        <f ca="1" t="shared" si="92"/>
        <v>#VALUE!</v>
      </c>
      <c r="N339" s="46" t="e">
        <f ca="1" t="shared" si="95"/>
        <v>#VALUE!</v>
      </c>
      <c r="O339" s="46">
        <v>96</v>
      </c>
      <c r="P339" s="46">
        <f t="shared" si="96"/>
        <v>20</v>
      </c>
      <c r="Q339" s="46" t="e">
        <f ca="1" t="shared" si="99"/>
        <v>#VALUE!</v>
      </c>
      <c r="R339" s="46" t="e">
        <f ca="1">OFFSET([2]怪物强度模型!$K$1,MATCH(F339,[2]怪物强度模型!$A:$A,0)-1,0)</f>
        <v>#VALUE!</v>
      </c>
      <c r="S339" s="46" t="e">
        <f ca="1">OFFSET([2]怪物强度模型!$O$1,MATCH(F339,[2]怪物强度模型!$A:$A,0)-1,0)</f>
        <v>#VALUE!</v>
      </c>
      <c r="T339" s="47" t="e">
        <f ca="1" t="shared" si="93"/>
        <v>#VALUE!</v>
      </c>
      <c r="U339" s="47" t="e">
        <f ca="1">Q339+N339*$V$1/10000+$V$1*OFFSET(卡牌辅助配置表!$V$1,MATCH(C339,卡牌辅助配置表!U:U,0)-1,0)*5*P339/10000/10000+M339*$V$1/10000</f>
        <v>#VALUE!</v>
      </c>
      <c r="V339" s="46" t="e">
        <f ca="1">OFFSET([2]怪物强度模型!$I$1,MATCH(F339,[2]怪物强度模型!$A:$A,0)-1,0)</f>
        <v>#VALUE!</v>
      </c>
      <c r="W339" s="47">
        <f t="shared" si="97"/>
        <v>1.65</v>
      </c>
      <c r="X339" s="47">
        <f t="shared" si="98"/>
        <v>1.38</v>
      </c>
    </row>
    <row r="340" spans="1:24">
      <c r="A340" s="45">
        <f t="shared" si="88"/>
        <v>1591</v>
      </c>
      <c r="B340" s="45" t="s">
        <v>2792</v>
      </c>
      <c r="C340" s="45">
        <v>1</v>
      </c>
      <c r="D340" s="45">
        <v>591</v>
      </c>
      <c r="F340" s="46">
        <f t="shared" si="89"/>
        <v>1020</v>
      </c>
      <c r="G340" s="45">
        <f t="shared" si="94"/>
        <v>2.8</v>
      </c>
      <c r="H340" s="45">
        <v>5</v>
      </c>
      <c r="I340" s="46">
        <v>10</v>
      </c>
      <c r="J340" s="46">
        <v>20</v>
      </c>
      <c r="K340" s="46" t="e">
        <f ca="1" t="shared" si="90"/>
        <v>#VALUE!</v>
      </c>
      <c r="L340" s="46" t="e">
        <f ca="1" t="shared" si="91"/>
        <v>#VALUE!</v>
      </c>
      <c r="M340" s="46" t="e">
        <f ca="1" t="shared" si="92"/>
        <v>#VALUE!</v>
      </c>
      <c r="N340" s="46" t="e">
        <f ca="1" t="shared" si="95"/>
        <v>#VALUE!</v>
      </c>
      <c r="O340" s="46">
        <v>97</v>
      </c>
      <c r="P340" s="46">
        <f t="shared" si="96"/>
        <v>20</v>
      </c>
      <c r="Q340" s="46" t="e">
        <f ca="1" t="shared" si="99"/>
        <v>#VALUE!</v>
      </c>
      <c r="R340" s="46" t="e">
        <f ca="1">OFFSET([2]怪物强度模型!$K$1,MATCH(F340,[2]怪物强度模型!$A:$A,0)-1,0)</f>
        <v>#VALUE!</v>
      </c>
      <c r="S340" s="46" t="e">
        <f ca="1">OFFSET([2]怪物强度模型!$O$1,MATCH(F340,[2]怪物强度模型!$A:$A,0)-1,0)</f>
        <v>#VALUE!</v>
      </c>
      <c r="T340" s="47" t="e">
        <f ca="1" t="shared" si="93"/>
        <v>#VALUE!</v>
      </c>
      <c r="U340" s="47" t="e">
        <f ca="1">Q340+N340*$V$1/10000+$V$1*OFFSET(卡牌辅助配置表!$V$1,MATCH(C340,卡牌辅助配置表!U:U,0)-1,0)*5*P340/10000/10000+M340*$V$1/10000</f>
        <v>#VALUE!</v>
      </c>
      <c r="V340" s="46" t="e">
        <f ca="1">OFFSET([2]怪物强度模型!$I$1,MATCH(F340,[2]怪物强度模型!$A:$A,0)-1,0)</f>
        <v>#VALUE!</v>
      </c>
      <c r="W340" s="47">
        <f t="shared" si="97"/>
        <v>1.65</v>
      </c>
      <c r="X340" s="47">
        <f t="shared" si="98"/>
        <v>1.38</v>
      </c>
    </row>
    <row r="341" spans="1:24">
      <c r="A341" s="45">
        <f t="shared" si="88"/>
        <v>1592</v>
      </c>
      <c r="B341" s="45" t="s">
        <v>2792</v>
      </c>
      <c r="C341" s="45">
        <v>1</v>
      </c>
      <c r="D341" s="45">
        <v>592</v>
      </c>
      <c r="F341" s="46">
        <f t="shared" si="89"/>
        <v>1020</v>
      </c>
      <c r="G341" s="45">
        <f t="shared" si="94"/>
        <v>2.85</v>
      </c>
      <c r="H341" s="45">
        <v>5</v>
      </c>
      <c r="I341" s="46">
        <v>10</v>
      </c>
      <c r="J341" s="46">
        <v>20</v>
      </c>
      <c r="K341" s="46" t="e">
        <f ca="1" t="shared" si="90"/>
        <v>#VALUE!</v>
      </c>
      <c r="L341" s="46" t="e">
        <f ca="1" t="shared" si="91"/>
        <v>#VALUE!</v>
      </c>
      <c r="M341" s="46" t="e">
        <f ca="1" t="shared" si="92"/>
        <v>#VALUE!</v>
      </c>
      <c r="N341" s="46" t="e">
        <f ca="1" t="shared" si="95"/>
        <v>#VALUE!</v>
      </c>
      <c r="O341" s="46">
        <v>98</v>
      </c>
      <c r="P341" s="46">
        <f t="shared" si="96"/>
        <v>20</v>
      </c>
      <c r="Q341" s="46" t="e">
        <f ca="1" t="shared" si="99"/>
        <v>#VALUE!</v>
      </c>
      <c r="R341" s="46" t="e">
        <f ca="1">OFFSET([2]怪物强度模型!$K$1,MATCH(F341,[2]怪物强度模型!$A:$A,0)-1,0)</f>
        <v>#VALUE!</v>
      </c>
      <c r="S341" s="46" t="e">
        <f ca="1">OFFSET([2]怪物强度模型!$O$1,MATCH(F341,[2]怪物强度模型!$A:$A,0)-1,0)</f>
        <v>#VALUE!</v>
      </c>
      <c r="T341" s="47" t="e">
        <f ca="1" t="shared" si="93"/>
        <v>#VALUE!</v>
      </c>
      <c r="U341" s="47" t="e">
        <f ca="1">Q341+N341*$V$1/10000+$V$1*OFFSET(卡牌辅助配置表!$V$1,MATCH(C341,卡牌辅助配置表!U:U,0)-1,0)*5*P341/10000/10000+M341*$V$1/10000</f>
        <v>#VALUE!</v>
      </c>
      <c r="V341" s="46" t="e">
        <f ca="1">OFFSET([2]怪物强度模型!$I$1,MATCH(F341,[2]怪物强度模型!$A:$A,0)-1,0)</f>
        <v>#VALUE!</v>
      </c>
      <c r="W341" s="47">
        <f t="shared" si="97"/>
        <v>1.65</v>
      </c>
      <c r="X341" s="47">
        <f t="shared" si="98"/>
        <v>1.38</v>
      </c>
    </row>
    <row r="342" spans="1:24">
      <c r="A342" s="45">
        <f t="shared" si="88"/>
        <v>1593</v>
      </c>
      <c r="B342" s="45" t="s">
        <v>2792</v>
      </c>
      <c r="C342" s="45">
        <v>1</v>
      </c>
      <c r="D342" s="45">
        <v>593</v>
      </c>
      <c r="F342" s="46">
        <f t="shared" si="89"/>
        <v>1020</v>
      </c>
      <c r="G342" s="45">
        <f t="shared" si="94"/>
        <v>2.9</v>
      </c>
      <c r="H342" s="45">
        <v>5</v>
      </c>
      <c r="I342" s="46">
        <v>10</v>
      </c>
      <c r="J342" s="46">
        <v>20</v>
      </c>
      <c r="K342" s="46" t="e">
        <f ca="1" t="shared" si="90"/>
        <v>#VALUE!</v>
      </c>
      <c r="L342" s="46" t="e">
        <f ca="1" t="shared" si="91"/>
        <v>#VALUE!</v>
      </c>
      <c r="M342" s="46" t="e">
        <f ca="1" t="shared" si="92"/>
        <v>#VALUE!</v>
      </c>
      <c r="N342" s="46" t="e">
        <f ca="1" t="shared" si="95"/>
        <v>#VALUE!</v>
      </c>
      <c r="O342" s="46">
        <v>99</v>
      </c>
      <c r="P342" s="46">
        <f t="shared" si="96"/>
        <v>20</v>
      </c>
      <c r="Q342" s="46" t="e">
        <f ca="1" t="shared" si="99"/>
        <v>#VALUE!</v>
      </c>
      <c r="R342" s="46" t="e">
        <f ca="1">OFFSET([2]怪物强度模型!$K$1,MATCH(F342,[2]怪物强度模型!$A:$A,0)-1,0)</f>
        <v>#VALUE!</v>
      </c>
      <c r="S342" s="46" t="e">
        <f ca="1">OFFSET([2]怪物强度模型!$O$1,MATCH(F342,[2]怪物强度模型!$A:$A,0)-1,0)</f>
        <v>#VALUE!</v>
      </c>
      <c r="T342" s="47" t="e">
        <f ca="1" t="shared" si="93"/>
        <v>#VALUE!</v>
      </c>
      <c r="U342" s="47" t="e">
        <f ca="1">Q342+N342*$V$1/10000+$V$1*OFFSET(卡牌辅助配置表!$V$1,MATCH(C342,卡牌辅助配置表!U:U,0)-1,0)*5*P342/10000/10000+M342*$V$1/10000</f>
        <v>#VALUE!</v>
      </c>
      <c r="V342" s="46" t="e">
        <f ca="1">OFFSET([2]怪物强度模型!$I$1,MATCH(F342,[2]怪物强度模型!$A:$A,0)-1,0)</f>
        <v>#VALUE!</v>
      </c>
      <c r="W342" s="47">
        <f t="shared" si="97"/>
        <v>1.66</v>
      </c>
      <c r="X342" s="47">
        <f t="shared" si="98"/>
        <v>1.38</v>
      </c>
    </row>
    <row r="343" spans="1:24">
      <c r="A343" s="45">
        <f t="shared" si="88"/>
        <v>1594</v>
      </c>
      <c r="B343" s="45" t="s">
        <v>2792</v>
      </c>
      <c r="C343" s="45">
        <v>1</v>
      </c>
      <c r="D343" s="45">
        <v>594</v>
      </c>
      <c r="F343" s="46">
        <f t="shared" si="89"/>
        <v>1020</v>
      </c>
      <c r="G343" s="45">
        <f t="shared" si="94"/>
        <v>4.83</v>
      </c>
      <c r="H343" s="45">
        <v>5</v>
      </c>
      <c r="I343" s="46">
        <v>10</v>
      </c>
      <c r="J343" s="46">
        <v>20</v>
      </c>
      <c r="K343" s="46" t="e">
        <f ca="1" t="shared" si="90"/>
        <v>#VALUE!</v>
      </c>
      <c r="L343" s="46" t="e">
        <f ca="1" t="shared" si="91"/>
        <v>#VALUE!</v>
      </c>
      <c r="M343" s="46" t="e">
        <f ca="1" t="shared" si="92"/>
        <v>#VALUE!</v>
      </c>
      <c r="N343" s="46" t="e">
        <f ca="1" t="shared" si="95"/>
        <v>#VALUE!</v>
      </c>
      <c r="O343" s="46">
        <v>100</v>
      </c>
      <c r="P343" s="46">
        <f t="shared" si="96"/>
        <v>20</v>
      </c>
      <c r="Q343" s="46" t="e">
        <f ca="1" t="shared" si="99"/>
        <v>#VALUE!</v>
      </c>
      <c r="R343" s="46" t="e">
        <f ca="1">OFFSET([2]怪物强度模型!$K$1,MATCH(F343,[2]怪物强度模型!$A:$A,0)-1,0)</f>
        <v>#VALUE!</v>
      </c>
      <c r="S343" s="46" t="e">
        <f ca="1">OFFSET([2]怪物强度模型!$O$1,MATCH(F343,[2]怪物强度模型!$A:$A,0)-1,0)</f>
        <v>#VALUE!</v>
      </c>
      <c r="T343" s="47" t="e">
        <f ca="1" t="shared" si="93"/>
        <v>#VALUE!</v>
      </c>
      <c r="U343" s="47" t="e">
        <f ca="1">Q343+N343*$V$1/10000+$V$1*OFFSET(卡牌辅助配置表!$V$1,MATCH(C343,卡牌辅助配置表!U:U,0)-1,0)*5*P343/10000/10000+M343*$V$1/10000</f>
        <v>#VALUE!</v>
      </c>
      <c r="V343" s="46" t="e">
        <f ca="1">OFFSET([2]怪物强度模型!$I$1,MATCH(F343,[2]怪物强度模型!$A:$A,0)-1,0)</f>
        <v>#VALUE!</v>
      </c>
      <c r="W343" s="47">
        <f t="shared" si="97"/>
        <v>1.66</v>
      </c>
      <c r="X343" s="47">
        <f t="shared" si="98"/>
        <v>1.38</v>
      </c>
    </row>
    <row r="344" spans="1:24">
      <c r="A344" s="45">
        <f t="shared" si="88"/>
        <v>1595</v>
      </c>
      <c r="B344" s="45" t="s">
        <v>2792</v>
      </c>
      <c r="C344" s="45">
        <v>1</v>
      </c>
      <c r="D344" s="45">
        <v>595</v>
      </c>
      <c r="F344" s="46">
        <f t="shared" si="89"/>
        <v>1020</v>
      </c>
      <c r="G344" s="45">
        <f t="shared" si="94"/>
        <v>2.78</v>
      </c>
      <c r="H344" s="45">
        <v>5</v>
      </c>
      <c r="I344" s="46">
        <v>10</v>
      </c>
      <c r="J344" s="46">
        <v>20</v>
      </c>
      <c r="K344" s="46" t="e">
        <f ca="1" t="shared" si="90"/>
        <v>#VALUE!</v>
      </c>
      <c r="L344" s="46" t="e">
        <f ca="1" t="shared" si="91"/>
        <v>#VALUE!</v>
      </c>
      <c r="M344" s="46" t="e">
        <f ca="1" t="shared" si="92"/>
        <v>#VALUE!</v>
      </c>
      <c r="N344" s="46" t="e">
        <f ca="1" t="shared" si="95"/>
        <v>#VALUE!</v>
      </c>
      <c r="O344" s="46">
        <v>101</v>
      </c>
      <c r="P344" s="46">
        <f t="shared" si="96"/>
        <v>20</v>
      </c>
      <c r="Q344" s="46" t="e">
        <f ca="1" t="shared" si="99"/>
        <v>#VALUE!</v>
      </c>
      <c r="R344" s="46" t="e">
        <f ca="1">OFFSET([2]怪物强度模型!$K$1,MATCH(F344,[2]怪物强度模型!$A:$A,0)-1,0)</f>
        <v>#VALUE!</v>
      </c>
      <c r="S344" s="46" t="e">
        <f ca="1">OFFSET([2]怪物强度模型!$O$1,MATCH(F344,[2]怪物强度模型!$A:$A,0)-1,0)</f>
        <v>#VALUE!</v>
      </c>
      <c r="T344" s="47" t="e">
        <f ca="1" t="shared" si="93"/>
        <v>#VALUE!</v>
      </c>
      <c r="U344" s="47" t="e">
        <f ca="1">Q344+N344*$V$1/10000+$V$1*OFFSET(卡牌辅助配置表!$V$1,MATCH(C344,卡牌辅助配置表!U:U,0)-1,0)*5*P344/10000/10000+M344*$V$1/10000</f>
        <v>#VALUE!</v>
      </c>
      <c r="V344" s="46" t="e">
        <f ca="1">OFFSET([2]怪物强度模型!$I$1,MATCH(F344,[2]怪物强度模型!$A:$A,0)-1,0)</f>
        <v>#VALUE!</v>
      </c>
      <c r="W344" s="47">
        <f t="shared" si="97"/>
        <v>1.66</v>
      </c>
      <c r="X344" s="47">
        <f t="shared" si="98"/>
        <v>1.38</v>
      </c>
    </row>
    <row r="345" spans="1:24">
      <c r="A345" s="45">
        <f t="shared" ref="A345:A408" si="100">C345*1000+D345</f>
        <v>1596</v>
      </c>
      <c r="B345" s="45" t="s">
        <v>2792</v>
      </c>
      <c r="C345" s="45">
        <v>1</v>
      </c>
      <c r="D345" s="45">
        <v>596</v>
      </c>
      <c r="F345" s="46">
        <f t="shared" ref="F345:F408" si="101">C345*1000+P345</f>
        <v>1020</v>
      </c>
      <c r="G345" s="45">
        <f t="shared" si="94"/>
        <v>2.83</v>
      </c>
      <c r="H345" s="45">
        <v>5</v>
      </c>
      <c r="I345" s="46">
        <v>10</v>
      </c>
      <c r="J345" s="46">
        <v>20</v>
      </c>
      <c r="K345" s="46" t="e">
        <f ca="1" t="shared" ref="K345:K408" si="102">ROUND(Q345*0.95,0)</f>
        <v>#VALUE!</v>
      </c>
      <c r="L345" s="46" t="e">
        <f ca="1" t="shared" ref="L345:L408" si="103">ROUND(Q345*1.05,0)</f>
        <v>#VALUE!</v>
      </c>
      <c r="M345" s="46" t="e">
        <f ca="1" t="shared" si="92"/>
        <v>#VALUE!</v>
      </c>
      <c r="N345" s="46" t="e">
        <f ca="1" t="shared" si="95"/>
        <v>#VALUE!</v>
      </c>
      <c r="O345" s="46">
        <v>102</v>
      </c>
      <c r="P345" s="46">
        <f t="shared" si="96"/>
        <v>20</v>
      </c>
      <c r="Q345" s="46" t="e">
        <f ca="1" t="shared" si="99"/>
        <v>#VALUE!</v>
      </c>
      <c r="R345" s="46" t="e">
        <f ca="1">OFFSET([2]怪物强度模型!$K$1,MATCH(F345,[2]怪物强度模型!$A:$A,0)-1,0)</f>
        <v>#VALUE!</v>
      </c>
      <c r="S345" s="46" t="e">
        <f ca="1">OFFSET([2]怪物强度模型!$O$1,MATCH(F345,[2]怪物强度模型!$A:$A,0)-1,0)</f>
        <v>#VALUE!</v>
      </c>
      <c r="T345" s="47" t="e">
        <f ca="1" t="shared" si="93"/>
        <v>#VALUE!</v>
      </c>
      <c r="U345" s="47" t="e">
        <f ca="1">Q345+N345*$V$1/10000+$V$1*OFFSET(卡牌辅助配置表!$V$1,MATCH(C345,卡牌辅助配置表!U:U,0)-1,0)*5*P345/10000/10000+M345*$V$1/10000</f>
        <v>#VALUE!</v>
      </c>
      <c r="V345" s="46" t="e">
        <f ca="1">OFFSET([2]怪物强度模型!$I$1,MATCH(F345,[2]怪物强度模型!$A:$A,0)-1,0)</f>
        <v>#VALUE!</v>
      </c>
      <c r="W345" s="47">
        <f t="shared" si="97"/>
        <v>1.67</v>
      </c>
      <c r="X345" s="47">
        <f t="shared" si="98"/>
        <v>1.38</v>
      </c>
    </row>
    <row r="346" spans="1:24">
      <c r="A346" s="45">
        <f t="shared" si="100"/>
        <v>1597</v>
      </c>
      <c r="B346" s="45" t="s">
        <v>2792</v>
      </c>
      <c r="C346" s="45">
        <v>1</v>
      </c>
      <c r="D346" s="45">
        <v>597</v>
      </c>
      <c r="F346" s="46">
        <f t="shared" si="101"/>
        <v>1020</v>
      </c>
      <c r="G346" s="45">
        <f t="shared" si="94"/>
        <v>2.88</v>
      </c>
      <c r="H346" s="45">
        <v>5</v>
      </c>
      <c r="I346" s="46">
        <v>10</v>
      </c>
      <c r="J346" s="46">
        <v>20</v>
      </c>
      <c r="K346" s="46" t="e">
        <f ca="1" t="shared" si="102"/>
        <v>#VALUE!</v>
      </c>
      <c r="L346" s="46" t="e">
        <f ca="1" t="shared" si="103"/>
        <v>#VALUE!</v>
      </c>
      <c r="M346" s="46" t="e">
        <f ca="1" t="shared" si="92"/>
        <v>#VALUE!</v>
      </c>
      <c r="N346" s="46" t="e">
        <f ca="1" t="shared" si="95"/>
        <v>#VALUE!</v>
      </c>
      <c r="O346" s="46">
        <v>103</v>
      </c>
      <c r="P346" s="46">
        <f t="shared" si="96"/>
        <v>20</v>
      </c>
      <c r="Q346" s="46" t="e">
        <f ca="1" t="shared" si="99"/>
        <v>#VALUE!</v>
      </c>
      <c r="R346" s="46" t="e">
        <f ca="1">OFFSET([2]怪物强度模型!$K$1,MATCH(F346,[2]怪物强度模型!$A:$A,0)-1,0)</f>
        <v>#VALUE!</v>
      </c>
      <c r="S346" s="46" t="e">
        <f ca="1">OFFSET([2]怪物强度模型!$O$1,MATCH(F346,[2]怪物强度模型!$A:$A,0)-1,0)</f>
        <v>#VALUE!</v>
      </c>
      <c r="T346" s="47" t="e">
        <f ca="1" t="shared" si="93"/>
        <v>#VALUE!</v>
      </c>
      <c r="U346" s="47" t="e">
        <f ca="1">Q346+N346*$V$1/10000+$V$1*OFFSET(卡牌辅助配置表!$V$1,MATCH(C346,卡牌辅助配置表!U:U,0)-1,0)*5*P346/10000/10000+M346*$V$1/10000</f>
        <v>#VALUE!</v>
      </c>
      <c r="V346" s="46" t="e">
        <f ca="1">OFFSET([2]怪物强度模型!$I$1,MATCH(F346,[2]怪物强度模型!$A:$A,0)-1,0)</f>
        <v>#VALUE!</v>
      </c>
      <c r="W346" s="47">
        <f t="shared" si="97"/>
        <v>1.67</v>
      </c>
      <c r="X346" s="47">
        <f t="shared" si="98"/>
        <v>1.38</v>
      </c>
    </row>
    <row r="347" spans="1:24">
      <c r="A347" s="45">
        <f t="shared" si="100"/>
        <v>1598</v>
      </c>
      <c r="B347" s="45" t="s">
        <v>2792</v>
      </c>
      <c r="C347" s="45">
        <v>1</v>
      </c>
      <c r="D347" s="45">
        <v>598</v>
      </c>
      <c r="F347" s="46">
        <f t="shared" si="101"/>
        <v>1020</v>
      </c>
      <c r="G347" s="45">
        <f t="shared" si="94"/>
        <v>2.93</v>
      </c>
      <c r="H347" s="45">
        <v>5</v>
      </c>
      <c r="I347" s="46">
        <v>10</v>
      </c>
      <c r="J347" s="46">
        <v>20</v>
      </c>
      <c r="K347" s="46" t="e">
        <f ca="1" t="shared" si="102"/>
        <v>#VALUE!</v>
      </c>
      <c r="L347" s="46" t="e">
        <f ca="1" t="shared" si="103"/>
        <v>#VALUE!</v>
      </c>
      <c r="M347" s="46" t="e">
        <f ca="1" t="shared" si="92"/>
        <v>#VALUE!</v>
      </c>
      <c r="N347" s="46" t="e">
        <f ca="1" t="shared" si="95"/>
        <v>#VALUE!</v>
      </c>
      <c r="O347" s="46">
        <v>104</v>
      </c>
      <c r="P347" s="46">
        <f t="shared" si="96"/>
        <v>20</v>
      </c>
      <c r="Q347" s="46" t="e">
        <f ca="1" t="shared" si="99"/>
        <v>#VALUE!</v>
      </c>
      <c r="R347" s="46" t="e">
        <f ca="1">OFFSET([2]怪物强度模型!$K$1,MATCH(F347,[2]怪物强度模型!$A:$A,0)-1,0)</f>
        <v>#VALUE!</v>
      </c>
      <c r="S347" s="46" t="e">
        <f ca="1">OFFSET([2]怪物强度模型!$O$1,MATCH(F347,[2]怪物强度模型!$A:$A,0)-1,0)</f>
        <v>#VALUE!</v>
      </c>
      <c r="T347" s="47" t="e">
        <f ca="1" t="shared" si="93"/>
        <v>#VALUE!</v>
      </c>
      <c r="U347" s="47" t="e">
        <f ca="1">Q347+N347*$V$1/10000+$V$1*OFFSET(卡牌辅助配置表!$V$1,MATCH(C347,卡牌辅助配置表!U:U,0)-1,0)*5*P347/10000/10000+M347*$V$1/10000</f>
        <v>#VALUE!</v>
      </c>
      <c r="V347" s="46" t="e">
        <f ca="1">OFFSET([2]怪物强度模型!$I$1,MATCH(F347,[2]怪物强度模型!$A:$A,0)-1,0)</f>
        <v>#VALUE!</v>
      </c>
      <c r="W347" s="47">
        <f t="shared" si="97"/>
        <v>1.67</v>
      </c>
      <c r="X347" s="47">
        <f t="shared" si="98"/>
        <v>1.38</v>
      </c>
    </row>
    <row r="348" spans="1:24">
      <c r="A348" s="45">
        <f t="shared" si="100"/>
        <v>1599</v>
      </c>
      <c r="B348" s="45" t="s">
        <v>2792</v>
      </c>
      <c r="C348" s="45">
        <v>1</v>
      </c>
      <c r="D348" s="45">
        <v>599</v>
      </c>
      <c r="F348" s="46">
        <f t="shared" si="101"/>
        <v>1020</v>
      </c>
      <c r="G348" s="45">
        <f>G338+0.1</f>
        <v>4.9</v>
      </c>
      <c r="H348" s="45">
        <v>5</v>
      </c>
      <c r="I348" s="46">
        <v>10</v>
      </c>
      <c r="J348" s="46">
        <v>20</v>
      </c>
      <c r="K348" s="46" t="e">
        <f ca="1" t="shared" si="102"/>
        <v>#VALUE!</v>
      </c>
      <c r="L348" s="46" t="e">
        <f ca="1" t="shared" si="103"/>
        <v>#VALUE!</v>
      </c>
      <c r="M348" s="46" t="e">
        <f ca="1" t="shared" si="92"/>
        <v>#VALUE!</v>
      </c>
      <c r="N348" s="46" t="e">
        <f ca="1" t="shared" si="95"/>
        <v>#VALUE!</v>
      </c>
      <c r="O348" s="46">
        <v>105</v>
      </c>
      <c r="P348" s="46">
        <f t="shared" si="96"/>
        <v>20</v>
      </c>
      <c r="Q348" s="46" t="e">
        <f ca="1" t="shared" si="99"/>
        <v>#VALUE!</v>
      </c>
      <c r="R348" s="46" t="e">
        <f ca="1">OFFSET([2]怪物强度模型!$K$1,MATCH(F348,[2]怪物强度模型!$A:$A,0)-1,0)</f>
        <v>#VALUE!</v>
      </c>
      <c r="S348" s="46" t="e">
        <f ca="1">OFFSET([2]怪物强度模型!$O$1,MATCH(F348,[2]怪物强度模型!$A:$A,0)-1,0)</f>
        <v>#VALUE!</v>
      </c>
      <c r="T348" s="47" t="e">
        <f ca="1" t="shared" si="93"/>
        <v>#VALUE!</v>
      </c>
      <c r="U348" s="47" t="e">
        <f ca="1">Q348+N348*$V$1/10000+$V$1*OFFSET(卡牌辅助配置表!$V$1,MATCH(C348,卡牌辅助配置表!U:U,0)-1,0)*5*P348/10000/10000+M348*$V$1/10000</f>
        <v>#VALUE!</v>
      </c>
      <c r="V348" s="46" t="e">
        <f ca="1">OFFSET([2]怪物强度模型!$I$1,MATCH(F348,[2]怪物强度模型!$A:$A,0)-1,0)</f>
        <v>#VALUE!</v>
      </c>
      <c r="W348" s="47">
        <f t="shared" si="97"/>
        <v>1.8</v>
      </c>
      <c r="X348" s="47">
        <f t="shared" si="98"/>
        <v>1.38</v>
      </c>
    </row>
    <row r="349" spans="1:24">
      <c r="A349" s="45">
        <f t="shared" si="100"/>
        <v>2500</v>
      </c>
      <c r="B349" s="45" t="s">
        <v>2793</v>
      </c>
      <c r="C349" s="45">
        <v>2</v>
      </c>
      <c r="D349" s="45">
        <v>500</v>
      </c>
      <c r="F349" s="46">
        <f t="shared" si="101"/>
        <v>2021</v>
      </c>
      <c r="G349" s="45">
        <f t="shared" si="94"/>
        <v>2.81</v>
      </c>
      <c r="H349" s="45">
        <v>6</v>
      </c>
      <c r="I349" s="46">
        <v>10</v>
      </c>
      <c r="J349" s="46">
        <v>20</v>
      </c>
      <c r="K349" s="46" t="e">
        <f ca="1" t="shared" si="102"/>
        <v>#VALUE!</v>
      </c>
      <c r="L349" s="46" t="e">
        <f ca="1" t="shared" si="103"/>
        <v>#VALUE!</v>
      </c>
      <c r="M349" s="46" t="e">
        <f ca="1" t="shared" si="92"/>
        <v>#VALUE!</v>
      </c>
      <c r="N349" s="46" t="e">
        <f ca="1" t="shared" si="95"/>
        <v>#VALUE!</v>
      </c>
      <c r="O349" s="46">
        <v>6</v>
      </c>
      <c r="P349" s="46">
        <f t="shared" ref="P349:P380" si="104">P339+1</f>
        <v>21</v>
      </c>
      <c r="Q349" s="46" t="e">
        <f ca="1" t="shared" si="99"/>
        <v>#VALUE!</v>
      </c>
      <c r="R349" s="46" t="e">
        <f ca="1">OFFSET([2]怪物强度模型!$K$1,MATCH(F349,[2]怪物强度模型!$A:$A,0)-1,0)</f>
        <v>#VALUE!</v>
      </c>
      <c r="S349" s="46" t="e">
        <f ca="1">OFFSET([2]怪物强度模型!$O$1,MATCH(F349,[2]怪物强度模型!$A:$A,0)-1,0)</f>
        <v>#VALUE!</v>
      </c>
      <c r="T349" s="47" t="e">
        <f ca="1" t="shared" si="93"/>
        <v>#VALUE!</v>
      </c>
      <c r="U349" s="47" t="e">
        <f ca="1">Q349+N349*$V$1/10000+$V$1*OFFSET(卡牌辅助配置表!$V$1,MATCH(C349,卡牌辅助配置表!U:U,0)-1,0)*5*P349/10000/10000+M349*$V$1/10000</f>
        <v>#VALUE!</v>
      </c>
      <c r="V349" s="46" t="e">
        <f ca="1">OFFSET([2]怪物强度模型!$I$1,MATCH(F349,[2]怪物强度模型!$A:$A,0)-1,0)</f>
        <v>#VALUE!</v>
      </c>
      <c r="W349" s="47">
        <f t="shared" si="97"/>
        <v>1.7</v>
      </c>
      <c r="X349" s="47">
        <v>1.5</v>
      </c>
    </row>
    <row r="350" spans="1:24">
      <c r="A350" s="45">
        <f t="shared" si="100"/>
        <v>2501</v>
      </c>
      <c r="B350" s="45" t="s">
        <v>2793</v>
      </c>
      <c r="C350" s="45">
        <v>2</v>
      </c>
      <c r="D350" s="45">
        <v>501</v>
      </c>
      <c r="F350" s="46">
        <f t="shared" si="101"/>
        <v>2021</v>
      </c>
      <c r="G350" s="45">
        <f t="shared" si="94"/>
        <v>2.86</v>
      </c>
      <c r="H350" s="45">
        <v>6</v>
      </c>
      <c r="I350" s="46">
        <v>10</v>
      </c>
      <c r="J350" s="46">
        <v>20</v>
      </c>
      <c r="K350" s="46" t="e">
        <f ca="1" t="shared" si="102"/>
        <v>#VALUE!</v>
      </c>
      <c r="L350" s="46" t="e">
        <f ca="1" t="shared" si="103"/>
        <v>#VALUE!</v>
      </c>
      <c r="M350" s="46" t="e">
        <f ca="1" t="shared" si="92"/>
        <v>#VALUE!</v>
      </c>
      <c r="N350" s="46" t="e">
        <f ca="1" t="shared" si="95"/>
        <v>#VALUE!</v>
      </c>
      <c r="O350" s="46">
        <v>7</v>
      </c>
      <c r="P350" s="46">
        <f t="shared" si="104"/>
        <v>21</v>
      </c>
      <c r="Q350" s="46" t="e">
        <f ca="1" t="shared" si="99"/>
        <v>#VALUE!</v>
      </c>
      <c r="R350" s="46" t="e">
        <f ca="1">OFFSET([2]怪物强度模型!$K$1,MATCH(F350,[2]怪物强度模型!$A:$A,0)-1,0)</f>
        <v>#VALUE!</v>
      </c>
      <c r="S350" s="46" t="e">
        <f ca="1">OFFSET([2]怪物强度模型!$O$1,MATCH(F350,[2]怪物强度模型!$A:$A,0)-1,0)</f>
        <v>#VALUE!</v>
      </c>
      <c r="T350" s="47" t="e">
        <f ca="1" t="shared" si="93"/>
        <v>#VALUE!</v>
      </c>
      <c r="U350" s="47" t="e">
        <f ca="1">Q350+N350*$V$1/10000+$V$1*OFFSET(卡牌辅助配置表!$V$1,MATCH(C350,卡牌辅助配置表!U:U,0)-1,0)*5*P350/10000/10000+M350*$V$1/10000</f>
        <v>#VALUE!</v>
      </c>
      <c r="V350" s="46" t="e">
        <f ca="1">OFFSET([2]怪物强度模型!$I$1,MATCH(F350,[2]怪物强度模型!$A:$A,0)-1,0)</f>
        <v>#VALUE!</v>
      </c>
      <c r="W350" s="47">
        <f t="shared" si="97"/>
        <v>1.7</v>
      </c>
      <c r="X350" s="47">
        <v>1.5</v>
      </c>
    </row>
    <row r="351" spans="1:24">
      <c r="A351" s="45">
        <f t="shared" si="100"/>
        <v>2502</v>
      </c>
      <c r="B351" s="45" t="s">
        <v>2793</v>
      </c>
      <c r="C351" s="45">
        <v>2</v>
      </c>
      <c r="D351" s="45">
        <v>502</v>
      </c>
      <c r="F351" s="46">
        <f t="shared" si="101"/>
        <v>2021</v>
      </c>
      <c r="G351" s="45">
        <f t="shared" si="94"/>
        <v>2.91</v>
      </c>
      <c r="H351" s="45">
        <v>6</v>
      </c>
      <c r="I351" s="46">
        <v>10</v>
      </c>
      <c r="J351" s="46">
        <v>20</v>
      </c>
      <c r="K351" s="46" t="e">
        <f ca="1" t="shared" si="102"/>
        <v>#VALUE!</v>
      </c>
      <c r="L351" s="46" t="e">
        <f ca="1" t="shared" si="103"/>
        <v>#VALUE!</v>
      </c>
      <c r="M351" s="46" t="e">
        <f ca="1" t="shared" si="92"/>
        <v>#VALUE!</v>
      </c>
      <c r="N351" s="46" t="e">
        <f ca="1" t="shared" si="95"/>
        <v>#VALUE!</v>
      </c>
      <c r="O351" s="46">
        <v>8</v>
      </c>
      <c r="P351" s="46">
        <f t="shared" si="104"/>
        <v>21</v>
      </c>
      <c r="Q351" s="46" t="e">
        <f ca="1" t="shared" si="99"/>
        <v>#VALUE!</v>
      </c>
      <c r="R351" s="46" t="e">
        <f ca="1">OFFSET([2]怪物强度模型!$K$1,MATCH(F351,[2]怪物强度模型!$A:$A,0)-1,0)</f>
        <v>#VALUE!</v>
      </c>
      <c r="S351" s="46" t="e">
        <f ca="1">OFFSET([2]怪物强度模型!$O$1,MATCH(F351,[2]怪物强度模型!$A:$A,0)-1,0)</f>
        <v>#VALUE!</v>
      </c>
      <c r="T351" s="47" t="e">
        <f ca="1" t="shared" si="93"/>
        <v>#VALUE!</v>
      </c>
      <c r="U351" s="47" t="e">
        <f ca="1">Q351+N351*$V$1/10000+$V$1*OFFSET(卡牌辅助配置表!$V$1,MATCH(C351,卡牌辅助配置表!U:U,0)-1,0)*5*P351/10000/10000+M351*$V$1/10000</f>
        <v>#VALUE!</v>
      </c>
      <c r="V351" s="46" t="e">
        <f ca="1">OFFSET([2]怪物强度模型!$I$1,MATCH(F351,[2]怪物强度模型!$A:$A,0)-1,0)</f>
        <v>#VALUE!</v>
      </c>
      <c r="W351" s="47">
        <f t="shared" si="97"/>
        <v>1.7</v>
      </c>
      <c r="X351" s="47">
        <v>1.5</v>
      </c>
    </row>
    <row r="352" spans="1:24">
      <c r="A352" s="45">
        <f t="shared" si="100"/>
        <v>2503</v>
      </c>
      <c r="B352" s="45" t="s">
        <v>2793</v>
      </c>
      <c r="C352" s="45">
        <v>2</v>
      </c>
      <c r="D352" s="45">
        <v>503</v>
      </c>
      <c r="F352" s="46">
        <f t="shared" si="101"/>
        <v>2021</v>
      </c>
      <c r="G352" s="45">
        <f t="shared" si="94"/>
        <v>2.96</v>
      </c>
      <c r="H352" s="45">
        <v>6</v>
      </c>
      <c r="I352" s="46">
        <v>10</v>
      </c>
      <c r="J352" s="46">
        <v>20</v>
      </c>
      <c r="K352" s="46" t="e">
        <f ca="1" t="shared" si="102"/>
        <v>#VALUE!</v>
      </c>
      <c r="L352" s="46" t="e">
        <f ca="1" t="shared" si="103"/>
        <v>#VALUE!</v>
      </c>
      <c r="M352" s="46" t="e">
        <f ca="1" t="shared" si="92"/>
        <v>#VALUE!</v>
      </c>
      <c r="N352" s="46" t="e">
        <f ca="1" t="shared" si="95"/>
        <v>#VALUE!</v>
      </c>
      <c r="O352" s="46">
        <v>9</v>
      </c>
      <c r="P352" s="46">
        <f t="shared" si="104"/>
        <v>21</v>
      </c>
      <c r="Q352" s="46" t="e">
        <f ca="1" t="shared" si="99"/>
        <v>#VALUE!</v>
      </c>
      <c r="R352" s="46" t="e">
        <f ca="1">OFFSET([2]怪物强度模型!$K$1,MATCH(F352,[2]怪物强度模型!$A:$A,0)-1,0)</f>
        <v>#VALUE!</v>
      </c>
      <c r="S352" s="46" t="e">
        <f ca="1">OFFSET([2]怪物强度模型!$O$1,MATCH(F352,[2]怪物强度模型!$A:$A,0)-1,0)</f>
        <v>#VALUE!</v>
      </c>
      <c r="T352" s="47" t="e">
        <f ca="1" t="shared" si="93"/>
        <v>#VALUE!</v>
      </c>
      <c r="U352" s="47" t="e">
        <f ca="1">Q352+N352*$V$1/10000+$V$1*OFFSET(卡牌辅助配置表!$V$1,MATCH(C352,卡牌辅助配置表!U:U,0)-1,0)*5*P352/10000/10000+M352*$V$1/10000</f>
        <v>#VALUE!</v>
      </c>
      <c r="V352" s="46" t="e">
        <f ca="1">OFFSET([2]怪物强度模型!$I$1,MATCH(F352,[2]怪物强度模型!$A:$A,0)-1,0)</f>
        <v>#VALUE!</v>
      </c>
      <c r="W352" s="47">
        <f t="shared" si="97"/>
        <v>1.71</v>
      </c>
      <c r="X352" s="47">
        <v>1.5</v>
      </c>
    </row>
    <row r="353" spans="1:24">
      <c r="A353" s="45">
        <f t="shared" si="100"/>
        <v>2504</v>
      </c>
      <c r="B353" s="45" t="s">
        <v>2793</v>
      </c>
      <c r="C353" s="45">
        <v>2</v>
      </c>
      <c r="D353" s="45">
        <v>504</v>
      </c>
      <c r="F353" s="46">
        <f t="shared" si="101"/>
        <v>2021</v>
      </c>
      <c r="G353" s="45">
        <f t="shared" si="94"/>
        <v>4.93</v>
      </c>
      <c r="H353" s="45">
        <v>6</v>
      </c>
      <c r="I353" s="46">
        <v>10</v>
      </c>
      <c r="J353" s="46">
        <v>20</v>
      </c>
      <c r="K353" s="46" t="e">
        <f ca="1" t="shared" si="102"/>
        <v>#VALUE!</v>
      </c>
      <c r="L353" s="46" t="e">
        <f ca="1" t="shared" si="103"/>
        <v>#VALUE!</v>
      </c>
      <c r="M353" s="46" t="e">
        <f ca="1" t="shared" si="92"/>
        <v>#VALUE!</v>
      </c>
      <c r="N353" s="46" t="e">
        <f ca="1" t="shared" si="95"/>
        <v>#VALUE!</v>
      </c>
      <c r="O353" s="46">
        <v>10</v>
      </c>
      <c r="P353" s="46">
        <f t="shared" si="104"/>
        <v>21</v>
      </c>
      <c r="Q353" s="46" t="e">
        <f ca="1" t="shared" si="99"/>
        <v>#VALUE!</v>
      </c>
      <c r="R353" s="46" t="e">
        <f ca="1">OFFSET([2]怪物强度模型!$K$1,MATCH(F353,[2]怪物强度模型!$A:$A,0)-1,0)</f>
        <v>#VALUE!</v>
      </c>
      <c r="S353" s="46" t="e">
        <f ca="1">OFFSET([2]怪物强度模型!$O$1,MATCH(F353,[2]怪物强度模型!$A:$A,0)-1,0)</f>
        <v>#VALUE!</v>
      </c>
      <c r="T353" s="47" t="e">
        <f ca="1" t="shared" si="93"/>
        <v>#VALUE!</v>
      </c>
      <c r="U353" s="47" t="e">
        <f ca="1">Q353+N353*$V$1/10000+$V$1*OFFSET(卡牌辅助配置表!$V$1,MATCH(C353,卡牌辅助配置表!U:U,0)-1,0)*5*P353/10000/10000+M353*$V$1/10000</f>
        <v>#VALUE!</v>
      </c>
      <c r="V353" s="46" t="e">
        <f ca="1">OFFSET([2]怪物强度模型!$I$1,MATCH(F353,[2]怪物强度模型!$A:$A,0)-1,0)</f>
        <v>#VALUE!</v>
      </c>
      <c r="W353" s="47">
        <f t="shared" si="97"/>
        <v>1.71</v>
      </c>
      <c r="X353" s="47">
        <v>1.5</v>
      </c>
    </row>
    <row r="354" spans="1:24">
      <c r="A354" s="45">
        <f t="shared" si="100"/>
        <v>2505</v>
      </c>
      <c r="B354" s="45" t="s">
        <v>2793</v>
      </c>
      <c r="C354" s="45">
        <v>2</v>
      </c>
      <c r="D354" s="45">
        <v>505</v>
      </c>
      <c r="F354" s="46">
        <f t="shared" si="101"/>
        <v>2021</v>
      </c>
      <c r="G354" s="45">
        <f t="shared" si="94"/>
        <v>2.84</v>
      </c>
      <c r="H354" s="45">
        <v>6</v>
      </c>
      <c r="I354" s="46">
        <v>10</v>
      </c>
      <c r="J354" s="46">
        <v>20</v>
      </c>
      <c r="K354" s="46" t="e">
        <f ca="1" t="shared" si="102"/>
        <v>#VALUE!</v>
      </c>
      <c r="L354" s="46" t="e">
        <f ca="1" t="shared" si="103"/>
        <v>#VALUE!</v>
      </c>
      <c r="M354" s="46" t="e">
        <f ca="1" t="shared" si="92"/>
        <v>#VALUE!</v>
      </c>
      <c r="N354" s="46" t="e">
        <f ca="1" t="shared" si="95"/>
        <v>#VALUE!</v>
      </c>
      <c r="O354" s="46">
        <v>11</v>
      </c>
      <c r="P354" s="46">
        <f t="shared" si="104"/>
        <v>21</v>
      </c>
      <c r="Q354" s="46" t="e">
        <f ca="1" t="shared" si="99"/>
        <v>#VALUE!</v>
      </c>
      <c r="R354" s="46" t="e">
        <f ca="1">OFFSET([2]怪物强度模型!$K$1,MATCH(F354,[2]怪物强度模型!$A:$A,0)-1,0)</f>
        <v>#VALUE!</v>
      </c>
      <c r="S354" s="46" t="e">
        <f ca="1">OFFSET([2]怪物强度模型!$O$1,MATCH(F354,[2]怪物强度模型!$A:$A,0)-1,0)</f>
        <v>#VALUE!</v>
      </c>
      <c r="T354" s="47" t="e">
        <f ca="1" t="shared" si="93"/>
        <v>#VALUE!</v>
      </c>
      <c r="U354" s="47" t="e">
        <f ca="1">Q354+N354*$V$1/10000+$V$1*OFFSET(卡牌辅助配置表!$V$1,MATCH(C354,卡牌辅助配置表!U:U,0)-1,0)*5*P354/10000/10000+M354*$V$1/10000</f>
        <v>#VALUE!</v>
      </c>
      <c r="V354" s="46" t="e">
        <f ca="1">OFFSET([2]怪物强度模型!$I$1,MATCH(F354,[2]怪物强度模型!$A:$A,0)-1,0)</f>
        <v>#VALUE!</v>
      </c>
      <c r="W354" s="47">
        <f t="shared" si="97"/>
        <v>1.71</v>
      </c>
      <c r="X354" s="47">
        <v>1.5</v>
      </c>
    </row>
    <row r="355" spans="1:24">
      <c r="A355" s="45">
        <f t="shared" si="100"/>
        <v>2506</v>
      </c>
      <c r="B355" s="45" t="s">
        <v>2793</v>
      </c>
      <c r="C355" s="45">
        <v>2</v>
      </c>
      <c r="D355" s="45">
        <v>506</v>
      </c>
      <c r="F355" s="46">
        <f t="shared" si="101"/>
        <v>2021</v>
      </c>
      <c r="G355" s="45">
        <f t="shared" si="94"/>
        <v>2.89</v>
      </c>
      <c r="H355" s="45">
        <v>6</v>
      </c>
      <c r="I355" s="46">
        <v>10</v>
      </c>
      <c r="J355" s="46">
        <v>20</v>
      </c>
      <c r="K355" s="46" t="e">
        <f ca="1" t="shared" si="102"/>
        <v>#VALUE!</v>
      </c>
      <c r="L355" s="46" t="e">
        <f ca="1" t="shared" si="103"/>
        <v>#VALUE!</v>
      </c>
      <c r="M355" s="46" t="e">
        <f ca="1" t="shared" si="92"/>
        <v>#VALUE!</v>
      </c>
      <c r="N355" s="46" t="e">
        <f ca="1" t="shared" si="95"/>
        <v>#VALUE!</v>
      </c>
      <c r="O355" s="46">
        <v>12</v>
      </c>
      <c r="P355" s="46">
        <f t="shared" si="104"/>
        <v>21</v>
      </c>
      <c r="Q355" s="46" t="e">
        <f ca="1" t="shared" si="99"/>
        <v>#VALUE!</v>
      </c>
      <c r="R355" s="46" t="e">
        <f ca="1">OFFSET([2]怪物强度模型!$K$1,MATCH(F355,[2]怪物强度模型!$A:$A,0)-1,0)</f>
        <v>#VALUE!</v>
      </c>
      <c r="S355" s="46" t="e">
        <f ca="1">OFFSET([2]怪物强度模型!$O$1,MATCH(F355,[2]怪物强度模型!$A:$A,0)-1,0)</f>
        <v>#VALUE!</v>
      </c>
      <c r="T355" s="47" t="e">
        <f ca="1" t="shared" si="93"/>
        <v>#VALUE!</v>
      </c>
      <c r="U355" s="47" t="e">
        <f ca="1">Q355+N355*$V$1/10000+$V$1*OFFSET(卡牌辅助配置表!$V$1,MATCH(C355,卡牌辅助配置表!U:U,0)-1,0)*5*P355/10000/10000+M355*$V$1/10000</f>
        <v>#VALUE!</v>
      </c>
      <c r="V355" s="46" t="e">
        <f ca="1">OFFSET([2]怪物强度模型!$I$1,MATCH(F355,[2]怪物强度模型!$A:$A,0)-1,0)</f>
        <v>#VALUE!</v>
      </c>
      <c r="W355" s="47">
        <f t="shared" si="97"/>
        <v>1.72</v>
      </c>
      <c r="X355" s="47">
        <v>1.5</v>
      </c>
    </row>
    <row r="356" spans="1:24">
      <c r="A356" s="45">
        <f t="shared" si="100"/>
        <v>2507</v>
      </c>
      <c r="B356" s="45" t="s">
        <v>2793</v>
      </c>
      <c r="C356" s="45">
        <v>2</v>
      </c>
      <c r="D356" s="45">
        <v>507</v>
      </c>
      <c r="F356" s="46">
        <f t="shared" si="101"/>
        <v>2021</v>
      </c>
      <c r="G356" s="45">
        <f t="shared" si="94"/>
        <v>2.94</v>
      </c>
      <c r="H356" s="45">
        <v>6</v>
      </c>
      <c r="I356" s="46">
        <v>10</v>
      </c>
      <c r="J356" s="46">
        <v>20</v>
      </c>
      <c r="K356" s="46" t="e">
        <f ca="1" t="shared" si="102"/>
        <v>#VALUE!</v>
      </c>
      <c r="L356" s="46" t="e">
        <f ca="1" t="shared" si="103"/>
        <v>#VALUE!</v>
      </c>
      <c r="M356" s="46" t="e">
        <f ca="1" t="shared" si="92"/>
        <v>#VALUE!</v>
      </c>
      <c r="N356" s="46" t="e">
        <f ca="1" t="shared" si="95"/>
        <v>#VALUE!</v>
      </c>
      <c r="O356" s="46">
        <v>13</v>
      </c>
      <c r="P356" s="46">
        <f t="shared" si="104"/>
        <v>21</v>
      </c>
      <c r="Q356" s="46" t="e">
        <f ca="1" t="shared" si="99"/>
        <v>#VALUE!</v>
      </c>
      <c r="R356" s="46" t="e">
        <f ca="1">OFFSET([2]怪物强度模型!$K$1,MATCH(F356,[2]怪物强度模型!$A:$A,0)-1,0)</f>
        <v>#VALUE!</v>
      </c>
      <c r="S356" s="46" t="e">
        <f ca="1">OFFSET([2]怪物强度模型!$O$1,MATCH(F356,[2]怪物强度模型!$A:$A,0)-1,0)</f>
        <v>#VALUE!</v>
      </c>
      <c r="T356" s="47" t="e">
        <f ca="1" t="shared" si="93"/>
        <v>#VALUE!</v>
      </c>
      <c r="U356" s="47" t="e">
        <f ca="1">Q356+N356*$V$1/10000+$V$1*OFFSET(卡牌辅助配置表!$V$1,MATCH(C356,卡牌辅助配置表!U:U,0)-1,0)*5*P356/10000/10000+M356*$V$1/10000</f>
        <v>#VALUE!</v>
      </c>
      <c r="V356" s="46" t="e">
        <f ca="1">OFFSET([2]怪物强度模型!$I$1,MATCH(F356,[2]怪物强度模型!$A:$A,0)-1,0)</f>
        <v>#VALUE!</v>
      </c>
      <c r="W356" s="47">
        <f t="shared" si="97"/>
        <v>1.72</v>
      </c>
      <c r="X356" s="47">
        <v>1.5</v>
      </c>
    </row>
    <row r="357" spans="1:24">
      <c r="A357" s="45">
        <f t="shared" si="100"/>
        <v>2508</v>
      </c>
      <c r="B357" s="45" t="s">
        <v>2793</v>
      </c>
      <c r="C357" s="45">
        <v>2</v>
      </c>
      <c r="D357" s="45">
        <v>508</v>
      </c>
      <c r="F357" s="46">
        <f t="shared" si="101"/>
        <v>2021</v>
      </c>
      <c r="G357" s="45">
        <f t="shared" si="94"/>
        <v>2.99</v>
      </c>
      <c r="H357" s="45">
        <v>6</v>
      </c>
      <c r="I357" s="46">
        <v>10</v>
      </c>
      <c r="J357" s="46">
        <v>20</v>
      </c>
      <c r="K357" s="46" t="e">
        <f ca="1" t="shared" si="102"/>
        <v>#VALUE!</v>
      </c>
      <c r="L357" s="46" t="e">
        <f ca="1" t="shared" si="103"/>
        <v>#VALUE!</v>
      </c>
      <c r="M357" s="46" t="e">
        <f ca="1" t="shared" si="92"/>
        <v>#VALUE!</v>
      </c>
      <c r="N357" s="46" t="e">
        <f ca="1" t="shared" si="95"/>
        <v>#VALUE!</v>
      </c>
      <c r="O357" s="46">
        <v>14</v>
      </c>
      <c r="P357" s="46">
        <f t="shared" si="104"/>
        <v>21</v>
      </c>
      <c r="Q357" s="46" t="e">
        <f ca="1" t="shared" si="99"/>
        <v>#VALUE!</v>
      </c>
      <c r="R357" s="46" t="e">
        <f ca="1">OFFSET([2]怪物强度模型!$K$1,MATCH(F357,[2]怪物强度模型!$A:$A,0)-1,0)</f>
        <v>#VALUE!</v>
      </c>
      <c r="S357" s="46" t="e">
        <f ca="1">OFFSET([2]怪物强度模型!$O$1,MATCH(F357,[2]怪物强度模型!$A:$A,0)-1,0)</f>
        <v>#VALUE!</v>
      </c>
      <c r="T357" s="47" t="e">
        <f ca="1" t="shared" si="93"/>
        <v>#VALUE!</v>
      </c>
      <c r="U357" s="47" t="e">
        <f ca="1">Q357+N357*$V$1/10000+$V$1*OFFSET(卡牌辅助配置表!$V$1,MATCH(C357,卡牌辅助配置表!U:U,0)-1,0)*5*P357/10000/10000+M357*$V$1/10000</f>
        <v>#VALUE!</v>
      </c>
      <c r="V357" s="46" t="e">
        <f ca="1">OFFSET([2]怪物强度模型!$I$1,MATCH(F357,[2]怪物强度模型!$A:$A,0)-1,0)</f>
        <v>#VALUE!</v>
      </c>
      <c r="W357" s="47">
        <f t="shared" si="97"/>
        <v>1.72</v>
      </c>
      <c r="X357" s="47">
        <v>1.5</v>
      </c>
    </row>
    <row r="358" spans="1:24">
      <c r="A358" s="45">
        <f t="shared" si="100"/>
        <v>2509</v>
      </c>
      <c r="B358" s="45" t="s">
        <v>2793</v>
      </c>
      <c r="C358" s="45">
        <v>2</v>
      </c>
      <c r="D358" s="45">
        <v>509</v>
      </c>
      <c r="F358" s="46">
        <f t="shared" si="101"/>
        <v>2021</v>
      </c>
      <c r="G358" s="45">
        <v>3.6</v>
      </c>
      <c r="H358" s="45">
        <v>6</v>
      </c>
      <c r="I358" s="46">
        <v>10</v>
      </c>
      <c r="J358" s="46">
        <v>20</v>
      </c>
      <c r="K358" s="46" t="e">
        <f ca="1" t="shared" si="102"/>
        <v>#VALUE!</v>
      </c>
      <c r="L358" s="46" t="e">
        <f ca="1" t="shared" si="103"/>
        <v>#VALUE!</v>
      </c>
      <c r="M358" s="46" t="e">
        <f ca="1" t="shared" si="92"/>
        <v>#VALUE!</v>
      </c>
      <c r="N358" s="46" t="e">
        <f ca="1" t="shared" si="95"/>
        <v>#VALUE!</v>
      </c>
      <c r="O358" s="46">
        <v>15</v>
      </c>
      <c r="P358" s="46">
        <f t="shared" si="104"/>
        <v>21</v>
      </c>
      <c r="Q358" s="46" t="e">
        <f ca="1" t="shared" si="99"/>
        <v>#VALUE!</v>
      </c>
      <c r="R358" s="46" t="e">
        <f ca="1">OFFSET([2]怪物强度模型!$K$1,MATCH(F358,[2]怪物强度模型!$A:$A,0)-1,0)</f>
        <v>#VALUE!</v>
      </c>
      <c r="S358" s="46" t="e">
        <f ca="1">OFFSET([2]怪物强度模型!$O$1,MATCH(F358,[2]怪物强度模型!$A:$A,0)-1,0)</f>
        <v>#VALUE!</v>
      </c>
      <c r="T358" s="47" t="e">
        <f ca="1" t="shared" si="93"/>
        <v>#VALUE!</v>
      </c>
      <c r="U358" s="47" t="e">
        <f ca="1">Q358+N358*$V$1/10000+$V$1*OFFSET(卡牌辅助配置表!$V$1,MATCH(C358,卡牌辅助配置表!U:U,0)-1,0)*5*P358/10000/10000+M358*$V$1/10000</f>
        <v>#VALUE!</v>
      </c>
      <c r="V358" s="46" t="e">
        <f ca="1">OFFSET([2]怪物强度模型!$I$1,MATCH(F358,[2]怪物强度模型!$A:$A,0)-1,0)</f>
        <v>#VALUE!</v>
      </c>
      <c r="W358" s="47">
        <f t="shared" si="97"/>
        <v>1.85</v>
      </c>
      <c r="X358" s="47">
        <v>1.5</v>
      </c>
    </row>
    <row r="359" spans="1:24">
      <c r="A359" s="45">
        <f t="shared" si="100"/>
        <v>2510</v>
      </c>
      <c r="B359" s="45" t="s">
        <v>2793</v>
      </c>
      <c r="C359" s="45">
        <v>2</v>
      </c>
      <c r="D359" s="45">
        <v>510</v>
      </c>
      <c r="F359" s="46">
        <f t="shared" si="101"/>
        <v>2022</v>
      </c>
      <c r="G359" s="45">
        <f t="shared" si="94"/>
        <v>2.87</v>
      </c>
      <c r="H359" s="45">
        <v>6</v>
      </c>
      <c r="I359" s="46">
        <v>10</v>
      </c>
      <c r="J359" s="46">
        <v>20</v>
      </c>
      <c r="K359" s="46" t="e">
        <f ca="1" t="shared" si="102"/>
        <v>#VALUE!</v>
      </c>
      <c r="L359" s="46" t="e">
        <f ca="1" t="shared" si="103"/>
        <v>#VALUE!</v>
      </c>
      <c r="M359" s="46" t="e">
        <f ca="1" t="shared" si="92"/>
        <v>#VALUE!</v>
      </c>
      <c r="N359" s="46" t="e">
        <f ca="1" t="shared" si="95"/>
        <v>#VALUE!</v>
      </c>
      <c r="O359" s="46">
        <v>16</v>
      </c>
      <c r="P359" s="46">
        <f t="shared" si="104"/>
        <v>22</v>
      </c>
      <c r="Q359" s="46" t="e">
        <f ca="1" t="shared" si="99"/>
        <v>#VALUE!</v>
      </c>
      <c r="R359" s="46" t="e">
        <f ca="1">OFFSET([2]怪物强度模型!$K$1,MATCH(F359,[2]怪物强度模型!$A:$A,0)-1,0)</f>
        <v>#VALUE!</v>
      </c>
      <c r="S359" s="46" t="e">
        <f ca="1">OFFSET([2]怪物强度模型!$O$1,MATCH(F359,[2]怪物强度模型!$A:$A,0)-1,0)</f>
        <v>#VALUE!</v>
      </c>
      <c r="T359" s="47" t="e">
        <f ca="1" t="shared" si="93"/>
        <v>#VALUE!</v>
      </c>
      <c r="U359" s="47" t="e">
        <f ca="1">Q359+N359*$V$1/10000+$V$1*OFFSET(卡牌辅助配置表!$V$1,MATCH(C359,卡牌辅助配置表!U:U,0)-1,0)*5*P359/10000/10000+M359*$V$1/10000</f>
        <v>#VALUE!</v>
      </c>
      <c r="V359" s="46" t="e">
        <f ca="1">OFFSET([2]怪物强度模型!$I$1,MATCH(F359,[2]怪物强度模型!$A:$A,0)-1,0)</f>
        <v>#VALUE!</v>
      </c>
      <c r="W359" s="47">
        <f t="shared" si="97"/>
        <v>1.75</v>
      </c>
      <c r="X359" s="47">
        <f t="shared" si="98"/>
        <v>1.52</v>
      </c>
    </row>
    <row r="360" spans="1:24">
      <c r="A360" s="45">
        <f t="shared" si="100"/>
        <v>2511</v>
      </c>
      <c r="B360" s="45" t="s">
        <v>2793</v>
      </c>
      <c r="C360" s="45">
        <v>2</v>
      </c>
      <c r="D360" s="45">
        <v>511</v>
      </c>
      <c r="F360" s="46">
        <f t="shared" si="101"/>
        <v>2022</v>
      </c>
      <c r="G360" s="45">
        <f t="shared" si="94"/>
        <v>2.92</v>
      </c>
      <c r="H360" s="45">
        <v>6</v>
      </c>
      <c r="I360" s="46">
        <v>10</v>
      </c>
      <c r="J360" s="46">
        <v>20</v>
      </c>
      <c r="K360" s="46" t="e">
        <f ca="1" t="shared" si="102"/>
        <v>#VALUE!</v>
      </c>
      <c r="L360" s="46" t="e">
        <f ca="1" t="shared" si="103"/>
        <v>#VALUE!</v>
      </c>
      <c r="M360" s="46" t="e">
        <f ca="1" t="shared" si="92"/>
        <v>#VALUE!</v>
      </c>
      <c r="N360" s="46" t="e">
        <f ca="1" t="shared" si="95"/>
        <v>#VALUE!</v>
      </c>
      <c r="O360" s="46">
        <v>17</v>
      </c>
      <c r="P360" s="46">
        <f t="shared" si="104"/>
        <v>22</v>
      </c>
      <c r="Q360" s="46" t="e">
        <f ca="1" t="shared" si="99"/>
        <v>#VALUE!</v>
      </c>
      <c r="R360" s="46" t="e">
        <f ca="1">OFFSET([2]怪物强度模型!$K$1,MATCH(F360,[2]怪物强度模型!$A:$A,0)-1,0)</f>
        <v>#VALUE!</v>
      </c>
      <c r="S360" s="46" t="e">
        <f ca="1">OFFSET([2]怪物强度模型!$O$1,MATCH(F360,[2]怪物强度模型!$A:$A,0)-1,0)</f>
        <v>#VALUE!</v>
      </c>
      <c r="T360" s="47" t="e">
        <f ca="1" t="shared" si="93"/>
        <v>#VALUE!</v>
      </c>
      <c r="U360" s="47" t="e">
        <f ca="1">Q360+N360*$V$1/10000+$V$1*OFFSET(卡牌辅助配置表!$V$1,MATCH(C360,卡牌辅助配置表!U:U,0)-1,0)*5*P360/10000/10000+M360*$V$1/10000</f>
        <v>#VALUE!</v>
      </c>
      <c r="V360" s="46" t="e">
        <f ca="1">OFFSET([2]怪物强度模型!$I$1,MATCH(F360,[2]怪物强度模型!$A:$A,0)-1,0)</f>
        <v>#VALUE!</v>
      </c>
      <c r="W360" s="47">
        <f t="shared" si="97"/>
        <v>1.75</v>
      </c>
      <c r="X360" s="47">
        <f t="shared" si="98"/>
        <v>1.52</v>
      </c>
    </row>
    <row r="361" spans="1:24">
      <c r="A361" s="45">
        <f t="shared" si="100"/>
        <v>2512</v>
      </c>
      <c r="B361" s="45" t="s">
        <v>2793</v>
      </c>
      <c r="C361" s="45">
        <v>2</v>
      </c>
      <c r="D361" s="45">
        <v>512</v>
      </c>
      <c r="F361" s="46">
        <f t="shared" si="101"/>
        <v>2022</v>
      </c>
      <c r="G361" s="45">
        <f t="shared" si="94"/>
        <v>2.97</v>
      </c>
      <c r="H361" s="45">
        <v>6</v>
      </c>
      <c r="I361" s="46">
        <v>10</v>
      </c>
      <c r="J361" s="46">
        <v>20</v>
      </c>
      <c r="K361" s="46" t="e">
        <f ca="1" t="shared" si="102"/>
        <v>#VALUE!</v>
      </c>
      <c r="L361" s="46" t="e">
        <f ca="1" t="shared" si="103"/>
        <v>#VALUE!</v>
      </c>
      <c r="M361" s="46" t="e">
        <f ca="1" t="shared" si="92"/>
        <v>#VALUE!</v>
      </c>
      <c r="N361" s="46" t="e">
        <f ca="1" t="shared" si="95"/>
        <v>#VALUE!</v>
      </c>
      <c r="O361" s="46">
        <v>18</v>
      </c>
      <c r="P361" s="46">
        <f t="shared" si="104"/>
        <v>22</v>
      </c>
      <c r="Q361" s="46" t="e">
        <f ca="1" t="shared" si="99"/>
        <v>#VALUE!</v>
      </c>
      <c r="R361" s="46" t="e">
        <f ca="1">OFFSET([2]怪物强度模型!$K$1,MATCH(F361,[2]怪物强度模型!$A:$A,0)-1,0)</f>
        <v>#VALUE!</v>
      </c>
      <c r="S361" s="46" t="e">
        <f ca="1">OFFSET([2]怪物强度模型!$O$1,MATCH(F361,[2]怪物强度模型!$A:$A,0)-1,0)</f>
        <v>#VALUE!</v>
      </c>
      <c r="T361" s="47" t="e">
        <f ca="1" t="shared" si="93"/>
        <v>#VALUE!</v>
      </c>
      <c r="U361" s="47" t="e">
        <f ca="1">Q361+N361*$V$1/10000+$V$1*OFFSET(卡牌辅助配置表!$V$1,MATCH(C361,卡牌辅助配置表!U:U,0)-1,0)*5*P361/10000/10000+M361*$V$1/10000</f>
        <v>#VALUE!</v>
      </c>
      <c r="V361" s="46" t="e">
        <f ca="1">OFFSET([2]怪物强度模型!$I$1,MATCH(F361,[2]怪物强度模型!$A:$A,0)-1,0)</f>
        <v>#VALUE!</v>
      </c>
      <c r="W361" s="47">
        <f t="shared" si="97"/>
        <v>1.75</v>
      </c>
      <c r="X361" s="47">
        <f t="shared" si="98"/>
        <v>1.52</v>
      </c>
    </row>
    <row r="362" spans="1:24">
      <c r="A362" s="45">
        <f t="shared" si="100"/>
        <v>2513</v>
      </c>
      <c r="B362" s="45" t="s">
        <v>2793</v>
      </c>
      <c r="C362" s="45">
        <v>2</v>
      </c>
      <c r="D362" s="45">
        <v>513</v>
      </c>
      <c r="F362" s="46">
        <f t="shared" si="101"/>
        <v>2022</v>
      </c>
      <c r="G362" s="45">
        <f t="shared" si="94"/>
        <v>3.02</v>
      </c>
      <c r="H362" s="45">
        <v>6</v>
      </c>
      <c r="I362" s="46">
        <v>10</v>
      </c>
      <c r="J362" s="46">
        <v>20</v>
      </c>
      <c r="K362" s="46" t="e">
        <f ca="1" t="shared" si="102"/>
        <v>#VALUE!</v>
      </c>
      <c r="L362" s="46" t="e">
        <f ca="1" t="shared" si="103"/>
        <v>#VALUE!</v>
      </c>
      <c r="M362" s="46" t="e">
        <f ca="1" t="shared" si="92"/>
        <v>#VALUE!</v>
      </c>
      <c r="N362" s="46" t="e">
        <f ca="1" t="shared" si="95"/>
        <v>#VALUE!</v>
      </c>
      <c r="O362" s="46">
        <v>19</v>
      </c>
      <c r="P362" s="46">
        <f t="shared" si="104"/>
        <v>22</v>
      </c>
      <c r="Q362" s="46" t="e">
        <f ca="1" t="shared" si="99"/>
        <v>#VALUE!</v>
      </c>
      <c r="R362" s="46" t="e">
        <f ca="1">OFFSET([2]怪物强度模型!$K$1,MATCH(F362,[2]怪物强度模型!$A:$A,0)-1,0)</f>
        <v>#VALUE!</v>
      </c>
      <c r="S362" s="46" t="e">
        <f ca="1">OFFSET([2]怪物强度模型!$O$1,MATCH(F362,[2]怪物强度模型!$A:$A,0)-1,0)</f>
        <v>#VALUE!</v>
      </c>
      <c r="T362" s="47" t="e">
        <f ca="1" t="shared" si="93"/>
        <v>#VALUE!</v>
      </c>
      <c r="U362" s="47" t="e">
        <f ca="1">Q362+N362*$V$1/10000+$V$1*OFFSET(卡牌辅助配置表!$V$1,MATCH(C362,卡牌辅助配置表!U:U,0)-1,0)*5*P362/10000/10000+M362*$V$1/10000</f>
        <v>#VALUE!</v>
      </c>
      <c r="V362" s="46" t="e">
        <f ca="1">OFFSET([2]怪物强度模型!$I$1,MATCH(F362,[2]怪物强度模型!$A:$A,0)-1,0)</f>
        <v>#VALUE!</v>
      </c>
      <c r="W362" s="47">
        <f t="shared" si="97"/>
        <v>1.76</v>
      </c>
      <c r="X362" s="47">
        <f t="shared" si="98"/>
        <v>1.52</v>
      </c>
    </row>
    <row r="363" spans="1:24">
      <c r="A363" s="45">
        <f t="shared" si="100"/>
        <v>2514</v>
      </c>
      <c r="B363" s="45" t="s">
        <v>2793</v>
      </c>
      <c r="C363" s="45">
        <v>2</v>
      </c>
      <c r="D363" s="45">
        <v>514</v>
      </c>
      <c r="F363" s="46">
        <f t="shared" si="101"/>
        <v>2022</v>
      </c>
      <c r="G363" s="45">
        <f t="shared" si="94"/>
        <v>3.63</v>
      </c>
      <c r="H363" s="45">
        <v>6</v>
      </c>
      <c r="I363" s="46">
        <v>10</v>
      </c>
      <c r="J363" s="46">
        <v>20</v>
      </c>
      <c r="K363" s="46" t="e">
        <f ca="1" t="shared" si="102"/>
        <v>#VALUE!</v>
      </c>
      <c r="L363" s="46" t="e">
        <f ca="1" t="shared" si="103"/>
        <v>#VALUE!</v>
      </c>
      <c r="M363" s="46" t="e">
        <f ca="1" t="shared" si="92"/>
        <v>#VALUE!</v>
      </c>
      <c r="N363" s="46" t="e">
        <f ca="1" t="shared" si="95"/>
        <v>#VALUE!</v>
      </c>
      <c r="O363" s="46">
        <v>20</v>
      </c>
      <c r="P363" s="46">
        <f t="shared" si="104"/>
        <v>22</v>
      </c>
      <c r="Q363" s="46" t="e">
        <f ca="1" t="shared" si="99"/>
        <v>#VALUE!</v>
      </c>
      <c r="R363" s="46" t="e">
        <f ca="1">OFFSET([2]怪物强度模型!$K$1,MATCH(F363,[2]怪物强度模型!$A:$A,0)-1,0)</f>
        <v>#VALUE!</v>
      </c>
      <c r="S363" s="46" t="e">
        <f ca="1">OFFSET([2]怪物强度模型!$O$1,MATCH(F363,[2]怪物强度模型!$A:$A,0)-1,0)</f>
        <v>#VALUE!</v>
      </c>
      <c r="T363" s="47" t="e">
        <f ca="1" t="shared" si="93"/>
        <v>#VALUE!</v>
      </c>
      <c r="U363" s="47" t="e">
        <f ca="1">Q363+N363*$V$1/10000+$V$1*OFFSET(卡牌辅助配置表!$V$1,MATCH(C363,卡牌辅助配置表!U:U,0)-1,0)*5*P363/10000/10000+M363*$V$1/10000</f>
        <v>#VALUE!</v>
      </c>
      <c r="V363" s="46" t="e">
        <f ca="1">OFFSET([2]怪物强度模型!$I$1,MATCH(F363,[2]怪物强度模型!$A:$A,0)-1,0)</f>
        <v>#VALUE!</v>
      </c>
      <c r="W363" s="47">
        <f t="shared" si="97"/>
        <v>1.76</v>
      </c>
      <c r="X363" s="47">
        <f t="shared" si="98"/>
        <v>1.52</v>
      </c>
    </row>
    <row r="364" spans="1:24">
      <c r="A364" s="45">
        <f t="shared" si="100"/>
        <v>2515</v>
      </c>
      <c r="B364" s="45" t="s">
        <v>2793</v>
      </c>
      <c r="C364" s="45">
        <v>2</v>
      </c>
      <c r="D364" s="45">
        <v>515</v>
      </c>
      <c r="F364" s="46">
        <f t="shared" si="101"/>
        <v>2022</v>
      </c>
      <c r="G364" s="45">
        <f t="shared" si="94"/>
        <v>2.9</v>
      </c>
      <c r="H364" s="45">
        <v>6</v>
      </c>
      <c r="I364" s="46">
        <v>10</v>
      </c>
      <c r="J364" s="46">
        <v>20</v>
      </c>
      <c r="K364" s="46" t="e">
        <f ca="1" t="shared" si="102"/>
        <v>#VALUE!</v>
      </c>
      <c r="L364" s="46" t="e">
        <f ca="1" t="shared" si="103"/>
        <v>#VALUE!</v>
      </c>
      <c r="M364" s="46" t="e">
        <f ca="1" t="shared" si="92"/>
        <v>#VALUE!</v>
      </c>
      <c r="N364" s="46" t="e">
        <f ca="1" t="shared" si="95"/>
        <v>#VALUE!</v>
      </c>
      <c r="O364" s="46">
        <v>21</v>
      </c>
      <c r="P364" s="46">
        <f t="shared" si="104"/>
        <v>22</v>
      </c>
      <c r="Q364" s="46" t="e">
        <f ca="1" t="shared" si="99"/>
        <v>#VALUE!</v>
      </c>
      <c r="R364" s="46" t="e">
        <f ca="1">OFFSET([2]怪物强度模型!$K$1,MATCH(F364,[2]怪物强度模型!$A:$A,0)-1,0)</f>
        <v>#VALUE!</v>
      </c>
      <c r="S364" s="46" t="e">
        <f ca="1">OFFSET([2]怪物强度模型!$O$1,MATCH(F364,[2]怪物强度模型!$A:$A,0)-1,0)</f>
        <v>#VALUE!</v>
      </c>
      <c r="T364" s="47" t="e">
        <f ca="1" t="shared" si="93"/>
        <v>#VALUE!</v>
      </c>
      <c r="U364" s="47" t="e">
        <f ca="1">Q364+N364*$V$1/10000+$V$1*OFFSET(卡牌辅助配置表!$V$1,MATCH(C364,卡牌辅助配置表!U:U,0)-1,0)*5*P364/10000/10000+M364*$V$1/10000</f>
        <v>#VALUE!</v>
      </c>
      <c r="V364" s="46" t="e">
        <f ca="1">OFFSET([2]怪物强度模型!$I$1,MATCH(F364,[2]怪物强度模型!$A:$A,0)-1,0)</f>
        <v>#VALUE!</v>
      </c>
      <c r="W364" s="47">
        <f t="shared" si="97"/>
        <v>1.76</v>
      </c>
      <c r="X364" s="47">
        <f t="shared" si="98"/>
        <v>1.52</v>
      </c>
    </row>
    <row r="365" spans="1:24">
      <c r="A365" s="45">
        <f t="shared" si="100"/>
        <v>2516</v>
      </c>
      <c r="B365" s="45" t="s">
        <v>2793</v>
      </c>
      <c r="C365" s="45">
        <v>2</v>
      </c>
      <c r="D365" s="45">
        <v>516</v>
      </c>
      <c r="F365" s="46">
        <f t="shared" si="101"/>
        <v>2022</v>
      </c>
      <c r="G365" s="45">
        <f t="shared" si="94"/>
        <v>2.95</v>
      </c>
      <c r="H365" s="45">
        <v>6</v>
      </c>
      <c r="I365" s="46">
        <v>10</v>
      </c>
      <c r="J365" s="46">
        <v>20</v>
      </c>
      <c r="K365" s="46" t="e">
        <f ca="1" t="shared" si="102"/>
        <v>#VALUE!</v>
      </c>
      <c r="L365" s="46" t="e">
        <f ca="1" t="shared" si="103"/>
        <v>#VALUE!</v>
      </c>
      <c r="M365" s="46" t="e">
        <f ca="1" t="shared" si="92"/>
        <v>#VALUE!</v>
      </c>
      <c r="N365" s="46" t="e">
        <f ca="1" t="shared" si="95"/>
        <v>#VALUE!</v>
      </c>
      <c r="O365" s="46">
        <v>22</v>
      </c>
      <c r="P365" s="46">
        <f t="shared" si="104"/>
        <v>22</v>
      </c>
      <c r="Q365" s="46" t="e">
        <f ca="1" t="shared" si="99"/>
        <v>#VALUE!</v>
      </c>
      <c r="R365" s="46" t="e">
        <f ca="1">OFFSET([2]怪物强度模型!$K$1,MATCH(F365,[2]怪物强度模型!$A:$A,0)-1,0)</f>
        <v>#VALUE!</v>
      </c>
      <c r="S365" s="46" t="e">
        <f ca="1">OFFSET([2]怪物强度模型!$O$1,MATCH(F365,[2]怪物强度模型!$A:$A,0)-1,0)</f>
        <v>#VALUE!</v>
      </c>
      <c r="T365" s="47" t="e">
        <f ca="1" t="shared" si="93"/>
        <v>#VALUE!</v>
      </c>
      <c r="U365" s="47" t="e">
        <f ca="1">Q365+N365*$V$1/10000+$V$1*OFFSET(卡牌辅助配置表!$V$1,MATCH(C365,卡牌辅助配置表!U:U,0)-1,0)*5*P365/10000/10000+M365*$V$1/10000</f>
        <v>#VALUE!</v>
      </c>
      <c r="V365" s="46" t="e">
        <f ca="1">OFFSET([2]怪物强度模型!$I$1,MATCH(F365,[2]怪物强度模型!$A:$A,0)-1,0)</f>
        <v>#VALUE!</v>
      </c>
      <c r="W365" s="47">
        <f t="shared" si="97"/>
        <v>1.77</v>
      </c>
      <c r="X365" s="47">
        <f t="shared" si="98"/>
        <v>1.52</v>
      </c>
    </row>
    <row r="366" spans="1:24">
      <c r="A366" s="45">
        <f t="shared" si="100"/>
        <v>2517</v>
      </c>
      <c r="B366" s="45" t="s">
        <v>2793</v>
      </c>
      <c r="C366" s="45">
        <v>2</v>
      </c>
      <c r="D366" s="45">
        <v>517</v>
      </c>
      <c r="F366" s="46">
        <f t="shared" si="101"/>
        <v>2022</v>
      </c>
      <c r="G366" s="45">
        <f t="shared" si="94"/>
        <v>3</v>
      </c>
      <c r="H366" s="45">
        <v>6</v>
      </c>
      <c r="I366" s="46">
        <v>10</v>
      </c>
      <c r="J366" s="46">
        <v>20</v>
      </c>
      <c r="K366" s="46" t="e">
        <f ca="1" t="shared" si="102"/>
        <v>#VALUE!</v>
      </c>
      <c r="L366" s="46" t="e">
        <f ca="1" t="shared" si="103"/>
        <v>#VALUE!</v>
      </c>
      <c r="M366" s="46" t="e">
        <f ca="1" t="shared" si="92"/>
        <v>#VALUE!</v>
      </c>
      <c r="N366" s="46" t="e">
        <f ca="1" t="shared" si="95"/>
        <v>#VALUE!</v>
      </c>
      <c r="O366" s="46">
        <v>23</v>
      </c>
      <c r="P366" s="46">
        <f t="shared" si="104"/>
        <v>22</v>
      </c>
      <c r="Q366" s="46" t="e">
        <f ca="1" t="shared" si="99"/>
        <v>#VALUE!</v>
      </c>
      <c r="R366" s="46" t="e">
        <f ca="1">OFFSET([2]怪物强度模型!$K$1,MATCH(F366,[2]怪物强度模型!$A:$A,0)-1,0)</f>
        <v>#VALUE!</v>
      </c>
      <c r="S366" s="46" t="e">
        <f ca="1">OFFSET([2]怪物强度模型!$O$1,MATCH(F366,[2]怪物强度模型!$A:$A,0)-1,0)</f>
        <v>#VALUE!</v>
      </c>
      <c r="T366" s="47" t="e">
        <f ca="1" t="shared" si="93"/>
        <v>#VALUE!</v>
      </c>
      <c r="U366" s="47" t="e">
        <f ca="1">Q366+N366*$V$1/10000+$V$1*OFFSET(卡牌辅助配置表!$V$1,MATCH(C366,卡牌辅助配置表!U:U,0)-1,0)*5*P366/10000/10000+M366*$V$1/10000</f>
        <v>#VALUE!</v>
      </c>
      <c r="V366" s="46" t="e">
        <f ca="1">OFFSET([2]怪物强度模型!$I$1,MATCH(F366,[2]怪物强度模型!$A:$A,0)-1,0)</f>
        <v>#VALUE!</v>
      </c>
      <c r="W366" s="47">
        <f t="shared" si="97"/>
        <v>1.77</v>
      </c>
      <c r="X366" s="47">
        <f t="shared" si="98"/>
        <v>1.52</v>
      </c>
    </row>
    <row r="367" spans="1:24">
      <c r="A367" s="45">
        <f t="shared" si="100"/>
        <v>2518</v>
      </c>
      <c r="B367" s="45" t="s">
        <v>2793</v>
      </c>
      <c r="C367" s="45">
        <v>2</v>
      </c>
      <c r="D367" s="45">
        <v>518</v>
      </c>
      <c r="F367" s="46">
        <f t="shared" si="101"/>
        <v>2022</v>
      </c>
      <c r="G367" s="45">
        <f t="shared" si="94"/>
        <v>3.05</v>
      </c>
      <c r="H367" s="45">
        <v>6</v>
      </c>
      <c r="I367" s="46">
        <v>10</v>
      </c>
      <c r="J367" s="46">
        <v>20</v>
      </c>
      <c r="K367" s="46" t="e">
        <f ca="1" t="shared" si="102"/>
        <v>#VALUE!</v>
      </c>
      <c r="L367" s="46" t="e">
        <f ca="1" t="shared" si="103"/>
        <v>#VALUE!</v>
      </c>
      <c r="M367" s="46" t="e">
        <f ca="1" t="shared" si="92"/>
        <v>#VALUE!</v>
      </c>
      <c r="N367" s="46" t="e">
        <f ca="1" t="shared" si="95"/>
        <v>#VALUE!</v>
      </c>
      <c r="O367" s="46">
        <v>24</v>
      </c>
      <c r="P367" s="46">
        <f t="shared" si="104"/>
        <v>22</v>
      </c>
      <c r="Q367" s="46" t="e">
        <f ca="1" t="shared" si="99"/>
        <v>#VALUE!</v>
      </c>
      <c r="R367" s="46" t="e">
        <f ca="1">OFFSET([2]怪物强度模型!$K$1,MATCH(F367,[2]怪物强度模型!$A:$A,0)-1,0)</f>
        <v>#VALUE!</v>
      </c>
      <c r="S367" s="46" t="e">
        <f ca="1">OFFSET([2]怪物强度模型!$O$1,MATCH(F367,[2]怪物强度模型!$A:$A,0)-1,0)</f>
        <v>#VALUE!</v>
      </c>
      <c r="T367" s="47" t="e">
        <f ca="1" t="shared" si="93"/>
        <v>#VALUE!</v>
      </c>
      <c r="U367" s="47" t="e">
        <f ca="1">Q367+N367*$V$1/10000+$V$1*OFFSET(卡牌辅助配置表!$V$1,MATCH(C367,卡牌辅助配置表!U:U,0)-1,0)*5*P367/10000/10000+M367*$V$1/10000</f>
        <v>#VALUE!</v>
      </c>
      <c r="V367" s="46" t="e">
        <f ca="1">OFFSET([2]怪物强度模型!$I$1,MATCH(F367,[2]怪物强度模型!$A:$A,0)-1,0)</f>
        <v>#VALUE!</v>
      </c>
      <c r="W367" s="47">
        <f t="shared" si="97"/>
        <v>1.77</v>
      </c>
      <c r="X367" s="47">
        <f t="shared" si="98"/>
        <v>1.52</v>
      </c>
    </row>
    <row r="368" spans="1:24">
      <c r="A368" s="45">
        <f t="shared" si="100"/>
        <v>2519</v>
      </c>
      <c r="B368" s="45" t="s">
        <v>2793</v>
      </c>
      <c r="C368" s="45">
        <v>2</v>
      </c>
      <c r="D368" s="45">
        <v>519</v>
      </c>
      <c r="F368" s="46">
        <f t="shared" si="101"/>
        <v>2022</v>
      </c>
      <c r="G368" s="45">
        <f>G358+0.1</f>
        <v>3.7</v>
      </c>
      <c r="H368" s="45">
        <v>6</v>
      </c>
      <c r="I368" s="46">
        <v>10</v>
      </c>
      <c r="J368" s="46">
        <v>20</v>
      </c>
      <c r="K368" s="46" t="e">
        <f ca="1" t="shared" si="102"/>
        <v>#VALUE!</v>
      </c>
      <c r="L368" s="46" t="e">
        <f ca="1" t="shared" si="103"/>
        <v>#VALUE!</v>
      </c>
      <c r="M368" s="46" t="e">
        <f ca="1" t="shared" si="92"/>
        <v>#VALUE!</v>
      </c>
      <c r="N368" s="46" t="e">
        <f ca="1" t="shared" si="95"/>
        <v>#VALUE!</v>
      </c>
      <c r="O368" s="46">
        <v>25</v>
      </c>
      <c r="P368" s="46">
        <f t="shared" si="104"/>
        <v>22</v>
      </c>
      <c r="Q368" s="46" t="e">
        <f ca="1" t="shared" si="99"/>
        <v>#VALUE!</v>
      </c>
      <c r="R368" s="46" t="e">
        <f ca="1">OFFSET([2]怪物强度模型!$K$1,MATCH(F368,[2]怪物强度模型!$A:$A,0)-1,0)</f>
        <v>#VALUE!</v>
      </c>
      <c r="S368" s="46" t="e">
        <f ca="1">OFFSET([2]怪物强度模型!$O$1,MATCH(F368,[2]怪物强度模型!$A:$A,0)-1,0)</f>
        <v>#VALUE!</v>
      </c>
      <c r="T368" s="47" t="e">
        <f ca="1" t="shared" si="93"/>
        <v>#VALUE!</v>
      </c>
      <c r="U368" s="47" t="e">
        <f ca="1">Q368+N368*$V$1/10000+$V$1*OFFSET(卡牌辅助配置表!$V$1,MATCH(C368,卡牌辅助配置表!U:U,0)-1,0)*5*P368/10000/10000+M368*$V$1/10000</f>
        <v>#VALUE!</v>
      </c>
      <c r="V368" s="46" t="e">
        <f ca="1">OFFSET([2]怪物强度模型!$I$1,MATCH(F368,[2]怪物强度模型!$A:$A,0)-1,0)</f>
        <v>#VALUE!</v>
      </c>
      <c r="W368" s="47">
        <f t="shared" si="97"/>
        <v>1.9</v>
      </c>
      <c r="X368" s="47">
        <f t="shared" si="98"/>
        <v>1.52</v>
      </c>
    </row>
    <row r="369" spans="1:24">
      <c r="A369" s="45">
        <f t="shared" si="100"/>
        <v>2520</v>
      </c>
      <c r="B369" s="45" t="s">
        <v>2793</v>
      </c>
      <c r="C369" s="45">
        <v>2</v>
      </c>
      <c r="D369" s="45">
        <v>520</v>
      </c>
      <c r="F369" s="46">
        <f t="shared" si="101"/>
        <v>2023</v>
      </c>
      <c r="G369" s="45">
        <f t="shared" si="94"/>
        <v>2.93</v>
      </c>
      <c r="H369" s="45">
        <v>6</v>
      </c>
      <c r="I369" s="46">
        <v>10</v>
      </c>
      <c r="J369" s="46">
        <v>20</v>
      </c>
      <c r="K369" s="46" t="e">
        <f ca="1" t="shared" si="102"/>
        <v>#VALUE!</v>
      </c>
      <c r="L369" s="46" t="e">
        <f ca="1" t="shared" si="103"/>
        <v>#VALUE!</v>
      </c>
      <c r="M369" s="46" t="e">
        <f ca="1" t="shared" si="92"/>
        <v>#VALUE!</v>
      </c>
      <c r="N369" s="46" t="e">
        <f ca="1" t="shared" si="95"/>
        <v>#VALUE!</v>
      </c>
      <c r="O369" s="46">
        <v>26</v>
      </c>
      <c r="P369" s="46">
        <f t="shared" si="104"/>
        <v>23</v>
      </c>
      <c r="Q369" s="46" t="e">
        <f ca="1" t="shared" si="99"/>
        <v>#VALUE!</v>
      </c>
      <c r="R369" s="46" t="e">
        <f ca="1">OFFSET([2]怪物强度模型!$K$1,MATCH(F369,[2]怪物强度模型!$A:$A,0)-1,0)</f>
        <v>#VALUE!</v>
      </c>
      <c r="S369" s="46" t="e">
        <f ca="1">OFFSET([2]怪物强度模型!$O$1,MATCH(F369,[2]怪物强度模型!$A:$A,0)-1,0)</f>
        <v>#VALUE!</v>
      </c>
      <c r="T369" s="47" t="e">
        <f ca="1" t="shared" si="93"/>
        <v>#VALUE!</v>
      </c>
      <c r="U369" s="47" t="e">
        <f ca="1">Q369+N369*$V$1/10000+$V$1*OFFSET(卡牌辅助配置表!$V$1,MATCH(C369,卡牌辅助配置表!U:U,0)-1,0)*5*P369/10000/10000+M369*$V$1/10000</f>
        <v>#VALUE!</v>
      </c>
      <c r="V369" s="46" t="e">
        <f ca="1">OFFSET([2]怪物强度模型!$I$1,MATCH(F369,[2]怪物强度模型!$A:$A,0)-1,0)</f>
        <v>#VALUE!</v>
      </c>
      <c r="W369" s="47">
        <f t="shared" si="97"/>
        <v>1.8</v>
      </c>
      <c r="X369" s="47">
        <f t="shared" si="98"/>
        <v>1.54</v>
      </c>
    </row>
    <row r="370" spans="1:24">
      <c r="A370" s="45">
        <f t="shared" si="100"/>
        <v>2521</v>
      </c>
      <c r="B370" s="45" t="s">
        <v>2793</v>
      </c>
      <c r="C370" s="45">
        <v>2</v>
      </c>
      <c r="D370" s="45">
        <v>521</v>
      </c>
      <c r="F370" s="46">
        <f t="shared" si="101"/>
        <v>2023</v>
      </c>
      <c r="G370" s="45">
        <f t="shared" si="94"/>
        <v>2.98</v>
      </c>
      <c r="H370" s="45">
        <v>6</v>
      </c>
      <c r="I370" s="46">
        <v>10</v>
      </c>
      <c r="J370" s="46">
        <v>20</v>
      </c>
      <c r="K370" s="46" t="e">
        <f ca="1" t="shared" si="102"/>
        <v>#VALUE!</v>
      </c>
      <c r="L370" s="46" t="e">
        <f ca="1" t="shared" si="103"/>
        <v>#VALUE!</v>
      </c>
      <c r="M370" s="46" t="e">
        <f ca="1" t="shared" si="92"/>
        <v>#VALUE!</v>
      </c>
      <c r="N370" s="46" t="e">
        <f ca="1" t="shared" si="95"/>
        <v>#VALUE!</v>
      </c>
      <c r="O370" s="46">
        <v>27</v>
      </c>
      <c r="P370" s="46">
        <f t="shared" si="104"/>
        <v>23</v>
      </c>
      <c r="Q370" s="46" t="e">
        <f ca="1" t="shared" si="99"/>
        <v>#VALUE!</v>
      </c>
      <c r="R370" s="46" t="e">
        <f ca="1">OFFSET([2]怪物强度模型!$K$1,MATCH(F370,[2]怪物强度模型!$A:$A,0)-1,0)</f>
        <v>#VALUE!</v>
      </c>
      <c r="S370" s="46" t="e">
        <f ca="1">OFFSET([2]怪物强度模型!$O$1,MATCH(F370,[2]怪物强度模型!$A:$A,0)-1,0)</f>
        <v>#VALUE!</v>
      </c>
      <c r="T370" s="47" t="e">
        <f ca="1" t="shared" si="93"/>
        <v>#VALUE!</v>
      </c>
      <c r="U370" s="47" t="e">
        <f ca="1">Q370+N370*$V$1/10000+$V$1*OFFSET(卡牌辅助配置表!$V$1,MATCH(C370,卡牌辅助配置表!U:U,0)-1,0)*5*P370/10000/10000+M370*$V$1/10000</f>
        <v>#VALUE!</v>
      </c>
      <c r="V370" s="46" t="e">
        <f ca="1">OFFSET([2]怪物强度模型!$I$1,MATCH(F370,[2]怪物强度模型!$A:$A,0)-1,0)</f>
        <v>#VALUE!</v>
      </c>
      <c r="W370" s="47">
        <f t="shared" si="97"/>
        <v>1.8</v>
      </c>
      <c r="X370" s="47">
        <f t="shared" si="98"/>
        <v>1.54</v>
      </c>
    </row>
    <row r="371" spans="1:24">
      <c r="A371" s="45">
        <f t="shared" si="100"/>
        <v>2522</v>
      </c>
      <c r="B371" s="45" t="s">
        <v>2793</v>
      </c>
      <c r="C371" s="45">
        <v>2</v>
      </c>
      <c r="D371" s="45">
        <v>522</v>
      </c>
      <c r="F371" s="46">
        <f t="shared" si="101"/>
        <v>2023</v>
      </c>
      <c r="G371" s="45">
        <f t="shared" si="94"/>
        <v>3.03</v>
      </c>
      <c r="H371" s="45">
        <v>6</v>
      </c>
      <c r="I371" s="46">
        <v>10</v>
      </c>
      <c r="J371" s="46">
        <v>20</v>
      </c>
      <c r="K371" s="46" t="e">
        <f ca="1" t="shared" si="102"/>
        <v>#VALUE!</v>
      </c>
      <c r="L371" s="46" t="e">
        <f ca="1" t="shared" si="103"/>
        <v>#VALUE!</v>
      </c>
      <c r="M371" s="46" t="e">
        <f ca="1" t="shared" si="92"/>
        <v>#VALUE!</v>
      </c>
      <c r="N371" s="46" t="e">
        <f ca="1" t="shared" si="95"/>
        <v>#VALUE!</v>
      </c>
      <c r="O371" s="46">
        <v>28</v>
      </c>
      <c r="P371" s="46">
        <f t="shared" si="104"/>
        <v>23</v>
      </c>
      <c r="Q371" s="46" t="e">
        <f ca="1" t="shared" si="99"/>
        <v>#VALUE!</v>
      </c>
      <c r="R371" s="46" t="e">
        <f ca="1">OFFSET([2]怪物强度模型!$K$1,MATCH(F371,[2]怪物强度模型!$A:$A,0)-1,0)</f>
        <v>#VALUE!</v>
      </c>
      <c r="S371" s="46" t="e">
        <f ca="1">OFFSET([2]怪物强度模型!$O$1,MATCH(F371,[2]怪物强度模型!$A:$A,0)-1,0)</f>
        <v>#VALUE!</v>
      </c>
      <c r="T371" s="47" t="e">
        <f ca="1" t="shared" si="93"/>
        <v>#VALUE!</v>
      </c>
      <c r="U371" s="47" t="e">
        <f ca="1">Q371+N371*$V$1/10000+$V$1*OFFSET(卡牌辅助配置表!$V$1,MATCH(C371,卡牌辅助配置表!U:U,0)-1,0)*5*P371/10000/10000+M371*$V$1/10000</f>
        <v>#VALUE!</v>
      </c>
      <c r="V371" s="46" t="e">
        <f ca="1">OFFSET([2]怪物强度模型!$I$1,MATCH(F371,[2]怪物强度模型!$A:$A,0)-1,0)</f>
        <v>#VALUE!</v>
      </c>
      <c r="W371" s="47">
        <f t="shared" si="97"/>
        <v>1.8</v>
      </c>
      <c r="X371" s="47">
        <f t="shared" si="98"/>
        <v>1.54</v>
      </c>
    </row>
    <row r="372" spans="1:24">
      <c r="A372" s="45">
        <f t="shared" si="100"/>
        <v>2523</v>
      </c>
      <c r="B372" s="45" t="s">
        <v>2793</v>
      </c>
      <c r="C372" s="45">
        <v>2</v>
      </c>
      <c r="D372" s="45">
        <v>523</v>
      </c>
      <c r="F372" s="46">
        <f t="shared" si="101"/>
        <v>2023</v>
      </c>
      <c r="G372" s="45">
        <f t="shared" si="94"/>
        <v>3.08</v>
      </c>
      <c r="H372" s="45">
        <v>6</v>
      </c>
      <c r="I372" s="46">
        <v>10</v>
      </c>
      <c r="J372" s="46">
        <v>20</v>
      </c>
      <c r="K372" s="46" t="e">
        <f ca="1" t="shared" si="102"/>
        <v>#VALUE!</v>
      </c>
      <c r="L372" s="46" t="e">
        <f ca="1" t="shared" si="103"/>
        <v>#VALUE!</v>
      </c>
      <c r="M372" s="46" t="e">
        <f ca="1" t="shared" si="92"/>
        <v>#VALUE!</v>
      </c>
      <c r="N372" s="46" t="e">
        <f ca="1" t="shared" si="95"/>
        <v>#VALUE!</v>
      </c>
      <c r="O372" s="46">
        <v>29</v>
      </c>
      <c r="P372" s="46">
        <f t="shared" si="104"/>
        <v>23</v>
      </c>
      <c r="Q372" s="46" t="e">
        <f ca="1" t="shared" si="99"/>
        <v>#VALUE!</v>
      </c>
      <c r="R372" s="46" t="e">
        <f ca="1">OFFSET([2]怪物强度模型!$K$1,MATCH(F372,[2]怪物强度模型!$A:$A,0)-1,0)</f>
        <v>#VALUE!</v>
      </c>
      <c r="S372" s="46" t="e">
        <f ca="1">OFFSET([2]怪物强度模型!$O$1,MATCH(F372,[2]怪物强度模型!$A:$A,0)-1,0)</f>
        <v>#VALUE!</v>
      </c>
      <c r="T372" s="47" t="e">
        <f ca="1" t="shared" si="93"/>
        <v>#VALUE!</v>
      </c>
      <c r="U372" s="47" t="e">
        <f ca="1">Q372+N372*$V$1/10000+$V$1*OFFSET(卡牌辅助配置表!$V$1,MATCH(C372,卡牌辅助配置表!U:U,0)-1,0)*5*P372/10000/10000+M372*$V$1/10000</f>
        <v>#VALUE!</v>
      </c>
      <c r="V372" s="46" t="e">
        <f ca="1">OFFSET([2]怪物强度模型!$I$1,MATCH(F372,[2]怪物强度模型!$A:$A,0)-1,0)</f>
        <v>#VALUE!</v>
      </c>
      <c r="W372" s="47">
        <f t="shared" si="97"/>
        <v>1.81</v>
      </c>
      <c r="X372" s="47">
        <f t="shared" si="98"/>
        <v>1.54</v>
      </c>
    </row>
    <row r="373" spans="1:24">
      <c r="A373" s="45">
        <f t="shared" si="100"/>
        <v>2524</v>
      </c>
      <c r="B373" s="45" t="s">
        <v>2793</v>
      </c>
      <c r="C373" s="45">
        <v>2</v>
      </c>
      <c r="D373" s="45">
        <v>524</v>
      </c>
      <c r="F373" s="46">
        <f t="shared" si="101"/>
        <v>2023</v>
      </c>
      <c r="G373" s="45">
        <f t="shared" si="94"/>
        <v>3.73</v>
      </c>
      <c r="H373" s="45">
        <v>6</v>
      </c>
      <c r="I373" s="46">
        <v>10</v>
      </c>
      <c r="J373" s="46">
        <v>20</v>
      </c>
      <c r="K373" s="46" t="e">
        <f ca="1" t="shared" si="102"/>
        <v>#VALUE!</v>
      </c>
      <c r="L373" s="46" t="e">
        <f ca="1" t="shared" si="103"/>
        <v>#VALUE!</v>
      </c>
      <c r="M373" s="46" t="e">
        <f ca="1" t="shared" si="92"/>
        <v>#VALUE!</v>
      </c>
      <c r="N373" s="46" t="e">
        <f ca="1" t="shared" si="95"/>
        <v>#VALUE!</v>
      </c>
      <c r="O373" s="46">
        <v>30</v>
      </c>
      <c r="P373" s="46">
        <f t="shared" si="104"/>
        <v>23</v>
      </c>
      <c r="Q373" s="46" t="e">
        <f ca="1" t="shared" si="99"/>
        <v>#VALUE!</v>
      </c>
      <c r="R373" s="46" t="e">
        <f ca="1">OFFSET([2]怪物强度模型!$K$1,MATCH(F373,[2]怪物强度模型!$A:$A,0)-1,0)</f>
        <v>#VALUE!</v>
      </c>
      <c r="S373" s="46" t="e">
        <f ca="1">OFFSET([2]怪物强度模型!$O$1,MATCH(F373,[2]怪物强度模型!$A:$A,0)-1,0)</f>
        <v>#VALUE!</v>
      </c>
      <c r="T373" s="47" t="e">
        <f ca="1" t="shared" si="93"/>
        <v>#VALUE!</v>
      </c>
      <c r="U373" s="47" t="e">
        <f ca="1">Q373+N373*$V$1/10000+$V$1*OFFSET(卡牌辅助配置表!$V$1,MATCH(C373,卡牌辅助配置表!U:U,0)-1,0)*5*P373/10000/10000+M373*$V$1/10000</f>
        <v>#VALUE!</v>
      </c>
      <c r="V373" s="46" t="e">
        <f ca="1">OFFSET([2]怪物强度模型!$I$1,MATCH(F373,[2]怪物强度模型!$A:$A,0)-1,0)</f>
        <v>#VALUE!</v>
      </c>
      <c r="W373" s="47">
        <f t="shared" si="97"/>
        <v>1.81</v>
      </c>
      <c r="X373" s="47">
        <f t="shared" si="98"/>
        <v>1.54</v>
      </c>
    </row>
    <row r="374" spans="1:24">
      <c r="A374" s="45">
        <f t="shared" si="100"/>
        <v>2525</v>
      </c>
      <c r="B374" s="45" t="s">
        <v>2793</v>
      </c>
      <c r="C374" s="45">
        <v>2</v>
      </c>
      <c r="D374" s="45">
        <v>525</v>
      </c>
      <c r="F374" s="46">
        <f t="shared" si="101"/>
        <v>2023</v>
      </c>
      <c r="G374" s="45">
        <f t="shared" si="94"/>
        <v>2.96</v>
      </c>
      <c r="H374" s="45">
        <v>6</v>
      </c>
      <c r="I374" s="46">
        <v>10</v>
      </c>
      <c r="J374" s="46">
        <v>20</v>
      </c>
      <c r="K374" s="46" t="e">
        <f ca="1" t="shared" si="102"/>
        <v>#VALUE!</v>
      </c>
      <c r="L374" s="46" t="e">
        <f ca="1" t="shared" si="103"/>
        <v>#VALUE!</v>
      </c>
      <c r="M374" s="46" t="e">
        <f ca="1" t="shared" si="92"/>
        <v>#VALUE!</v>
      </c>
      <c r="N374" s="46" t="e">
        <f ca="1" t="shared" si="95"/>
        <v>#VALUE!</v>
      </c>
      <c r="O374" s="46">
        <v>31</v>
      </c>
      <c r="P374" s="46">
        <f t="shared" si="104"/>
        <v>23</v>
      </c>
      <c r="Q374" s="46" t="e">
        <f ca="1" t="shared" si="99"/>
        <v>#VALUE!</v>
      </c>
      <c r="R374" s="46" t="e">
        <f ca="1">OFFSET([2]怪物强度模型!$K$1,MATCH(F374,[2]怪物强度模型!$A:$A,0)-1,0)</f>
        <v>#VALUE!</v>
      </c>
      <c r="S374" s="46" t="e">
        <f ca="1">OFFSET([2]怪物强度模型!$O$1,MATCH(F374,[2]怪物强度模型!$A:$A,0)-1,0)</f>
        <v>#VALUE!</v>
      </c>
      <c r="T374" s="47" t="e">
        <f ca="1" t="shared" si="93"/>
        <v>#VALUE!</v>
      </c>
      <c r="U374" s="47" t="e">
        <f ca="1">Q374+N374*$V$1/10000+$V$1*OFFSET(卡牌辅助配置表!$V$1,MATCH(C374,卡牌辅助配置表!U:U,0)-1,0)*5*P374/10000/10000+M374*$V$1/10000</f>
        <v>#VALUE!</v>
      </c>
      <c r="V374" s="46" t="e">
        <f ca="1">OFFSET([2]怪物强度模型!$I$1,MATCH(F374,[2]怪物强度模型!$A:$A,0)-1,0)</f>
        <v>#VALUE!</v>
      </c>
      <c r="W374" s="47">
        <f t="shared" si="97"/>
        <v>1.81</v>
      </c>
      <c r="X374" s="47">
        <f t="shared" si="98"/>
        <v>1.54</v>
      </c>
    </row>
    <row r="375" spans="1:24">
      <c r="A375" s="45">
        <f t="shared" si="100"/>
        <v>2526</v>
      </c>
      <c r="B375" s="45" t="s">
        <v>2793</v>
      </c>
      <c r="C375" s="45">
        <v>2</v>
      </c>
      <c r="D375" s="45">
        <v>526</v>
      </c>
      <c r="F375" s="46">
        <f t="shared" si="101"/>
        <v>2023</v>
      </c>
      <c r="G375" s="45">
        <f t="shared" si="94"/>
        <v>3.01</v>
      </c>
      <c r="H375" s="45">
        <v>6</v>
      </c>
      <c r="I375" s="46">
        <v>10</v>
      </c>
      <c r="J375" s="46">
        <v>20</v>
      </c>
      <c r="K375" s="46" t="e">
        <f ca="1" t="shared" si="102"/>
        <v>#VALUE!</v>
      </c>
      <c r="L375" s="46" t="e">
        <f ca="1" t="shared" si="103"/>
        <v>#VALUE!</v>
      </c>
      <c r="M375" s="46" t="e">
        <f ca="1" t="shared" si="92"/>
        <v>#VALUE!</v>
      </c>
      <c r="N375" s="46" t="e">
        <f ca="1" t="shared" si="95"/>
        <v>#VALUE!</v>
      </c>
      <c r="O375" s="46">
        <v>32</v>
      </c>
      <c r="P375" s="46">
        <f t="shared" si="104"/>
        <v>23</v>
      </c>
      <c r="Q375" s="46" t="e">
        <f ca="1" t="shared" si="99"/>
        <v>#VALUE!</v>
      </c>
      <c r="R375" s="46" t="e">
        <f ca="1">OFFSET([2]怪物强度模型!$K$1,MATCH(F375,[2]怪物强度模型!$A:$A,0)-1,0)</f>
        <v>#VALUE!</v>
      </c>
      <c r="S375" s="46" t="e">
        <f ca="1">OFFSET([2]怪物强度模型!$O$1,MATCH(F375,[2]怪物强度模型!$A:$A,0)-1,0)</f>
        <v>#VALUE!</v>
      </c>
      <c r="T375" s="47" t="e">
        <f ca="1" t="shared" si="93"/>
        <v>#VALUE!</v>
      </c>
      <c r="U375" s="47" t="e">
        <f ca="1">Q375+N375*$V$1/10000+$V$1*OFFSET(卡牌辅助配置表!$V$1,MATCH(C375,卡牌辅助配置表!U:U,0)-1,0)*5*P375/10000/10000+M375*$V$1/10000</f>
        <v>#VALUE!</v>
      </c>
      <c r="V375" s="46" t="e">
        <f ca="1">OFFSET([2]怪物强度模型!$I$1,MATCH(F375,[2]怪物强度模型!$A:$A,0)-1,0)</f>
        <v>#VALUE!</v>
      </c>
      <c r="W375" s="47">
        <f t="shared" si="97"/>
        <v>1.82</v>
      </c>
      <c r="X375" s="47">
        <f t="shared" si="98"/>
        <v>1.54</v>
      </c>
    </row>
    <row r="376" spans="1:24">
      <c r="A376" s="45">
        <f t="shared" si="100"/>
        <v>2527</v>
      </c>
      <c r="B376" s="45" t="s">
        <v>2793</v>
      </c>
      <c r="C376" s="45">
        <v>2</v>
      </c>
      <c r="D376" s="45">
        <v>527</v>
      </c>
      <c r="F376" s="46">
        <f t="shared" si="101"/>
        <v>2023</v>
      </c>
      <c r="G376" s="45">
        <f t="shared" si="94"/>
        <v>3.06</v>
      </c>
      <c r="H376" s="45">
        <v>6</v>
      </c>
      <c r="I376" s="46">
        <v>10</v>
      </c>
      <c r="J376" s="46">
        <v>20</v>
      </c>
      <c r="K376" s="46" t="e">
        <f ca="1" t="shared" si="102"/>
        <v>#VALUE!</v>
      </c>
      <c r="L376" s="46" t="e">
        <f ca="1" t="shared" si="103"/>
        <v>#VALUE!</v>
      </c>
      <c r="M376" s="46" t="e">
        <f ca="1" t="shared" si="92"/>
        <v>#VALUE!</v>
      </c>
      <c r="N376" s="46" t="e">
        <f ca="1" t="shared" si="95"/>
        <v>#VALUE!</v>
      </c>
      <c r="O376" s="46">
        <v>33</v>
      </c>
      <c r="P376" s="46">
        <f t="shared" si="104"/>
        <v>23</v>
      </c>
      <c r="Q376" s="46" t="e">
        <f ca="1" t="shared" si="99"/>
        <v>#VALUE!</v>
      </c>
      <c r="R376" s="46" t="e">
        <f ca="1">OFFSET([2]怪物强度模型!$K$1,MATCH(F376,[2]怪物强度模型!$A:$A,0)-1,0)</f>
        <v>#VALUE!</v>
      </c>
      <c r="S376" s="46" t="e">
        <f ca="1">OFFSET([2]怪物强度模型!$O$1,MATCH(F376,[2]怪物强度模型!$A:$A,0)-1,0)</f>
        <v>#VALUE!</v>
      </c>
      <c r="T376" s="47" t="e">
        <f ca="1" t="shared" si="93"/>
        <v>#VALUE!</v>
      </c>
      <c r="U376" s="47" t="e">
        <f ca="1">Q376+N376*$V$1/10000+$V$1*OFFSET(卡牌辅助配置表!$V$1,MATCH(C376,卡牌辅助配置表!U:U,0)-1,0)*5*P376/10000/10000+M376*$V$1/10000</f>
        <v>#VALUE!</v>
      </c>
      <c r="V376" s="46" t="e">
        <f ca="1">OFFSET([2]怪物强度模型!$I$1,MATCH(F376,[2]怪物强度模型!$A:$A,0)-1,0)</f>
        <v>#VALUE!</v>
      </c>
      <c r="W376" s="47">
        <f t="shared" si="97"/>
        <v>1.82</v>
      </c>
      <c r="X376" s="47">
        <f t="shared" si="98"/>
        <v>1.54</v>
      </c>
    </row>
    <row r="377" spans="1:24">
      <c r="A377" s="45">
        <f t="shared" si="100"/>
        <v>2528</v>
      </c>
      <c r="B377" s="45" t="s">
        <v>2793</v>
      </c>
      <c r="C377" s="45">
        <v>2</v>
      </c>
      <c r="D377" s="45">
        <v>528</v>
      </c>
      <c r="F377" s="46">
        <f t="shared" si="101"/>
        <v>2023</v>
      </c>
      <c r="G377" s="45">
        <f t="shared" si="94"/>
        <v>3.11</v>
      </c>
      <c r="H377" s="45">
        <v>6</v>
      </c>
      <c r="I377" s="46">
        <v>10</v>
      </c>
      <c r="J377" s="46">
        <v>20</v>
      </c>
      <c r="K377" s="46" t="e">
        <f ca="1" t="shared" si="102"/>
        <v>#VALUE!</v>
      </c>
      <c r="L377" s="46" t="e">
        <f ca="1" t="shared" si="103"/>
        <v>#VALUE!</v>
      </c>
      <c r="M377" s="46" t="e">
        <f ca="1" t="shared" si="92"/>
        <v>#VALUE!</v>
      </c>
      <c r="N377" s="46" t="e">
        <f ca="1" t="shared" si="95"/>
        <v>#VALUE!</v>
      </c>
      <c r="O377" s="46">
        <v>34</v>
      </c>
      <c r="P377" s="46">
        <f t="shared" si="104"/>
        <v>23</v>
      </c>
      <c r="Q377" s="46" t="e">
        <f ca="1" t="shared" si="99"/>
        <v>#VALUE!</v>
      </c>
      <c r="R377" s="46" t="e">
        <f ca="1">OFFSET([2]怪物强度模型!$K$1,MATCH(F377,[2]怪物强度模型!$A:$A,0)-1,0)</f>
        <v>#VALUE!</v>
      </c>
      <c r="S377" s="46" t="e">
        <f ca="1">OFFSET([2]怪物强度模型!$O$1,MATCH(F377,[2]怪物强度模型!$A:$A,0)-1,0)</f>
        <v>#VALUE!</v>
      </c>
      <c r="T377" s="47" t="e">
        <f ca="1" t="shared" si="93"/>
        <v>#VALUE!</v>
      </c>
      <c r="U377" s="47" t="e">
        <f ca="1">Q377+N377*$V$1/10000+$V$1*OFFSET(卡牌辅助配置表!$V$1,MATCH(C377,卡牌辅助配置表!U:U,0)-1,0)*5*P377/10000/10000+M377*$V$1/10000</f>
        <v>#VALUE!</v>
      </c>
      <c r="V377" s="46" t="e">
        <f ca="1">OFFSET([2]怪物强度模型!$I$1,MATCH(F377,[2]怪物强度模型!$A:$A,0)-1,0)</f>
        <v>#VALUE!</v>
      </c>
      <c r="W377" s="47">
        <f t="shared" si="97"/>
        <v>1.82</v>
      </c>
      <c r="X377" s="47">
        <f t="shared" si="98"/>
        <v>1.54</v>
      </c>
    </row>
    <row r="378" spans="1:24">
      <c r="A378" s="45">
        <f t="shared" si="100"/>
        <v>2529</v>
      </c>
      <c r="B378" s="45" t="s">
        <v>2793</v>
      </c>
      <c r="C378" s="45">
        <v>2</v>
      </c>
      <c r="D378" s="45">
        <v>529</v>
      </c>
      <c r="F378" s="46">
        <f t="shared" si="101"/>
        <v>2023</v>
      </c>
      <c r="G378" s="45">
        <f>G368+0.1</f>
        <v>3.8</v>
      </c>
      <c r="H378" s="45">
        <v>6</v>
      </c>
      <c r="I378" s="46">
        <v>10</v>
      </c>
      <c r="J378" s="46">
        <v>20</v>
      </c>
      <c r="K378" s="46" t="e">
        <f ca="1" t="shared" si="102"/>
        <v>#VALUE!</v>
      </c>
      <c r="L378" s="46" t="e">
        <f ca="1" t="shared" si="103"/>
        <v>#VALUE!</v>
      </c>
      <c r="M378" s="46" t="e">
        <f ca="1" t="shared" ref="M378:M441" si="105">S378*W378</f>
        <v>#VALUE!</v>
      </c>
      <c r="N378" s="46" t="e">
        <f ca="1" t="shared" si="95"/>
        <v>#VALUE!</v>
      </c>
      <c r="O378" s="46">
        <v>35</v>
      </c>
      <c r="P378" s="46">
        <f t="shared" si="104"/>
        <v>23</v>
      </c>
      <c r="Q378" s="46" t="e">
        <f ca="1" t="shared" si="99"/>
        <v>#VALUE!</v>
      </c>
      <c r="R378" s="46" t="e">
        <f ca="1">OFFSET([2]怪物强度模型!$K$1,MATCH(F378,[2]怪物强度模型!$A:$A,0)-1,0)</f>
        <v>#VALUE!</v>
      </c>
      <c r="S378" s="46" t="e">
        <f ca="1">OFFSET([2]怪物强度模型!$O$1,MATCH(F378,[2]怪物强度模型!$A:$A,0)-1,0)</f>
        <v>#VALUE!</v>
      </c>
      <c r="T378" s="47" t="e">
        <f ca="1" t="shared" ref="T378:T441" si="106">ROUND(U378*X378,0)</f>
        <v>#VALUE!</v>
      </c>
      <c r="U378" s="47" t="e">
        <f ca="1">Q378+N378*$V$1/10000+$V$1*OFFSET(卡牌辅助配置表!$V$1,MATCH(C378,卡牌辅助配置表!U:U,0)-1,0)*5*P378/10000/10000+M378*$V$1/10000</f>
        <v>#VALUE!</v>
      </c>
      <c r="V378" s="46" t="e">
        <f ca="1">OFFSET([2]怪物强度模型!$I$1,MATCH(F378,[2]怪物强度模型!$A:$A,0)-1,0)</f>
        <v>#VALUE!</v>
      </c>
      <c r="W378" s="47">
        <f t="shared" si="97"/>
        <v>1.95</v>
      </c>
      <c r="X378" s="47">
        <f t="shared" si="98"/>
        <v>1.54</v>
      </c>
    </row>
    <row r="379" spans="1:24">
      <c r="A379" s="45">
        <f t="shared" si="100"/>
        <v>2530</v>
      </c>
      <c r="B379" s="45" t="s">
        <v>2793</v>
      </c>
      <c r="C379" s="45">
        <v>2</v>
      </c>
      <c r="D379" s="45">
        <v>530</v>
      </c>
      <c r="F379" s="46">
        <f t="shared" si="101"/>
        <v>2024</v>
      </c>
      <c r="G379" s="45">
        <f t="shared" si="94"/>
        <v>2.99</v>
      </c>
      <c r="H379" s="45">
        <v>6</v>
      </c>
      <c r="I379" s="46">
        <v>10</v>
      </c>
      <c r="J379" s="46">
        <v>20</v>
      </c>
      <c r="K379" s="46" t="e">
        <f ca="1" t="shared" si="102"/>
        <v>#VALUE!</v>
      </c>
      <c r="L379" s="46" t="e">
        <f ca="1" t="shared" si="103"/>
        <v>#VALUE!</v>
      </c>
      <c r="M379" s="46" t="e">
        <f ca="1" t="shared" si="105"/>
        <v>#VALUE!</v>
      </c>
      <c r="N379" s="46" t="e">
        <f ca="1" t="shared" si="95"/>
        <v>#VALUE!</v>
      </c>
      <c r="O379" s="46">
        <v>36</v>
      </c>
      <c r="P379" s="46">
        <f t="shared" si="104"/>
        <v>24</v>
      </c>
      <c r="Q379" s="46" t="e">
        <f ca="1" t="shared" si="99"/>
        <v>#VALUE!</v>
      </c>
      <c r="R379" s="46" t="e">
        <f ca="1">OFFSET([2]怪物强度模型!$K$1,MATCH(F379,[2]怪物强度模型!$A:$A,0)-1,0)</f>
        <v>#VALUE!</v>
      </c>
      <c r="S379" s="46" t="e">
        <f ca="1">OFFSET([2]怪物强度模型!$O$1,MATCH(F379,[2]怪物强度模型!$A:$A,0)-1,0)</f>
        <v>#VALUE!</v>
      </c>
      <c r="T379" s="47" t="e">
        <f ca="1" t="shared" si="106"/>
        <v>#VALUE!</v>
      </c>
      <c r="U379" s="47" t="e">
        <f ca="1">Q379+N379*$V$1/10000+$V$1*OFFSET(卡牌辅助配置表!$V$1,MATCH(C379,卡牌辅助配置表!U:U,0)-1,0)*5*P379/10000/10000+M379*$V$1/10000</f>
        <v>#VALUE!</v>
      </c>
      <c r="V379" s="46" t="e">
        <f ca="1">OFFSET([2]怪物强度模型!$I$1,MATCH(F379,[2]怪物强度模型!$A:$A,0)-1,0)</f>
        <v>#VALUE!</v>
      </c>
      <c r="W379" s="47">
        <f t="shared" si="97"/>
        <v>1.85</v>
      </c>
      <c r="X379" s="47">
        <f t="shared" si="98"/>
        <v>1.56</v>
      </c>
    </row>
    <row r="380" spans="1:24">
      <c r="A380" s="45">
        <f t="shared" si="100"/>
        <v>2531</v>
      </c>
      <c r="B380" s="45" t="s">
        <v>2793</v>
      </c>
      <c r="C380" s="45">
        <v>2</v>
      </c>
      <c r="D380" s="45">
        <v>531</v>
      </c>
      <c r="F380" s="46">
        <f t="shared" si="101"/>
        <v>2024</v>
      </c>
      <c r="G380" s="45">
        <f t="shared" si="94"/>
        <v>3.04</v>
      </c>
      <c r="H380" s="45">
        <v>6</v>
      </c>
      <c r="I380" s="46">
        <v>10</v>
      </c>
      <c r="J380" s="46">
        <v>20</v>
      </c>
      <c r="K380" s="46" t="e">
        <f ca="1" t="shared" si="102"/>
        <v>#VALUE!</v>
      </c>
      <c r="L380" s="46" t="e">
        <f ca="1" t="shared" si="103"/>
        <v>#VALUE!</v>
      </c>
      <c r="M380" s="46" t="e">
        <f ca="1" t="shared" si="105"/>
        <v>#VALUE!</v>
      </c>
      <c r="N380" s="46" t="e">
        <f ca="1" t="shared" si="95"/>
        <v>#VALUE!</v>
      </c>
      <c r="O380" s="46">
        <v>37</v>
      </c>
      <c r="P380" s="46">
        <f t="shared" si="104"/>
        <v>24</v>
      </c>
      <c r="Q380" s="46" t="e">
        <f ca="1" t="shared" si="99"/>
        <v>#VALUE!</v>
      </c>
      <c r="R380" s="46" t="e">
        <f ca="1">OFFSET([2]怪物强度模型!$K$1,MATCH(F380,[2]怪物强度模型!$A:$A,0)-1,0)</f>
        <v>#VALUE!</v>
      </c>
      <c r="S380" s="46" t="e">
        <f ca="1">OFFSET([2]怪物强度模型!$O$1,MATCH(F380,[2]怪物强度模型!$A:$A,0)-1,0)</f>
        <v>#VALUE!</v>
      </c>
      <c r="T380" s="47" t="e">
        <f ca="1" t="shared" si="106"/>
        <v>#VALUE!</v>
      </c>
      <c r="U380" s="47" t="e">
        <f ca="1">Q380+N380*$V$1/10000+$V$1*OFFSET(卡牌辅助配置表!$V$1,MATCH(C380,卡牌辅助配置表!U:U,0)-1,0)*5*P380/10000/10000+M380*$V$1/10000</f>
        <v>#VALUE!</v>
      </c>
      <c r="V380" s="46" t="e">
        <f ca="1">OFFSET([2]怪物强度模型!$I$1,MATCH(F380,[2]怪物强度模型!$A:$A,0)-1,0)</f>
        <v>#VALUE!</v>
      </c>
      <c r="W380" s="47">
        <f t="shared" si="97"/>
        <v>1.85</v>
      </c>
      <c r="X380" s="47">
        <f t="shared" si="98"/>
        <v>1.56</v>
      </c>
    </row>
    <row r="381" spans="1:24">
      <c r="A381" s="45">
        <f t="shared" si="100"/>
        <v>2532</v>
      </c>
      <c r="B381" s="45" t="s">
        <v>2793</v>
      </c>
      <c r="C381" s="45">
        <v>2</v>
      </c>
      <c r="D381" s="45">
        <v>532</v>
      </c>
      <c r="F381" s="46">
        <f t="shared" si="101"/>
        <v>2024</v>
      </c>
      <c r="G381" s="45">
        <f t="shared" si="94"/>
        <v>3.09</v>
      </c>
      <c r="H381" s="45">
        <v>6</v>
      </c>
      <c r="I381" s="46">
        <v>10</v>
      </c>
      <c r="J381" s="46">
        <v>20</v>
      </c>
      <c r="K381" s="46" t="e">
        <f ca="1" t="shared" si="102"/>
        <v>#VALUE!</v>
      </c>
      <c r="L381" s="46" t="e">
        <f ca="1" t="shared" si="103"/>
        <v>#VALUE!</v>
      </c>
      <c r="M381" s="46" t="e">
        <f ca="1" t="shared" si="105"/>
        <v>#VALUE!</v>
      </c>
      <c r="N381" s="46" t="e">
        <f ca="1" t="shared" si="95"/>
        <v>#VALUE!</v>
      </c>
      <c r="O381" s="46">
        <v>38</v>
      </c>
      <c r="P381" s="46">
        <f t="shared" ref="P381:P412" si="107">P371+1</f>
        <v>24</v>
      </c>
      <c r="Q381" s="46" t="e">
        <f ca="1" t="shared" si="99"/>
        <v>#VALUE!</v>
      </c>
      <c r="R381" s="46" t="e">
        <f ca="1">OFFSET([2]怪物强度模型!$K$1,MATCH(F381,[2]怪物强度模型!$A:$A,0)-1,0)</f>
        <v>#VALUE!</v>
      </c>
      <c r="S381" s="46" t="e">
        <f ca="1">OFFSET([2]怪物强度模型!$O$1,MATCH(F381,[2]怪物强度模型!$A:$A,0)-1,0)</f>
        <v>#VALUE!</v>
      </c>
      <c r="T381" s="47" t="e">
        <f ca="1" t="shared" si="106"/>
        <v>#VALUE!</v>
      </c>
      <c r="U381" s="47" t="e">
        <f ca="1">Q381+N381*$V$1/10000+$V$1*OFFSET(卡牌辅助配置表!$V$1,MATCH(C381,卡牌辅助配置表!U:U,0)-1,0)*5*P381/10000/10000+M381*$V$1/10000</f>
        <v>#VALUE!</v>
      </c>
      <c r="V381" s="46" t="e">
        <f ca="1">OFFSET([2]怪物强度模型!$I$1,MATCH(F381,[2]怪物强度模型!$A:$A,0)-1,0)</f>
        <v>#VALUE!</v>
      </c>
      <c r="W381" s="47">
        <f t="shared" si="97"/>
        <v>1.85</v>
      </c>
      <c r="X381" s="47">
        <f t="shared" si="98"/>
        <v>1.56</v>
      </c>
    </row>
    <row r="382" spans="1:24">
      <c r="A382" s="45">
        <f t="shared" si="100"/>
        <v>2533</v>
      </c>
      <c r="B382" s="45" t="s">
        <v>2793</v>
      </c>
      <c r="C382" s="45">
        <v>2</v>
      </c>
      <c r="D382" s="45">
        <v>533</v>
      </c>
      <c r="F382" s="46">
        <f t="shared" si="101"/>
        <v>2024</v>
      </c>
      <c r="G382" s="45">
        <f t="shared" si="94"/>
        <v>3.14</v>
      </c>
      <c r="H382" s="45">
        <v>6</v>
      </c>
      <c r="I382" s="46">
        <v>10</v>
      </c>
      <c r="J382" s="46">
        <v>20</v>
      </c>
      <c r="K382" s="46" t="e">
        <f ca="1" t="shared" si="102"/>
        <v>#VALUE!</v>
      </c>
      <c r="L382" s="46" t="e">
        <f ca="1" t="shared" si="103"/>
        <v>#VALUE!</v>
      </c>
      <c r="M382" s="46" t="e">
        <f ca="1" t="shared" si="105"/>
        <v>#VALUE!</v>
      </c>
      <c r="N382" s="46" t="e">
        <f ca="1" t="shared" si="95"/>
        <v>#VALUE!</v>
      </c>
      <c r="O382" s="46">
        <v>39</v>
      </c>
      <c r="P382" s="46">
        <f t="shared" si="107"/>
        <v>24</v>
      </c>
      <c r="Q382" s="46" t="e">
        <f ca="1" t="shared" si="99"/>
        <v>#VALUE!</v>
      </c>
      <c r="R382" s="46" t="e">
        <f ca="1">OFFSET([2]怪物强度模型!$K$1,MATCH(F382,[2]怪物强度模型!$A:$A,0)-1,0)</f>
        <v>#VALUE!</v>
      </c>
      <c r="S382" s="46" t="e">
        <f ca="1">OFFSET([2]怪物强度模型!$O$1,MATCH(F382,[2]怪物强度模型!$A:$A,0)-1,0)</f>
        <v>#VALUE!</v>
      </c>
      <c r="T382" s="47" t="e">
        <f ca="1" t="shared" si="106"/>
        <v>#VALUE!</v>
      </c>
      <c r="U382" s="47" t="e">
        <f ca="1">Q382+N382*$V$1/10000+$V$1*OFFSET(卡牌辅助配置表!$V$1,MATCH(C382,卡牌辅助配置表!U:U,0)-1,0)*5*P382/10000/10000+M382*$V$1/10000</f>
        <v>#VALUE!</v>
      </c>
      <c r="V382" s="46" t="e">
        <f ca="1">OFFSET([2]怪物强度模型!$I$1,MATCH(F382,[2]怪物强度模型!$A:$A,0)-1,0)</f>
        <v>#VALUE!</v>
      </c>
      <c r="W382" s="47">
        <f t="shared" si="97"/>
        <v>1.86</v>
      </c>
      <c r="X382" s="47">
        <f t="shared" si="98"/>
        <v>1.56</v>
      </c>
    </row>
    <row r="383" spans="1:24">
      <c r="A383" s="45">
        <f t="shared" si="100"/>
        <v>2534</v>
      </c>
      <c r="B383" s="45" t="s">
        <v>2793</v>
      </c>
      <c r="C383" s="45">
        <v>2</v>
      </c>
      <c r="D383" s="45">
        <v>534</v>
      </c>
      <c r="F383" s="46">
        <f t="shared" si="101"/>
        <v>2024</v>
      </c>
      <c r="G383" s="45">
        <f t="shared" ref="G383:G446" si="108">G378+0.03</f>
        <v>3.83</v>
      </c>
      <c r="H383" s="45">
        <v>6</v>
      </c>
      <c r="I383" s="46">
        <v>10</v>
      </c>
      <c r="J383" s="46">
        <v>20</v>
      </c>
      <c r="K383" s="46" t="e">
        <f ca="1" t="shared" si="102"/>
        <v>#VALUE!</v>
      </c>
      <c r="L383" s="46" t="e">
        <f ca="1" t="shared" si="103"/>
        <v>#VALUE!</v>
      </c>
      <c r="M383" s="46" t="e">
        <f ca="1" t="shared" si="105"/>
        <v>#VALUE!</v>
      </c>
      <c r="N383" s="46" t="e">
        <f ca="1" t="shared" si="95"/>
        <v>#VALUE!</v>
      </c>
      <c r="O383" s="46">
        <v>40</v>
      </c>
      <c r="P383" s="46">
        <f t="shared" si="107"/>
        <v>24</v>
      </c>
      <c r="Q383" s="46" t="e">
        <f ca="1" t="shared" si="99"/>
        <v>#VALUE!</v>
      </c>
      <c r="R383" s="46" t="e">
        <f ca="1">OFFSET([2]怪物强度模型!$K$1,MATCH(F383,[2]怪物强度模型!$A:$A,0)-1,0)</f>
        <v>#VALUE!</v>
      </c>
      <c r="S383" s="46" t="e">
        <f ca="1">OFFSET([2]怪物强度模型!$O$1,MATCH(F383,[2]怪物强度模型!$A:$A,0)-1,0)</f>
        <v>#VALUE!</v>
      </c>
      <c r="T383" s="47" t="e">
        <f ca="1" t="shared" si="106"/>
        <v>#VALUE!</v>
      </c>
      <c r="U383" s="47" t="e">
        <f ca="1">Q383+N383*$V$1/10000+$V$1*OFFSET(卡牌辅助配置表!$V$1,MATCH(C383,卡牌辅助配置表!U:U,0)-1,0)*5*P383/10000/10000+M383*$V$1/10000</f>
        <v>#VALUE!</v>
      </c>
      <c r="V383" s="46" t="e">
        <f ca="1">OFFSET([2]怪物强度模型!$I$1,MATCH(F383,[2]怪物强度模型!$A:$A,0)-1,0)</f>
        <v>#VALUE!</v>
      </c>
      <c r="W383" s="47">
        <f t="shared" si="97"/>
        <v>1.86</v>
      </c>
      <c r="X383" s="47">
        <f t="shared" si="98"/>
        <v>1.56</v>
      </c>
    </row>
    <row r="384" spans="1:24">
      <c r="A384" s="45">
        <f t="shared" si="100"/>
        <v>2535</v>
      </c>
      <c r="B384" s="45" t="s">
        <v>2793</v>
      </c>
      <c r="C384" s="45">
        <v>2</v>
      </c>
      <c r="D384" s="45">
        <v>535</v>
      </c>
      <c r="F384" s="46">
        <f t="shared" si="101"/>
        <v>2024</v>
      </c>
      <c r="G384" s="45">
        <f t="shared" si="108"/>
        <v>3.01999999999999</v>
      </c>
      <c r="H384" s="45">
        <v>6</v>
      </c>
      <c r="I384" s="46">
        <v>10</v>
      </c>
      <c r="J384" s="46">
        <v>20</v>
      </c>
      <c r="K384" s="46" t="e">
        <f ca="1" t="shared" si="102"/>
        <v>#VALUE!</v>
      </c>
      <c r="L384" s="46" t="e">
        <f ca="1" t="shared" si="103"/>
        <v>#VALUE!</v>
      </c>
      <c r="M384" s="46" t="e">
        <f ca="1" t="shared" si="105"/>
        <v>#VALUE!</v>
      </c>
      <c r="N384" s="46" t="e">
        <f ca="1" t="shared" si="95"/>
        <v>#VALUE!</v>
      </c>
      <c r="O384" s="46">
        <v>41</v>
      </c>
      <c r="P384" s="46">
        <f t="shared" si="107"/>
        <v>24</v>
      </c>
      <c r="Q384" s="46" t="e">
        <f ca="1" t="shared" si="99"/>
        <v>#VALUE!</v>
      </c>
      <c r="R384" s="46" t="e">
        <f ca="1">OFFSET([2]怪物强度模型!$K$1,MATCH(F384,[2]怪物强度模型!$A:$A,0)-1,0)</f>
        <v>#VALUE!</v>
      </c>
      <c r="S384" s="46" t="e">
        <f ca="1">OFFSET([2]怪物强度模型!$O$1,MATCH(F384,[2]怪物强度模型!$A:$A,0)-1,0)</f>
        <v>#VALUE!</v>
      </c>
      <c r="T384" s="47" t="e">
        <f ca="1" t="shared" si="106"/>
        <v>#VALUE!</v>
      </c>
      <c r="U384" s="47" t="e">
        <f ca="1">Q384+N384*$V$1/10000+$V$1*OFFSET(卡牌辅助配置表!$V$1,MATCH(C384,卡牌辅助配置表!U:U,0)-1,0)*5*P384/10000/10000+M384*$V$1/10000</f>
        <v>#VALUE!</v>
      </c>
      <c r="V384" s="46" t="e">
        <f ca="1">OFFSET([2]怪物强度模型!$I$1,MATCH(F384,[2]怪物强度模型!$A:$A,0)-1,0)</f>
        <v>#VALUE!</v>
      </c>
      <c r="W384" s="47">
        <f t="shared" si="97"/>
        <v>1.86</v>
      </c>
      <c r="X384" s="47">
        <f t="shared" si="98"/>
        <v>1.56</v>
      </c>
    </row>
    <row r="385" spans="1:24">
      <c r="A385" s="45">
        <f t="shared" si="100"/>
        <v>2536</v>
      </c>
      <c r="B385" s="45" t="s">
        <v>2793</v>
      </c>
      <c r="C385" s="45">
        <v>2</v>
      </c>
      <c r="D385" s="45">
        <v>536</v>
      </c>
      <c r="F385" s="46">
        <f t="shared" si="101"/>
        <v>2024</v>
      </c>
      <c r="G385" s="45">
        <f t="shared" si="108"/>
        <v>3.07</v>
      </c>
      <c r="H385" s="45">
        <v>6</v>
      </c>
      <c r="I385" s="46">
        <v>10</v>
      </c>
      <c r="J385" s="46">
        <v>20</v>
      </c>
      <c r="K385" s="46" t="e">
        <f ca="1" t="shared" si="102"/>
        <v>#VALUE!</v>
      </c>
      <c r="L385" s="46" t="e">
        <f ca="1" t="shared" si="103"/>
        <v>#VALUE!</v>
      </c>
      <c r="M385" s="46" t="e">
        <f ca="1" t="shared" si="105"/>
        <v>#VALUE!</v>
      </c>
      <c r="N385" s="46" t="e">
        <f ca="1" t="shared" ref="N385:N448" si="109">ROUND(M385/$N$1,0)</f>
        <v>#VALUE!</v>
      </c>
      <c r="O385" s="46">
        <v>42</v>
      </c>
      <c r="P385" s="46">
        <f t="shared" si="107"/>
        <v>24</v>
      </c>
      <c r="Q385" s="46" t="e">
        <f ca="1" t="shared" si="99"/>
        <v>#VALUE!</v>
      </c>
      <c r="R385" s="46" t="e">
        <f ca="1">OFFSET([2]怪物强度模型!$K$1,MATCH(F385,[2]怪物强度模型!$A:$A,0)-1,0)</f>
        <v>#VALUE!</v>
      </c>
      <c r="S385" s="46" t="e">
        <f ca="1">OFFSET([2]怪物强度模型!$O$1,MATCH(F385,[2]怪物强度模型!$A:$A,0)-1,0)</f>
        <v>#VALUE!</v>
      </c>
      <c r="T385" s="47" t="e">
        <f ca="1" t="shared" si="106"/>
        <v>#VALUE!</v>
      </c>
      <c r="U385" s="47" t="e">
        <f ca="1">Q385+N385*$V$1/10000+$V$1*OFFSET(卡牌辅助配置表!$V$1,MATCH(C385,卡牌辅助配置表!U:U,0)-1,0)*5*P385/10000/10000+M385*$V$1/10000</f>
        <v>#VALUE!</v>
      </c>
      <c r="V385" s="46" t="e">
        <f ca="1">OFFSET([2]怪物强度模型!$I$1,MATCH(F385,[2]怪物强度模型!$A:$A,0)-1,0)</f>
        <v>#VALUE!</v>
      </c>
      <c r="W385" s="47">
        <f t="shared" si="97"/>
        <v>1.87</v>
      </c>
      <c r="X385" s="47">
        <f t="shared" si="98"/>
        <v>1.56</v>
      </c>
    </row>
    <row r="386" spans="1:24">
      <c r="A386" s="45">
        <f t="shared" si="100"/>
        <v>2537</v>
      </c>
      <c r="B386" s="45" t="s">
        <v>2793</v>
      </c>
      <c r="C386" s="45">
        <v>2</v>
      </c>
      <c r="D386" s="45">
        <v>537</v>
      </c>
      <c r="F386" s="46">
        <f t="shared" si="101"/>
        <v>2024</v>
      </c>
      <c r="G386" s="45">
        <f t="shared" si="108"/>
        <v>3.12</v>
      </c>
      <c r="H386" s="45">
        <v>6</v>
      </c>
      <c r="I386" s="46">
        <v>10</v>
      </c>
      <c r="J386" s="46">
        <v>20</v>
      </c>
      <c r="K386" s="46" t="e">
        <f ca="1" t="shared" si="102"/>
        <v>#VALUE!</v>
      </c>
      <c r="L386" s="46" t="e">
        <f ca="1" t="shared" si="103"/>
        <v>#VALUE!</v>
      </c>
      <c r="M386" s="46" t="e">
        <f ca="1" t="shared" si="105"/>
        <v>#VALUE!</v>
      </c>
      <c r="N386" s="46" t="e">
        <f ca="1" t="shared" si="109"/>
        <v>#VALUE!</v>
      </c>
      <c r="O386" s="46">
        <v>43</v>
      </c>
      <c r="P386" s="46">
        <f t="shared" si="107"/>
        <v>24</v>
      </c>
      <c r="Q386" s="46" t="e">
        <f ca="1" t="shared" si="99"/>
        <v>#VALUE!</v>
      </c>
      <c r="R386" s="46" t="e">
        <f ca="1">OFFSET([2]怪物强度模型!$K$1,MATCH(F386,[2]怪物强度模型!$A:$A,0)-1,0)</f>
        <v>#VALUE!</v>
      </c>
      <c r="S386" s="46" t="e">
        <f ca="1">OFFSET([2]怪物强度模型!$O$1,MATCH(F386,[2]怪物强度模型!$A:$A,0)-1,0)</f>
        <v>#VALUE!</v>
      </c>
      <c r="T386" s="47" t="e">
        <f ca="1" t="shared" si="106"/>
        <v>#VALUE!</v>
      </c>
      <c r="U386" s="47" t="e">
        <f ca="1">Q386+N386*$V$1/10000+$V$1*OFFSET(卡牌辅助配置表!$V$1,MATCH(C386,卡牌辅助配置表!U:U,0)-1,0)*5*P386/10000/10000+M386*$V$1/10000</f>
        <v>#VALUE!</v>
      </c>
      <c r="V386" s="46" t="e">
        <f ca="1">OFFSET([2]怪物强度模型!$I$1,MATCH(F386,[2]怪物强度模型!$A:$A,0)-1,0)</f>
        <v>#VALUE!</v>
      </c>
      <c r="W386" s="47">
        <f t="shared" si="97"/>
        <v>1.87</v>
      </c>
      <c r="X386" s="47">
        <f t="shared" si="98"/>
        <v>1.56</v>
      </c>
    </row>
    <row r="387" spans="1:24">
      <c r="A387" s="45">
        <f t="shared" si="100"/>
        <v>2538</v>
      </c>
      <c r="B387" s="45" t="s">
        <v>2793</v>
      </c>
      <c r="C387" s="45">
        <v>2</v>
      </c>
      <c r="D387" s="45">
        <v>538</v>
      </c>
      <c r="F387" s="46">
        <f t="shared" si="101"/>
        <v>2024</v>
      </c>
      <c r="G387" s="45">
        <f t="shared" si="108"/>
        <v>3.17</v>
      </c>
      <c r="H387" s="45">
        <v>6</v>
      </c>
      <c r="I387" s="46">
        <v>10</v>
      </c>
      <c r="J387" s="46">
        <v>20</v>
      </c>
      <c r="K387" s="46" t="e">
        <f ca="1" t="shared" si="102"/>
        <v>#VALUE!</v>
      </c>
      <c r="L387" s="46" t="e">
        <f ca="1" t="shared" si="103"/>
        <v>#VALUE!</v>
      </c>
      <c r="M387" s="46" t="e">
        <f ca="1" t="shared" si="105"/>
        <v>#VALUE!</v>
      </c>
      <c r="N387" s="46" t="e">
        <f ca="1" t="shared" si="109"/>
        <v>#VALUE!</v>
      </c>
      <c r="O387" s="46">
        <v>44</v>
      </c>
      <c r="P387" s="46">
        <f t="shared" si="107"/>
        <v>24</v>
      </c>
      <c r="Q387" s="46" t="e">
        <f ca="1" t="shared" si="99"/>
        <v>#VALUE!</v>
      </c>
      <c r="R387" s="46" t="e">
        <f ca="1">OFFSET([2]怪物强度模型!$K$1,MATCH(F387,[2]怪物强度模型!$A:$A,0)-1,0)</f>
        <v>#VALUE!</v>
      </c>
      <c r="S387" s="46" t="e">
        <f ca="1">OFFSET([2]怪物强度模型!$O$1,MATCH(F387,[2]怪物强度模型!$A:$A,0)-1,0)</f>
        <v>#VALUE!</v>
      </c>
      <c r="T387" s="47" t="e">
        <f ca="1" t="shared" si="106"/>
        <v>#VALUE!</v>
      </c>
      <c r="U387" s="47" t="e">
        <f ca="1">Q387+N387*$V$1/10000+$V$1*OFFSET(卡牌辅助配置表!$V$1,MATCH(C387,卡牌辅助配置表!U:U,0)-1,0)*5*P387/10000/10000+M387*$V$1/10000</f>
        <v>#VALUE!</v>
      </c>
      <c r="V387" s="46" t="e">
        <f ca="1">OFFSET([2]怪物强度模型!$I$1,MATCH(F387,[2]怪物强度模型!$A:$A,0)-1,0)</f>
        <v>#VALUE!</v>
      </c>
      <c r="W387" s="47">
        <f t="shared" si="97"/>
        <v>1.87</v>
      </c>
      <c r="X387" s="47">
        <f t="shared" si="98"/>
        <v>1.56</v>
      </c>
    </row>
    <row r="388" spans="1:24">
      <c r="A388" s="45">
        <f t="shared" si="100"/>
        <v>2539</v>
      </c>
      <c r="B388" s="45" t="s">
        <v>2793</v>
      </c>
      <c r="C388" s="45">
        <v>2</v>
      </c>
      <c r="D388" s="45">
        <v>539</v>
      </c>
      <c r="F388" s="46">
        <f t="shared" si="101"/>
        <v>2024</v>
      </c>
      <c r="G388" s="45">
        <f>G378+0.1</f>
        <v>3.9</v>
      </c>
      <c r="H388" s="45">
        <v>6</v>
      </c>
      <c r="I388" s="46">
        <v>10</v>
      </c>
      <c r="J388" s="46">
        <v>20</v>
      </c>
      <c r="K388" s="46" t="e">
        <f ca="1" t="shared" si="102"/>
        <v>#VALUE!</v>
      </c>
      <c r="L388" s="46" t="e">
        <f ca="1" t="shared" si="103"/>
        <v>#VALUE!</v>
      </c>
      <c r="M388" s="46" t="e">
        <f ca="1" t="shared" si="105"/>
        <v>#VALUE!</v>
      </c>
      <c r="N388" s="46" t="e">
        <f ca="1" t="shared" si="109"/>
        <v>#VALUE!</v>
      </c>
      <c r="O388" s="46">
        <v>45</v>
      </c>
      <c r="P388" s="46">
        <f t="shared" si="107"/>
        <v>24</v>
      </c>
      <c r="Q388" s="46" t="e">
        <f ca="1" t="shared" si="99"/>
        <v>#VALUE!</v>
      </c>
      <c r="R388" s="46" t="e">
        <f ca="1">OFFSET([2]怪物强度模型!$K$1,MATCH(F388,[2]怪物强度模型!$A:$A,0)-1,0)</f>
        <v>#VALUE!</v>
      </c>
      <c r="S388" s="46" t="e">
        <f ca="1">OFFSET([2]怪物强度模型!$O$1,MATCH(F388,[2]怪物强度模型!$A:$A,0)-1,0)</f>
        <v>#VALUE!</v>
      </c>
      <c r="T388" s="47" t="e">
        <f ca="1" t="shared" si="106"/>
        <v>#VALUE!</v>
      </c>
      <c r="U388" s="47" t="e">
        <f ca="1">Q388+N388*$V$1/10000+$V$1*OFFSET(卡牌辅助配置表!$V$1,MATCH(C388,卡牌辅助配置表!U:U,0)-1,0)*5*P388/10000/10000+M388*$V$1/10000</f>
        <v>#VALUE!</v>
      </c>
      <c r="V388" s="46" t="e">
        <f ca="1">OFFSET([2]怪物强度模型!$I$1,MATCH(F388,[2]怪物强度模型!$A:$A,0)-1,0)</f>
        <v>#VALUE!</v>
      </c>
      <c r="W388" s="47">
        <f t="shared" ref="W388:W451" si="110">W378+0.05</f>
        <v>2</v>
      </c>
      <c r="X388" s="47">
        <f t="shared" ref="X388:X448" si="111">X378+0.02</f>
        <v>1.56</v>
      </c>
    </row>
    <row r="389" spans="1:24">
      <c r="A389" s="45">
        <f t="shared" si="100"/>
        <v>2540</v>
      </c>
      <c r="B389" s="45" t="s">
        <v>2793</v>
      </c>
      <c r="C389" s="45">
        <v>2</v>
      </c>
      <c r="D389" s="45">
        <v>540</v>
      </c>
      <c r="F389" s="46">
        <f t="shared" si="101"/>
        <v>2025</v>
      </c>
      <c r="G389" s="45">
        <f t="shared" si="108"/>
        <v>3.04999999999999</v>
      </c>
      <c r="H389" s="45">
        <v>6</v>
      </c>
      <c r="I389" s="46">
        <v>10</v>
      </c>
      <c r="J389" s="46">
        <v>20</v>
      </c>
      <c r="K389" s="46" t="e">
        <f ca="1" t="shared" si="102"/>
        <v>#VALUE!</v>
      </c>
      <c r="L389" s="46" t="e">
        <f ca="1" t="shared" si="103"/>
        <v>#VALUE!</v>
      </c>
      <c r="M389" s="46" t="e">
        <f ca="1" t="shared" si="105"/>
        <v>#VALUE!</v>
      </c>
      <c r="N389" s="46" t="e">
        <f ca="1" t="shared" si="109"/>
        <v>#VALUE!</v>
      </c>
      <c r="O389" s="46">
        <v>46</v>
      </c>
      <c r="P389" s="46">
        <f t="shared" si="107"/>
        <v>25</v>
      </c>
      <c r="Q389" s="46" t="e">
        <f ca="1" t="shared" si="99"/>
        <v>#VALUE!</v>
      </c>
      <c r="R389" s="46" t="e">
        <f ca="1">OFFSET([2]怪物强度模型!$K$1,MATCH(F389,[2]怪物强度模型!$A:$A,0)-1,0)</f>
        <v>#VALUE!</v>
      </c>
      <c r="S389" s="46" t="e">
        <f ca="1">OFFSET([2]怪物强度模型!$O$1,MATCH(F389,[2]怪物强度模型!$A:$A,0)-1,0)</f>
        <v>#VALUE!</v>
      </c>
      <c r="T389" s="47" t="e">
        <f ca="1" t="shared" si="106"/>
        <v>#VALUE!</v>
      </c>
      <c r="U389" s="47" t="e">
        <f ca="1">Q389+N389*$V$1/10000+$V$1*OFFSET(卡牌辅助配置表!$V$1,MATCH(C389,卡牌辅助配置表!U:U,0)-1,0)*5*P389/10000/10000+M389*$V$1/10000</f>
        <v>#VALUE!</v>
      </c>
      <c r="V389" s="46" t="e">
        <f ca="1">OFFSET([2]怪物强度模型!$I$1,MATCH(F389,[2]怪物强度模型!$A:$A,0)-1,0)</f>
        <v>#VALUE!</v>
      </c>
      <c r="W389" s="47">
        <f t="shared" si="110"/>
        <v>1.9</v>
      </c>
      <c r="X389" s="47">
        <f t="shared" si="111"/>
        <v>1.58</v>
      </c>
    </row>
    <row r="390" spans="1:24">
      <c r="A390" s="45">
        <f t="shared" si="100"/>
        <v>2541</v>
      </c>
      <c r="B390" s="45" t="s">
        <v>2793</v>
      </c>
      <c r="C390" s="45">
        <v>2</v>
      </c>
      <c r="D390" s="45">
        <v>541</v>
      </c>
      <c r="F390" s="46">
        <f t="shared" si="101"/>
        <v>2025</v>
      </c>
      <c r="G390" s="45">
        <f t="shared" si="108"/>
        <v>3.1</v>
      </c>
      <c r="H390" s="45">
        <v>6</v>
      </c>
      <c r="I390" s="46">
        <v>10</v>
      </c>
      <c r="J390" s="46">
        <v>20</v>
      </c>
      <c r="K390" s="46" t="e">
        <f ca="1" t="shared" si="102"/>
        <v>#VALUE!</v>
      </c>
      <c r="L390" s="46" t="e">
        <f ca="1" t="shared" si="103"/>
        <v>#VALUE!</v>
      </c>
      <c r="M390" s="46" t="e">
        <f ca="1" t="shared" si="105"/>
        <v>#VALUE!</v>
      </c>
      <c r="N390" s="46" t="e">
        <f ca="1" t="shared" si="109"/>
        <v>#VALUE!</v>
      </c>
      <c r="O390" s="46">
        <v>47</v>
      </c>
      <c r="P390" s="46">
        <f t="shared" si="107"/>
        <v>25</v>
      </c>
      <c r="Q390" s="46" t="e">
        <f ca="1" t="shared" si="99"/>
        <v>#VALUE!</v>
      </c>
      <c r="R390" s="46" t="e">
        <f ca="1">OFFSET([2]怪物强度模型!$K$1,MATCH(F390,[2]怪物强度模型!$A:$A,0)-1,0)</f>
        <v>#VALUE!</v>
      </c>
      <c r="S390" s="46" t="e">
        <f ca="1">OFFSET([2]怪物强度模型!$O$1,MATCH(F390,[2]怪物强度模型!$A:$A,0)-1,0)</f>
        <v>#VALUE!</v>
      </c>
      <c r="T390" s="47" t="e">
        <f ca="1" t="shared" si="106"/>
        <v>#VALUE!</v>
      </c>
      <c r="U390" s="47" t="e">
        <f ca="1">Q390+N390*$V$1/10000+$V$1*OFFSET(卡牌辅助配置表!$V$1,MATCH(C390,卡牌辅助配置表!U:U,0)-1,0)*5*P390/10000/10000+M390*$V$1/10000</f>
        <v>#VALUE!</v>
      </c>
      <c r="V390" s="46" t="e">
        <f ca="1">OFFSET([2]怪物强度模型!$I$1,MATCH(F390,[2]怪物强度模型!$A:$A,0)-1,0)</f>
        <v>#VALUE!</v>
      </c>
      <c r="W390" s="47">
        <f t="shared" si="110"/>
        <v>1.9</v>
      </c>
      <c r="X390" s="47">
        <f t="shared" si="111"/>
        <v>1.58</v>
      </c>
    </row>
    <row r="391" spans="1:24">
      <c r="A391" s="45">
        <f t="shared" si="100"/>
        <v>2542</v>
      </c>
      <c r="B391" s="45" t="s">
        <v>2793</v>
      </c>
      <c r="C391" s="45">
        <v>2</v>
      </c>
      <c r="D391" s="45">
        <v>542</v>
      </c>
      <c r="F391" s="46">
        <f t="shared" si="101"/>
        <v>2025</v>
      </c>
      <c r="G391" s="45">
        <f t="shared" si="108"/>
        <v>3.14999999999999</v>
      </c>
      <c r="H391" s="45">
        <v>6</v>
      </c>
      <c r="I391" s="46">
        <v>10</v>
      </c>
      <c r="J391" s="46">
        <v>20</v>
      </c>
      <c r="K391" s="46" t="e">
        <f ca="1" t="shared" si="102"/>
        <v>#VALUE!</v>
      </c>
      <c r="L391" s="46" t="e">
        <f ca="1" t="shared" si="103"/>
        <v>#VALUE!</v>
      </c>
      <c r="M391" s="46" t="e">
        <f ca="1" t="shared" si="105"/>
        <v>#VALUE!</v>
      </c>
      <c r="N391" s="46" t="e">
        <f ca="1" t="shared" si="109"/>
        <v>#VALUE!</v>
      </c>
      <c r="O391" s="46">
        <v>48</v>
      </c>
      <c r="P391" s="46">
        <f t="shared" si="107"/>
        <v>25</v>
      </c>
      <c r="Q391" s="46" t="e">
        <f ca="1" t="shared" ref="Q391:Q454" si="112">G391*(R391+S391-N391)*V391</f>
        <v>#VALUE!</v>
      </c>
      <c r="R391" s="46" t="e">
        <f ca="1">OFFSET([2]怪物强度模型!$K$1,MATCH(F391,[2]怪物强度模型!$A:$A,0)-1,0)</f>
        <v>#VALUE!</v>
      </c>
      <c r="S391" s="46" t="e">
        <f ca="1">OFFSET([2]怪物强度模型!$O$1,MATCH(F391,[2]怪物强度模型!$A:$A,0)-1,0)</f>
        <v>#VALUE!</v>
      </c>
      <c r="T391" s="47" t="e">
        <f ca="1" t="shared" si="106"/>
        <v>#VALUE!</v>
      </c>
      <c r="U391" s="47" t="e">
        <f ca="1">Q391+N391*$V$1/10000+$V$1*OFFSET(卡牌辅助配置表!$V$1,MATCH(C391,卡牌辅助配置表!U:U,0)-1,0)*5*P391/10000/10000+M391*$V$1/10000</f>
        <v>#VALUE!</v>
      </c>
      <c r="V391" s="46" t="e">
        <f ca="1">OFFSET([2]怪物强度模型!$I$1,MATCH(F391,[2]怪物强度模型!$A:$A,0)-1,0)</f>
        <v>#VALUE!</v>
      </c>
      <c r="W391" s="47">
        <f t="shared" si="110"/>
        <v>1.9</v>
      </c>
      <c r="X391" s="47">
        <f t="shared" si="111"/>
        <v>1.58</v>
      </c>
    </row>
    <row r="392" spans="1:24">
      <c r="A392" s="45">
        <f t="shared" si="100"/>
        <v>2543</v>
      </c>
      <c r="B392" s="45" t="s">
        <v>2793</v>
      </c>
      <c r="C392" s="45">
        <v>2</v>
      </c>
      <c r="D392" s="45">
        <v>543</v>
      </c>
      <c r="F392" s="46">
        <f t="shared" si="101"/>
        <v>2025</v>
      </c>
      <c r="G392" s="45">
        <f t="shared" si="108"/>
        <v>3.2</v>
      </c>
      <c r="H392" s="45">
        <v>6</v>
      </c>
      <c r="I392" s="46">
        <v>10</v>
      </c>
      <c r="J392" s="46">
        <v>20</v>
      </c>
      <c r="K392" s="46" t="e">
        <f ca="1" t="shared" si="102"/>
        <v>#VALUE!</v>
      </c>
      <c r="L392" s="46" t="e">
        <f ca="1" t="shared" si="103"/>
        <v>#VALUE!</v>
      </c>
      <c r="M392" s="46" t="e">
        <f ca="1" t="shared" si="105"/>
        <v>#VALUE!</v>
      </c>
      <c r="N392" s="46" t="e">
        <f ca="1" t="shared" si="109"/>
        <v>#VALUE!</v>
      </c>
      <c r="O392" s="46">
        <v>49</v>
      </c>
      <c r="P392" s="46">
        <f t="shared" si="107"/>
        <v>25</v>
      </c>
      <c r="Q392" s="46" t="e">
        <f ca="1" t="shared" si="112"/>
        <v>#VALUE!</v>
      </c>
      <c r="R392" s="46" t="e">
        <f ca="1">OFFSET([2]怪物强度模型!$K$1,MATCH(F392,[2]怪物强度模型!$A:$A,0)-1,0)</f>
        <v>#VALUE!</v>
      </c>
      <c r="S392" s="46" t="e">
        <f ca="1">OFFSET([2]怪物强度模型!$O$1,MATCH(F392,[2]怪物强度模型!$A:$A,0)-1,0)</f>
        <v>#VALUE!</v>
      </c>
      <c r="T392" s="47" t="e">
        <f ca="1" t="shared" si="106"/>
        <v>#VALUE!</v>
      </c>
      <c r="U392" s="47" t="e">
        <f ca="1">Q392+N392*$V$1/10000+$V$1*OFFSET(卡牌辅助配置表!$V$1,MATCH(C392,卡牌辅助配置表!U:U,0)-1,0)*5*P392/10000/10000+M392*$V$1/10000</f>
        <v>#VALUE!</v>
      </c>
      <c r="V392" s="46" t="e">
        <f ca="1">OFFSET([2]怪物强度模型!$I$1,MATCH(F392,[2]怪物强度模型!$A:$A,0)-1,0)</f>
        <v>#VALUE!</v>
      </c>
      <c r="W392" s="47">
        <f t="shared" si="110"/>
        <v>1.91</v>
      </c>
      <c r="X392" s="47">
        <f t="shared" si="111"/>
        <v>1.58</v>
      </c>
    </row>
    <row r="393" spans="1:24">
      <c r="A393" s="45">
        <f t="shared" si="100"/>
        <v>2544</v>
      </c>
      <c r="B393" s="45" t="s">
        <v>2793</v>
      </c>
      <c r="C393" s="45">
        <v>2</v>
      </c>
      <c r="D393" s="45">
        <v>544</v>
      </c>
      <c r="F393" s="46">
        <f t="shared" si="101"/>
        <v>2025</v>
      </c>
      <c r="G393" s="45">
        <f t="shared" si="108"/>
        <v>3.93</v>
      </c>
      <c r="H393" s="45">
        <v>6</v>
      </c>
      <c r="I393" s="46">
        <v>10</v>
      </c>
      <c r="J393" s="46">
        <v>20</v>
      </c>
      <c r="K393" s="46" t="e">
        <f ca="1" t="shared" si="102"/>
        <v>#VALUE!</v>
      </c>
      <c r="L393" s="46" t="e">
        <f ca="1" t="shared" si="103"/>
        <v>#VALUE!</v>
      </c>
      <c r="M393" s="46" t="e">
        <f ca="1" t="shared" si="105"/>
        <v>#VALUE!</v>
      </c>
      <c r="N393" s="46" t="e">
        <f ca="1" t="shared" si="109"/>
        <v>#VALUE!</v>
      </c>
      <c r="O393" s="46">
        <v>50</v>
      </c>
      <c r="P393" s="46">
        <f t="shared" si="107"/>
        <v>25</v>
      </c>
      <c r="Q393" s="46" t="e">
        <f ca="1" t="shared" si="112"/>
        <v>#VALUE!</v>
      </c>
      <c r="R393" s="46" t="e">
        <f ca="1">OFFSET([2]怪物强度模型!$K$1,MATCH(F393,[2]怪物强度模型!$A:$A,0)-1,0)</f>
        <v>#VALUE!</v>
      </c>
      <c r="S393" s="46" t="e">
        <f ca="1">OFFSET([2]怪物强度模型!$O$1,MATCH(F393,[2]怪物强度模型!$A:$A,0)-1,0)</f>
        <v>#VALUE!</v>
      </c>
      <c r="T393" s="47" t="e">
        <f ca="1" t="shared" si="106"/>
        <v>#VALUE!</v>
      </c>
      <c r="U393" s="47" t="e">
        <f ca="1">Q393+N393*$V$1/10000+$V$1*OFFSET(卡牌辅助配置表!$V$1,MATCH(C393,卡牌辅助配置表!U:U,0)-1,0)*5*P393/10000/10000+M393*$V$1/10000</f>
        <v>#VALUE!</v>
      </c>
      <c r="V393" s="46" t="e">
        <f ca="1">OFFSET([2]怪物强度模型!$I$1,MATCH(F393,[2]怪物强度模型!$A:$A,0)-1,0)</f>
        <v>#VALUE!</v>
      </c>
      <c r="W393" s="47">
        <f t="shared" si="110"/>
        <v>1.91</v>
      </c>
      <c r="X393" s="47">
        <f t="shared" si="111"/>
        <v>1.58</v>
      </c>
    </row>
    <row r="394" spans="1:24">
      <c r="A394" s="45">
        <f t="shared" si="100"/>
        <v>2545</v>
      </c>
      <c r="B394" s="45" t="s">
        <v>2793</v>
      </c>
      <c r="C394" s="45">
        <v>2</v>
      </c>
      <c r="D394" s="45">
        <v>545</v>
      </c>
      <c r="F394" s="46">
        <f t="shared" si="101"/>
        <v>2025</v>
      </c>
      <c r="G394" s="45">
        <f t="shared" si="108"/>
        <v>3.07999999999999</v>
      </c>
      <c r="H394" s="45">
        <v>6</v>
      </c>
      <c r="I394" s="46">
        <v>10</v>
      </c>
      <c r="J394" s="46">
        <v>20</v>
      </c>
      <c r="K394" s="46" t="e">
        <f ca="1" t="shared" si="102"/>
        <v>#VALUE!</v>
      </c>
      <c r="L394" s="46" t="e">
        <f ca="1" t="shared" si="103"/>
        <v>#VALUE!</v>
      </c>
      <c r="M394" s="46" t="e">
        <f ca="1" t="shared" si="105"/>
        <v>#VALUE!</v>
      </c>
      <c r="N394" s="46" t="e">
        <f ca="1" t="shared" si="109"/>
        <v>#VALUE!</v>
      </c>
      <c r="O394" s="46">
        <v>51</v>
      </c>
      <c r="P394" s="46">
        <f t="shared" si="107"/>
        <v>25</v>
      </c>
      <c r="Q394" s="46" t="e">
        <f ca="1" t="shared" si="112"/>
        <v>#VALUE!</v>
      </c>
      <c r="R394" s="46" t="e">
        <f ca="1">OFFSET([2]怪物强度模型!$K$1,MATCH(F394,[2]怪物强度模型!$A:$A,0)-1,0)</f>
        <v>#VALUE!</v>
      </c>
      <c r="S394" s="46" t="e">
        <f ca="1">OFFSET([2]怪物强度模型!$O$1,MATCH(F394,[2]怪物强度模型!$A:$A,0)-1,0)</f>
        <v>#VALUE!</v>
      </c>
      <c r="T394" s="47" t="e">
        <f ca="1" t="shared" si="106"/>
        <v>#VALUE!</v>
      </c>
      <c r="U394" s="47" t="e">
        <f ca="1">Q394+N394*$V$1/10000+$V$1*OFFSET(卡牌辅助配置表!$V$1,MATCH(C394,卡牌辅助配置表!U:U,0)-1,0)*5*P394/10000/10000+M394*$V$1/10000</f>
        <v>#VALUE!</v>
      </c>
      <c r="V394" s="46" t="e">
        <f ca="1">OFFSET([2]怪物强度模型!$I$1,MATCH(F394,[2]怪物强度模型!$A:$A,0)-1,0)</f>
        <v>#VALUE!</v>
      </c>
      <c r="W394" s="47">
        <f t="shared" si="110"/>
        <v>1.91</v>
      </c>
      <c r="X394" s="47">
        <f t="shared" si="111"/>
        <v>1.58</v>
      </c>
    </row>
    <row r="395" spans="1:24">
      <c r="A395" s="45">
        <f t="shared" si="100"/>
        <v>2546</v>
      </c>
      <c r="B395" s="45" t="s">
        <v>2793</v>
      </c>
      <c r="C395" s="45">
        <v>2</v>
      </c>
      <c r="D395" s="45">
        <v>546</v>
      </c>
      <c r="F395" s="46">
        <f t="shared" si="101"/>
        <v>2025</v>
      </c>
      <c r="G395" s="45">
        <f t="shared" si="108"/>
        <v>3.12999999999999</v>
      </c>
      <c r="H395" s="45">
        <v>6</v>
      </c>
      <c r="I395" s="46">
        <v>10</v>
      </c>
      <c r="J395" s="46">
        <v>20</v>
      </c>
      <c r="K395" s="46" t="e">
        <f ca="1" t="shared" si="102"/>
        <v>#VALUE!</v>
      </c>
      <c r="L395" s="46" t="e">
        <f ca="1" t="shared" si="103"/>
        <v>#VALUE!</v>
      </c>
      <c r="M395" s="46" t="e">
        <f ca="1" t="shared" si="105"/>
        <v>#VALUE!</v>
      </c>
      <c r="N395" s="46" t="e">
        <f ca="1" t="shared" si="109"/>
        <v>#VALUE!</v>
      </c>
      <c r="O395" s="46">
        <v>52</v>
      </c>
      <c r="P395" s="46">
        <f t="shared" si="107"/>
        <v>25</v>
      </c>
      <c r="Q395" s="46" t="e">
        <f ca="1" t="shared" si="112"/>
        <v>#VALUE!</v>
      </c>
      <c r="R395" s="46" t="e">
        <f ca="1">OFFSET([2]怪物强度模型!$K$1,MATCH(F395,[2]怪物强度模型!$A:$A,0)-1,0)</f>
        <v>#VALUE!</v>
      </c>
      <c r="S395" s="46" t="e">
        <f ca="1">OFFSET([2]怪物强度模型!$O$1,MATCH(F395,[2]怪物强度模型!$A:$A,0)-1,0)</f>
        <v>#VALUE!</v>
      </c>
      <c r="T395" s="47" t="e">
        <f ca="1" t="shared" si="106"/>
        <v>#VALUE!</v>
      </c>
      <c r="U395" s="47" t="e">
        <f ca="1">Q395+N395*$V$1/10000+$V$1*OFFSET(卡牌辅助配置表!$V$1,MATCH(C395,卡牌辅助配置表!U:U,0)-1,0)*5*P395/10000/10000+M395*$V$1/10000</f>
        <v>#VALUE!</v>
      </c>
      <c r="V395" s="46" t="e">
        <f ca="1">OFFSET([2]怪物强度模型!$I$1,MATCH(F395,[2]怪物强度模型!$A:$A,0)-1,0)</f>
        <v>#VALUE!</v>
      </c>
      <c r="W395" s="47">
        <f t="shared" si="110"/>
        <v>1.92</v>
      </c>
      <c r="X395" s="47">
        <f t="shared" si="111"/>
        <v>1.58</v>
      </c>
    </row>
    <row r="396" spans="1:24">
      <c r="A396" s="45">
        <f t="shared" si="100"/>
        <v>2547</v>
      </c>
      <c r="B396" s="45" t="s">
        <v>2793</v>
      </c>
      <c r="C396" s="45">
        <v>2</v>
      </c>
      <c r="D396" s="45">
        <v>547</v>
      </c>
      <c r="F396" s="46">
        <f t="shared" si="101"/>
        <v>2025</v>
      </c>
      <c r="G396" s="45">
        <f t="shared" si="108"/>
        <v>3.17999999999999</v>
      </c>
      <c r="H396" s="45">
        <v>6</v>
      </c>
      <c r="I396" s="46">
        <v>10</v>
      </c>
      <c r="J396" s="46">
        <v>20</v>
      </c>
      <c r="K396" s="46" t="e">
        <f ca="1" t="shared" si="102"/>
        <v>#VALUE!</v>
      </c>
      <c r="L396" s="46" t="e">
        <f ca="1" t="shared" si="103"/>
        <v>#VALUE!</v>
      </c>
      <c r="M396" s="46" t="e">
        <f ca="1" t="shared" si="105"/>
        <v>#VALUE!</v>
      </c>
      <c r="N396" s="46" t="e">
        <f ca="1" t="shared" si="109"/>
        <v>#VALUE!</v>
      </c>
      <c r="O396" s="46">
        <v>53</v>
      </c>
      <c r="P396" s="46">
        <f t="shared" si="107"/>
        <v>25</v>
      </c>
      <c r="Q396" s="46" t="e">
        <f ca="1" t="shared" si="112"/>
        <v>#VALUE!</v>
      </c>
      <c r="R396" s="46" t="e">
        <f ca="1">OFFSET([2]怪物强度模型!$K$1,MATCH(F396,[2]怪物强度模型!$A:$A,0)-1,0)</f>
        <v>#VALUE!</v>
      </c>
      <c r="S396" s="46" t="e">
        <f ca="1">OFFSET([2]怪物强度模型!$O$1,MATCH(F396,[2]怪物强度模型!$A:$A,0)-1,0)</f>
        <v>#VALUE!</v>
      </c>
      <c r="T396" s="47" t="e">
        <f ca="1" t="shared" si="106"/>
        <v>#VALUE!</v>
      </c>
      <c r="U396" s="47" t="e">
        <f ca="1">Q396+N396*$V$1/10000+$V$1*OFFSET(卡牌辅助配置表!$V$1,MATCH(C396,卡牌辅助配置表!U:U,0)-1,0)*5*P396/10000/10000+M396*$V$1/10000</f>
        <v>#VALUE!</v>
      </c>
      <c r="V396" s="46" t="e">
        <f ca="1">OFFSET([2]怪物强度模型!$I$1,MATCH(F396,[2]怪物强度模型!$A:$A,0)-1,0)</f>
        <v>#VALUE!</v>
      </c>
      <c r="W396" s="47">
        <f t="shared" si="110"/>
        <v>1.92</v>
      </c>
      <c r="X396" s="47">
        <f t="shared" si="111"/>
        <v>1.58</v>
      </c>
    </row>
    <row r="397" spans="1:24">
      <c r="A397" s="45">
        <f t="shared" si="100"/>
        <v>2548</v>
      </c>
      <c r="B397" s="45" t="s">
        <v>2793</v>
      </c>
      <c r="C397" s="45">
        <v>2</v>
      </c>
      <c r="D397" s="45">
        <v>548</v>
      </c>
      <c r="F397" s="46">
        <f t="shared" si="101"/>
        <v>2025</v>
      </c>
      <c r="G397" s="45">
        <f t="shared" si="108"/>
        <v>3.22999999999999</v>
      </c>
      <c r="H397" s="45">
        <v>6</v>
      </c>
      <c r="I397" s="46">
        <v>10</v>
      </c>
      <c r="J397" s="46">
        <v>20</v>
      </c>
      <c r="K397" s="46" t="e">
        <f ca="1" t="shared" si="102"/>
        <v>#VALUE!</v>
      </c>
      <c r="L397" s="46" t="e">
        <f ca="1" t="shared" si="103"/>
        <v>#VALUE!</v>
      </c>
      <c r="M397" s="46" t="e">
        <f ca="1" t="shared" si="105"/>
        <v>#VALUE!</v>
      </c>
      <c r="N397" s="46" t="e">
        <f ca="1" t="shared" si="109"/>
        <v>#VALUE!</v>
      </c>
      <c r="O397" s="46">
        <v>54</v>
      </c>
      <c r="P397" s="46">
        <f t="shared" si="107"/>
        <v>25</v>
      </c>
      <c r="Q397" s="46" t="e">
        <f ca="1" t="shared" si="112"/>
        <v>#VALUE!</v>
      </c>
      <c r="R397" s="46" t="e">
        <f ca="1">OFFSET([2]怪物强度模型!$K$1,MATCH(F397,[2]怪物强度模型!$A:$A,0)-1,0)</f>
        <v>#VALUE!</v>
      </c>
      <c r="S397" s="46" t="e">
        <f ca="1">OFFSET([2]怪物强度模型!$O$1,MATCH(F397,[2]怪物强度模型!$A:$A,0)-1,0)</f>
        <v>#VALUE!</v>
      </c>
      <c r="T397" s="47" t="e">
        <f ca="1" t="shared" si="106"/>
        <v>#VALUE!</v>
      </c>
      <c r="U397" s="47" t="e">
        <f ca="1">Q397+N397*$V$1/10000+$V$1*OFFSET(卡牌辅助配置表!$V$1,MATCH(C397,卡牌辅助配置表!U:U,0)-1,0)*5*P397/10000/10000+M397*$V$1/10000</f>
        <v>#VALUE!</v>
      </c>
      <c r="V397" s="46" t="e">
        <f ca="1">OFFSET([2]怪物强度模型!$I$1,MATCH(F397,[2]怪物强度模型!$A:$A,0)-1,0)</f>
        <v>#VALUE!</v>
      </c>
      <c r="W397" s="47">
        <f t="shared" si="110"/>
        <v>1.92</v>
      </c>
      <c r="X397" s="47">
        <f t="shared" si="111"/>
        <v>1.58</v>
      </c>
    </row>
    <row r="398" spans="1:24">
      <c r="A398" s="45">
        <f t="shared" si="100"/>
        <v>2549</v>
      </c>
      <c r="B398" s="45" t="s">
        <v>2793</v>
      </c>
      <c r="C398" s="45">
        <v>2</v>
      </c>
      <c r="D398" s="45">
        <v>549</v>
      </c>
      <c r="F398" s="46">
        <f t="shared" si="101"/>
        <v>2025</v>
      </c>
      <c r="G398" s="45">
        <f>G388+0.1</f>
        <v>4</v>
      </c>
      <c r="H398" s="45">
        <v>6</v>
      </c>
      <c r="I398" s="46">
        <v>10</v>
      </c>
      <c r="J398" s="46">
        <v>20</v>
      </c>
      <c r="K398" s="46" t="e">
        <f ca="1" t="shared" si="102"/>
        <v>#VALUE!</v>
      </c>
      <c r="L398" s="46" t="e">
        <f ca="1" t="shared" si="103"/>
        <v>#VALUE!</v>
      </c>
      <c r="M398" s="46" t="e">
        <f ca="1" t="shared" si="105"/>
        <v>#VALUE!</v>
      </c>
      <c r="N398" s="46" t="e">
        <f ca="1" t="shared" si="109"/>
        <v>#VALUE!</v>
      </c>
      <c r="O398" s="46">
        <v>55</v>
      </c>
      <c r="P398" s="46">
        <f t="shared" si="107"/>
        <v>25</v>
      </c>
      <c r="Q398" s="46" t="e">
        <f ca="1" t="shared" si="112"/>
        <v>#VALUE!</v>
      </c>
      <c r="R398" s="46" t="e">
        <f ca="1">OFFSET([2]怪物强度模型!$K$1,MATCH(F398,[2]怪物强度模型!$A:$A,0)-1,0)</f>
        <v>#VALUE!</v>
      </c>
      <c r="S398" s="46" t="e">
        <f ca="1">OFFSET([2]怪物强度模型!$O$1,MATCH(F398,[2]怪物强度模型!$A:$A,0)-1,0)</f>
        <v>#VALUE!</v>
      </c>
      <c r="T398" s="47" t="e">
        <f ca="1" t="shared" si="106"/>
        <v>#VALUE!</v>
      </c>
      <c r="U398" s="47" t="e">
        <f ca="1">Q398+N398*$V$1/10000+$V$1*OFFSET(卡牌辅助配置表!$V$1,MATCH(C398,卡牌辅助配置表!U:U,0)-1,0)*5*P398/10000/10000+M398*$V$1/10000</f>
        <v>#VALUE!</v>
      </c>
      <c r="V398" s="46" t="e">
        <f ca="1">OFFSET([2]怪物强度模型!$I$1,MATCH(F398,[2]怪物强度模型!$A:$A,0)-1,0)</f>
        <v>#VALUE!</v>
      </c>
      <c r="W398" s="47">
        <f t="shared" si="110"/>
        <v>2.05</v>
      </c>
      <c r="X398" s="47">
        <f t="shared" si="111"/>
        <v>1.58</v>
      </c>
    </row>
    <row r="399" spans="1:24">
      <c r="A399" s="45">
        <f t="shared" si="100"/>
        <v>2550</v>
      </c>
      <c r="B399" s="45" t="s">
        <v>2793</v>
      </c>
      <c r="C399" s="45">
        <v>2</v>
      </c>
      <c r="D399" s="45">
        <v>550</v>
      </c>
      <c r="F399" s="46">
        <f t="shared" si="101"/>
        <v>2026</v>
      </c>
      <c r="G399" s="45">
        <f t="shared" si="108"/>
        <v>3.10999999999999</v>
      </c>
      <c r="H399" s="45">
        <v>6</v>
      </c>
      <c r="I399" s="46">
        <v>10</v>
      </c>
      <c r="J399" s="46">
        <v>20</v>
      </c>
      <c r="K399" s="46" t="e">
        <f ca="1" t="shared" si="102"/>
        <v>#VALUE!</v>
      </c>
      <c r="L399" s="46" t="e">
        <f ca="1" t="shared" si="103"/>
        <v>#VALUE!</v>
      </c>
      <c r="M399" s="46" t="e">
        <f ca="1" t="shared" si="105"/>
        <v>#VALUE!</v>
      </c>
      <c r="N399" s="46" t="e">
        <f ca="1" t="shared" si="109"/>
        <v>#VALUE!</v>
      </c>
      <c r="O399" s="46">
        <v>56</v>
      </c>
      <c r="P399" s="46">
        <f t="shared" si="107"/>
        <v>26</v>
      </c>
      <c r="Q399" s="46" t="e">
        <f ca="1" t="shared" si="112"/>
        <v>#VALUE!</v>
      </c>
      <c r="R399" s="46" t="e">
        <f ca="1">OFFSET([2]怪物强度模型!$K$1,MATCH(F399,[2]怪物强度模型!$A:$A,0)-1,0)</f>
        <v>#VALUE!</v>
      </c>
      <c r="S399" s="46" t="e">
        <f ca="1">OFFSET([2]怪物强度模型!$O$1,MATCH(F399,[2]怪物强度模型!$A:$A,0)-1,0)</f>
        <v>#VALUE!</v>
      </c>
      <c r="T399" s="47" t="e">
        <f ca="1" t="shared" si="106"/>
        <v>#VALUE!</v>
      </c>
      <c r="U399" s="47" t="e">
        <f ca="1">Q399+N399*$V$1/10000+$V$1*OFFSET(卡牌辅助配置表!$V$1,MATCH(C399,卡牌辅助配置表!U:U,0)-1,0)*5*P399/10000/10000+M399*$V$1/10000</f>
        <v>#VALUE!</v>
      </c>
      <c r="V399" s="46" t="e">
        <f ca="1">OFFSET([2]怪物强度模型!$I$1,MATCH(F399,[2]怪物强度模型!$A:$A,0)-1,0)</f>
        <v>#VALUE!</v>
      </c>
      <c r="W399" s="47">
        <f t="shared" si="110"/>
        <v>1.95</v>
      </c>
      <c r="X399" s="47">
        <f t="shared" si="111"/>
        <v>1.6</v>
      </c>
    </row>
    <row r="400" spans="1:24">
      <c r="A400" s="45">
        <f t="shared" si="100"/>
        <v>2551</v>
      </c>
      <c r="B400" s="45" t="s">
        <v>2793</v>
      </c>
      <c r="C400" s="45">
        <v>2</v>
      </c>
      <c r="D400" s="45">
        <v>551</v>
      </c>
      <c r="F400" s="46">
        <f t="shared" si="101"/>
        <v>2026</v>
      </c>
      <c r="G400" s="45">
        <f t="shared" si="108"/>
        <v>3.15999999999999</v>
      </c>
      <c r="H400" s="45">
        <v>6</v>
      </c>
      <c r="I400" s="46">
        <v>10</v>
      </c>
      <c r="J400" s="46">
        <v>20</v>
      </c>
      <c r="K400" s="46" t="e">
        <f ca="1" t="shared" si="102"/>
        <v>#VALUE!</v>
      </c>
      <c r="L400" s="46" t="e">
        <f ca="1" t="shared" si="103"/>
        <v>#VALUE!</v>
      </c>
      <c r="M400" s="46" t="e">
        <f ca="1" t="shared" si="105"/>
        <v>#VALUE!</v>
      </c>
      <c r="N400" s="46" t="e">
        <f ca="1" t="shared" si="109"/>
        <v>#VALUE!</v>
      </c>
      <c r="O400" s="46">
        <v>57</v>
      </c>
      <c r="P400" s="46">
        <f t="shared" si="107"/>
        <v>26</v>
      </c>
      <c r="Q400" s="46" t="e">
        <f ca="1" t="shared" si="112"/>
        <v>#VALUE!</v>
      </c>
      <c r="R400" s="46" t="e">
        <f ca="1">OFFSET([2]怪物强度模型!$K$1,MATCH(F400,[2]怪物强度模型!$A:$A,0)-1,0)</f>
        <v>#VALUE!</v>
      </c>
      <c r="S400" s="46" t="e">
        <f ca="1">OFFSET([2]怪物强度模型!$O$1,MATCH(F400,[2]怪物强度模型!$A:$A,0)-1,0)</f>
        <v>#VALUE!</v>
      </c>
      <c r="T400" s="47" t="e">
        <f ca="1" t="shared" si="106"/>
        <v>#VALUE!</v>
      </c>
      <c r="U400" s="47" t="e">
        <f ca="1">Q400+N400*$V$1/10000+$V$1*OFFSET(卡牌辅助配置表!$V$1,MATCH(C400,卡牌辅助配置表!U:U,0)-1,0)*5*P400/10000/10000+M400*$V$1/10000</f>
        <v>#VALUE!</v>
      </c>
      <c r="V400" s="46" t="e">
        <f ca="1">OFFSET([2]怪物强度模型!$I$1,MATCH(F400,[2]怪物强度模型!$A:$A,0)-1,0)</f>
        <v>#VALUE!</v>
      </c>
      <c r="W400" s="47">
        <f t="shared" si="110"/>
        <v>1.95</v>
      </c>
      <c r="X400" s="47">
        <f t="shared" si="111"/>
        <v>1.6</v>
      </c>
    </row>
    <row r="401" spans="1:24">
      <c r="A401" s="45">
        <f t="shared" si="100"/>
        <v>2552</v>
      </c>
      <c r="B401" s="45" t="s">
        <v>2793</v>
      </c>
      <c r="C401" s="45">
        <v>2</v>
      </c>
      <c r="D401" s="45">
        <v>552</v>
      </c>
      <c r="F401" s="46">
        <f t="shared" si="101"/>
        <v>2026</v>
      </c>
      <c r="G401" s="45">
        <f t="shared" si="108"/>
        <v>3.20999999999999</v>
      </c>
      <c r="H401" s="45">
        <v>6</v>
      </c>
      <c r="I401" s="46">
        <v>10</v>
      </c>
      <c r="J401" s="46">
        <v>20</v>
      </c>
      <c r="K401" s="46" t="e">
        <f ca="1" t="shared" si="102"/>
        <v>#VALUE!</v>
      </c>
      <c r="L401" s="46" t="e">
        <f ca="1" t="shared" si="103"/>
        <v>#VALUE!</v>
      </c>
      <c r="M401" s="46" t="e">
        <f ca="1" t="shared" si="105"/>
        <v>#VALUE!</v>
      </c>
      <c r="N401" s="46" t="e">
        <f ca="1" t="shared" si="109"/>
        <v>#VALUE!</v>
      </c>
      <c r="O401" s="46">
        <v>58</v>
      </c>
      <c r="P401" s="46">
        <f t="shared" si="107"/>
        <v>26</v>
      </c>
      <c r="Q401" s="46" t="e">
        <f ca="1" t="shared" si="112"/>
        <v>#VALUE!</v>
      </c>
      <c r="R401" s="46" t="e">
        <f ca="1">OFFSET([2]怪物强度模型!$K$1,MATCH(F401,[2]怪物强度模型!$A:$A,0)-1,0)</f>
        <v>#VALUE!</v>
      </c>
      <c r="S401" s="46" t="e">
        <f ca="1">OFFSET([2]怪物强度模型!$O$1,MATCH(F401,[2]怪物强度模型!$A:$A,0)-1,0)</f>
        <v>#VALUE!</v>
      </c>
      <c r="T401" s="47" t="e">
        <f ca="1" t="shared" si="106"/>
        <v>#VALUE!</v>
      </c>
      <c r="U401" s="47" t="e">
        <f ca="1">Q401+N401*$V$1/10000+$V$1*OFFSET(卡牌辅助配置表!$V$1,MATCH(C401,卡牌辅助配置表!U:U,0)-1,0)*5*P401/10000/10000+M401*$V$1/10000</f>
        <v>#VALUE!</v>
      </c>
      <c r="V401" s="46" t="e">
        <f ca="1">OFFSET([2]怪物强度模型!$I$1,MATCH(F401,[2]怪物强度模型!$A:$A,0)-1,0)</f>
        <v>#VALUE!</v>
      </c>
      <c r="W401" s="47">
        <f t="shared" si="110"/>
        <v>1.95</v>
      </c>
      <c r="X401" s="47">
        <f t="shared" si="111"/>
        <v>1.6</v>
      </c>
    </row>
    <row r="402" spans="1:24">
      <c r="A402" s="45">
        <f t="shared" si="100"/>
        <v>2553</v>
      </c>
      <c r="B402" s="45" t="s">
        <v>2793</v>
      </c>
      <c r="C402" s="45">
        <v>2</v>
      </c>
      <c r="D402" s="45">
        <v>553</v>
      </c>
      <c r="F402" s="46">
        <f t="shared" si="101"/>
        <v>2026</v>
      </c>
      <c r="G402" s="45">
        <f t="shared" si="108"/>
        <v>3.25999999999999</v>
      </c>
      <c r="H402" s="45">
        <v>6</v>
      </c>
      <c r="I402" s="46">
        <v>10</v>
      </c>
      <c r="J402" s="46">
        <v>20</v>
      </c>
      <c r="K402" s="46" t="e">
        <f ca="1" t="shared" si="102"/>
        <v>#VALUE!</v>
      </c>
      <c r="L402" s="46" t="e">
        <f ca="1" t="shared" si="103"/>
        <v>#VALUE!</v>
      </c>
      <c r="M402" s="46" t="e">
        <f ca="1" t="shared" si="105"/>
        <v>#VALUE!</v>
      </c>
      <c r="N402" s="46" t="e">
        <f ca="1" t="shared" si="109"/>
        <v>#VALUE!</v>
      </c>
      <c r="O402" s="46">
        <v>59</v>
      </c>
      <c r="P402" s="46">
        <f t="shared" si="107"/>
        <v>26</v>
      </c>
      <c r="Q402" s="46" t="e">
        <f ca="1" t="shared" si="112"/>
        <v>#VALUE!</v>
      </c>
      <c r="R402" s="46" t="e">
        <f ca="1">OFFSET([2]怪物强度模型!$K$1,MATCH(F402,[2]怪物强度模型!$A:$A,0)-1,0)</f>
        <v>#VALUE!</v>
      </c>
      <c r="S402" s="46" t="e">
        <f ca="1">OFFSET([2]怪物强度模型!$O$1,MATCH(F402,[2]怪物强度模型!$A:$A,0)-1,0)</f>
        <v>#VALUE!</v>
      </c>
      <c r="T402" s="47" t="e">
        <f ca="1" t="shared" si="106"/>
        <v>#VALUE!</v>
      </c>
      <c r="U402" s="47" t="e">
        <f ca="1">Q402+N402*$V$1/10000+$V$1*OFFSET(卡牌辅助配置表!$V$1,MATCH(C402,卡牌辅助配置表!U:U,0)-1,0)*5*P402/10000/10000+M402*$V$1/10000</f>
        <v>#VALUE!</v>
      </c>
      <c r="V402" s="46" t="e">
        <f ca="1">OFFSET([2]怪物强度模型!$I$1,MATCH(F402,[2]怪物强度模型!$A:$A,0)-1,0)</f>
        <v>#VALUE!</v>
      </c>
      <c r="W402" s="47">
        <f t="shared" si="110"/>
        <v>1.96</v>
      </c>
      <c r="X402" s="47">
        <f t="shared" si="111"/>
        <v>1.6</v>
      </c>
    </row>
    <row r="403" spans="1:24">
      <c r="A403" s="45">
        <f t="shared" si="100"/>
        <v>2554</v>
      </c>
      <c r="B403" s="45" t="s">
        <v>2793</v>
      </c>
      <c r="C403" s="45">
        <v>2</v>
      </c>
      <c r="D403" s="45">
        <v>554</v>
      </c>
      <c r="F403" s="46">
        <f t="shared" si="101"/>
        <v>2026</v>
      </c>
      <c r="G403" s="45">
        <f t="shared" si="108"/>
        <v>4.03</v>
      </c>
      <c r="H403" s="45">
        <v>6</v>
      </c>
      <c r="I403" s="46">
        <v>10</v>
      </c>
      <c r="J403" s="46">
        <v>20</v>
      </c>
      <c r="K403" s="46" t="e">
        <f ca="1" t="shared" si="102"/>
        <v>#VALUE!</v>
      </c>
      <c r="L403" s="46" t="e">
        <f ca="1" t="shared" si="103"/>
        <v>#VALUE!</v>
      </c>
      <c r="M403" s="46" t="e">
        <f ca="1" t="shared" si="105"/>
        <v>#VALUE!</v>
      </c>
      <c r="N403" s="46" t="e">
        <f ca="1" t="shared" si="109"/>
        <v>#VALUE!</v>
      </c>
      <c r="O403" s="46">
        <v>60</v>
      </c>
      <c r="P403" s="46">
        <f t="shared" si="107"/>
        <v>26</v>
      </c>
      <c r="Q403" s="46" t="e">
        <f ca="1" t="shared" si="112"/>
        <v>#VALUE!</v>
      </c>
      <c r="R403" s="46" t="e">
        <f ca="1">OFFSET([2]怪物强度模型!$K$1,MATCH(F403,[2]怪物强度模型!$A:$A,0)-1,0)</f>
        <v>#VALUE!</v>
      </c>
      <c r="S403" s="46" t="e">
        <f ca="1">OFFSET([2]怪物强度模型!$O$1,MATCH(F403,[2]怪物强度模型!$A:$A,0)-1,0)</f>
        <v>#VALUE!</v>
      </c>
      <c r="T403" s="47" t="e">
        <f ca="1" t="shared" si="106"/>
        <v>#VALUE!</v>
      </c>
      <c r="U403" s="47" t="e">
        <f ca="1">Q403+N403*$V$1/10000+$V$1*OFFSET(卡牌辅助配置表!$V$1,MATCH(C403,卡牌辅助配置表!U:U,0)-1,0)*5*P403/10000/10000+M403*$V$1/10000</f>
        <v>#VALUE!</v>
      </c>
      <c r="V403" s="46" t="e">
        <f ca="1">OFFSET([2]怪物强度模型!$I$1,MATCH(F403,[2]怪物强度模型!$A:$A,0)-1,0)</f>
        <v>#VALUE!</v>
      </c>
      <c r="W403" s="47">
        <f t="shared" si="110"/>
        <v>1.96</v>
      </c>
      <c r="X403" s="47">
        <f t="shared" si="111"/>
        <v>1.6</v>
      </c>
    </row>
    <row r="404" spans="1:24">
      <c r="A404" s="45">
        <f t="shared" si="100"/>
        <v>2555</v>
      </c>
      <c r="B404" s="45" t="s">
        <v>2793</v>
      </c>
      <c r="C404" s="45">
        <v>2</v>
      </c>
      <c r="D404" s="45">
        <v>555</v>
      </c>
      <c r="F404" s="46">
        <f t="shared" si="101"/>
        <v>2026</v>
      </c>
      <c r="G404" s="45">
        <f t="shared" si="108"/>
        <v>3.13999999999999</v>
      </c>
      <c r="H404" s="45">
        <v>6</v>
      </c>
      <c r="I404" s="46">
        <v>10</v>
      </c>
      <c r="J404" s="46">
        <v>20</v>
      </c>
      <c r="K404" s="46" t="e">
        <f ca="1" t="shared" si="102"/>
        <v>#VALUE!</v>
      </c>
      <c r="L404" s="46" t="e">
        <f ca="1" t="shared" si="103"/>
        <v>#VALUE!</v>
      </c>
      <c r="M404" s="46" t="e">
        <f ca="1" t="shared" si="105"/>
        <v>#VALUE!</v>
      </c>
      <c r="N404" s="46" t="e">
        <f ca="1" t="shared" si="109"/>
        <v>#VALUE!</v>
      </c>
      <c r="O404" s="46">
        <v>61</v>
      </c>
      <c r="P404" s="46">
        <f t="shared" si="107"/>
        <v>26</v>
      </c>
      <c r="Q404" s="46" t="e">
        <f ca="1" t="shared" si="112"/>
        <v>#VALUE!</v>
      </c>
      <c r="R404" s="46" t="e">
        <f ca="1">OFFSET([2]怪物强度模型!$K$1,MATCH(F404,[2]怪物强度模型!$A:$A,0)-1,0)</f>
        <v>#VALUE!</v>
      </c>
      <c r="S404" s="46" t="e">
        <f ca="1">OFFSET([2]怪物强度模型!$O$1,MATCH(F404,[2]怪物强度模型!$A:$A,0)-1,0)</f>
        <v>#VALUE!</v>
      </c>
      <c r="T404" s="47" t="e">
        <f ca="1" t="shared" si="106"/>
        <v>#VALUE!</v>
      </c>
      <c r="U404" s="47" t="e">
        <f ca="1">Q404+N404*$V$1/10000+$V$1*OFFSET(卡牌辅助配置表!$V$1,MATCH(C404,卡牌辅助配置表!U:U,0)-1,0)*5*P404/10000/10000+M404*$V$1/10000</f>
        <v>#VALUE!</v>
      </c>
      <c r="V404" s="46" t="e">
        <f ca="1">OFFSET([2]怪物强度模型!$I$1,MATCH(F404,[2]怪物强度模型!$A:$A,0)-1,0)</f>
        <v>#VALUE!</v>
      </c>
      <c r="W404" s="47">
        <f t="shared" si="110"/>
        <v>1.96</v>
      </c>
      <c r="X404" s="47">
        <f t="shared" si="111"/>
        <v>1.6</v>
      </c>
    </row>
    <row r="405" spans="1:24">
      <c r="A405" s="45">
        <f t="shared" si="100"/>
        <v>2556</v>
      </c>
      <c r="B405" s="45" t="s">
        <v>2793</v>
      </c>
      <c r="C405" s="45">
        <v>2</v>
      </c>
      <c r="D405" s="45">
        <v>556</v>
      </c>
      <c r="F405" s="46">
        <f t="shared" si="101"/>
        <v>2026</v>
      </c>
      <c r="G405" s="45">
        <f t="shared" si="108"/>
        <v>3.18999999999999</v>
      </c>
      <c r="H405" s="45">
        <v>6</v>
      </c>
      <c r="I405" s="46">
        <v>10</v>
      </c>
      <c r="J405" s="46">
        <v>20</v>
      </c>
      <c r="K405" s="46" t="e">
        <f ca="1" t="shared" si="102"/>
        <v>#VALUE!</v>
      </c>
      <c r="L405" s="46" t="e">
        <f ca="1" t="shared" si="103"/>
        <v>#VALUE!</v>
      </c>
      <c r="M405" s="46" t="e">
        <f ca="1" t="shared" si="105"/>
        <v>#VALUE!</v>
      </c>
      <c r="N405" s="46" t="e">
        <f ca="1" t="shared" si="109"/>
        <v>#VALUE!</v>
      </c>
      <c r="O405" s="46">
        <v>62</v>
      </c>
      <c r="P405" s="46">
        <f t="shared" si="107"/>
        <v>26</v>
      </c>
      <c r="Q405" s="46" t="e">
        <f ca="1" t="shared" si="112"/>
        <v>#VALUE!</v>
      </c>
      <c r="R405" s="46" t="e">
        <f ca="1">OFFSET([2]怪物强度模型!$K$1,MATCH(F405,[2]怪物强度模型!$A:$A,0)-1,0)</f>
        <v>#VALUE!</v>
      </c>
      <c r="S405" s="46" t="e">
        <f ca="1">OFFSET([2]怪物强度模型!$O$1,MATCH(F405,[2]怪物强度模型!$A:$A,0)-1,0)</f>
        <v>#VALUE!</v>
      </c>
      <c r="T405" s="47" t="e">
        <f ca="1" t="shared" si="106"/>
        <v>#VALUE!</v>
      </c>
      <c r="U405" s="47" t="e">
        <f ca="1">Q405+N405*$V$1/10000+$V$1*OFFSET(卡牌辅助配置表!$V$1,MATCH(C405,卡牌辅助配置表!U:U,0)-1,0)*5*P405/10000/10000+M405*$V$1/10000</f>
        <v>#VALUE!</v>
      </c>
      <c r="V405" s="46" t="e">
        <f ca="1">OFFSET([2]怪物强度模型!$I$1,MATCH(F405,[2]怪物强度模型!$A:$A,0)-1,0)</f>
        <v>#VALUE!</v>
      </c>
      <c r="W405" s="47">
        <f t="shared" si="110"/>
        <v>1.97</v>
      </c>
      <c r="X405" s="47">
        <f t="shared" si="111"/>
        <v>1.6</v>
      </c>
    </row>
    <row r="406" spans="1:24">
      <c r="A406" s="45">
        <f t="shared" si="100"/>
        <v>2557</v>
      </c>
      <c r="B406" s="45" t="s">
        <v>2793</v>
      </c>
      <c r="C406" s="45">
        <v>2</v>
      </c>
      <c r="D406" s="45">
        <v>557</v>
      </c>
      <c r="F406" s="46">
        <f t="shared" si="101"/>
        <v>2026</v>
      </c>
      <c r="G406" s="45">
        <f t="shared" si="108"/>
        <v>3.23999999999999</v>
      </c>
      <c r="H406" s="45">
        <v>6</v>
      </c>
      <c r="I406" s="46">
        <v>10</v>
      </c>
      <c r="J406" s="46">
        <v>20</v>
      </c>
      <c r="K406" s="46" t="e">
        <f ca="1" t="shared" si="102"/>
        <v>#VALUE!</v>
      </c>
      <c r="L406" s="46" t="e">
        <f ca="1" t="shared" si="103"/>
        <v>#VALUE!</v>
      </c>
      <c r="M406" s="46" t="e">
        <f ca="1" t="shared" si="105"/>
        <v>#VALUE!</v>
      </c>
      <c r="N406" s="46" t="e">
        <f ca="1" t="shared" si="109"/>
        <v>#VALUE!</v>
      </c>
      <c r="O406" s="46">
        <v>63</v>
      </c>
      <c r="P406" s="46">
        <f t="shared" si="107"/>
        <v>26</v>
      </c>
      <c r="Q406" s="46" t="e">
        <f ca="1" t="shared" si="112"/>
        <v>#VALUE!</v>
      </c>
      <c r="R406" s="46" t="e">
        <f ca="1">OFFSET([2]怪物强度模型!$K$1,MATCH(F406,[2]怪物强度模型!$A:$A,0)-1,0)</f>
        <v>#VALUE!</v>
      </c>
      <c r="S406" s="46" t="e">
        <f ca="1">OFFSET([2]怪物强度模型!$O$1,MATCH(F406,[2]怪物强度模型!$A:$A,0)-1,0)</f>
        <v>#VALUE!</v>
      </c>
      <c r="T406" s="47" t="e">
        <f ca="1" t="shared" si="106"/>
        <v>#VALUE!</v>
      </c>
      <c r="U406" s="47" t="e">
        <f ca="1">Q406+N406*$V$1/10000+$V$1*OFFSET(卡牌辅助配置表!$V$1,MATCH(C406,卡牌辅助配置表!U:U,0)-1,0)*5*P406/10000/10000+M406*$V$1/10000</f>
        <v>#VALUE!</v>
      </c>
      <c r="V406" s="46" t="e">
        <f ca="1">OFFSET([2]怪物强度模型!$I$1,MATCH(F406,[2]怪物强度模型!$A:$A,0)-1,0)</f>
        <v>#VALUE!</v>
      </c>
      <c r="W406" s="47">
        <f t="shared" si="110"/>
        <v>1.97</v>
      </c>
      <c r="X406" s="47">
        <f t="shared" si="111"/>
        <v>1.6</v>
      </c>
    </row>
    <row r="407" spans="1:24">
      <c r="A407" s="45">
        <f t="shared" si="100"/>
        <v>2558</v>
      </c>
      <c r="B407" s="45" t="s">
        <v>2793</v>
      </c>
      <c r="C407" s="45">
        <v>2</v>
      </c>
      <c r="D407" s="45">
        <v>558</v>
      </c>
      <c r="F407" s="46">
        <f t="shared" si="101"/>
        <v>2026</v>
      </c>
      <c r="G407" s="45">
        <f t="shared" si="108"/>
        <v>3.28999999999999</v>
      </c>
      <c r="H407" s="45">
        <v>6</v>
      </c>
      <c r="I407" s="46">
        <v>10</v>
      </c>
      <c r="J407" s="46">
        <v>20</v>
      </c>
      <c r="K407" s="46" t="e">
        <f ca="1" t="shared" si="102"/>
        <v>#VALUE!</v>
      </c>
      <c r="L407" s="46" t="e">
        <f ca="1" t="shared" si="103"/>
        <v>#VALUE!</v>
      </c>
      <c r="M407" s="46" t="e">
        <f ca="1" t="shared" si="105"/>
        <v>#VALUE!</v>
      </c>
      <c r="N407" s="46" t="e">
        <f ca="1" t="shared" si="109"/>
        <v>#VALUE!</v>
      </c>
      <c r="O407" s="46">
        <v>64</v>
      </c>
      <c r="P407" s="46">
        <f t="shared" si="107"/>
        <v>26</v>
      </c>
      <c r="Q407" s="46" t="e">
        <f ca="1" t="shared" si="112"/>
        <v>#VALUE!</v>
      </c>
      <c r="R407" s="46" t="e">
        <f ca="1">OFFSET([2]怪物强度模型!$K$1,MATCH(F407,[2]怪物强度模型!$A:$A,0)-1,0)</f>
        <v>#VALUE!</v>
      </c>
      <c r="S407" s="46" t="e">
        <f ca="1">OFFSET([2]怪物强度模型!$O$1,MATCH(F407,[2]怪物强度模型!$A:$A,0)-1,0)</f>
        <v>#VALUE!</v>
      </c>
      <c r="T407" s="47" t="e">
        <f ca="1" t="shared" si="106"/>
        <v>#VALUE!</v>
      </c>
      <c r="U407" s="47" t="e">
        <f ca="1">Q407+N407*$V$1/10000+$V$1*OFFSET(卡牌辅助配置表!$V$1,MATCH(C407,卡牌辅助配置表!U:U,0)-1,0)*5*P407/10000/10000+M407*$V$1/10000</f>
        <v>#VALUE!</v>
      </c>
      <c r="V407" s="46" t="e">
        <f ca="1">OFFSET([2]怪物强度模型!$I$1,MATCH(F407,[2]怪物强度模型!$A:$A,0)-1,0)</f>
        <v>#VALUE!</v>
      </c>
      <c r="W407" s="47">
        <f t="shared" si="110"/>
        <v>1.97</v>
      </c>
      <c r="X407" s="47">
        <f t="shared" si="111"/>
        <v>1.6</v>
      </c>
    </row>
    <row r="408" spans="1:24">
      <c r="A408" s="45">
        <f t="shared" si="100"/>
        <v>2559</v>
      </c>
      <c r="B408" s="45" t="s">
        <v>2793</v>
      </c>
      <c r="C408" s="45">
        <v>2</v>
      </c>
      <c r="D408" s="45">
        <v>559</v>
      </c>
      <c r="F408" s="46">
        <f t="shared" si="101"/>
        <v>2026</v>
      </c>
      <c r="G408" s="45">
        <f>G398+0.1</f>
        <v>4.1</v>
      </c>
      <c r="H408" s="45">
        <v>6</v>
      </c>
      <c r="I408" s="46">
        <v>10</v>
      </c>
      <c r="J408" s="46">
        <v>20</v>
      </c>
      <c r="K408" s="46" t="e">
        <f ca="1" t="shared" si="102"/>
        <v>#VALUE!</v>
      </c>
      <c r="L408" s="46" t="e">
        <f ca="1" t="shared" si="103"/>
        <v>#VALUE!</v>
      </c>
      <c r="M408" s="46" t="e">
        <f ca="1" t="shared" si="105"/>
        <v>#VALUE!</v>
      </c>
      <c r="N408" s="46" t="e">
        <f ca="1" t="shared" si="109"/>
        <v>#VALUE!</v>
      </c>
      <c r="O408" s="46">
        <v>65</v>
      </c>
      <c r="P408" s="46">
        <f t="shared" si="107"/>
        <v>26</v>
      </c>
      <c r="Q408" s="46" t="e">
        <f ca="1" t="shared" si="112"/>
        <v>#VALUE!</v>
      </c>
      <c r="R408" s="46" t="e">
        <f ca="1">OFFSET([2]怪物强度模型!$K$1,MATCH(F408,[2]怪物强度模型!$A:$A,0)-1,0)</f>
        <v>#VALUE!</v>
      </c>
      <c r="S408" s="46" t="e">
        <f ca="1">OFFSET([2]怪物强度模型!$O$1,MATCH(F408,[2]怪物强度模型!$A:$A,0)-1,0)</f>
        <v>#VALUE!</v>
      </c>
      <c r="T408" s="47" t="e">
        <f ca="1" t="shared" si="106"/>
        <v>#VALUE!</v>
      </c>
      <c r="U408" s="47" t="e">
        <f ca="1">Q408+N408*$V$1/10000+$V$1*OFFSET(卡牌辅助配置表!$V$1,MATCH(C408,卡牌辅助配置表!U:U,0)-1,0)*5*P408/10000/10000+M408*$V$1/10000</f>
        <v>#VALUE!</v>
      </c>
      <c r="V408" s="46" t="e">
        <f ca="1">OFFSET([2]怪物强度模型!$I$1,MATCH(F408,[2]怪物强度模型!$A:$A,0)-1,0)</f>
        <v>#VALUE!</v>
      </c>
      <c r="W408" s="47">
        <f t="shared" si="110"/>
        <v>2.1</v>
      </c>
      <c r="X408" s="47">
        <f t="shared" si="111"/>
        <v>1.6</v>
      </c>
    </row>
    <row r="409" spans="1:24">
      <c r="A409" s="45">
        <f t="shared" ref="A409:A472" si="113">C409*1000+D409</f>
        <v>2560</v>
      </c>
      <c r="B409" s="45" t="s">
        <v>2793</v>
      </c>
      <c r="C409" s="45">
        <v>2</v>
      </c>
      <c r="D409" s="45">
        <v>560</v>
      </c>
      <c r="F409" s="46">
        <f t="shared" ref="F409:F472" si="114">C409*1000+P409</f>
        <v>2027</v>
      </c>
      <c r="G409" s="45">
        <f t="shared" si="108"/>
        <v>3.16999999999999</v>
      </c>
      <c r="H409" s="45">
        <v>6</v>
      </c>
      <c r="I409" s="46">
        <v>10</v>
      </c>
      <c r="J409" s="46">
        <v>20</v>
      </c>
      <c r="K409" s="46" t="e">
        <f ca="1" t="shared" ref="K409:K472" si="115">ROUND(Q409*0.95,0)</f>
        <v>#VALUE!</v>
      </c>
      <c r="L409" s="46" t="e">
        <f ca="1" t="shared" ref="L409:L472" si="116">ROUND(Q409*1.05,0)</f>
        <v>#VALUE!</v>
      </c>
      <c r="M409" s="46" t="e">
        <f ca="1" t="shared" si="105"/>
        <v>#VALUE!</v>
      </c>
      <c r="N409" s="46" t="e">
        <f ca="1" t="shared" si="109"/>
        <v>#VALUE!</v>
      </c>
      <c r="O409" s="46">
        <v>66</v>
      </c>
      <c r="P409" s="46">
        <f t="shared" si="107"/>
        <v>27</v>
      </c>
      <c r="Q409" s="46" t="e">
        <f ca="1" t="shared" si="112"/>
        <v>#VALUE!</v>
      </c>
      <c r="R409" s="46" t="e">
        <f ca="1">OFFSET([2]怪物强度模型!$K$1,MATCH(F409,[2]怪物强度模型!$A:$A,0)-1,0)</f>
        <v>#VALUE!</v>
      </c>
      <c r="S409" s="46" t="e">
        <f ca="1">OFFSET([2]怪物强度模型!$O$1,MATCH(F409,[2]怪物强度模型!$A:$A,0)-1,0)</f>
        <v>#VALUE!</v>
      </c>
      <c r="T409" s="47" t="e">
        <f ca="1" t="shared" si="106"/>
        <v>#VALUE!</v>
      </c>
      <c r="U409" s="47" t="e">
        <f ca="1">Q409+N409*$V$1/10000+$V$1*OFFSET(卡牌辅助配置表!$V$1,MATCH(C409,卡牌辅助配置表!U:U,0)-1,0)*5*P409/10000/10000+M409*$V$1/10000</f>
        <v>#VALUE!</v>
      </c>
      <c r="V409" s="46" t="e">
        <f ca="1">OFFSET([2]怪物强度模型!$I$1,MATCH(F409,[2]怪物强度模型!$A:$A,0)-1,0)</f>
        <v>#VALUE!</v>
      </c>
      <c r="W409" s="47">
        <f t="shared" si="110"/>
        <v>2</v>
      </c>
      <c r="X409" s="47">
        <f t="shared" si="111"/>
        <v>1.62</v>
      </c>
    </row>
    <row r="410" spans="1:24">
      <c r="A410" s="45">
        <f t="shared" si="113"/>
        <v>2561</v>
      </c>
      <c r="B410" s="45" t="s">
        <v>2793</v>
      </c>
      <c r="C410" s="45">
        <v>2</v>
      </c>
      <c r="D410" s="45">
        <v>561</v>
      </c>
      <c r="F410" s="46">
        <f t="shared" si="114"/>
        <v>2027</v>
      </c>
      <c r="G410" s="45">
        <f t="shared" si="108"/>
        <v>3.21999999999999</v>
      </c>
      <c r="H410" s="45">
        <v>6</v>
      </c>
      <c r="I410" s="46">
        <v>10</v>
      </c>
      <c r="J410" s="46">
        <v>20</v>
      </c>
      <c r="K410" s="46" t="e">
        <f ca="1" t="shared" si="115"/>
        <v>#VALUE!</v>
      </c>
      <c r="L410" s="46" t="e">
        <f ca="1" t="shared" si="116"/>
        <v>#VALUE!</v>
      </c>
      <c r="M410" s="46" t="e">
        <f ca="1" t="shared" si="105"/>
        <v>#VALUE!</v>
      </c>
      <c r="N410" s="46" t="e">
        <f ca="1" t="shared" si="109"/>
        <v>#VALUE!</v>
      </c>
      <c r="O410" s="46">
        <v>67</v>
      </c>
      <c r="P410" s="46">
        <f t="shared" si="107"/>
        <v>27</v>
      </c>
      <c r="Q410" s="46" t="e">
        <f ca="1" t="shared" si="112"/>
        <v>#VALUE!</v>
      </c>
      <c r="R410" s="46" t="e">
        <f ca="1">OFFSET([2]怪物强度模型!$K$1,MATCH(F410,[2]怪物强度模型!$A:$A,0)-1,0)</f>
        <v>#VALUE!</v>
      </c>
      <c r="S410" s="46" t="e">
        <f ca="1">OFFSET([2]怪物强度模型!$O$1,MATCH(F410,[2]怪物强度模型!$A:$A,0)-1,0)</f>
        <v>#VALUE!</v>
      </c>
      <c r="T410" s="47" t="e">
        <f ca="1" t="shared" si="106"/>
        <v>#VALUE!</v>
      </c>
      <c r="U410" s="47" t="e">
        <f ca="1">Q410+N410*$V$1/10000+$V$1*OFFSET(卡牌辅助配置表!$V$1,MATCH(C410,卡牌辅助配置表!U:U,0)-1,0)*5*P410/10000/10000+M410*$V$1/10000</f>
        <v>#VALUE!</v>
      </c>
      <c r="V410" s="46" t="e">
        <f ca="1">OFFSET([2]怪物强度模型!$I$1,MATCH(F410,[2]怪物强度模型!$A:$A,0)-1,0)</f>
        <v>#VALUE!</v>
      </c>
      <c r="W410" s="47">
        <f t="shared" si="110"/>
        <v>2</v>
      </c>
      <c r="X410" s="47">
        <f t="shared" si="111"/>
        <v>1.62</v>
      </c>
    </row>
    <row r="411" spans="1:24">
      <c r="A411" s="45">
        <f t="shared" si="113"/>
        <v>2562</v>
      </c>
      <c r="B411" s="45" t="s">
        <v>2793</v>
      </c>
      <c r="C411" s="45">
        <v>2</v>
      </c>
      <c r="D411" s="45">
        <v>562</v>
      </c>
      <c r="F411" s="46">
        <f t="shared" si="114"/>
        <v>2027</v>
      </c>
      <c r="G411" s="45">
        <f t="shared" si="108"/>
        <v>3.26999999999999</v>
      </c>
      <c r="H411" s="45">
        <v>6</v>
      </c>
      <c r="I411" s="46">
        <v>10</v>
      </c>
      <c r="J411" s="46">
        <v>20</v>
      </c>
      <c r="K411" s="46" t="e">
        <f ca="1" t="shared" si="115"/>
        <v>#VALUE!</v>
      </c>
      <c r="L411" s="46" t="e">
        <f ca="1" t="shared" si="116"/>
        <v>#VALUE!</v>
      </c>
      <c r="M411" s="46" t="e">
        <f ca="1" t="shared" si="105"/>
        <v>#VALUE!</v>
      </c>
      <c r="N411" s="46" t="e">
        <f ca="1" t="shared" si="109"/>
        <v>#VALUE!</v>
      </c>
      <c r="O411" s="46">
        <v>68</v>
      </c>
      <c r="P411" s="46">
        <f t="shared" si="107"/>
        <v>27</v>
      </c>
      <c r="Q411" s="46" t="e">
        <f ca="1" t="shared" si="112"/>
        <v>#VALUE!</v>
      </c>
      <c r="R411" s="46" t="e">
        <f ca="1">OFFSET([2]怪物强度模型!$K$1,MATCH(F411,[2]怪物强度模型!$A:$A,0)-1,0)</f>
        <v>#VALUE!</v>
      </c>
      <c r="S411" s="46" t="e">
        <f ca="1">OFFSET([2]怪物强度模型!$O$1,MATCH(F411,[2]怪物强度模型!$A:$A,0)-1,0)</f>
        <v>#VALUE!</v>
      </c>
      <c r="T411" s="47" t="e">
        <f ca="1" t="shared" si="106"/>
        <v>#VALUE!</v>
      </c>
      <c r="U411" s="47" t="e">
        <f ca="1">Q411+N411*$V$1/10000+$V$1*OFFSET(卡牌辅助配置表!$V$1,MATCH(C411,卡牌辅助配置表!U:U,0)-1,0)*5*P411/10000/10000+M411*$V$1/10000</f>
        <v>#VALUE!</v>
      </c>
      <c r="V411" s="46" t="e">
        <f ca="1">OFFSET([2]怪物强度模型!$I$1,MATCH(F411,[2]怪物强度模型!$A:$A,0)-1,0)</f>
        <v>#VALUE!</v>
      </c>
      <c r="W411" s="47">
        <f t="shared" si="110"/>
        <v>2</v>
      </c>
      <c r="X411" s="47">
        <f t="shared" si="111"/>
        <v>1.62</v>
      </c>
    </row>
    <row r="412" spans="1:24">
      <c r="A412" s="45">
        <f t="shared" si="113"/>
        <v>2563</v>
      </c>
      <c r="B412" s="45" t="s">
        <v>2793</v>
      </c>
      <c r="C412" s="45">
        <v>2</v>
      </c>
      <c r="D412" s="45">
        <v>563</v>
      </c>
      <c r="F412" s="46">
        <f t="shared" si="114"/>
        <v>2027</v>
      </c>
      <c r="G412" s="45">
        <f t="shared" si="108"/>
        <v>3.31999999999999</v>
      </c>
      <c r="H412" s="45">
        <v>6</v>
      </c>
      <c r="I412" s="46">
        <v>10</v>
      </c>
      <c r="J412" s="46">
        <v>20</v>
      </c>
      <c r="K412" s="46" t="e">
        <f ca="1" t="shared" si="115"/>
        <v>#VALUE!</v>
      </c>
      <c r="L412" s="46" t="e">
        <f ca="1" t="shared" si="116"/>
        <v>#VALUE!</v>
      </c>
      <c r="M412" s="46" t="e">
        <f ca="1" t="shared" si="105"/>
        <v>#VALUE!</v>
      </c>
      <c r="N412" s="46" t="e">
        <f ca="1" t="shared" si="109"/>
        <v>#VALUE!</v>
      </c>
      <c r="O412" s="46">
        <v>69</v>
      </c>
      <c r="P412" s="46">
        <f t="shared" si="107"/>
        <v>27</v>
      </c>
      <c r="Q412" s="46" t="e">
        <f ca="1" t="shared" si="112"/>
        <v>#VALUE!</v>
      </c>
      <c r="R412" s="46" t="e">
        <f ca="1">OFFSET([2]怪物强度模型!$K$1,MATCH(F412,[2]怪物强度模型!$A:$A,0)-1,0)</f>
        <v>#VALUE!</v>
      </c>
      <c r="S412" s="46" t="e">
        <f ca="1">OFFSET([2]怪物强度模型!$O$1,MATCH(F412,[2]怪物强度模型!$A:$A,0)-1,0)</f>
        <v>#VALUE!</v>
      </c>
      <c r="T412" s="47" t="e">
        <f ca="1" t="shared" si="106"/>
        <v>#VALUE!</v>
      </c>
      <c r="U412" s="47" t="e">
        <f ca="1">Q412+N412*$V$1/10000+$V$1*OFFSET(卡牌辅助配置表!$V$1,MATCH(C412,卡牌辅助配置表!U:U,0)-1,0)*5*P412/10000/10000+M412*$V$1/10000</f>
        <v>#VALUE!</v>
      </c>
      <c r="V412" s="46" t="e">
        <f ca="1">OFFSET([2]怪物强度模型!$I$1,MATCH(F412,[2]怪物强度模型!$A:$A,0)-1,0)</f>
        <v>#VALUE!</v>
      </c>
      <c r="W412" s="47">
        <f t="shared" si="110"/>
        <v>2.01</v>
      </c>
      <c r="X412" s="47">
        <f t="shared" si="111"/>
        <v>1.62</v>
      </c>
    </row>
    <row r="413" spans="1:24">
      <c r="A413" s="45">
        <f t="shared" si="113"/>
        <v>2564</v>
      </c>
      <c r="B413" s="45" t="s">
        <v>2793</v>
      </c>
      <c r="C413" s="45">
        <v>2</v>
      </c>
      <c r="D413" s="45">
        <v>564</v>
      </c>
      <c r="F413" s="46">
        <f t="shared" si="114"/>
        <v>2027</v>
      </c>
      <c r="G413" s="45">
        <f t="shared" si="108"/>
        <v>4.13</v>
      </c>
      <c r="H413" s="45">
        <v>6</v>
      </c>
      <c r="I413" s="46">
        <v>10</v>
      </c>
      <c r="J413" s="46">
        <v>20</v>
      </c>
      <c r="K413" s="46" t="e">
        <f ca="1" t="shared" si="115"/>
        <v>#VALUE!</v>
      </c>
      <c r="L413" s="46" t="e">
        <f ca="1" t="shared" si="116"/>
        <v>#VALUE!</v>
      </c>
      <c r="M413" s="46" t="e">
        <f ca="1" t="shared" si="105"/>
        <v>#VALUE!</v>
      </c>
      <c r="N413" s="46" t="e">
        <f ca="1" t="shared" si="109"/>
        <v>#VALUE!</v>
      </c>
      <c r="O413" s="46">
        <v>70</v>
      </c>
      <c r="P413" s="46">
        <f t="shared" ref="P413:P476" si="117">P403+1</f>
        <v>27</v>
      </c>
      <c r="Q413" s="46" t="e">
        <f ca="1" t="shared" si="112"/>
        <v>#VALUE!</v>
      </c>
      <c r="R413" s="46" t="e">
        <f ca="1">OFFSET([2]怪物强度模型!$K$1,MATCH(F413,[2]怪物强度模型!$A:$A,0)-1,0)</f>
        <v>#VALUE!</v>
      </c>
      <c r="S413" s="46" t="e">
        <f ca="1">OFFSET([2]怪物强度模型!$O$1,MATCH(F413,[2]怪物强度模型!$A:$A,0)-1,0)</f>
        <v>#VALUE!</v>
      </c>
      <c r="T413" s="47" t="e">
        <f ca="1" t="shared" si="106"/>
        <v>#VALUE!</v>
      </c>
      <c r="U413" s="47" t="e">
        <f ca="1">Q413+N413*$V$1/10000+$V$1*OFFSET(卡牌辅助配置表!$V$1,MATCH(C413,卡牌辅助配置表!U:U,0)-1,0)*5*P413/10000/10000+M413*$V$1/10000</f>
        <v>#VALUE!</v>
      </c>
      <c r="V413" s="46" t="e">
        <f ca="1">OFFSET([2]怪物强度模型!$I$1,MATCH(F413,[2]怪物强度模型!$A:$A,0)-1,0)</f>
        <v>#VALUE!</v>
      </c>
      <c r="W413" s="47">
        <f t="shared" si="110"/>
        <v>2.01</v>
      </c>
      <c r="X413" s="47">
        <f t="shared" si="111"/>
        <v>1.62</v>
      </c>
    </row>
    <row r="414" spans="1:24">
      <c r="A414" s="45">
        <f t="shared" si="113"/>
        <v>2565</v>
      </c>
      <c r="B414" s="45" t="s">
        <v>2793</v>
      </c>
      <c r="C414" s="45">
        <v>2</v>
      </c>
      <c r="D414" s="45">
        <v>565</v>
      </c>
      <c r="F414" s="46">
        <f t="shared" si="114"/>
        <v>2027</v>
      </c>
      <c r="G414" s="45">
        <f t="shared" si="108"/>
        <v>3.19999999999999</v>
      </c>
      <c r="H414" s="45">
        <v>6</v>
      </c>
      <c r="I414" s="46">
        <v>10</v>
      </c>
      <c r="J414" s="46">
        <v>20</v>
      </c>
      <c r="K414" s="46" t="e">
        <f ca="1" t="shared" si="115"/>
        <v>#VALUE!</v>
      </c>
      <c r="L414" s="46" t="e">
        <f ca="1" t="shared" si="116"/>
        <v>#VALUE!</v>
      </c>
      <c r="M414" s="46" t="e">
        <f ca="1" t="shared" si="105"/>
        <v>#VALUE!</v>
      </c>
      <c r="N414" s="46" t="e">
        <f ca="1" t="shared" si="109"/>
        <v>#VALUE!</v>
      </c>
      <c r="O414" s="46">
        <v>71</v>
      </c>
      <c r="P414" s="46">
        <f t="shared" si="117"/>
        <v>27</v>
      </c>
      <c r="Q414" s="46" t="e">
        <f ca="1" t="shared" si="112"/>
        <v>#VALUE!</v>
      </c>
      <c r="R414" s="46" t="e">
        <f ca="1">OFFSET([2]怪物强度模型!$K$1,MATCH(F414,[2]怪物强度模型!$A:$A,0)-1,0)</f>
        <v>#VALUE!</v>
      </c>
      <c r="S414" s="46" t="e">
        <f ca="1">OFFSET([2]怪物强度模型!$O$1,MATCH(F414,[2]怪物强度模型!$A:$A,0)-1,0)</f>
        <v>#VALUE!</v>
      </c>
      <c r="T414" s="47" t="e">
        <f ca="1" t="shared" si="106"/>
        <v>#VALUE!</v>
      </c>
      <c r="U414" s="47" t="e">
        <f ca="1">Q414+N414*$V$1/10000+$V$1*OFFSET(卡牌辅助配置表!$V$1,MATCH(C414,卡牌辅助配置表!U:U,0)-1,0)*5*P414/10000/10000+M414*$V$1/10000</f>
        <v>#VALUE!</v>
      </c>
      <c r="V414" s="46" t="e">
        <f ca="1">OFFSET([2]怪物强度模型!$I$1,MATCH(F414,[2]怪物强度模型!$A:$A,0)-1,0)</f>
        <v>#VALUE!</v>
      </c>
      <c r="W414" s="47">
        <f t="shared" si="110"/>
        <v>2.01</v>
      </c>
      <c r="X414" s="47">
        <f t="shared" si="111"/>
        <v>1.62</v>
      </c>
    </row>
    <row r="415" spans="1:24">
      <c r="A415" s="45">
        <f t="shared" si="113"/>
        <v>2566</v>
      </c>
      <c r="B415" s="45" t="s">
        <v>2793</v>
      </c>
      <c r="C415" s="45">
        <v>2</v>
      </c>
      <c r="D415" s="45">
        <v>566</v>
      </c>
      <c r="F415" s="46">
        <f t="shared" si="114"/>
        <v>2027</v>
      </c>
      <c r="G415" s="45">
        <f t="shared" si="108"/>
        <v>3.24999999999999</v>
      </c>
      <c r="H415" s="45">
        <v>6</v>
      </c>
      <c r="I415" s="46">
        <v>10</v>
      </c>
      <c r="J415" s="46">
        <v>20</v>
      </c>
      <c r="K415" s="46" t="e">
        <f ca="1" t="shared" si="115"/>
        <v>#VALUE!</v>
      </c>
      <c r="L415" s="46" t="e">
        <f ca="1" t="shared" si="116"/>
        <v>#VALUE!</v>
      </c>
      <c r="M415" s="46" t="e">
        <f ca="1" t="shared" si="105"/>
        <v>#VALUE!</v>
      </c>
      <c r="N415" s="46" t="e">
        <f ca="1" t="shared" si="109"/>
        <v>#VALUE!</v>
      </c>
      <c r="O415" s="46">
        <v>72</v>
      </c>
      <c r="P415" s="46">
        <f t="shared" si="117"/>
        <v>27</v>
      </c>
      <c r="Q415" s="46" t="e">
        <f ca="1" t="shared" si="112"/>
        <v>#VALUE!</v>
      </c>
      <c r="R415" s="46" t="e">
        <f ca="1">OFFSET([2]怪物强度模型!$K$1,MATCH(F415,[2]怪物强度模型!$A:$A,0)-1,0)</f>
        <v>#VALUE!</v>
      </c>
      <c r="S415" s="46" t="e">
        <f ca="1">OFFSET([2]怪物强度模型!$O$1,MATCH(F415,[2]怪物强度模型!$A:$A,0)-1,0)</f>
        <v>#VALUE!</v>
      </c>
      <c r="T415" s="47" t="e">
        <f ca="1" t="shared" si="106"/>
        <v>#VALUE!</v>
      </c>
      <c r="U415" s="47" t="e">
        <f ca="1">Q415+N415*$V$1/10000+$V$1*OFFSET(卡牌辅助配置表!$V$1,MATCH(C415,卡牌辅助配置表!U:U,0)-1,0)*5*P415/10000/10000+M415*$V$1/10000</f>
        <v>#VALUE!</v>
      </c>
      <c r="V415" s="46" t="e">
        <f ca="1">OFFSET([2]怪物强度模型!$I$1,MATCH(F415,[2]怪物强度模型!$A:$A,0)-1,0)</f>
        <v>#VALUE!</v>
      </c>
      <c r="W415" s="47">
        <f t="shared" si="110"/>
        <v>2.02</v>
      </c>
      <c r="X415" s="47">
        <f t="shared" si="111"/>
        <v>1.62</v>
      </c>
    </row>
    <row r="416" spans="1:24">
      <c r="A416" s="45">
        <f t="shared" si="113"/>
        <v>2567</v>
      </c>
      <c r="B416" s="45" t="s">
        <v>2793</v>
      </c>
      <c r="C416" s="45">
        <v>2</v>
      </c>
      <c r="D416" s="45">
        <v>567</v>
      </c>
      <c r="F416" s="46">
        <f t="shared" si="114"/>
        <v>2027</v>
      </c>
      <c r="G416" s="45">
        <f t="shared" si="108"/>
        <v>3.29999999999999</v>
      </c>
      <c r="H416" s="45">
        <v>6</v>
      </c>
      <c r="I416" s="46">
        <v>10</v>
      </c>
      <c r="J416" s="46">
        <v>20</v>
      </c>
      <c r="K416" s="46" t="e">
        <f ca="1" t="shared" si="115"/>
        <v>#VALUE!</v>
      </c>
      <c r="L416" s="46" t="e">
        <f ca="1" t="shared" si="116"/>
        <v>#VALUE!</v>
      </c>
      <c r="M416" s="46" t="e">
        <f ca="1" t="shared" si="105"/>
        <v>#VALUE!</v>
      </c>
      <c r="N416" s="46" t="e">
        <f ca="1" t="shared" si="109"/>
        <v>#VALUE!</v>
      </c>
      <c r="O416" s="46">
        <v>73</v>
      </c>
      <c r="P416" s="46">
        <f t="shared" si="117"/>
        <v>27</v>
      </c>
      <c r="Q416" s="46" t="e">
        <f ca="1" t="shared" si="112"/>
        <v>#VALUE!</v>
      </c>
      <c r="R416" s="46" t="e">
        <f ca="1">OFFSET([2]怪物强度模型!$K$1,MATCH(F416,[2]怪物强度模型!$A:$A,0)-1,0)</f>
        <v>#VALUE!</v>
      </c>
      <c r="S416" s="46" t="e">
        <f ca="1">OFFSET([2]怪物强度模型!$O$1,MATCH(F416,[2]怪物强度模型!$A:$A,0)-1,0)</f>
        <v>#VALUE!</v>
      </c>
      <c r="T416" s="47" t="e">
        <f ca="1" t="shared" si="106"/>
        <v>#VALUE!</v>
      </c>
      <c r="U416" s="47" t="e">
        <f ca="1">Q416+N416*$V$1/10000+$V$1*OFFSET(卡牌辅助配置表!$V$1,MATCH(C416,卡牌辅助配置表!U:U,0)-1,0)*5*P416/10000/10000+M416*$V$1/10000</f>
        <v>#VALUE!</v>
      </c>
      <c r="V416" s="46" t="e">
        <f ca="1">OFFSET([2]怪物强度模型!$I$1,MATCH(F416,[2]怪物强度模型!$A:$A,0)-1,0)</f>
        <v>#VALUE!</v>
      </c>
      <c r="W416" s="47">
        <f t="shared" si="110"/>
        <v>2.02</v>
      </c>
      <c r="X416" s="47">
        <f t="shared" si="111"/>
        <v>1.62</v>
      </c>
    </row>
    <row r="417" spans="1:24">
      <c r="A417" s="45">
        <f t="shared" si="113"/>
        <v>2568</v>
      </c>
      <c r="B417" s="45" t="s">
        <v>2793</v>
      </c>
      <c r="C417" s="45">
        <v>2</v>
      </c>
      <c r="D417" s="45">
        <v>568</v>
      </c>
      <c r="F417" s="46">
        <f t="shared" si="114"/>
        <v>2027</v>
      </c>
      <c r="G417" s="45">
        <f t="shared" si="108"/>
        <v>3.34999999999999</v>
      </c>
      <c r="H417" s="45">
        <v>6</v>
      </c>
      <c r="I417" s="46">
        <v>10</v>
      </c>
      <c r="J417" s="46">
        <v>20</v>
      </c>
      <c r="K417" s="46" t="e">
        <f ca="1" t="shared" si="115"/>
        <v>#VALUE!</v>
      </c>
      <c r="L417" s="46" t="e">
        <f ca="1" t="shared" si="116"/>
        <v>#VALUE!</v>
      </c>
      <c r="M417" s="46" t="e">
        <f ca="1" t="shared" si="105"/>
        <v>#VALUE!</v>
      </c>
      <c r="N417" s="46" t="e">
        <f ca="1" t="shared" si="109"/>
        <v>#VALUE!</v>
      </c>
      <c r="O417" s="46">
        <v>74</v>
      </c>
      <c r="P417" s="46">
        <f t="shared" si="117"/>
        <v>27</v>
      </c>
      <c r="Q417" s="46" t="e">
        <f ca="1" t="shared" si="112"/>
        <v>#VALUE!</v>
      </c>
      <c r="R417" s="46" t="e">
        <f ca="1">OFFSET([2]怪物强度模型!$K$1,MATCH(F417,[2]怪物强度模型!$A:$A,0)-1,0)</f>
        <v>#VALUE!</v>
      </c>
      <c r="S417" s="46" t="e">
        <f ca="1">OFFSET([2]怪物强度模型!$O$1,MATCH(F417,[2]怪物强度模型!$A:$A,0)-1,0)</f>
        <v>#VALUE!</v>
      </c>
      <c r="T417" s="47" t="e">
        <f ca="1" t="shared" si="106"/>
        <v>#VALUE!</v>
      </c>
      <c r="U417" s="47" t="e">
        <f ca="1">Q417+N417*$V$1/10000+$V$1*OFFSET(卡牌辅助配置表!$V$1,MATCH(C417,卡牌辅助配置表!U:U,0)-1,0)*5*P417/10000/10000+M417*$V$1/10000</f>
        <v>#VALUE!</v>
      </c>
      <c r="V417" s="46" t="e">
        <f ca="1">OFFSET([2]怪物强度模型!$I$1,MATCH(F417,[2]怪物强度模型!$A:$A,0)-1,0)</f>
        <v>#VALUE!</v>
      </c>
      <c r="W417" s="47">
        <f t="shared" si="110"/>
        <v>2.02</v>
      </c>
      <c r="X417" s="47">
        <f t="shared" si="111"/>
        <v>1.62</v>
      </c>
    </row>
    <row r="418" spans="1:24">
      <c r="A418" s="45">
        <f t="shared" si="113"/>
        <v>2569</v>
      </c>
      <c r="B418" s="45" t="s">
        <v>2793</v>
      </c>
      <c r="C418" s="45">
        <v>2</v>
      </c>
      <c r="D418" s="45">
        <v>569</v>
      </c>
      <c r="F418" s="46">
        <f t="shared" si="114"/>
        <v>2027</v>
      </c>
      <c r="G418" s="45">
        <f>G408+0.1</f>
        <v>4.2</v>
      </c>
      <c r="H418" s="45">
        <v>6</v>
      </c>
      <c r="I418" s="46">
        <v>10</v>
      </c>
      <c r="J418" s="46">
        <v>20</v>
      </c>
      <c r="K418" s="46" t="e">
        <f ca="1" t="shared" si="115"/>
        <v>#VALUE!</v>
      </c>
      <c r="L418" s="46" t="e">
        <f ca="1" t="shared" si="116"/>
        <v>#VALUE!</v>
      </c>
      <c r="M418" s="46" t="e">
        <f ca="1" t="shared" si="105"/>
        <v>#VALUE!</v>
      </c>
      <c r="N418" s="46" t="e">
        <f ca="1" t="shared" si="109"/>
        <v>#VALUE!</v>
      </c>
      <c r="O418" s="46">
        <v>75</v>
      </c>
      <c r="P418" s="46">
        <f t="shared" si="117"/>
        <v>27</v>
      </c>
      <c r="Q418" s="46" t="e">
        <f ca="1" t="shared" si="112"/>
        <v>#VALUE!</v>
      </c>
      <c r="R418" s="46" t="e">
        <f ca="1">OFFSET([2]怪物强度模型!$K$1,MATCH(F418,[2]怪物强度模型!$A:$A,0)-1,0)</f>
        <v>#VALUE!</v>
      </c>
      <c r="S418" s="46" t="e">
        <f ca="1">OFFSET([2]怪物强度模型!$O$1,MATCH(F418,[2]怪物强度模型!$A:$A,0)-1,0)</f>
        <v>#VALUE!</v>
      </c>
      <c r="T418" s="47" t="e">
        <f ca="1" t="shared" si="106"/>
        <v>#VALUE!</v>
      </c>
      <c r="U418" s="47" t="e">
        <f ca="1">Q418+N418*$V$1/10000+$V$1*OFFSET(卡牌辅助配置表!$V$1,MATCH(C418,卡牌辅助配置表!U:U,0)-1,0)*5*P418/10000/10000+M418*$V$1/10000</f>
        <v>#VALUE!</v>
      </c>
      <c r="V418" s="46" t="e">
        <f ca="1">OFFSET([2]怪物强度模型!$I$1,MATCH(F418,[2]怪物强度模型!$A:$A,0)-1,0)</f>
        <v>#VALUE!</v>
      </c>
      <c r="W418" s="47">
        <f t="shared" si="110"/>
        <v>2.15</v>
      </c>
      <c r="X418" s="47">
        <f t="shared" si="111"/>
        <v>1.62</v>
      </c>
    </row>
    <row r="419" spans="1:24">
      <c r="A419" s="45">
        <f t="shared" si="113"/>
        <v>2570</v>
      </c>
      <c r="B419" s="45" t="s">
        <v>2793</v>
      </c>
      <c r="C419" s="45">
        <v>2</v>
      </c>
      <c r="D419" s="45">
        <v>570</v>
      </c>
      <c r="F419" s="46">
        <f t="shared" si="114"/>
        <v>2028</v>
      </c>
      <c r="G419" s="45">
        <f t="shared" si="108"/>
        <v>3.22999999999999</v>
      </c>
      <c r="H419" s="45">
        <v>6</v>
      </c>
      <c r="I419" s="46">
        <v>10</v>
      </c>
      <c r="J419" s="46">
        <v>20</v>
      </c>
      <c r="K419" s="46" t="e">
        <f ca="1" t="shared" si="115"/>
        <v>#VALUE!</v>
      </c>
      <c r="L419" s="46" t="e">
        <f ca="1" t="shared" si="116"/>
        <v>#VALUE!</v>
      </c>
      <c r="M419" s="46" t="e">
        <f ca="1" t="shared" si="105"/>
        <v>#VALUE!</v>
      </c>
      <c r="N419" s="46" t="e">
        <f ca="1" t="shared" si="109"/>
        <v>#VALUE!</v>
      </c>
      <c r="O419" s="46">
        <v>76</v>
      </c>
      <c r="P419" s="46">
        <f t="shared" si="117"/>
        <v>28</v>
      </c>
      <c r="Q419" s="46" t="e">
        <f ca="1" t="shared" si="112"/>
        <v>#VALUE!</v>
      </c>
      <c r="R419" s="46" t="e">
        <f ca="1">OFFSET([2]怪物强度模型!$K$1,MATCH(F419,[2]怪物强度模型!$A:$A,0)-1,0)</f>
        <v>#VALUE!</v>
      </c>
      <c r="S419" s="46" t="e">
        <f ca="1">OFFSET([2]怪物强度模型!$O$1,MATCH(F419,[2]怪物强度模型!$A:$A,0)-1,0)</f>
        <v>#VALUE!</v>
      </c>
      <c r="T419" s="47" t="e">
        <f ca="1" t="shared" si="106"/>
        <v>#VALUE!</v>
      </c>
      <c r="U419" s="47" t="e">
        <f ca="1">Q419+N419*$V$1/10000+$V$1*OFFSET(卡牌辅助配置表!$V$1,MATCH(C419,卡牌辅助配置表!U:U,0)-1,0)*5*P419/10000/10000+M419*$V$1/10000</f>
        <v>#VALUE!</v>
      </c>
      <c r="V419" s="46" t="e">
        <f ca="1">OFFSET([2]怪物强度模型!$I$1,MATCH(F419,[2]怪物强度模型!$A:$A,0)-1,0)</f>
        <v>#VALUE!</v>
      </c>
      <c r="W419" s="47">
        <f t="shared" si="110"/>
        <v>2.05</v>
      </c>
      <c r="X419" s="47">
        <f t="shared" si="111"/>
        <v>1.64</v>
      </c>
    </row>
    <row r="420" spans="1:24">
      <c r="A420" s="45">
        <f t="shared" si="113"/>
        <v>2571</v>
      </c>
      <c r="B420" s="45" t="s">
        <v>2793</v>
      </c>
      <c r="C420" s="45">
        <v>2</v>
      </c>
      <c r="D420" s="45">
        <v>571</v>
      </c>
      <c r="F420" s="46">
        <f t="shared" si="114"/>
        <v>2028</v>
      </c>
      <c r="G420" s="45">
        <f t="shared" si="108"/>
        <v>3.27999999999999</v>
      </c>
      <c r="H420" s="45">
        <v>6</v>
      </c>
      <c r="I420" s="46">
        <v>10</v>
      </c>
      <c r="J420" s="46">
        <v>20</v>
      </c>
      <c r="K420" s="46" t="e">
        <f ca="1" t="shared" si="115"/>
        <v>#VALUE!</v>
      </c>
      <c r="L420" s="46" t="e">
        <f ca="1" t="shared" si="116"/>
        <v>#VALUE!</v>
      </c>
      <c r="M420" s="46" t="e">
        <f ca="1" t="shared" si="105"/>
        <v>#VALUE!</v>
      </c>
      <c r="N420" s="46" t="e">
        <f ca="1" t="shared" si="109"/>
        <v>#VALUE!</v>
      </c>
      <c r="O420" s="46">
        <v>77</v>
      </c>
      <c r="P420" s="46">
        <f t="shared" si="117"/>
        <v>28</v>
      </c>
      <c r="Q420" s="46" t="e">
        <f ca="1" t="shared" si="112"/>
        <v>#VALUE!</v>
      </c>
      <c r="R420" s="46" t="e">
        <f ca="1">OFFSET([2]怪物强度模型!$K$1,MATCH(F420,[2]怪物强度模型!$A:$A,0)-1,0)</f>
        <v>#VALUE!</v>
      </c>
      <c r="S420" s="46" t="e">
        <f ca="1">OFFSET([2]怪物强度模型!$O$1,MATCH(F420,[2]怪物强度模型!$A:$A,0)-1,0)</f>
        <v>#VALUE!</v>
      </c>
      <c r="T420" s="47" t="e">
        <f ca="1" t="shared" si="106"/>
        <v>#VALUE!</v>
      </c>
      <c r="U420" s="47" t="e">
        <f ca="1">Q420+N420*$V$1/10000+$V$1*OFFSET(卡牌辅助配置表!$V$1,MATCH(C420,卡牌辅助配置表!U:U,0)-1,0)*5*P420/10000/10000+M420*$V$1/10000</f>
        <v>#VALUE!</v>
      </c>
      <c r="V420" s="46" t="e">
        <f ca="1">OFFSET([2]怪物强度模型!$I$1,MATCH(F420,[2]怪物强度模型!$A:$A,0)-1,0)</f>
        <v>#VALUE!</v>
      </c>
      <c r="W420" s="47">
        <f t="shared" si="110"/>
        <v>2.05</v>
      </c>
      <c r="X420" s="47">
        <f t="shared" si="111"/>
        <v>1.64</v>
      </c>
    </row>
    <row r="421" spans="1:24">
      <c r="A421" s="45">
        <f t="shared" si="113"/>
        <v>2572</v>
      </c>
      <c r="B421" s="45" t="s">
        <v>2793</v>
      </c>
      <c r="C421" s="45">
        <v>2</v>
      </c>
      <c r="D421" s="45">
        <v>572</v>
      </c>
      <c r="F421" s="46">
        <f t="shared" si="114"/>
        <v>2028</v>
      </c>
      <c r="G421" s="45">
        <f t="shared" si="108"/>
        <v>3.32999999999999</v>
      </c>
      <c r="H421" s="45">
        <v>6</v>
      </c>
      <c r="I421" s="46">
        <v>10</v>
      </c>
      <c r="J421" s="46">
        <v>20</v>
      </c>
      <c r="K421" s="46" t="e">
        <f ca="1" t="shared" si="115"/>
        <v>#VALUE!</v>
      </c>
      <c r="L421" s="46" t="e">
        <f ca="1" t="shared" si="116"/>
        <v>#VALUE!</v>
      </c>
      <c r="M421" s="46" t="e">
        <f ca="1" t="shared" si="105"/>
        <v>#VALUE!</v>
      </c>
      <c r="N421" s="46" t="e">
        <f ca="1" t="shared" si="109"/>
        <v>#VALUE!</v>
      </c>
      <c r="O421" s="46">
        <v>78</v>
      </c>
      <c r="P421" s="46">
        <f t="shared" si="117"/>
        <v>28</v>
      </c>
      <c r="Q421" s="46" t="e">
        <f ca="1" t="shared" si="112"/>
        <v>#VALUE!</v>
      </c>
      <c r="R421" s="46" t="e">
        <f ca="1">OFFSET([2]怪物强度模型!$K$1,MATCH(F421,[2]怪物强度模型!$A:$A,0)-1,0)</f>
        <v>#VALUE!</v>
      </c>
      <c r="S421" s="46" t="e">
        <f ca="1">OFFSET([2]怪物强度模型!$O$1,MATCH(F421,[2]怪物强度模型!$A:$A,0)-1,0)</f>
        <v>#VALUE!</v>
      </c>
      <c r="T421" s="47" t="e">
        <f ca="1" t="shared" si="106"/>
        <v>#VALUE!</v>
      </c>
      <c r="U421" s="47" t="e">
        <f ca="1">Q421+N421*$V$1/10000+$V$1*OFFSET(卡牌辅助配置表!$V$1,MATCH(C421,卡牌辅助配置表!U:U,0)-1,0)*5*P421/10000/10000+M421*$V$1/10000</f>
        <v>#VALUE!</v>
      </c>
      <c r="V421" s="46" t="e">
        <f ca="1">OFFSET([2]怪物强度模型!$I$1,MATCH(F421,[2]怪物强度模型!$A:$A,0)-1,0)</f>
        <v>#VALUE!</v>
      </c>
      <c r="W421" s="47">
        <f t="shared" si="110"/>
        <v>2.05</v>
      </c>
      <c r="X421" s="47">
        <f t="shared" si="111"/>
        <v>1.64</v>
      </c>
    </row>
    <row r="422" spans="1:24">
      <c r="A422" s="45">
        <f t="shared" si="113"/>
        <v>2573</v>
      </c>
      <c r="B422" s="45" t="s">
        <v>2793</v>
      </c>
      <c r="C422" s="45">
        <v>2</v>
      </c>
      <c r="D422" s="45">
        <v>573</v>
      </c>
      <c r="F422" s="46">
        <f t="shared" si="114"/>
        <v>2028</v>
      </c>
      <c r="G422" s="45">
        <f t="shared" si="108"/>
        <v>3.37999999999999</v>
      </c>
      <c r="H422" s="45">
        <v>6</v>
      </c>
      <c r="I422" s="46">
        <v>10</v>
      </c>
      <c r="J422" s="46">
        <v>20</v>
      </c>
      <c r="K422" s="46" t="e">
        <f ca="1" t="shared" si="115"/>
        <v>#VALUE!</v>
      </c>
      <c r="L422" s="46" t="e">
        <f ca="1" t="shared" si="116"/>
        <v>#VALUE!</v>
      </c>
      <c r="M422" s="46" t="e">
        <f ca="1" t="shared" si="105"/>
        <v>#VALUE!</v>
      </c>
      <c r="N422" s="46" t="e">
        <f ca="1" t="shared" si="109"/>
        <v>#VALUE!</v>
      </c>
      <c r="O422" s="46">
        <v>79</v>
      </c>
      <c r="P422" s="46">
        <f t="shared" si="117"/>
        <v>28</v>
      </c>
      <c r="Q422" s="46" t="e">
        <f ca="1" t="shared" si="112"/>
        <v>#VALUE!</v>
      </c>
      <c r="R422" s="46" t="e">
        <f ca="1">OFFSET([2]怪物强度模型!$K$1,MATCH(F422,[2]怪物强度模型!$A:$A,0)-1,0)</f>
        <v>#VALUE!</v>
      </c>
      <c r="S422" s="46" t="e">
        <f ca="1">OFFSET([2]怪物强度模型!$O$1,MATCH(F422,[2]怪物强度模型!$A:$A,0)-1,0)</f>
        <v>#VALUE!</v>
      </c>
      <c r="T422" s="47" t="e">
        <f ca="1" t="shared" si="106"/>
        <v>#VALUE!</v>
      </c>
      <c r="U422" s="47" t="e">
        <f ca="1">Q422+N422*$V$1/10000+$V$1*OFFSET(卡牌辅助配置表!$V$1,MATCH(C422,卡牌辅助配置表!U:U,0)-1,0)*5*P422/10000/10000+M422*$V$1/10000</f>
        <v>#VALUE!</v>
      </c>
      <c r="V422" s="46" t="e">
        <f ca="1">OFFSET([2]怪物强度模型!$I$1,MATCH(F422,[2]怪物强度模型!$A:$A,0)-1,0)</f>
        <v>#VALUE!</v>
      </c>
      <c r="W422" s="47">
        <f t="shared" si="110"/>
        <v>2.06</v>
      </c>
      <c r="X422" s="47">
        <f t="shared" si="111"/>
        <v>1.64</v>
      </c>
    </row>
    <row r="423" spans="1:24">
      <c r="A423" s="45">
        <f t="shared" si="113"/>
        <v>2574</v>
      </c>
      <c r="B423" s="45" t="s">
        <v>2793</v>
      </c>
      <c r="C423" s="45">
        <v>2</v>
      </c>
      <c r="D423" s="45">
        <v>574</v>
      </c>
      <c r="F423" s="46">
        <f t="shared" si="114"/>
        <v>2028</v>
      </c>
      <c r="G423" s="45">
        <f t="shared" si="108"/>
        <v>4.23</v>
      </c>
      <c r="H423" s="45">
        <v>6</v>
      </c>
      <c r="I423" s="46">
        <v>10</v>
      </c>
      <c r="J423" s="46">
        <v>20</v>
      </c>
      <c r="K423" s="46" t="e">
        <f ca="1" t="shared" si="115"/>
        <v>#VALUE!</v>
      </c>
      <c r="L423" s="46" t="e">
        <f ca="1" t="shared" si="116"/>
        <v>#VALUE!</v>
      </c>
      <c r="M423" s="46" t="e">
        <f ca="1" t="shared" si="105"/>
        <v>#VALUE!</v>
      </c>
      <c r="N423" s="46" t="e">
        <f ca="1" t="shared" si="109"/>
        <v>#VALUE!</v>
      </c>
      <c r="O423" s="46">
        <v>80</v>
      </c>
      <c r="P423" s="46">
        <f t="shared" si="117"/>
        <v>28</v>
      </c>
      <c r="Q423" s="46" t="e">
        <f ca="1" t="shared" si="112"/>
        <v>#VALUE!</v>
      </c>
      <c r="R423" s="46" t="e">
        <f ca="1">OFFSET([2]怪物强度模型!$K$1,MATCH(F423,[2]怪物强度模型!$A:$A,0)-1,0)</f>
        <v>#VALUE!</v>
      </c>
      <c r="S423" s="46" t="e">
        <f ca="1">OFFSET([2]怪物强度模型!$O$1,MATCH(F423,[2]怪物强度模型!$A:$A,0)-1,0)</f>
        <v>#VALUE!</v>
      </c>
      <c r="T423" s="47" t="e">
        <f ca="1" t="shared" si="106"/>
        <v>#VALUE!</v>
      </c>
      <c r="U423" s="47" t="e">
        <f ca="1">Q423+N423*$V$1/10000+$V$1*OFFSET(卡牌辅助配置表!$V$1,MATCH(C423,卡牌辅助配置表!U:U,0)-1,0)*5*P423/10000/10000+M423*$V$1/10000</f>
        <v>#VALUE!</v>
      </c>
      <c r="V423" s="46" t="e">
        <f ca="1">OFFSET([2]怪物强度模型!$I$1,MATCH(F423,[2]怪物强度模型!$A:$A,0)-1,0)</f>
        <v>#VALUE!</v>
      </c>
      <c r="W423" s="47">
        <f t="shared" si="110"/>
        <v>2.06</v>
      </c>
      <c r="X423" s="47">
        <f t="shared" si="111"/>
        <v>1.64</v>
      </c>
    </row>
    <row r="424" spans="1:24">
      <c r="A424" s="45">
        <f t="shared" si="113"/>
        <v>2575</v>
      </c>
      <c r="B424" s="45" t="s">
        <v>2793</v>
      </c>
      <c r="C424" s="45">
        <v>2</v>
      </c>
      <c r="D424" s="45">
        <v>575</v>
      </c>
      <c r="F424" s="46">
        <f t="shared" si="114"/>
        <v>2028</v>
      </c>
      <c r="G424" s="45">
        <f t="shared" si="108"/>
        <v>3.25999999999999</v>
      </c>
      <c r="H424" s="45">
        <v>6</v>
      </c>
      <c r="I424" s="46">
        <v>10</v>
      </c>
      <c r="J424" s="46">
        <v>20</v>
      </c>
      <c r="K424" s="46" t="e">
        <f ca="1" t="shared" si="115"/>
        <v>#VALUE!</v>
      </c>
      <c r="L424" s="46" t="e">
        <f ca="1" t="shared" si="116"/>
        <v>#VALUE!</v>
      </c>
      <c r="M424" s="46" t="e">
        <f ca="1" t="shared" si="105"/>
        <v>#VALUE!</v>
      </c>
      <c r="N424" s="46" t="e">
        <f ca="1" t="shared" si="109"/>
        <v>#VALUE!</v>
      </c>
      <c r="O424" s="46">
        <v>81</v>
      </c>
      <c r="P424" s="46">
        <f t="shared" si="117"/>
        <v>28</v>
      </c>
      <c r="Q424" s="46" t="e">
        <f ca="1" t="shared" si="112"/>
        <v>#VALUE!</v>
      </c>
      <c r="R424" s="46" t="e">
        <f ca="1">OFFSET([2]怪物强度模型!$K$1,MATCH(F424,[2]怪物强度模型!$A:$A,0)-1,0)</f>
        <v>#VALUE!</v>
      </c>
      <c r="S424" s="46" t="e">
        <f ca="1">OFFSET([2]怪物强度模型!$O$1,MATCH(F424,[2]怪物强度模型!$A:$A,0)-1,0)</f>
        <v>#VALUE!</v>
      </c>
      <c r="T424" s="47" t="e">
        <f ca="1" t="shared" si="106"/>
        <v>#VALUE!</v>
      </c>
      <c r="U424" s="47" t="e">
        <f ca="1">Q424+N424*$V$1/10000+$V$1*OFFSET(卡牌辅助配置表!$V$1,MATCH(C424,卡牌辅助配置表!U:U,0)-1,0)*5*P424/10000/10000+M424*$V$1/10000</f>
        <v>#VALUE!</v>
      </c>
      <c r="V424" s="46" t="e">
        <f ca="1">OFFSET([2]怪物强度模型!$I$1,MATCH(F424,[2]怪物强度模型!$A:$A,0)-1,0)</f>
        <v>#VALUE!</v>
      </c>
      <c r="W424" s="47">
        <f t="shared" si="110"/>
        <v>2.06</v>
      </c>
      <c r="X424" s="47">
        <f t="shared" si="111"/>
        <v>1.64</v>
      </c>
    </row>
    <row r="425" spans="1:24">
      <c r="A425" s="45">
        <f t="shared" si="113"/>
        <v>2576</v>
      </c>
      <c r="B425" s="45" t="s">
        <v>2793</v>
      </c>
      <c r="C425" s="45">
        <v>2</v>
      </c>
      <c r="D425" s="45">
        <v>576</v>
      </c>
      <c r="F425" s="46">
        <f t="shared" si="114"/>
        <v>2028</v>
      </c>
      <c r="G425" s="45">
        <f t="shared" si="108"/>
        <v>3.30999999999999</v>
      </c>
      <c r="H425" s="45">
        <v>6</v>
      </c>
      <c r="I425" s="46">
        <v>10</v>
      </c>
      <c r="J425" s="46">
        <v>20</v>
      </c>
      <c r="K425" s="46" t="e">
        <f ca="1" t="shared" si="115"/>
        <v>#VALUE!</v>
      </c>
      <c r="L425" s="46" t="e">
        <f ca="1" t="shared" si="116"/>
        <v>#VALUE!</v>
      </c>
      <c r="M425" s="46" t="e">
        <f ca="1" t="shared" si="105"/>
        <v>#VALUE!</v>
      </c>
      <c r="N425" s="46" t="e">
        <f ca="1" t="shared" si="109"/>
        <v>#VALUE!</v>
      </c>
      <c r="O425" s="46">
        <v>82</v>
      </c>
      <c r="P425" s="46">
        <f t="shared" si="117"/>
        <v>28</v>
      </c>
      <c r="Q425" s="46" t="e">
        <f ca="1" t="shared" si="112"/>
        <v>#VALUE!</v>
      </c>
      <c r="R425" s="46" t="e">
        <f ca="1">OFFSET([2]怪物强度模型!$K$1,MATCH(F425,[2]怪物强度模型!$A:$A,0)-1,0)</f>
        <v>#VALUE!</v>
      </c>
      <c r="S425" s="46" t="e">
        <f ca="1">OFFSET([2]怪物强度模型!$O$1,MATCH(F425,[2]怪物强度模型!$A:$A,0)-1,0)</f>
        <v>#VALUE!</v>
      </c>
      <c r="T425" s="47" t="e">
        <f ca="1" t="shared" si="106"/>
        <v>#VALUE!</v>
      </c>
      <c r="U425" s="47" t="e">
        <f ca="1">Q425+N425*$V$1/10000+$V$1*OFFSET(卡牌辅助配置表!$V$1,MATCH(C425,卡牌辅助配置表!U:U,0)-1,0)*5*P425/10000/10000+M425*$V$1/10000</f>
        <v>#VALUE!</v>
      </c>
      <c r="V425" s="46" t="e">
        <f ca="1">OFFSET([2]怪物强度模型!$I$1,MATCH(F425,[2]怪物强度模型!$A:$A,0)-1,0)</f>
        <v>#VALUE!</v>
      </c>
      <c r="W425" s="47">
        <f t="shared" si="110"/>
        <v>2.07</v>
      </c>
      <c r="X425" s="47">
        <f t="shared" si="111"/>
        <v>1.64</v>
      </c>
    </row>
    <row r="426" spans="1:24">
      <c r="A426" s="45">
        <f t="shared" si="113"/>
        <v>2577</v>
      </c>
      <c r="B426" s="45" t="s">
        <v>2793</v>
      </c>
      <c r="C426" s="45">
        <v>2</v>
      </c>
      <c r="D426" s="45">
        <v>577</v>
      </c>
      <c r="F426" s="46">
        <f t="shared" si="114"/>
        <v>2028</v>
      </c>
      <c r="G426" s="45">
        <f t="shared" si="108"/>
        <v>3.35999999999999</v>
      </c>
      <c r="H426" s="45">
        <v>6</v>
      </c>
      <c r="I426" s="46">
        <v>10</v>
      </c>
      <c r="J426" s="46">
        <v>20</v>
      </c>
      <c r="K426" s="46" t="e">
        <f ca="1" t="shared" si="115"/>
        <v>#VALUE!</v>
      </c>
      <c r="L426" s="46" t="e">
        <f ca="1" t="shared" si="116"/>
        <v>#VALUE!</v>
      </c>
      <c r="M426" s="46" t="e">
        <f ca="1" t="shared" si="105"/>
        <v>#VALUE!</v>
      </c>
      <c r="N426" s="46" t="e">
        <f ca="1" t="shared" si="109"/>
        <v>#VALUE!</v>
      </c>
      <c r="O426" s="46">
        <v>83</v>
      </c>
      <c r="P426" s="46">
        <f t="shared" si="117"/>
        <v>28</v>
      </c>
      <c r="Q426" s="46" t="e">
        <f ca="1" t="shared" si="112"/>
        <v>#VALUE!</v>
      </c>
      <c r="R426" s="46" t="e">
        <f ca="1">OFFSET([2]怪物强度模型!$K$1,MATCH(F426,[2]怪物强度模型!$A:$A,0)-1,0)</f>
        <v>#VALUE!</v>
      </c>
      <c r="S426" s="46" t="e">
        <f ca="1">OFFSET([2]怪物强度模型!$O$1,MATCH(F426,[2]怪物强度模型!$A:$A,0)-1,0)</f>
        <v>#VALUE!</v>
      </c>
      <c r="T426" s="47" t="e">
        <f ca="1" t="shared" si="106"/>
        <v>#VALUE!</v>
      </c>
      <c r="U426" s="47" t="e">
        <f ca="1">Q426+N426*$V$1/10000+$V$1*OFFSET(卡牌辅助配置表!$V$1,MATCH(C426,卡牌辅助配置表!U:U,0)-1,0)*5*P426/10000/10000+M426*$V$1/10000</f>
        <v>#VALUE!</v>
      </c>
      <c r="V426" s="46" t="e">
        <f ca="1">OFFSET([2]怪物强度模型!$I$1,MATCH(F426,[2]怪物强度模型!$A:$A,0)-1,0)</f>
        <v>#VALUE!</v>
      </c>
      <c r="W426" s="47">
        <f t="shared" si="110"/>
        <v>2.07</v>
      </c>
      <c r="X426" s="47">
        <f t="shared" si="111"/>
        <v>1.64</v>
      </c>
    </row>
    <row r="427" spans="1:24">
      <c r="A427" s="45">
        <f t="shared" si="113"/>
        <v>2578</v>
      </c>
      <c r="B427" s="45" t="s">
        <v>2793</v>
      </c>
      <c r="C427" s="45">
        <v>2</v>
      </c>
      <c r="D427" s="45">
        <v>578</v>
      </c>
      <c r="F427" s="46">
        <f t="shared" si="114"/>
        <v>2028</v>
      </c>
      <c r="G427" s="45">
        <f t="shared" si="108"/>
        <v>3.40999999999999</v>
      </c>
      <c r="H427" s="45">
        <v>6</v>
      </c>
      <c r="I427" s="46">
        <v>10</v>
      </c>
      <c r="J427" s="46">
        <v>20</v>
      </c>
      <c r="K427" s="46" t="e">
        <f ca="1" t="shared" si="115"/>
        <v>#VALUE!</v>
      </c>
      <c r="L427" s="46" t="e">
        <f ca="1" t="shared" si="116"/>
        <v>#VALUE!</v>
      </c>
      <c r="M427" s="46" t="e">
        <f ca="1" t="shared" si="105"/>
        <v>#VALUE!</v>
      </c>
      <c r="N427" s="46" t="e">
        <f ca="1" t="shared" si="109"/>
        <v>#VALUE!</v>
      </c>
      <c r="O427" s="46">
        <v>84</v>
      </c>
      <c r="P427" s="46">
        <f t="shared" si="117"/>
        <v>28</v>
      </c>
      <c r="Q427" s="46" t="e">
        <f ca="1" t="shared" si="112"/>
        <v>#VALUE!</v>
      </c>
      <c r="R427" s="46" t="e">
        <f ca="1">OFFSET([2]怪物强度模型!$K$1,MATCH(F427,[2]怪物强度模型!$A:$A,0)-1,0)</f>
        <v>#VALUE!</v>
      </c>
      <c r="S427" s="46" t="e">
        <f ca="1">OFFSET([2]怪物强度模型!$O$1,MATCH(F427,[2]怪物强度模型!$A:$A,0)-1,0)</f>
        <v>#VALUE!</v>
      </c>
      <c r="T427" s="47" t="e">
        <f ca="1" t="shared" si="106"/>
        <v>#VALUE!</v>
      </c>
      <c r="U427" s="47" t="e">
        <f ca="1">Q427+N427*$V$1/10000+$V$1*OFFSET(卡牌辅助配置表!$V$1,MATCH(C427,卡牌辅助配置表!U:U,0)-1,0)*5*P427/10000/10000+M427*$V$1/10000</f>
        <v>#VALUE!</v>
      </c>
      <c r="V427" s="46" t="e">
        <f ca="1">OFFSET([2]怪物强度模型!$I$1,MATCH(F427,[2]怪物强度模型!$A:$A,0)-1,0)</f>
        <v>#VALUE!</v>
      </c>
      <c r="W427" s="47">
        <f t="shared" si="110"/>
        <v>2.07</v>
      </c>
      <c r="X427" s="47">
        <f t="shared" si="111"/>
        <v>1.64</v>
      </c>
    </row>
    <row r="428" spans="1:24">
      <c r="A428" s="45">
        <f t="shared" si="113"/>
        <v>2579</v>
      </c>
      <c r="B428" s="45" t="s">
        <v>2793</v>
      </c>
      <c r="C428" s="45">
        <v>2</v>
      </c>
      <c r="D428" s="45">
        <v>579</v>
      </c>
      <c r="F428" s="46">
        <f t="shared" si="114"/>
        <v>2028</v>
      </c>
      <c r="G428" s="45">
        <f>G418+0.1</f>
        <v>4.3</v>
      </c>
      <c r="H428" s="45">
        <v>6</v>
      </c>
      <c r="I428" s="46">
        <v>10</v>
      </c>
      <c r="J428" s="46">
        <v>20</v>
      </c>
      <c r="K428" s="46" t="e">
        <f ca="1" t="shared" si="115"/>
        <v>#VALUE!</v>
      </c>
      <c r="L428" s="46" t="e">
        <f ca="1" t="shared" si="116"/>
        <v>#VALUE!</v>
      </c>
      <c r="M428" s="46" t="e">
        <f ca="1" t="shared" si="105"/>
        <v>#VALUE!</v>
      </c>
      <c r="N428" s="46" t="e">
        <f ca="1" t="shared" si="109"/>
        <v>#VALUE!</v>
      </c>
      <c r="O428" s="46">
        <v>85</v>
      </c>
      <c r="P428" s="46">
        <f t="shared" si="117"/>
        <v>28</v>
      </c>
      <c r="Q428" s="46" t="e">
        <f ca="1" t="shared" si="112"/>
        <v>#VALUE!</v>
      </c>
      <c r="R428" s="46" t="e">
        <f ca="1">OFFSET([2]怪物强度模型!$K$1,MATCH(F428,[2]怪物强度模型!$A:$A,0)-1,0)</f>
        <v>#VALUE!</v>
      </c>
      <c r="S428" s="46" t="e">
        <f ca="1">OFFSET([2]怪物强度模型!$O$1,MATCH(F428,[2]怪物强度模型!$A:$A,0)-1,0)</f>
        <v>#VALUE!</v>
      </c>
      <c r="T428" s="47" t="e">
        <f ca="1" t="shared" si="106"/>
        <v>#VALUE!</v>
      </c>
      <c r="U428" s="47" t="e">
        <f ca="1">Q428+N428*$V$1/10000+$V$1*OFFSET(卡牌辅助配置表!$V$1,MATCH(C428,卡牌辅助配置表!U:U,0)-1,0)*5*P428/10000/10000+M428*$V$1/10000</f>
        <v>#VALUE!</v>
      </c>
      <c r="V428" s="46" t="e">
        <f ca="1">OFFSET([2]怪物强度模型!$I$1,MATCH(F428,[2]怪物强度模型!$A:$A,0)-1,0)</f>
        <v>#VALUE!</v>
      </c>
      <c r="W428" s="47">
        <f t="shared" si="110"/>
        <v>2.2</v>
      </c>
      <c r="X428" s="47">
        <f t="shared" si="111"/>
        <v>1.64</v>
      </c>
    </row>
    <row r="429" spans="1:24">
      <c r="A429" s="45">
        <f t="shared" si="113"/>
        <v>2580</v>
      </c>
      <c r="B429" s="45" t="s">
        <v>2793</v>
      </c>
      <c r="C429" s="45">
        <v>2</v>
      </c>
      <c r="D429" s="45">
        <v>580</v>
      </c>
      <c r="F429" s="46">
        <f t="shared" si="114"/>
        <v>2029</v>
      </c>
      <c r="G429" s="45">
        <f t="shared" si="108"/>
        <v>3.28999999999999</v>
      </c>
      <c r="H429" s="45">
        <v>6</v>
      </c>
      <c r="I429" s="46">
        <v>10</v>
      </c>
      <c r="J429" s="46">
        <v>20</v>
      </c>
      <c r="K429" s="46" t="e">
        <f ca="1" t="shared" si="115"/>
        <v>#VALUE!</v>
      </c>
      <c r="L429" s="46" t="e">
        <f ca="1" t="shared" si="116"/>
        <v>#VALUE!</v>
      </c>
      <c r="M429" s="46" t="e">
        <f ca="1" t="shared" si="105"/>
        <v>#VALUE!</v>
      </c>
      <c r="N429" s="46" t="e">
        <f ca="1" t="shared" si="109"/>
        <v>#VALUE!</v>
      </c>
      <c r="O429" s="46">
        <v>86</v>
      </c>
      <c r="P429" s="46">
        <f t="shared" si="117"/>
        <v>29</v>
      </c>
      <c r="Q429" s="46" t="e">
        <f ca="1" t="shared" si="112"/>
        <v>#VALUE!</v>
      </c>
      <c r="R429" s="46" t="e">
        <f ca="1">OFFSET([2]怪物强度模型!$K$1,MATCH(F429,[2]怪物强度模型!$A:$A,0)-1,0)</f>
        <v>#VALUE!</v>
      </c>
      <c r="S429" s="46" t="e">
        <f ca="1">OFFSET([2]怪物强度模型!$O$1,MATCH(F429,[2]怪物强度模型!$A:$A,0)-1,0)</f>
        <v>#VALUE!</v>
      </c>
      <c r="T429" s="47" t="e">
        <f ca="1" t="shared" si="106"/>
        <v>#VALUE!</v>
      </c>
      <c r="U429" s="47" t="e">
        <f ca="1">Q429+N429*$V$1/10000+$V$1*OFFSET(卡牌辅助配置表!$V$1,MATCH(C429,卡牌辅助配置表!U:U,0)-1,0)*5*P429/10000/10000+M429*$V$1/10000</f>
        <v>#VALUE!</v>
      </c>
      <c r="V429" s="46" t="e">
        <f ca="1">OFFSET([2]怪物强度模型!$I$1,MATCH(F429,[2]怪物强度模型!$A:$A,0)-1,0)</f>
        <v>#VALUE!</v>
      </c>
      <c r="W429" s="47">
        <f t="shared" si="110"/>
        <v>2.1</v>
      </c>
      <c r="X429" s="47">
        <f t="shared" si="111"/>
        <v>1.66</v>
      </c>
    </row>
    <row r="430" spans="1:24">
      <c r="A430" s="45">
        <f t="shared" si="113"/>
        <v>2581</v>
      </c>
      <c r="B430" s="45" t="s">
        <v>2793</v>
      </c>
      <c r="C430" s="45">
        <v>2</v>
      </c>
      <c r="D430" s="45">
        <v>581</v>
      </c>
      <c r="F430" s="46">
        <f t="shared" si="114"/>
        <v>2029</v>
      </c>
      <c r="G430" s="45">
        <f t="shared" si="108"/>
        <v>3.33999999999999</v>
      </c>
      <c r="H430" s="45">
        <v>6</v>
      </c>
      <c r="I430" s="46">
        <v>10</v>
      </c>
      <c r="J430" s="46">
        <v>20</v>
      </c>
      <c r="K430" s="46" t="e">
        <f ca="1" t="shared" si="115"/>
        <v>#VALUE!</v>
      </c>
      <c r="L430" s="46" t="e">
        <f ca="1" t="shared" si="116"/>
        <v>#VALUE!</v>
      </c>
      <c r="M430" s="46" t="e">
        <f ca="1" t="shared" si="105"/>
        <v>#VALUE!</v>
      </c>
      <c r="N430" s="46" t="e">
        <f ca="1" t="shared" si="109"/>
        <v>#VALUE!</v>
      </c>
      <c r="O430" s="46">
        <v>87</v>
      </c>
      <c r="P430" s="46">
        <f t="shared" si="117"/>
        <v>29</v>
      </c>
      <c r="Q430" s="46" t="e">
        <f ca="1" t="shared" si="112"/>
        <v>#VALUE!</v>
      </c>
      <c r="R430" s="46" t="e">
        <f ca="1">OFFSET([2]怪物强度模型!$K$1,MATCH(F430,[2]怪物强度模型!$A:$A,0)-1,0)</f>
        <v>#VALUE!</v>
      </c>
      <c r="S430" s="46" t="e">
        <f ca="1">OFFSET([2]怪物强度模型!$O$1,MATCH(F430,[2]怪物强度模型!$A:$A,0)-1,0)</f>
        <v>#VALUE!</v>
      </c>
      <c r="T430" s="47" t="e">
        <f ca="1" t="shared" si="106"/>
        <v>#VALUE!</v>
      </c>
      <c r="U430" s="47" t="e">
        <f ca="1">Q430+N430*$V$1/10000+$V$1*OFFSET(卡牌辅助配置表!$V$1,MATCH(C430,卡牌辅助配置表!U:U,0)-1,0)*5*P430/10000/10000+M430*$V$1/10000</f>
        <v>#VALUE!</v>
      </c>
      <c r="V430" s="46" t="e">
        <f ca="1">OFFSET([2]怪物强度模型!$I$1,MATCH(F430,[2]怪物强度模型!$A:$A,0)-1,0)</f>
        <v>#VALUE!</v>
      </c>
      <c r="W430" s="47">
        <f t="shared" si="110"/>
        <v>2.1</v>
      </c>
      <c r="X430" s="47">
        <f t="shared" si="111"/>
        <v>1.66</v>
      </c>
    </row>
    <row r="431" spans="1:24">
      <c r="A431" s="45">
        <f t="shared" si="113"/>
        <v>2582</v>
      </c>
      <c r="B431" s="45" t="s">
        <v>2793</v>
      </c>
      <c r="C431" s="45">
        <v>2</v>
      </c>
      <c r="D431" s="45">
        <v>582</v>
      </c>
      <c r="F431" s="46">
        <f t="shared" si="114"/>
        <v>2029</v>
      </c>
      <c r="G431" s="45">
        <f t="shared" si="108"/>
        <v>3.38999999999999</v>
      </c>
      <c r="H431" s="45">
        <v>6</v>
      </c>
      <c r="I431" s="46">
        <v>10</v>
      </c>
      <c r="J431" s="46">
        <v>20</v>
      </c>
      <c r="K431" s="46" t="e">
        <f ca="1" t="shared" si="115"/>
        <v>#VALUE!</v>
      </c>
      <c r="L431" s="46" t="e">
        <f ca="1" t="shared" si="116"/>
        <v>#VALUE!</v>
      </c>
      <c r="M431" s="46" t="e">
        <f ca="1" t="shared" si="105"/>
        <v>#VALUE!</v>
      </c>
      <c r="N431" s="46" t="e">
        <f ca="1" t="shared" si="109"/>
        <v>#VALUE!</v>
      </c>
      <c r="O431" s="46">
        <v>88</v>
      </c>
      <c r="P431" s="46">
        <f t="shared" si="117"/>
        <v>29</v>
      </c>
      <c r="Q431" s="46" t="e">
        <f ca="1" t="shared" si="112"/>
        <v>#VALUE!</v>
      </c>
      <c r="R431" s="46" t="e">
        <f ca="1">OFFSET([2]怪物强度模型!$K$1,MATCH(F431,[2]怪物强度模型!$A:$A,0)-1,0)</f>
        <v>#VALUE!</v>
      </c>
      <c r="S431" s="46" t="e">
        <f ca="1">OFFSET([2]怪物强度模型!$O$1,MATCH(F431,[2]怪物强度模型!$A:$A,0)-1,0)</f>
        <v>#VALUE!</v>
      </c>
      <c r="T431" s="47" t="e">
        <f ca="1" t="shared" si="106"/>
        <v>#VALUE!</v>
      </c>
      <c r="U431" s="47" t="e">
        <f ca="1">Q431+N431*$V$1/10000+$V$1*OFFSET(卡牌辅助配置表!$V$1,MATCH(C431,卡牌辅助配置表!U:U,0)-1,0)*5*P431/10000/10000+M431*$V$1/10000</f>
        <v>#VALUE!</v>
      </c>
      <c r="V431" s="46" t="e">
        <f ca="1">OFFSET([2]怪物强度模型!$I$1,MATCH(F431,[2]怪物强度模型!$A:$A,0)-1,0)</f>
        <v>#VALUE!</v>
      </c>
      <c r="W431" s="47">
        <f t="shared" si="110"/>
        <v>2.1</v>
      </c>
      <c r="X431" s="47">
        <f t="shared" si="111"/>
        <v>1.66</v>
      </c>
    </row>
    <row r="432" spans="1:24">
      <c r="A432" s="45">
        <f t="shared" si="113"/>
        <v>2583</v>
      </c>
      <c r="B432" s="45" t="s">
        <v>2793</v>
      </c>
      <c r="C432" s="45">
        <v>2</v>
      </c>
      <c r="D432" s="45">
        <v>583</v>
      </c>
      <c r="F432" s="46">
        <f t="shared" si="114"/>
        <v>2029</v>
      </c>
      <c r="G432" s="45">
        <f t="shared" si="108"/>
        <v>3.43999999999999</v>
      </c>
      <c r="H432" s="45">
        <v>6</v>
      </c>
      <c r="I432" s="46">
        <v>10</v>
      </c>
      <c r="J432" s="46">
        <v>20</v>
      </c>
      <c r="K432" s="46" t="e">
        <f ca="1" t="shared" si="115"/>
        <v>#VALUE!</v>
      </c>
      <c r="L432" s="46" t="e">
        <f ca="1" t="shared" si="116"/>
        <v>#VALUE!</v>
      </c>
      <c r="M432" s="46" t="e">
        <f ca="1" t="shared" si="105"/>
        <v>#VALUE!</v>
      </c>
      <c r="N432" s="46" t="e">
        <f ca="1" t="shared" si="109"/>
        <v>#VALUE!</v>
      </c>
      <c r="O432" s="46">
        <v>89</v>
      </c>
      <c r="P432" s="46">
        <f t="shared" si="117"/>
        <v>29</v>
      </c>
      <c r="Q432" s="46" t="e">
        <f ca="1" t="shared" si="112"/>
        <v>#VALUE!</v>
      </c>
      <c r="R432" s="46" t="e">
        <f ca="1">OFFSET([2]怪物强度模型!$K$1,MATCH(F432,[2]怪物强度模型!$A:$A,0)-1,0)</f>
        <v>#VALUE!</v>
      </c>
      <c r="S432" s="46" t="e">
        <f ca="1">OFFSET([2]怪物强度模型!$O$1,MATCH(F432,[2]怪物强度模型!$A:$A,0)-1,0)</f>
        <v>#VALUE!</v>
      </c>
      <c r="T432" s="47" t="e">
        <f ca="1" t="shared" si="106"/>
        <v>#VALUE!</v>
      </c>
      <c r="U432" s="47" t="e">
        <f ca="1">Q432+N432*$V$1/10000+$V$1*OFFSET(卡牌辅助配置表!$V$1,MATCH(C432,卡牌辅助配置表!U:U,0)-1,0)*5*P432/10000/10000+M432*$V$1/10000</f>
        <v>#VALUE!</v>
      </c>
      <c r="V432" s="46" t="e">
        <f ca="1">OFFSET([2]怪物强度模型!$I$1,MATCH(F432,[2]怪物强度模型!$A:$A,0)-1,0)</f>
        <v>#VALUE!</v>
      </c>
      <c r="W432" s="47">
        <f t="shared" si="110"/>
        <v>2.11</v>
      </c>
      <c r="X432" s="47">
        <f t="shared" si="111"/>
        <v>1.66</v>
      </c>
    </row>
    <row r="433" spans="1:24">
      <c r="A433" s="45">
        <f t="shared" si="113"/>
        <v>2584</v>
      </c>
      <c r="B433" s="45" t="s">
        <v>2793</v>
      </c>
      <c r="C433" s="45">
        <v>2</v>
      </c>
      <c r="D433" s="45">
        <v>584</v>
      </c>
      <c r="F433" s="46">
        <f t="shared" si="114"/>
        <v>2029</v>
      </c>
      <c r="G433" s="45">
        <f t="shared" si="108"/>
        <v>4.33</v>
      </c>
      <c r="H433" s="45">
        <v>6</v>
      </c>
      <c r="I433" s="46">
        <v>10</v>
      </c>
      <c r="J433" s="46">
        <v>20</v>
      </c>
      <c r="K433" s="46" t="e">
        <f ca="1" t="shared" si="115"/>
        <v>#VALUE!</v>
      </c>
      <c r="L433" s="46" t="e">
        <f ca="1" t="shared" si="116"/>
        <v>#VALUE!</v>
      </c>
      <c r="M433" s="46" t="e">
        <f ca="1" t="shared" si="105"/>
        <v>#VALUE!</v>
      </c>
      <c r="N433" s="46" t="e">
        <f ca="1" t="shared" si="109"/>
        <v>#VALUE!</v>
      </c>
      <c r="O433" s="46">
        <v>90</v>
      </c>
      <c r="P433" s="46">
        <f t="shared" si="117"/>
        <v>29</v>
      </c>
      <c r="Q433" s="46" t="e">
        <f ca="1" t="shared" si="112"/>
        <v>#VALUE!</v>
      </c>
      <c r="R433" s="46" t="e">
        <f ca="1">OFFSET([2]怪物强度模型!$K$1,MATCH(F433,[2]怪物强度模型!$A:$A,0)-1,0)</f>
        <v>#VALUE!</v>
      </c>
      <c r="S433" s="46" t="e">
        <f ca="1">OFFSET([2]怪物强度模型!$O$1,MATCH(F433,[2]怪物强度模型!$A:$A,0)-1,0)</f>
        <v>#VALUE!</v>
      </c>
      <c r="T433" s="47" t="e">
        <f ca="1" t="shared" si="106"/>
        <v>#VALUE!</v>
      </c>
      <c r="U433" s="47" t="e">
        <f ca="1">Q433+N433*$V$1/10000+$V$1*OFFSET(卡牌辅助配置表!$V$1,MATCH(C433,卡牌辅助配置表!U:U,0)-1,0)*5*P433/10000/10000+M433*$V$1/10000</f>
        <v>#VALUE!</v>
      </c>
      <c r="V433" s="46" t="e">
        <f ca="1">OFFSET([2]怪物强度模型!$I$1,MATCH(F433,[2]怪物强度模型!$A:$A,0)-1,0)</f>
        <v>#VALUE!</v>
      </c>
      <c r="W433" s="47">
        <f t="shared" si="110"/>
        <v>2.11</v>
      </c>
      <c r="X433" s="47">
        <f t="shared" si="111"/>
        <v>1.66</v>
      </c>
    </row>
    <row r="434" spans="1:24">
      <c r="A434" s="45">
        <f t="shared" si="113"/>
        <v>2585</v>
      </c>
      <c r="B434" s="45" t="s">
        <v>2793</v>
      </c>
      <c r="C434" s="45">
        <v>2</v>
      </c>
      <c r="D434" s="45">
        <v>585</v>
      </c>
      <c r="F434" s="46">
        <f t="shared" si="114"/>
        <v>2029</v>
      </c>
      <c r="G434" s="45">
        <f t="shared" si="108"/>
        <v>3.31999999999999</v>
      </c>
      <c r="H434" s="45">
        <v>6</v>
      </c>
      <c r="I434" s="46">
        <v>10</v>
      </c>
      <c r="J434" s="46">
        <v>20</v>
      </c>
      <c r="K434" s="46" t="e">
        <f ca="1" t="shared" si="115"/>
        <v>#VALUE!</v>
      </c>
      <c r="L434" s="46" t="e">
        <f ca="1" t="shared" si="116"/>
        <v>#VALUE!</v>
      </c>
      <c r="M434" s="46" t="e">
        <f ca="1" t="shared" si="105"/>
        <v>#VALUE!</v>
      </c>
      <c r="N434" s="46" t="e">
        <f ca="1" t="shared" si="109"/>
        <v>#VALUE!</v>
      </c>
      <c r="O434" s="46">
        <v>91</v>
      </c>
      <c r="P434" s="46">
        <f t="shared" si="117"/>
        <v>29</v>
      </c>
      <c r="Q434" s="46" t="e">
        <f ca="1" t="shared" si="112"/>
        <v>#VALUE!</v>
      </c>
      <c r="R434" s="46" t="e">
        <f ca="1">OFFSET([2]怪物强度模型!$K$1,MATCH(F434,[2]怪物强度模型!$A:$A,0)-1,0)</f>
        <v>#VALUE!</v>
      </c>
      <c r="S434" s="46" t="e">
        <f ca="1">OFFSET([2]怪物强度模型!$O$1,MATCH(F434,[2]怪物强度模型!$A:$A,0)-1,0)</f>
        <v>#VALUE!</v>
      </c>
      <c r="T434" s="47" t="e">
        <f ca="1" t="shared" si="106"/>
        <v>#VALUE!</v>
      </c>
      <c r="U434" s="47" t="e">
        <f ca="1">Q434+N434*$V$1/10000+$V$1*OFFSET(卡牌辅助配置表!$V$1,MATCH(C434,卡牌辅助配置表!U:U,0)-1,0)*5*P434/10000/10000+M434*$V$1/10000</f>
        <v>#VALUE!</v>
      </c>
      <c r="V434" s="46" t="e">
        <f ca="1">OFFSET([2]怪物强度模型!$I$1,MATCH(F434,[2]怪物强度模型!$A:$A,0)-1,0)</f>
        <v>#VALUE!</v>
      </c>
      <c r="W434" s="47">
        <f t="shared" si="110"/>
        <v>2.11</v>
      </c>
      <c r="X434" s="47">
        <f t="shared" si="111"/>
        <v>1.66</v>
      </c>
    </row>
    <row r="435" spans="1:24">
      <c r="A435" s="45">
        <f t="shared" si="113"/>
        <v>2586</v>
      </c>
      <c r="B435" s="45" t="s">
        <v>2793</v>
      </c>
      <c r="C435" s="45">
        <v>2</v>
      </c>
      <c r="D435" s="45">
        <v>586</v>
      </c>
      <c r="F435" s="46">
        <f t="shared" si="114"/>
        <v>2029</v>
      </c>
      <c r="G435" s="45">
        <f t="shared" si="108"/>
        <v>3.36999999999999</v>
      </c>
      <c r="H435" s="45">
        <v>6</v>
      </c>
      <c r="I435" s="46">
        <v>10</v>
      </c>
      <c r="J435" s="46">
        <v>20</v>
      </c>
      <c r="K435" s="46" t="e">
        <f ca="1" t="shared" si="115"/>
        <v>#VALUE!</v>
      </c>
      <c r="L435" s="46" t="e">
        <f ca="1" t="shared" si="116"/>
        <v>#VALUE!</v>
      </c>
      <c r="M435" s="46" t="e">
        <f ca="1" t="shared" si="105"/>
        <v>#VALUE!</v>
      </c>
      <c r="N435" s="46" t="e">
        <f ca="1" t="shared" si="109"/>
        <v>#VALUE!</v>
      </c>
      <c r="O435" s="46">
        <v>92</v>
      </c>
      <c r="P435" s="46">
        <f t="shared" si="117"/>
        <v>29</v>
      </c>
      <c r="Q435" s="46" t="e">
        <f ca="1" t="shared" si="112"/>
        <v>#VALUE!</v>
      </c>
      <c r="R435" s="46" t="e">
        <f ca="1">OFFSET([2]怪物强度模型!$K$1,MATCH(F435,[2]怪物强度模型!$A:$A,0)-1,0)</f>
        <v>#VALUE!</v>
      </c>
      <c r="S435" s="46" t="e">
        <f ca="1">OFFSET([2]怪物强度模型!$O$1,MATCH(F435,[2]怪物强度模型!$A:$A,0)-1,0)</f>
        <v>#VALUE!</v>
      </c>
      <c r="T435" s="47" t="e">
        <f ca="1" t="shared" si="106"/>
        <v>#VALUE!</v>
      </c>
      <c r="U435" s="47" t="e">
        <f ca="1">Q435+N435*$V$1/10000+$V$1*OFFSET(卡牌辅助配置表!$V$1,MATCH(C435,卡牌辅助配置表!U:U,0)-1,0)*5*P435/10000/10000+M435*$V$1/10000</f>
        <v>#VALUE!</v>
      </c>
      <c r="V435" s="46" t="e">
        <f ca="1">OFFSET([2]怪物强度模型!$I$1,MATCH(F435,[2]怪物强度模型!$A:$A,0)-1,0)</f>
        <v>#VALUE!</v>
      </c>
      <c r="W435" s="47">
        <f t="shared" si="110"/>
        <v>2.12</v>
      </c>
      <c r="X435" s="47">
        <f t="shared" si="111"/>
        <v>1.66</v>
      </c>
    </row>
    <row r="436" spans="1:24">
      <c r="A436" s="45">
        <f t="shared" si="113"/>
        <v>2587</v>
      </c>
      <c r="B436" s="45" t="s">
        <v>2793</v>
      </c>
      <c r="C436" s="45">
        <v>2</v>
      </c>
      <c r="D436" s="45">
        <v>587</v>
      </c>
      <c r="F436" s="46">
        <f t="shared" si="114"/>
        <v>2029</v>
      </c>
      <c r="G436" s="45">
        <f t="shared" si="108"/>
        <v>3.41999999999999</v>
      </c>
      <c r="H436" s="45">
        <v>6</v>
      </c>
      <c r="I436" s="46">
        <v>10</v>
      </c>
      <c r="J436" s="46">
        <v>20</v>
      </c>
      <c r="K436" s="46" t="e">
        <f ca="1" t="shared" si="115"/>
        <v>#VALUE!</v>
      </c>
      <c r="L436" s="46" t="e">
        <f ca="1" t="shared" si="116"/>
        <v>#VALUE!</v>
      </c>
      <c r="M436" s="46" t="e">
        <f ca="1" t="shared" si="105"/>
        <v>#VALUE!</v>
      </c>
      <c r="N436" s="46" t="e">
        <f ca="1" t="shared" si="109"/>
        <v>#VALUE!</v>
      </c>
      <c r="O436" s="46">
        <v>93</v>
      </c>
      <c r="P436" s="46">
        <f t="shared" si="117"/>
        <v>29</v>
      </c>
      <c r="Q436" s="46" t="e">
        <f ca="1" t="shared" si="112"/>
        <v>#VALUE!</v>
      </c>
      <c r="R436" s="46" t="e">
        <f ca="1">OFFSET([2]怪物强度模型!$K$1,MATCH(F436,[2]怪物强度模型!$A:$A,0)-1,0)</f>
        <v>#VALUE!</v>
      </c>
      <c r="S436" s="46" t="e">
        <f ca="1">OFFSET([2]怪物强度模型!$O$1,MATCH(F436,[2]怪物强度模型!$A:$A,0)-1,0)</f>
        <v>#VALUE!</v>
      </c>
      <c r="T436" s="47" t="e">
        <f ca="1" t="shared" si="106"/>
        <v>#VALUE!</v>
      </c>
      <c r="U436" s="47" t="e">
        <f ca="1">Q436+N436*$V$1/10000+$V$1*OFFSET(卡牌辅助配置表!$V$1,MATCH(C436,卡牌辅助配置表!U:U,0)-1,0)*5*P436/10000/10000+M436*$V$1/10000</f>
        <v>#VALUE!</v>
      </c>
      <c r="V436" s="46" t="e">
        <f ca="1">OFFSET([2]怪物强度模型!$I$1,MATCH(F436,[2]怪物强度模型!$A:$A,0)-1,0)</f>
        <v>#VALUE!</v>
      </c>
      <c r="W436" s="47">
        <f t="shared" si="110"/>
        <v>2.12</v>
      </c>
      <c r="X436" s="47">
        <f t="shared" si="111"/>
        <v>1.66</v>
      </c>
    </row>
    <row r="437" spans="1:24">
      <c r="A437" s="45">
        <f t="shared" si="113"/>
        <v>2588</v>
      </c>
      <c r="B437" s="45" t="s">
        <v>2793</v>
      </c>
      <c r="C437" s="45">
        <v>2</v>
      </c>
      <c r="D437" s="45">
        <v>588</v>
      </c>
      <c r="F437" s="46">
        <f t="shared" si="114"/>
        <v>2029</v>
      </c>
      <c r="G437" s="45">
        <f t="shared" si="108"/>
        <v>3.46999999999999</v>
      </c>
      <c r="H437" s="45">
        <v>6</v>
      </c>
      <c r="I437" s="46">
        <v>10</v>
      </c>
      <c r="J437" s="46">
        <v>20</v>
      </c>
      <c r="K437" s="46" t="e">
        <f ca="1" t="shared" si="115"/>
        <v>#VALUE!</v>
      </c>
      <c r="L437" s="46" t="e">
        <f ca="1" t="shared" si="116"/>
        <v>#VALUE!</v>
      </c>
      <c r="M437" s="46" t="e">
        <f ca="1" t="shared" si="105"/>
        <v>#VALUE!</v>
      </c>
      <c r="N437" s="46" t="e">
        <f ca="1" t="shared" si="109"/>
        <v>#VALUE!</v>
      </c>
      <c r="O437" s="46">
        <v>94</v>
      </c>
      <c r="P437" s="46">
        <f t="shared" si="117"/>
        <v>29</v>
      </c>
      <c r="Q437" s="46" t="e">
        <f ca="1" t="shared" si="112"/>
        <v>#VALUE!</v>
      </c>
      <c r="R437" s="46" t="e">
        <f ca="1">OFFSET([2]怪物强度模型!$K$1,MATCH(F437,[2]怪物强度模型!$A:$A,0)-1,0)</f>
        <v>#VALUE!</v>
      </c>
      <c r="S437" s="46" t="e">
        <f ca="1">OFFSET([2]怪物强度模型!$O$1,MATCH(F437,[2]怪物强度模型!$A:$A,0)-1,0)</f>
        <v>#VALUE!</v>
      </c>
      <c r="T437" s="47" t="e">
        <f ca="1" t="shared" si="106"/>
        <v>#VALUE!</v>
      </c>
      <c r="U437" s="47" t="e">
        <f ca="1">Q437+N437*$V$1/10000+$V$1*OFFSET(卡牌辅助配置表!$V$1,MATCH(C437,卡牌辅助配置表!U:U,0)-1,0)*5*P437/10000/10000+M437*$V$1/10000</f>
        <v>#VALUE!</v>
      </c>
      <c r="V437" s="46" t="e">
        <f ca="1">OFFSET([2]怪物强度模型!$I$1,MATCH(F437,[2]怪物强度模型!$A:$A,0)-1,0)</f>
        <v>#VALUE!</v>
      </c>
      <c r="W437" s="47">
        <f t="shared" si="110"/>
        <v>2.12</v>
      </c>
      <c r="X437" s="47">
        <f t="shared" si="111"/>
        <v>1.66</v>
      </c>
    </row>
    <row r="438" spans="1:24">
      <c r="A438" s="45">
        <f t="shared" si="113"/>
        <v>2589</v>
      </c>
      <c r="B438" s="45" t="s">
        <v>2793</v>
      </c>
      <c r="C438" s="45">
        <v>2</v>
      </c>
      <c r="D438" s="45">
        <v>589</v>
      </c>
      <c r="F438" s="46">
        <f t="shared" si="114"/>
        <v>2029</v>
      </c>
      <c r="G438" s="45">
        <f>G428+0.1</f>
        <v>4.4</v>
      </c>
      <c r="H438" s="45">
        <v>6</v>
      </c>
      <c r="I438" s="46">
        <v>10</v>
      </c>
      <c r="J438" s="46">
        <v>20</v>
      </c>
      <c r="K438" s="46" t="e">
        <f ca="1" t="shared" si="115"/>
        <v>#VALUE!</v>
      </c>
      <c r="L438" s="46" t="e">
        <f ca="1" t="shared" si="116"/>
        <v>#VALUE!</v>
      </c>
      <c r="M438" s="46" t="e">
        <f ca="1" t="shared" si="105"/>
        <v>#VALUE!</v>
      </c>
      <c r="N438" s="46" t="e">
        <f ca="1" t="shared" si="109"/>
        <v>#VALUE!</v>
      </c>
      <c r="O438" s="46">
        <v>95</v>
      </c>
      <c r="P438" s="46">
        <f t="shared" si="117"/>
        <v>29</v>
      </c>
      <c r="Q438" s="46" t="e">
        <f ca="1" t="shared" si="112"/>
        <v>#VALUE!</v>
      </c>
      <c r="R438" s="46" t="e">
        <f ca="1">OFFSET([2]怪物强度模型!$K$1,MATCH(F438,[2]怪物强度模型!$A:$A,0)-1,0)</f>
        <v>#VALUE!</v>
      </c>
      <c r="S438" s="46" t="e">
        <f ca="1">OFFSET([2]怪物强度模型!$O$1,MATCH(F438,[2]怪物强度模型!$A:$A,0)-1,0)</f>
        <v>#VALUE!</v>
      </c>
      <c r="T438" s="47" t="e">
        <f ca="1" t="shared" si="106"/>
        <v>#VALUE!</v>
      </c>
      <c r="U438" s="47" t="e">
        <f ca="1">Q438+N438*$V$1/10000+$V$1*OFFSET(卡牌辅助配置表!$V$1,MATCH(C438,卡牌辅助配置表!U:U,0)-1,0)*5*P438/10000/10000+M438*$V$1/10000</f>
        <v>#VALUE!</v>
      </c>
      <c r="V438" s="46" t="e">
        <f ca="1">OFFSET([2]怪物强度模型!$I$1,MATCH(F438,[2]怪物强度模型!$A:$A,0)-1,0)</f>
        <v>#VALUE!</v>
      </c>
      <c r="W438" s="47">
        <f t="shared" si="110"/>
        <v>2.25</v>
      </c>
      <c r="X438" s="47">
        <f t="shared" si="111"/>
        <v>1.66</v>
      </c>
    </row>
    <row r="439" spans="1:24">
      <c r="A439" s="45">
        <f t="shared" si="113"/>
        <v>2590</v>
      </c>
      <c r="B439" s="45" t="s">
        <v>2793</v>
      </c>
      <c r="C439" s="45">
        <v>2</v>
      </c>
      <c r="D439" s="45">
        <v>590</v>
      </c>
      <c r="F439" s="46">
        <f t="shared" si="114"/>
        <v>2030</v>
      </c>
      <c r="G439" s="45">
        <f t="shared" si="108"/>
        <v>3.34999999999999</v>
      </c>
      <c r="H439" s="45">
        <v>6</v>
      </c>
      <c r="I439" s="46">
        <v>10</v>
      </c>
      <c r="J439" s="46">
        <v>20</v>
      </c>
      <c r="K439" s="46" t="e">
        <f ca="1" t="shared" si="115"/>
        <v>#VALUE!</v>
      </c>
      <c r="L439" s="46" t="e">
        <f ca="1" t="shared" si="116"/>
        <v>#VALUE!</v>
      </c>
      <c r="M439" s="46" t="e">
        <f ca="1" t="shared" si="105"/>
        <v>#VALUE!</v>
      </c>
      <c r="N439" s="46" t="e">
        <f ca="1" t="shared" si="109"/>
        <v>#VALUE!</v>
      </c>
      <c r="O439" s="46">
        <v>96</v>
      </c>
      <c r="P439" s="46">
        <f t="shared" si="117"/>
        <v>30</v>
      </c>
      <c r="Q439" s="46" t="e">
        <f ca="1" t="shared" si="112"/>
        <v>#VALUE!</v>
      </c>
      <c r="R439" s="46" t="e">
        <f ca="1">OFFSET([2]怪物强度模型!$K$1,MATCH(F439,[2]怪物强度模型!$A:$A,0)-1,0)</f>
        <v>#VALUE!</v>
      </c>
      <c r="S439" s="46" t="e">
        <f ca="1">OFFSET([2]怪物强度模型!$O$1,MATCH(F439,[2]怪物强度模型!$A:$A,0)-1,0)</f>
        <v>#VALUE!</v>
      </c>
      <c r="T439" s="47" t="e">
        <f ca="1" t="shared" si="106"/>
        <v>#VALUE!</v>
      </c>
      <c r="U439" s="47" t="e">
        <f ca="1">Q439+N439*$V$1/10000+$V$1*OFFSET(卡牌辅助配置表!$V$1,MATCH(C439,卡牌辅助配置表!U:U,0)-1,0)*5*P439/10000/10000+M439*$V$1/10000</f>
        <v>#VALUE!</v>
      </c>
      <c r="V439" s="46" t="e">
        <f ca="1">OFFSET([2]怪物强度模型!$I$1,MATCH(F439,[2]怪物强度模型!$A:$A,0)-1,0)</f>
        <v>#VALUE!</v>
      </c>
      <c r="W439" s="47">
        <f t="shared" si="110"/>
        <v>2.15</v>
      </c>
      <c r="X439" s="47">
        <f t="shared" si="111"/>
        <v>1.68</v>
      </c>
    </row>
    <row r="440" spans="1:24">
      <c r="A440" s="45">
        <f t="shared" si="113"/>
        <v>2591</v>
      </c>
      <c r="B440" s="45" t="s">
        <v>2793</v>
      </c>
      <c r="C440" s="45">
        <v>2</v>
      </c>
      <c r="D440" s="45">
        <v>591</v>
      </c>
      <c r="F440" s="46">
        <f t="shared" si="114"/>
        <v>2030</v>
      </c>
      <c r="G440" s="45">
        <f t="shared" si="108"/>
        <v>3.39999999999999</v>
      </c>
      <c r="H440" s="45">
        <v>6</v>
      </c>
      <c r="I440" s="46">
        <v>10</v>
      </c>
      <c r="J440" s="46">
        <v>20</v>
      </c>
      <c r="K440" s="46" t="e">
        <f ca="1" t="shared" si="115"/>
        <v>#VALUE!</v>
      </c>
      <c r="L440" s="46" t="e">
        <f ca="1" t="shared" si="116"/>
        <v>#VALUE!</v>
      </c>
      <c r="M440" s="46" t="e">
        <f ca="1" t="shared" si="105"/>
        <v>#VALUE!</v>
      </c>
      <c r="N440" s="46" t="e">
        <f ca="1" t="shared" si="109"/>
        <v>#VALUE!</v>
      </c>
      <c r="O440" s="46">
        <v>97</v>
      </c>
      <c r="P440" s="46">
        <f t="shared" si="117"/>
        <v>30</v>
      </c>
      <c r="Q440" s="46" t="e">
        <f ca="1" t="shared" si="112"/>
        <v>#VALUE!</v>
      </c>
      <c r="R440" s="46" t="e">
        <f ca="1">OFFSET([2]怪物强度模型!$K$1,MATCH(F440,[2]怪物强度模型!$A:$A,0)-1,0)</f>
        <v>#VALUE!</v>
      </c>
      <c r="S440" s="46" t="e">
        <f ca="1">OFFSET([2]怪物强度模型!$O$1,MATCH(F440,[2]怪物强度模型!$A:$A,0)-1,0)</f>
        <v>#VALUE!</v>
      </c>
      <c r="T440" s="47" t="e">
        <f ca="1" t="shared" si="106"/>
        <v>#VALUE!</v>
      </c>
      <c r="U440" s="47" t="e">
        <f ca="1">Q440+N440*$V$1/10000+$V$1*OFFSET(卡牌辅助配置表!$V$1,MATCH(C440,卡牌辅助配置表!U:U,0)-1,0)*5*P440/10000/10000+M440*$V$1/10000</f>
        <v>#VALUE!</v>
      </c>
      <c r="V440" s="46" t="e">
        <f ca="1">OFFSET([2]怪物强度模型!$I$1,MATCH(F440,[2]怪物强度模型!$A:$A,0)-1,0)</f>
        <v>#VALUE!</v>
      </c>
      <c r="W440" s="47">
        <f t="shared" si="110"/>
        <v>2.15</v>
      </c>
      <c r="X440" s="47">
        <f t="shared" si="111"/>
        <v>1.68</v>
      </c>
    </row>
    <row r="441" spans="1:24">
      <c r="A441" s="45">
        <f t="shared" si="113"/>
        <v>2592</v>
      </c>
      <c r="B441" s="45" t="s">
        <v>2793</v>
      </c>
      <c r="C441" s="45">
        <v>2</v>
      </c>
      <c r="D441" s="45">
        <v>592</v>
      </c>
      <c r="F441" s="46">
        <f t="shared" si="114"/>
        <v>2030</v>
      </c>
      <c r="G441" s="45">
        <f t="shared" si="108"/>
        <v>3.44999999999999</v>
      </c>
      <c r="H441" s="45">
        <v>6</v>
      </c>
      <c r="I441" s="46">
        <v>10</v>
      </c>
      <c r="J441" s="46">
        <v>20</v>
      </c>
      <c r="K441" s="46" t="e">
        <f ca="1" t="shared" si="115"/>
        <v>#VALUE!</v>
      </c>
      <c r="L441" s="46" t="e">
        <f ca="1" t="shared" si="116"/>
        <v>#VALUE!</v>
      </c>
      <c r="M441" s="46" t="e">
        <f ca="1" t="shared" si="105"/>
        <v>#VALUE!</v>
      </c>
      <c r="N441" s="46" t="e">
        <f ca="1" t="shared" si="109"/>
        <v>#VALUE!</v>
      </c>
      <c r="O441" s="46">
        <v>98</v>
      </c>
      <c r="P441" s="46">
        <f t="shared" si="117"/>
        <v>30</v>
      </c>
      <c r="Q441" s="46" t="e">
        <f ca="1" t="shared" si="112"/>
        <v>#VALUE!</v>
      </c>
      <c r="R441" s="46" t="e">
        <f ca="1">OFFSET([2]怪物强度模型!$K$1,MATCH(F441,[2]怪物强度模型!$A:$A,0)-1,0)</f>
        <v>#VALUE!</v>
      </c>
      <c r="S441" s="46" t="e">
        <f ca="1">OFFSET([2]怪物强度模型!$O$1,MATCH(F441,[2]怪物强度模型!$A:$A,0)-1,0)</f>
        <v>#VALUE!</v>
      </c>
      <c r="T441" s="47" t="e">
        <f ca="1" t="shared" si="106"/>
        <v>#VALUE!</v>
      </c>
      <c r="U441" s="47" t="e">
        <f ca="1">Q441+N441*$V$1/10000+$V$1*OFFSET(卡牌辅助配置表!$V$1,MATCH(C441,卡牌辅助配置表!U:U,0)-1,0)*5*P441/10000/10000+M441*$V$1/10000</f>
        <v>#VALUE!</v>
      </c>
      <c r="V441" s="46" t="e">
        <f ca="1">OFFSET([2]怪物强度模型!$I$1,MATCH(F441,[2]怪物强度模型!$A:$A,0)-1,0)</f>
        <v>#VALUE!</v>
      </c>
      <c r="W441" s="47">
        <f t="shared" si="110"/>
        <v>2.15</v>
      </c>
      <c r="X441" s="47">
        <f t="shared" si="111"/>
        <v>1.68</v>
      </c>
    </row>
    <row r="442" spans="1:24">
      <c r="A442" s="45">
        <f t="shared" si="113"/>
        <v>2593</v>
      </c>
      <c r="B442" s="45" t="s">
        <v>2793</v>
      </c>
      <c r="C442" s="45">
        <v>2</v>
      </c>
      <c r="D442" s="45">
        <v>593</v>
      </c>
      <c r="F442" s="46">
        <f t="shared" si="114"/>
        <v>2030</v>
      </c>
      <c r="G442" s="45">
        <f t="shared" si="108"/>
        <v>3.49999999999999</v>
      </c>
      <c r="H442" s="45">
        <v>6</v>
      </c>
      <c r="I442" s="46">
        <v>10</v>
      </c>
      <c r="J442" s="46">
        <v>20</v>
      </c>
      <c r="K442" s="46" t="e">
        <f ca="1" t="shared" si="115"/>
        <v>#VALUE!</v>
      </c>
      <c r="L442" s="46" t="e">
        <f ca="1" t="shared" si="116"/>
        <v>#VALUE!</v>
      </c>
      <c r="M442" s="46" t="e">
        <f ca="1" t="shared" ref="M442:M505" si="118">S442*W442</f>
        <v>#VALUE!</v>
      </c>
      <c r="N442" s="46" t="e">
        <f ca="1" t="shared" si="109"/>
        <v>#VALUE!</v>
      </c>
      <c r="O442" s="46">
        <v>99</v>
      </c>
      <c r="P442" s="46">
        <f t="shared" si="117"/>
        <v>30</v>
      </c>
      <c r="Q442" s="46" t="e">
        <f ca="1" t="shared" si="112"/>
        <v>#VALUE!</v>
      </c>
      <c r="R442" s="46" t="e">
        <f ca="1">OFFSET([2]怪物强度模型!$K$1,MATCH(F442,[2]怪物强度模型!$A:$A,0)-1,0)</f>
        <v>#VALUE!</v>
      </c>
      <c r="S442" s="46" t="e">
        <f ca="1">OFFSET([2]怪物强度模型!$O$1,MATCH(F442,[2]怪物强度模型!$A:$A,0)-1,0)</f>
        <v>#VALUE!</v>
      </c>
      <c r="T442" s="47" t="e">
        <f ca="1" t="shared" ref="T442:T505" si="119">ROUND(U442*X442,0)</f>
        <v>#VALUE!</v>
      </c>
      <c r="U442" s="47" t="e">
        <f ca="1">Q442+N442*$V$1/10000+$V$1*OFFSET(卡牌辅助配置表!$V$1,MATCH(C442,卡牌辅助配置表!U:U,0)-1,0)*5*P442/10000/10000+M442*$V$1/10000</f>
        <v>#VALUE!</v>
      </c>
      <c r="V442" s="46" t="e">
        <f ca="1">OFFSET([2]怪物强度模型!$I$1,MATCH(F442,[2]怪物强度模型!$A:$A,0)-1,0)</f>
        <v>#VALUE!</v>
      </c>
      <c r="W442" s="47">
        <f t="shared" si="110"/>
        <v>2.16</v>
      </c>
      <c r="X442" s="47">
        <f t="shared" si="111"/>
        <v>1.68</v>
      </c>
    </row>
    <row r="443" spans="1:24">
      <c r="A443" s="45">
        <f t="shared" si="113"/>
        <v>2594</v>
      </c>
      <c r="B443" s="45" t="s">
        <v>2793</v>
      </c>
      <c r="C443" s="45">
        <v>2</v>
      </c>
      <c r="D443" s="45">
        <v>594</v>
      </c>
      <c r="F443" s="46">
        <f t="shared" si="114"/>
        <v>2030</v>
      </c>
      <c r="G443" s="45">
        <f t="shared" si="108"/>
        <v>4.43</v>
      </c>
      <c r="H443" s="45">
        <v>6</v>
      </c>
      <c r="I443" s="46">
        <v>10</v>
      </c>
      <c r="J443" s="46">
        <v>20</v>
      </c>
      <c r="K443" s="46" t="e">
        <f ca="1" t="shared" si="115"/>
        <v>#VALUE!</v>
      </c>
      <c r="L443" s="46" t="e">
        <f ca="1" t="shared" si="116"/>
        <v>#VALUE!</v>
      </c>
      <c r="M443" s="46" t="e">
        <f ca="1" t="shared" si="118"/>
        <v>#VALUE!</v>
      </c>
      <c r="N443" s="46" t="e">
        <f ca="1" t="shared" si="109"/>
        <v>#VALUE!</v>
      </c>
      <c r="O443" s="46">
        <v>100</v>
      </c>
      <c r="P443" s="46">
        <f t="shared" si="117"/>
        <v>30</v>
      </c>
      <c r="Q443" s="46" t="e">
        <f ca="1" t="shared" si="112"/>
        <v>#VALUE!</v>
      </c>
      <c r="R443" s="46" t="e">
        <f ca="1">OFFSET([2]怪物强度模型!$K$1,MATCH(F443,[2]怪物强度模型!$A:$A,0)-1,0)</f>
        <v>#VALUE!</v>
      </c>
      <c r="S443" s="46" t="e">
        <f ca="1">OFFSET([2]怪物强度模型!$O$1,MATCH(F443,[2]怪物强度模型!$A:$A,0)-1,0)</f>
        <v>#VALUE!</v>
      </c>
      <c r="T443" s="47" t="e">
        <f ca="1" t="shared" si="119"/>
        <v>#VALUE!</v>
      </c>
      <c r="U443" s="47" t="e">
        <f ca="1">Q443+N443*$V$1/10000+$V$1*OFFSET(卡牌辅助配置表!$V$1,MATCH(C443,卡牌辅助配置表!U:U,0)-1,0)*5*P443/10000/10000+M443*$V$1/10000</f>
        <v>#VALUE!</v>
      </c>
      <c r="V443" s="46" t="e">
        <f ca="1">OFFSET([2]怪物强度模型!$I$1,MATCH(F443,[2]怪物强度模型!$A:$A,0)-1,0)</f>
        <v>#VALUE!</v>
      </c>
      <c r="W443" s="47">
        <f t="shared" si="110"/>
        <v>2.16</v>
      </c>
      <c r="X443" s="47">
        <f t="shared" si="111"/>
        <v>1.68</v>
      </c>
    </row>
    <row r="444" spans="1:24">
      <c r="A444" s="45">
        <f t="shared" si="113"/>
        <v>2595</v>
      </c>
      <c r="B444" s="45" t="s">
        <v>2793</v>
      </c>
      <c r="C444" s="45">
        <v>2</v>
      </c>
      <c r="D444" s="45">
        <v>595</v>
      </c>
      <c r="F444" s="46">
        <f t="shared" si="114"/>
        <v>2030</v>
      </c>
      <c r="G444" s="45">
        <f t="shared" si="108"/>
        <v>3.37999999999999</v>
      </c>
      <c r="H444" s="45">
        <v>6</v>
      </c>
      <c r="I444" s="46">
        <v>10</v>
      </c>
      <c r="J444" s="46">
        <v>20</v>
      </c>
      <c r="K444" s="46" t="e">
        <f ca="1" t="shared" si="115"/>
        <v>#VALUE!</v>
      </c>
      <c r="L444" s="46" t="e">
        <f ca="1" t="shared" si="116"/>
        <v>#VALUE!</v>
      </c>
      <c r="M444" s="46" t="e">
        <f ca="1" t="shared" si="118"/>
        <v>#VALUE!</v>
      </c>
      <c r="N444" s="46" t="e">
        <f ca="1" t="shared" si="109"/>
        <v>#VALUE!</v>
      </c>
      <c r="O444" s="46">
        <v>101</v>
      </c>
      <c r="P444" s="46">
        <f t="shared" si="117"/>
        <v>30</v>
      </c>
      <c r="Q444" s="46" t="e">
        <f ca="1" t="shared" si="112"/>
        <v>#VALUE!</v>
      </c>
      <c r="R444" s="46" t="e">
        <f ca="1">OFFSET([2]怪物强度模型!$K$1,MATCH(F444,[2]怪物强度模型!$A:$A,0)-1,0)</f>
        <v>#VALUE!</v>
      </c>
      <c r="S444" s="46" t="e">
        <f ca="1">OFFSET([2]怪物强度模型!$O$1,MATCH(F444,[2]怪物强度模型!$A:$A,0)-1,0)</f>
        <v>#VALUE!</v>
      </c>
      <c r="T444" s="47" t="e">
        <f ca="1" t="shared" si="119"/>
        <v>#VALUE!</v>
      </c>
      <c r="U444" s="47" t="e">
        <f ca="1">Q444+N444*$V$1/10000+$V$1*OFFSET(卡牌辅助配置表!$V$1,MATCH(C444,卡牌辅助配置表!U:U,0)-1,0)*5*P444/10000/10000+M444*$V$1/10000</f>
        <v>#VALUE!</v>
      </c>
      <c r="V444" s="46" t="e">
        <f ca="1">OFFSET([2]怪物强度模型!$I$1,MATCH(F444,[2]怪物强度模型!$A:$A,0)-1,0)</f>
        <v>#VALUE!</v>
      </c>
      <c r="W444" s="47">
        <f t="shared" si="110"/>
        <v>2.16</v>
      </c>
      <c r="X444" s="47">
        <f t="shared" si="111"/>
        <v>1.68</v>
      </c>
    </row>
    <row r="445" spans="1:24">
      <c r="A445" s="45">
        <f t="shared" si="113"/>
        <v>2596</v>
      </c>
      <c r="B445" s="45" t="s">
        <v>2793</v>
      </c>
      <c r="C445" s="45">
        <v>2</v>
      </c>
      <c r="D445" s="45">
        <v>596</v>
      </c>
      <c r="F445" s="46">
        <f t="shared" si="114"/>
        <v>2030</v>
      </c>
      <c r="G445" s="45">
        <f t="shared" si="108"/>
        <v>3.42999999999999</v>
      </c>
      <c r="H445" s="45">
        <v>6</v>
      </c>
      <c r="I445" s="46">
        <v>10</v>
      </c>
      <c r="J445" s="46">
        <v>20</v>
      </c>
      <c r="K445" s="46" t="e">
        <f ca="1" t="shared" si="115"/>
        <v>#VALUE!</v>
      </c>
      <c r="L445" s="46" t="e">
        <f ca="1" t="shared" si="116"/>
        <v>#VALUE!</v>
      </c>
      <c r="M445" s="46" t="e">
        <f ca="1" t="shared" si="118"/>
        <v>#VALUE!</v>
      </c>
      <c r="N445" s="46" t="e">
        <f ca="1" t="shared" si="109"/>
        <v>#VALUE!</v>
      </c>
      <c r="O445" s="46">
        <v>102</v>
      </c>
      <c r="P445" s="46">
        <f t="shared" si="117"/>
        <v>30</v>
      </c>
      <c r="Q445" s="46" t="e">
        <f ca="1" t="shared" si="112"/>
        <v>#VALUE!</v>
      </c>
      <c r="R445" s="46" t="e">
        <f ca="1">OFFSET([2]怪物强度模型!$K$1,MATCH(F445,[2]怪物强度模型!$A:$A,0)-1,0)</f>
        <v>#VALUE!</v>
      </c>
      <c r="S445" s="46" t="e">
        <f ca="1">OFFSET([2]怪物强度模型!$O$1,MATCH(F445,[2]怪物强度模型!$A:$A,0)-1,0)</f>
        <v>#VALUE!</v>
      </c>
      <c r="T445" s="47" t="e">
        <f ca="1" t="shared" si="119"/>
        <v>#VALUE!</v>
      </c>
      <c r="U445" s="47" t="e">
        <f ca="1">Q445+N445*$V$1/10000+$V$1*OFFSET(卡牌辅助配置表!$V$1,MATCH(C445,卡牌辅助配置表!U:U,0)-1,0)*5*P445/10000/10000+M445*$V$1/10000</f>
        <v>#VALUE!</v>
      </c>
      <c r="V445" s="46" t="e">
        <f ca="1">OFFSET([2]怪物强度模型!$I$1,MATCH(F445,[2]怪物强度模型!$A:$A,0)-1,0)</f>
        <v>#VALUE!</v>
      </c>
      <c r="W445" s="47">
        <f t="shared" si="110"/>
        <v>2.17</v>
      </c>
      <c r="X445" s="47">
        <f t="shared" si="111"/>
        <v>1.68</v>
      </c>
    </row>
    <row r="446" spans="1:24">
      <c r="A446" s="45">
        <f t="shared" si="113"/>
        <v>2597</v>
      </c>
      <c r="B446" s="45" t="s">
        <v>2793</v>
      </c>
      <c r="C446" s="45">
        <v>2</v>
      </c>
      <c r="D446" s="45">
        <v>597</v>
      </c>
      <c r="F446" s="46">
        <f t="shared" si="114"/>
        <v>2030</v>
      </c>
      <c r="G446" s="45">
        <f t="shared" si="108"/>
        <v>3.47999999999999</v>
      </c>
      <c r="H446" s="45">
        <v>6</v>
      </c>
      <c r="I446" s="46">
        <v>10</v>
      </c>
      <c r="J446" s="46">
        <v>20</v>
      </c>
      <c r="K446" s="46" t="e">
        <f ca="1" t="shared" si="115"/>
        <v>#VALUE!</v>
      </c>
      <c r="L446" s="46" t="e">
        <f ca="1" t="shared" si="116"/>
        <v>#VALUE!</v>
      </c>
      <c r="M446" s="46" t="e">
        <f ca="1" t="shared" si="118"/>
        <v>#VALUE!</v>
      </c>
      <c r="N446" s="46" t="e">
        <f ca="1" t="shared" si="109"/>
        <v>#VALUE!</v>
      </c>
      <c r="O446" s="46">
        <v>103</v>
      </c>
      <c r="P446" s="46">
        <f t="shared" si="117"/>
        <v>30</v>
      </c>
      <c r="Q446" s="46" t="e">
        <f ca="1" t="shared" si="112"/>
        <v>#VALUE!</v>
      </c>
      <c r="R446" s="46" t="e">
        <f ca="1">OFFSET([2]怪物强度模型!$K$1,MATCH(F446,[2]怪物强度模型!$A:$A,0)-1,0)</f>
        <v>#VALUE!</v>
      </c>
      <c r="S446" s="46" t="e">
        <f ca="1">OFFSET([2]怪物强度模型!$O$1,MATCH(F446,[2]怪物强度模型!$A:$A,0)-1,0)</f>
        <v>#VALUE!</v>
      </c>
      <c r="T446" s="47" t="e">
        <f ca="1" t="shared" si="119"/>
        <v>#VALUE!</v>
      </c>
      <c r="U446" s="47" t="e">
        <f ca="1">Q446+N446*$V$1/10000+$V$1*OFFSET(卡牌辅助配置表!$V$1,MATCH(C446,卡牌辅助配置表!U:U,0)-1,0)*5*P446/10000/10000+M446*$V$1/10000</f>
        <v>#VALUE!</v>
      </c>
      <c r="V446" s="46" t="e">
        <f ca="1">OFFSET([2]怪物强度模型!$I$1,MATCH(F446,[2]怪物强度模型!$A:$A,0)-1,0)</f>
        <v>#VALUE!</v>
      </c>
      <c r="W446" s="47">
        <f t="shared" si="110"/>
        <v>2.17</v>
      </c>
      <c r="X446" s="47">
        <f t="shared" si="111"/>
        <v>1.68</v>
      </c>
    </row>
    <row r="447" spans="1:24">
      <c r="A447" s="45">
        <f t="shared" si="113"/>
        <v>2598</v>
      </c>
      <c r="B447" s="45" t="s">
        <v>2793</v>
      </c>
      <c r="C447" s="45">
        <v>2</v>
      </c>
      <c r="D447" s="45">
        <v>598</v>
      </c>
      <c r="F447" s="46">
        <f t="shared" si="114"/>
        <v>2030</v>
      </c>
      <c r="G447" s="45">
        <f t="shared" ref="G447:G510" si="120">G442+0.03</f>
        <v>3.52999999999999</v>
      </c>
      <c r="H447" s="45">
        <v>6</v>
      </c>
      <c r="I447" s="46">
        <v>10</v>
      </c>
      <c r="J447" s="46">
        <v>20</v>
      </c>
      <c r="K447" s="46" t="e">
        <f ca="1" t="shared" si="115"/>
        <v>#VALUE!</v>
      </c>
      <c r="L447" s="46" t="e">
        <f ca="1" t="shared" si="116"/>
        <v>#VALUE!</v>
      </c>
      <c r="M447" s="46" t="e">
        <f ca="1" t="shared" si="118"/>
        <v>#VALUE!</v>
      </c>
      <c r="N447" s="46" t="e">
        <f ca="1" t="shared" si="109"/>
        <v>#VALUE!</v>
      </c>
      <c r="O447" s="46">
        <v>104</v>
      </c>
      <c r="P447" s="46">
        <f t="shared" si="117"/>
        <v>30</v>
      </c>
      <c r="Q447" s="46" t="e">
        <f ca="1" t="shared" si="112"/>
        <v>#VALUE!</v>
      </c>
      <c r="R447" s="46" t="e">
        <f ca="1">OFFSET([2]怪物强度模型!$K$1,MATCH(F447,[2]怪物强度模型!$A:$A,0)-1,0)</f>
        <v>#VALUE!</v>
      </c>
      <c r="S447" s="46" t="e">
        <f ca="1">OFFSET([2]怪物强度模型!$O$1,MATCH(F447,[2]怪物强度模型!$A:$A,0)-1,0)</f>
        <v>#VALUE!</v>
      </c>
      <c r="T447" s="47" t="e">
        <f ca="1" t="shared" si="119"/>
        <v>#VALUE!</v>
      </c>
      <c r="U447" s="47" t="e">
        <f ca="1">Q447+N447*$V$1/10000+$V$1*OFFSET(卡牌辅助配置表!$V$1,MATCH(C447,卡牌辅助配置表!U:U,0)-1,0)*5*P447/10000/10000+M447*$V$1/10000</f>
        <v>#VALUE!</v>
      </c>
      <c r="V447" s="46" t="e">
        <f ca="1">OFFSET([2]怪物强度模型!$I$1,MATCH(F447,[2]怪物强度模型!$A:$A,0)-1,0)</f>
        <v>#VALUE!</v>
      </c>
      <c r="W447" s="47">
        <f t="shared" si="110"/>
        <v>2.17</v>
      </c>
      <c r="X447" s="47">
        <f t="shared" si="111"/>
        <v>1.68</v>
      </c>
    </row>
    <row r="448" spans="1:24">
      <c r="A448" s="45">
        <f t="shared" si="113"/>
        <v>2599</v>
      </c>
      <c r="B448" s="45" t="s">
        <v>2793</v>
      </c>
      <c r="C448" s="45">
        <v>2</v>
      </c>
      <c r="D448" s="45">
        <v>599</v>
      </c>
      <c r="F448" s="46">
        <f t="shared" si="114"/>
        <v>2030</v>
      </c>
      <c r="G448" s="45">
        <f>G438+0.1</f>
        <v>4.5</v>
      </c>
      <c r="H448" s="45">
        <v>6</v>
      </c>
      <c r="I448" s="46">
        <v>10</v>
      </c>
      <c r="J448" s="46">
        <v>20</v>
      </c>
      <c r="K448" s="46" t="e">
        <f ca="1" t="shared" si="115"/>
        <v>#VALUE!</v>
      </c>
      <c r="L448" s="46" t="e">
        <f ca="1" t="shared" si="116"/>
        <v>#VALUE!</v>
      </c>
      <c r="M448" s="46" t="e">
        <f ca="1" t="shared" si="118"/>
        <v>#VALUE!</v>
      </c>
      <c r="N448" s="46" t="e">
        <f ca="1" t="shared" si="109"/>
        <v>#VALUE!</v>
      </c>
      <c r="O448" s="46">
        <v>105</v>
      </c>
      <c r="P448" s="46">
        <f t="shared" si="117"/>
        <v>30</v>
      </c>
      <c r="Q448" s="46" t="e">
        <f ca="1" t="shared" si="112"/>
        <v>#VALUE!</v>
      </c>
      <c r="R448" s="46" t="e">
        <f ca="1">OFFSET([2]怪物强度模型!$K$1,MATCH(F448,[2]怪物强度模型!$A:$A,0)-1,0)</f>
        <v>#VALUE!</v>
      </c>
      <c r="S448" s="46" t="e">
        <f ca="1">OFFSET([2]怪物强度模型!$O$1,MATCH(F448,[2]怪物强度模型!$A:$A,0)-1,0)</f>
        <v>#VALUE!</v>
      </c>
      <c r="T448" s="47" t="e">
        <f ca="1" t="shared" si="119"/>
        <v>#VALUE!</v>
      </c>
      <c r="U448" s="47" t="e">
        <f ca="1">Q448+N448*$V$1/10000+$V$1*OFFSET(卡牌辅助配置表!$V$1,MATCH(C448,卡牌辅助配置表!U:U,0)-1,0)*5*P448/10000/10000+M448*$V$1/10000</f>
        <v>#VALUE!</v>
      </c>
      <c r="V448" s="46" t="e">
        <f ca="1">OFFSET([2]怪物强度模型!$I$1,MATCH(F448,[2]怪物强度模型!$A:$A,0)-1,0)</f>
        <v>#VALUE!</v>
      </c>
      <c r="W448" s="47">
        <f t="shared" si="110"/>
        <v>2.3</v>
      </c>
      <c r="X448" s="47">
        <f t="shared" si="111"/>
        <v>1.68</v>
      </c>
    </row>
    <row r="449" spans="1:24">
      <c r="A449" s="45">
        <f t="shared" si="113"/>
        <v>3500</v>
      </c>
      <c r="B449" s="45" t="s">
        <v>2794</v>
      </c>
      <c r="C449" s="45">
        <v>3</v>
      </c>
      <c r="D449" s="45">
        <v>500</v>
      </c>
      <c r="F449" s="46">
        <f t="shared" si="114"/>
        <v>3031</v>
      </c>
      <c r="G449" s="45">
        <f t="shared" si="120"/>
        <v>3.40999999999999</v>
      </c>
      <c r="H449" s="45">
        <v>7</v>
      </c>
      <c r="I449" s="46">
        <v>10</v>
      </c>
      <c r="J449" s="46">
        <v>20</v>
      </c>
      <c r="K449" s="46" t="e">
        <f ca="1" t="shared" si="115"/>
        <v>#VALUE!</v>
      </c>
      <c r="L449" s="46" t="e">
        <f ca="1" t="shared" si="116"/>
        <v>#VALUE!</v>
      </c>
      <c r="M449" s="46" t="e">
        <f ca="1" t="shared" si="118"/>
        <v>#VALUE!</v>
      </c>
      <c r="N449" s="46" t="e">
        <f ca="1" t="shared" ref="N449:N512" si="121">ROUND(M449/$N$1,0)</f>
        <v>#VALUE!</v>
      </c>
      <c r="O449" s="46">
        <v>6</v>
      </c>
      <c r="P449" s="46">
        <f t="shared" si="117"/>
        <v>31</v>
      </c>
      <c r="Q449" s="46" t="e">
        <f ca="1" t="shared" si="112"/>
        <v>#VALUE!</v>
      </c>
      <c r="R449" s="46" t="e">
        <f ca="1">OFFSET([2]怪物强度模型!$K$1,MATCH(F449,[2]怪物强度模型!$A:$A,0)-1,0)</f>
        <v>#VALUE!</v>
      </c>
      <c r="S449" s="46" t="e">
        <f ca="1">OFFSET([2]怪物强度模型!$O$1,MATCH(F449,[2]怪物强度模型!$A:$A,0)-1,0)</f>
        <v>#VALUE!</v>
      </c>
      <c r="T449" s="47" t="e">
        <f ca="1" t="shared" si="119"/>
        <v>#VALUE!</v>
      </c>
      <c r="U449" s="47" t="e">
        <f ca="1">Q449+N449*$V$1/10000+$V$1*OFFSET(卡牌辅助配置表!$V$1,MATCH(C449,卡牌辅助配置表!U:U,0)-1,0)*5*P449/10000/10000+M449*$V$1/10000</f>
        <v>#VALUE!</v>
      </c>
      <c r="V449" s="46" t="e">
        <f ca="1">OFFSET([2]怪物强度模型!$I$1,MATCH(F449,[2]怪物强度模型!$A:$A,0)-1,0)</f>
        <v>#VALUE!</v>
      </c>
      <c r="W449" s="47">
        <f t="shared" si="110"/>
        <v>2.2</v>
      </c>
      <c r="X449" s="47">
        <v>1.8</v>
      </c>
    </row>
    <row r="450" spans="1:24">
      <c r="A450" s="45">
        <f t="shared" si="113"/>
        <v>3501</v>
      </c>
      <c r="B450" s="45" t="s">
        <v>2794</v>
      </c>
      <c r="C450" s="45">
        <v>3</v>
      </c>
      <c r="D450" s="45">
        <v>501</v>
      </c>
      <c r="F450" s="46">
        <f t="shared" si="114"/>
        <v>3031</v>
      </c>
      <c r="G450" s="45">
        <f t="shared" si="120"/>
        <v>3.45999999999999</v>
      </c>
      <c r="H450" s="45">
        <v>7</v>
      </c>
      <c r="I450" s="46">
        <v>10</v>
      </c>
      <c r="J450" s="46">
        <v>20</v>
      </c>
      <c r="K450" s="46" t="e">
        <f ca="1" t="shared" si="115"/>
        <v>#VALUE!</v>
      </c>
      <c r="L450" s="46" t="e">
        <f ca="1" t="shared" si="116"/>
        <v>#VALUE!</v>
      </c>
      <c r="M450" s="46" t="e">
        <f ca="1" t="shared" si="118"/>
        <v>#VALUE!</v>
      </c>
      <c r="N450" s="46" t="e">
        <f ca="1" t="shared" si="121"/>
        <v>#VALUE!</v>
      </c>
      <c r="O450" s="46">
        <v>7</v>
      </c>
      <c r="P450" s="46">
        <f t="shared" si="117"/>
        <v>31</v>
      </c>
      <c r="Q450" s="46" t="e">
        <f ca="1" t="shared" si="112"/>
        <v>#VALUE!</v>
      </c>
      <c r="R450" s="46" t="e">
        <f ca="1">OFFSET([2]怪物强度模型!$K$1,MATCH(F450,[2]怪物强度模型!$A:$A,0)-1,0)</f>
        <v>#VALUE!</v>
      </c>
      <c r="S450" s="46" t="e">
        <f ca="1">OFFSET([2]怪物强度模型!$O$1,MATCH(F450,[2]怪物强度模型!$A:$A,0)-1,0)</f>
        <v>#VALUE!</v>
      </c>
      <c r="T450" s="47" t="e">
        <f ca="1" t="shared" si="119"/>
        <v>#VALUE!</v>
      </c>
      <c r="U450" s="47" t="e">
        <f ca="1">Q450+N450*$V$1/10000+$V$1*OFFSET(卡牌辅助配置表!$V$1,MATCH(C450,卡牌辅助配置表!U:U,0)-1,0)*5*P450/10000/10000+M450*$V$1/10000</f>
        <v>#VALUE!</v>
      </c>
      <c r="V450" s="46" t="e">
        <f ca="1">OFFSET([2]怪物强度模型!$I$1,MATCH(F450,[2]怪物强度模型!$A:$A,0)-1,0)</f>
        <v>#VALUE!</v>
      </c>
      <c r="W450" s="47">
        <f t="shared" si="110"/>
        <v>2.2</v>
      </c>
      <c r="X450" s="47">
        <v>1.8</v>
      </c>
    </row>
    <row r="451" spans="1:24">
      <c r="A451" s="45">
        <f t="shared" si="113"/>
        <v>3502</v>
      </c>
      <c r="B451" s="45" t="s">
        <v>2794</v>
      </c>
      <c r="C451" s="45">
        <v>3</v>
      </c>
      <c r="D451" s="45">
        <v>502</v>
      </c>
      <c r="F451" s="46">
        <f t="shared" si="114"/>
        <v>3031</v>
      </c>
      <c r="G451" s="45">
        <f t="shared" si="120"/>
        <v>3.50999999999999</v>
      </c>
      <c r="H451" s="45">
        <v>7</v>
      </c>
      <c r="I451" s="46">
        <v>10</v>
      </c>
      <c r="J451" s="46">
        <v>20</v>
      </c>
      <c r="K451" s="46" t="e">
        <f ca="1" t="shared" si="115"/>
        <v>#VALUE!</v>
      </c>
      <c r="L451" s="46" t="e">
        <f ca="1" t="shared" si="116"/>
        <v>#VALUE!</v>
      </c>
      <c r="M451" s="46" t="e">
        <f ca="1" t="shared" si="118"/>
        <v>#VALUE!</v>
      </c>
      <c r="N451" s="46" t="e">
        <f ca="1" t="shared" si="121"/>
        <v>#VALUE!</v>
      </c>
      <c r="O451" s="46">
        <v>8</v>
      </c>
      <c r="P451" s="46">
        <f t="shared" si="117"/>
        <v>31</v>
      </c>
      <c r="Q451" s="46" t="e">
        <f ca="1" t="shared" si="112"/>
        <v>#VALUE!</v>
      </c>
      <c r="R451" s="46" t="e">
        <f ca="1">OFFSET([2]怪物强度模型!$K$1,MATCH(F451,[2]怪物强度模型!$A:$A,0)-1,0)</f>
        <v>#VALUE!</v>
      </c>
      <c r="S451" s="46" t="e">
        <f ca="1">OFFSET([2]怪物强度模型!$O$1,MATCH(F451,[2]怪物强度模型!$A:$A,0)-1,0)</f>
        <v>#VALUE!</v>
      </c>
      <c r="T451" s="47" t="e">
        <f ca="1" t="shared" si="119"/>
        <v>#VALUE!</v>
      </c>
      <c r="U451" s="47" t="e">
        <f ca="1">Q451+N451*$V$1/10000+$V$1*OFFSET(卡牌辅助配置表!$V$1,MATCH(C451,卡牌辅助配置表!U:U,0)-1,0)*5*P451/10000/10000+M451*$V$1/10000</f>
        <v>#VALUE!</v>
      </c>
      <c r="V451" s="46" t="e">
        <f ca="1">OFFSET([2]怪物强度模型!$I$1,MATCH(F451,[2]怪物强度模型!$A:$A,0)-1,0)</f>
        <v>#VALUE!</v>
      </c>
      <c r="W451" s="47">
        <f t="shared" si="110"/>
        <v>2.2</v>
      </c>
      <c r="X451" s="47">
        <v>1.8</v>
      </c>
    </row>
    <row r="452" spans="1:24">
      <c r="A452" s="45">
        <f t="shared" si="113"/>
        <v>3503</v>
      </c>
      <c r="B452" s="45" t="s">
        <v>2794</v>
      </c>
      <c r="C452" s="45">
        <v>3</v>
      </c>
      <c r="D452" s="45">
        <v>503</v>
      </c>
      <c r="F452" s="46">
        <f t="shared" si="114"/>
        <v>3031</v>
      </c>
      <c r="G452" s="45">
        <f t="shared" si="120"/>
        <v>3.55999999999999</v>
      </c>
      <c r="H452" s="45">
        <v>7</v>
      </c>
      <c r="I452" s="46">
        <v>10</v>
      </c>
      <c r="J452" s="46">
        <v>20</v>
      </c>
      <c r="K452" s="46" t="e">
        <f ca="1" t="shared" si="115"/>
        <v>#VALUE!</v>
      </c>
      <c r="L452" s="46" t="e">
        <f ca="1" t="shared" si="116"/>
        <v>#VALUE!</v>
      </c>
      <c r="M452" s="46" t="e">
        <f ca="1" t="shared" si="118"/>
        <v>#VALUE!</v>
      </c>
      <c r="N452" s="46" t="e">
        <f ca="1" t="shared" si="121"/>
        <v>#VALUE!</v>
      </c>
      <c r="O452" s="46">
        <v>9</v>
      </c>
      <c r="P452" s="46">
        <f t="shared" si="117"/>
        <v>31</v>
      </c>
      <c r="Q452" s="46" t="e">
        <f ca="1" t="shared" si="112"/>
        <v>#VALUE!</v>
      </c>
      <c r="R452" s="46" t="e">
        <f ca="1">OFFSET([2]怪物强度模型!$K$1,MATCH(F452,[2]怪物强度模型!$A:$A,0)-1,0)</f>
        <v>#VALUE!</v>
      </c>
      <c r="S452" s="46" t="e">
        <f ca="1">OFFSET([2]怪物强度模型!$O$1,MATCH(F452,[2]怪物强度模型!$A:$A,0)-1,0)</f>
        <v>#VALUE!</v>
      </c>
      <c r="T452" s="47" t="e">
        <f ca="1" t="shared" si="119"/>
        <v>#VALUE!</v>
      </c>
      <c r="U452" s="47" t="e">
        <f ca="1">Q452+N452*$V$1/10000+$V$1*OFFSET(卡牌辅助配置表!$V$1,MATCH(C452,卡牌辅助配置表!U:U,0)-1,0)*5*P452/10000/10000+M452*$V$1/10000</f>
        <v>#VALUE!</v>
      </c>
      <c r="V452" s="46" t="e">
        <f ca="1">OFFSET([2]怪物强度模型!$I$1,MATCH(F452,[2]怪物强度模型!$A:$A,0)-1,0)</f>
        <v>#VALUE!</v>
      </c>
      <c r="W452" s="47">
        <f t="shared" ref="W452:W515" si="122">W442+0.05</f>
        <v>2.21</v>
      </c>
      <c r="X452" s="47">
        <v>1.8</v>
      </c>
    </row>
    <row r="453" spans="1:24">
      <c r="A453" s="45">
        <f t="shared" si="113"/>
        <v>3504</v>
      </c>
      <c r="B453" s="45" t="s">
        <v>2794</v>
      </c>
      <c r="C453" s="45">
        <v>3</v>
      </c>
      <c r="D453" s="45">
        <v>504</v>
      </c>
      <c r="F453" s="46">
        <f t="shared" si="114"/>
        <v>3031</v>
      </c>
      <c r="G453" s="45">
        <f t="shared" si="120"/>
        <v>4.53</v>
      </c>
      <c r="H453" s="45">
        <v>7</v>
      </c>
      <c r="I453" s="46">
        <v>10</v>
      </c>
      <c r="J453" s="46">
        <v>20</v>
      </c>
      <c r="K453" s="46" t="e">
        <f ca="1" t="shared" si="115"/>
        <v>#VALUE!</v>
      </c>
      <c r="L453" s="46" t="e">
        <f ca="1" t="shared" si="116"/>
        <v>#VALUE!</v>
      </c>
      <c r="M453" s="46" t="e">
        <f ca="1" t="shared" si="118"/>
        <v>#VALUE!</v>
      </c>
      <c r="N453" s="46" t="e">
        <f ca="1" t="shared" si="121"/>
        <v>#VALUE!</v>
      </c>
      <c r="O453" s="46">
        <v>10</v>
      </c>
      <c r="P453" s="46">
        <f t="shared" si="117"/>
        <v>31</v>
      </c>
      <c r="Q453" s="46" t="e">
        <f ca="1" t="shared" si="112"/>
        <v>#VALUE!</v>
      </c>
      <c r="R453" s="46" t="e">
        <f ca="1">OFFSET([2]怪物强度模型!$K$1,MATCH(F453,[2]怪物强度模型!$A:$A,0)-1,0)</f>
        <v>#VALUE!</v>
      </c>
      <c r="S453" s="46" t="e">
        <f ca="1">OFFSET([2]怪物强度模型!$O$1,MATCH(F453,[2]怪物强度模型!$A:$A,0)-1,0)</f>
        <v>#VALUE!</v>
      </c>
      <c r="T453" s="47" t="e">
        <f ca="1" t="shared" si="119"/>
        <v>#VALUE!</v>
      </c>
      <c r="U453" s="47" t="e">
        <f ca="1">Q453+N453*$V$1/10000+$V$1*OFFSET(卡牌辅助配置表!$V$1,MATCH(C453,卡牌辅助配置表!U:U,0)-1,0)*5*P453/10000/10000+M453*$V$1/10000</f>
        <v>#VALUE!</v>
      </c>
      <c r="V453" s="46" t="e">
        <f ca="1">OFFSET([2]怪物强度模型!$I$1,MATCH(F453,[2]怪物强度模型!$A:$A,0)-1,0)</f>
        <v>#VALUE!</v>
      </c>
      <c r="W453" s="47">
        <f t="shared" si="122"/>
        <v>2.21</v>
      </c>
      <c r="X453" s="47">
        <v>1.8</v>
      </c>
    </row>
    <row r="454" spans="1:24">
      <c r="A454" s="45">
        <f t="shared" si="113"/>
        <v>3505</v>
      </c>
      <c r="B454" s="45" t="s">
        <v>2794</v>
      </c>
      <c r="C454" s="45">
        <v>3</v>
      </c>
      <c r="D454" s="45">
        <v>505</v>
      </c>
      <c r="F454" s="46">
        <f t="shared" si="114"/>
        <v>3031</v>
      </c>
      <c r="G454" s="45">
        <f t="shared" si="120"/>
        <v>3.43999999999999</v>
      </c>
      <c r="H454" s="45">
        <v>7</v>
      </c>
      <c r="I454" s="46">
        <v>10</v>
      </c>
      <c r="J454" s="46">
        <v>20</v>
      </c>
      <c r="K454" s="46" t="e">
        <f ca="1" t="shared" si="115"/>
        <v>#VALUE!</v>
      </c>
      <c r="L454" s="46" t="e">
        <f ca="1" t="shared" si="116"/>
        <v>#VALUE!</v>
      </c>
      <c r="M454" s="46" t="e">
        <f ca="1" t="shared" si="118"/>
        <v>#VALUE!</v>
      </c>
      <c r="N454" s="46" t="e">
        <f ca="1" t="shared" si="121"/>
        <v>#VALUE!</v>
      </c>
      <c r="O454" s="46">
        <v>11</v>
      </c>
      <c r="P454" s="46">
        <f t="shared" si="117"/>
        <v>31</v>
      </c>
      <c r="Q454" s="46" t="e">
        <f ca="1" t="shared" si="112"/>
        <v>#VALUE!</v>
      </c>
      <c r="R454" s="46" t="e">
        <f ca="1">OFFSET([2]怪物强度模型!$K$1,MATCH(F454,[2]怪物强度模型!$A:$A,0)-1,0)</f>
        <v>#VALUE!</v>
      </c>
      <c r="S454" s="46" t="e">
        <f ca="1">OFFSET([2]怪物强度模型!$O$1,MATCH(F454,[2]怪物强度模型!$A:$A,0)-1,0)</f>
        <v>#VALUE!</v>
      </c>
      <c r="T454" s="47" t="e">
        <f ca="1" t="shared" si="119"/>
        <v>#VALUE!</v>
      </c>
      <c r="U454" s="47" t="e">
        <f ca="1">Q454+N454*$V$1/10000+$V$1*OFFSET(卡牌辅助配置表!$V$1,MATCH(C454,卡牌辅助配置表!U:U,0)-1,0)*5*P454/10000/10000+M454*$V$1/10000</f>
        <v>#VALUE!</v>
      </c>
      <c r="V454" s="46" t="e">
        <f ca="1">OFFSET([2]怪物强度模型!$I$1,MATCH(F454,[2]怪物强度模型!$A:$A,0)-1,0)</f>
        <v>#VALUE!</v>
      </c>
      <c r="W454" s="47">
        <f t="shared" si="122"/>
        <v>2.21</v>
      </c>
      <c r="X454" s="47">
        <v>1.8</v>
      </c>
    </row>
    <row r="455" spans="1:24">
      <c r="A455" s="45">
        <f t="shared" si="113"/>
        <v>3506</v>
      </c>
      <c r="B455" s="45" t="s">
        <v>2794</v>
      </c>
      <c r="C455" s="45">
        <v>3</v>
      </c>
      <c r="D455" s="45">
        <v>506</v>
      </c>
      <c r="F455" s="46">
        <f t="shared" si="114"/>
        <v>3031</v>
      </c>
      <c r="G455" s="45">
        <f t="shared" si="120"/>
        <v>3.48999999999999</v>
      </c>
      <c r="H455" s="45">
        <v>7</v>
      </c>
      <c r="I455" s="46">
        <v>10</v>
      </c>
      <c r="J455" s="46">
        <v>20</v>
      </c>
      <c r="K455" s="46" t="e">
        <f ca="1" t="shared" si="115"/>
        <v>#VALUE!</v>
      </c>
      <c r="L455" s="46" t="e">
        <f ca="1" t="shared" si="116"/>
        <v>#VALUE!</v>
      </c>
      <c r="M455" s="46" t="e">
        <f ca="1" t="shared" si="118"/>
        <v>#VALUE!</v>
      </c>
      <c r="N455" s="46" t="e">
        <f ca="1" t="shared" si="121"/>
        <v>#VALUE!</v>
      </c>
      <c r="O455" s="46">
        <v>12</v>
      </c>
      <c r="P455" s="46">
        <f t="shared" si="117"/>
        <v>31</v>
      </c>
      <c r="Q455" s="46" t="e">
        <f ca="1" t="shared" ref="Q455:Q518" si="123">G455*(R455+S455-N455)*V455</f>
        <v>#VALUE!</v>
      </c>
      <c r="R455" s="46" t="e">
        <f ca="1">OFFSET([2]怪物强度模型!$K$1,MATCH(F455,[2]怪物强度模型!$A:$A,0)-1,0)</f>
        <v>#VALUE!</v>
      </c>
      <c r="S455" s="46" t="e">
        <f ca="1">OFFSET([2]怪物强度模型!$O$1,MATCH(F455,[2]怪物强度模型!$A:$A,0)-1,0)</f>
        <v>#VALUE!</v>
      </c>
      <c r="T455" s="47" t="e">
        <f ca="1" t="shared" si="119"/>
        <v>#VALUE!</v>
      </c>
      <c r="U455" s="47" t="e">
        <f ca="1">Q455+N455*$V$1/10000+$V$1*OFFSET(卡牌辅助配置表!$V$1,MATCH(C455,卡牌辅助配置表!U:U,0)-1,0)*5*P455/10000/10000+M455*$V$1/10000</f>
        <v>#VALUE!</v>
      </c>
      <c r="V455" s="46" t="e">
        <f ca="1">OFFSET([2]怪物强度模型!$I$1,MATCH(F455,[2]怪物强度模型!$A:$A,0)-1,0)</f>
        <v>#VALUE!</v>
      </c>
      <c r="W455" s="47">
        <f t="shared" si="122"/>
        <v>2.22</v>
      </c>
      <c r="X455" s="47">
        <v>1.8</v>
      </c>
    </row>
    <row r="456" spans="1:24">
      <c r="A456" s="45">
        <f t="shared" si="113"/>
        <v>3507</v>
      </c>
      <c r="B456" s="45" t="s">
        <v>2794</v>
      </c>
      <c r="C456" s="45">
        <v>3</v>
      </c>
      <c r="D456" s="45">
        <v>507</v>
      </c>
      <c r="F456" s="46">
        <f t="shared" si="114"/>
        <v>3031</v>
      </c>
      <c r="G456" s="45">
        <f t="shared" si="120"/>
        <v>3.53999999999999</v>
      </c>
      <c r="H456" s="45">
        <v>7</v>
      </c>
      <c r="I456" s="46">
        <v>10</v>
      </c>
      <c r="J456" s="46">
        <v>20</v>
      </c>
      <c r="K456" s="46" t="e">
        <f ca="1" t="shared" si="115"/>
        <v>#VALUE!</v>
      </c>
      <c r="L456" s="46" t="e">
        <f ca="1" t="shared" si="116"/>
        <v>#VALUE!</v>
      </c>
      <c r="M456" s="46" t="e">
        <f ca="1" t="shared" si="118"/>
        <v>#VALUE!</v>
      </c>
      <c r="N456" s="46" t="e">
        <f ca="1" t="shared" si="121"/>
        <v>#VALUE!</v>
      </c>
      <c r="O456" s="46">
        <v>13</v>
      </c>
      <c r="P456" s="46">
        <f t="shared" si="117"/>
        <v>31</v>
      </c>
      <c r="Q456" s="46" t="e">
        <f ca="1" t="shared" si="123"/>
        <v>#VALUE!</v>
      </c>
      <c r="R456" s="46" t="e">
        <f ca="1">OFFSET([2]怪物强度模型!$K$1,MATCH(F456,[2]怪物强度模型!$A:$A,0)-1,0)</f>
        <v>#VALUE!</v>
      </c>
      <c r="S456" s="46" t="e">
        <f ca="1">OFFSET([2]怪物强度模型!$O$1,MATCH(F456,[2]怪物强度模型!$A:$A,0)-1,0)</f>
        <v>#VALUE!</v>
      </c>
      <c r="T456" s="47" t="e">
        <f ca="1" t="shared" si="119"/>
        <v>#VALUE!</v>
      </c>
      <c r="U456" s="47" t="e">
        <f ca="1">Q456+N456*$V$1/10000+$V$1*OFFSET(卡牌辅助配置表!$V$1,MATCH(C456,卡牌辅助配置表!U:U,0)-1,0)*5*P456/10000/10000+M456*$V$1/10000</f>
        <v>#VALUE!</v>
      </c>
      <c r="V456" s="46" t="e">
        <f ca="1">OFFSET([2]怪物强度模型!$I$1,MATCH(F456,[2]怪物强度模型!$A:$A,0)-1,0)</f>
        <v>#VALUE!</v>
      </c>
      <c r="W456" s="47">
        <f t="shared" si="122"/>
        <v>2.22</v>
      </c>
      <c r="X456" s="47">
        <v>1.8</v>
      </c>
    </row>
    <row r="457" spans="1:24">
      <c r="A457" s="45">
        <f t="shared" si="113"/>
        <v>3508</v>
      </c>
      <c r="B457" s="45" t="s">
        <v>2794</v>
      </c>
      <c r="C457" s="45">
        <v>3</v>
      </c>
      <c r="D457" s="45">
        <v>508</v>
      </c>
      <c r="F457" s="46">
        <f t="shared" si="114"/>
        <v>3031</v>
      </c>
      <c r="G457" s="45">
        <f t="shared" si="120"/>
        <v>3.58999999999999</v>
      </c>
      <c r="H457" s="45">
        <v>7</v>
      </c>
      <c r="I457" s="46">
        <v>10</v>
      </c>
      <c r="J457" s="46">
        <v>20</v>
      </c>
      <c r="K457" s="46" t="e">
        <f ca="1" t="shared" si="115"/>
        <v>#VALUE!</v>
      </c>
      <c r="L457" s="46" t="e">
        <f ca="1" t="shared" si="116"/>
        <v>#VALUE!</v>
      </c>
      <c r="M457" s="46" t="e">
        <f ca="1" t="shared" si="118"/>
        <v>#VALUE!</v>
      </c>
      <c r="N457" s="46" t="e">
        <f ca="1" t="shared" si="121"/>
        <v>#VALUE!</v>
      </c>
      <c r="O457" s="46">
        <v>14</v>
      </c>
      <c r="P457" s="46">
        <f t="shared" si="117"/>
        <v>31</v>
      </c>
      <c r="Q457" s="46" t="e">
        <f ca="1" t="shared" si="123"/>
        <v>#VALUE!</v>
      </c>
      <c r="R457" s="46" t="e">
        <f ca="1">OFFSET([2]怪物强度模型!$K$1,MATCH(F457,[2]怪物强度模型!$A:$A,0)-1,0)</f>
        <v>#VALUE!</v>
      </c>
      <c r="S457" s="46" t="e">
        <f ca="1">OFFSET([2]怪物强度模型!$O$1,MATCH(F457,[2]怪物强度模型!$A:$A,0)-1,0)</f>
        <v>#VALUE!</v>
      </c>
      <c r="T457" s="47" t="e">
        <f ca="1" t="shared" si="119"/>
        <v>#VALUE!</v>
      </c>
      <c r="U457" s="47" t="e">
        <f ca="1">Q457+N457*$V$1/10000+$V$1*OFFSET(卡牌辅助配置表!$V$1,MATCH(C457,卡牌辅助配置表!U:U,0)-1,0)*5*P457/10000/10000+M457*$V$1/10000</f>
        <v>#VALUE!</v>
      </c>
      <c r="V457" s="46" t="e">
        <f ca="1">OFFSET([2]怪物强度模型!$I$1,MATCH(F457,[2]怪物强度模型!$A:$A,0)-1,0)</f>
        <v>#VALUE!</v>
      </c>
      <c r="W457" s="47">
        <f t="shared" si="122"/>
        <v>2.22</v>
      </c>
      <c r="X457" s="47">
        <v>1.8</v>
      </c>
    </row>
    <row r="458" spans="1:24">
      <c r="A458" s="45">
        <f t="shared" si="113"/>
        <v>3509</v>
      </c>
      <c r="B458" s="45" t="s">
        <v>2794</v>
      </c>
      <c r="C458" s="45">
        <v>3</v>
      </c>
      <c r="D458" s="45">
        <v>509</v>
      </c>
      <c r="F458" s="46">
        <f t="shared" si="114"/>
        <v>3031</v>
      </c>
      <c r="G458" s="45">
        <v>4.3</v>
      </c>
      <c r="H458" s="45">
        <v>7</v>
      </c>
      <c r="I458" s="46">
        <v>10</v>
      </c>
      <c r="J458" s="46">
        <v>20</v>
      </c>
      <c r="K458" s="46" t="e">
        <f ca="1" t="shared" si="115"/>
        <v>#VALUE!</v>
      </c>
      <c r="L458" s="46" t="e">
        <f ca="1" t="shared" si="116"/>
        <v>#VALUE!</v>
      </c>
      <c r="M458" s="46" t="e">
        <f ca="1" t="shared" si="118"/>
        <v>#VALUE!</v>
      </c>
      <c r="N458" s="46" t="e">
        <f ca="1" t="shared" si="121"/>
        <v>#VALUE!</v>
      </c>
      <c r="O458" s="46">
        <v>15</v>
      </c>
      <c r="P458" s="46">
        <f t="shared" si="117"/>
        <v>31</v>
      </c>
      <c r="Q458" s="46" t="e">
        <f ca="1" t="shared" si="123"/>
        <v>#VALUE!</v>
      </c>
      <c r="R458" s="46" t="e">
        <f ca="1">OFFSET([2]怪物强度模型!$K$1,MATCH(F458,[2]怪物强度模型!$A:$A,0)-1,0)</f>
        <v>#VALUE!</v>
      </c>
      <c r="S458" s="46" t="e">
        <f ca="1">OFFSET([2]怪物强度模型!$O$1,MATCH(F458,[2]怪物强度模型!$A:$A,0)-1,0)</f>
        <v>#VALUE!</v>
      </c>
      <c r="T458" s="47" t="e">
        <f ca="1" t="shared" si="119"/>
        <v>#VALUE!</v>
      </c>
      <c r="U458" s="47" t="e">
        <f ca="1">Q458+N458*$V$1/10000+$V$1*OFFSET(卡牌辅助配置表!$V$1,MATCH(C458,卡牌辅助配置表!U:U,0)-1,0)*5*P458/10000/10000+M458*$V$1/10000</f>
        <v>#VALUE!</v>
      </c>
      <c r="V458" s="46" t="e">
        <f ca="1">OFFSET([2]怪物强度模型!$I$1,MATCH(F458,[2]怪物强度模型!$A:$A,0)-1,0)</f>
        <v>#VALUE!</v>
      </c>
      <c r="W458" s="47">
        <f t="shared" si="122"/>
        <v>2.35</v>
      </c>
      <c r="X458" s="47">
        <v>1.8</v>
      </c>
    </row>
    <row r="459" spans="1:24">
      <c r="A459" s="45">
        <f t="shared" si="113"/>
        <v>3510</v>
      </c>
      <c r="B459" s="45" t="s">
        <v>2794</v>
      </c>
      <c r="C459" s="45">
        <v>3</v>
      </c>
      <c r="D459" s="45">
        <v>510</v>
      </c>
      <c r="F459" s="46">
        <f t="shared" si="114"/>
        <v>3032</v>
      </c>
      <c r="G459" s="45">
        <f t="shared" si="120"/>
        <v>3.46999999999999</v>
      </c>
      <c r="H459" s="45">
        <v>7</v>
      </c>
      <c r="I459" s="46">
        <v>10</v>
      </c>
      <c r="J459" s="46">
        <v>20</v>
      </c>
      <c r="K459" s="46" t="e">
        <f ca="1" t="shared" si="115"/>
        <v>#VALUE!</v>
      </c>
      <c r="L459" s="46" t="e">
        <f ca="1" t="shared" si="116"/>
        <v>#VALUE!</v>
      </c>
      <c r="M459" s="46" t="e">
        <f ca="1" t="shared" si="118"/>
        <v>#VALUE!</v>
      </c>
      <c r="N459" s="46" t="e">
        <f ca="1" t="shared" si="121"/>
        <v>#VALUE!</v>
      </c>
      <c r="O459" s="46">
        <v>16</v>
      </c>
      <c r="P459" s="46">
        <f t="shared" si="117"/>
        <v>32</v>
      </c>
      <c r="Q459" s="46" t="e">
        <f ca="1" t="shared" si="123"/>
        <v>#VALUE!</v>
      </c>
      <c r="R459" s="46" t="e">
        <f ca="1">OFFSET([2]怪物强度模型!$K$1,MATCH(F459,[2]怪物强度模型!$A:$A,0)-1,0)</f>
        <v>#VALUE!</v>
      </c>
      <c r="S459" s="46" t="e">
        <f ca="1">OFFSET([2]怪物强度模型!$O$1,MATCH(F459,[2]怪物强度模型!$A:$A,0)-1,0)</f>
        <v>#VALUE!</v>
      </c>
      <c r="T459" s="47" t="e">
        <f ca="1" t="shared" si="119"/>
        <v>#VALUE!</v>
      </c>
      <c r="U459" s="47" t="e">
        <f ca="1">Q459+N459*$V$1/10000+$V$1*OFFSET(卡牌辅助配置表!$V$1,MATCH(C459,卡牌辅助配置表!U:U,0)-1,0)*5*P459/10000/10000+M459*$V$1/10000</f>
        <v>#VALUE!</v>
      </c>
      <c r="V459" s="46" t="e">
        <f ca="1">OFFSET([2]怪物强度模型!$I$1,MATCH(F459,[2]怪物强度模型!$A:$A,0)-1,0)</f>
        <v>#VALUE!</v>
      </c>
      <c r="W459" s="47">
        <f t="shared" si="122"/>
        <v>2.25</v>
      </c>
      <c r="X459" s="47">
        <f t="shared" ref="X459:X515" si="124">X449+0.02</f>
        <v>1.82</v>
      </c>
    </row>
    <row r="460" spans="1:24">
      <c r="A460" s="45">
        <f t="shared" si="113"/>
        <v>3511</v>
      </c>
      <c r="B460" s="45" t="s">
        <v>2794</v>
      </c>
      <c r="C460" s="45">
        <v>3</v>
      </c>
      <c r="D460" s="45">
        <v>511</v>
      </c>
      <c r="F460" s="46">
        <f t="shared" si="114"/>
        <v>3032</v>
      </c>
      <c r="G460" s="45">
        <f t="shared" si="120"/>
        <v>3.51999999999999</v>
      </c>
      <c r="H460" s="45">
        <v>7</v>
      </c>
      <c r="I460" s="46">
        <v>10</v>
      </c>
      <c r="J460" s="46">
        <v>20</v>
      </c>
      <c r="K460" s="46" t="e">
        <f ca="1" t="shared" si="115"/>
        <v>#VALUE!</v>
      </c>
      <c r="L460" s="46" t="e">
        <f ca="1" t="shared" si="116"/>
        <v>#VALUE!</v>
      </c>
      <c r="M460" s="46" t="e">
        <f ca="1" t="shared" si="118"/>
        <v>#VALUE!</v>
      </c>
      <c r="N460" s="46" t="e">
        <f ca="1" t="shared" si="121"/>
        <v>#VALUE!</v>
      </c>
      <c r="O460" s="46">
        <v>17</v>
      </c>
      <c r="P460" s="46">
        <f t="shared" si="117"/>
        <v>32</v>
      </c>
      <c r="Q460" s="46" t="e">
        <f ca="1" t="shared" si="123"/>
        <v>#VALUE!</v>
      </c>
      <c r="R460" s="46" t="e">
        <f ca="1">OFFSET([2]怪物强度模型!$K$1,MATCH(F460,[2]怪物强度模型!$A:$A,0)-1,0)</f>
        <v>#VALUE!</v>
      </c>
      <c r="S460" s="46" t="e">
        <f ca="1">OFFSET([2]怪物强度模型!$O$1,MATCH(F460,[2]怪物强度模型!$A:$A,0)-1,0)</f>
        <v>#VALUE!</v>
      </c>
      <c r="T460" s="47" t="e">
        <f ca="1" t="shared" si="119"/>
        <v>#VALUE!</v>
      </c>
      <c r="U460" s="47" t="e">
        <f ca="1">Q460+N460*$V$1/10000+$V$1*OFFSET(卡牌辅助配置表!$V$1,MATCH(C460,卡牌辅助配置表!U:U,0)-1,0)*5*P460/10000/10000+M460*$V$1/10000</f>
        <v>#VALUE!</v>
      </c>
      <c r="V460" s="46" t="e">
        <f ca="1">OFFSET([2]怪物强度模型!$I$1,MATCH(F460,[2]怪物强度模型!$A:$A,0)-1,0)</f>
        <v>#VALUE!</v>
      </c>
      <c r="W460" s="47">
        <f t="shared" si="122"/>
        <v>2.25</v>
      </c>
      <c r="X460" s="47">
        <f t="shared" si="124"/>
        <v>1.82</v>
      </c>
    </row>
    <row r="461" spans="1:24">
      <c r="A461" s="45">
        <f t="shared" si="113"/>
        <v>3512</v>
      </c>
      <c r="B461" s="45" t="s">
        <v>2794</v>
      </c>
      <c r="C461" s="45">
        <v>3</v>
      </c>
      <c r="D461" s="45">
        <v>512</v>
      </c>
      <c r="F461" s="46">
        <f t="shared" si="114"/>
        <v>3032</v>
      </c>
      <c r="G461" s="45">
        <f t="shared" si="120"/>
        <v>3.56999999999999</v>
      </c>
      <c r="H461" s="45">
        <v>7</v>
      </c>
      <c r="I461" s="46">
        <v>10</v>
      </c>
      <c r="J461" s="46">
        <v>20</v>
      </c>
      <c r="K461" s="46" t="e">
        <f ca="1" t="shared" si="115"/>
        <v>#VALUE!</v>
      </c>
      <c r="L461" s="46" t="e">
        <f ca="1" t="shared" si="116"/>
        <v>#VALUE!</v>
      </c>
      <c r="M461" s="46" t="e">
        <f ca="1" t="shared" si="118"/>
        <v>#VALUE!</v>
      </c>
      <c r="N461" s="46" t="e">
        <f ca="1" t="shared" si="121"/>
        <v>#VALUE!</v>
      </c>
      <c r="O461" s="46">
        <v>18</v>
      </c>
      <c r="P461" s="46">
        <f t="shared" si="117"/>
        <v>32</v>
      </c>
      <c r="Q461" s="46" t="e">
        <f ca="1" t="shared" si="123"/>
        <v>#VALUE!</v>
      </c>
      <c r="R461" s="46" t="e">
        <f ca="1">OFFSET([2]怪物强度模型!$K$1,MATCH(F461,[2]怪物强度模型!$A:$A,0)-1,0)</f>
        <v>#VALUE!</v>
      </c>
      <c r="S461" s="46" t="e">
        <f ca="1">OFFSET([2]怪物强度模型!$O$1,MATCH(F461,[2]怪物强度模型!$A:$A,0)-1,0)</f>
        <v>#VALUE!</v>
      </c>
      <c r="T461" s="47" t="e">
        <f ca="1" t="shared" si="119"/>
        <v>#VALUE!</v>
      </c>
      <c r="U461" s="47" t="e">
        <f ca="1">Q461+N461*$V$1/10000+$V$1*OFFSET(卡牌辅助配置表!$V$1,MATCH(C461,卡牌辅助配置表!U:U,0)-1,0)*5*P461/10000/10000+M461*$V$1/10000</f>
        <v>#VALUE!</v>
      </c>
      <c r="V461" s="46" t="e">
        <f ca="1">OFFSET([2]怪物强度模型!$I$1,MATCH(F461,[2]怪物强度模型!$A:$A,0)-1,0)</f>
        <v>#VALUE!</v>
      </c>
      <c r="W461" s="47">
        <f t="shared" si="122"/>
        <v>2.25</v>
      </c>
      <c r="X461" s="47">
        <f t="shared" si="124"/>
        <v>1.82</v>
      </c>
    </row>
    <row r="462" spans="1:24">
      <c r="A462" s="45">
        <f t="shared" si="113"/>
        <v>3513</v>
      </c>
      <c r="B462" s="45" t="s">
        <v>2794</v>
      </c>
      <c r="C462" s="45">
        <v>3</v>
      </c>
      <c r="D462" s="45">
        <v>513</v>
      </c>
      <c r="F462" s="46">
        <f t="shared" si="114"/>
        <v>3032</v>
      </c>
      <c r="G462" s="45">
        <f t="shared" si="120"/>
        <v>3.61999999999999</v>
      </c>
      <c r="H462" s="45">
        <v>7</v>
      </c>
      <c r="I462" s="46">
        <v>10</v>
      </c>
      <c r="J462" s="46">
        <v>20</v>
      </c>
      <c r="K462" s="46" t="e">
        <f ca="1" t="shared" si="115"/>
        <v>#VALUE!</v>
      </c>
      <c r="L462" s="46" t="e">
        <f ca="1" t="shared" si="116"/>
        <v>#VALUE!</v>
      </c>
      <c r="M462" s="46" t="e">
        <f ca="1" t="shared" si="118"/>
        <v>#VALUE!</v>
      </c>
      <c r="N462" s="46" t="e">
        <f ca="1" t="shared" si="121"/>
        <v>#VALUE!</v>
      </c>
      <c r="O462" s="46">
        <v>19</v>
      </c>
      <c r="P462" s="46">
        <f t="shared" si="117"/>
        <v>32</v>
      </c>
      <c r="Q462" s="46" t="e">
        <f ca="1" t="shared" si="123"/>
        <v>#VALUE!</v>
      </c>
      <c r="R462" s="46" t="e">
        <f ca="1">OFFSET([2]怪物强度模型!$K$1,MATCH(F462,[2]怪物强度模型!$A:$A,0)-1,0)</f>
        <v>#VALUE!</v>
      </c>
      <c r="S462" s="46" t="e">
        <f ca="1">OFFSET([2]怪物强度模型!$O$1,MATCH(F462,[2]怪物强度模型!$A:$A,0)-1,0)</f>
        <v>#VALUE!</v>
      </c>
      <c r="T462" s="47" t="e">
        <f ca="1" t="shared" si="119"/>
        <v>#VALUE!</v>
      </c>
      <c r="U462" s="47" t="e">
        <f ca="1">Q462+N462*$V$1/10000+$V$1*OFFSET(卡牌辅助配置表!$V$1,MATCH(C462,卡牌辅助配置表!U:U,0)-1,0)*5*P462/10000/10000+M462*$V$1/10000</f>
        <v>#VALUE!</v>
      </c>
      <c r="V462" s="46" t="e">
        <f ca="1">OFFSET([2]怪物强度模型!$I$1,MATCH(F462,[2]怪物强度模型!$A:$A,0)-1,0)</f>
        <v>#VALUE!</v>
      </c>
      <c r="W462" s="47">
        <f t="shared" si="122"/>
        <v>2.26</v>
      </c>
      <c r="X462" s="47">
        <f t="shared" si="124"/>
        <v>1.82</v>
      </c>
    </row>
    <row r="463" spans="1:24">
      <c r="A463" s="45">
        <f t="shared" si="113"/>
        <v>3514</v>
      </c>
      <c r="B463" s="45" t="s">
        <v>2794</v>
      </c>
      <c r="C463" s="45">
        <v>3</v>
      </c>
      <c r="D463" s="45">
        <v>514</v>
      </c>
      <c r="F463" s="46">
        <f t="shared" si="114"/>
        <v>3032</v>
      </c>
      <c r="G463" s="45">
        <f t="shared" si="120"/>
        <v>4.33</v>
      </c>
      <c r="H463" s="45">
        <v>7</v>
      </c>
      <c r="I463" s="46">
        <v>10</v>
      </c>
      <c r="J463" s="46">
        <v>20</v>
      </c>
      <c r="K463" s="46" t="e">
        <f ca="1" t="shared" si="115"/>
        <v>#VALUE!</v>
      </c>
      <c r="L463" s="46" t="e">
        <f ca="1" t="shared" si="116"/>
        <v>#VALUE!</v>
      </c>
      <c r="M463" s="46" t="e">
        <f ca="1" t="shared" si="118"/>
        <v>#VALUE!</v>
      </c>
      <c r="N463" s="46" t="e">
        <f ca="1" t="shared" si="121"/>
        <v>#VALUE!</v>
      </c>
      <c r="O463" s="46">
        <v>20</v>
      </c>
      <c r="P463" s="46">
        <f t="shared" si="117"/>
        <v>32</v>
      </c>
      <c r="Q463" s="46" t="e">
        <f ca="1" t="shared" si="123"/>
        <v>#VALUE!</v>
      </c>
      <c r="R463" s="46" t="e">
        <f ca="1">OFFSET([2]怪物强度模型!$K$1,MATCH(F463,[2]怪物强度模型!$A:$A,0)-1,0)</f>
        <v>#VALUE!</v>
      </c>
      <c r="S463" s="46" t="e">
        <f ca="1">OFFSET([2]怪物强度模型!$O$1,MATCH(F463,[2]怪物强度模型!$A:$A,0)-1,0)</f>
        <v>#VALUE!</v>
      </c>
      <c r="T463" s="47" t="e">
        <f ca="1" t="shared" si="119"/>
        <v>#VALUE!</v>
      </c>
      <c r="U463" s="47" t="e">
        <f ca="1">Q463+N463*$V$1/10000+$V$1*OFFSET(卡牌辅助配置表!$V$1,MATCH(C463,卡牌辅助配置表!U:U,0)-1,0)*5*P463/10000/10000+M463*$V$1/10000</f>
        <v>#VALUE!</v>
      </c>
      <c r="V463" s="46" t="e">
        <f ca="1">OFFSET([2]怪物强度模型!$I$1,MATCH(F463,[2]怪物强度模型!$A:$A,0)-1,0)</f>
        <v>#VALUE!</v>
      </c>
      <c r="W463" s="47">
        <f t="shared" si="122"/>
        <v>2.26</v>
      </c>
      <c r="X463" s="47">
        <f t="shared" si="124"/>
        <v>1.82</v>
      </c>
    </row>
    <row r="464" spans="1:24">
      <c r="A464" s="45">
        <f t="shared" si="113"/>
        <v>3515</v>
      </c>
      <c r="B464" s="45" t="s">
        <v>2794</v>
      </c>
      <c r="C464" s="45">
        <v>3</v>
      </c>
      <c r="D464" s="45">
        <v>515</v>
      </c>
      <c r="F464" s="46">
        <f t="shared" si="114"/>
        <v>3032</v>
      </c>
      <c r="G464" s="45">
        <f t="shared" si="120"/>
        <v>3.49999999999999</v>
      </c>
      <c r="H464" s="45">
        <v>7</v>
      </c>
      <c r="I464" s="46">
        <v>10</v>
      </c>
      <c r="J464" s="46">
        <v>20</v>
      </c>
      <c r="K464" s="46" t="e">
        <f ca="1" t="shared" si="115"/>
        <v>#VALUE!</v>
      </c>
      <c r="L464" s="46" t="e">
        <f ca="1" t="shared" si="116"/>
        <v>#VALUE!</v>
      </c>
      <c r="M464" s="46" t="e">
        <f ca="1" t="shared" si="118"/>
        <v>#VALUE!</v>
      </c>
      <c r="N464" s="46" t="e">
        <f ca="1" t="shared" si="121"/>
        <v>#VALUE!</v>
      </c>
      <c r="O464" s="46">
        <v>21</v>
      </c>
      <c r="P464" s="46">
        <f t="shared" si="117"/>
        <v>32</v>
      </c>
      <c r="Q464" s="46" t="e">
        <f ca="1" t="shared" si="123"/>
        <v>#VALUE!</v>
      </c>
      <c r="R464" s="46" t="e">
        <f ca="1">OFFSET([2]怪物强度模型!$K$1,MATCH(F464,[2]怪物强度模型!$A:$A,0)-1,0)</f>
        <v>#VALUE!</v>
      </c>
      <c r="S464" s="46" t="e">
        <f ca="1">OFFSET([2]怪物强度模型!$O$1,MATCH(F464,[2]怪物强度模型!$A:$A,0)-1,0)</f>
        <v>#VALUE!</v>
      </c>
      <c r="T464" s="47" t="e">
        <f ca="1" t="shared" si="119"/>
        <v>#VALUE!</v>
      </c>
      <c r="U464" s="47" t="e">
        <f ca="1">Q464+N464*$V$1/10000+$V$1*OFFSET(卡牌辅助配置表!$V$1,MATCH(C464,卡牌辅助配置表!U:U,0)-1,0)*5*P464/10000/10000+M464*$V$1/10000</f>
        <v>#VALUE!</v>
      </c>
      <c r="V464" s="46" t="e">
        <f ca="1">OFFSET([2]怪物强度模型!$I$1,MATCH(F464,[2]怪物强度模型!$A:$A,0)-1,0)</f>
        <v>#VALUE!</v>
      </c>
      <c r="W464" s="47">
        <f t="shared" si="122"/>
        <v>2.26</v>
      </c>
      <c r="X464" s="47">
        <f t="shared" si="124"/>
        <v>1.82</v>
      </c>
    </row>
    <row r="465" spans="1:24">
      <c r="A465" s="45">
        <f t="shared" si="113"/>
        <v>3516</v>
      </c>
      <c r="B465" s="45" t="s">
        <v>2794</v>
      </c>
      <c r="C465" s="45">
        <v>3</v>
      </c>
      <c r="D465" s="45">
        <v>516</v>
      </c>
      <c r="F465" s="46">
        <f t="shared" si="114"/>
        <v>3032</v>
      </c>
      <c r="G465" s="45">
        <f t="shared" si="120"/>
        <v>3.54999999999999</v>
      </c>
      <c r="H465" s="45">
        <v>7</v>
      </c>
      <c r="I465" s="46">
        <v>10</v>
      </c>
      <c r="J465" s="46">
        <v>20</v>
      </c>
      <c r="K465" s="46" t="e">
        <f ca="1" t="shared" si="115"/>
        <v>#VALUE!</v>
      </c>
      <c r="L465" s="46" t="e">
        <f ca="1" t="shared" si="116"/>
        <v>#VALUE!</v>
      </c>
      <c r="M465" s="46" t="e">
        <f ca="1" t="shared" si="118"/>
        <v>#VALUE!</v>
      </c>
      <c r="N465" s="46" t="e">
        <f ca="1" t="shared" si="121"/>
        <v>#VALUE!</v>
      </c>
      <c r="O465" s="46">
        <v>22</v>
      </c>
      <c r="P465" s="46">
        <f t="shared" si="117"/>
        <v>32</v>
      </c>
      <c r="Q465" s="46" t="e">
        <f ca="1" t="shared" si="123"/>
        <v>#VALUE!</v>
      </c>
      <c r="R465" s="46" t="e">
        <f ca="1">OFFSET([2]怪物强度模型!$K$1,MATCH(F465,[2]怪物强度模型!$A:$A,0)-1,0)</f>
        <v>#VALUE!</v>
      </c>
      <c r="S465" s="46" t="e">
        <f ca="1">OFFSET([2]怪物强度模型!$O$1,MATCH(F465,[2]怪物强度模型!$A:$A,0)-1,0)</f>
        <v>#VALUE!</v>
      </c>
      <c r="T465" s="47" t="e">
        <f ca="1" t="shared" si="119"/>
        <v>#VALUE!</v>
      </c>
      <c r="U465" s="47" t="e">
        <f ca="1">Q465+N465*$V$1/10000+$V$1*OFFSET(卡牌辅助配置表!$V$1,MATCH(C465,卡牌辅助配置表!U:U,0)-1,0)*5*P465/10000/10000+M465*$V$1/10000</f>
        <v>#VALUE!</v>
      </c>
      <c r="V465" s="46" t="e">
        <f ca="1">OFFSET([2]怪物强度模型!$I$1,MATCH(F465,[2]怪物强度模型!$A:$A,0)-1,0)</f>
        <v>#VALUE!</v>
      </c>
      <c r="W465" s="47">
        <f t="shared" si="122"/>
        <v>2.27</v>
      </c>
      <c r="X465" s="47">
        <f t="shared" si="124"/>
        <v>1.82</v>
      </c>
    </row>
    <row r="466" spans="1:24">
      <c r="A466" s="45">
        <f t="shared" si="113"/>
        <v>3517</v>
      </c>
      <c r="B466" s="45" t="s">
        <v>2794</v>
      </c>
      <c r="C466" s="45">
        <v>3</v>
      </c>
      <c r="D466" s="45">
        <v>517</v>
      </c>
      <c r="F466" s="46">
        <f t="shared" si="114"/>
        <v>3032</v>
      </c>
      <c r="G466" s="45">
        <f t="shared" si="120"/>
        <v>3.59999999999999</v>
      </c>
      <c r="H466" s="45">
        <v>7</v>
      </c>
      <c r="I466" s="46">
        <v>10</v>
      </c>
      <c r="J466" s="46">
        <v>20</v>
      </c>
      <c r="K466" s="46" t="e">
        <f ca="1" t="shared" si="115"/>
        <v>#VALUE!</v>
      </c>
      <c r="L466" s="46" t="e">
        <f ca="1" t="shared" si="116"/>
        <v>#VALUE!</v>
      </c>
      <c r="M466" s="46" t="e">
        <f ca="1" t="shared" si="118"/>
        <v>#VALUE!</v>
      </c>
      <c r="N466" s="46" t="e">
        <f ca="1" t="shared" si="121"/>
        <v>#VALUE!</v>
      </c>
      <c r="O466" s="46">
        <v>23</v>
      </c>
      <c r="P466" s="46">
        <f t="shared" si="117"/>
        <v>32</v>
      </c>
      <c r="Q466" s="46" t="e">
        <f ca="1" t="shared" si="123"/>
        <v>#VALUE!</v>
      </c>
      <c r="R466" s="46" t="e">
        <f ca="1">OFFSET([2]怪物强度模型!$K$1,MATCH(F466,[2]怪物强度模型!$A:$A,0)-1,0)</f>
        <v>#VALUE!</v>
      </c>
      <c r="S466" s="46" t="e">
        <f ca="1">OFFSET([2]怪物强度模型!$O$1,MATCH(F466,[2]怪物强度模型!$A:$A,0)-1,0)</f>
        <v>#VALUE!</v>
      </c>
      <c r="T466" s="47" t="e">
        <f ca="1" t="shared" si="119"/>
        <v>#VALUE!</v>
      </c>
      <c r="U466" s="47" t="e">
        <f ca="1">Q466+N466*$V$1/10000+$V$1*OFFSET(卡牌辅助配置表!$V$1,MATCH(C466,卡牌辅助配置表!U:U,0)-1,0)*5*P466/10000/10000+M466*$V$1/10000</f>
        <v>#VALUE!</v>
      </c>
      <c r="V466" s="46" t="e">
        <f ca="1">OFFSET([2]怪物强度模型!$I$1,MATCH(F466,[2]怪物强度模型!$A:$A,0)-1,0)</f>
        <v>#VALUE!</v>
      </c>
      <c r="W466" s="47">
        <f t="shared" si="122"/>
        <v>2.27</v>
      </c>
      <c r="X466" s="47">
        <f t="shared" si="124"/>
        <v>1.82</v>
      </c>
    </row>
    <row r="467" spans="1:24">
      <c r="A467" s="45">
        <f t="shared" si="113"/>
        <v>3518</v>
      </c>
      <c r="B467" s="45" t="s">
        <v>2794</v>
      </c>
      <c r="C467" s="45">
        <v>3</v>
      </c>
      <c r="D467" s="45">
        <v>518</v>
      </c>
      <c r="F467" s="46">
        <f t="shared" si="114"/>
        <v>3032</v>
      </c>
      <c r="G467" s="45">
        <f t="shared" si="120"/>
        <v>3.64999999999999</v>
      </c>
      <c r="H467" s="45">
        <v>7</v>
      </c>
      <c r="I467" s="46">
        <v>10</v>
      </c>
      <c r="J467" s="46">
        <v>20</v>
      </c>
      <c r="K467" s="46" t="e">
        <f ca="1" t="shared" si="115"/>
        <v>#VALUE!</v>
      </c>
      <c r="L467" s="46" t="e">
        <f ca="1" t="shared" si="116"/>
        <v>#VALUE!</v>
      </c>
      <c r="M467" s="46" t="e">
        <f ca="1" t="shared" si="118"/>
        <v>#VALUE!</v>
      </c>
      <c r="N467" s="46" t="e">
        <f ca="1" t="shared" si="121"/>
        <v>#VALUE!</v>
      </c>
      <c r="O467" s="46">
        <v>24</v>
      </c>
      <c r="P467" s="46">
        <f t="shared" si="117"/>
        <v>32</v>
      </c>
      <c r="Q467" s="46" t="e">
        <f ca="1" t="shared" si="123"/>
        <v>#VALUE!</v>
      </c>
      <c r="R467" s="46" t="e">
        <f ca="1">OFFSET([2]怪物强度模型!$K$1,MATCH(F467,[2]怪物强度模型!$A:$A,0)-1,0)</f>
        <v>#VALUE!</v>
      </c>
      <c r="S467" s="46" t="e">
        <f ca="1">OFFSET([2]怪物强度模型!$O$1,MATCH(F467,[2]怪物强度模型!$A:$A,0)-1,0)</f>
        <v>#VALUE!</v>
      </c>
      <c r="T467" s="47" t="e">
        <f ca="1" t="shared" si="119"/>
        <v>#VALUE!</v>
      </c>
      <c r="U467" s="47" t="e">
        <f ca="1">Q467+N467*$V$1/10000+$V$1*OFFSET(卡牌辅助配置表!$V$1,MATCH(C467,卡牌辅助配置表!U:U,0)-1,0)*5*P467/10000/10000+M467*$V$1/10000</f>
        <v>#VALUE!</v>
      </c>
      <c r="V467" s="46" t="e">
        <f ca="1">OFFSET([2]怪物强度模型!$I$1,MATCH(F467,[2]怪物强度模型!$A:$A,0)-1,0)</f>
        <v>#VALUE!</v>
      </c>
      <c r="W467" s="47">
        <f t="shared" si="122"/>
        <v>2.27</v>
      </c>
      <c r="X467" s="47">
        <f t="shared" si="124"/>
        <v>1.82</v>
      </c>
    </row>
    <row r="468" spans="1:24">
      <c r="A468" s="45">
        <f t="shared" si="113"/>
        <v>3519</v>
      </c>
      <c r="B468" s="45" t="s">
        <v>2794</v>
      </c>
      <c r="C468" s="45">
        <v>3</v>
      </c>
      <c r="D468" s="45">
        <v>519</v>
      </c>
      <c r="F468" s="46">
        <f t="shared" si="114"/>
        <v>3032</v>
      </c>
      <c r="G468" s="45">
        <f>G458+0.1</f>
        <v>4.4</v>
      </c>
      <c r="H468" s="45">
        <v>7</v>
      </c>
      <c r="I468" s="46">
        <v>10</v>
      </c>
      <c r="J468" s="46">
        <v>20</v>
      </c>
      <c r="K468" s="46" t="e">
        <f ca="1" t="shared" si="115"/>
        <v>#VALUE!</v>
      </c>
      <c r="L468" s="46" t="e">
        <f ca="1" t="shared" si="116"/>
        <v>#VALUE!</v>
      </c>
      <c r="M468" s="46" t="e">
        <f ca="1" t="shared" si="118"/>
        <v>#VALUE!</v>
      </c>
      <c r="N468" s="46" t="e">
        <f ca="1" t="shared" si="121"/>
        <v>#VALUE!</v>
      </c>
      <c r="O468" s="46">
        <v>25</v>
      </c>
      <c r="P468" s="46">
        <f t="shared" si="117"/>
        <v>32</v>
      </c>
      <c r="Q468" s="46" t="e">
        <f ca="1" t="shared" si="123"/>
        <v>#VALUE!</v>
      </c>
      <c r="R468" s="46" t="e">
        <f ca="1">OFFSET([2]怪物强度模型!$K$1,MATCH(F468,[2]怪物强度模型!$A:$A,0)-1,0)</f>
        <v>#VALUE!</v>
      </c>
      <c r="S468" s="46" t="e">
        <f ca="1">OFFSET([2]怪物强度模型!$O$1,MATCH(F468,[2]怪物强度模型!$A:$A,0)-1,0)</f>
        <v>#VALUE!</v>
      </c>
      <c r="T468" s="47" t="e">
        <f ca="1" t="shared" si="119"/>
        <v>#VALUE!</v>
      </c>
      <c r="U468" s="47" t="e">
        <f ca="1">Q468+N468*$V$1/10000+$V$1*OFFSET(卡牌辅助配置表!$V$1,MATCH(C468,卡牌辅助配置表!U:U,0)-1,0)*5*P468/10000/10000+M468*$V$1/10000</f>
        <v>#VALUE!</v>
      </c>
      <c r="V468" s="46" t="e">
        <f ca="1">OFFSET([2]怪物强度模型!$I$1,MATCH(F468,[2]怪物强度模型!$A:$A,0)-1,0)</f>
        <v>#VALUE!</v>
      </c>
      <c r="W468" s="47">
        <f t="shared" si="122"/>
        <v>2.4</v>
      </c>
      <c r="X468" s="47">
        <f t="shared" si="124"/>
        <v>1.82</v>
      </c>
    </row>
    <row r="469" spans="1:24">
      <c r="A469" s="45">
        <f t="shared" si="113"/>
        <v>3520</v>
      </c>
      <c r="B469" s="45" t="s">
        <v>2794</v>
      </c>
      <c r="C469" s="45">
        <v>3</v>
      </c>
      <c r="D469" s="45">
        <v>520</v>
      </c>
      <c r="F469" s="46">
        <f t="shared" si="114"/>
        <v>3033</v>
      </c>
      <c r="G469" s="45">
        <f t="shared" si="120"/>
        <v>3.52999999999999</v>
      </c>
      <c r="H469" s="45">
        <v>7</v>
      </c>
      <c r="I469" s="46">
        <v>10</v>
      </c>
      <c r="J469" s="46">
        <v>20</v>
      </c>
      <c r="K469" s="46" t="e">
        <f ca="1" t="shared" si="115"/>
        <v>#VALUE!</v>
      </c>
      <c r="L469" s="46" t="e">
        <f ca="1" t="shared" si="116"/>
        <v>#VALUE!</v>
      </c>
      <c r="M469" s="46" t="e">
        <f ca="1" t="shared" si="118"/>
        <v>#VALUE!</v>
      </c>
      <c r="N469" s="46" t="e">
        <f ca="1" t="shared" si="121"/>
        <v>#VALUE!</v>
      </c>
      <c r="O469" s="46">
        <v>26</v>
      </c>
      <c r="P469" s="46">
        <f t="shared" si="117"/>
        <v>33</v>
      </c>
      <c r="Q469" s="46" t="e">
        <f ca="1" t="shared" si="123"/>
        <v>#VALUE!</v>
      </c>
      <c r="R469" s="46" t="e">
        <f ca="1">OFFSET([2]怪物强度模型!$K$1,MATCH(F469,[2]怪物强度模型!$A:$A,0)-1,0)</f>
        <v>#VALUE!</v>
      </c>
      <c r="S469" s="46" t="e">
        <f ca="1">OFFSET([2]怪物强度模型!$O$1,MATCH(F469,[2]怪物强度模型!$A:$A,0)-1,0)</f>
        <v>#VALUE!</v>
      </c>
      <c r="T469" s="47" t="e">
        <f ca="1" t="shared" si="119"/>
        <v>#VALUE!</v>
      </c>
      <c r="U469" s="47" t="e">
        <f ca="1">Q469+N469*$V$1/10000+$V$1*OFFSET(卡牌辅助配置表!$V$1,MATCH(C469,卡牌辅助配置表!U:U,0)-1,0)*5*P469/10000/10000+M469*$V$1/10000</f>
        <v>#VALUE!</v>
      </c>
      <c r="V469" s="46" t="e">
        <f ca="1">OFFSET([2]怪物强度模型!$I$1,MATCH(F469,[2]怪物强度模型!$A:$A,0)-1,0)</f>
        <v>#VALUE!</v>
      </c>
      <c r="W469" s="47">
        <f t="shared" si="122"/>
        <v>2.3</v>
      </c>
      <c r="X469" s="47">
        <f t="shared" si="124"/>
        <v>1.84</v>
      </c>
    </row>
    <row r="470" spans="1:24">
      <c r="A470" s="45">
        <f t="shared" si="113"/>
        <v>3521</v>
      </c>
      <c r="B470" s="45" t="s">
        <v>2794</v>
      </c>
      <c r="C470" s="45">
        <v>3</v>
      </c>
      <c r="D470" s="45">
        <v>521</v>
      </c>
      <c r="F470" s="46">
        <f t="shared" si="114"/>
        <v>3033</v>
      </c>
      <c r="G470" s="45">
        <f t="shared" si="120"/>
        <v>3.57999999999999</v>
      </c>
      <c r="H470" s="45">
        <v>7</v>
      </c>
      <c r="I470" s="46">
        <v>10</v>
      </c>
      <c r="J470" s="46">
        <v>20</v>
      </c>
      <c r="K470" s="46" t="e">
        <f ca="1" t="shared" si="115"/>
        <v>#VALUE!</v>
      </c>
      <c r="L470" s="46" t="e">
        <f ca="1" t="shared" si="116"/>
        <v>#VALUE!</v>
      </c>
      <c r="M470" s="46" t="e">
        <f ca="1" t="shared" si="118"/>
        <v>#VALUE!</v>
      </c>
      <c r="N470" s="46" t="e">
        <f ca="1" t="shared" si="121"/>
        <v>#VALUE!</v>
      </c>
      <c r="O470" s="46">
        <v>27</v>
      </c>
      <c r="P470" s="46">
        <f t="shared" si="117"/>
        <v>33</v>
      </c>
      <c r="Q470" s="46" t="e">
        <f ca="1" t="shared" si="123"/>
        <v>#VALUE!</v>
      </c>
      <c r="R470" s="46" t="e">
        <f ca="1">OFFSET([2]怪物强度模型!$K$1,MATCH(F470,[2]怪物强度模型!$A:$A,0)-1,0)</f>
        <v>#VALUE!</v>
      </c>
      <c r="S470" s="46" t="e">
        <f ca="1">OFFSET([2]怪物强度模型!$O$1,MATCH(F470,[2]怪物强度模型!$A:$A,0)-1,0)</f>
        <v>#VALUE!</v>
      </c>
      <c r="T470" s="47" t="e">
        <f ca="1" t="shared" si="119"/>
        <v>#VALUE!</v>
      </c>
      <c r="U470" s="47" t="e">
        <f ca="1">Q470+N470*$V$1/10000+$V$1*OFFSET(卡牌辅助配置表!$V$1,MATCH(C470,卡牌辅助配置表!U:U,0)-1,0)*5*P470/10000/10000+M470*$V$1/10000</f>
        <v>#VALUE!</v>
      </c>
      <c r="V470" s="46" t="e">
        <f ca="1">OFFSET([2]怪物强度模型!$I$1,MATCH(F470,[2]怪物强度模型!$A:$A,0)-1,0)</f>
        <v>#VALUE!</v>
      </c>
      <c r="W470" s="47">
        <f t="shared" si="122"/>
        <v>2.3</v>
      </c>
      <c r="X470" s="47">
        <f t="shared" si="124"/>
        <v>1.84</v>
      </c>
    </row>
    <row r="471" spans="1:24">
      <c r="A471" s="45">
        <f t="shared" si="113"/>
        <v>3522</v>
      </c>
      <c r="B471" s="45" t="s">
        <v>2794</v>
      </c>
      <c r="C471" s="45">
        <v>3</v>
      </c>
      <c r="D471" s="45">
        <v>522</v>
      </c>
      <c r="F471" s="46">
        <f t="shared" si="114"/>
        <v>3033</v>
      </c>
      <c r="G471" s="45">
        <f t="shared" si="120"/>
        <v>3.62999999999999</v>
      </c>
      <c r="H471" s="45">
        <v>7</v>
      </c>
      <c r="I471" s="46">
        <v>10</v>
      </c>
      <c r="J471" s="46">
        <v>20</v>
      </c>
      <c r="K471" s="46" t="e">
        <f ca="1" t="shared" si="115"/>
        <v>#VALUE!</v>
      </c>
      <c r="L471" s="46" t="e">
        <f ca="1" t="shared" si="116"/>
        <v>#VALUE!</v>
      </c>
      <c r="M471" s="46" t="e">
        <f ca="1" t="shared" si="118"/>
        <v>#VALUE!</v>
      </c>
      <c r="N471" s="46" t="e">
        <f ca="1" t="shared" si="121"/>
        <v>#VALUE!</v>
      </c>
      <c r="O471" s="46">
        <v>28</v>
      </c>
      <c r="P471" s="46">
        <f t="shared" si="117"/>
        <v>33</v>
      </c>
      <c r="Q471" s="46" t="e">
        <f ca="1" t="shared" si="123"/>
        <v>#VALUE!</v>
      </c>
      <c r="R471" s="46" t="e">
        <f ca="1">OFFSET([2]怪物强度模型!$K$1,MATCH(F471,[2]怪物强度模型!$A:$A,0)-1,0)</f>
        <v>#VALUE!</v>
      </c>
      <c r="S471" s="46" t="e">
        <f ca="1">OFFSET([2]怪物强度模型!$O$1,MATCH(F471,[2]怪物强度模型!$A:$A,0)-1,0)</f>
        <v>#VALUE!</v>
      </c>
      <c r="T471" s="47" t="e">
        <f ca="1" t="shared" si="119"/>
        <v>#VALUE!</v>
      </c>
      <c r="U471" s="47" t="e">
        <f ca="1">Q471+N471*$V$1/10000+$V$1*OFFSET(卡牌辅助配置表!$V$1,MATCH(C471,卡牌辅助配置表!U:U,0)-1,0)*5*P471/10000/10000+M471*$V$1/10000</f>
        <v>#VALUE!</v>
      </c>
      <c r="V471" s="46" t="e">
        <f ca="1">OFFSET([2]怪物强度模型!$I$1,MATCH(F471,[2]怪物强度模型!$A:$A,0)-1,0)</f>
        <v>#VALUE!</v>
      </c>
      <c r="W471" s="47">
        <f t="shared" si="122"/>
        <v>2.3</v>
      </c>
      <c r="X471" s="47">
        <f t="shared" si="124"/>
        <v>1.84</v>
      </c>
    </row>
    <row r="472" spans="1:24">
      <c r="A472" s="45">
        <f t="shared" si="113"/>
        <v>3523</v>
      </c>
      <c r="B472" s="45" t="s">
        <v>2794</v>
      </c>
      <c r="C472" s="45">
        <v>3</v>
      </c>
      <c r="D472" s="45">
        <v>523</v>
      </c>
      <c r="F472" s="46">
        <f t="shared" si="114"/>
        <v>3033</v>
      </c>
      <c r="G472" s="45">
        <f t="shared" si="120"/>
        <v>3.67999999999999</v>
      </c>
      <c r="H472" s="45">
        <v>7</v>
      </c>
      <c r="I472" s="46">
        <v>10</v>
      </c>
      <c r="J472" s="46">
        <v>20</v>
      </c>
      <c r="K472" s="46" t="e">
        <f ca="1" t="shared" si="115"/>
        <v>#VALUE!</v>
      </c>
      <c r="L472" s="46" t="e">
        <f ca="1" t="shared" si="116"/>
        <v>#VALUE!</v>
      </c>
      <c r="M472" s="46" t="e">
        <f ca="1" t="shared" si="118"/>
        <v>#VALUE!</v>
      </c>
      <c r="N472" s="46" t="e">
        <f ca="1" t="shared" si="121"/>
        <v>#VALUE!</v>
      </c>
      <c r="O472" s="46">
        <v>29</v>
      </c>
      <c r="P472" s="46">
        <f t="shared" si="117"/>
        <v>33</v>
      </c>
      <c r="Q472" s="46" t="e">
        <f ca="1" t="shared" si="123"/>
        <v>#VALUE!</v>
      </c>
      <c r="R472" s="46" t="e">
        <f ca="1">OFFSET([2]怪物强度模型!$K$1,MATCH(F472,[2]怪物强度模型!$A:$A,0)-1,0)</f>
        <v>#VALUE!</v>
      </c>
      <c r="S472" s="46" t="e">
        <f ca="1">OFFSET([2]怪物强度模型!$O$1,MATCH(F472,[2]怪物强度模型!$A:$A,0)-1,0)</f>
        <v>#VALUE!</v>
      </c>
      <c r="T472" s="47" t="e">
        <f ca="1" t="shared" si="119"/>
        <v>#VALUE!</v>
      </c>
      <c r="U472" s="47" t="e">
        <f ca="1">Q472+N472*$V$1/10000+$V$1*OFFSET(卡牌辅助配置表!$V$1,MATCH(C472,卡牌辅助配置表!U:U,0)-1,0)*5*P472/10000/10000+M472*$V$1/10000</f>
        <v>#VALUE!</v>
      </c>
      <c r="V472" s="46" t="e">
        <f ca="1">OFFSET([2]怪物强度模型!$I$1,MATCH(F472,[2]怪物强度模型!$A:$A,0)-1,0)</f>
        <v>#VALUE!</v>
      </c>
      <c r="W472" s="47">
        <f t="shared" si="122"/>
        <v>2.31</v>
      </c>
      <c r="X472" s="47">
        <f t="shared" si="124"/>
        <v>1.84</v>
      </c>
    </row>
    <row r="473" spans="1:24">
      <c r="A473" s="45">
        <f t="shared" ref="A473:A536" si="125">C473*1000+D473</f>
        <v>3524</v>
      </c>
      <c r="B473" s="45" t="s">
        <v>2794</v>
      </c>
      <c r="C473" s="45">
        <v>3</v>
      </c>
      <c r="D473" s="45">
        <v>524</v>
      </c>
      <c r="F473" s="46">
        <f t="shared" ref="F473:F536" si="126">C473*1000+P473</f>
        <v>3033</v>
      </c>
      <c r="G473" s="45">
        <f t="shared" si="120"/>
        <v>4.43</v>
      </c>
      <c r="H473" s="45">
        <v>7</v>
      </c>
      <c r="I473" s="46">
        <v>10</v>
      </c>
      <c r="J473" s="46">
        <v>20</v>
      </c>
      <c r="K473" s="46" t="e">
        <f ca="1" t="shared" ref="K473:K536" si="127">ROUND(Q473*0.95,0)</f>
        <v>#VALUE!</v>
      </c>
      <c r="L473" s="46" t="e">
        <f ca="1" t="shared" ref="L473:L536" si="128">ROUND(Q473*1.05,0)</f>
        <v>#VALUE!</v>
      </c>
      <c r="M473" s="46" t="e">
        <f ca="1" t="shared" si="118"/>
        <v>#VALUE!</v>
      </c>
      <c r="N473" s="46" t="e">
        <f ca="1" t="shared" si="121"/>
        <v>#VALUE!</v>
      </c>
      <c r="O473" s="46">
        <v>30</v>
      </c>
      <c r="P473" s="46">
        <f t="shared" si="117"/>
        <v>33</v>
      </c>
      <c r="Q473" s="46" t="e">
        <f ca="1" t="shared" si="123"/>
        <v>#VALUE!</v>
      </c>
      <c r="R473" s="46" t="e">
        <f ca="1">OFFSET([2]怪物强度模型!$K$1,MATCH(F473,[2]怪物强度模型!$A:$A,0)-1,0)</f>
        <v>#VALUE!</v>
      </c>
      <c r="S473" s="46" t="e">
        <f ca="1">OFFSET([2]怪物强度模型!$O$1,MATCH(F473,[2]怪物强度模型!$A:$A,0)-1,0)</f>
        <v>#VALUE!</v>
      </c>
      <c r="T473" s="47" t="e">
        <f ca="1" t="shared" si="119"/>
        <v>#VALUE!</v>
      </c>
      <c r="U473" s="47" t="e">
        <f ca="1">Q473+N473*$V$1/10000+$V$1*OFFSET(卡牌辅助配置表!$V$1,MATCH(C473,卡牌辅助配置表!U:U,0)-1,0)*5*P473/10000/10000+M473*$V$1/10000</f>
        <v>#VALUE!</v>
      </c>
      <c r="V473" s="46" t="e">
        <f ca="1">OFFSET([2]怪物强度模型!$I$1,MATCH(F473,[2]怪物强度模型!$A:$A,0)-1,0)</f>
        <v>#VALUE!</v>
      </c>
      <c r="W473" s="47">
        <f t="shared" si="122"/>
        <v>2.31</v>
      </c>
      <c r="X473" s="47">
        <f t="shared" si="124"/>
        <v>1.84</v>
      </c>
    </row>
    <row r="474" spans="1:24">
      <c r="A474" s="45">
        <f t="shared" si="125"/>
        <v>3525</v>
      </c>
      <c r="B474" s="45" t="s">
        <v>2794</v>
      </c>
      <c r="C474" s="45">
        <v>3</v>
      </c>
      <c r="D474" s="45">
        <v>525</v>
      </c>
      <c r="F474" s="46">
        <f t="shared" si="126"/>
        <v>3033</v>
      </c>
      <c r="G474" s="45">
        <f t="shared" si="120"/>
        <v>3.55999999999999</v>
      </c>
      <c r="H474" s="45">
        <v>7</v>
      </c>
      <c r="I474" s="46">
        <v>10</v>
      </c>
      <c r="J474" s="46">
        <v>20</v>
      </c>
      <c r="K474" s="46" t="e">
        <f ca="1" t="shared" si="127"/>
        <v>#VALUE!</v>
      </c>
      <c r="L474" s="46" t="e">
        <f ca="1" t="shared" si="128"/>
        <v>#VALUE!</v>
      </c>
      <c r="M474" s="46" t="e">
        <f ca="1" t="shared" si="118"/>
        <v>#VALUE!</v>
      </c>
      <c r="N474" s="46" t="e">
        <f ca="1" t="shared" si="121"/>
        <v>#VALUE!</v>
      </c>
      <c r="O474" s="46">
        <v>31</v>
      </c>
      <c r="P474" s="46">
        <f t="shared" si="117"/>
        <v>33</v>
      </c>
      <c r="Q474" s="46" t="e">
        <f ca="1" t="shared" si="123"/>
        <v>#VALUE!</v>
      </c>
      <c r="R474" s="46" t="e">
        <f ca="1">OFFSET([2]怪物强度模型!$K$1,MATCH(F474,[2]怪物强度模型!$A:$A,0)-1,0)</f>
        <v>#VALUE!</v>
      </c>
      <c r="S474" s="46" t="e">
        <f ca="1">OFFSET([2]怪物强度模型!$O$1,MATCH(F474,[2]怪物强度模型!$A:$A,0)-1,0)</f>
        <v>#VALUE!</v>
      </c>
      <c r="T474" s="47" t="e">
        <f ca="1" t="shared" si="119"/>
        <v>#VALUE!</v>
      </c>
      <c r="U474" s="47" t="e">
        <f ca="1">Q474+N474*$V$1/10000+$V$1*OFFSET(卡牌辅助配置表!$V$1,MATCH(C474,卡牌辅助配置表!U:U,0)-1,0)*5*P474/10000/10000+M474*$V$1/10000</f>
        <v>#VALUE!</v>
      </c>
      <c r="V474" s="46" t="e">
        <f ca="1">OFFSET([2]怪物强度模型!$I$1,MATCH(F474,[2]怪物强度模型!$A:$A,0)-1,0)</f>
        <v>#VALUE!</v>
      </c>
      <c r="W474" s="47">
        <f t="shared" si="122"/>
        <v>2.31</v>
      </c>
      <c r="X474" s="47">
        <f t="shared" si="124"/>
        <v>1.84</v>
      </c>
    </row>
    <row r="475" spans="1:24">
      <c r="A475" s="45">
        <f t="shared" si="125"/>
        <v>3526</v>
      </c>
      <c r="B475" s="45" t="s">
        <v>2794</v>
      </c>
      <c r="C475" s="45">
        <v>3</v>
      </c>
      <c r="D475" s="45">
        <v>526</v>
      </c>
      <c r="F475" s="46">
        <f t="shared" si="126"/>
        <v>3033</v>
      </c>
      <c r="G475" s="45">
        <f t="shared" si="120"/>
        <v>3.60999999999999</v>
      </c>
      <c r="H475" s="45">
        <v>7</v>
      </c>
      <c r="I475" s="46">
        <v>10</v>
      </c>
      <c r="J475" s="46">
        <v>20</v>
      </c>
      <c r="K475" s="46" t="e">
        <f ca="1" t="shared" si="127"/>
        <v>#VALUE!</v>
      </c>
      <c r="L475" s="46" t="e">
        <f ca="1" t="shared" si="128"/>
        <v>#VALUE!</v>
      </c>
      <c r="M475" s="46" t="e">
        <f ca="1" t="shared" si="118"/>
        <v>#VALUE!</v>
      </c>
      <c r="N475" s="46" t="e">
        <f ca="1" t="shared" si="121"/>
        <v>#VALUE!</v>
      </c>
      <c r="O475" s="46">
        <v>32</v>
      </c>
      <c r="P475" s="46">
        <f t="shared" si="117"/>
        <v>33</v>
      </c>
      <c r="Q475" s="46" t="e">
        <f ca="1" t="shared" si="123"/>
        <v>#VALUE!</v>
      </c>
      <c r="R475" s="46" t="e">
        <f ca="1">OFFSET([2]怪物强度模型!$K$1,MATCH(F475,[2]怪物强度模型!$A:$A,0)-1,0)</f>
        <v>#VALUE!</v>
      </c>
      <c r="S475" s="46" t="e">
        <f ca="1">OFFSET([2]怪物强度模型!$O$1,MATCH(F475,[2]怪物强度模型!$A:$A,0)-1,0)</f>
        <v>#VALUE!</v>
      </c>
      <c r="T475" s="47" t="e">
        <f ca="1" t="shared" si="119"/>
        <v>#VALUE!</v>
      </c>
      <c r="U475" s="47" t="e">
        <f ca="1">Q475+N475*$V$1/10000+$V$1*OFFSET(卡牌辅助配置表!$V$1,MATCH(C475,卡牌辅助配置表!U:U,0)-1,0)*5*P475/10000/10000+M475*$V$1/10000</f>
        <v>#VALUE!</v>
      </c>
      <c r="V475" s="46" t="e">
        <f ca="1">OFFSET([2]怪物强度模型!$I$1,MATCH(F475,[2]怪物强度模型!$A:$A,0)-1,0)</f>
        <v>#VALUE!</v>
      </c>
      <c r="W475" s="47">
        <f t="shared" si="122"/>
        <v>2.32</v>
      </c>
      <c r="X475" s="47">
        <f t="shared" si="124"/>
        <v>1.84</v>
      </c>
    </row>
    <row r="476" spans="1:24">
      <c r="A476" s="45">
        <f t="shared" si="125"/>
        <v>3527</v>
      </c>
      <c r="B476" s="45" t="s">
        <v>2794</v>
      </c>
      <c r="C476" s="45">
        <v>3</v>
      </c>
      <c r="D476" s="45">
        <v>527</v>
      </c>
      <c r="F476" s="46">
        <f t="shared" si="126"/>
        <v>3033</v>
      </c>
      <c r="G476" s="45">
        <f t="shared" si="120"/>
        <v>3.65999999999999</v>
      </c>
      <c r="H476" s="45">
        <v>7</v>
      </c>
      <c r="I476" s="46">
        <v>10</v>
      </c>
      <c r="J476" s="46">
        <v>20</v>
      </c>
      <c r="K476" s="46" t="e">
        <f ca="1" t="shared" si="127"/>
        <v>#VALUE!</v>
      </c>
      <c r="L476" s="46" t="e">
        <f ca="1" t="shared" si="128"/>
        <v>#VALUE!</v>
      </c>
      <c r="M476" s="46" t="e">
        <f ca="1" t="shared" si="118"/>
        <v>#VALUE!</v>
      </c>
      <c r="N476" s="46" t="e">
        <f ca="1" t="shared" si="121"/>
        <v>#VALUE!</v>
      </c>
      <c r="O476" s="46">
        <v>33</v>
      </c>
      <c r="P476" s="46">
        <f t="shared" si="117"/>
        <v>33</v>
      </c>
      <c r="Q476" s="46" t="e">
        <f ca="1" t="shared" si="123"/>
        <v>#VALUE!</v>
      </c>
      <c r="R476" s="46" t="e">
        <f ca="1">OFFSET([2]怪物强度模型!$K$1,MATCH(F476,[2]怪物强度模型!$A:$A,0)-1,0)</f>
        <v>#VALUE!</v>
      </c>
      <c r="S476" s="46" t="e">
        <f ca="1">OFFSET([2]怪物强度模型!$O$1,MATCH(F476,[2]怪物强度模型!$A:$A,0)-1,0)</f>
        <v>#VALUE!</v>
      </c>
      <c r="T476" s="47" t="e">
        <f ca="1" t="shared" si="119"/>
        <v>#VALUE!</v>
      </c>
      <c r="U476" s="47" t="e">
        <f ca="1">Q476+N476*$V$1/10000+$V$1*OFFSET(卡牌辅助配置表!$V$1,MATCH(C476,卡牌辅助配置表!U:U,0)-1,0)*5*P476/10000/10000+M476*$V$1/10000</f>
        <v>#VALUE!</v>
      </c>
      <c r="V476" s="46" t="e">
        <f ca="1">OFFSET([2]怪物强度模型!$I$1,MATCH(F476,[2]怪物强度模型!$A:$A,0)-1,0)</f>
        <v>#VALUE!</v>
      </c>
      <c r="W476" s="47">
        <f t="shared" si="122"/>
        <v>2.32</v>
      </c>
      <c r="X476" s="47">
        <f t="shared" si="124"/>
        <v>1.84</v>
      </c>
    </row>
    <row r="477" spans="1:24">
      <c r="A477" s="45">
        <f t="shared" si="125"/>
        <v>3528</v>
      </c>
      <c r="B477" s="45" t="s">
        <v>2794</v>
      </c>
      <c r="C477" s="45">
        <v>3</v>
      </c>
      <c r="D477" s="45">
        <v>528</v>
      </c>
      <c r="F477" s="46">
        <f t="shared" si="126"/>
        <v>3033</v>
      </c>
      <c r="G477" s="45">
        <f t="shared" si="120"/>
        <v>3.70999999999999</v>
      </c>
      <c r="H477" s="45">
        <v>7</v>
      </c>
      <c r="I477" s="46">
        <v>10</v>
      </c>
      <c r="J477" s="46">
        <v>20</v>
      </c>
      <c r="K477" s="46" t="e">
        <f ca="1" t="shared" si="127"/>
        <v>#VALUE!</v>
      </c>
      <c r="L477" s="46" t="e">
        <f ca="1" t="shared" si="128"/>
        <v>#VALUE!</v>
      </c>
      <c r="M477" s="46" t="e">
        <f ca="1" t="shared" si="118"/>
        <v>#VALUE!</v>
      </c>
      <c r="N477" s="46" t="e">
        <f ca="1" t="shared" si="121"/>
        <v>#VALUE!</v>
      </c>
      <c r="O477" s="46">
        <v>34</v>
      </c>
      <c r="P477" s="46">
        <f t="shared" ref="P477:P540" si="129">P467+1</f>
        <v>33</v>
      </c>
      <c r="Q477" s="46" t="e">
        <f ca="1" t="shared" si="123"/>
        <v>#VALUE!</v>
      </c>
      <c r="R477" s="46" t="e">
        <f ca="1">OFFSET([2]怪物强度模型!$K$1,MATCH(F477,[2]怪物强度模型!$A:$A,0)-1,0)</f>
        <v>#VALUE!</v>
      </c>
      <c r="S477" s="46" t="e">
        <f ca="1">OFFSET([2]怪物强度模型!$O$1,MATCH(F477,[2]怪物强度模型!$A:$A,0)-1,0)</f>
        <v>#VALUE!</v>
      </c>
      <c r="T477" s="47" t="e">
        <f ca="1" t="shared" si="119"/>
        <v>#VALUE!</v>
      </c>
      <c r="U477" s="47" t="e">
        <f ca="1">Q477+N477*$V$1/10000+$V$1*OFFSET(卡牌辅助配置表!$V$1,MATCH(C477,卡牌辅助配置表!U:U,0)-1,0)*5*P477/10000/10000+M477*$V$1/10000</f>
        <v>#VALUE!</v>
      </c>
      <c r="V477" s="46" t="e">
        <f ca="1">OFFSET([2]怪物强度模型!$I$1,MATCH(F477,[2]怪物强度模型!$A:$A,0)-1,0)</f>
        <v>#VALUE!</v>
      </c>
      <c r="W477" s="47">
        <f t="shared" si="122"/>
        <v>2.32</v>
      </c>
      <c r="X477" s="47">
        <f t="shared" si="124"/>
        <v>1.84</v>
      </c>
    </row>
    <row r="478" spans="1:24">
      <c r="A478" s="45">
        <f t="shared" si="125"/>
        <v>3529</v>
      </c>
      <c r="B478" s="45" t="s">
        <v>2794</v>
      </c>
      <c r="C478" s="45">
        <v>3</v>
      </c>
      <c r="D478" s="45">
        <v>529</v>
      </c>
      <c r="F478" s="46">
        <f t="shared" si="126"/>
        <v>3033</v>
      </c>
      <c r="G478" s="45">
        <f>G468+0.1</f>
        <v>4.5</v>
      </c>
      <c r="H478" s="45">
        <v>7</v>
      </c>
      <c r="I478" s="46">
        <v>10</v>
      </c>
      <c r="J478" s="46">
        <v>20</v>
      </c>
      <c r="K478" s="46" t="e">
        <f ca="1" t="shared" si="127"/>
        <v>#VALUE!</v>
      </c>
      <c r="L478" s="46" t="e">
        <f ca="1" t="shared" si="128"/>
        <v>#VALUE!</v>
      </c>
      <c r="M478" s="46" t="e">
        <f ca="1" t="shared" si="118"/>
        <v>#VALUE!</v>
      </c>
      <c r="N478" s="46" t="e">
        <f ca="1" t="shared" si="121"/>
        <v>#VALUE!</v>
      </c>
      <c r="O478" s="46">
        <v>35</v>
      </c>
      <c r="P478" s="46">
        <f t="shared" si="129"/>
        <v>33</v>
      </c>
      <c r="Q478" s="46" t="e">
        <f ca="1" t="shared" si="123"/>
        <v>#VALUE!</v>
      </c>
      <c r="R478" s="46" t="e">
        <f ca="1">OFFSET([2]怪物强度模型!$K$1,MATCH(F478,[2]怪物强度模型!$A:$A,0)-1,0)</f>
        <v>#VALUE!</v>
      </c>
      <c r="S478" s="46" t="e">
        <f ca="1">OFFSET([2]怪物强度模型!$O$1,MATCH(F478,[2]怪物强度模型!$A:$A,0)-1,0)</f>
        <v>#VALUE!</v>
      </c>
      <c r="T478" s="47" t="e">
        <f ca="1" t="shared" si="119"/>
        <v>#VALUE!</v>
      </c>
      <c r="U478" s="47" t="e">
        <f ca="1">Q478+N478*$V$1/10000+$V$1*OFFSET(卡牌辅助配置表!$V$1,MATCH(C478,卡牌辅助配置表!U:U,0)-1,0)*5*P478/10000/10000+M478*$V$1/10000</f>
        <v>#VALUE!</v>
      </c>
      <c r="V478" s="46" t="e">
        <f ca="1">OFFSET([2]怪物强度模型!$I$1,MATCH(F478,[2]怪物强度模型!$A:$A,0)-1,0)</f>
        <v>#VALUE!</v>
      </c>
      <c r="W478" s="47">
        <f t="shared" si="122"/>
        <v>2.45</v>
      </c>
      <c r="X478" s="47">
        <f t="shared" si="124"/>
        <v>1.84</v>
      </c>
    </row>
    <row r="479" spans="1:24">
      <c r="A479" s="45">
        <f t="shared" si="125"/>
        <v>3530</v>
      </c>
      <c r="B479" s="45" t="s">
        <v>2794</v>
      </c>
      <c r="C479" s="45">
        <v>3</v>
      </c>
      <c r="D479" s="45">
        <v>530</v>
      </c>
      <c r="F479" s="46">
        <f t="shared" si="126"/>
        <v>3034</v>
      </c>
      <c r="G479" s="45">
        <f t="shared" si="120"/>
        <v>3.58999999999999</v>
      </c>
      <c r="H479" s="45">
        <v>7</v>
      </c>
      <c r="I479" s="46">
        <v>10</v>
      </c>
      <c r="J479" s="46">
        <v>20</v>
      </c>
      <c r="K479" s="46" t="e">
        <f ca="1" t="shared" si="127"/>
        <v>#VALUE!</v>
      </c>
      <c r="L479" s="46" t="e">
        <f ca="1" t="shared" si="128"/>
        <v>#VALUE!</v>
      </c>
      <c r="M479" s="46" t="e">
        <f ca="1" t="shared" si="118"/>
        <v>#VALUE!</v>
      </c>
      <c r="N479" s="46" t="e">
        <f ca="1" t="shared" si="121"/>
        <v>#VALUE!</v>
      </c>
      <c r="O479" s="46">
        <v>36</v>
      </c>
      <c r="P479" s="46">
        <f t="shared" si="129"/>
        <v>34</v>
      </c>
      <c r="Q479" s="46" t="e">
        <f ca="1" t="shared" si="123"/>
        <v>#VALUE!</v>
      </c>
      <c r="R479" s="46" t="e">
        <f ca="1">OFFSET([2]怪物强度模型!$K$1,MATCH(F479,[2]怪物强度模型!$A:$A,0)-1,0)</f>
        <v>#VALUE!</v>
      </c>
      <c r="S479" s="46" t="e">
        <f ca="1">OFFSET([2]怪物强度模型!$O$1,MATCH(F479,[2]怪物强度模型!$A:$A,0)-1,0)</f>
        <v>#VALUE!</v>
      </c>
      <c r="T479" s="47" t="e">
        <f ca="1" t="shared" si="119"/>
        <v>#VALUE!</v>
      </c>
      <c r="U479" s="47" t="e">
        <f ca="1">Q479+N479*$V$1/10000+$V$1*OFFSET(卡牌辅助配置表!$V$1,MATCH(C479,卡牌辅助配置表!U:U,0)-1,0)*5*P479/10000/10000+M479*$V$1/10000</f>
        <v>#VALUE!</v>
      </c>
      <c r="V479" s="46" t="e">
        <f ca="1">OFFSET([2]怪物强度模型!$I$1,MATCH(F479,[2]怪物强度模型!$A:$A,0)-1,0)</f>
        <v>#VALUE!</v>
      </c>
      <c r="W479" s="47">
        <f t="shared" si="122"/>
        <v>2.35</v>
      </c>
      <c r="X479" s="47">
        <f t="shared" si="124"/>
        <v>1.86</v>
      </c>
    </row>
    <row r="480" spans="1:24">
      <c r="A480" s="45">
        <f t="shared" si="125"/>
        <v>3531</v>
      </c>
      <c r="B480" s="45" t="s">
        <v>2794</v>
      </c>
      <c r="C480" s="45">
        <v>3</v>
      </c>
      <c r="D480" s="45">
        <v>531</v>
      </c>
      <c r="F480" s="46">
        <f t="shared" si="126"/>
        <v>3034</v>
      </c>
      <c r="G480" s="45">
        <f t="shared" si="120"/>
        <v>3.63999999999999</v>
      </c>
      <c r="H480" s="45">
        <v>7</v>
      </c>
      <c r="I480" s="46">
        <v>10</v>
      </c>
      <c r="J480" s="46">
        <v>20</v>
      </c>
      <c r="K480" s="46" t="e">
        <f ca="1" t="shared" si="127"/>
        <v>#VALUE!</v>
      </c>
      <c r="L480" s="46" t="e">
        <f ca="1" t="shared" si="128"/>
        <v>#VALUE!</v>
      </c>
      <c r="M480" s="46" t="e">
        <f ca="1" t="shared" si="118"/>
        <v>#VALUE!</v>
      </c>
      <c r="N480" s="46" t="e">
        <f ca="1" t="shared" si="121"/>
        <v>#VALUE!</v>
      </c>
      <c r="O480" s="46">
        <v>37</v>
      </c>
      <c r="P480" s="46">
        <f t="shared" si="129"/>
        <v>34</v>
      </c>
      <c r="Q480" s="46" t="e">
        <f ca="1" t="shared" si="123"/>
        <v>#VALUE!</v>
      </c>
      <c r="R480" s="46" t="e">
        <f ca="1">OFFSET([2]怪物强度模型!$K$1,MATCH(F480,[2]怪物强度模型!$A:$A,0)-1,0)</f>
        <v>#VALUE!</v>
      </c>
      <c r="S480" s="46" t="e">
        <f ca="1">OFFSET([2]怪物强度模型!$O$1,MATCH(F480,[2]怪物强度模型!$A:$A,0)-1,0)</f>
        <v>#VALUE!</v>
      </c>
      <c r="T480" s="47" t="e">
        <f ca="1" t="shared" si="119"/>
        <v>#VALUE!</v>
      </c>
      <c r="U480" s="47" t="e">
        <f ca="1">Q480+N480*$V$1/10000+$V$1*OFFSET(卡牌辅助配置表!$V$1,MATCH(C480,卡牌辅助配置表!U:U,0)-1,0)*5*P480/10000/10000+M480*$V$1/10000</f>
        <v>#VALUE!</v>
      </c>
      <c r="V480" s="46" t="e">
        <f ca="1">OFFSET([2]怪物强度模型!$I$1,MATCH(F480,[2]怪物强度模型!$A:$A,0)-1,0)</f>
        <v>#VALUE!</v>
      </c>
      <c r="W480" s="47">
        <f t="shared" si="122"/>
        <v>2.35</v>
      </c>
      <c r="X480" s="47">
        <f t="shared" si="124"/>
        <v>1.86</v>
      </c>
    </row>
    <row r="481" spans="1:24">
      <c r="A481" s="45">
        <f t="shared" si="125"/>
        <v>3532</v>
      </c>
      <c r="B481" s="45" t="s">
        <v>2794</v>
      </c>
      <c r="C481" s="45">
        <v>3</v>
      </c>
      <c r="D481" s="45">
        <v>532</v>
      </c>
      <c r="F481" s="46">
        <f t="shared" si="126"/>
        <v>3034</v>
      </c>
      <c r="G481" s="45">
        <f t="shared" si="120"/>
        <v>3.68999999999999</v>
      </c>
      <c r="H481" s="45">
        <v>7</v>
      </c>
      <c r="I481" s="46">
        <v>10</v>
      </c>
      <c r="J481" s="46">
        <v>20</v>
      </c>
      <c r="K481" s="46" t="e">
        <f ca="1" t="shared" si="127"/>
        <v>#VALUE!</v>
      </c>
      <c r="L481" s="46" t="e">
        <f ca="1" t="shared" si="128"/>
        <v>#VALUE!</v>
      </c>
      <c r="M481" s="46" t="e">
        <f ca="1" t="shared" si="118"/>
        <v>#VALUE!</v>
      </c>
      <c r="N481" s="46" t="e">
        <f ca="1" t="shared" si="121"/>
        <v>#VALUE!</v>
      </c>
      <c r="O481" s="46">
        <v>38</v>
      </c>
      <c r="P481" s="46">
        <f t="shared" si="129"/>
        <v>34</v>
      </c>
      <c r="Q481" s="46" t="e">
        <f ca="1" t="shared" si="123"/>
        <v>#VALUE!</v>
      </c>
      <c r="R481" s="46" t="e">
        <f ca="1">OFFSET([2]怪物强度模型!$K$1,MATCH(F481,[2]怪物强度模型!$A:$A,0)-1,0)</f>
        <v>#VALUE!</v>
      </c>
      <c r="S481" s="46" t="e">
        <f ca="1">OFFSET([2]怪物强度模型!$O$1,MATCH(F481,[2]怪物强度模型!$A:$A,0)-1,0)</f>
        <v>#VALUE!</v>
      </c>
      <c r="T481" s="47" t="e">
        <f ca="1" t="shared" si="119"/>
        <v>#VALUE!</v>
      </c>
      <c r="U481" s="47" t="e">
        <f ca="1">Q481+N481*$V$1/10000+$V$1*OFFSET(卡牌辅助配置表!$V$1,MATCH(C481,卡牌辅助配置表!U:U,0)-1,0)*5*P481/10000/10000+M481*$V$1/10000</f>
        <v>#VALUE!</v>
      </c>
      <c r="V481" s="46" t="e">
        <f ca="1">OFFSET([2]怪物强度模型!$I$1,MATCH(F481,[2]怪物强度模型!$A:$A,0)-1,0)</f>
        <v>#VALUE!</v>
      </c>
      <c r="W481" s="47">
        <f t="shared" si="122"/>
        <v>2.35</v>
      </c>
      <c r="X481" s="47">
        <f t="shared" si="124"/>
        <v>1.86</v>
      </c>
    </row>
    <row r="482" spans="1:24">
      <c r="A482" s="45">
        <f t="shared" si="125"/>
        <v>3533</v>
      </c>
      <c r="B482" s="45" t="s">
        <v>2794</v>
      </c>
      <c r="C482" s="45">
        <v>3</v>
      </c>
      <c r="D482" s="45">
        <v>533</v>
      </c>
      <c r="F482" s="46">
        <f t="shared" si="126"/>
        <v>3034</v>
      </c>
      <c r="G482" s="45">
        <f t="shared" si="120"/>
        <v>3.73999999999999</v>
      </c>
      <c r="H482" s="45">
        <v>7</v>
      </c>
      <c r="I482" s="46">
        <v>10</v>
      </c>
      <c r="J482" s="46">
        <v>20</v>
      </c>
      <c r="K482" s="46" t="e">
        <f ca="1" t="shared" si="127"/>
        <v>#VALUE!</v>
      </c>
      <c r="L482" s="46" t="e">
        <f ca="1" t="shared" si="128"/>
        <v>#VALUE!</v>
      </c>
      <c r="M482" s="46" t="e">
        <f ca="1" t="shared" si="118"/>
        <v>#VALUE!</v>
      </c>
      <c r="N482" s="46" t="e">
        <f ca="1" t="shared" si="121"/>
        <v>#VALUE!</v>
      </c>
      <c r="O482" s="46">
        <v>39</v>
      </c>
      <c r="P482" s="46">
        <f t="shared" si="129"/>
        <v>34</v>
      </c>
      <c r="Q482" s="46" t="e">
        <f ca="1" t="shared" si="123"/>
        <v>#VALUE!</v>
      </c>
      <c r="R482" s="46" t="e">
        <f ca="1">OFFSET([2]怪物强度模型!$K$1,MATCH(F482,[2]怪物强度模型!$A:$A,0)-1,0)</f>
        <v>#VALUE!</v>
      </c>
      <c r="S482" s="46" t="e">
        <f ca="1">OFFSET([2]怪物强度模型!$O$1,MATCH(F482,[2]怪物强度模型!$A:$A,0)-1,0)</f>
        <v>#VALUE!</v>
      </c>
      <c r="T482" s="47" t="e">
        <f ca="1" t="shared" si="119"/>
        <v>#VALUE!</v>
      </c>
      <c r="U482" s="47" t="e">
        <f ca="1">Q482+N482*$V$1/10000+$V$1*OFFSET(卡牌辅助配置表!$V$1,MATCH(C482,卡牌辅助配置表!U:U,0)-1,0)*5*P482/10000/10000+M482*$V$1/10000</f>
        <v>#VALUE!</v>
      </c>
      <c r="V482" s="46" t="e">
        <f ca="1">OFFSET([2]怪物强度模型!$I$1,MATCH(F482,[2]怪物强度模型!$A:$A,0)-1,0)</f>
        <v>#VALUE!</v>
      </c>
      <c r="W482" s="47">
        <f t="shared" si="122"/>
        <v>2.36</v>
      </c>
      <c r="X482" s="47">
        <f t="shared" si="124"/>
        <v>1.86</v>
      </c>
    </row>
    <row r="483" spans="1:24">
      <c r="A483" s="45">
        <f t="shared" si="125"/>
        <v>3534</v>
      </c>
      <c r="B483" s="45" t="s">
        <v>2794</v>
      </c>
      <c r="C483" s="45">
        <v>3</v>
      </c>
      <c r="D483" s="45">
        <v>534</v>
      </c>
      <c r="F483" s="46">
        <f t="shared" si="126"/>
        <v>3034</v>
      </c>
      <c r="G483" s="45">
        <f t="shared" si="120"/>
        <v>4.53</v>
      </c>
      <c r="H483" s="45">
        <v>7</v>
      </c>
      <c r="I483" s="46">
        <v>10</v>
      </c>
      <c r="J483" s="46">
        <v>20</v>
      </c>
      <c r="K483" s="46" t="e">
        <f ca="1" t="shared" si="127"/>
        <v>#VALUE!</v>
      </c>
      <c r="L483" s="46" t="e">
        <f ca="1" t="shared" si="128"/>
        <v>#VALUE!</v>
      </c>
      <c r="M483" s="46" t="e">
        <f ca="1" t="shared" si="118"/>
        <v>#VALUE!</v>
      </c>
      <c r="N483" s="46" t="e">
        <f ca="1" t="shared" si="121"/>
        <v>#VALUE!</v>
      </c>
      <c r="O483" s="46">
        <v>40</v>
      </c>
      <c r="P483" s="46">
        <f t="shared" si="129"/>
        <v>34</v>
      </c>
      <c r="Q483" s="46" t="e">
        <f ca="1" t="shared" si="123"/>
        <v>#VALUE!</v>
      </c>
      <c r="R483" s="46" t="e">
        <f ca="1">OFFSET([2]怪物强度模型!$K$1,MATCH(F483,[2]怪物强度模型!$A:$A,0)-1,0)</f>
        <v>#VALUE!</v>
      </c>
      <c r="S483" s="46" t="e">
        <f ca="1">OFFSET([2]怪物强度模型!$O$1,MATCH(F483,[2]怪物强度模型!$A:$A,0)-1,0)</f>
        <v>#VALUE!</v>
      </c>
      <c r="T483" s="47" t="e">
        <f ca="1" t="shared" si="119"/>
        <v>#VALUE!</v>
      </c>
      <c r="U483" s="47" t="e">
        <f ca="1">Q483+N483*$V$1/10000+$V$1*OFFSET(卡牌辅助配置表!$V$1,MATCH(C483,卡牌辅助配置表!U:U,0)-1,0)*5*P483/10000/10000+M483*$V$1/10000</f>
        <v>#VALUE!</v>
      </c>
      <c r="V483" s="46" t="e">
        <f ca="1">OFFSET([2]怪物强度模型!$I$1,MATCH(F483,[2]怪物强度模型!$A:$A,0)-1,0)</f>
        <v>#VALUE!</v>
      </c>
      <c r="W483" s="47">
        <f t="shared" si="122"/>
        <v>2.36</v>
      </c>
      <c r="X483" s="47">
        <f t="shared" si="124"/>
        <v>1.86</v>
      </c>
    </row>
    <row r="484" spans="1:24">
      <c r="A484" s="45">
        <f t="shared" si="125"/>
        <v>3535</v>
      </c>
      <c r="B484" s="45" t="s">
        <v>2794</v>
      </c>
      <c r="C484" s="45">
        <v>3</v>
      </c>
      <c r="D484" s="45">
        <v>535</v>
      </c>
      <c r="F484" s="46">
        <f t="shared" si="126"/>
        <v>3034</v>
      </c>
      <c r="G484" s="45">
        <f t="shared" si="120"/>
        <v>3.61999999999999</v>
      </c>
      <c r="H484" s="45">
        <v>7</v>
      </c>
      <c r="I484" s="46">
        <v>10</v>
      </c>
      <c r="J484" s="46">
        <v>20</v>
      </c>
      <c r="K484" s="46" t="e">
        <f ca="1" t="shared" si="127"/>
        <v>#VALUE!</v>
      </c>
      <c r="L484" s="46" t="e">
        <f ca="1" t="shared" si="128"/>
        <v>#VALUE!</v>
      </c>
      <c r="M484" s="46" t="e">
        <f ca="1" t="shared" si="118"/>
        <v>#VALUE!</v>
      </c>
      <c r="N484" s="46" t="e">
        <f ca="1" t="shared" si="121"/>
        <v>#VALUE!</v>
      </c>
      <c r="O484" s="46">
        <v>41</v>
      </c>
      <c r="P484" s="46">
        <f t="shared" si="129"/>
        <v>34</v>
      </c>
      <c r="Q484" s="46" t="e">
        <f ca="1" t="shared" si="123"/>
        <v>#VALUE!</v>
      </c>
      <c r="R484" s="46" t="e">
        <f ca="1">OFFSET([2]怪物强度模型!$K$1,MATCH(F484,[2]怪物强度模型!$A:$A,0)-1,0)</f>
        <v>#VALUE!</v>
      </c>
      <c r="S484" s="46" t="e">
        <f ca="1">OFFSET([2]怪物强度模型!$O$1,MATCH(F484,[2]怪物强度模型!$A:$A,0)-1,0)</f>
        <v>#VALUE!</v>
      </c>
      <c r="T484" s="47" t="e">
        <f ca="1" t="shared" si="119"/>
        <v>#VALUE!</v>
      </c>
      <c r="U484" s="47" t="e">
        <f ca="1">Q484+N484*$V$1/10000+$V$1*OFFSET(卡牌辅助配置表!$V$1,MATCH(C484,卡牌辅助配置表!U:U,0)-1,0)*5*P484/10000/10000+M484*$V$1/10000</f>
        <v>#VALUE!</v>
      </c>
      <c r="V484" s="46" t="e">
        <f ca="1">OFFSET([2]怪物强度模型!$I$1,MATCH(F484,[2]怪物强度模型!$A:$A,0)-1,0)</f>
        <v>#VALUE!</v>
      </c>
      <c r="W484" s="47">
        <f t="shared" si="122"/>
        <v>2.36</v>
      </c>
      <c r="X484" s="47">
        <f t="shared" si="124"/>
        <v>1.86</v>
      </c>
    </row>
    <row r="485" spans="1:24">
      <c r="A485" s="45">
        <f t="shared" si="125"/>
        <v>3536</v>
      </c>
      <c r="B485" s="45" t="s">
        <v>2794</v>
      </c>
      <c r="C485" s="45">
        <v>3</v>
      </c>
      <c r="D485" s="45">
        <v>536</v>
      </c>
      <c r="F485" s="46">
        <f t="shared" si="126"/>
        <v>3034</v>
      </c>
      <c r="G485" s="45">
        <f t="shared" si="120"/>
        <v>3.66999999999999</v>
      </c>
      <c r="H485" s="45">
        <v>7</v>
      </c>
      <c r="I485" s="46">
        <v>10</v>
      </c>
      <c r="J485" s="46">
        <v>20</v>
      </c>
      <c r="K485" s="46" t="e">
        <f ca="1" t="shared" si="127"/>
        <v>#VALUE!</v>
      </c>
      <c r="L485" s="46" t="e">
        <f ca="1" t="shared" si="128"/>
        <v>#VALUE!</v>
      </c>
      <c r="M485" s="46" t="e">
        <f ca="1" t="shared" si="118"/>
        <v>#VALUE!</v>
      </c>
      <c r="N485" s="46" t="e">
        <f ca="1" t="shared" si="121"/>
        <v>#VALUE!</v>
      </c>
      <c r="O485" s="46">
        <v>42</v>
      </c>
      <c r="P485" s="46">
        <f t="shared" si="129"/>
        <v>34</v>
      </c>
      <c r="Q485" s="46" t="e">
        <f ca="1" t="shared" si="123"/>
        <v>#VALUE!</v>
      </c>
      <c r="R485" s="46" t="e">
        <f ca="1">OFFSET([2]怪物强度模型!$K$1,MATCH(F485,[2]怪物强度模型!$A:$A,0)-1,0)</f>
        <v>#VALUE!</v>
      </c>
      <c r="S485" s="46" t="e">
        <f ca="1">OFFSET([2]怪物强度模型!$O$1,MATCH(F485,[2]怪物强度模型!$A:$A,0)-1,0)</f>
        <v>#VALUE!</v>
      </c>
      <c r="T485" s="47" t="e">
        <f ca="1" t="shared" si="119"/>
        <v>#VALUE!</v>
      </c>
      <c r="U485" s="47" t="e">
        <f ca="1">Q485+N485*$V$1/10000+$V$1*OFFSET(卡牌辅助配置表!$V$1,MATCH(C485,卡牌辅助配置表!U:U,0)-1,0)*5*P485/10000/10000+M485*$V$1/10000</f>
        <v>#VALUE!</v>
      </c>
      <c r="V485" s="46" t="e">
        <f ca="1">OFFSET([2]怪物强度模型!$I$1,MATCH(F485,[2]怪物强度模型!$A:$A,0)-1,0)</f>
        <v>#VALUE!</v>
      </c>
      <c r="W485" s="47">
        <f t="shared" si="122"/>
        <v>2.37</v>
      </c>
      <c r="X485" s="47">
        <f t="shared" si="124"/>
        <v>1.86</v>
      </c>
    </row>
    <row r="486" spans="1:24">
      <c r="A486" s="45">
        <f t="shared" si="125"/>
        <v>3537</v>
      </c>
      <c r="B486" s="45" t="s">
        <v>2794</v>
      </c>
      <c r="C486" s="45">
        <v>3</v>
      </c>
      <c r="D486" s="45">
        <v>537</v>
      </c>
      <c r="F486" s="46">
        <f t="shared" si="126"/>
        <v>3034</v>
      </c>
      <c r="G486" s="45">
        <f t="shared" si="120"/>
        <v>3.71999999999999</v>
      </c>
      <c r="H486" s="45">
        <v>7</v>
      </c>
      <c r="I486" s="46">
        <v>10</v>
      </c>
      <c r="J486" s="46">
        <v>20</v>
      </c>
      <c r="K486" s="46" t="e">
        <f ca="1" t="shared" si="127"/>
        <v>#VALUE!</v>
      </c>
      <c r="L486" s="46" t="e">
        <f ca="1" t="shared" si="128"/>
        <v>#VALUE!</v>
      </c>
      <c r="M486" s="46" t="e">
        <f ca="1" t="shared" si="118"/>
        <v>#VALUE!</v>
      </c>
      <c r="N486" s="46" t="e">
        <f ca="1" t="shared" si="121"/>
        <v>#VALUE!</v>
      </c>
      <c r="O486" s="46">
        <v>43</v>
      </c>
      <c r="P486" s="46">
        <f t="shared" si="129"/>
        <v>34</v>
      </c>
      <c r="Q486" s="46" t="e">
        <f ca="1" t="shared" si="123"/>
        <v>#VALUE!</v>
      </c>
      <c r="R486" s="46" t="e">
        <f ca="1">OFFSET([2]怪物强度模型!$K$1,MATCH(F486,[2]怪物强度模型!$A:$A,0)-1,0)</f>
        <v>#VALUE!</v>
      </c>
      <c r="S486" s="46" t="e">
        <f ca="1">OFFSET([2]怪物强度模型!$O$1,MATCH(F486,[2]怪物强度模型!$A:$A,0)-1,0)</f>
        <v>#VALUE!</v>
      </c>
      <c r="T486" s="47" t="e">
        <f ca="1" t="shared" si="119"/>
        <v>#VALUE!</v>
      </c>
      <c r="U486" s="47" t="e">
        <f ca="1">Q486+N486*$V$1/10000+$V$1*OFFSET(卡牌辅助配置表!$V$1,MATCH(C486,卡牌辅助配置表!U:U,0)-1,0)*5*P486/10000/10000+M486*$V$1/10000</f>
        <v>#VALUE!</v>
      </c>
      <c r="V486" s="46" t="e">
        <f ca="1">OFFSET([2]怪物强度模型!$I$1,MATCH(F486,[2]怪物强度模型!$A:$A,0)-1,0)</f>
        <v>#VALUE!</v>
      </c>
      <c r="W486" s="47">
        <f t="shared" si="122"/>
        <v>2.37</v>
      </c>
      <c r="X486" s="47">
        <f t="shared" si="124"/>
        <v>1.86</v>
      </c>
    </row>
    <row r="487" spans="1:24">
      <c r="A487" s="45">
        <f t="shared" si="125"/>
        <v>3538</v>
      </c>
      <c r="B487" s="45" t="s">
        <v>2794</v>
      </c>
      <c r="C487" s="45">
        <v>3</v>
      </c>
      <c r="D487" s="45">
        <v>538</v>
      </c>
      <c r="F487" s="46">
        <f t="shared" si="126"/>
        <v>3034</v>
      </c>
      <c r="G487" s="45">
        <f t="shared" si="120"/>
        <v>3.76999999999999</v>
      </c>
      <c r="H487" s="45">
        <v>7</v>
      </c>
      <c r="I487" s="46">
        <v>10</v>
      </c>
      <c r="J487" s="46">
        <v>20</v>
      </c>
      <c r="K487" s="46" t="e">
        <f ca="1" t="shared" si="127"/>
        <v>#VALUE!</v>
      </c>
      <c r="L487" s="46" t="e">
        <f ca="1" t="shared" si="128"/>
        <v>#VALUE!</v>
      </c>
      <c r="M487" s="46" t="e">
        <f ca="1" t="shared" si="118"/>
        <v>#VALUE!</v>
      </c>
      <c r="N487" s="46" t="e">
        <f ca="1" t="shared" si="121"/>
        <v>#VALUE!</v>
      </c>
      <c r="O487" s="46">
        <v>44</v>
      </c>
      <c r="P487" s="46">
        <f t="shared" si="129"/>
        <v>34</v>
      </c>
      <c r="Q487" s="46" t="e">
        <f ca="1" t="shared" si="123"/>
        <v>#VALUE!</v>
      </c>
      <c r="R487" s="46" t="e">
        <f ca="1">OFFSET([2]怪物强度模型!$K$1,MATCH(F487,[2]怪物强度模型!$A:$A,0)-1,0)</f>
        <v>#VALUE!</v>
      </c>
      <c r="S487" s="46" t="e">
        <f ca="1">OFFSET([2]怪物强度模型!$O$1,MATCH(F487,[2]怪物强度模型!$A:$A,0)-1,0)</f>
        <v>#VALUE!</v>
      </c>
      <c r="T487" s="47" t="e">
        <f ca="1" t="shared" si="119"/>
        <v>#VALUE!</v>
      </c>
      <c r="U487" s="47" t="e">
        <f ca="1">Q487+N487*$V$1/10000+$V$1*OFFSET(卡牌辅助配置表!$V$1,MATCH(C487,卡牌辅助配置表!U:U,0)-1,0)*5*P487/10000/10000+M487*$V$1/10000</f>
        <v>#VALUE!</v>
      </c>
      <c r="V487" s="46" t="e">
        <f ca="1">OFFSET([2]怪物强度模型!$I$1,MATCH(F487,[2]怪物强度模型!$A:$A,0)-1,0)</f>
        <v>#VALUE!</v>
      </c>
      <c r="W487" s="47">
        <f t="shared" si="122"/>
        <v>2.37</v>
      </c>
      <c r="X487" s="47">
        <f t="shared" si="124"/>
        <v>1.86</v>
      </c>
    </row>
    <row r="488" spans="1:24">
      <c r="A488" s="45">
        <f t="shared" si="125"/>
        <v>3539</v>
      </c>
      <c r="B488" s="45" t="s">
        <v>2794</v>
      </c>
      <c r="C488" s="45">
        <v>3</v>
      </c>
      <c r="D488" s="45">
        <v>539</v>
      </c>
      <c r="F488" s="46">
        <f t="shared" si="126"/>
        <v>3034</v>
      </c>
      <c r="G488" s="45">
        <f>G478+0.1</f>
        <v>4.6</v>
      </c>
      <c r="H488" s="45">
        <v>7</v>
      </c>
      <c r="I488" s="46">
        <v>10</v>
      </c>
      <c r="J488" s="46">
        <v>20</v>
      </c>
      <c r="K488" s="46" t="e">
        <f ca="1" t="shared" si="127"/>
        <v>#VALUE!</v>
      </c>
      <c r="L488" s="46" t="e">
        <f ca="1" t="shared" si="128"/>
        <v>#VALUE!</v>
      </c>
      <c r="M488" s="46" t="e">
        <f ca="1" t="shared" si="118"/>
        <v>#VALUE!</v>
      </c>
      <c r="N488" s="46" t="e">
        <f ca="1" t="shared" si="121"/>
        <v>#VALUE!</v>
      </c>
      <c r="O488" s="46">
        <v>45</v>
      </c>
      <c r="P488" s="46">
        <f t="shared" si="129"/>
        <v>34</v>
      </c>
      <c r="Q488" s="46" t="e">
        <f ca="1" t="shared" si="123"/>
        <v>#VALUE!</v>
      </c>
      <c r="R488" s="46" t="e">
        <f ca="1">OFFSET([2]怪物强度模型!$K$1,MATCH(F488,[2]怪物强度模型!$A:$A,0)-1,0)</f>
        <v>#VALUE!</v>
      </c>
      <c r="S488" s="46" t="e">
        <f ca="1">OFFSET([2]怪物强度模型!$O$1,MATCH(F488,[2]怪物强度模型!$A:$A,0)-1,0)</f>
        <v>#VALUE!</v>
      </c>
      <c r="T488" s="47" t="e">
        <f ca="1" t="shared" si="119"/>
        <v>#VALUE!</v>
      </c>
      <c r="U488" s="47" t="e">
        <f ca="1">Q488+N488*$V$1/10000+$V$1*OFFSET(卡牌辅助配置表!$V$1,MATCH(C488,卡牌辅助配置表!U:U,0)-1,0)*5*P488/10000/10000+M488*$V$1/10000</f>
        <v>#VALUE!</v>
      </c>
      <c r="V488" s="46" t="e">
        <f ca="1">OFFSET([2]怪物强度模型!$I$1,MATCH(F488,[2]怪物强度模型!$A:$A,0)-1,0)</f>
        <v>#VALUE!</v>
      </c>
      <c r="W488" s="47">
        <f t="shared" si="122"/>
        <v>2.5</v>
      </c>
      <c r="X488" s="47">
        <f t="shared" si="124"/>
        <v>1.86</v>
      </c>
    </row>
    <row r="489" spans="1:24">
      <c r="A489" s="45">
        <f t="shared" si="125"/>
        <v>3540</v>
      </c>
      <c r="B489" s="45" t="s">
        <v>2794</v>
      </c>
      <c r="C489" s="45">
        <v>3</v>
      </c>
      <c r="D489" s="45">
        <v>540</v>
      </c>
      <c r="F489" s="46">
        <f t="shared" si="126"/>
        <v>3035</v>
      </c>
      <c r="G489" s="45">
        <f t="shared" si="120"/>
        <v>3.64999999999999</v>
      </c>
      <c r="H489" s="45">
        <v>7</v>
      </c>
      <c r="I489" s="46">
        <v>10</v>
      </c>
      <c r="J489" s="46">
        <v>20</v>
      </c>
      <c r="K489" s="46" t="e">
        <f ca="1" t="shared" si="127"/>
        <v>#VALUE!</v>
      </c>
      <c r="L489" s="46" t="e">
        <f ca="1" t="shared" si="128"/>
        <v>#VALUE!</v>
      </c>
      <c r="M489" s="46" t="e">
        <f ca="1" t="shared" si="118"/>
        <v>#VALUE!</v>
      </c>
      <c r="N489" s="46" t="e">
        <f ca="1" t="shared" si="121"/>
        <v>#VALUE!</v>
      </c>
      <c r="O489" s="46">
        <v>46</v>
      </c>
      <c r="P489" s="46">
        <f t="shared" si="129"/>
        <v>35</v>
      </c>
      <c r="Q489" s="46" t="e">
        <f ca="1" t="shared" si="123"/>
        <v>#VALUE!</v>
      </c>
      <c r="R489" s="46" t="e">
        <f ca="1">OFFSET([2]怪物强度模型!$K$1,MATCH(F489,[2]怪物强度模型!$A:$A,0)-1,0)</f>
        <v>#VALUE!</v>
      </c>
      <c r="S489" s="46" t="e">
        <f ca="1">OFFSET([2]怪物强度模型!$O$1,MATCH(F489,[2]怪物强度模型!$A:$A,0)-1,0)</f>
        <v>#VALUE!</v>
      </c>
      <c r="T489" s="47" t="e">
        <f ca="1" t="shared" si="119"/>
        <v>#VALUE!</v>
      </c>
      <c r="U489" s="47" t="e">
        <f ca="1">Q489+N489*$V$1/10000+$V$1*OFFSET(卡牌辅助配置表!$V$1,MATCH(C489,卡牌辅助配置表!U:U,0)-1,0)*5*P489/10000/10000+M489*$V$1/10000</f>
        <v>#VALUE!</v>
      </c>
      <c r="V489" s="46" t="e">
        <f ca="1">OFFSET([2]怪物强度模型!$I$1,MATCH(F489,[2]怪物强度模型!$A:$A,0)-1,0)</f>
        <v>#VALUE!</v>
      </c>
      <c r="W489" s="47">
        <f t="shared" si="122"/>
        <v>2.4</v>
      </c>
      <c r="X489" s="47">
        <f t="shared" si="124"/>
        <v>1.88</v>
      </c>
    </row>
    <row r="490" spans="1:24">
      <c r="A490" s="45">
        <f t="shared" si="125"/>
        <v>3541</v>
      </c>
      <c r="B490" s="45" t="s">
        <v>2794</v>
      </c>
      <c r="C490" s="45">
        <v>3</v>
      </c>
      <c r="D490" s="45">
        <v>541</v>
      </c>
      <c r="F490" s="46">
        <f t="shared" si="126"/>
        <v>3035</v>
      </c>
      <c r="G490" s="45">
        <f t="shared" si="120"/>
        <v>3.69999999999999</v>
      </c>
      <c r="H490" s="45">
        <v>7</v>
      </c>
      <c r="I490" s="46">
        <v>10</v>
      </c>
      <c r="J490" s="46">
        <v>20</v>
      </c>
      <c r="K490" s="46" t="e">
        <f ca="1" t="shared" si="127"/>
        <v>#VALUE!</v>
      </c>
      <c r="L490" s="46" t="e">
        <f ca="1" t="shared" si="128"/>
        <v>#VALUE!</v>
      </c>
      <c r="M490" s="46" t="e">
        <f ca="1" t="shared" si="118"/>
        <v>#VALUE!</v>
      </c>
      <c r="N490" s="46" t="e">
        <f ca="1" t="shared" si="121"/>
        <v>#VALUE!</v>
      </c>
      <c r="O490" s="46">
        <v>47</v>
      </c>
      <c r="P490" s="46">
        <f t="shared" si="129"/>
        <v>35</v>
      </c>
      <c r="Q490" s="46" t="e">
        <f ca="1" t="shared" si="123"/>
        <v>#VALUE!</v>
      </c>
      <c r="R490" s="46" t="e">
        <f ca="1">OFFSET([2]怪物强度模型!$K$1,MATCH(F490,[2]怪物强度模型!$A:$A,0)-1,0)</f>
        <v>#VALUE!</v>
      </c>
      <c r="S490" s="46" t="e">
        <f ca="1">OFFSET([2]怪物强度模型!$O$1,MATCH(F490,[2]怪物强度模型!$A:$A,0)-1,0)</f>
        <v>#VALUE!</v>
      </c>
      <c r="T490" s="47" t="e">
        <f ca="1" t="shared" si="119"/>
        <v>#VALUE!</v>
      </c>
      <c r="U490" s="47" t="e">
        <f ca="1">Q490+N490*$V$1/10000+$V$1*OFFSET(卡牌辅助配置表!$V$1,MATCH(C490,卡牌辅助配置表!U:U,0)-1,0)*5*P490/10000/10000+M490*$V$1/10000</f>
        <v>#VALUE!</v>
      </c>
      <c r="V490" s="46" t="e">
        <f ca="1">OFFSET([2]怪物强度模型!$I$1,MATCH(F490,[2]怪物强度模型!$A:$A,0)-1,0)</f>
        <v>#VALUE!</v>
      </c>
      <c r="W490" s="47">
        <f t="shared" si="122"/>
        <v>2.4</v>
      </c>
      <c r="X490" s="47">
        <f t="shared" si="124"/>
        <v>1.88</v>
      </c>
    </row>
    <row r="491" spans="1:24">
      <c r="A491" s="45">
        <f t="shared" si="125"/>
        <v>3542</v>
      </c>
      <c r="B491" s="45" t="s">
        <v>2794</v>
      </c>
      <c r="C491" s="45">
        <v>3</v>
      </c>
      <c r="D491" s="45">
        <v>542</v>
      </c>
      <c r="F491" s="46">
        <f t="shared" si="126"/>
        <v>3035</v>
      </c>
      <c r="G491" s="45">
        <f t="shared" si="120"/>
        <v>3.74999999999999</v>
      </c>
      <c r="H491" s="45">
        <v>7</v>
      </c>
      <c r="I491" s="46">
        <v>10</v>
      </c>
      <c r="J491" s="46">
        <v>20</v>
      </c>
      <c r="K491" s="46" t="e">
        <f ca="1" t="shared" si="127"/>
        <v>#VALUE!</v>
      </c>
      <c r="L491" s="46" t="e">
        <f ca="1" t="shared" si="128"/>
        <v>#VALUE!</v>
      </c>
      <c r="M491" s="46" t="e">
        <f ca="1" t="shared" si="118"/>
        <v>#VALUE!</v>
      </c>
      <c r="N491" s="46" t="e">
        <f ca="1" t="shared" si="121"/>
        <v>#VALUE!</v>
      </c>
      <c r="O491" s="46">
        <v>48</v>
      </c>
      <c r="P491" s="46">
        <f t="shared" si="129"/>
        <v>35</v>
      </c>
      <c r="Q491" s="46" t="e">
        <f ca="1" t="shared" si="123"/>
        <v>#VALUE!</v>
      </c>
      <c r="R491" s="46" t="e">
        <f ca="1">OFFSET([2]怪物强度模型!$K$1,MATCH(F491,[2]怪物强度模型!$A:$A,0)-1,0)</f>
        <v>#VALUE!</v>
      </c>
      <c r="S491" s="46" t="e">
        <f ca="1">OFFSET([2]怪物强度模型!$O$1,MATCH(F491,[2]怪物强度模型!$A:$A,0)-1,0)</f>
        <v>#VALUE!</v>
      </c>
      <c r="T491" s="47" t="e">
        <f ca="1" t="shared" si="119"/>
        <v>#VALUE!</v>
      </c>
      <c r="U491" s="47" t="e">
        <f ca="1">Q491+N491*$V$1/10000+$V$1*OFFSET(卡牌辅助配置表!$V$1,MATCH(C491,卡牌辅助配置表!U:U,0)-1,0)*5*P491/10000/10000+M491*$V$1/10000</f>
        <v>#VALUE!</v>
      </c>
      <c r="V491" s="46" t="e">
        <f ca="1">OFFSET([2]怪物强度模型!$I$1,MATCH(F491,[2]怪物强度模型!$A:$A,0)-1,0)</f>
        <v>#VALUE!</v>
      </c>
      <c r="W491" s="47">
        <f t="shared" si="122"/>
        <v>2.4</v>
      </c>
      <c r="X491" s="47">
        <f t="shared" si="124"/>
        <v>1.88</v>
      </c>
    </row>
    <row r="492" spans="1:24">
      <c r="A492" s="45">
        <f t="shared" si="125"/>
        <v>3543</v>
      </c>
      <c r="B492" s="45" t="s">
        <v>2794</v>
      </c>
      <c r="C492" s="45">
        <v>3</v>
      </c>
      <c r="D492" s="45">
        <v>543</v>
      </c>
      <c r="F492" s="46">
        <f t="shared" si="126"/>
        <v>3035</v>
      </c>
      <c r="G492" s="45">
        <f t="shared" si="120"/>
        <v>3.79999999999999</v>
      </c>
      <c r="H492" s="45">
        <v>7</v>
      </c>
      <c r="I492" s="46">
        <v>10</v>
      </c>
      <c r="J492" s="46">
        <v>20</v>
      </c>
      <c r="K492" s="46" t="e">
        <f ca="1" t="shared" si="127"/>
        <v>#VALUE!</v>
      </c>
      <c r="L492" s="46" t="e">
        <f ca="1" t="shared" si="128"/>
        <v>#VALUE!</v>
      </c>
      <c r="M492" s="46" t="e">
        <f ca="1" t="shared" si="118"/>
        <v>#VALUE!</v>
      </c>
      <c r="N492" s="46" t="e">
        <f ca="1" t="shared" si="121"/>
        <v>#VALUE!</v>
      </c>
      <c r="O492" s="46">
        <v>49</v>
      </c>
      <c r="P492" s="46">
        <f t="shared" si="129"/>
        <v>35</v>
      </c>
      <c r="Q492" s="46" t="e">
        <f ca="1" t="shared" si="123"/>
        <v>#VALUE!</v>
      </c>
      <c r="R492" s="46" t="e">
        <f ca="1">OFFSET([2]怪物强度模型!$K$1,MATCH(F492,[2]怪物强度模型!$A:$A,0)-1,0)</f>
        <v>#VALUE!</v>
      </c>
      <c r="S492" s="46" t="e">
        <f ca="1">OFFSET([2]怪物强度模型!$O$1,MATCH(F492,[2]怪物强度模型!$A:$A,0)-1,0)</f>
        <v>#VALUE!</v>
      </c>
      <c r="T492" s="47" t="e">
        <f ca="1" t="shared" si="119"/>
        <v>#VALUE!</v>
      </c>
      <c r="U492" s="47" t="e">
        <f ca="1">Q492+N492*$V$1/10000+$V$1*OFFSET(卡牌辅助配置表!$V$1,MATCH(C492,卡牌辅助配置表!U:U,0)-1,0)*5*P492/10000/10000+M492*$V$1/10000</f>
        <v>#VALUE!</v>
      </c>
      <c r="V492" s="46" t="e">
        <f ca="1">OFFSET([2]怪物强度模型!$I$1,MATCH(F492,[2]怪物强度模型!$A:$A,0)-1,0)</f>
        <v>#VALUE!</v>
      </c>
      <c r="W492" s="47">
        <f t="shared" si="122"/>
        <v>2.41</v>
      </c>
      <c r="X492" s="47">
        <f t="shared" si="124"/>
        <v>1.88</v>
      </c>
    </row>
    <row r="493" spans="1:24">
      <c r="A493" s="45">
        <f t="shared" si="125"/>
        <v>3544</v>
      </c>
      <c r="B493" s="45" t="s">
        <v>2794</v>
      </c>
      <c r="C493" s="45">
        <v>3</v>
      </c>
      <c r="D493" s="45">
        <v>544</v>
      </c>
      <c r="F493" s="46">
        <f t="shared" si="126"/>
        <v>3035</v>
      </c>
      <c r="G493" s="45">
        <f t="shared" si="120"/>
        <v>4.63</v>
      </c>
      <c r="H493" s="45">
        <v>7</v>
      </c>
      <c r="I493" s="46">
        <v>10</v>
      </c>
      <c r="J493" s="46">
        <v>20</v>
      </c>
      <c r="K493" s="46" t="e">
        <f ca="1" t="shared" si="127"/>
        <v>#VALUE!</v>
      </c>
      <c r="L493" s="46" t="e">
        <f ca="1" t="shared" si="128"/>
        <v>#VALUE!</v>
      </c>
      <c r="M493" s="46" t="e">
        <f ca="1" t="shared" si="118"/>
        <v>#VALUE!</v>
      </c>
      <c r="N493" s="46" t="e">
        <f ca="1" t="shared" si="121"/>
        <v>#VALUE!</v>
      </c>
      <c r="O493" s="46">
        <v>50</v>
      </c>
      <c r="P493" s="46">
        <f t="shared" si="129"/>
        <v>35</v>
      </c>
      <c r="Q493" s="46" t="e">
        <f ca="1" t="shared" si="123"/>
        <v>#VALUE!</v>
      </c>
      <c r="R493" s="46" t="e">
        <f ca="1">OFFSET([2]怪物强度模型!$K$1,MATCH(F493,[2]怪物强度模型!$A:$A,0)-1,0)</f>
        <v>#VALUE!</v>
      </c>
      <c r="S493" s="46" t="e">
        <f ca="1">OFFSET([2]怪物强度模型!$O$1,MATCH(F493,[2]怪物强度模型!$A:$A,0)-1,0)</f>
        <v>#VALUE!</v>
      </c>
      <c r="T493" s="47" t="e">
        <f ca="1" t="shared" si="119"/>
        <v>#VALUE!</v>
      </c>
      <c r="U493" s="47" t="e">
        <f ca="1">Q493+N493*$V$1/10000+$V$1*OFFSET(卡牌辅助配置表!$V$1,MATCH(C493,卡牌辅助配置表!U:U,0)-1,0)*5*P493/10000/10000+M493*$V$1/10000</f>
        <v>#VALUE!</v>
      </c>
      <c r="V493" s="46" t="e">
        <f ca="1">OFFSET([2]怪物强度模型!$I$1,MATCH(F493,[2]怪物强度模型!$A:$A,0)-1,0)</f>
        <v>#VALUE!</v>
      </c>
      <c r="W493" s="47">
        <f t="shared" si="122"/>
        <v>2.41</v>
      </c>
      <c r="X493" s="47">
        <f t="shared" si="124"/>
        <v>1.88</v>
      </c>
    </row>
    <row r="494" spans="1:24">
      <c r="A494" s="45">
        <f t="shared" si="125"/>
        <v>3545</v>
      </c>
      <c r="B494" s="45" t="s">
        <v>2794</v>
      </c>
      <c r="C494" s="45">
        <v>3</v>
      </c>
      <c r="D494" s="45">
        <v>545</v>
      </c>
      <c r="F494" s="46">
        <f t="shared" si="126"/>
        <v>3035</v>
      </c>
      <c r="G494" s="45">
        <f t="shared" si="120"/>
        <v>3.67999999999999</v>
      </c>
      <c r="H494" s="45">
        <v>7</v>
      </c>
      <c r="I494" s="46">
        <v>10</v>
      </c>
      <c r="J494" s="46">
        <v>20</v>
      </c>
      <c r="K494" s="46" t="e">
        <f ca="1" t="shared" si="127"/>
        <v>#VALUE!</v>
      </c>
      <c r="L494" s="46" t="e">
        <f ca="1" t="shared" si="128"/>
        <v>#VALUE!</v>
      </c>
      <c r="M494" s="46" t="e">
        <f ca="1" t="shared" si="118"/>
        <v>#VALUE!</v>
      </c>
      <c r="N494" s="46" t="e">
        <f ca="1" t="shared" si="121"/>
        <v>#VALUE!</v>
      </c>
      <c r="O494" s="46">
        <v>51</v>
      </c>
      <c r="P494" s="46">
        <f t="shared" si="129"/>
        <v>35</v>
      </c>
      <c r="Q494" s="46" t="e">
        <f ca="1" t="shared" si="123"/>
        <v>#VALUE!</v>
      </c>
      <c r="R494" s="46" t="e">
        <f ca="1">OFFSET([2]怪物强度模型!$K$1,MATCH(F494,[2]怪物强度模型!$A:$A,0)-1,0)</f>
        <v>#VALUE!</v>
      </c>
      <c r="S494" s="46" t="e">
        <f ca="1">OFFSET([2]怪物强度模型!$O$1,MATCH(F494,[2]怪物强度模型!$A:$A,0)-1,0)</f>
        <v>#VALUE!</v>
      </c>
      <c r="T494" s="47" t="e">
        <f ca="1" t="shared" si="119"/>
        <v>#VALUE!</v>
      </c>
      <c r="U494" s="47" t="e">
        <f ca="1">Q494+N494*$V$1/10000+$V$1*OFFSET(卡牌辅助配置表!$V$1,MATCH(C494,卡牌辅助配置表!U:U,0)-1,0)*5*P494/10000/10000+M494*$V$1/10000</f>
        <v>#VALUE!</v>
      </c>
      <c r="V494" s="46" t="e">
        <f ca="1">OFFSET([2]怪物强度模型!$I$1,MATCH(F494,[2]怪物强度模型!$A:$A,0)-1,0)</f>
        <v>#VALUE!</v>
      </c>
      <c r="W494" s="47">
        <f t="shared" si="122"/>
        <v>2.41</v>
      </c>
      <c r="X494" s="47">
        <f t="shared" si="124"/>
        <v>1.88</v>
      </c>
    </row>
    <row r="495" spans="1:24">
      <c r="A495" s="45">
        <f t="shared" si="125"/>
        <v>3546</v>
      </c>
      <c r="B495" s="45" t="s">
        <v>2794</v>
      </c>
      <c r="C495" s="45">
        <v>3</v>
      </c>
      <c r="D495" s="45">
        <v>546</v>
      </c>
      <c r="F495" s="46">
        <f t="shared" si="126"/>
        <v>3035</v>
      </c>
      <c r="G495" s="45">
        <f t="shared" si="120"/>
        <v>3.72999999999999</v>
      </c>
      <c r="H495" s="45">
        <v>7</v>
      </c>
      <c r="I495" s="46">
        <v>10</v>
      </c>
      <c r="J495" s="46">
        <v>20</v>
      </c>
      <c r="K495" s="46" t="e">
        <f ca="1" t="shared" si="127"/>
        <v>#VALUE!</v>
      </c>
      <c r="L495" s="46" t="e">
        <f ca="1" t="shared" si="128"/>
        <v>#VALUE!</v>
      </c>
      <c r="M495" s="46" t="e">
        <f ca="1" t="shared" si="118"/>
        <v>#VALUE!</v>
      </c>
      <c r="N495" s="46" t="e">
        <f ca="1" t="shared" si="121"/>
        <v>#VALUE!</v>
      </c>
      <c r="O495" s="46">
        <v>52</v>
      </c>
      <c r="P495" s="46">
        <f t="shared" si="129"/>
        <v>35</v>
      </c>
      <c r="Q495" s="46" t="e">
        <f ca="1" t="shared" si="123"/>
        <v>#VALUE!</v>
      </c>
      <c r="R495" s="46" t="e">
        <f ca="1">OFFSET([2]怪物强度模型!$K$1,MATCH(F495,[2]怪物强度模型!$A:$A,0)-1,0)</f>
        <v>#VALUE!</v>
      </c>
      <c r="S495" s="46" t="e">
        <f ca="1">OFFSET([2]怪物强度模型!$O$1,MATCH(F495,[2]怪物强度模型!$A:$A,0)-1,0)</f>
        <v>#VALUE!</v>
      </c>
      <c r="T495" s="47" t="e">
        <f ca="1" t="shared" si="119"/>
        <v>#VALUE!</v>
      </c>
      <c r="U495" s="47" t="e">
        <f ca="1">Q495+N495*$V$1/10000+$V$1*OFFSET(卡牌辅助配置表!$V$1,MATCH(C495,卡牌辅助配置表!U:U,0)-1,0)*5*P495/10000/10000+M495*$V$1/10000</f>
        <v>#VALUE!</v>
      </c>
      <c r="V495" s="46" t="e">
        <f ca="1">OFFSET([2]怪物强度模型!$I$1,MATCH(F495,[2]怪物强度模型!$A:$A,0)-1,0)</f>
        <v>#VALUE!</v>
      </c>
      <c r="W495" s="47">
        <f t="shared" si="122"/>
        <v>2.42</v>
      </c>
      <c r="X495" s="47">
        <f t="shared" si="124"/>
        <v>1.88</v>
      </c>
    </row>
    <row r="496" spans="1:24">
      <c r="A496" s="45">
        <f t="shared" si="125"/>
        <v>3547</v>
      </c>
      <c r="B496" s="45" t="s">
        <v>2794</v>
      </c>
      <c r="C496" s="45">
        <v>3</v>
      </c>
      <c r="D496" s="45">
        <v>547</v>
      </c>
      <c r="F496" s="46">
        <f t="shared" si="126"/>
        <v>3035</v>
      </c>
      <c r="G496" s="45">
        <f t="shared" si="120"/>
        <v>3.77999999999999</v>
      </c>
      <c r="H496" s="45">
        <v>7</v>
      </c>
      <c r="I496" s="46">
        <v>10</v>
      </c>
      <c r="J496" s="46">
        <v>20</v>
      </c>
      <c r="K496" s="46" t="e">
        <f ca="1" t="shared" si="127"/>
        <v>#VALUE!</v>
      </c>
      <c r="L496" s="46" t="e">
        <f ca="1" t="shared" si="128"/>
        <v>#VALUE!</v>
      </c>
      <c r="M496" s="46" t="e">
        <f ca="1" t="shared" si="118"/>
        <v>#VALUE!</v>
      </c>
      <c r="N496" s="46" t="e">
        <f ca="1" t="shared" si="121"/>
        <v>#VALUE!</v>
      </c>
      <c r="O496" s="46">
        <v>53</v>
      </c>
      <c r="P496" s="46">
        <f t="shared" si="129"/>
        <v>35</v>
      </c>
      <c r="Q496" s="46" t="e">
        <f ca="1" t="shared" si="123"/>
        <v>#VALUE!</v>
      </c>
      <c r="R496" s="46" t="e">
        <f ca="1">OFFSET([2]怪物强度模型!$K$1,MATCH(F496,[2]怪物强度模型!$A:$A,0)-1,0)</f>
        <v>#VALUE!</v>
      </c>
      <c r="S496" s="46" t="e">
        <f ca="1">OFFSET([2]怪物强度模型!$O$1,MATCH(F496,[2]怪物强度模型!$A:$A,0)-1,0)</f>
        <v>#VALUE!</v>
      </c>
      <c r="T496" s="47" t="e">
        <f ca="1" t="shared" si="119"/>
        <v>#VALUE!</v>
      </c>
      <c r="U496" s="47" t="e">
        <f ca="1">Q496+N496*$V$1/10000+$V$1*OFFSET(卡牌辅助配置表!$V$1,MATCH(C496,卡牌辅助配置表!U:U,0)-1,0)*5*P496/10000/10000+M496*$V$1/10000</f>
        <v>#VALUE!</v>
      </c>
      <c r="V496" s="46" t="e">
        <f ca="1">OFFSET([2]怪物强度模型!$I$1,MATCH(F496,[2]怪物强度模型!$A:$A,0)-1,0)</f>
        <v>#VALUE!</v>
      </c>
      <c r="W496" s="47">
        <f t="shared" si="122"/>
        <v>2.42</v>
      </c>
      <c r="X496" s="47">
        <f t="shared" si="124"/>
        <v>1.88</v>
      </c>
    </row>
    <row r="497" spans="1:24">
      <c r="A497" s="45">
        <f t="shared" si="125"/>
        <v>3548</v>
      </c>
      <c r="B497" s="45" t="s">
        <v>2794</v>
      </c>
      <c r="C497" s="45">
        <v>3</v>
      </c>
      <c r="D497" s="45">
        <v>548</v>
      </c>
      <c r="F497" s="46">
        <f t="shared" si="126"/>
        <v>3035</v>
      </c>
      <c r="G497" s="45">
        <f t="shared" si="120"/>
        <v>3.82999999999999</v>
      </c>
      <c r="H497" s="45">
        <v>7</v>
      </c>
      <c r="I497" s="46">
        <v>10</v>
      </c>
      <c r="J497" s="46">
        <v>20</v>
      </c>
      <c r="K497" s="46" t="e">
        <f ca="1" t="shared" si="127"/>
        <v>#VALUE!</v>
      </c>
      <c r="L497" s="46" t="e">
        <f ca="1" t="shared" si="128"/>
        <v>#VALUE!</v>
      </c>
      <c r="M497" s="46" t="e">
        <f ca="1" t="shared" si="118"/>
        <v>#VALUE!</v>
      </c>
      <c r="N497" s="46" t="e">
        <f ca="1" t="shared" si="121"/>
        <v>#VALUE!</v>
      </c>
      <c r="O497" s="46">
        <v>54</v>
      </c>
      <c r="P497" s="46">
        <f t="shared" si="129"/>
        <v>35</v>
      </c>
      <c r="Q497" s="46" t="e">
        <f ca="1" t="shared" si="123"/>
        <v>#VALUE!</v>
      </c>
      <c r="R497" s="46" t="e">
        <f ca="1">OFFSET([2]怪物强度模型!$K$1,MATCH(F497,[2]怪物强度模型!$A:$A,0)-1,0)</f>
        <v>#VALUE!</v>
      </c>
      <c r="S497" s="46" t="e">
        <f ca="1">OFFSET([2]怪物强度模型!$O$1,MATCH(F497,[2]怪物强度模型!$A:$A,0)-1,0)</f>
        <v>#VALUE!</v>
      </c>
      <c r="T497" s="47" t="e">
        <f ca="1" t="shared" si="119"/>
        <v>#VALUE!</v>
      </c>
      <c r="U497" s="47" t="e">
        <f ca="1">Q497+N497*$V$1/10000+$V$1*OFFSET(卡牌辅助配置表!$V$1,MATCH(C497,卡牌辅助配置表!U:U,0)-1,0)*5*P497/10000/10000+M497*$V$1/10000</f>
        <v>#VALUE!</v>
      </c>
      <c r="V497" s="46" t="e">
        <f ca="1">OFFSET([2]怪物强度模型!$I$1,MATCH(F497,[2]怪物强度模型!$A:$A,0)-1,0)</f>
        <v>#VALUE!</v>
      </c>
      <c r="W497" s="47">
        <f t="shared" si="122"/>
        <v>2.42</v>
      </c>
      <c r="X497" s="47">
        <f t="shared" si="124"/>
        <v>1.88</v>
      </c>
    </row>
    <row r="498" spans="1:24">
      <c r="A498" s="45">
        <f t="shared" si="125"/>
        <v>3549</v>
      </c>
      <c r="B498" s="45" t="s">
        <v>2794</v>
      </c>
      <c r="C498" s="45">
        <v>3</v>
      </c>
      <c r="D498" s="45">
        <v>549</v>
      </c>
      <c r="F498" s="46">
        <f t="shared" si="126"/>
        <v>3035</v>
      </c>
      <c r="G498" s="45">
        <f>G488+0.1</f>
        <v>4.7</v>
      </c>
      <c r="H498" s="45">
        <v>7</v>
      </c>
      <c r="I498" s="46">
        <v>10</v>
      </c>
      <c r="J498" s="46">
        <v>20</v>
      </c>
      <c r="K498" s="46" t="e">
        <f ca="1" t="shared" si="127"/>
        <v>#VALUE!</v>
      </c>
      <c r="L498" s="46" t="e">
        <f ca="1" t="shared" si="128"/>
        <v>#VALUE!</v>
      </c>
      <c r="M498" s="46" t="e">
        <f ca="1" t="shared" si="118"/>
        <v>#VALUE!</v>
      </c>
      <c r="N498" s="46" t="e">
        <f ca="1" t="shared" si="121"/>
        <v>#VALUE!</v>
      </c>
      <c r="O498" s="46">
        <v>55</v>
      </c>
      <c r="P498" s="46">
        <f t="shared" si="129"/>
        <v>35</v>
      </c>
      <c r="Q498" s="46" t="e">
        <f ca="1" t="shared" si="123"/>
        <v>#VALUE!</v>
      </c>
      <c r="R498" s="46" t="e">
        <f ca="1">OFFSET([2]怪物强度模型!$K$1,MATCH(F498,[2]怪物强度模型!$A:$A,0)-1,0)</f>
        <v>#VALUE!</v>
      </c>
      <c r="S498" s="46" t="e">
        <f ca="1">OFFSET([2]怪物强度模型!$O$1,MATCH(F498,[2]怪物强度模型!$A:$A,0)-1,0)</f>
        <v>#VALUE!</v>
      </c>
      <c r="T498" s="47" t="e">
        <f ca="1" t="shared" si="119"/>
        <v>#VALUE!</v>
      </c>
      <c r="U498" s="47" t="e">
        <f ca="1">Q498+N498*$V$1/10000+$V$1*OFFSET(卡牌辅助配置表!$V$1,MATCH(C498,卡牌辅助配置表!U:U,0)-1,0)*5*P498/10000/10000+M498*$V$1/10000</f>
        <v>#VALUE!</v>
      </c>
      <c r="V498" s="46" t="e">
        <f ca="1">OFFSET([2]怪物强度模型!$I$1,MATCH(F498,[2]怪物强度模型!$A:$A,0)-1,0)</f>
        <v>#VALUE!</v>
      </c>
      <c r="W498" s="47">
        <f t="shared" si="122"/>
        <v>2.55</v>
      </c>
      <c r="X498" s="47">
        <f t="shared" si="124"/>
        <v>1.88</v>
      </c>
    </row>
    <row r="499" spans="1:24">
      <c r="A499" s="45">
        <f t="shared" si="125"/>
        <v>3550</v>
      </c>
      <c r="B499" s="45" t="s">
        <v>2794</v>
      </c>
      <c r="C499" s="45">
        <v>3</v>
      </c>
      <c r="D499" s="45">
        <v>550</v>
      </c>
      <c r="F499" s="46">
        <f t="shared" si="126"/>
        <v>3036</v>
      </c>
      <c r="G499" s="45">
        <f t="shared" si="120"/>
        <v>3.70999999999999</v>
      </c>
      <c r="H499" s="45">
        <v>7</v>
      </c>
      <c r="I499" s="46">
        <v>10</v>
      </c>
      <c r="J499" s="46">
        <v>20</v>
      </c>
      <c r="K499" s="46" t="e">
        <f ca="1" t="shared" si="127"/>
        <v>#VALUE!</v>
      </c>
      <c r="L499" s="46" t="e">
        <f ca="1" t="shared" si="128"/>
        <v>#VALUE!</v>
      </c>
      <c r="M499" s="46" t="e">
        <f ca="1" t="shared" si="118"/>
        <v>#VALUE!</v>
      </c>
      <c r="N499" s="46" t="e">
        <f ca="1" t="shared" si="121"/>
        <v>#VALUE!</v>
      </c>
      <c r="O499" s="46">
        <v>56</v>
      </c>
      <c r="P499" s="46">
        <f t="shared" si="129"/>
        <v>36</v>
      </c>
      <c r="Q499" s="46" t="e">
        <f ca="1" t="shared" si="123"/>
        <v>#VALUE!</v>
      </c>
      <c r="R499" s="46" t="e">
        <f ca="1">OFFSET([2]怪物强度模型!$K$1,MATCH(F499,[2]怪物强度模型!$A:$A,0)-1,0)</f>
        <v>#VALUE!</v>
      </c>
      <c r="S499" s="46" t="e">
        <f ca="1">OFFSET([2]怪物强度模型!$O$1,MATCH(F499,[2]怪物强度模型!$A:$A,0)-1,0)</f>
        <v>#VALUE!</v>
      </c>
      <c r="T499" s="47" t="e">
        <f ca="1" t="shared" si="119"/>
        <v>#VALUE!</v>
      </c>
      <c r="U499" s="47" t="e">
        <f ca="1">Q499+N499*$V$1/10000+$V$1*OFFSET(卡牌辅助配置表!$V$1,MATCH(C499,卡牌辅助配置表!U:U,0)-1,0)*5*P499/10000/10000+M499*$V$1/10000</f>
        <v>#VALUE!</v>
      </c>
      <c r="V499" s="46" t="e">
        <f ca="1">OFFSET([2]怪物强度模型!$I$1,MATCH(F499,[2]怪物强度模型!$A:$A,0)-1,0)</f>
        <v>#VALUE!</v>
      </c>
      <c r="W499" s="47">
        <f t="shared" si="122"/>
        <v>2.45</v>
      </c>
      <c r="X499" s="47">
        <f t="shared" si="124"/>
        <v>1.9</v>
      </c>
    </row>
    <row r="500" spans="1:24">
      <c r="A500" s="45">
        <f t="shared" si="125"/>
        <v>3551</v>
      </c>
      <c r="B500" s="45" t="s">
        <v>2794</v>
      </c>
      <c r="C500" s="45">
        <v>3</v>
      </c>
      <c r="D500" s="45">
        <v>551</v>
      </c>
      <c r="F500" s="46">
        <f t="shared" si="126"/>
        <v>3036</v>
      </c>
      <c r="G500" s="45">
        <f t="shared" si="120"/>
        <v>3.75999999999999</v>
      </c>
      <c r="H500" s="45">
        <v>7</v>
      </c>
      <c r="I500" s="46">
        <v>10</v>
      </c>
      <c r="J500" s="46">
        <v>20</v>
      </c>
      <c r="K500" s="46" t="e">
        <f ca="1" t="shared" si="127"/>
        <v>#VALUE!</v>
      </c>
      <c r="L500" s="46" t="e">
        <f ca="1" t="shared" si="128"/>
        <v>#VALUE!</v>
      </c>
      <c r="M500" s="46" t="e">
        <f ca="1" t="shared" si="118"/>
        <v>#VALUE!</v>
      </c>
      <c r="N500" s="46" t="e">
        <f ca="1" t="shared" si="121"/>
        <v>#VALUE!</v>
      </c>
      <c r="O500" s="46">
        <v>57</v>
      </c>
      <c r="P500" s="46">
        <f t="shared" si="129"/>
        <v>36</v>
      </c>
      <c r="Q500" s="46" t="e">
        <f ca="1" t="shared" si="123"/>
        <v>#VALUE!</v>
      </c>
      <c r="R500" s="46" t="e">
        <f ca="1">OFFSET([2]怪物强度模型!$K$1,MATCH(F500,[2]怪物强度模型!$A:$A,0)-1,0)</f>
        <v>#VALUE!</v>
      </c>
      <c r="S500" s="46" t="e">
        <f ca="1">OFFSET([2]怪物强度模型!$O$1,MATCH(F500,[2]怪物强度模型!$A:$A,0)-1,0)</f>
        <v>#VALUE!</v>
      </c>
      <c r="T500" s="47" t="e">
        <f ca="1" t="shared" si="119"/>
        <v>#VALUE!</v>
      </c>
      <c r="U500" s="47" t="e">
        <f ca="1">Q500+N500*$V$1/10000+$V$1*OFFSET(卡牌辅助配置表!$V$1,MATCH(C500,卡牌辅助配置表!U:U,0)-1,0)*5*P500/10000/10000+M500*$V$1/10000</f>
        <v>#VALUE!</v>
      </c>
      <c r="V500" s="46" t="e">
        <f ca="1">OFFSET([2]怪物强度模型!$I$1,MATCH(F500,[2]怪物强度模型!$A:$A,0)-1,0)</f>
        <v>#VALUE!</v>
      </c>
      <c r="W500" s="47">
        <f t="shared" si="122"/>
        <v>2.45</v>
      </c>
      <c r="X500" s="47">
        <f t="shared" si="124"/>
        <v>1.9</v>
      </c>
    </row>
    <row r="501" spans="1:24">
      <c r="A501" s="45">
        <f t="shared" si="125"/>
        <v>3552</v>
      </c>
      <c r="B501" s="45" t="s">
        <v>2794</v>
      </c>
      <c r="C501" s="45">
        <v>3</v>
      </c>
      <c r="D501" s="45">
        <v>552</v>
      </c>
      <c r="F501" s="46">
        <f t="shared" si="126"/>
        <v>3036</v>
      </c>
      <c r="G501" s="45">
        <f t="shared" si="120"/>
        <v>3.80999999999999</v>
      </c>
      <c r="H501" s="45">
        <v>7</v>
      </c>
      <c r="I501" s="46">
        <v>10</v>
      </c>
      <c r="J501" s="46">
        <v>20</v>
      </c>
      <c r="K501" s="46" t="e">
        <f ca="1" t="shared" si="127"/>
        <v>#VALUE!</v>
      </c>
      <c r="L501" s="46" t="e">
        <f ca="1" t="shared" si="128"/>
        <v>#VALUE!</v>
      </c>
      <c r="M501" s="46" t="e">
        <f ca="1" t="shared" si="118"/>
        <v>#VALUE!</v>
      </c>
      <c r="N501" s="46" t="e">
        <f ca="1" t="shared" si="121"/>
        <v>#VALUE!</v>
      </c>
      <c r="O501" s="46">
        <v>58</v>
      </c>
      <c r="P501" s="46">
        <f t="shared" si="129"/>
        <v>36</v>
      </c>
      <c r="Q501" s="46" t="e">
        <f ca="1" t="shared" si="123"/>
        <v>#VALUE!</v>
      </c>
      <c r="R501" s="46" t="e">
        <f ca="1">OFFSET([2]怪物强度模型!$K$1,MATCH(F501,[2]怪物强度模型!$A:$A,0)-1,0)</f>
        <v>#VALUE!</v>
      </c>
      <c r="S501" s="46" t="e">
        <f ca="1">OFFSET([2]怪物强度模型!$O$1,MATCH(F501,[2]怪物强度模型!$A:$A,0)-1,0)</f>
        <v>#VALUE!</v>
      </c>
      <c r="T501" s="47" t="e">
        <f ca="1" t="shared" si="119"/>
        <v>#VALUE!</v>
      </c>
      <c r="U501" s="47" t="e">
        <f ca="1">Q501+N501*$V$1/10000+$V$1*OFFSET(卡牌辅助配置表!$V$1,MATCH(C501,卡牌辅助配置表!U:U,0)-1,0)*5*P501/10000/10000+M501*$V$1/10000</f>
        <v>#VALUE!</v>
      </c>
      <c r="V501" s="46" t="e">
        <f ca="1">OFFSET([2]怪物强度模型!$I$1,MATCH(F501,[2]怪物强度模型!$A:$A,0)-1,0)</f>
        <v>#VALUE!</v>
      </c>
      <c r="W501" s="47">
        <f t="shared" si="122"/>
        <v>2.45</v>
      </c>
      <c r="X501" s="47">
        <f t="shared" si="124"/>
        <v>1.9</v>
      </c>
    </row>
    <row r="502" spans="1:24">
      <c r="A502" s="45">
        <f t="shared" si="125"/>
        <v>3553</v>
      </c>
      <c r="B502" s="45" t="s">
        <v>2794</v>
      </c>
      <c r="C502" s="45">
        <v>3</v>
      </c>
      <c r="D502" s="45">
        <v>553</v>
      </c>
      <c r="F502" s="46">
        <f t="shared" si="126"/>
        <v>3036</v>
      </c>
      <c r="G502" s="45">
        <f t="shared" si="120"/>
        <v>3.85999999999999</v>
      </c>
      <c r="H502" s="45">
        <v>7</v>
      </c>
      <c r="I502" s="46">
        <v>10</v>
      </c>
      <c r="J502" s="46">
        <v>20</v>
      </c>
      <c r="K502" s="46" t="e">
        <f ca="1" t="shared" si="127"/>
        <v>#VALUE!</v>
      </c>
      <c r="L502" s="46" t="e">
        <f ca="1" t="shared" si="128"/>
        <v>#VALUE!</v>
      </c>
      <c r="M502" s="46" t="e">
        <f ca="1" t="shared" si="118"/>
        <v>#VALUE!</v>
      </c>
      <c r="N502" s="46" t="e">
        <f ca="1" t="shared" si="121"/>
        <v>#VALUE!</v>
      </c>
      <c r="O502" s="46">
        <v>59</v>
      </c>
      <c r="P502" s="46">
        <f t="shared" si="129"/>
        <v>36</v>
      </c>
      <c r="Q502" s="46" t="e">
        <f ca="1" t="shared" si="123"/>
        <v>#VALUE!</v>
      </c>
      <c r="R502" s="46" t="e">
        <f ca="1">OFFSET([2]怪物强度模型!$K$1,MATCH(F502,[2]怪物强度模型!$A:$A,0)-1,0)</f>
        <v>#VALUE!</v>
      </c>
      <c r="S502" s="46" t="e">
        <f ca="1">OFFSET([2]怪物强度模型!$O$1,MATCH(F502,[2]怪物强度模型!$A:$A,0)-1,0)</f>
        <v>#VALUE!</v>
      </c>
      <c r="T502" s="47" t="e">
        <f ca="1" t="shared" si="119"/>
        <v>#VALUE!</v>
      </c>
      <c r="U502" s="47" t="e">
        <f ca="1">Q502+N502*$V$1/10000+$V$1*OFFSET(卡牌辅助配置表!$V$1,MATCH(C502,卡牌辅助配置表!U:U,0)-1,0)*5*P502/10000/10000+M502*$V$1/10000</f>
        <v>#VALUE!</v>
      </c>
      <c r="V502" s="46" t="e">
        <f ca="1">OFFSET([2]怪物强度模型!$I$1,MATCH(F502,[2]怪物强度模型!$A:$A,0)-1,0)</f>
        <v>#VALUE!</v>
      </c>
      <c r="W502" s="47">
        <f t="shared" si="122"/>
        <v>2.46</v>
      </c>
      <c r="X502" s="47">
        <f t="shared" si="124"/>
        <v>1.9</v>
      </c>
    </row>
    <row r="503" spans="1:24">
      <c r="A503" s="45">
        <f t="shared" si="125"/>
        <v>3554</v>
      </c>
      <c r="B503" s="45" t="s">
        <v>2794</v>
      </c>
      <c r="C503" s="45">
        <v>3</v>
      </c>
      <c r="D503" s="45">
        <v>554</v>
      </c>
      <c r="F503" s="46">
        <f t="shared" si="126"/>
        <v>3036</v>
      </c>
      <c r="G503" s="45">
        <f t="shared" si="120"/>
        <v>4.73</v>
      </c>
      <c r="H503" s="45">
        <v>7</v>
      </c>
      <c r="I503" s="46">
        <v>10</v>
      </c>
      <c r="J503" s="46">
        <v>20</v>
      </c>
      <c r="K503" s="46" t="e">
        <f ca="1" t="shared" si="127"/>
        <v>#VALUE!</v>
      </c>
      <c r="L503" s="46" t="e">
        <f ca="1" t="shared" si="128"/>
        <v>#VALUE!</v>
      </c>
      <c r="M503" s="46" t="e">
        <f ca="1" t="shared" si="118"/>
        <v>#VALUE!</v>
      </c>
      <c r="N503" s="46" t="e">
        <f ca="1" t="shared" si="121"/>
        <v>#VALUE!</v>
      </c>
      <c r="O503" s="46">
        <v>60</v>
      </c>
      <c r="P503" s="46">
        <f t="shared" si="129"/>
        <v>36</v>
      </c>
      <c r="Q503" s="46" t="e">
        <f ca="1" t="shared" si="123"/>
        <v>#VALUE!</v>
      </c>
      <c r="R503" s="46" t="e">
        <f ca="1">OFFSET([2]怪物强度模型!$K$1,MATCH(F503,[2]怪物强度模型!$A:$A,0)-1,0)</f>
        <v>#VALUE!</v>
      </c>
      <c r="S503" s="46" t="e">
        <f ca="1">OFFSET([2]怪物强度模型!$O$1,MATCH(F503,[2]怪物强度模型!$A:$A,0)-1,0)</f>
        <v>#VALUE!</v>
      </c>
      <c r="T503" s="47" t="e">
        <f ca="1" t="shared" si="119"/>
        <v>#VALUE!</v>
      </c>
      <c r="U503" s="47" t="e">
        <f ca="1">Q503+N503*$V$1/10000+$V$1*OFFSET(卡牌辅助配置表!$V$1,MATCH(C503,卡牌辅助配置表!U:U,0)-1,0)*5*P503/10000/10000+M503*$V$1/10000</f>
        <v>#VALUE!</v>
      </c>
      <c r="V503" s="46" t="e">
        <f ca="1">OFFSET([2]怪物强度模型!$I$1,MATCH(F503,[2]怪物强度模型!$A:$A,0)-1,0)</f>
        <v>#VALUE!</v>
      </c>
      <c r="W503" s="47">
        <f t="shared" si="122"/>
        <v>2.46</v>
      </c>
      <c r="X503" s="47">
        <f t="shared" si="124"/>
        <v>1.9</v>
      </c>
    </row>
    <row r="504" spans="1:24">
      <c r="A504" s="45">
        <f t="shared" si="125"/>
        <v>3555</v>
      </c>
      <c r="B504" s="45" t="s">
        <v>2794</v>
      </c>
      <c r="C504" s="45">
        <v>3</v>
      </c>
      <c r="D504" s="45">
        <v>555</v>
      </c>
      <c r="F504" s="46">
        <f t="shared" si="126"/>
        <v>3036</v>
      </c>
      <c r="G504" s="45">
        <f t="shared" si="120"/>
        <v>3.73999999999999</v>
      </c>
      <c r="H504" s="45">
        <v>7</v>
      </c>
      <c r="I504" s="46">
        <v>10</v>
      </c>
      <c r="J504" s="46">
        <v>20</v>
      </c>
      <c r="K504" s="46" t="e">
        <f ca="1" t="shared" si="127"/>
        <v>#VALUE!</v>
      </c>
      <c r="L504" s="46" t="e">
        <f ca="1" t="shared" si="128"/>
        <v>#VALUE!</v>
      </c>
      <c r="M504" s="46" t="e">
        <f ca="1" t="shared" si="118"/>
        <v>#VALUE!</v>
      </c>
      <c r="N504" s="46" t="e">
        <f ca="1" t="shared" si="121"/>
        <v>#VALUE!</v>
      </c>
      <c r="O504" s="46">
        <v>61</v>
      </c>
      <c r="P504" s="46">
        <f t="shared" si="129"/>
        <v>36</v>
      </c>
      <c r="Q504" s="46" t="e">
        <f ca="1" t="shared" si="123"/>
        <v>#VALUE!</v>
      </c>
      <c r="R504" s="46" t="e">
        <f ca="1">OFFSET([2]怪物强度模型!$K$1,MATCH(F504,[2]怪物强度模型!$A:$A,0)-1,0)</f>
        <v>#VALUE!</v>
      </c>
      <c r="S504" s="46" t="e">
        <f ca="1">OFFSET([2]怪物强度模型!$O$1,MATCH(F504,[2]怪物强度模型!$A:$A,0)-1,0)</f>
        <v>#VALUE!</v>
      </c>
      <c r="T504" s="47" t="e">
        <f ca="1" t="shared" si="119"/>
        <v>#VALUE!</v>
      </c>
      <c r="U504" s="47" t="e">
        <f ca="1">Q504+N504*$V$1/10000+$V$1*OFFSET(卡牌辅助配置表!$V$1,MATCH(C504,卡牌辅助配置表!U:U,0)-1,0)*5*P504/10000/10000+M504*$V$1/10000</f>
        <v>#VALUE!</v>
      </c>
      <c r="V504" s="46" t="e">
        <f ca="1">OFFSET([2]怪物强度模型!$I$1,MATCH(F504,[2]怪物强度模型!$A:$A,0)-1,0)</f>
        <v>#VALUE!</v>
      </c>
      <c r="W504" s="47">
        <f t="shared" si="122"/>
        <v>2.46</v>
      </c>
      <c r="X504" s="47">
        <f t="shared" si="124"/>
        <v>1.9</v>
      </c>
    </row>
    <row r="505" spans="1:24">
      <c r="A505" s="45">
        <f t="shared" si="125"/>
        <v>3556</v>
      </c>
      <c r="B505" s="45" t="s">
        <v>2794</v>
      </c>
      <c r="C505" s="45">
        <v>3</v>
      </c>
      <c r="D505" s="45">
        <v>556</v>
      </c>
      <c r="F505" s="46">
        <f t="shared" si="126"/>
        <v>3036</v>
      </c>
      <c r="G505" s="45">
        <f t="shared" si="120"/>
        <v>3.78999999999999</v>
      </c>
      <c r="H505" s="45">
        <v>7</v>
      </c>
      <c r="I505" s="46">
        <v>10</v>
      </c>
      <c r="J505" s="46">
        <v>20</v>
      </c>
      <c r="K505" s="46" t="e">
        <f ca="1" t="shared" si="127"/>
        <v>#VALUE!</v>
      </c>
      <c r="L505" s="46" t="e">
        <f ca="1" t="shared" si="128"/>
        <v>#VALUE!</v>
      </c>
      <c r="M505" s="46" t="e">
        <f ca="1" t="shared" si="118"/>
        <v>#VALUE!</v>
      </c>
      <c r="N505" s="46" t="e">
        <f ca="1" t="shared" si="121"/>
        <v>#VALUE!</v>
      </c>
      <c r="O505" s="46">
        <v>62</v>
      </c>
      <c r="P505" s="46">
        <f t="shared" si="129"/>
        <v>36</v>
      </c>
      <c r="Q505" s="46" t="e">
        <f ca="1" t="shared" si="123"/>
        <v>#VALUE!</v>
      </c>
      <c r="R505" s="46" t="e">
        <f ca="1">OFFSET([2]怪物强度模型!$K$1,MATCH(F505,[2]怪物强度模型!$A:$A,0)-1,0)</f>
        <v>#VALUE!</v>
      </c>
      <c r="S505" s="46" t="e">
        <f ca="1">OFFSET([2]怪物强度模型!$O$1,MATCH(F505,[2]怪物强度模型!$A:$A,0)-1,0)</f>
        <v>#VALUE!</v>
      </c>
      <c r="T505" s="47" t="e">
        <f ca="1" t="shared" si="119"/>
        <v>#VALUE!</v>
      </c>
      <c r="U505" s="47" t="e">
        <f ca="1">Q505+N505*$V$1/10000+$V$1*OFFSET(卡牌辅助配置表!$V$1,MATCH(C505,卡牌辅助配置表!U:U,0)-1,0)*5*P505/10000/10000+M505*$V$1/10000</f>
        <v>#VALUE!</v>
      </c>
      <c r="V505" s="46" t="e">
        <f ca="1">OFFSET([2]怪物强度模型!$I$1,MATCH(F505,[2]怪物强度模型!$A:$A,0)-1,0)</f>
        <v>#VALUE!</v>
      </c>
      <c r="W505" s="47">
        <f t="shared" si="122"/>
        <v>2.47</v>
      </c>
      <c r="X505" s="47">
        <f t="shared" si="124"/>
        <v>1.9</v>
      </c>
    </row>
    <row r="506" spans="1:24">
      <c r="A506" s="45">
        <f t="shared" si="125"/>
        <v>3557</v>
      </c>
      <c r="B506" s="45" t="s">
        <v>2794</v>
      </c>
      <c r="C506" s="45">
        <v>3</v>
      </c>
      <c r="D506" s="45">
        <v>557</v>
      </c>
      <c r="F506" s="46">
        <f t="shared" si="126"/>
        <v>3036</v>
      </c>
      <c r="G506" s="45">
        <f t="shared" si="120"/>
        <v>3.83999999999999</v>
      </c>
      <c r="H506" s="45">
        <v>7</v>
      </c>
      <c r="I506" s="46">
        <v>10</v>
      </c>
      <c r="J506" s="46">
        <v>20</v>
      </c>
      <c r="K506" s="46" t="e">
        <f ca="1" t="shared" si="127"/>
        <v>#VALUE!</v>
      </c>
      <c r="L506" s="46" t="e">
        <f ca="1" t="shared" si="128"/>
        <v>#VALUE!</v>
      </c>
      <c r="M506" s="46" t="e">
        <f ca="1" t="shared" ref="M506:M548" si="130">S506*W506</f>
        <v>#VALUE!</v>
      </c>
      <c r="N506" s="46" t="e">
        <f ca="1" t="shared" si="121"/>
        <v>#VALUE!</v>
      </c>
      <c r="O506" s="46">
        <v>63</v>
      </c>
      <c r="P506" s="46">
        <f t="shared" si="129"/>
        <v>36</v>
      </c>
      <c r="Q506" s="46" t="e">
        <f ca="1" t="shared" si="123"/>
        <v>#VALUE!</v>
      </c>
      <c r="R506" s="46" t="e">
        <f ca="1">OFFSET([2]怪物强度模型!$K$1,MATCH(F506,[2]怪物强度模型!$A:$A,0)-1,0)</f>
        <v>#VALUE!</v>
      </c>
      <c r="S506" s="46" t="e">
        <f ca="1">OFFSET([2]怪物强度模型!$O$1,MATCH(F506,[2]怪物强度模型!$A:$A,0)-1,0)</f>
        <v>#VALUE!</v>
      </c>
      <c r="T506" s="47" t="e">
        <f ca="1" t="shared" ref="T506:T548" si="131">ROUND(U506*X506,0)</f>
        <v>#VALUE!</v>
      </c>
      <c r="U506" s="47" t="e">
        <f ca="1">Q506+N506*$V$1/10000+$V$1*OFFSET(卡牌辅助配置表!$V$1,MATCH(C506,卡牌辅助配置表!U:U,0)-1,0)*5*P506/10000/10000+M506*$V$1/10000</f>
        <v>#VALUE!</v>
      </c>
      <c r="V506" s="46" t="e">
        <f ca="1">OFFSET([2]怪物强度模型!$I$1,MATCH(F506,[2]怪物强度模型!$A:$A,0)-1,0)</f>
        <v>#VALUE!</v>
      </c>
      <c r="W506" s="47">
        <f t="shared" si="122"/>
        <v>2.47</v>
      </c>
      <c r="X506" s="47">
        <f t="shared" si="124"/>
        <v>1.9</v>
      </c>
    </row>
    <row r="507" spans="1:24">
      <c r="A507" s="45">
        <f t="shared" si="125"/>
        <v>3558</v>
      </c>
      <c r="B507" s="45" t="s">
        <v>2794</v>
      </c>
      <c r="C507" s="45">
        <v>3</v>
      </c>
      <c r="D507" s="45">
        <v>558</v>
      </c>
      <c r="F507" s="46">
        <f t="shared" si="126"/>
        <v>3036</v>
      </c>
      <c r="G507" s="45">
        <f t="shared" si="120"/>
        <v>3.88999999999999</v>
      </c>
      <c r="H507" s="45">
        <v>7</v>
      </c>
      <c r="I507" s="46">
        <v>10</v>
      </c>
      <c r="J507" s="46">
        <v>20</v>
      </c>
      <c r="K507" s="46" t="e">
        <f ca="1" t="shared" si="127"/>
        <v>#VALUE!</v>
      </c>
      <c r="L507" s="46" t="e">
        <f ca="1" t="shared" si="128"/>
        <v>#VALUE!</v>
      </c>
      <c r="M507" s="46" t="e">
        <f ca="1" t="shared" si="130"/>
        <v>#VALUE!</v>
      </c>
      <c r="N507" s="46" t="e">
        <f ca="1" t="shared" si="121"/>
        <v>#VALUE!</v>
      </c>
      <c r="O507" s="46">
        <v>64</v>
      </c>
      <c r="P507" s="46">
        <f t="shared" si="129"/>
        <v>36</v>
      </c>
      <c r="Q507" s="46" t="e">
        <f ca="1" t="shared" si="123"/>
        <v>#VALUE!</v>
      </c>
      <c r="R507" s="46" t="e">
        <f ca="1">OFFSET([2]怪物强度模型!$K$1,MATCH(F507,[2]怪物强度模型!$A:$A,0)-1,0)</f>
        <v>#VALUE!</v>
      </c>
      <c r="S507" s="46" t="e">
        <f ca="1">OFFSET([2]怪物强度模型!$O$1,MATCH(F507,[2]怪物强度模型!$A:$A,0)-1,0)</f>
        <v>#VALUE!</v>
      </c>
      <c r="T507" s="47" t="e">
        <f ca="1" t="shared" si="131"/>
        <v>#VALUE!</v>
      </c>
      <c r="U507" s="47" t="e">
        <f ca="1">Q507+N507*$V$1/10000+$V$1*OFFSET(卡牌辅助配置表!$V$1,MATCH(C507,卡牌辅助配置表!U:U,0)-1,0)*5*P507/10000/10000+M507*$V$1/10000</f>
        <v>#VALUE!</v>
      </c>
      <c r="V507" s="46" t="e">
        <f ca="1">OFFSET([2]怪物强度模型!$I$1,MATCH(F507,[2]怪物强度模型!$A:$A,0)-1,0)</f>
        <v>#VALUE!</v>
      </c>
      <c r="W507" s="47">
        <f t="shared" si="122"/>
        <v>2.47</v>
      </c>
      <c r="X507" s="47">
        <f t="shared" si="124"/>
        <v>1.9</v>
      </c>
    </row>
    <row r="508" spans="1:24">
      <c r="A508" s="45">
        <f t="shared" si="125"/>
        <v>3559</v>
      </c>
      <c r="B508" s="45" t="s">
        <v>2794</v>
      </c>
      <c r="C508" s="45">
        <v>3</v>
      </c>
      <c r="D508" s="45">
        <v>559</v>
      </c>
      <c r="F508" s="46">
        <f t="shared" si="126"/>
        <v>3036</v>
      </c>
      <c r="G508" s="45">
        <f>G498+0.1</f>
        <v>4.8</v>
      </c>
      <c r="H508" s="45">
        <v>7</v>
      </c>
      <c r="I508" s="46">
        <v>10</v>
      </c>
      <c r="J508" s="46">
        <v>20</v>
      </c>
      <c r="K508" s="46" t="e">
        <f ca="1" t="shared" si="127"/>
        <v>#VALUE!</v>
      </c>
      <c r="L508" s="46" t="e">
        <f ca="1" t="shared" si="128"/>
        <v>#VALUE!</v>
      </c>
      <c r="M508" s="46" t="e">
        <f ca="1" t="shared" si="130"/>
        <v>#VALUE!</v>
      </c>
      <c r="N508" s="46" t="e">
        <f ca="1" t="shared" si="121"/>
        <v>#VALUE!</v>
      </c>
      <c r="O508" s="46">
        <v>65</v>
      </c>
      <c r="P508" s="46">
        <f t="shared" si="129"/>
        <v>36</v>
      </c>
      <c r="Q508" s="46" t="e">
        <f ca="1" t="shared" si="123"/>
        <v>#VALUE!</v>
      </c>
      <c r="R508" s="46" t="e">
        <f ca="1">OFFSET([2]怪物强度模型!$K$1,MATCH(F508,[2]怪物强度模型!$A:$A,0)-1,0)</f>
        <v>#VALUE!</v>
      </c>
      <c r="S508" s="46" t="e">
        <f ca="1">OFFSET([2]怪物强度模型!$O$1,MATCH(F508,[2]怪物强度模型!$A:$A,0)-1,0)</f>
        <v>#VALUE!</v>
      </c>
      <c r="T508" s="47" t="e">
        <f ca="1" t="shared" si="131"/>
        <v>#VALUE!</v>
      </c>
      <c r="U508" s="47" t="e">
        <f ca="1">Q508+N508*$V$1/10000+$V$1*OFFSET(卡牌辅助配置表!$V$1,MATCH(C508,卡牌辅助配置表!U:U,0)-1,0)*5*P508/10000/10000+M508*$V$1/10000</f>
        <v>#VALUE!</v>
      </c>
      <c r="V508" s="46" t="e">
        <f ca="1">OFFSET([2]怪物强度模型!$I$1,MATCH(F508,[2]怪物强度模型!$A:$A,0)-1,0)</f>
        <v>#VALUE!</v>
      </c>
      <c r="W508" s="47">
        <f t="shared" si="122"/>
        <v>2.6</v>
      </c>
      <c r="X508" s="47">
        <f t="shared" si="124"/>
        <v>1.9</v>
      </c>
    </row>
    <row r="509" spans="1:24">
      <c r="A509" s="45">
        <f t="shared" si="125"/>
        <v>3560</v>
      </c>
      <c r="B509" s="45" t="s">
        <v>2794</v>
      </c>
      <c r="C509" s="45">
        <v>3</v>
      </c>
      <c r="D509" s="45">
        <v>560</v>
      </c>
      <c r="F509" s="46">
        <f t="shared" si="126"/>
        <v>3037</v>
      </c>
      <c r="G509" s="45">
        <f t="shared" si="120"/>
        <v>3.76999999999999</v>
      </c>
      <c r="H509" s="45">
        <v>7</v>
      </c>
      <c r="I509" s="46">
        <v>10</v>
      </c>
      <c r="J509" s="46">
        <v>20</v>
      </c>
      <c r="K509" s="46" t="e">
        <f ca="1" t="shared" si="127"/>
        <v>#VALUE!</v>
      </c>
      <c r="L509" s="46" t="e">
        <f ca="1" t="shared" si="128"/>
        <v>#VALUE!</v>
      </c>
      <c r="M509" s="46" t="e">
        <f ca="1" t="shared" si="130"/>
        <v>#VALUE!</v>
      </c>
      <c r="N509" s="46" t="e">
        <f ca="1" t="shared" si="121"/>
        <v>#VALUE!</v>
      </c>
      <c r="O509" s="46">
        <v>66</v>
      </c>
      <c r="P509" s="46">
        <f t="shared" si="129"/>
        <v>37</v>
      </c>
      <c r="Q509" s="46" t="e">
        <f ca="1" t="shared" si="123"/>
        <v>#VALUE!</v>
      </c>
      <c r="R509" s="46" t="e">
        <f ca="1">OFFSET([2]怪物强度模型!$K$1,MATCH(F509,[2]怪物强度模型!$A:$A,0)-1,0)</f>
        <v>#VALUE!</v>
      </c>
      <c r="S509" s="46" t="e">
        <f ca="1">OFFSET([2]怪物强度模型!$O$1,MATCH(F509,[2]怪物强度模型!$A:$A,0)-1,0)</f>
        <v>#VALUE!</v>
      </c>
      <c r="T509" s="47" t="e">
        <f ca="1" t="shared" si="131"/>
        <v>#VALUE!</v>
      </c>
      <c r="U509" s="47" t="e">
        <f ca="1">Q509+N509*$V$1/10000+$V$1*OFFSET(卡牌辅助配置表!$V$1,MATCH(C509,卡牌辅助配置表!U:U,0)-1,0)*5*P509/10000/10000+M509*$V$1/10000</f>
        <v>#VALUE!</v>
      </c>
      <c r="V509" s="46" t="e">
        <f ca="1">OFFSET([2]怪物强度模型!$I$1,MATCH(F509,[2]怪物强度模型!$A:$A,0)-1,0)</f>
        <v>#VALUE!</v>
      </c>
      <c r="W509" s="47">
        <f t="shared" si="122"/>
        <v>2.5</v>
      </c>
      <c r="X509" s="47">
        <f t="shared" si="124"/>
        <v>1.92</v>
      </c>
    </row>
    <row r="510" spans="1:24">
      <c r="A510" s="45">
        <f t="shared" si="125"/>
        <v>3561</v>
      </c>
      <c r="B510" s="45" t="s">
        <v>2794</v>
      </c>
      <c r="C510" s="45">
        <v>3</v>
      </c>
      <c r="D510" s="45">
        <v>561</v>
      </c>
      <c r="F510" s="46">
        <f t="shared" si="126"/>
        <v>3037</v>
      </c>
      <c r="G510" s="45">
        <f t="shared" si="120"/>
        <v>3.81999999999999</v>
      </c>
      <c r="H510" s="45">
        <v>7</v>
      </c>
      <c r="I510" s="46">
        <v>10</v>
      </c>
      <c r="J510" s="46">
        <v>20</v>
      </c>
      <c r="K510" s="46" t="e">
        <f ca="1" t="shared" si="127"/>
        <v>#VALUE!</v>
      </c>
      <c r="L510" s="46" t="e">
        <f ca="1" t="shared" si="128"/>
        <v>#VALUE!</v>
      </c>
      <c r="M510" s="46" t="e">
        <f ca="1" t="shared" si="130"/>
        <v>#VALUE!</v>
      </c>
      <c r="N510" s="46" t="e">
        <f ca="1" t="shared" si="121"/>
        <v>#VALUE!</v>
      </c>
      <c r="O510" s="46">
        <v>67</v>
      </c>
      <c r="P510" s="46">
        <f t="shared" si="129"/>
        <v>37</v>
      </c>
      <c r="Q510" s="46" t="e">
        <f ca="1" t="shared" si="123"/>
        <v>#VALUE!</v>
      </c>
      <c r="R510" s="46" t="e">
        <f ca="1">OFFSET([2]怪物强度模型!$K$1,MATCH(F510,[2]怪物强度模型!$A:$A,0)-1,0)</f>
        <v>#VALUE!</v>
      </c>
      <c r="S510" s="46" t="e">
        <f ca="1">OFFSET([2]怪物强度模型!$O$1,MATCH(F510,[2]怪物强度模型!$A:$A,0)-1,0)</f>
        <v>#VALUE!</v>
      </c>
      <c r="T510" s="47" t="e">
        <f ca="1" t="shared" si="131"/>
        <v>#VALUE!</v>
      </c>
      <c r="U510" s="47" t="e">
        <f ca="1">Q510+N510*$V$1/10000+$V$1*OFFSET(卡牌辅助配置表!$V$1,MATCH(C510,卡牌辅助配置表!U:U,0)-1,0)*5*P510/10000/10000+M510*$V$1/10000</f>
        <v>#VALUE!</v>
      </c>
      <c r="V510" s="46" t="e">
        <f ca="1">OFFSET([2]怪物强度模型!$I$1,MATCH(F510,[2]怪物强度模型!$A:$A,0)-1,0)</f>
        <v>#VALUE!</v>
      </c>
      <c r="W510" s="47">
        <f t="shared" si="122"/>
        <v>2.5</v>
      </c>
      <c r="X510" s="47">
        <f t="shared" si="124"/>
        <v>1.92</v>
      </c>
    </row>
    <row r="511" spans="1:24">
      <c r="A511" s="45">
        <f t="shared" si="125"/>
        <v>3562</v>
      </c>
      <c r="B511" s="45" t="s">
        <v>2794</v>
      </c>
      <c r="C511" s="45">
        <v>3</v>
      </c>
      <c r="D511" s="45">
        <v>562</v>
      </c>
      <c r="F511" s="46">
        <f t="shared" si="126"/>
        <v>3037</v>
      </c>
      <c r="G511" s="45">
        <f t="shared" ref="G511:G547" si="132">G506+0.03</f>
        <v>3.86999999999999</v>
      </c>
      <c r="H511" s="45">
        <v>7</v>
      </c>
      <c r="I511" s="46">
        <v>10</v>
      </c>
      <c r="J511" s="46">
        <v>20</v>
      </c>
      <c r="K511" s="46" t="e">
        <f ca="1" t="shared" si="127"/>
        <v>#VALUE!</v>
      </c>
      <c r="L511" s="46" t="e">
        <f ca="1" t="shared" si="128"/>
        <v>#VALUE!</v>
      </c>
      <c r="M511" s="46" t="e">
        <f ca="1" t="shared" si="130"/>
        <v>#VALUE!</v>
      </c>
      <c r="N511" s="46" t="e">
        <f ca="1" t="shared" si="121"/>
        <v>#VALUE!</v>
      </c>
      <c r="O511" s="46">
        <v>68</v>
      </c>
      <c r="P511" s="46">
        <f t="shared" si="129"/>
        <v>37</v>
      </c>
      <c r="Q511" s="46" t="e">
        <f ca="1" t="shared" si="123"/>
        <v>#VALUE!</v>
      </c>
      <c r="R511" s="46" t="e">
        <f ca="1">OFFSET([2]怪物强度模型!$K$1,MATCH(F511,[2]怪物强度模型!$A:$A,0)-1,0)</f>
        <v>#VALUE!</v>
      </c>
      <c r="S511" s="46" t="e">
        <f ca="1">OFFSET([2]怪物强度模型!$O$1,MATCH(F511,[2]怪物强度模型!$A:$A,0)-1,0)</f>
        <v>#VALUE!</v>
      </c>
      <c r="T511" s="47" t="e">
        <f ca="1" t="shared" si="131"/>
        <v>#VALUE!</v>
      </c>
      <c r="U511" s="47" t="e">
        <f ca="1">Q511+N511*$V$1/10000+$V$1*OFFSET(卡牌辅助配置表!$V$1,MATCH(C511,卡牌辅助配置表!U:U,0)-1,0)*5*P511/10000/10000+M511*$V$1/10000</f>
        <v>#VALUE!</v>
      </c>
      <c r="V511" s="46" t="e">
        <f ca="1">OFFSET([2]怪物强度模型!$I$1,MATCH(F511,[2]怪物强度模型!$A:$A,0)-1,0)</f>
        <v>#VALUE!</v>
      </c>
      <c r="W511" s="47">
        <f t="shared" si="122"/>
        <v>2.5</v>
      </c>
      <c r="X511" s="47">
        <f t="shared" si="124"/>
        <v>1.92</v>
      </c>
    </row>
    <row r="512" spans="1:24">
      <c r="A512" s="45">
        <f t="shared" si="125"/>
        <v>3563</v>
      </c>
      <c r="B512" s="45" t="s">
        <v>2794</v>
      </c>
      <c r="C512" s="45">
        <v>3</v>
      </c>
      <c r="D512" s="45">
        <v>563</v>
      </c>
      <c r="F512" s="46">
        <f t="shared" si="126"/>
        <v>3037</v>
      </c>
      <c r="G512" s="45">
        <f t="shared" si="132"/>
        <v>3.91999999999999</v>
      </c>
      <c r="H512" s="45">
        <v>7</v>
      </c>
      <c r="I512" s="46">
        <v>10</v>
      </c>
      <c r="J512" s="46">
        <v>20</v>
      </c>
      <c r="K512" s="46" t="e">
        <f ca="1" t="shared" si="127"/>
        <v>#VALUE!</v>
      </c>
      <c r="L512" s="46" t="e">
        <f ca="1" t="shared" si="128"/>
        <v>#VALUE!</v>
      </c>
      <c r="M512" s="46" t="e">
        <f ca="1" t="shared" si="130"/>
        <v>#VALUE!</v>
      </c>
      <c r="N512" s="46" t="e">
        <f ca="1" t="shared" si="121"/>
        <v>#VALUE!</v>
      </c>
      <c r="O512" s="46">
        <v>69</v>
      </c>
      <c r="P512" s="46">
        <f t="shared" si="129"/>
        <v>37</v>
      </c>
      <c r="Q512" s="46" t="e">
        <f ca="1" t="shared" si="123"/>
        <v>#VALUE!</v>
      </c>
      <c r="R512" s="46" t="e">
        <f ca="1">OFFSET([2]怪物强度模型!$K$1,MATCH(F512,[2]怪物强度模型!$A:$A,0)-1,0)</f>
        <v>#VALUE!</v>
      </c>
      <c r="S512" s="46" t="e">
        <f ca="1">OFFSET([2]怪物强度模型!$O$1,MATCH(F512,[2]怪物强度模型!$A:$A,0)-1,0)</f>
        <v>#VALUE!</v>
      </c>
      <c r="T512" s="47" t="e">
        <f ca="1" t="shared" si="131"/>
        <v>#VALUE!</v>
      </c>
      <c r="U512" s="47" t="e">
        <f ca="1">Q512+N512*$V$1/10000+$V$1*OFFSET(卡牌辅助配置表!$V$1,MATCH(C512,卡牌辅助配置表!U:U,0)-1,0)*5*P512/10000/10000+M512*$V$1/10000</f>
        <v>#VALUE!</v>
      </c>
      <c r="V512" s="46" t="e">
        <f ca="1">OFFSET([2]怪物强度模型!$I$1,MATCH(F512,[2]怪物强度模型!$A:$A,0)-1,0)</f>
        <v>#VALUE!</v>
      </c>
      <c r="W512" s="47">
        <f t="shared" si="122"/>
        <v>2.51</v>
      </c>
      <c r="X512" s="47">
        <f t="shared" si="124"/>
        <v>1.92</v>
      </c>
    </row>
    <row r="513" spans="1:24">
      <c r="A513" s="45">
        <f t="shared" si="125"/>
        <v>3564</v>
      </c>
      <c r="B513" s="45" t="s">
        <v>2794</v>
      </c>
      <c r="C513" s="45">
        <v>3</v>
      </c>
      <c r="D513" s="45">
        <v>564</v>
      </c>
      <c r="F513" s="46">
        <f t="shared" si="126"/>
        <v>3037</v>
      </c>
      <c r="G513" s="45">
        <f t="shared" si="132"/>
        <v>4.83</v>
      </c>
      <c r="H513" s="45">
        <v>7</v>
      </c>
      <c r="I513" s="46">
        <v>10</v>
      </c>
      <c r="J513" s="46">
        <v>20</v>
      </c>
      <c r="K513" s="46" t="e">
        <f ca="1" t="shared" si="127"/>
        <v>#VALUE!</v>
      </c>
      <c r="L513" s="46" t="e">
        <f ca="1" t="shared" si="128"/>
        <v>#VALUE!</v>
      </c>
      <c r="M513" s="46" t="e">
        <f ca="1" t="shared" si="130"/>
        <v>#VALUE!</v>
      </c>
      <c r="N513" s="46" t="e">
        <f ca="1" t="shared" ref="N513:N548" si="133">ROUND(M513/$N$1,0)</f>
        <v>#VALUE!</v>
      </c>
      <c r="O513" s="46">
        <v>70</v>
      </c>
      <c r="P513" s="46">
        <f t="shared" si="129"/>
        <v>37</v>
      </c>
      <c r="Q513" s="46" t="e">
        <f ca="1" t="shared" si="123"/>
        <v>#VALUE!</v>
      </c>
      <c r="R513" s="46" t="e">
        <f ca="1">OFFSET([2]怪物强度模型!$K$1,MATCH(F513,[2]怪物强度模型!$A:$A,0)-1,0)</f>
        <v>#VALUE!</v>
      </c>
      <c r="S513" s="46" t="e">
        <f ca="1">OFFSET([2]怪物强度模型!$O$1,MATCH(F513,[2]怪物强度模型!$A:$A,0)-1,0)</f>
        <v>#VALUE!</v>
      </c>
      <c r="T513" s="47" t="e">
        <f ca="1" t="shared" si="131"/>
        <v>#VALUE!</v>
      </c>
      <c r="U513" s="47" t="e">
        <f ca="1">Q513+N513*$V$1/10000+$V$1*OFFSET(卡牌辅助配置表!$V$1,MATCH(C513,卡牌辅助配置表!U:U,0)-1,0)*5*P513/10000/10000+M513*$V$1/10000</f>
        <v>#VALUE!</v>
      </c>
      <c r="V513" s="46" t="e">
        <f ca="1">OFFSET([2]怪物强度模型!$I$1,MATCH(F513,[2]怪物强度模型!$A:$A,0)-1,0)</f>
        <v>#VALUE!</v>
      </c>
      <c r="W513" s="47">
        <f t="shared" si="122"/>
        <v>2.51</v>
      </c>
      <c r="X513" s="47">
        <f t="shared" si="124"/>
        <v>1.92</v>
      </c>
    </row>
    <row r="514" spans="1:24">
      <c r="A514" s="45">
        <f t="shared" si="125"/>
        <v>3565</v>
      </c>
      <c r="B514" s="45" t="s">
        <v>2794</v>
      </c>
      <c r="C514" s="45">
        <v>3</v>
      </c>
      <c r="D514" s="45">
        <v>565</v>
      </c>
      <c r="F514" s="46">
        <f t="shared" si="126"/>
        <v>3037</v>
      </c>
      <c r="G514" s="45">
        <f t="shared" si="132"/>
        <v>3.79999999999999</v>
      </c>
      <c r="H514" s="45">
        <v>7</v>
      </c>
      <c r="I514" s="46">
        <v>10</v>
      </c>
      <c r="J514" s="46">
        <v>20</v>
      </c>
      <c r="K514" s="46" t="e">
        <f ca="1" t="shared" si="127"/>
        <v>#VALUE!</v>
      </c>
      <c r="L514" s="46" t="e">
        <f ca="1" t="shared" si="128"/>
        <v>#VALUE!</v>
      </c>
      <c r="M514" s="46" t="e">
        <f ca="1" t="shared" si="130"/>
        <v>#VALUE!</v>
      </c>
      <c r="N514" s="46" t="e">
        <f ca="1" t="shared" si="133"/>
        <v>#VALUE!</v>
      </c>
      <c r="O514" s="46">
        <v>71</v>
      </c>
      <c r="P514" s="46">
        <f t="shared" si="129"/>
        <v>37</v>
      </c>
      <c r="Q514" s="46" t="e">
        <f ca="1" t="shared" si="123"/>
        <v>#VALUE!</v>
      </c>
      <c r="R514" s="46" t="e">
        <f ca="1">OFFSET([2]怪物强度模型!$K$1,MATCH(F514,[2]怪物强度模型!$A:$A,0)-1,0)</f>
        <v>#VALUE!</v>
      </c>
      <c r="S514" s="46" t="e">
        <f ca="1">OFFSET([2]怪物强度模型!$O$1,MATCH(F514,[2]怪物强度模型!$A:$A,0)-1,0)</f>
        <v>#VALUE!</v>
      </c>
      <c r="T514" s="47" t="e">
        <f ca="1" t="shared" si="131"/>
        <v>#VALUE!</v>
      </c>
      <c r="U514" s="47" t="e">
        <f ca="1">Q514+N514*$V$1/10000+$V$1*OFFSET(卡牌辅助配置表!$V$1,MATCH(C514,卡牌辅助配置表!U:U,0)-1,0)*5*P514/10000/10000+M514*$V$1/10000</f>
        <v>#VALUE!</v>
      </c>
      <c r="V514" s="46" t="e">
        <f ca="1">OFFSET([2]怪物强度模型!$I$1,MATCH(F514,[2]怪物强度模型!$A:$A,0)-1,0)</f>
        <v>#VALUE!</v>
      </c>
      <c r="W514" s="47">
        <f t="shared" si="122"/>
        <v>2.51</v>
      </c>
      <c r="X514" s="47">
        <f t="shared" si="124"/>
        <v>1.92</v>
      </c>
    </row>
    <row r="515" spans="1:24">
      <c r="A515" s="45">
        <f t="shared" si="125"/>
        <v>3566</v>
      </c>
      <c r="B515" s="45" t="s">
        <v>2794</v>
      </c>
      <c r="C515" s="45">
        <v>3</v>
      </c>
      <c r="D515" s="45">
        <v>566</v>
      </c>
      <c r="F515" s="46">
        <f t="shared" si="126"/>
        <v>3037</v>
      </c>
      <c r="G515" s="45">
        <f t="shared" si="132"/>
        <v>3.84999999999999</v>
      </c>
      <c r="H515" s="45">
        <v>7</v>
      </c>
      <c r="I515" s="46">
        <v>10</v>
      </c>
      <c r="J515" s="46">
        <v>20</v>
      </c>
      <c r="K515" s="46" t="e">
        <f ca="1" t="shared" si="127"/>
        <v>#VALUE!</v>
      </c>
      <c r="L515" s="46" t="e">
        <f ca="1" t="shared" si="128"/>
        <v>#VALUE!</v>
      </c>
      <c r="M515" s="46" t="e">
        <f ca="1" t="shared" si="130"/>
        <v>#VALUE!</v>
      </c>
      <c r="N515" s="46" t="e">
        <f ca="1" t="shared" si="133"/>
        <v>#VALUE!</v>
      </c>
      <c r="O515" s="46">
        <v>72</v>
      </c>
      <c r="P515" s="46">
        <f t="shared" si="129"/>
        <v>37</v>
      </c>
      <c r="Q515" s="46" t="e">
        <f ca="1" t="shared" si="123"/>
        <v>#VALUE!</v>
      </c>
      <c r="R515" s="46" t="e">
        <f ca="1">OFFSET([2]怪物强度模型!$K$1,MATCH(F515,[2]怪物强度模型!$A:$A,0)-1,0)</f>
        <v>#VALUE!</v>
      </c>
      <c r="S515" s="46" t="e">
        <f ca="1">OFFSET([2]怪物强度模型!$O$1,MATCH(F515,[2]怪物强度模型!$A:$A,0)-1,0)</f>
        <v>#VALUE!</v>
      </c>
      <c r="T515" s="47" t="e">
        <f ca="1" t="shared" si="131"/>
        <v>#VALUE!</v>
      </c>
      <c r="U515" s="47" t="e">
        <f ca="1">Q515+N515*$V$1/10000+$V$1*OFFSET(卡牌辅助配置表!$V$1,MATCH(C515,卡牌辅助配置表!U:U,0)-1,0)*5*P515/10000/10000+M515*$V$1/10000</f>
        <v>#VALUE!</v>
      </c>
      <c r="V515" s="46" t="e">
        <f ca="1">OFFSET([2]怪物强度模型!$I$1,MATCH(F515,[2]怪物强度模型!$A:$A,0)-1,0)</f>
        <v>#VALUE!</v>
      </c>
      <c r="W515" s="47">
        <f t="shared" si="122"/>
        <v>2.52</v>
      </c>
      <c r="X515" s="47">
        <f t="shared" si="124"/>
        <v>1.92</v>
      </c>
    </row>
    <row r="516" spans="1:24">
      <c r="A516" s="45">
        <f t="shared" si="125"/>
        <v>3567</v>
      </c>
      <c r="B516" s="45" t="s">
        <v>2794</v>
      </c>
      <c r="C516" s="45">
        <v>3</v>
      </c>
      <c r="D516" s="45">
        <v>567</v>
      </c>
      <c r="F516" s="46">
        <f t="shared" si="126"/>
        <v>3037</v>
      </c>
      <c r="G516" s="45">
        <f t="shared" si="132"/>
        <v>3.89999999999999</v>
      </c>
      <c r="H516" s="45">
        <v>7</v>
      </c>
      <c r="I516" s="46">
        <v>10</v>
      </c>
      <c r="J516" s="46">
        <v>20</v>
      </c>
      <c r="K516" s="46" t="e">
        <f ca="1" t="shared" si="127"/>
        <v>#VALUE!</v>
      </c>
      <c r="L516" s="46" t="e">
        <f ca="1" t="shared" si="128"/>
        <v>#VALUE!</v>
      </c>
      <c r="M516" s="46" t="e">
        <f ca="1" t="shared" si="130"/>
        <v>#VALUE!</v>
      </c>
      <c r="N516" s="46" t="e">
        <f ca="1" t="shared" si="133"/>
        <v>#VALUE!</v>
      </c>
      <c r="O516" s="46">
        <v>73</v>
      </c>
      <c r="P516" s="46">
        <f t="shared" si="129"/>
        <v>37</v>
      </c>
      <c r="Q516" s="46" t="e">
        <f ca="1" t="shared" si="123"/>
        <v>#VALUE!</v>
      </c>
      <c r="R516" s="46" t="e">
        <f ca="1">OFFSET([2]怪物强度模型!$K$1,MATCH(F516,[2]怪物强度模型!$A:$A,0)-1,0)</f>
        <v>#VALUE!</v>
      </c>
      <c r="S516" s="46" t="e">
        <f ca="1">OFFSET([2]怪物强度模型!$O$1,MATCH(F516,[2]怪物强度模型!$A:$A,0)-1,0)</f>
        <v>#VALUE!</v>
      </c>
      <c r="T516" s="47" t="e">
        <f ca="1" t="shared" si="131"/>
        <v>#VALUE!</v>
      </c>
      <c r="U516" s="47" t="e">
        <f ca="1">Q516+N516*$V$1/10000+$V$1*OFFSET(卡牌辅助配置表!$V$1,MATCH(C516,卡牌辅助配置表!U:U,0)-1,0)*5*P516/10000/10000+M516*$V$1/10000</f>
        <v>#VALUE!</v>
      </c>
      <c r="V516" s="46" t="e">
        <f ca="1">OFFSET([2]怪物强度模型!$I$1,MATCH(F516,[2]怪物强度模型!$A:$A,0)-1,0)</f>
        <v>#VALUE!</v>
      </c>
      <c r="W516" s="47">
        <f t="shared" ref="W516:W548" si="134">W506+0.05</f>
        <v>2.52</v>
      </c>
      <c r="X516" s="47">
        <f t="shared" ref="X516:X548" si="135">X506+0.02</f>
        <v>1.92</v>
      </c>
    </row>
    <row r="517" spans="1:24">
      <c r="A517" s="45">
        <f t="shared" si="125"/>
        <v>3568</v>
      </c>
      <c r="B517" s="45" t="s">
        <v>2794</v>
      </c>
      <c r="C517" s="45">
        <v>3</v>
      </c>
      <c r="D517" s="45">
        <v>568</v>
      </c>
      <c r="F517" s="46">
        <f t="shared" si="126"/>
        <v>3037</v>
      </c>
      <c r="G517" s="45">
        <f t="shared" si="132"/>
        <v>3.94999999999999</v>
      </c>
      <c r="H517" s="45">
        <v>7</v>
      </c>
      <c r="I517" s="46">
        <v>10</v>
      </c>
      <c r="J517" s="46">
        <v>20</v>
      </c>
      <c r="K517" s="46" t="e">
        <f ca="1" t="shared" si="127"/>
        <v>#VALUE!</v>
      </c>
      <c r="L517" s="46" t="e">
        <f ca="1" t="shared" si="128"/>
        <v>#VALUE!</v>
      </c>
      <c r="M517" s="46" t="e">
        <f ca="1" t="shared" si="130"/>
        <v>#VALUE!</v>
      </c>
      <c r="N517" s="46" t="e">
        <f ca="1" t="shared" si="133"/>
        <v>#VALUE!</v>
      </c>
      <c r="O517" s="46">
        <v>74</v>
      </c>
      <c r="P517" s="46">
        <f t="shared" si="129"/>
        <v>37</v>
      </c>
      <c r="Q517" s="46" t="e">
        <f ca="1" t="shared" si="123"/>
        <v>#VALUE!</v>
      </c>
      <c r="R517" s="46" t="e">
        <f ca="1">OFFSET([2]怪物强度模型!$K$1,MATCH(F517,[2]怪物强度模型!$A:$A,0)-1,0)</f>
        <v>#VALUE!</v>
      </c>
      <c r="S517" s="46" t="e">
        <f ca="1">OFFSET([2]怪物强度模型!$O$1,MATCH(F517,[2]怪物强度模型!$A:$A,0)-1,0)</f>
        <v>#VALUE!</v>
      </c>
      <c r="T517" s="47" t="e">
        <f ca="1" t="shared" si="131"/>
        <v>#VALUE!</v>
      </c>
      <c r="U517" s="47" t="e">
        <f ca="1">Q517+N517*$V$1/10000+$V$1*OFFSET(卡牌辅助配置表!$V$1,MATCH(C517,卡牌辅助配置表!U:U,0)-1,0)*5*P517/10000/10000+M517*$V$1/10000</f>
        <v>#VALUE!</v>
      </c>
      <c r="V517" s="46" t="e">
        <f ca="1">OFFSET([2]怪物强度模型!$I$1,MATCH(F517,[2]怪物强度模型!$A:$A,0)-1,0)</f>
        <v>#VALUE!</v>
      </c>
      <c r="W517" s="47">
        <f t="shared" si="134"/>
        <v>2.52</v>
      </c>
      <c r="X517" s="47">
        <f t="shared" si="135"/>
        <v>1.92</v>
      </c>
    </row>
    <row r="518" spans="1:24">
      <c r="A518" s="45">
        <f t="shared" si="125"/>
        <v>3569</v>
      </c>
      <c r="B518" s="45" t="s">
        <v>2794</v>
      </c>
      <c r="C518" s="45">
        <v>3</v>
      </c>
      <c r="D518" s="45">
        <v>569</v>
      </c>
      <c r="F518" s="46">
        <f t="shared" si="126"/>
        <v>3037</v>
      </c>
      <c r="G518" s="45">
        <f>G508+0.1</f>
        <v>4.9</v>
      </c>
      <c r="H518" s="45">
        <v>7</v>
      </c>
      <c r="I518" s="46">
        <v>10</v>
      </c>
      <c r="J518" s="46">
        <v>20</v>
      </c>
      <c r="K518" s="46" t="e">
        <f ca="1" t="shared" si="127"/>
        <v>#VALUE!</v>
      </c>
      <c r="L518" s="46" t="e">
        <f ca="1" t="shared" si="128"/>
        <v>#VALUE!</v>
      </c>
      <c r="M518" s="46" t="e">
        <f ca="1" t="shared" si="130"/>
        <v>#VALUE!</v>
      </c>
      <c r="N518" s="46" t="e">
        <f ca="1" t="shared" si="133"/>
        <v>#VALUE!</v>
      </c>
      <c r="O518" s="46">
        <v>75</v>
      </c>
      <c r="P518" s="46">
        <f t="shared" si="129"/>
        <v>37</v>
      </c>
      <c r="Q518" s="46" t="e">
        <f ca="1" t="shared" si="123"/>
        <v>#VALUE!</v>
      </c>
      <c r="R518" s="46" t="e">
        <f ca="1">OFFSET([2]怪物强度模型!$K$1,MATCH(F518,[2]怪物强度模型!$A:$A,0)-1,0)</f>
        <v>#VALUE!</v>
      </c>
      <c r="S518" s="46" t="e">
        <f ca="1">OFFSET([2]怪物强度模型!$O$1,MATCH(F518,[2]怪物强度模型!$A:$A,0)-1,0)</f>
        <v>#VALUE!</v>
      </c>
      <c r="T518" s="47" t="e">
        <f ca="1" t="shared" si="131"/>
        <v>#VALUE!</v>
      </c>
      <c r="U518" s="47" t="e">
        <f ca="1">Q518+N518*$V$1/10000+$V$1*OFFSET(卡牌辅助配置表!$V$1,MATCH(C518,卡牌辅助配置表!U:U,0)-1,0)*5*P518/10000/10000+M518*$V$1/10000</f>
        <v>#VALUE!</v>
      </c>
      <c r="V518" s="46" t="e">
        <f ca="1">OFFSET([2]怪物强度模型!$I$1,MATCH(F518,[2]怪物强度模型!$A:$A,0)-1,0)</f>
        <v>#VALUE!</v>
      </c>
      <c r="W518" s="47">
        <f t="shared" si="134"/>
        <v>2.65</v>
      </c>
      <c r="X518" s="47">
        <f t="shared" si="135"/>
        <v>1.92</v>
      </c>
    </row>
    <row r="519" spans="1:24">
      <c r="A519" s="45">
        <f t="shared" si="125"/>
        <v>3570</v>
      </c>
      <c r="B519" s="45" t="s">
        <v>2794</v>
      </c>
      <c r="C519" s="45">
        <v>3</v>
      </c>
      <c r="D519" s="45">
        <v>570</v>
      </c>
      <c r="F519" s="46">
        <f t="shared" si="126"/>
        <v>3038</v>
      </c>
      <c r="G519" s="45">
        <f t="shared" si="132"/>
        <v>3.82999999999999</v>
      </c>
      <c r="H519" s="45">
        <v>7</v>
      </c>
      <c r="I519" s="46">
        <v>10</v>
      </c>
      <c r="J519" s="46">
        <v>20</v>
      </c>
      <c r="K519" s="46" t="e">
        <f ca="1" t="shared" si="127"/>
        <v>#VALUE!</v>
      </c>
      <c r="L519" s="46" t="e">
        <f ca="1" t="shared" si="128"/>
        <v>#VALUE!</v>
      </c>
      <c r="M519" s="46" t="e">
        <f ca="1" t="shared" si="130"/>
        <v>#VALUE!</v>
      </c>
      <c r="N519" s="46" t="e">
        <f ca="1" t="shared" si="133"/>
        <v>#VALUE!</v>
      </c>
      <c r="O519" s="46">
        <v>76</v>
      </c>
      <c r="P519" s="46">
        <f t="shared" si="129"/>
        <v>38</v>
      </c>
      <c r="Q519" s="46" t="e">
        <f ca="1" t="shared" ref="Q519:Q548" si="136">G519*(R519+S519-N519)*V519</f>
        <v>#VALUE!</v>
      </c>
      <c r="R519" s="46" t="e">
        <f ca="1">OFFSET([2]怪物强度模型!$K$1,MATCH(F519,[2]怪物强度模型!$A:$A,0)-1,0)</f>
        <v>#VALUE!</v>
      </c>
      <c r="S519" s="46" t="e">
        <f ca="1">OFFSET([2]怪物强度模型!$O$1,MATCH(F519,[2]怪物强度模型!$A:$A,0)-1,0)</f>
        <v>#VALUE!</v>
      </c>
      <c r="T519" s="47" t="e">
        <f ca="1" t="shared" si="131"/>
        <v>#VALUE!</v>
      </c>
      <c r="U519" s="47" t="e">
        <f ca="1">Q519+N519*$V$1/10000+$V$1*OFFSET(卡牌辅助配置表!$V$1,MATCH(C519,卡牌辅助配置表!U:U,0)-1,0)*5*P519/10000/10000+M519*$V$1/10000</f>
        <v>#VALUE!</v>
      </c>
      <c r="V519" s="46" t="e">
        <f ca="1">OFFSET([2]怪物强度模型!$I$1,MATCH(F519,[2]怪物强度模型!$A:$A,0)-1,0)</f>
        <v>#VALUE!</v>
      </c>
      <c r="W519" s="47">
        <f t="shared" si="134"/>
        <v>2.55</v>
      </c>
      <c r="X519" s="47">
        <f t="shared" si="135"/>
        <v>1.94</v>
      </c>
    </row>
    <row r="520" spans="1:24">
      <c r="A520" s="45">
        <f t="shared" si="125"/>
        <v>3571</v>
      </c>
      <c r="B520" s="45" t="s">
        <v>2794</v>
      </c>
      <c r="C520" s="45">
        <v>3</v>
      </c>
      <c r="D520" s="45">
        <v>571</v>
      </c>
      <c r="F520" s="46">
        <f t="shared" si="126"/>
        <v>3038</v>
      </c>
      <c r="G520" s="45">
        <f t="shared" si="132"/>
        <v>3.87999999999999</v>
      </c>
      <c r="H520" s="45">
        <v>7</v>
      </c>
      <c r="I520" s="46">
        <v>10</v>
      </c>
      <c r="J520" s="46">
        <v>20</v>
      </c>
      <c r="K520" s="46" t="e">
        <f ca="1" t="shared" si="127"/>
        <v>#VALUE!</v>
      </c>
      <c r="L520" s="46" t="e">
        <f ca="1" t="shared" si="128"/>
        <v>#VALUE!</v>
      </c>
      <c r="M520" s="46" t="e">
        <f ca="1" t="shared" si="130"/>
        <v>#VALUE!</v>
      </c>
      <c r="N520" s="46" t="e">
        <f ca="1" t="shared" si="133"/>
        <v>#VALUE!</v>
      </c>
      <c r="O520" s="46">
        <v>77</v>
      </c>
      <c r="P520" s="46">
        <f t="shared" si="129"/>
        <v>38</v>
      </c>
      <c r="Q520" s="46" t="e">
        <f ca="1" t="shared" si="136"/>
        <v>#VALUE!</v>
      </c>
      <c r="R520" s="46" t="e">
        <f ca="1">OFFSET([2]怪物强度模型!$K$1,MATCH(F520,[2]怪物强度模型!$A:$A,0)-1,0)</f>
        <v>#VALUE!</v>
      </c>
      <c r="S520" s="46" t="e">
        <f ca="1">OFFSET([2]怪物强度模型!$O$1,MATCH(F520,[2]怪物强度模型!$A:$A,0)-1,0)</f>
        <v>#VALUE!</v>
      </c>
      <c r="T520" s="47" t="e">
        <f ca="1" t="shared" si="131"/>
        <v>#VALUE!</v>
      </c>
      <c r="U520" s="47" t="e">
        <f ca="1">Q520+N520*$V$1/10000+$V$1*OFFSET(卡牌辅助配置表!$V$1,MATCH(C520,卡牌辅助配置表!U:U,0)-1,0)*5*P520/10000/10000+M520*$V$1/10000</f>
        <v>#VALUE!</v>
      </c>
      <c r="V520" s="46" t="e">
        <f ca="1">OFFSET([2]怪物强度模型!$I$1,MATCH(F520,[2]怪物强度模型!$A:$A,0)-1,0)</f>
        <v>#VALUE!</v>
      </c>
      <c r="W520" s="47">
        <f t="shared" si="134"/>
        <v>2.55</v>
      </c>
      <c r="X520" s="47">
        <f t="shared" si="135"/>
        <v>1.94</v>
      </c>
    </row>
    <row r="521" spans="1:24">
      <c r="A521" s="45">
        <f t="shared" si="125"/>
        <v>3572</v>
      </c>
      <c r="B521" s="45" t="s">
        <v>2794</v>
      </c>
      <c r="C521" s="45">
        <v>3</v>
      </c>
      <c r="D521" s="45">
        <v>572</v>
      </c>
      <c r="F521" s="46">
        <f t="shared" si="126"/>
        <v>3038</v>
      </c>
      <c r="G521" s="45">
        <f t="shared" si="132"/>
        <v>3.92999999999999</v>
      </c>
      <c r="H521" s="45">
        <v>7</v>
      </c>
      <c r="I521" s="46">
        <v>10</v>
      </c>
      <c r="J521" s="46">
        <v>20</v>
      </c>
      <c r="K521" s="46" t="e">
        <f ca="1" t="shared" si="127"/>
        <v>#VALUE!</v>
      </c>
      <c r="L521" s="46" t="e">
        <f ca="1" t="shared" si="128"/>
        <v>#VALUE!</v>
      </c>
      <c r="M521" s="46" t="e">
        <f ca="1" t="shared" si="130"/>
        <v>#VALUE!</v>
      </c>
      <c r="N521" s="46" t="e">
        <f ca="1" t="shared" si="133"/>
        <v>#VALUE!</v>
      </c>
      <c r="O521" s="46">
        <v>78</v>
      </c>
      <c r="P521" s="46">
        <f t="shared" si="129"/>
        <v>38</v>
      </c>
      <c r="Q521" s="46" t="e">
        <f ca="1" t="shared" si="136"/>
        <v>#VALUE!</v>
      </c>
      <c r="R521" s="46" t="e">
        <f ca="1">OFFSET([2]怪物强度模型!$K$1,MATCH(F521,[2]怪物强度模型!$A:$A,0)-1,0)</f>
        <v>#VALUE!</v>
      </c>
      <c r="S521" s="46" t="e">
        <f ca="1">OFFSET([2]怪物强度模型!$O$1,MATCH(F521,[2]怪物强度模型!$A:$A,0)-1,0)</f>
        <v>#VALUE!</v>
      </c>
      <c r="T521" s="47" t="e">
        <f ca="1" t="shared" si="131"/>
        <v>#VALUE!</v>
      </c>
      <c r="U521" s="47" t="e">
        <f ca="1">Q521+N521*$V$1/10000+$V$1*OFFSET(卡牌辅助配置表!$V$1,MATCH(C521,卡牌辅助配置表!U:U,0)-1,0)*5*P521/10000/10000+M521*$V$1/10000</f>
        <v>#VALUE!</v>
      </c>
      <c r="V521" s="46" t="e">
        <f ca="1">OFFSET([2]怪物强度模型!$I$1,MATCH(F521,[2]怪物强度模型!$A:$A,0)-1,0)</f>
        <v>#VALUE!</v>
      </c>
      <c r="W521" s="47">
        <f t="shared" si="134"/>
        <v>2.55</v>
      </c>
      <c r="X521" s="47">
        <f t="shared" si="135"/>
        <v>1.94</v>
      </c>
    </row>
    <row r="522" spans="1:24">
      <c r="A522" s="45">
        <f t="shared" si="125"/>
        <v>3573</v>
      </c>
      <c r="B522" s="45" t="s">
        <v>2794</v>
      </c>
      <c r="C522" s="45">
        <v>3</v>
      </c>
      <c r="D522" s="45">
        <v>573</v>
      </c>
      <c r="F522" s="46">
        <f t="shared" si="126"/>
        <v>3038</v>
      </c>
      <c r="G522" s="45">
        <f t="shared" si="132"/>
        <v>3.97999999999999</v>
      </c>
      <c r="H522" s="45">
        <v>7</v>
      </c>
      <c r="I522" s="46">
        <v>10</v>
      </c>
      <c r="J522" s="46">
        <v>20</v>
      </c>
      <c r="K522" s="46" t="e">
        <f ca="1" t="shared" si="127"/>
        <v>#VALUE!</v>
      </c>
      <c r="L522" s="46" t="e">
        <f ca="1" t="shared" si="128"/>
        <v>#VALUE!</v>
      </c>
      <c r="M522" s="46" t="e">
        <f ca="1" t="shared" si="130"/>
        <v>#VALUE!</v>
      </c>
      <c r="N522" s="46" t="e">
        <f ca="1" t="shared" si="133"/>
        <v>#VALUE!</v>
      </c>
      <c r="O522" s="46">
        <v>79</v>
      </c>
      <c r="P522" s="46">
        <f t="shared" si="129"/>
        <v>38</v>
      </c>
      <c r="Q522" s="46" t="e">
        <f ca="1" t="shared" si="136"/>
        <v>#VALUE!</v>
      </c>
      <c r="R522" s="46" t="e">
        <f ca="1">OFFSET([2]怪物强度模型!$K$1,MATCH(F522,[2]怪物强度模型!$A:$A,0)-1,0)</f>
        <v>#VALUE!</v>
      </c>
      <c r="S522" s="46" t="e">
        <f ca="1">OFFSET([2]怪物强度模型!$O$1,MATCH(F522,[2]怪物强度模型!$A:$A,0)-1,0)</f>
        <v>#VALUE!</v>
      </c>
      <c r="T522" s="47" t="e">
        <f ca="1" t="shared" si="131"/>
        <v>#VALUE!</v>
      </c>
      <c r="U522" s="47" t="e">
        <f ca="1">Q522+N522*$V$1/10000+$V$1*OFFSET(卡牌辅助配置表!$V$1,MATCH(C522,卡牌辅助配置表!U:U,0)-1,0)*5*P522/10000/10000+M522*$V$1/10000</f>
        <v>#VALUE!</v>
      </c>
      <c r="V522" s="46" t="e">
        <f ca="1">OFFSET([2]怪物强度模型!$I$1,MATCH(F522,[2]怪物强度模型!$A:$A,0)-1,0)</f>
        <v>#VALUE!</v>
      </c>
      <c r="W522" s="47">
        <f t="shared" si="134"/>
        <v>2.56</v>
      </c>
      <c r="X522" s="47">
        <f t="shared" si="135"/>
        <v>1.94</v>
      </c>
    </row>
    <row r="523" spans="1:24">
      <c r="A523" s="45">
        <f t="shared" si="125"/>
        <v>3574</v>
      </c>
      <c r="B523" s="45" t="s">
        <v>2794</v>
      </c>
      <c r="C523" s="45">
        <v>3</v>
      </c>
      <c r="D523" s="45">
        <v>574</v>
      </c>
      <c r="F523" s="46">
        <f t="shared" si="126"/>
        <v>3038</v>
      </c>
      <c r="G523" s="45">
        <f t="shared" si="132"/>
        <v>4.93</v>
      </c>
      <c r="H523" s="45">
        <v>7</v>
      </c>
      <c r="I523" s="46">
        <v>10</v>
      </c>
      <c r="J523" s="46">
        <v>20</v>
      </c>
      <c r="K523" s="46" t="e">
        <f ca="1" t="shared" si="127"/>
        <v>#VALUE!</v>
      </c>
      <c r="L523" s="46" t="e">
        <f ca="1" t="shared" si="128"/>
        <v>#VALUE!</v>
      </c>
      <c r="M523" s="46" t="e">
        <f ca="1" t="shared" si="130"/>
        <v>#VALUE!</v>
      </c>
      <c r="N523" s="46" t="e">
        <f ca="1" t="shared" si="133"/>
        <v>#VALUE!</v>
      </c>
      <c r="O523" s="46">
        <v>80</v>
      </c>
      <c r="P523" s="46">
        <f t="shared" si="129"/>
        <v>38</v>
      </c>
      <c r="Q523" s="46" t="e">
        <f ca="1" t="shared" si="136"/>
        <v>#VALUE!</v>
      </c>
      <c r="R523" s="46" t="e">
        <f ca="1">OFFSET([2]怪物强度模型!$K$1,MATCH(F523,[2]怪物强度模型!$A:$A,0)-1,0)</f>
        <v>#VALUE!</v>
      </c>
      <c r="S523" s="46" t="e">
        <f ca="1">OFFSET([2]怪物强度模型!$O$1,MATCH(F523,[2]怪物强度模型!$A:$A,0)-1,0)</f>
        <v>#VALUE!</v>
      </c>
      <c r="T523" s="47" t="e">
        <f ca="1" t="shared" si="131"/>
        <v>#VALUE!</v>
      </c>
      <c r="U523" s="47" t="e">
        <f ca="1">Q523+N523*$V$1/10000+$V$1*OFFSET(卡牌辅助配置表!$V$1,MATCH(C523,卡牌辅助配置表!U:U,0)-1,0)*5*P523/10000/10000+M523*$V$1/10000</f>
        <v>#VALUE!</v>
      </c>
      <c r="V523" s="46" t="e">
        <f ca="1">OFFSET([2]怪物强度模型!$I$1,MATCH(F523,[2]怪物强度模型!$A:$A,0)-1,0)</f>
        <v>#VALUE!</v>
      </c>
      <c r="W523" s="47">
        <f t="shared" si="134"/>
        <v>2.56</v>
      </c>
      <c r="X523" s="47">
        <f t="shared" si="135"/>
        <v>1.94</v>
      </c>
    </row>
    <row r="524" spans="1:24">
      <c r="A524" s="45">
        <f t="shared" si="125"/>
        <v>3575</v>
      </c>
      <c r="B524" s="45" t="s">
        <v>2794</v>
      </c>
      <c r="C524" s="45">
        <v>3</v>
      </c>
      <c r="D524" s="45">
        <v>575</v>
      </c>
      <c r="F524" s="46">
        <f t="shared" si="126"/>
        <v>3038</v>
      </c>
      <c r="G524" s="45">
        <f t="shared" si="132"/>
        <v>3.85999999999999</v>
      </c>
      <c r="H524" s="45">
        <v>7</v>
      </c>
      <c r="I524" s="46">
        <v>10</v>
      </c>
      <c r="J524" s="46">
        <v>20</v>
      </c>
      <c r="K524" s="46" t="e">
        <f ca="1" t="shared" si="127"/>
        <v>#VALUE!</v>
      </c>
      <c r="L524" s="46" t="e">
        <f ca="1" t="shared" si="128"/>
        <v>#VALUE!</v>
      </c>
      <c r="M524" s="46" t="e">
        <f ca="1" t="shared" si="130"/>
        <v>#VALUE!</v>
      </c>
      <c r="N524" s="46" t="e">
        <f ca="1" t="shared" si="133"/>
        <v>#VALUE!</v>
      </c>
      <c r="O524" s="46">
        <v>81</v>
      </c>
      <c r="P524" s="46">
        <f t="shared" si="129"/>
        <v>38</v>
      </c>
      <c r="Q524" s="46" t="e">
        <f ca="1" t="shared" si="136"/>
        <v>#VALUE!</v>
      </c>
      <c r="R524" s="46" t="e">
        <f ca="1">OFFSET([2]怪物强度模型!$K$1,MATCH(F524,[2]怪物强度模型!$A:$A,0)-1,0)</f>
        <v>#VALUE!</v>
      </c>
      <c r="S524" s="46" t="e">
        <f ca="1">OFFSET([2]怪物强度模型!$O$1,MATCH(F524,[2]怪物强度模型!$A:$A,0)-1,0)</f>
        <v>#VALUE!</v>
      </c>
      <c r="T524" s="47" t="e">
        <f ca="1" t="shared" si="131"/>
        <v>#VALUE!</v>
      </c>
      <c r="U524" s="47" t="e">
        <f ca="1">Q524+N524*$V$1/10000+$V$1*OFFSET(卡牌辅助配置表!$V$1,MATCH(C524,卡牌辅助配置表!U:U,0)-1,0)*5*P524/10000/10000+M524*$V$1/10000</f>
        <v>#VALUE!</v>
      </c>
      <c r="V524" s="46" t="e">
        <f ca="1">OFFSET([2]怪物强度模型!$I$1,MATCH(F524,[2]怪物强度模型!$A:$A,0)-1,0)</f>
        <v>#VALUE!</v>
      </c>
      <c r="W524" s="47">
        <f t="shared" si="134"/>
        <v>2.56</v>
      </c>
      <c r="X524" s="47">
        <f t="shared" si="135"/>
        <v>1.94</v>
      </c>
    </row>
    <row r="525" spans="1:24">
      <c r="A525" s="45">
        <f t="shared" si="125"/>
        <v>3576</v>
      </c>
      <c r="B525" s="45" t="s">
        <v>2794</v>
      </c>
      <c r="C525" s="45">
        <v>3</v>
      </c>
      <c r="D525" s="45">
        <v>576</v>
      </c>
      <c r="F525" s="46">
        <f t="shared" si="126"/>
        <v>3038</v>
      </c>
      <c r="G525" s="45">
        <f t="shared" si="132"/>
        <v>3.90999999999999</v>
      </c>
      <c r="H525" s="45">
        <v>7</v>
      </c>
      <c r="I525" s="46">
        <v>10</v>
      </c>
      <c r="J525" s="46">
        <v>20</v>
      </c>
      <c r="K525" s="46" t="e">
        <f ca="1" t="shared" si="127"/>
        <v>#VALUE!</v>
      </c>
      <c r="L525" s="46" t="e">
        <f ca="1" t="shared" si="128"/>
        <v>#VALUE!</v>
      </c>
      <c r="M525" s="46" t="e">
        <f ca="1" t="shared" si="130"/>
        <v>#VALUE!</v>
      </c>
      <c r="N525" s="46" t="e">
        <f ca="1" t="shared" si="133"/>
        <v>#VALUE!</v>
      </c>
      <c r="O525" s="46">
        <v>82</v>
      </c>
      <c r="P525" s="46">
        <f t="shared" si="129"/>
        <v>38</v>
      </c>
      <c r="Q525" s="46" t="e">
        <f ca="1" t="shared" si="136"/>
        <v>#VALUE!</v>
      </c>
      <c r="R525" s="46" t="e">
        <f ca="1">OFFSET([2]怪物强度模型!$K$1,MATCH(F525,[2]怪物强度模型!$A:$A,0)-1,0)</f>
        <v>#VALUE!</v>
      </c>
      <c r="S525" s="46" t="e">
        <f ca="1">OFFSET([2]怪物强度模型!$O$1,MATCH(F525,[2]怪物强度模型!$A:$A,0)-1,0)</f>
        <v>#VALUE!</v>
      </c>
      <c r="T525" s="47" t="e">
        <f ca="1" t="shared" si="131"/>
        <v>#VALUE!</v>
      </c>
      <c r="U525" s="47" t="e">
        <f ca="1">Q525+N525*$V$1/10000+$V$1*OFFSET(卡牌辅助配置表!$V$1,MATCH(C525,卡牌辅助配置表!U:U,0)-1,0)*5*P525/10000/10000+M525*$V$1/10000</f>
        <v>#VALUE!</v>
      </c>
      <c r="V525" s="46" t="e">
        <f ca="1">OFFSET([2]怪物强度模型!$I$1,MATCH(F525,[2]怪物强度模型!$A:$A,0)-1,0)</f>
        <v>#VALUE!</v>
      </c>
      <c r="W525" s="47">
        <f t="shared" si="134"/>
        <v>2.57</v>
      </c>
      <c r="X525" s="47">
        <f t="shared" si="135"/>
        <v>1.94</v>
      </c>
    </row>
    <row r="526" spans="1:24">
      <c r="A526" s="45">
        <f t="shared" si="125"/>
        <v>3577</v>
      </c>
      <c r="B526" s="45" t="s">
        <v>2794</v>
      </c>
      <c r="C526" s="45">
        <v>3</v>
      </c>
      <c r="D526" s="45">
        <v>577</v>
      </c>
      <c r="F526" s="46">
        <f t="shared" si="126"/>
        <v>3038</v>
      </c>
      <c r="G526" s="45">
        <f t="shared" si="132"/>
        <v>3.95999999999999</v>
      </c>
      <c r="H526" s="45">
        <v>7</v>
      </c>
      <c r="I526" s="46">
        <v>10</v>
      </c>
      <c r="J526" s="46">
        <v>20</v>
      </c>
      <c r="K526" s="46" t="e">
        <f ca="1" t="shared" si="127"/>
        <v>#VALUE!</v>
      </c>
      <c r="L526" s="46" t="e">
        <f ca="1" t="shared" si="128"/>
        <v>#VALUE!</v>
      </c>
      <c r="M526" s="46" t="e">
        <f ca="1" t="shared" si="130"/>
        <v>#VALUE!</v>
      </c>
      <c r="N526" s="46" t="e">
        <f ca="1" t="shared" si="133"/>
        <v>#VALUE!</v>
      </c>
      <c r="O526" s="46">
        <v>83</v>
      </c>
      <c r="P526" s="46">
        <f t="shared" si="129"/>
        <v>38</v>
      </c>
      <c r="Q526" s="46" t="e">
        <f ca="1" t="shared" si="136"/>
        <v>#VALUE!</v>
      </c>
      <c r="R526" s="46" t="e">
        <f ca="1">OFFSET([2]怪物强度模型!$K$1,MATCH(F526,[2]怪物强度模型!$A:$A,0)-1,0)</f>
        <v>#VALUE!</v>
      </c>
      <c r="S526" s="46" t="e">
        <f ca="1">OFFSET([2]怪物强度模型!$O$1,MATCH(F526,[2]怪物强度模型!$A:$A,0)-1,0)</f>
        <v>#VALUE!</v>
      </c>
      <c r="T526" s="47" t="e">
        <f ca="1" t="shared" si="131"/>
        <v>#VALUE!</v>
      </c>
      <c r="U526" s="47" t="e">
        <f ca="1">Q526+N526*$V$1/10000+$V$1*OFFSET(卡牌辅助配置表!$V$1,MATCH(C526,卡牌辅助配置表!U:U,0)-1,0)*5*P526/10000/10000+M526*$V$1/10000</f>
        <v>#VALUE!</v>
      </c>
      <c r="V526" s="46" t="e">
        <f ca="1">OFFSET([2]怪物强度模型!$I$1,MATCH(F526,[2]怪物强度模型!$A:$A,0)-1,0)</f>
        <v>#VALUE!</v>
      </c>
      <c r="W526" s="47">
        <f t="shared" si="134"/>
        <v>2.57</v>
      </c>
      <c r="X526" s="47">
        <f t="shared" si="135"/>
        <v>1.94</v>
      </c>
    </row>
    <row r="527" spans="1:24">
      <c r="A527" s="45">
        <f t="shared" si="125"/>
        <v>3578</v>
      </c>
      <c r="B527" s="45" t="s">
        <v>2794</v>
      </c>
      <c r="C527" s="45">
        <v>3</v>
      </c>
      <c r="D527" s="45">
        <v>578</v>
      </c>
      <c r="F527" s="46">
        <f t="shared" si="126"/>
        <v>3038</v>
      </c>
      <c r="G527" s="45">
        <f t="shared" si="132"/>
        <v>4.00999999999999</v>
      </c>
      <c r="H527" s="45">
        <v>7</v>
      </c>
      <c r="I527" s="46">
        <v>10</v>
      </c>
      <c r="J527" s="46">
        <v>20</v>
      </c>
      <c r="K527" s="46" t="e">
        <f ca="1" t="shared" si="127"/>
        <v>#VALUE!</v>
      </c>
      <c r="L527" s="46" t="e">
        <f ca="1" t="shared" si="128"/>
        <v>#VALUE!</v>
      </c>
      <c r="M527" s="46" t="e">
        <f ca="1" t="shared" si="130"/>
        <v>#VALUE!</v>
      </c>
      <c r="N527" s="46" t="e">
        <f ca="1" t="shared" si="133"/>
        <v>#VALUE!</v>
      </c>
      <c r="O527" s="46">
        <v>84</v>
      </c>
      <c r="P527" s="46">
        <f t="shared" si="129"/>
        <v>38</v>
      </c>
      <c r="Q527" s="46" t="e">
        <f ca="1" t="shared" si="136"/>
        <v>#VALUE!</v>
      </c>
      <c r="R527" s="46" t="e">
        <f ca="1">OFFSET([2]怪物强度模型!$K$1,MATCH(F527,[2]怪物强度模型!$A:$A,0)-1,0)</f>
        <v>#VALUE!</v>
      </c>
      <c r="S527" s="46" t="e">
        <f ca="1">OFFSET([2]怪物强度模型!$O$1,MATCH(F527,[2]怪物强度模型!$A:$A,0)-1,0)</f>
        <v>#VALUE!</v>
      </c>
      <c r="T527" s="47" t="e">
        <f ca="1" t="shared" si="131"/>
        <v>#VALUE!</v>
      </c>
      <c r="U527" s="47" t="e">
        <f ca="1">Q527+N527*$V$1/10000+$V$1*OFFSET(卡牌辅助配置表!$V$1,MATCH(C527,卡牌辅助配置表!U:U,0)-1,0)*5*P527/10000/10000+M527*$V$1/10000</f>
        <v>#VALUE!</v>
      </c>
      <c r="V527" s="46" t="e">
        <f ca="1">OFFSET([2]怪物强度模型!$I$1,MATCH(F527,[2]怪物强度模型!$A:$A,0)-1,0)</f>
        <v>#VALUE!</v>
      </c>
      <c r="W527" s="47">
        <f t="shared" si="134"/>
        <v>2.57</v>
      </c>
      <c r="X527" s="47">
        <f t="shared" si="135"/>
        <v>1.94</v>
      </c>
    </row>
    <row r="528" spans="1:24">
      <c r="A528" s="45">
        <f t="shared" si="125"/>
        <v>3579</v>
      </c>
      <c r="B528" s="45" t="s">
        <v>2794</v>
      </c>
      <c r="C528" s="45">
        <v>3</v>
      </c>
      <c r="D528" s="45">
        <v>579</v>
      </c>
      <c r="F528" s="46">
        <f t="shared" si="126"/>
        <v>3038</v>
      </c>
      <c r="G528" s="45">
        <f>G518+0.1</f>
        <v>5</v>
      </c>
      <c r="H528" s="45">
        <v>7</v>
      </c>
      <c r="I528" s="46">
        <v>10</v>
      </c>
      <c r="J528" s="46">
        <v>20</v>
      </c>
      <c r="K528" s="46" t="e">
        <f ca="1" t="shared" si="127"/>
        <v>#VALUE!</v>
      </c>
      <c r="L528" s="46" t="e">
        <f ca="1" t="shared" si="128"/>
        <v>#VALUE!</v>
      </c>
      <c r="M528" s="46" t="e">
        <f ca="1" t="shared" si="130"/>
        <v>#VALUE!</v>
      </c>
      <c r="N528" s="46" t="e">
        <f ca="1" t="shared" si="133"/>
        <v>#VALUE!</v>
      </c>
      <c r="O528" s="46">
        <v>85</v>
      </c>
      <c r="P528" s="46">
        <f t="shared" si="129"/>
        <v>38</v>
      </c>
      <c r="Q528" s="46" t="e">
        <f ca="1" t="shared" si="136"/>
        <v>#VALUE!</v>
      </c>
      <c r="R528" s="46" t="e">
        <f ca="1">OFFSET([2]怪物强度模型!$K$1,MATCH(F528,[2]怪物强度模型!$A:$A,0)-1,0)</f>
        <v>#VALUE!</v>
      </c>
      <c r="S528" s="46" t="e">
        <f ca="1">OFFSET([2]怪物强度模型!$O$1,MATCH(F528,[2]怪物强度模型!$A:$A,0)-1,0)</f>
        <v>#VALUE!</v>
      </c>
      <c r="T528" s="47" t="e">
        <f ca="1" t="shared" si="131"/>
        <v>#VALUE!</v>
      </c>
      <c r="U528" s="47" t="e">
        <f ca="1">Q528+N528*$V$1/10000+$V$1*OFFSET(卡牌辅助配置表!$V$1,MATCH(C528,卡牌辅助配置表!U:U,0)-1,0)*5*P528/10000/10000+M528*$V$1/10000</f>
        <v>#VALUE!</v>
      </c>
      <c r="V528" s="46" t="e">
        <f ca="1">OFFSET([2]怪物强度模型!$I$1,MATCH(F528,[2]怪物强度模型!$A:$A,0)-1,0)</f>
        <v>#VALUE!</v>
      </c>
      <c r="W528" s="47">
        <f t="shared" si="134"/>
        <v>2.7</v>
      </c>
      <c r="X528" s="47">
        <f t="shared" si="135"/>
        <v>1.94</v>
      </c>
    </row>
    <row r="529" spans="1:24">
      <c r="A529" s="45">
        <f t="shared" si="125"/>
        <v>3580</v>
      </c>
      <c r="B529" s="45" t="s">
        <v>2794</v>
      </c>
      <c r="C529" s="45">
        <v>3</v>
      </c>
      <c r="D529" s="45">
        <v>580</v>
      </c>
      <c r="F529" s="46">
        <f t="shared" si="126"/>
        <v>3039</v>
      </c>
      <c r="G529" s="45">
        <f t="shared" si="132"/>
        <v>3.88999999999999</v>
      </c>
      <c r="H529" s="45">
        <v>7</v>
      </c>
      <c r="I529" s="46">
        <v>10</v>
      </c>
      <c r="J529" s="46">
        <v>20</v>
      </c>
      <c r="K529" s="46" t="e">
        <f ca="1" t="shared" si="127"/>
        <v>#VALUE!</v>
      </c>
      <c r="L529" s="46" t="e">
        <f ca="1" t="shared" si="128"/>
        <v>#VALUE!</v>
      </c>
      <c r="M529" s="46" t="e">
        <f ca="1" t="shared" si="130"/>
        <v>#VALUE!</v>
      </c>
      <c r="N529" s="46" t="e">
        <f ca="1" t="shared" si="133"/>
        <v>#VALUE!</v>
      </c>
      <c r="O529" s="46">
        <v>86</v>
      </c>
      <c r="P529" s="46">
        <f t="shared" si="129"/>
        <v>39</v>
      </c>
      <c r="Q529" s="46" t="e">
        <f ca="1" t="shared" si="136"/>
        <v>#VALUE!</v>
      </c>
      <c r="R529" s="46" t="e">
        <f ca="1">OFFSET([2]怪物强度模型!$K$1,MATCH(F529,[2]怪物强度模型!$A:$A,0)-1,0)</f>
        <v>#VALUE!</v>
      </c>
      <c r="S529" s="46" t="e">
        <f ca="1">OFFSET([2]怪物强度模型!$O$1,MATCH(F529,[2]怪物强度模型!$A:$A,0)-1,0)</f>
        <v>#VALUE!</v>
      </c>
      <c r="T529" s="47" t="e">
        <f ca="1" t="shared" si="131"/>
        <v>#VALUE!</v>
      </c>
      <c r="U529" s="47" t="e">
        <f ca="1">Q529+N529*$V$1/10000+$V$1*OFFSET(卡牌辅助配置表!$V$1,MATCH(C529,卡牌辅助配置表!U:U,0)-1,0)*5*P529/10000/10000+M529*$V$1/10000</f>
        <v>#VALUE!</v>
      </c>
      <c r="V529" s="46" t="e">
        <f ca="1">OFFSET([2]怪物强度模型!$I$1,MATCH(F529,[2]怪物强度模型!$A:$A,0)-1,0)</f>
        <v>#VALUE!</v>
      </c>
      <c r="W529" s="47">
        <f t="shared" si="134"/>
        <v>2.6</v>
      </c>
      <c r="X529" s="47">
        <f t="shared" si="135"/>
        <v>1.96</v>
      </c>
    </row>
    <row r="530" spans="1:24">
      <c r="A530" s="45">
        <f t="shared" si="125"/>
        <v>3581</v>
      </c>
      <c r="B530" s="45" t="s">
        <v>2794</v>
      </c>
      <c r="C530" s="45">
        <v>3</v>
      </c>
      <c r="D530" s="45">
        <v>581</v>
      </c>
      <c r="F530" s="46">
        <f t="shared" si="126"/>
        <v>3039</v>
      </c>
      <c r="G530" s="45">
        <f t="shared" si="132"/>
        <v>3.93999999999999</v>
      </c>
      <c r="H530" s="45">
        <v>7</v>
      </c>
      <c r="I530" s="46">
        <v>10</v>
      </c>
      <c r="J530" s="46">
        <v>20</v>
      </c>
      <c r="K530" s="46" t="e">
        <f ca="1" t="shared" si="127"/>
        <v>#VALUE!</v>
      </c>
      <c r="L530" s="46" t="e">
        <f ca="1" t="shared" si="128"/>
        <v>#VALUE!</v>
      </c>
      <c r="M530" s="46" t="e">
        <f ca="1" t="shared" si="130"/>
        <v>#VALUE!</v>
      </c>
      <c r="N530" s="46" t="e">
        <f ca="1" t="shared" si="133"/>
        <v>#VALUE!</v>
      </c>
      <c r="O530" s="46">
        <v>87</v>
      </c>
      <c r="P530" s="46">
        <f t="shared" si="129"/>
        <v>39</v>
      </c>
      <c r="Q530" s="46" t="e">
        <f ca="1" t="shared" si="136"/>
        <v>#VALUE!</v>
      </c>
      <c r="R530" s="46" t="e">
        <f ca="1">OFFSET([2]怪物强度模型!$K$1,MATCH(F530,[2]怪物强度模型!$A:$A,0)-1,0)</f>
        <v>#VALUE!</v>
      </c>
      <c r="S530" s="46" t="e">
        <f ca="1">OFFSET([2]怪物强度模型!$O$1,MATCH(F530,[2]怪物强度模型!$A:$A,0)-1,0)</f>
        <v>#VALUE!</v>
      </c>
      <c r="T530" s="47" t="e">
        <f ca="1" t="shared" si="131"/>
        <v>#VALUE!</v>
      </c>
      <c r="U530" s="47" t="e">
        <f ca="1">Q530+N530*$V$1/10000+$V$1*OFFSET(卡牌辅助配置表!$V$1,MATCH(C530,卡牌辅助配置表!U:U,0)-1,0)*5*P530/10000/10000+M530*$V$1/10000</f>
        <v>#VALUE!</v>
      </c>
      <c r="V530" s="46" t="e">
        <f ca="1">OFFSET([2]怪物强度模型!$I$1,MATCH(F530,[2]怪物强度模型!$A:$A,0)-1,0)</f>
        <v>#VALUE!</v>
      </c>
      <c r="W530" s="47">
        <f t="shared" si="134"/>
        <v>2.6</v>
      </c>
      <c r="X530" s="47">
        <f t="shared" si="135"/>
        <v>1.96</v>
      </c>
    </row>
    <row r="531" spans="1:24">
      <c r="A531" s="45">
        <f t="shared" si="125"/>
        <v>3582</v>
      </c>
      <c r="B531" s="45" t="s">
        <v>2794</v>
      </c>
      <c r="C531" s="45">
        <v>3</v>
      </c>
      <c r="D531" s="45">
        <v>582</v>
      </c>
      <c r="F531" s="46">
        <f t="shared" si="126"/>
        <v>3039</v>
      </c>
      <c r="G531" s="45">
        <f t="shared" si="132"/>
        <v>3.98999999999999</v>
      </c>
      <c r="H531" s="45">
        <v>7</v>
      </c>
      <c r="I531" s="46">
        <v>10</v>
      </c>
      <c r="J531" s="46">
        <v>20</v>
      </c>
      <c r="K531" s="46" t="e">
        <f ca="1" t="shared" si="127"/>
        <v>#VALUE!</v>
      </c>
      <c r="L531" s="46" t="e">
        <f ca="1" t="shared" si="128"/>
        <v>#VALUE!</v>
      </c>
      <c r="M531" s="46" t="e">
        <f ca="1" t="shared" si="130"/>
        <v>#VALUE!</v>
      </c>
      <c r="N531" s="46" t="e">
        <f ca="1" t="shared" si="133"/>
        <v>#VALUE!</v>
      </c>
      <c r="O531" s="46">
        <v>88</v>
      </c>
      <c r="P531" s="46">
        <f t="shared" si="129"/>
        <v>39</v>
      </c>
      <c r="Q531" s="46" t="e">
        <f ca="1" t="shared" si="136"/>
        <v>#VALUE!</v>
      </c>
      <c r="R531" s="46" t="e">
        <f ca="1">OFFSET([2]怪物强度模型!$K$1,MATCH(F531,[2]怪物强度模型!$A:$A,0)-1,0)</f>
        <v>#VALUE!</v>
      </c>
      <c r="S531" s="46" t="e">
        <f ca="1">OFFSET([2]怪物强度模型!$O$1,MATCH(F531,[2]怪物强度模型!$A:$A,0)-1,0)</f>
        <v>#VALUE!</v>
      </c>
      <c r="T531" s="47" t="e">
        <f ca="1" t="shared" si="131"/>
        <v>#VALUE!</v>
      </c>
      <c r="U531" s="47" t="e">
        <f ca="1">Q531+N531*$V$1/10000+$V$1*OFFSET(卡牌辅助配置表!$V$1,MATCH(C531,卡牌辅助配置表!U:U,0)-1,0)*5*P531/10000/10000+M531*$V$1/10000</f>
        <v>#VALUE!</v>
      </c>
      <c r="V531" s="46" t="e">
        <f ca="1">OFFSET([2]怪物强度模型!$I$1,MATCH(F531,[2]怪物强度模型!$A:$A,0)-1,0)</f>
        <v>#VALUE!</v>
      </c>
      <c r="W531" s="47">
        <f t="shared" si="134"/>
        <v>2.6</v>
      </c>
      <c r="X531" s="47">
        <f t="shared" si="135"/>
        <v>1.96</v>
      </c>
    </row>
    <row r="532" spans="1:24">
      <c r="A532" s="45">
        <f t="shared" si="125"/>
        <v>3583</v>
      </c>
      <c r="B532" s="45" t="s">
        <v>2794</v>
      </c>
      <c r="C532" s="45">
        <v>3</v>
      </c>
      <c r="D532" s="45">
        <v>583</v>
      </c>
      <c r="F532" s="46">
        <f t="shared" si="126"/>
        <v>3039</v>
      </c>
      <c r="G532" s="45">
        <f t="shared" si="132"/>
        <v>4.03999999999999</v>
      </c>
      <c r="H532" s="45">
        <v>7</v>
      </c>
      <c r="I532" s="46">
        <v>10</v>
      </c>
      <c r="J532" s="46">
        <v>20</v>
      </c>
      <c r="K532" s="46" t="e">
        <f ca="1" t="shared" si="127"/>
        <v>#VALUE!</v>
      </c>
      <c r="L532" s="46" t="e">
        <f ca="1" t="shared" si="128"/>
        <v>#VALUE!</v>
      </c>
      <c r="M532" s="46" t="e">
        <f ca="1" t="shared" si="130"/>
        <v>#VALUE!</v>
      </c>
      <c r="N532" s="46" t="e">
        <f ca="1" t="shared" si="133"/>
        <v>#VALUE!</v>
      </c>
      <c r="O532" s="46">
        <v>89</v>
      </c>
      <c r="P532" s="46">
        <f t="shared" si="129"/>
        <v>39</v>
      </c>
      <c r="Q532" s="46" t="e">
        <f ca="1" t="shared" si="136"/>
        <v>#VALUE!</v>
      </c>
      <c r="R532" s="46" t="e">
        <f ca="1">OFFSET([2]怪物强度模型!$K$1,MATCH(F532,[2]怪物强度模型!$A:$A,0)-1,0)</f>
        <v>#VALUE!</v>
      </c>
      <c r="S532" s="46" t="e">
        <f ca="1">OFFSET([2]怪物强度模型!$O$1,MATCH(F532,[2]怪物强度模型!$A:$A,0)-1,0)</f>
        <v>#VALUE!</v>
      </c>
      <c r="T532" s="47" t="e">
        <f ca="1" t="shared" si="131"/>
        <v>#VALUE!</v>
      </c>
      <c r="U532" s="47" t="e">
        <f ca="1">Q532+N532*$V$1/10000+$V$1*OFFSET(卡牌辅助配置表!$V$1,MATCH(C532,卡牌辅助配置表!U:U,0)-1,0)*5*P532/10000/10000+M532*$V$1/10000</f>
        <v>#VALUE!</v>
      </c>
      <c r="V532" s="46" t="e">
        <f ca="1">OFFSET([2]怪物强度模型!$I$1,MATCH(F532,[2]怪物强度模型!$A:$A,0)-1,0)</f>
        <v>#VALUE!</v>
      </c>
      <c r="W532" s="47">
        <f t="shared" si="134"/>
        <v>2.61</v>
      </c>
      <c r="X532" s="47">
        <f t="shared" si="135"/>
        <v>1.96</v>
      </c>
    </row>
    <row r="533" spans="1:24">
      <c r="A533" s="45">
        <f t="shared" si="125"/>
        <v>3584</v>
      </c>
      <c r="B533" s="45" t="s">
        <v>2794</v>
      </c>
      <c r="C533" s="45">
        <v>3</v>
      </c>
      <c r="D533" s="45">
        <v>584</v>
      </c>
      <c r="F533" s="46">
        <f t="shared" si="126"/>
        <v>3039</v>
      </c>
      <c r="G533" s="45">
        <f t="shared" si="132"/>
        <v>5.03</v>
      </c>
      <c r="H533" s="45">
        <v>7</v>
      </c>
      <c r="I533" s="46">
        <v>10</v>
      </c>
      <c r="J533" s="46">
        <v>20</v>
      </c>
      <c r="K533" s="46" t="e">
        <f ca="1" t="shared" si="127"/>
        <v>#VALUE!</v>
      </c>
      <c r="L533" s="46" t="e">
        <f ca="1" t="shared" si="128"/>
        <v>#VALUE!</v>
      </c>
      <c r="M533" s="46" t="e">
        <f ca="1" t="shared" si="130"/>
        <v>#VALUE!</v>
      </c>
      <c r="N533" s="46" t="e">
        <f ca="1" t="shared" si="133"/>
        <v>#VALUE!</v>
      </c>
      <c r="O533" s="46">
        <v>90</v>
      </c>
      <c r="P533" s="46">
        <f t="shared" si="129"/>
        <v>39</v>
      </c>
      <c r="Q533" s="46" t="e">
        <f ca="1" t="shared" si="136"/>
        <v>#VALUE!</v>
      </c>
      <c r="R533" s="46" t="e">
        <f ca="1">OFFSET([2]怪物强度模型!$K$1,MATCH(F533,[2]怪物强度模型!$A:$A,0)-1,0)</f>
        <v>#VALUE!</v>
      </c>
      <c r="S533" s="46" t="e">
        <f ca="1">OFFSET([2]怪物强度模型!$O$1,MATCH(F533,[2]怪物强度模型!$A:$A,0)-1,0)</f>
        <v>#VALUE!</v>
      </c>
      <c r="T533" s="47" t="e">
        <f ca="1" t="shared" si="131"/>
        <v>#VALUE!</v>
      </c>
      <c r="U533" s="47" t="e">
        <f ca="1">Q533+N533*$V$1/10000+$V$1*OFFSET(卡牌辅助配置表!$V$1,MATCH(C533,卡牌辅助配置表!U:U,0)-1,0)*5*P533/10000/10000+M533*$V$1/10000</f>
        <v>#VALUE!</v>
      </c>
      <c r="V533" s="46" t="e">
        <f ca="1">OFFSET([2]怪物强度模型!$I$1,MATCH(F533,[2]怪物强度模型!$A:$A,0)-1,0)</f>
        <v>#VALUE!</v>
      </c>
      <c r="W533" s="47">
        <f t="shared" si="134"/>
        <v>2.61</v>
      </c>
      <c r="X533" s="47">
        <f t="shared" si="135"/>
        <v>1.96</v>
      </c>
    </row>
    <row r="534" spans="1:24">
      <c r="A534" s="45">
        <f t="shared" si="125"/>
        <v>3585</v>
      </c>
      <c r="B534" s="45" t="s">
        <v>2794</v>
      </c>
      <c r="C534" s="45">
        <v>3</v>
      </c>
      <c r="D534" s="45">
        <v>585</v>
      </c>
      <c r="F534" s="46">
        <f t="shared" si="126"/>
        <v>3039</v>
      </c>
      <c r="G534" s="45">
        <f t="shared" si="132"/>
        <v>3.91999999999999</v>
      </c>
      <c r="H534" s="45">
        <v>7</v>
      </c>
      <c r="I534" s="46">
        <v>10</v>
      </c>
      <c r="J534" s="46">
        <v>20</v>
      </c>
      <c r="K534" s="46" t="e">
        <f ca="1" t="shared" si="127"/>
        <v>#VALUE!</v>
      </c>
      <c r="L534" s="46" t="e">
        <f ca="1" t="shared" si="128"/>
        <v>#VALUE!</v>
      </c>
      <c r="M534" s="46" t="e">
        <f ca="1" t="shared" si="130"/>
        <v>#VALUE!</v>
      </c>
      <c r="N534" s="46" t="e">
        <f ca="1" t="shared" si="133"/>
        <v>#VALUE!</v>
      </c>
      <c r="O534" s="46">
        <v>91</v>
      </c>
      <c r="P534" s="46">
        <f t="shared" si="129"/>
        <v>39</v>
      </c>
      <c r="Q534" s="46" t="e">
        <f ca="1" t="shared" si="136"/>
        <v>#VALUE!</v>
      </c>
      <c r="R534" s="46" t="e">
        <f ca="1">OFFSET([2]怪物强度模型!$K$1,MATCH(F534,[2]怪物强度模型!$A:$A,0)-1,0)</f>
        <v>#VALUE!</v>
      </c>
      <c r="S534" s="46" t="e">
        <f ca="1">OFFSET([2]怪物强度模型!$O$1,MATCH(F534,[2]怪物强度模型!$A:$A,0)-1,0)</f>
        <v>#VALUE!</v>
      </c>
      <c r="T534" s="47" t="e">
        <f ca="1" t="shared" si="131"/>
        <v>#VALUE!</v>
      </c>
      <c r="U534" s="47" t="e">
        <f ca="1">Q534+N534*$V$1/10000+$V$1*OFFSET(卡牌辅助配置表!$V$1,MATCH(C534,卡牌辅助配置表!U:U,0)-1,0)*5*P534/10000/10000+M534*$V$1/10000</f>
        <v>#VALUE!</v>
      </c>
      <c r="V534" s="46" t="e">
        <f ca="1">OFFSET([2]怪物强度模型!$I$1,MATCH(F534,[2]怪物强度模型!$A:$A,0)-1,0)</f>
        <v>#VALUE!</v>
      </c>
      <c r="W534" s="47">
        <f t="shared" si="134"/>
        <v>2.61</v>
      </c>
      <c r="X534" s="47">
        <f t="shared" si="135"/>
        <v>1.96</v>
      </c>
    </row>
    <row r="535" spans="1:24">
      <c r="A535" s="45">
        <f t="shared" si="125"/>
        <v>3586</v>
      </c>
      <c r="B535" s="45" t="s">
        <v>2794</v>
      </c>
      <c r="C535" s="45">
        <v>3</v>
      </c>
      <c r="D535" s="45">
        <v>586</v>
      </c>
      <c r="F535" s="46">
        <f t="shared" si="126"/>
        <v>3039</v>
      </c>
      <c r="G535" s="45">
        <f t="shared" si="132"/>
        <v>3.96999999999999</v>
      </c>
      <c r="H535" s="45">
        <v>7</v>
      </c>
      <c r="I535" s="46">
        <v>10</v>
      </c>
      <c r="J535" s="46">
        <v>20</v>
      </c>
      <c r="K535" s="46" t="e">
        <f ca="1" t="shared" si="127"/>
        <v>#VALUE!</v>
      </c>
      <c r="L535" s="46" t="e">
        <f ca="1" t="shared" si="128"/>
        <v>#VALUE!</v>
      </c>
      <c r="M535" s="46" t="e">
        <f ca="1" t="shared" si="130"/>
        <v>#VALUE!</v>
      </c>
      <c r="N535" s="46" t="e">
        <f ca="1" t="shared" si="133"/>
        <v>#VALUE!</v>
      </c>
      <c r="O535" s="46">
        <v>92</v>
      </c>
      <c r="P535" s="46">
        <f t="shared" si="129"/>
        <v>39</v>
      </c>
      <c r="Q535" s="46" t="e">
        <f ca="1" t="shared" si="136"/>
        <v>#VALUE!</v>
      </c>
      <c r="R535" s="46" t="e">
        <f ca="1">OFFSET([2]怪物强度模型!$K$1,MATCH(F535,[2]怪物强度模型!$A:$A,0)-1,0)</f>
        <v>#VALUE!</v>
      </c>
      <c r="S535" s="46" t="e">
        <f ca="1">OFFSET([2]怪物强度模型!$O$1,MATCH(F535,[2]怪物强度模型!$A:$A,0)-1,0)</f>
        <v>#VALUE!</v>
      </c>
      <c r="T535" s="47" t="e">
        <f ca="1" t="shared" si="131"/>
        <v>#VALUE!</v>
      </c>
      <c r="U535" s="47" t="e">
        <f ca="1">Q535+N535*$V$1/10000+$V$1*OFFSET(卡牌辅助配置表!$V$1,MATCH(C535,卡牌辅助配置表!U:U,0)-1,0)*5*P535/10000/10000+M535*$V$1/10000</f>
        <v>#VALUE!</v>
      </c>
      <c r="V535" s="46" t="e">
        <f ca="1">OFFSET([2]怪物强度模型!$I$1,MATCH(F535,[2]怪物强度模型!$A:$A,0)-1,0)</f>
        <v>#VALUE!</v>
      </c>
      <c r="W535" s="47">
        <f t="shared" si="134"/>
        <v>2.62</v>
      </c>
      <c r="X535" s="47">
        <f t="shared" si="135"/>
        <v>1.96</v>
      </c>
    </row>
    <row r="536" spans="1:24">
      <c r="A536" s="45">
        <f t="shared" si="125"/>
        <v>3587</v>
      </c>
      <c r="B536" s="45" t="s">
        <v>2794</v>
      </c>
      <c r="C536" s="45">
        <v>3</v>
      </c>
      <c r="D536" s="45">
        <v>587</v>
      </c>
      <c r="F536" s="46">
        <f t="shared" si="126"/>
        <v>3039</v>
      </c>
      <c r="G536" s="45">
        <f t="shared" si="132"/>
        <v>4.01999999999999</v>
      </c>
      <c r="H536" s="45">
        <v>7</v>
      </c>
      <c r="I536" s="46">
        <v>10</v>
      </c>
      <c r="J536" s="46">
        <v>20</v>
      </c>
      <c r="K536" s="46" t="e">
        <f ca="1" t="shared" si="127"/>
        <v>#VALUE!</v>
      </c>
      <c r="L536" s="46" t="e">
        <f ca="1" t="shared" si="128"/>
        <v>#VALUE!</v>
      </c>
      <c r="M536" s="46" t="e">
        <f ca="1" t="shared" si="130"/>
        <v>#VALUE!</v>
      </c>
      <c r="N536" s="46" t="e">
        <f ca="1" t="shared" si="133"/>
        <v>#VALUE!</v>
      </c>
      <c r="O536" s="46">
        <v>93</v>
      </c>
      <c r="P536" s="46">
        <f t="shared" si="129"/>
        <v>39</v>
      </c>
      <c r="Q536" s="46" t="e">
        <f ca="1" t="shared" si="136"/>
        <v>#VALUE!</v>
      </c>
      <c r="R536" s="46" t="e">
        <f ca="1">OFFSET([2]怪物强度模型!$K$1,MATCH(F536,[2]怪物强度模型!$A:$A,0)-1,0)</f>
        <v>#VALUE!</v>
      </c>
      <c r="S536" s="46" t="e">
        <f ca="1">OFFSET([2]怪物强度模型!$O$1,MATCH(F536,[2]怪物强度模型!$A:$A,0)-1,0)</f>
        <v>#VALUE!</v>
      </c>
      <c r="T536" s="47" t="e">
        <f ca="1" t="shared" si="131"/>
        <v>#VALUE!</v>
      </c>
      <c r="U536" s="47" t="e">
        <f ca="1">Q536+N536*$V$1/10000+$V$1*OFFSET(卡牌辅助配置表!$V$1,MATCH(C536,卡牌辅助配置表!U:U,0)-1,0)*5*P536/10000/10000+M536*$V$1/10000</f>
        <v>#VALUE!</v>
      </c>
      <c r="V536" s="46" t="e">
        <f ca="1">OFFSET([2]怪物强度模型!$I$1,MATCH(F536,[2]怪物强度模型!$A:$A,0)-1,0)</f>
        <v>#VALUE!</v>
      </c>
      <c r="W536" s="47">
        <f t="shared" si="134"/>
        <v>2.62</v>
      </c>
      <c r="X536" s="47">
        <f t="shared" si="135"/>
        <v>1.96</v>
      </c>
    </row>
    <row r="537" spans="1:24">
      <c r="A537" s="45">
        <f t="shared" ref="A537:A548" si="137">C537*1000+D537</f>
        <v>3588</v>
      </c>
      <c r="B537" s="45" t="s">
        <v>2794</v>
      </c>
      <c r="C537" s="45">
        <v>3</v>
      </c>
      <c r="D537" s="45">
        <v>588</v>
      </c>
      <c r="F537" s="46">
        <f t="shared" ref="F537:F548" si="138">C537*1000+P537</f>
        <v>3039</v>
      </c>
      <c r="G537" s="45">
        <f t="shared" si="132"/>
        <v>4.06999999999999</v>
      </c>
      <c r="H537" s="45">
        <v>7</v>
      </c>
      <c r="I537" s="46">
        <v>10</v>
      </c>
      <c r="J537" s="46">
        <v>20</v>
      </c>
      <c r="K537" s="46" t="e">
        <f ca="1" t="shared" ref="K537:K548" si="139">ROUND(Q537*0.95,0)</f>
        <v>#VALUE!</v>
      </c>
      <c r="L537" s="46" t="e">
        <f ca="1" t="shared" ref="L537:L548" si="140">ROUND(Q537*1.05,0)</f>
        <v>#VALUE!</v>
      </c>
      <c r="M537" s="46" t="e">
        <f ca="1" t="shared" si="130"/>
        <v>#VALUE!</v>
      </c>
      <c r="N537" s="46" t="e">
        <f ca="1" t="shared" si="133"/>
        <v>#VALUE!</v>
      </c>
      <c r="O537" s="46">
        <v>94</v>
      </c>
      <c r="P537" s="46">
        <f t="shared" si="129"/>
        <v>39</v>
      </c>
      <c r="Q537" s="46" t="e">
        <f ca="1" t="shared" si="136"/>
        <v>#VALUE!</v>
      </c>
      <c r="R537" s="46" t="e">
        <f ca="1">OFFSET([2]怪物强度模型!$K$1,MATCH(F537,[2]怪物强度模型!$A:$A,0)-1,0)</f>
        <v>#VALUE!</v>
      </c>
      <c r="S537" s="46" t="e">
        <f ca="1">OFFSET([2]怪物强度模型!$O$1,MATCH(F537,[2]怪物强度模型!$A:$A,0)-1,0)</f>
        <v>#VALUE!</v>
      </c>
      <c r="T537" s="47" t="e">
        <f ca="1" t="shared" si="131"/>
        <v>#VALUE!</v>
      </c>
      <c r="U537" s="47" t="e">
        <f ca="1">Q537+N537*$V$1/10000+$V$1*OFFSET(卡牌辅助配置表!$V$1,MATCH(C537,卡牌辅助配置表!U:U,0)-1,0)*5*P537/10000/10000+M537*$V$1/10000</f>
        <v>#VALUE!</v>
      </c>
      <c r="V537" s="46" t="e">
        <f ca="1">OFFSET([2]怪物强度模型!$I$1,MATCH(F537,[2]怪物强度模型!$A:$A,0)-1,0)</f>
        <v>#VALUE!</v>
      </c>
      <c r="W537" s="47">
        <f t="shared" si="134"/>
        <v>2.62</v>
      </c>
      <c r="X537" s="47">
        <f t="shared" si="135"/>
        <v>1.96</v>
      </c>
    </row>
    <row r="538" spans="1:24">
      <c r="A538" s="45">
        <f t="shared" si="137"/>
        <v>3589</v>
      </c>
      <c r="B538" s="45" t="s">
        <v>2794</v>
      </c>
      <c r="C538" s="45">
        <v>3</v>
      </c>
      <c r="D538" s="45">
        <v>589</v>
      </c>
      <c r="F538" s="46">
        <f t="shared" si="138"/>
        <v>3039</v>
      </c>
      <c r="G538" s="45">
        <f>G528+0.1</f>
        <v>5.1</v>
      </c>
      <c r="H538" s="45">
        <v>7</v>
      </c>
      <c r="I538" s="46">
        <v>10</v>
      </c>
      <c r="J538" s="46">
        <v>20</v>
      </c>
      <c r="K538" s="46" t="e">
        <f ca="1" t="shared" si="139"/>
        <v>#VALUE!</v>
      </c>
      <c r="L538" s="46" t="e">
        <f ca="1" t="shared" si="140"/>
        <v>#VALUE!</v>
      </c>
      <c r="M538" s="46" t="e">
        <f ca="1" t="shared" si="130"/>
        <v>#VALUE!</v>
      </c>
      <c r="N538" s="46" t="e">
        <f ca="1" t="shared" si="133"/>
        <v>#VALUE!</v>
      </c>
      <c r="O538" s="46">
        <v>95</v>
      </c>
      <c r="P538" s="46">
        <f t="shared" si="129"/>
        <v>39</v>
      </c>
      <c r="Q538" s="46" t="e">
        <f ca="1" t="shared" si="136"/>
        <v>#VALUE!</v>
      </c>
      <c r="R538" s="46" t="e">
        <f ca="1">OFFSET([2]怪物强度模型!$K$1,MATCH(F538,[2]怪物强度模型!$A:$A,0)-1,0)</f>
        <v>#VALUE!</v>
      </c>
      <c r="S538" s="46" t="e">
        <f ca="1">OFFSET([2]怪物强度模型!$O$1,MATCH(F538,[2]怪物强度模型!$A:$A,0)-1,0)</f>
        <v>#VALUE!</v>
      </c>
      <c r="T538" s="47" t="e">
        <f ca="1" t="shared" si="131"/>
        <v>#VALUE!</v>
      </c>
      <c r="U538" s="47" t="e">
        <f ca="1">Q538+N538*$V$1/10000+$V$1*OFFSET(卡牌辅助配置表!$V$1,MATCH(C538,卡牌辅助配置表!U:U,0)-1,0)*5*P538/10000/10000+M538*$V$1/10000</f>
        <v>#VALUE!</v>
      </c>
      <c r="V538" s="46" t="e">
        <f ca="1">OFFSET([2]怪物强度模型!$I$1,MATCH(F538,[2]怪物强度模型!$A:$A,0)-1,0)</f>
        <v>#VALUE!</v>
      </c>
      <c r="W538" s="47">
        <f t="shared" si="134"/>
        <v>2.75</v>
      </c>
      <c r="X538" s="47">
        <f t="shared" si="135"/>
        <v>1.96</v>
      </c>
    </row>
    <row r="539" spans="1:24">
      <c r="A539" s="45">
        <f t="shared" si="137"/>
        <v>3590</v>
      </c>
      <c r="B539" s="45" t="s">
        <v>2794</v>
      </c>
      <c r="C539" s="45">
        <v>3</v>
      </c>
      <c r="D539" s="45">
        <v>590</v>
      </c>
      <c r="F539" s="46">
        <f t="shared" si="138"/>
        <v>3040</v>
      </c>
      <c r="G539" s="45">
        <f t="shared" si="132"/>
        <v>3.94999999999999</v>
      </c>
      <c r="H539" s="45">
        <v>7</v>
      </c>
      <c r="I539" s="46">
        <v>10</v>
      </c>
      <c r="J539" s="46">
        <v>20</v>
      </c>
      <c r="K539" s="46" t="e">
        <f ca="1" t="shared" si="139"/>
        <v>#VALUE!</v>
      </c>
      <c r="L539" s="46" t="e">
        <f ca="1" t="shared" si="140"/>
        <v>#VALUE!</v>
      </c>
      <c r="M539" s="46" t="e">
        <f ca="1" t="shared" si="130"/>
        <v>#VALUE!</v>
      </c>
      <c r="N539" s="46" t="e">
        <f ca="1" t="shared" si="133"/>
        <v>#VALUE!</v>
      </c>
      <c r="O539" s="46">
        <v>96</v>
      </c>
      <c r="P539" s="46">
        <f t="shared" si="129"/>
        <v>40</v>
      </c>
      <c r="Q539" s="46" t="e">
        <f ca="1" t="shared" si="136"/>
        <v>#VALUE!</v>
      </c>
      <c r="R539" s="46" t="e">
        <f ca="1">OFFSET([2]怪物强度模型!$K$1,MATCH(F539,[2]怪物强度模型!$A:$A,0)-1,0)</f>
        <v>#VALUE!</v>
      </c>
      <c r="S539" s="46" t="e">
        <f ca="1">OFFSET([2]怪物强度模型!$O$1,MATCH(F539,[2]怪物强度模型!$A:$A,0)-1,0)</f>
        <v>#VALUE!</v>
      </c>
      <c r="T539" s="47" t="e">
        <f ca="1" t="shared" si="131"/>
        <v>#VALUE!</v>
      </c>
      <c r="U539" s="47" t="e">
        <f ca="1">Q539+N539*$V$1/10000+$V$1*OFFSET(卡牌辅助配置表!$V$1,MATCH(C539,卡牌辅助配置表!U:U,0)-1,0)*5*P539/10000/10000+M539*$V$1/10000</f>
        <v>#VALUE!</v>
      </c>
      <c r="V539" s="46" t="e">
        <f ca="1">OFFSET([2]怪物强度模型!$I$1,MATCH(F539,[2]怪物强度模型!$A:$A,0)-1,0)</f>
        <v>#VALUE!</v>
      </c>
      <c r="W539" s="47">
        <f t="shared" si="134"/>
        <v>2.65</v>
      </c>
      <c r="X539" s="47">
        <f t="shared" si="135"/>
        <v>1.98</v>
      </c>
    </row>
    <row r="540" spans="1:24">
      <c r="A540" s="45">
        <f t="shared" si="137"/>
        <v>3591</v>
      </c>
      <c r="B540" s="45" t="s">
        <v>2794</v>
      </c>
      <c r="C540" s="45">
        <v>3</v>
      </c>
      <c r="D540" s="45">
        <v>591</v>
      </c>
      <c r="F540" s="46">
        <f t="shared" si="138"/>
        <v>3040</v>
      </c>
      <c r="G540" s="45">
        <f t="shared" si="132"/>
        <v>3.99999999999999</v>
      </c>
      <c r="H540" s="45">
        <v>7</v>
      </c>
      <c r="I540" s="46">
        <v>10</v>
      </c>
      <c r="J540" s="46">
        <v>20</v>
      </c>
      <c r="K540" s="46" t="e">
        <f ca="1" t="shared" si="139"/>
        <v>#VALUE!</v>
      </c>
      <c r="L540" s="46" t="e">
        <f ca="1" t="shared" si="140"/>
        <v>#VALUE!</v>
      </c>
      <c r="M540" s="46" t="e">
        <f ca="1" t="shared" si="130"/>
        <v>#VALUE!</v>
      </c>
      <c r="N540" s="46" t="e">
        <f ca="1" t="shared" si="133"/>
        <v>#VALUE!</v>
      </c>
      <c r="O540" s="46">
        <v>97</v>
      </c>
      <c r="P540" s="46">
        <f t="shared" si="129"/>
        <v>40</v>
      </c>
      <c r="Q540" s="46" t="e">
        <f ca="1" t="shared" si="136"/>
        <v>#VALUE!</v>
      </c>
      <c r="R540" s="46" t="e">
        <f ca="1">OFFSET([2]怪物强度模型!$K$1,MATCH(F540,[2]怪物强度模型!$A:$A,0)-1,0)</f>
        <v>#VALUE!</v>
      </c>
      <c r="S540" s="46" t="e">
        <f ca="1">OFFSET([2]怪物强度模型!$O$1,MATCH(F540,[2]怪物强度模型!$A:$A,0)-1,0)</f>
        <v>#VALUE!</v>
      </c>
      <c r="T540" s="47" t="e">
        <f ca="1" t="shared" si="131"/>
        <v>#VALUE!</v>
      </c>
      <c r="U540" s="47" t="e">
        <f ca="1">Q540+N540*$V$1/10000+$V$1*OFFSET(卡牌辅助配置表!$V$1,MATCH(C540,卡牌辅助配置表!U:U,0)-1,0)*5*P540/10000/10000+M540*$V$1/10000</f>
        <v>#VALUE!</v>
      </c>
      <c r="V540" s="46" t="e">
        <f ca="1">OFFSET([2]怪物强度模型!$I$1,MATCH(F540,[2]怪物强度模型!$A:$A,0)-1,0)</f>
        <v>#VALUE!</v>
      </c>
      <c r="W540" s="47">
        <f t="shared" si="134"/>
        <v>2.65</v>
      </c>
      <c r="X540" s="47">
        <f t="shared" si="135"/>
        <v>1.98</v>
      </c>
    </row>
    <row r="541" spans="1:24">
      <c r="A541" s="45">
        <f t="shared" si="137"/>
        <v>3592</v>
      </c>
      <c r="B541" s="45" t="s">
        <v>2794</v>
      </c>
      <c r="C541" s="45">
        <v>3</v>
      </c>
      <c r="D541" s="45">
        <v>592</v>
      </c>
      <c r="F541" s="46">
        <f t="shared" si="138"/>
        <v>3040</v>
      </c>
      <c r="G541" s="45">
        <f t="shared" si="132"/>
        <v>4.04999999999999</v>
      </c>
      <c r="H541" s="45">
        <v>7</v>
      </c>
      <c r="I541" s="46">
        <v>10</v>
      </c>
      <c r="J541" s="46">
        <v>20</v>
      </c>
      <c r="K541" s="46" t="e">
        <f ca="1" t="shared" si="139"/>
        <v>#VALUE!</v>
      </c>
      <c r="L541" s="46" t="e">
        <f ca="1" t="shared" si="140"/>
        <v>#VALUE!</v>
      </c>
      <c r="M541" s="46" t="e">
        <f ca="1" t="shared" si="130"/>
        <v>#VALUE!</v>
      </c>
      <c r="N541" s="46" t="e">
        <f ca="1" t="shared" si="133"/>
        <v>#VALUE!</v>
      </c>
      <c r="O541" s="46">
        <v>98</v>
      </c>
      <c r="P541" s="46">
        <f t="shared" ref="P541:P548" si="141">P531+1</f>
        <v>40</v>
      </c>
      <c r="Q541" s="46" t="e">
        <f ca="1" t="shared" si="136"/>
        <v>#VALUE!</v>
      </c>
      <c r="R541" s="46" t="e">
        <f ca="1">OFFSET([2]怪物强度模型!$K$1,MATCH(F541,[2]怪物强度模型!$A:$A,0)-1,0)</f>
        <v>#VALUE!</v>
      </c>
      <c r="S541" s="46" t="e">
        <f ca="1">OFFSET([2]怪物强度模型!$O$1,MATCH(F541,[2]怪物强度模型!$A:$A,0)-1,0)</f>
        <v>#VALUE!</v>
      </c>
      <c r="T541" s="47" t="e">
        <f ca="1" t="shared" si="131"/>
        <v>#VALUE!</v>
      </c>
      <c r="U541" s="47" t="e">
        <f ca="1">Q541+N541*$V$1/10000+$V$1*OFFSET(卡牌辅助配置表!$V$1,MATCH(C541,卡牌辅助配置表!U:U,0)-1,0)*5*P541/10000/10000+M541*$V$1/10000</f>
        <v>#VALUE!</v>
      </c>
      <c r="V541" s="46" t="e">
        <f ca="1">OFFSET([2]怪物强度模型!$I$1,MATCH(F541,[2]怪物强度模型!$A:$A,0)-1,0)</f>
        <v>#VALUE!</v>
      </c>
      <c r="W541" s="47">
        <f t="shared" si="134"/>
        <v>2.65</v>
      </c>
      <c r="X541" s="47">
        <f t="shared" si="135"/>
        <v>1.98</v>
      </c>
    </row>
    <row r="542" spans="1:24">
      <c r="A542" s="45">
        <f t="shared" si="137"/>
        <v>3593</v>
      </c>
      <c r="B542" s="45" t="s">
        <v>2794</v>
      </c>
      <c r="C542" s="45">
        <v>3</v>
      </c>
      <c r="D542" s="45">
        <v>593</v>
      </c>
      <c r="F542" s="46">
        <f t="shared" si="138"/>
        <v>3040</v>
      </c>
      <c r="G542" s="45">
        <f t="shared" si="132"/>
        <v>4.09999999999999</v>
      </c>
      <c r="H542" s="45">
        <v>7</v>
      </c>
      <c r="I542" s="46">
        <v>10</v>
      </c>
      <c r="J542" s="46">
        <v>20</v>
      </c>
      <c r="K542" s="46" t="e">
        <f ca="1" t="shared" si="139"/>
        <v>#VALUE!</v>
      </c>
      <c r="L542" s="46" t="e">
        <f ca="1" t="shared" si="140"/>
        <v>#VALUE!</v>
      </c>
      <c r="M542" s="46" t="e">
        <f ca="1" t="shared" si="130"/>
        <v>#VALUE!</v>
      </c>
      <c r="N542" s="46" t="e">
        <f ca="1" t="shared" si="133"/>
        <v>#VALUE!</v>
      </c>
      <c r="O542" s="46">
        <v>99</v>
      </c>
      <c r="P542" s="46">
        <f t="shared" si="141"/>
        <v>40</v>
      </c>
      <c r="Q542" s="46" t="e">
        <f ca="1" t="shared" si="136"/>
        <v>#VALUE!</v>
      </c>
      <c r="R542" s="46" t="e">
        <f ca="1">OFFSET([2]怪物强度模型!$K$1,MATCH(F542,[2]怪物强度模型!$A:$A,0)-1,0)</f>
        <v>#VALUE!</v>
      </c>
      <c r="S542" s="46" t="e">
        <f ca="1">OFFSET([2]怪物强度模型!$O$1,MATCH(F542,[2]怪物强度模型!$A:$A,0)-1,0)</f>
        <v>#VALUE!</v>
      </c>
      <c r="T542" s="47" t="e">
        <f ca="1" t="shared" si="131"/>
        <v>#VALUE!</v>
      </c>
      <c r="U542" s="47" t="e">
        <f ca="1">Q542+N542*$V$1/10000+$V$1*OFFSET(卡牌辅助配置表!$V$1,MATCH(C542,卡牌辅助配置表!U:U,0)-1,0)*5*P542/10000/10000+M542*$V$1/10000</f>
        <v>#VALUE!</v>
      </c>
      <c r="V542" s="46" t="e">
        <f ca="1">OFFSET([2]怪物强度模型!$I$1,MATCH(F542,[2]怪物强度模型!$A:$A,0)-1,0)</f>
        <v>#VALUE!</v>
      </c>
      <c r="W542" s="47">
        <f t="shared" si="134"/>
        <v>2.66</v>
      </c>
      <c r="X542" s="47">
        <f t="shared" si="135"/>
        <v>1.98</v>
      </c>
    </row>
    <row r="543" spans="1:24">
      <c r="A543" s="45">
        <f t="shared" si="137"/>
        <v>3594</v>
      </c>
      <c r="B543" s="45" t="s">
        <v>2794</v>
      </c>
      <c r="C543" s="45">
        <v>3</v>
      </c>
      <c r="D543" s="45">
        <v>594</v>
      </c>
      <c r="F543" s="46">
        <f t="shared" si="138"/>
        <v>3040</v>
      </c>
      <c r="G543" s="45">
        <f t="shared" si="132"/>
        <v>5.13</v>
      </c>
      <c r="H543" s="45">
        <v>7</v>
      </c>
      <c r="I543" s="46">
        <v>10</v>
      </c>
      <c r="J543" s="46">
        <v>20</v>
      </c>
      <c r="K543" s="46" t="e">
        <f ca="1" t="shared" si="139"/>
        <v>#VALUE!</v>
      </c>
      <c r="L543" s="46" t="e">
        <f ca="1" t="shared" si="140"/>
        <v>#VALUE!</v>
      </c>
      <c r="M543" s="46" t="e">
        <f ca="1" t="shared" si="130"/>
        <v>#VALUE!</v>
      </c>
      <c r="N543" s="46" t="e">
        <f ca="1" t="shared" si="133"/>
        <v>#VALUE!</v>
      </c>
      <c r="O543" s="46">
        <v>100</v>
      </c>
      <c r="P543" s="46">
        <f t="shared" si="141"/>
        <v>40</v>
      </c>
      <c r="Q543" s="46" t="e">
        <f ca="1" t="shared" si="136"/>
        <v>#VALUE!</v>
      </c>
      <c r="R543" s="46" t="e">
        <f ca="1">OFFSET([2]怪物强度模型!$K$1,MATCH(F543,[2]怪物强度模型!$A:$A,0)-1,0)</f>
        <v>#VALUE!</v>
      </c>
      <c r="S543" s="46" t="e">
        <f ca="1">OFFSET([2]怪物强度模型!$O$1,MATCH(F543,[2]怪物强度模型!$A:$A,0)-1,0)</f>
        <v>#VALUE!</v>
      </c>
      <c r="T543" s="47" t="e">
        <f ca="1" t="shared" si="131"/>
        <v>#VALUE!</v>
      </c>
      <c r="U543" s="47" t="e">
        <f ca="1">Q543+N543*$V$1/10000+$V$1*OFFSET(卡牌辅助配置表!$V$1,MATCH(C543,卡牌辅助配置表!U:U,0)-1,0)*5*P543/10000/10000+M543*$V$1/10000</f>
        <v>#VALUE!</v>
      </c>
      <c r="V543" s="46" t="e">
        <f ca="1">OFFSET([2]怪物强度模型!$I$1,MATCH(F543,[2]怪物强度模型!$A:$A,0)-1,0)</f>
        <v>#VALUE!</v>
      </c>
      <c r="W543" s="47">
        <f t="shared" si="134"/>
        <v>2.66</v>
      </c>
      <c r="X543" s="47">
        <f t="shared" si="135"/>
        <v>1.98</v>
      </c>
    </row>
    <row r="544" spans="1:24">
      <c r="A544" s="45">
        <f t="shared" si="137"/>
        <v>3595</v>
      </c>
      <c r="B544" s="45" t="s">
        <v>2794</v>
      </c>
      <c r="C544" s="45">
        <v>3</v>
      </c>
      <c r="D544" s="45">
        <v>595</v>
      </c>
      <c r="F544" s="46">
        <f t="shared" si="138"/>
        <v>3040</v>
      </c>
      <c r="G544" s="45">
        <f t="shared" si="132"/>
        <v>3.97999999999999</v>
      </c>
      <c r="H544" s="45">
        <v>7</v>
      </c>
      <c r="I544" s="46">
        <v>10</v>
      </c>
      <c r="J544" s="46">
        <v>20</v>
      </c>
      <c r="K544" s="46" t="e">
        <f ca="1" t="shared" si="139"/>
        <v>#VALUE!</v>
      </c>
      <c r="L544" s="46" t="e">
        <f ca="1" t="shared" si="140"/>
        <v>#VALUE!</v>
      </c>
      <c r="M544" s="46" t="e">
        <f ca="1" t="shared" si="130"/>
        <v>#VALUE!</v>
      </c>
      <c r="N544" s="46" t="e">
        <f ca="1" t="shared" si="133"/>
        <v>#VALUE!</v>
      </c>
      <c r="O544" s="46">
        <v>101</v>
      </c>
      <c r="P544" s="46">
        <f t="shared" si="141"/>
        <v>40</v>
      </c>
      <c r="Q544" s="46" t="e">
        <f ca="1" t="shared" si="136"/>
        <v>#VALUE!</v>
      </c>
      <c r="R544" s="46" t="e">
        <f ca="1">OFFSET([2]怪物强度模型!$K$1,MATCH(F544,[2]怪物强度模型!$A:$A,0)-1,0)</f>
        <v>#VALUE!</v>
      </c>
      <c r="S544" s="46" t="e">
        <f ca="1">OFFSET([2]怪物强度模型!$O$1,MATCH(F544,[2]怪物强度模型!$A:$A,0)-1,0)</f>
        <v>#VALUE!</v>
      </c>
      <c r="T544" s="47" t="e">
        <f ca="1" t="shared" si="131"/>
        <v>#VALUE!</v>
      </c>
      <c r="U544" s="47" t="e">
        <f ca="1">Q544+N544*$V$1/10000+$V$1*OFFSET(卡牌辅助配置表!$V$1,MATCH(C544,卡牌辅助配置表!U:U,0)-1,0)*5*P544/10000/10000+M544*$V$1/10000</f>
        <v>#VALUE!</v>
      </c>
      <c r="V544" s="46" t="e">
        <f ca="1">OFFSET([2]怪物强度模型!$I$1,MATCH(F544,[2]怪物强度模型!$A:$A,0)-1,0)</f>
        <v>#VALUE!</v>
      </c>
      <c r="W544" s="47">
        <f t="shared" si="134"/>
        <v>2.66</v>
      </c>
      <c r="X544" s="47">
        <f t="shared" si="135"/>
        <v>1.98</v>
      </c>
    </row>
    <row r="545" spans="1:24">
      <c r="A545" s="45">
        <f t="shared" si="137"/>
        <v>3596</v>
      </c>
      <c r="B545" s="45" t="s">
        <v>2794</v>
      </c>
      <c r="C545" s="45">
        <v>3</v>
      </c>
      <c r="D545" s="45">
        <v>596</v>
      </c>
      <c r="F545" s="46">
        <f t="shared" si="138"/>
        <v>3040</v>
      </c>
      <c r="G545" s="45">
        <f t="shared" si="132"/>
        <v>4.02999999999999</v>
      </c>
      <c r="H545" s="45">
        <v>7</v>
      </c>
      <c r="I545" s="46">
        <v>10</v>
      </c>
      <c r="J545" s="46">
        <v>20</v>
      </c>
      <c r="K545" s="46" t="e">
        <f ca="1" t="shared" si="139"/>
        <v>#VALUE!</v>
      </c>
      <c r="L545" s="46" t="e">
        <f ca="1" t="shared" si="140"/>
        <v>#VALUE!</v>
      </c>
      <c r="M545" s="46" t="e">
        <f ca="1" t="shared" si="130"/>
        <v>#VALUE!</v>
      </c>
      <c r="N545" s="46" t="e">
        <f ca="1" t="shared" si="133"/>
        <v>#VALUE!</v>
      </c>
      <c r="O545" s="46">
        <v>102</v>
      </c>
      <c r="P545" s="46">
        <f t="shared" si="141"/>
        <v>40</v>
      </c>
      <c r="Q545" s="46" t="e">
        <f ca="1" t="shared" si="136"/>
        <v>#VALUE!</v>
      </c>
      <c r="R545" s="46" t="e">
        <f ca="1">OFFSET([2]怪物强度模型!$K$1,MATCH(F545,[2]怪物强度模型!$A:$A,0)-1,0)</f>
        <v>#VALUE!</v>
      </c>
      <c r="S545" s="46" t="e">
        <f ca="1">OFFSET([2]怪物强度模型!$O$1,MATCH(F545,[2]怪物强度模型!$A:$A,0)-1,0)</f>
        <v>#VALUE!</v>
      </c>
      <c r="T545" s="47" t="e">
        <f ca="1" t="shared" si="131"/>
        <v>#VALUE!</v>
      </c>
      <c r="U545" s="47" t="e">
        <f ca="1">Q545+N545*$V$1/10000+$V$1*OFFSET(卡牌辅助配置表!$V$1,MATCH(C545,卡牌辅助配置表!U:U,0)-1,0)*5*P545/10000/10000+M545*$V$1/10000</f>
        <v>#VALUE!</v>
      </c>
      <c r="V545" s="46" t="e">
        <f ca="1">OFFSET([2]怪物强度模型!$I$1,MATCH(F545,[2]怪物强度模型!$A:$A,0)-1,0)</f>
        <v>#VALUE!</v>
      </c>
      <c r="W545" s="47">
        <f t="shared" si="134"/>
        <v>2.67</v>
      </c>
      <c r="X545" s="47">
        <f t="shared" si="135"/>
        <v>1.98</v>
      </c>
    </row>
    <row r="546" spans="1:24">
      <c r="A546" s="45">
        <f t="shared" si="137"/>
        <v>3597</v>
      </c>
      <c r="B546" s="45" t="s">
        <v>2794</v>
      </c>
      <c r="C546" s="45">
        <v>3</v>
      </c>
      <c r="D546" s="45">
        <v>597</v>
      </c>
      <c r="F546" s="46">
        <f t="shared" si="138"/>
        <v>3040</v>
      </c>
      <c r="G546" s="45">
        <f t="shared" si="132"/>
        <v>4.07999999999999</v>
      </c>
      <c r="H546" s="45">
        <v>7</v>
      </c>
      <c r="I546" s="46">
        <v>10</v>
      </c>
      <c r="J546" s="46">
        <v>20</v>
      </c>
      <c r="K546" s="46" t="e">
        <f ca="1" t="shared" si="139"/>
        <v>#VALUE!</v>
      </c>
      <c r="L546" s="46" t="e">
        <f ca="1" t="shared" si="140"/>
        <v>#VALUE!</v>
      </c>
      <c r="M546" s="46" t="e">
        <f ca="1" t="shared" si="130"/>
        <v>#VALUE!</v>
      </c>
      <c r="N546" s="46" t="e">
        <f ca="1" t="shared" si="133"/>
        <v>#VALUE!</v>
      </c>
      <c r="O546" s="46">
        <v>103</v>
      </c>
      <c r="P546" s="46">
        <f t="shared" si="141"/>
        <v>40</v>
      </c>
      <c r="Q546" s="46" t="e">
        <f ca="1" t="shared" si="136"/>
        <v>#VALUE!</v>
      </c>
      <c r="R546" s="46" t="e">
        <f ca="1">OFFSET([2]怪物强度模型!$K$1,MATCH(F546,[2]怪物强度模型!$A:$A,0)-1,0)</f>
        <v>#VALUE!</v>
      </c>
      <c r="S546" s="46" t="e">
        <f ca="1">OFFSET([2]怪物强度模型!$O$1,MATCH(F546,[2]怪物强度模型!$A:$A,0)-1,0)</f>
        <v>#VALUE!</v>
      </c>
      <c r="T546" s="47" t="e">
        <f ca="1" t="shared" si="131"/>
        <v>#VALUE!</v>
      </c>
      <c r="U546" s="47" t="e">
        <f ca="1">Q546+N546*$V$1/10000+$V$1*OFFSET(卡牌辅助配置表!$V$1,MATCH(C546,卡牌辅助配置表!U:U,0)-1,0)*5*P546/10000/10000+M546*$V$1/10000</f>
        <v>#VALUE!</v>
      </c>
      <c r="V546" s="46" t="e">
        <f ca="1">OFFSET([2]怪物强度模型!$I$1,MATCH(F546,[2]怪物强度模型!$A:$A,0)-1,0)</f>
        <v>#VALUE!</v>
      </c>
      <c r="W546" s="47">
        <f t="shared" si="134"/>
        <v>2.67</v>
      </c>
      <c r="X546" s="47">
        <f t="shared" si="135"/>
        <v>1.98</v>
      </c>
    </row>
    <row r="547" spans="1:24">
      <c r="A547" s="45">
        <f t="shared" si="137"/>
        <v>3598</v>
      </c>
      <c r="B547" s="45" t="s">
        <v>2794</v>
      </c>
      <c r="C547" s="45">
        <v>3</v>
      </c>
      <c r="D547" s="45">
        <v>598</v>
      </c>
      <c r="F547" s="46">
        <f t="shared" si="138"/>
        <v>3040</v>
      </c>
      <c r="G547" s="45">
        <f t="shared" si="132"/>
        <v>4.12999999999999</v>
      </c>
      <c r="H547" s="45">
        <v>7</v>
      </c>
      <c r="I547" s="46">
        <v>10</v>
      </c>
      <c r="J547" s="46">
        <v>20</v>
      </c>
      <c r="K547" s="46" t="e">
        <f ca="1" t="shared" si="139"/>
        <v>#VALUE!</v>
      </c>
      <c r="L547" s="46" t="e">
        <f ca="1" t="shared" si="140"/>
        <v>#VALUE!</v>
      </c>
      <c r="M547" s="46" t="e">
        <f ca="1" t="shared" si="130"/>
        <v>#VALUE!</v>
      </c>
      <c r="N547" s="46" t="e">
        <f ca="1" t="shared" si="133"/>
        <v>#VALUE!</v>
      </c>
      <c r="O547" s="46">
        <v>104</v>
      </c>
      <c r="P547" s="46">
        <f t="shared" si="141"/>
        <v>40</v>
      </c>
      <c r="Q547" s="46" t="e">
        <f ca="1" t="shared" si="136"/>
        <v>#VALUE!</v>
      </c>
      <c r="R547" s="46" t="e">
        <f ca="1">OFFSET([2]怪物强度模型!$K$1,MATCH(F547,[2]怪物强度模型!$A:$A,0)-1,0)</f>
        <v>#VALUE!</v>
      </c>
      <c r="S547" s="46" t="e">
        <f ca="1">OFFSET([2]怪物强度模型!$O$1,MATCH(F547,[2]怪物强度模型!$A:$A,0)-1,0)</f>
        <v>#VALUE!</v>
      </c>
      <c r="T547" s="47" t="e">
        <f ca="1" t="shared" si="131"/>
        <v>#VALUE!</v>
      </c>
      <c r="U547" s="47" t="e">
        <f ca="1">Q547+N547*$V$1/10000+$V$1*OFFSET(卡牌辅助配置表!$V$1,MATCH(C547,卡牌辅助配置表!U:U,0)-1,0)*5*P547/10000/10000+M547*$V$1/10000</f>
        <v>#VALUE!</v>
      </c>
      <c r="V547" s="46" t="e">
        <f ca="1">OFFSET([2]怪物强度模型!$I$1,MATCH(F547,[2]怪物强度模型!$A:$A,0)-1,0)</f>
        <v>#VALUE!</v>
      </c>
      <c r="W547" s="47">
        <f t="shared" si="134"/>
        <v>2.67</v>
      </c>
      <c r="X547" s="47">
        <f t="shared" si="135"/>
        <v>1.98</v>
      </c>
    </row>
    <row r="548" spans="1:24">
      <c r="A548" s="45">
        <f t="shared" si="137"/>
        <v>3599</v>
      </c>
      <c r="B548" s="45" t="s">
        <v>2794</v>
      </c>
      <c r="C548" s="45">
        <v>3</v>
      </c>
      <c r="D548" s="45">
        <v>599</v>
      </c>
      <c r="F548" s="46">
        <f t="shared" si="138"/>
        <v>3040</v>
      </c>
      <c r="G548" s="45">
        <f>G538+0.1</f>
        <v>5.2</v>
      </c>
      <c r="H548" s="45">
        <v>7</v>
      </c>
      <c r="I548" s="46">
        <v>10</v>
      </c>
      <c r="J548" s="46">
        <v>20</v>
      </c>
      <c r="K548" s="46" t="e">
        <f ca="1" t="shared" si="139"/>
        <v>#VALUE!</v>
      </c>
      <c r="L548" s="46" t="e">
        <f ca="1" t="shared" si="140"/>
        <v>#VALUE!</v>
      </c>
      <c r="M548" s="46" t="e">
        <f ca="1" t="shared" si="130"/>
        <v>#VALUE!</v>
      </c>
      <c r="N548" s="46" t="e">
        <f ca="1" t="shared" si="133"/>
        <v>#VALUE!</v>
      </c>
      <c r="O548" s="46">
        <v>105</v>
      </c>
      <c r="P548" s="46">
        <f t="shared" si="141"/>
        <v>40</v>
      </c>
      <c r="Q548" s="46" t="e">
        <f ca="1" t="shared" si="136"/>
        <v>#VALUE!</v>
      </c>
      <c r="R548" s="46" t="e">
        <f ca="1">OFFSET([2]怪物强度模型!$K$1,MATCH(F548,[2]怪物强度模型!$A:$A,0)-1,0)</f>
        <v>#VALUE!</v>
      </c>
      <c r="S548" s="46" t="e">
        <f ca="1">OFFSET([2]怪物强度模型!$O$1,MATCH(F548,[2]怪物强度模型!$A:$A,0)-1,0)</f>
        <v>#VALUE!</v>
      </c>
      <c r="T548" s="47" t="e">
        <f ca="1" t="shared" si="131"/>
        <v>#VALUE!</v>
      </c>
      <c r="U548" s="47" t="e">
        <f ca="1">Q548+N548*$V$1/10000+$V$1*OFFSET(卡牌辅助配置表!$V$1,MATCH(C548,卡牌辅助配置表!U:U,0)-1,0)*5*P548/10000/10000+M548*$V$1/10000</f>
        <v>#VALUE!</v>
      </c>
      <c r="V548" s="46" t="e">
        <f ca="1">OFFSET([2]怪物强度模型!$I$1,MATCH(F548,[2]怪物强度模型!$A:$A,0)-1,0)</f>
        <v>#VALUE!</v>
      </c>
      <c r="W548" s="47">
        <f t="shared" si="134"/>
        <v>2.8</v>
      </c>
      <c r="X548" s="47">
        <f t="shared" si="135"/>
        <v>1.98</v>
      </c>
    </row>
  </sheetData>
  <autoFilter xmlns:etc="http://www.wps.cn/officeDocument/2017/etCustomData" ref="A248:X548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E12"/>
  <sheetViews>
    <sheetView workbookViewId="0">
      <selection activeCell="O27" sqref="O27"/>
    </sheetView>
  </sheetViews>
  <sheetFormatPr defaultColWidth="9" defaultRowHeight="15" outlineLevelCol="4"/>
  <cols>
    <col min="1" max="1" width="13.3716814159292" style="45" customWidth="1"/>
    <col min="2" max="2" width="15.6283185840708" style="45" customWidth="1"/>
    <col min="3" max="4" width="13.2477876106195" style="45" customWidth="1"/>
    <col min="5" max="5" width="8.50442477876106" style="46" customWidth="1"/>
    <col min="6" max="16369" width="9" style="47"/>
  </cols>
  <sheetData>
    <row r="1" s="47" customFormat="1" ht="30" spans="1:5">
      <c r="A1" s="45" t="s">
        <v>2759</v>
      </c>
      <c r="B1" s="45"/>
      <c r="C1" s="45"/>
      <c r="D1" s="45"/>
      <c r="E1" s="46"/>
    </row>
    <row r="2" s="47" customFormat="1" ht="30" spans="1:5">
      <c r="A2" s="45" t="s">
        <v>2760</v>
      </c>
      <c r="B2" s="45" t="s">
        <v>2798</v>
      </c>
      <c r="C2" s="45" t="s">
        <v>2799</v>
      </c>
      <c r="D2" s="45" t="s">
        <v>2800</v>
      </c>
      <c r="E2" s="49"/>
    </row>
    <row r="3" s="47" customFormat="1" spans="1:5">
      <c r="A3" s="45" t="s">
        <v>109</v>
      </c>
      <c r="B3" s="45" t="s">
        <v>109</v>
      </c>
      <c r="C3" s="45" t="s">
        <v>109</v>
      </c>
      <c r="D3" s="45" t="s">
        <v>109</v>
      </c>
      <c r="E3" s="46"/>
    </row>
    <row r="4" s="47" customFormat="1" spans="1:5">
      <c r="A4" s="45" t="s">
        <v>62</v>
      </c>
      <c r="B4" s="45" t="s">
        <v>2801</v>
      </c>
      <c r="C4" s="45" t="s">
        <v>2802</v>
      </c>
      <c r="D4" s="45" t="s">
        <v>2803</v>
      </c>
      <c r="E4" s="46"/>
    </row>
    <row r="5" s="47" customFormat="1" spans="1:5">
      <c r="A5" s="45" t="s">
        <v>62</v>
      </c>
      <c r="B5" s="45" t="s">
        <v>2801</v>
      </c>
      <c r="C5" s="45" t="s">
        <v>2802</v>
      </c>
      <c r="D5" s="45" t="s">
        <v>2803</v>
      </c>
      <c r="E5" s="46"/>
    </row>
    <row r="6" s="47" customFormat="1" spans="1:5">
      <c r="A6" s="45">
        <v>1</v>
      </c>
      <c r="C6" s="46">
        <v>13</v>
      </c>
      <c r="D6" s="45">
        <v>100</v>
      </c>
      <c r="E6" s="46"/>
    </row>
    <row r="7" s="47" customFormat="1" spans="1:4">
      <c r="A7" s="45">
        <v>2</v>
      </c>
      <c r="B7" s="46">
        <v>40</v>
      </c>
      <c r="C7" s="45">
        <v>20</v>
      </c>
      <c r="D7" s="45">
        <v>120</v>
      </c>
    </row>
    <row r="8" s="47" customFormat="1" spans="1:5">
      <c r="A8" s="45">
        <v>3</v>
      </c>
      <c r="B8" s="45">
        <v>80</v>
      </c>
      <c r="C8" s="45">
        <v>50</v>
      </c>
      <c r="D8" s="45">
        <v>199</v>
      </c>
      <c r="E8" s="46"/>
    </row>
    <row r="9" s="47" customFormat="1" spans="1:5">
      <c r="A9" s="45">
        <v>4</v>
      </c>
      <c r="B9" s="45">
        <v>100</v>
      </c>
      <c r="C9" s="45">
        <v>70</v>
      </c>
      <c r="D9" s="45">
        <v>399</v>
      </c>
      <c r="E9" s="46"/>
    </row>
    <row r="10" spans="1:4">
      <c r="A10" s="45">
        <v>5</v>
      </c>
      <c r="B10" s="45">
        <v>200</v>
      </c>
      <c r="C10" s="45">
        <v>100</v>
      </c>
      <c r="D10" s="45">
        <f>B11+D9</f>
        <v>799</v>
      </c>
    </row>
    <row r="11" spans="1:4">
      <c r="A11" s="45">
        <v>6</v>
      </c>
      <c r="B11" s="45">
        <v>400</v>
      </c>
      <c r="C11" s="45">
        <v>150</v>
      </c>
      <c r="D11" s="45">
        <f>B12+D10</f>
        <v>1599</v>
      </c>
    </row>
    <row r="12" spans="1:4">
      <c r="A12" s="45">
        <v>7</v>
      </c>
      <c r="B12" s="45">
        <v>800</v>
      </c>
      <c r="C12" s="45">
        <v>200</v>
      </c>
      <c r="D12" s="45">
        <v>3199</v>
      </c>
    </row>
  </sheetData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M63"/>
  <sheetViews>
    <sheetView topLeftCell="A2" workbookViewId="0">
      <selection activeCell="M118" sqref="M118"/>
    </sheetView>
  </sheetViews>
  <sheetFormatPr defaultColWidth="9" defaultRowHeight="13.85"/>
  <cols>
    <col min="4" max="4" width="18.7522123893805" customWidth="1"/>
    <col min="5" max="5" width="16.6283185840708" customWidth="1"/>
    <col min="6" max="6" width="12.8761061946903" customWidth="1"/>
  </cols>
  <sheetData>
    <row r="1" ht="15" spans="1:7">
      <c r="A1" s="46" t="s">
        <v>2804</v>
      </c>
      <c r="B1" s="46"/>
      <c r="C1" s="46"/>
      <c r="D1" s="68"/>
      <c r="E1" s="1"/>
      <c r="F1" s="1"/>
      <c r="G1" s="1"/>
    </row>
    <row r="2" ht="75" spans="1:10">
      <c r="A2" s="3" t="s">
        <v>270</v>
      </c>
      <c r="B2" s="3" t="s">
        <v>2805</v>
      </c>
      <c r="C2" s="3" t="s">
        <v>2806</v>
      </c>
      <c r="D2" s="198" t="s">
        <v>2807</v>
      </c>
      <c r="E2" s="198" t="s">
        <v>2807</v>
      </c>
      <c r="F2" s="3" t="s">
        <v>2808</v>
      </c>
      <c r="G2" s="3"/>
      <c r="H2" s="179"/>
      <c r="I2" s="169"/>
      <c r="J2" s="179"/>
    </row>
    <row r="3" ht="15" spans="1:13">
      <c r="A3" s="46" t="s">
        <v>109</v>
      </c>
      <c r="B3" s="46" t="s">
        <v>109</v>
      </c>
      <c r="C3" s="46" t="s">
        <v>109</v>
      </c>
      <c r="D3" s="46" t="s">
        <v>109</v>
      </c>
      <c r="E3" s="46" t="s">
        <v>109</v>
      </c>
      <c r="F3" s="46" t="s">
        <v>109</v>
      </c>
      <c r="G3" s="46"/>
      <c r="H3" s="46"/>
      <c r="I3" s="153"/>
      <c r="K3" s="68"/>
      <c r="L3" s="68"/>
      <c r="M3" s="68"/>
    </row>
    <row r="4" ht="15" spans="1:9">
      <c r="A4" s="1" t="s">
        <v>270</v>
      </c>
      <c r="B4" s="1" t="s">
        <v>67</v>
      </c>
      <c r="C4" s="1" t="s">
        <v>2809</v>
      </c>
      <c r="D4" s="199" t="s">
        <v>2810</v>
      </c>
      <c r="E4" s="199" t="s">
        <v>2811</v>
      </c>
      <c r="F4" s="1" t="s">
        <v>2812</v>
      </c>
      <c r="G4" s="1"/>
      <c r="I4" s="169"/>
    </row>
    <row r="5" ht="15" spans="1:9">
      <c r="A5" s="1"/>
      <c r="B5" s="1"/>
      <c r="C5" s="1"/>
      <c r="D5" s="199"/>
      <c r="E5" s="1"/>
      <c r="F5" s="1"/>
      <c r="G5" s="1"/>
      <c r="I5" s="169"/>
    </row>
    <row r="6" ht="16.5" spans="1:13">
      <c r="A6" s="200">
        <v>1</v>
      </c>
      <c r="B6" s="201">
        <v>2</v>
      </c>
      <c r="C6" s="200"/>
      <c r="D6">
        <v>0</v>
      </c>
      <c r="E6">
        <f>D7-1</f>
        <v>499</v>
      </c>
      <c r="F6" s="100">
        <v>0</v>
      </c>
      <c r="G6" s="202" t="s">
        <v>2813</v>
      </c>
      <c r="H6" s="179"/>
      <c r="K6" s="100"/>
      <c r="L6" s="100"/>
      <c r="M6" s="100"/>
    </row>
    <row r="7" ht="16.5" spans="1:13">
      <c r="A7" s="1">
        <v>2</v>
      </c>
      <c r="B7" s="201">
        <v>2</v>
      </c>
      <c r="C7" s="200"/>
      <c r="D7">
        <v>500</v>
      </c>
      <c r="E7">
        <f t="shared" ref="E7:E33" si="0">D8-1</f>
        <v>999</v>
      </c>
      <c r="F7" s="100">
        <v>0</v>
      </c>
      <c r="G7" s="1"/>
      <c r="H7" s="179"/>
      <c r="I7" s="179"/>
      <c r="K7" s="100"/>
      <c r="L7" s="100"/>
      <c r="M7" s="100"/>
    </row>
    <row r="8" ht="16.5" spans="1:13">
      <c r="A8" s="200">
        <v>3</v>
      </c>
      <c r="B8" s="201">
        <v>2</v>
      </c>
      <c r="C8" s="200"/>
      <c r="D8">
        <v>1000</v>
      </c>
      <c r="E8">
        <f t="shared" si="0"/>
        <v>1499</v>
      </c>
      <c r="F8" s="100">
        <v>0</v>
      </c>
      <c r="G8" s="1"/>
      <c r="H8" s="179"/>
      <c r="I8" s="179"/>
      <c r="K8" s="100"/>
      <c r="L8" s="100"/>
      <c r="M8" s="100"/>
    </row>
    <row r="9" ht="16.5" spans="1:7">
      <c r="A9" s="1">
        <v>4</v>
      </c>
      <c r="B9" s="201">
        <v>2</v>
      </c>
      <c r="C9" s="200"/>
      <c r="D9">
        <v>1500</v>
      </c>
      <c r="E9">
        <f t="shared" si="0"/>
        <v>1999</v>
      </c>
      <c r="F9" s="100">
        <v>0</v>
      </c>
      <c r="G9" s="1"/>
    </row>
    <row r="10" ht="16.5" spans="1:7">
      <c r="A10" s="200">
        <v>5</v>
      </c>
      <c r="B10" s="201">
        <v>2</v>
      </c>
      <c r="C10" s="200"/>
      <c r="D10">
        <v>2000</v>
      </c>
      <c r="E10">
        <f t="shared" si="0"/>
        <v>2499</v>
      </c>
      <c r="F10" s="100">
        <v>0</v>
      </c>
      <c r="G10" s="1"/>
    </row>
    <row r="11" ht="16.5" spans="1:6">
      <c r="A11" s="200">
        <v>6</v>
      </c>
      <c r="B11" s="201">
        <v>2</v>
      </c>
      <c r="C11" s="200"/>
      <c r="D11">
        <v>2500</v>
      </c>
      <c r="E11">
        <f t="shared" si="0"/>
        <v>2999</v>
      </c>
      <c r="F11" s="100">
        <v>0</v>
      </c>
    </row>
    <row r="12" ht="16.5" spans="1:6">
      <c r="A12" s="1">
        <v>7</v>
      </c>
      <c r="B12" s="201">
        <v>2</v>
      </c>
      <c r="C12" s="200"/>
      <c r="D12">
        <v>3000</v>
      </c>
      <c r="E12">
        <f t="shared" si="0"/>
        <v>3499</v>
      </c>
      <c r="F12" s="100">
        <v>0</v>
      </c>
    </row>
    <row r="13" ht="16.5" spans="1:6">
      <c r="A13" s="200">
        <v>8</v>
      </c>
      <c r="B13" s="201">
        <v>2</v>
      </c>
      <c r="C13" s="200"/>
      <c r="D13">
        <v>3500</v>
      </c>
      <c r="E13">
        <f t="shared" si="0"/>
        <v>3999</v>
      </c>
      <c r="F13" s="100">
        <v>0</v>
      </c>
    </row>
    <row r="14" ht="16.5" spans="1:6">
      <c r="A14" s="1">
        <v>9</v>
      </c>
      <c r="B14" s="201">
        <v>2</v>
      </c>
      <c r="C14" s="200"/>
      <c r="D14">
        <v>4000</v>
      </c>
      <c r="E14">
        <f t="shared" si="0"/>
        <v>4499</v>
      </c>
      <c r="F14" s="100">
        <v>0</v>
      </c>
    </row>
    <row r="15" ht="16.5" spans="1:6">
      <c r="A15" s="200">
        <v>10</v>
      </c>
      <c r="B15" s="201">
        <v>2</v>
      </c>
      <c r="C15" s="200"/>
      <c r="D15">
        <v>4500</v>
      </c>
      <c r="E15">
        <f t="shared" si="0"/>
        <v>4999</v>
      </c>
      <c r="F15" s="100">
        <v>0</v>
      </c>
    </row>
    <row r="16" ht="16.5" spans="1:6">
      <c r="A16" s="200">
        <v>11</v>
      </c>
      <c r="B16" s="201">
        <v>2</v>
      </c>
      <c r="C16" s="200"/>
      <c r="D16">
        <v>5000</v>
      </c>
      <c r="E16">
        <f t="shared" si="0"/>
        <v>5099</v>
      </c>
      <c r="F16" s="100">
        <v>0</v>
      </c>
    </row>
    <row r="17" ht="16.5" spans="1:6">
      <c r="A17" s="1">
        <v>12</v>
      </c>
      <c r="B17" s="201">
        <v>2</v>
      </c>
      <c r="C17" s="200">
        <v>1</v>
      </c>
      <c r="D17">
        <v>5100</v>
      </c>
      <c r="E17">
        <f t="shared" si="0"/>
        <v>5199</v>
      </c>
      <c r="F17" s="100">
        <v>500</v>
      </c>
    </row>
    <row r="18" ht="16.5" spans="1:6">
      <c r="A18" s="200">
        <v>13</v>
      </c>
      <c r="B18" s="201">
        <v>2</v>
      </c>
      <c r="C18" s="200">
        <v>1</v>
      </c>
      <c r="D18">
        <v>5200</v>
      </c>
      <c r="E18">
        <f t="shared" si="0"/>
        <v>5299</v>
      </c>
      <c r="F18" s="100">
        <v>1000</v>
      </c>
    </row>
    <row r="19" ht="16.5" spans="1:6">
      <c r="A19" s="1">
        <v>14</v>
      </c>
      <c r="B19" s="201">
        <v>2</v>
      </c>
      <c r="C19" s="200">
        <v>1</v>
      </c>
      <c r="D19">
        <v>5300</v>
      </c>
      <c r="E19">
        <f t="shared" si="0"/>
        <v>5399</v>
      </c>
      <c r="F19" s="100">
        <v>1500</v>
      </c>
    </row>
    <row r="20" ht="16.5" spans="1:6">
      <c r="A20" s="200">
        <v>15</v>
      </c>
      <c r="B20" s="201">
        <v>2</v>
      </c>
      <c r="C20" s="200">
        <v>1</v>
      </c>
      <c r="D20">
        <v>5400</v>
      </c>
      <c r="E20">
        <f t="shared" si="0"/>
        <v>5499</v>
      </c>
      <c r="F20" s="100">
        <v>2000</v>
      </c>
    </row>
    <row r="21" ht="16.5" spans="1:6">
      <c r="A21" s="1">
        <v>16</v>
      </c>
      <c r="B21" s="201">
        <v>2</v>
      </c>
      <c r="C21" s="200">
        <v>1</v>
      </c>
      <c r="D21">
        <v>5500</v>
      </c>
      <c r="E21">
        <f t="shared" si="0"/>
        <v>5599</v>
      </c>
      <c r="F21" s="100">
        <v>2500</v>
      </c>
    </row>
    <row r="22" ht="16.5" spans="1:6">
      <c r="A22" s="200">
        <v>17</v>
      </c>
      <c r="B22" s="201">
        <v>2</v>
      </c>
      <c r="C22" s="200">
        <v>1</v>
      </c>
      <c r="D22">
        <v>5600</v>
      </c>
      <c r="E22">
        <f t="shared" si="0"/>
        <v>5699</v>
      </c>
      <c r="F22" s="100">
        <v>3000</v>
      </c>
    </row>
    <row r="23" ht="16.5" spans="1:6">
      <c r="A23" s="1">
        <v>18</v>
      </c>
      <c r="B23" s="201">
        <v>2</v>
      </c>
      <c r="C23" s="200">
        <v>1</v>
      </c>
      <c r="D23">
        <v>5700</v>
      </c>
      <c r="E23">
        <f t="shared" si="0"/>
        <v>5799</v>
      </c>
      <c r="F23" s="100">
        <v>3500</v>
      </c>
    </row>
    <row r="24" ht="16.5" spans="1:6">
      <c r="A24" s="200">
        <v>19</v>
      </c>
      <c r="B24" s="201">
        <v>2</v>
      </c>
      <c r="C24" s="200">
        <v>1</v>
      </c>
      <c r="D24">
        <v>5800</v>
      </c>
      <c r="E24">
        <f t="shared" si="0"/>
        <v>5899</v>
      </c>
      <c r="F24" s="100">
        <v>4000</v>
      </c>
    </row>
    <row r="25" ht="16.5" spans="1:6">
      <c r="A25" s="1">
        <v>20</v>
      </c>
      <c r="B25" s="201">
        <v>2</v>
      </c>
      <c r="C25" s="200">
        <v>1</v>
      </c>
      <c r="D25">
        <v>5900</v>
      </c>
      <c r="E25">
        <f t="shared" si="0"/>
        <v>5999</v>
      </c>
      <c r="F25" s="100">
        <v>4500</v>
      </c>
    </row>
    <row r="26" ht="16.5" spans="1:6">
      <c r="A26" s="200">
        <v>21</v>
      </c>
      <c r="B26" s="201">
        <v>2</v>
      </c>
      <c r="C26" s="200">
        <v>1</v>
      </c>
      <c r="D26">
        <v>6000</v>
      </c>
      <c r="E26">
        <f t="shared" si="0"/>
        <v>6099</v>
      </c>
      <c r="F26" s="100">
        <v>5000</v>
      </c>
    </row>
    <row r="27" ht="16.5" spans="1:6">
      <c r="A27" s="1">
        <v>22</v>
      </c>
      <c r="B27" s="201">
        <v>2</v>
      </c>
      <c r="C27" s="200">
        <v>1</v>
      </c>
      <c r="D27">
        <v>6100</v>
      </c>
      <c r="E27">
        <f t="shared" si="0"/>
        <v>6199</v>
      </c>
      <c r="F27" s="100">
        <v>5500</v>
      </c>
    </row>
    <row r="28" ht="16.5" spans="1:6">
      <c r="A28" s="200">
        <v>23</v>
      </c>
      <c r="B28" s="201">
        <v>2</v>
      </c>
      <c r="C28" s="200">
        <v>1</v>
      </c>
      <c r="D28">
        <v>6200</v>
      </c>
      <c r="E28">
        <f t="shared" si="0"/>
        <v>6299</v>
      </c>
      <c r="F28" s="100">
        <v>6000</v>
      </c>
    </row>
    <row r="29" ht="16.5" spans="1:6">
      <c r="A29" s="1">
        <v>24</v>
      </c>
      <c r="B29" s="201">
        <v>2</v>
      </c>
      <c r="C29" s="200">
        <v>1</v>
      </c>
      <c r="D29">
        <v>6300</v>
      </c>
      <c r="E29">
        <f t="shared" si="0"/>
        <v>6399</v>
      </c>
      <c r="F29" s="100">
        <v>6500</v>
      </c>
    </row>
    <row r="30" ht="16.5" spans="1:6">
      <c r="A30" s="200">
        <v>25</v>
      </c>
      <c r="B30" s="201">
        <v>2</v>
      </c>
      <c r="C30" s="200">
        <v>1</v>
      </c>
      <c r="D30">
        <v>6400</v>
      </c>
      <c r="E30">
        <f t="shared" si="0"/>
        <v>6499</v>
      </c>
      <c r="F30" s="100">
        <v>7000</v>
      </c>
    </row>
    <row r="31" ht="16.5" spans="1:6">
      <c r="A31" s="1">
        <v>26</v>
      </c>
      <c r="B31" s="201">
        <v>2</v>
      </c>
      <c r="C31" s="200">
        <v>1</v>
      </c>
      <c r="D31">
        <v>6500</v>
      </c>
      <c r="E31">
        <f t="shared" si="0"/>
        <v>6599</v>
      </c>
      <c r="F31" s="100">
        <v>7500</v>
      </c>
    </row>
    <row r="32" ht="16.5" spans="1:6">
      <c r="A32" s="200">
        <v>27</v>
      </c>
      <c r="B32" s="201">
        <v>2</v>
      </c>
      <c r="C32" s="200">
        <v>1</v>
      </c>
      <c r="D32">
        <v>6600</v>
      </c>
      <c r="E32">
        <f t="shared" si="0"/>
        <v>6699</v>
      </c>
      <c r="F32" s="100">
        <v>8000</v>
      </c>
    </row>
    <row r="33" ht="16.5" spans="1:6">
      <c r="A33" s="1">
        <v>28</v>
      </c>
      <c r="B33" s="201">
        <v>2</v>
      </c>
      <c r="C33" s="200">
        <v>1</v>
      </c>
      <c r="D33">
        <v>6700</v>
      </c>
      <c r="E33">
        <f t="shared" si="0"/>
        <v>6799</v>
      </c>
      <c r="F33" s="100">
        <v>8500</v>
      </c>
    </row>
    <row r="34" ht="16.5" spans="1:6">
      <c r="A34" s="200">
        <v>29</v>
      </c>
      <c r="B34" s="201">
        <v>2</v>
      </c>
      <c r="C34" s="200">
        <v>1</v>
      </c>
      <c r="D34">
        <v>6800</v>
      </c>
      <c r="E34">
        <v>9999999</v>
      </c>
      <c r="F34" s="100">
        <v>9000</v>
      </c>
    </row>
    <row r="35" ht="16.5" spans="1:6">
      <c r="A35" s="1">
        <v>30</v>
      </c>
      <c r="B35">
        <v>1</v>
      </c>
      <c r="C35" s="200"/>
      <c r="D35">
        <v>0</v>
      </c>
      <c r="E35">
        <f t="shared" ref="E35:E62" si="1">D36-1</f>
        <v>499</v>
      </c>
      <c r="F35" s="100">
        <v>0</v>
      </c>
    </row>
    <row r="36" ht="16.5" spans="1:6">
      <c r="A36" s="200">
        <v>31</v>
      </c>
      <c r="B36">
        <v>1</v>
      </c>
      <c r="C36" s="200"/>
      <c r="D36">
        <v>500</v>
      </c>
      <c r="E36">
        <f t="shared" si="1"/>
        <v>999</v>
      </c>
      <c r="F36" s="100">
        <v>0</v>
      </c>
    </row>
    <row r="37" ht="16.5" spans="1:6">
      <c r="A37" s="1">
        <v>32</v>
      </c>
      <c r="B37">
        <v>1</v>
      </c>
      <c r="C37" s="200"/>
      <c r="D37">
        <v>1000</v>
      </c>
      <c r="E37">
        <f t="shared" si="1"/>
        <v>1499</v>
      </c>
      <c r="F37" s="100">
        <v>0</v>
      </c>
    </row>
    <row r="38" ht="16.5" spans="1:6">
      <c r="A38" s="200">
        <v>33</v>
      </c>
      <c r="B38">
        <v>1</v>
      </c>
      <c r="C38" s="200"/>
      <c r="D38">
        <v>1500</v>
      </c>
      <c r="E38">
        <f t="shared" si="1"/>
        <v>1999</v>
      </c>
      <c r="F38" s="100">
        <v>0</v>
      </c>
    </row>
    <row r="39" ht="16.5" spans="1:6">
      <c r="A39" s="1">
        <v>34</v>
      </c>
      <c r="B39">
        <v>1</v>
      </c>
      <c r="C39" s="200"/>
      <c r="D39">
        <v>2000</v>
      </c>
      <c r="E39">
        <f t="shared" si="1"/>
        <v>2499</v>
      </c>
      <c r="F39" s="100">
        <v>0</v>
      </c>
    </row>
    <row r="40" ht="16.5" spans="1:6">
      <c r="A40" s="200">
        <v>35</v>
      </c>
      <c r="B40">
        <v>1</v>
      </c>
      <c r="C40" s="200"/>
      <c r="D40">
        <v>2500</v>
      </c>
      <c r="E40">
        <f t="shared" si="1"/>
        <v>2999</v>
      </c>
      <c r="F40" s="100">
        <v>0</v>
      </c>
    </row>
    <row r="41" ht="16.5" spans="1:6">
      <c r="A41" s="1">
        <v>36</v>
      </c>
      <c r="B41">
        <v>1</v>
      </c>
      <c r="C41" s="200"/>
      <c r="D41">
        <v>3000</v>
      </c>
      <c r="E41">
        <f t="shared" si="1"/>
        <v>3499</v>
      </c>
      <c r="F41" s="100">
        <v>0</v>
      </c>
    </row>
    <row r="42" ht="16.5" spans="1:6">
      <c r="A42" s="200">
        <v>37</v>
      </c>
      <c r="B42">
        <v>1</v>
      </c>
      <c r="C42" s="200"/>
      <c r="D42">
        <v>3500</v>
      </c>
      <c r="E42">
        <f t="shared" si="1"/>
        <v>3999</v>
      </c>
      <c r="F42" s="100">
        <v>0</v>
      </c>
    </row>
    <row r="43" ht="16.5" spans="1:6">
      <c r="A43" s="1">
        <v>38</v>
      </c>
      <c r="B43">
        <v>1</v>
      </c>
      <c r="C43" s="200"/>
      <c r="D43">
        <v>4000</v>
      </c>
      <c r="E43">
        <f t="shared" si="1"/>
        <v>4499</v>
      </c>
      <c r="F43" s="100">
        <v>0</v>
      </c>
    </row>
    <row r="44" ht="16.5" spans="1:6">
      <c r="A44" s="200">
        <v>39</v>
      </c>
      <c r="B44">
        <v>1</v>
      </c>
      <c r="C44" s="200"/>
      <c r="D44">
        <v>4500</v>
      </c>
      <c r="E44">
        <f t="shared" si="1"/>
        <v>4999</v>
      </c>
      <c r="F44" s="100">
        <v>0</v>
      </c>
    </row>
    <row r="45" ht="16.5" spans="1:6">
      <c r="A45" s="1">
        <v>40</v>
      </c>
      <c r="B45">
        <v>1</v>
      </c>
      <c r="C45" s="200"/>
      <c r="D45">
        <v>5000</v>
      </c>
      <c r="E45">
        <f t="shared" si="1"/>
        <v>5099</v>
      </c>
      <c r="F45" s="100">
        <v>0</v>
      </c>
    </row>
    <row r="46" ht="16.5" spans="1:6">
      <c r="A46" s="200">
        <v>41</v>
      </c>
      <c r="B46">
        <v>1</v>
      </c>
      <c r="C46" s="200"/>
      <c r="D46">
        <v>5100</v>
      </c>
      <c r="E46">
        <f t="shared" si="1"/>
        <v>5199</v>
      </c>
      <c r="F46" s="100">
        <v>0</v>
      </c>
    </row>
    <row r="47" ht="16.5" spans="1:6">
      <c r="A47" s="1">
        <v>42</v>
      </c>
      <c r="B47">
        <v>1</v>
      </c>
      <c r="C47" s="200"/>
      <c r="D47">
        <v>5200</v>
      </c>
      <c r="E47">
        <f t="shared" si="1"/>
        <v>5299</v>
      </c>
      <c r="F47" s="100">
        <v>0</v>
      </c>
    </row>
    <row r="48" ht="16.5" spans="1:6">
      <c r="A48" s="200">
        <v>43</v>
      </c>
      <c r="B48">
        <v>1</v>
      </c>
      <c r="C48" s="200"/>
      <c r="D48">
        <v>5300</v>
      </c>
      <c r="E48">
        <f t="shared" si="1"/>
        <v>5399</v>
      </c>
      <c r="F48" s="100">
        <v>0</v>
      </c>
    </row>
    <row r="49" ht="16.5" spans="1:6">
      <c r="A49" s="1">
        <v>44</v>
      </c>
      <c r="B49">
        <v>1</v>
      </c>
      <c r="C49" s="200"/>
      <c r="D49">
        <v>5400</v>
      </c>
      <c r="E49">
        <f t="shared" si="1"/>
        <v>5499</v>
      </c>
      <c r="F49" s="100">
        <v>0</v>
      </c>
    </row>
    <row r="50" ht="16.5" spans="1:6">
      <c r="A50" s="200">
        <v>45</v>
      </c>
      <c r="B50">
        <v>1</v>
      </c>
      <c r="C50" s="200"/>
      <c r="D50">
        <v>5500</v>
      </c>
      <c r="E50">
        <f t="shared" si="1"/>
        <v>5599</v>
      </c>
      <c r="F50" s="100">
        <v>0</v>
      </c>
    </row>
    <row r="51" ht="16.5" spans="1:6">
      <c r="A51" s="1">
        <v>46</v>
      </c>
      <c r="B51">
        <v>1</v>
      </c>
      <c r="C51" s="200"/>
      <c r="D51">
        <v>5600</v>
      </c>
      <c r="E51">
        <f t="shared" si="1"/>
        <v>5699</v>
      </c>
      <c r="F51" s="100">
        <v>0</v>
      </c>
    </row>
    <row r="52" ht="16.5" spans="1:6">
      <c r="A52" s="200">
        <v>47</v>
      </c>
      <c r="B52">
        <v>1</v>
      </c>
      <c r="C52" s="200"/>
      <c r="D52">
        <v>5700</v>
      </c>
      <c r="E52">
        <f t="shared" si="1"/>
        <v>5799</v>
      </c>
      <c r="F52" s="100">
        <v>0</v>
      </c>
    </row>
    <row r="53" ht="16.5" spans="1:6">
      <c r="A53" s="1">
        <v>48</v>
      </c>
      <c r="B53">
        <v>1</v>
      </c>
      <c r="C53" s="200"/>
      <c r="D53">
        <v>5800</v>
      </c>
      <c r="E53">
        <f t="shared" si="1"/>
        <v>5899</v>
      </c>
      <c r="F53" s="100">
        <v>0</v>
      </c>
    </row>
    <row r="54" ht="16.5" spans="1:6">
      <c r="A54" s="200">
        <v>49</v>
      </c>
      <c r="B54">
        <v>1</v>
      </c>
      <c r="C54" s="200"/>
      <c r="D54">
        <v>5900</v>
      </c>
      <c r="E54">
        <f t="shared" si="1"/>
        <v>5999</v>
      </c>
      <c r="F54" s="100">
        <v>0</v>
      </c>
    </row>
    <row r="55" ht="16.5" spans="1:6">
      <c r="A55" s="1">
        <v>50</v>
      </c>
      <c r="B55">
        <v>1</v>
      </c>
      <c r="C55" s="200"/>
      <c r="D55">
        <v>6000</v>
      </c>
      <c r="E55">
        <f t="shared" si="1"/>
        <v>6099</v>
      </c>
      <c r="F55" s="100">
        <v>0</v>
      </c>
    </row>
    <row r="56" ht="16.5" spans="1:6">
      <c r="A56" s="200">
        <v>51</v>
      </c>
      <c r="B56">
        <v>1</v>
      </c>
      <c r="C56" s="200"/>
      <c r="D56">
        <v>6100</v>
      </c>
      <c r="E56">
        <f t="shared" si="1"/>
        <v>6199</v>
      </c>
      <c r="F56" s="100">
        <v>0</v>
      </c>
    </row>
    <row r="57" ht="16.5" spans="1:6">
      <c r="A57" s="1">
        <v>52</v>
      </c>
      <c r="B57">
        <v>1</v>
      </c>
      <c r="C57" s="200"/>
      <c r="D57">
        <v>6200</v>
      </c>
      <c r="E57">
        <f t="shared" si="1"/>
        <v>6299</v>
      </c>
      <c r="F57" s="100">
        <v>0</v>
      </c>
    </row>
    <row r="58" ht="16.5" spans="1:6">
      <c r="A58" s="200">
        <v>53</v>
      </c>
      <c r="B58">
        <v>1</v>
      </c>
      <c r="C58" s="200"/>
      <c r="D58">
        <v>6300</v>
      </c>
      <c r="E58">
        <f t="shared" si="1"/>
        <v>6399</v>
      </c>
      <c r="F58" s="100">
        <v>0</v>
      </c>
    </row>
    <row r="59" ht="16.5" spans="1:6">
      <c r="A59" s="1">
        <v>54</v>
      </c>
      <c r="B59">
        <v>1</v>
      </c>
      <c r="C59" s="200"/>
      <c r="D59">
        <v>6400</v>
      </c>
      <c r="E59">
        <f t="shared" si="1"/>
        <v>6499</v>
      </c>
      <c r="F59" s="100">
        <v>0</v>
      </c>
    </row>
    <row r="60" ht="16.5" spans="1:6">
      <c r="A60" s="200">
        <v>55</v>
      </c>
      <c r="B60">
        <v>1</v>
      </c>
      <c r="C60" s="200"/>
      <c r="D60">
        <v>6500</v>
      </c>
      <c r="E60">
        <f t="shared" si="1"/>
        <v>6599</v>
      </c>
      <c r="F60" s="100">
        <v>0</v>
      </c>
    </row>
    <row r="61" ht="16.5" spans="1:6">
      <c r="A61" s="1">
        <v>56</v>
      </c>
      <c r="B61">
        <v>1</v>
      </c>
      <c r="C61" s="200"/>
      <c r="D61">
        <v>6600</v>
      </c>
      <c r="E61">
        <f t="shared" si="1"/>
        <v>6699</v>
      </c>
      <c r="F61" s="100">
        <v>0</v>
      </c>
    </row>
    <row r="62" ht="16.5" spans="1:6">
      <c r="A62" s="200">
        <v>57</v>
      </c>
      <c r="B62">
        <v>1</v>
      </c>
      <c r="C62" s="200"/>
      <c r="D62">
        <v>6700</v>
      </c>
      <c r="E62">
        <f t="shared" si="1"/>
        <v>6799</v>
      </c>
      <c r="F62" s="100">
        <v>0</v>
      </c>
    </row>
    <row r="63" ht="16.5" spans="1:6">
      <c r="A63" s="1">
        <v>58</v>
      </c>
      <c r="B63">
        <v>1</v>
      </c>
      <c r="C63" s="200"/>
      <c r="D63">
        <v>6800</v>
      </c>
      <c r="E63">
        <v>9999999</v>
      </c>
      <c r="F63" s="100">
        <v>0</v>
      </c>
    </row>
  </sheetData>
  <conditionalFormatting sqref="C17">
    <cfRule type="duplicateValues" dxfId="9" priority="17"/>
    <cfRule type="duplicateValues" dxfId="9" priority="18"/>
  </conditionalFormatting>
  <conditionalFormatting sqref="B7:B34">
    <cfRule type="duplicateValues" dxfId="9" priority="11"/>
    <cfRule type="duplicateValues" dxfId="9" priority="12"/>
  </conditionalFormatting>
  <conditionalFormatting sqref="C7:C16">
    <cfRule type="duplicateValues" dxfId="9" priority="15"/>
    <cfRule type="duplicateValues" dxfId="9" priority="16"/>
  </conditionalFormatting>
  <conditionalFormatting sqref="C18:C34">
    <cfRule type="duplicateValues" dxfId="9" priority="13"/>
    <cfRule type="duplicateValues" dxfId="9" priority="14"/>
  </conditionalFormatting>
  <conditionalFormatting sqref="C35:C63">
    <cfRule type="duplicateValues" dxfId="9" priority="1"/>
    <cfRule type="duplicateValues" dxfId="9" priority="2"/>
  </conditionalFormatting>
  <conditionalFormatting sqref="A1:C2 A3:B3 A4:C6 A7:A63">
    <cfRule type="duplicateValues" dxfId="9" priority="21"/>
  </conditionalFormatting>
  <conditionalFormatting sqref="A6:C6 A7:A63">
    <cfRule type="duplicateValues" dxfId="9" priority="22"/>
  </conditionalFormatting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T67"/>
  <sheetViews>
    <sheetView zoomScale="85" zoomScaleNormal="85" workbookViewId="0">
      <pane xSplit="2" ySplit="5" topLeftCell="C15" activePane="bottomRight" state="frozen"/>
      <selection/>
      <selection pane="topRight"/>
      <selection pane="bottomLeft"/>
      <selection pane="bottomRight" activeCell="F2" sqref="F2"/>
    </sheetView>
  </sheetViews>
  <sheetFormatPr defaultColWidth="9" defaultRowHeight="15"/>
  <cols>
    <col min="2" max="2" width="19.1238938053097" style="82" customWidth="1"/>
    <col min="3" max="3" width="8.3716814159292" customWidth="1"/>
    <col min="4" max="4" width="6.6283185840708" customWidth="1"/>
    <col min="5" max="5" width="7.3716814159292" customWidth="1"/>
    <col min="6" max="6" width="8.3716814159292" customWidth="1"/>
    <col min="7" max="7" width="11.6283185840708" customWidth="1"/>
    <col min="8" max="8" width="23.2477876106195" style="82" customWidth="1"/>
    <col min="9" max="9" width="7.50442477876106" customWidth="1"/>
    <col min="11" max="11" width="10.6283185840708" customWidth="1"/>
    <col min="14" max="14" width="10.6283185840708" customWidth="1"/>
    <col min="18" max="19" width="8.50442477876106" customWidth="1"/>
  </cols>
  <sheetData>
    <row r="1" spans="1:15">
      <c r="A1" s="86" t="s">
        <v>2814</v>
      </c>
      <c r="G1" s="86"/>
      <c r="I1" s="86"/>
      <c r="J1" s="86"/>
      <c r="K1" s="86"/>
      <c r="L1" s="82"/>
      <c r="N1" t="s">
        <v>90</v>
      </c>
      <c r="O1" t="s">
        <v>528</v>
      </c>
    </row>
    <row r="2" ht="138.75" spans="1:20">
      <c r="A2" s="108" t="s">
        <v>2815</v>
      </c>
      <c r="B2" s="82" t="s">
        <v>1500</v>
      </c>
      <c r="C2" s="179" t="s">
        <v>529</v>
      </c>
      <c r="D2" s="180" t="s">
        <v>2816</v>
      </c>
      <c r="E2" s="179" t="s">
        <v>2817</v>
      </c>
      <c r="F2" s="180" t="s">
        <v>2818</v>
      </c>
      <c r="G2" s="108" t="s">
        <v>2819</v>
      </c>
      <c r="H2" s="82" t="s">
        <v>2820</v>
      </c>
      <c r="I2" s="86" t="s">
        <v>998</v>
      </c>
      <c r="J2" s="192" t="s">
        <v>1512</v>
      </c>
      <c r="K2" s="86" t="s">
        <v>2821</v>
      </c>
      <c r="L2" s="98" t="s">
        <v>2822</v>
      </c>
      <c r="M2" s="108" t="s">
        <v>2823</v>
      </c>
      <c r="N2" s="134" t="s">
        <v>2824</v>
      </c>
      <c r="O2" s="193" t="s">
        <v>2825</v>
      </c>
      <c r="P2" s="193" t="s">
        <v>2826</v>
      </c>
      <c r="Q2" s="134"/>
      <c r="R2" s="179" t="s">
        <v>2827</v>
      </c>
      <c r="S2" s="179" t="s">
        <v>2828</v>
      </c>
      <c r="T2" s="179" t="s">
        <v>2829</v>
      </c>
    </row>
    <row r="3" spans="1:20">
      <c r="A3" s="86" t="s">
        <v>109</v>
      </c>
      <c r="B3" s="82" t="s">
        <v>110</v>
      </c>
      <c r="C3" t="s">
        <v>109</v>
      </c>
      <c r="D3" s="181" t="s">
        <v>109</v>
      </c>
      <c r="E3" t="s">
        <v>109</v>
      </c>
      <c r="F3" s="181" t="s">
        <v>109</v>
      </c>
      <c r="G3" s="86" t="s">
        <v>110</v>
      </c>
      <c r="H3" s="82" t="s">
        <v>110</v>
      </c>
      <c r="I3" s="86" t="s">
        <v>109</v>
      </c>
      <c r="J3" s="192" t="s">
        <v>109</v>
      </c>
      <c r="K3" s="86" t="s">
        <v>109</v>
      </c>
      <c r="L3" s="192" t="s">
        <v>109</v>
      </c>
      <c r="M3" s="86" t="s">
        <v>109</v>
      </c>
      <c r="N3" s="82" t="s">
        <v>110</v>
      </c>
      <c r="O3" s="167" t="s">
        <v>109</v>
      </c>
      <c r="P3" s="167" t="s">
        <v>109</v>
      </c>
      <c r="Q3" s="153"/>
      <c r="R3" s="153" t="s">
        <v>109</v>
      </c>
      <c r="S3" s="153" t="s">
        <v>109</v>
      </c>
      <c r="T3" s="82" t="s">
        <v>110</v>
      </c>
    </row>
    <row r="4" spans="1:20">
      <c r="A4" s="82" t="s">
        <v>62</v>
      </c>
      <c r="B4" s="82" t="s">
        <v>64</v>
      </c>
      <c r="C4" t="s">
        <v>556</v>
      </c>
      <c r="D4" s="181" t="s">
        <v>67</v>
      </c>
      <c r="E4" t="s">
        <v>559</v>
      </c>
      <c r="F4" s="181" t="s">
        <v>2830</v>
      </c>
      <c r="G4" s="82" t="s">
        <v>571</v>
      </c>
      <c r="H4" s="82" t="s">
        <v>1029</v>
      </c>
      <c r="I4" s="86" t="s">
        <v>558</v>
      </c>
      <c r="J4" s="192" t="s">
        <v>560</v>
      </c>
      <c r="K4" s="86" t="s">
        <v>2831</v>
      </c>
      <c r="L4" s="194" t="s">
        <v>2832</v>
      </c>
      <c r="M4" s="86" t="s">
        <v>2833</v>
      </c>
      <c r="N4" s="153" t="s">
        <v>570</v>
      </c>
      <c r="O4" s="167" t="s">
        <v>2834</v>
      </c>
      <c r="P4" s="167" t="s">
        <v>2835</v>
      </c>
      <c r="Q4" s="153"/>
      <c r="R4" t="s">
        <v>2836</v>
      </c>
      <c r="S4" t="s">
        <v>2837</v>
      </c>
      <c r="T4" t="s">
        <v>2838</v>
      </c>
    </row>
    <row r="5" spans="1:20">
      <c r="A5" s="82" t="s">
        <v>62</v>
      </c>
      <c r="D5" s="181"/>
      <c r="E5" t="s">
        <v>559</v>
      </c>
      <c r="F5" s="181"/>
      <c r="G5" s="82"/>
      <c r="I5" s="86" t="s">
        <v>558</v>
      </c>
      <c r="J5" s="192" t="s">
        <v>560</v>
      </c>
      <c r="K5" s="86" t="s">
        <v>2831</v>
      </c>
      <c r="L5" s="194" t="s">
        <v>2832</v>
      </c>
      <c r="M5" s="86" t="s">
        <v>2833</v>
      </c>
      <c r="N5" s="153" t="s">
        <v>570</v>
      </c>
      <c r="O5" s="167" t="s">
        <v>2834</v>
      </c>
      <c r="P5" s="167" t="s">
        <v>2835</v>
      </c>
      <c r="Q5" s="153"/>
      <c r="R5" t="s">
        <v>2836</v>
      </c>
      <c r="S5" t="s">
        <v>2837</v>
      </c>
      <c r="T5" t="s">
        <v>2838</v>
      </c>
    </row>
    <row r="6" ht="15.75" spans="1:19">
      <c r="A6" s="182">
        <v>1101</v>
      </c>
      <c r="B6" s="177" t="s">
        <v>1538</v>
      </c>
      <c r="C6">
        <v>1</v>
      </c>
      <c r="D6">
        <v>1</v>
      </c>
      <c r="E6">
        <v>1</v>
      </c>
      <c r="F6">
        <v>2</v>
      </c>
      <c r="G6" s="183" t="str">
        <f ca="1">OFFSET(buff!$AE$1,MATCH(B6,buff!B:B,0)-1,0)</f>
        <v>passive_1</v>
      </c>
      <c r="H6" s="82" t="s">
        <v>2839</v>
      </c>
      <c r="I6" s="195">
        <v>2</v>
      </c>
      <c r="J6">
        <v>5</v>
      </c>
      <c r="K6">
        <f t="shared" ref="K6:K32" si="0">I6*30</f>
        <v>60</v>
      </c>
      <c r="L6" s="196">
        <v>1</v>
      </c>
      <c r="M6" s="182">
        <v>1800001</v>
      </c>
      <c r="N6" t="str">
        <f>O6&amp;$N$1&amp;P6&amp;$N$1&amp;$O$1</f>
        <v>1300001|6|;</v>
      </c>
      <c r="O6" s="182">
        <v>1300001</v>
      </c>
      <c r="P6">
        <v>6</v>
      </c>
      <c r="R6" s="182">
        <v>1300001</v>
      </c>
      <c r="S6">
        <v>6</v>
      </c>
    </row>
    <row r="7" ht="15.75" spans="1:19">
      <c r="A7" s="182">
        <v>1102</v>
      </c>
      <c r="B7" s="177" t="s">
        <v>1558</v>
      </c>
      <c r="C7">
        <v>1</v>
      </c>
      <c r="D7">
        <v>1</v>
      </c>
      <c r="E7">
        <v>1</v>
      </c>
      <c r="F7">
        <v>4</v>
      </c>
      <c r="G7" s="183" t="str">
        <f ca="1">OFFSET(buff!$AE$1,MATCH(B7,buff!B:B,0)-1,0)</f>
        <v>passive_37</v>
      </c>
      <c r="H7" s="82" t="s">
        <v>2840</v>
      </c>
      <c r="I7" s="195">
        <v>2</v>
      </c>
      <c r="J7">
        <v>4</v>
      </c>
      <c r="K7">
        <f t="shared" si="0"/>
        <v>60</v>
      </c>
      <c r="L7" s="196">
        <v>1</v>
      </c>
      <c r="M7" s="182">
        <v>1800002</v>
      </c>
      <c r="O7" s="182">
        <v>1300002</v>
      </c>
      <c r="P7">
        <v>6</v>
      </c>
      <c r="R7" s="182">
        <v>1300002</v>
      </c>
      <c r="S7">
        <v>6</v>
      </c>
    </row>
    <row r="8" ht="15.75" spans="1:19">
      <c r="A8" s="182">
        <v>1103</v>
      </c>
      <c r="B8" s="177" t="s">
        <v>1572</v>
      </c>
      <c r="C8">
        <v>1</v>
      </c>
      <c r="D8">
        <v>1</v>
      </c>
      <c r="E8">
        <v>1</v>
      </c>
      <c r="F8">
        <v>6</v>
      </c>
      <c r="G8" s="183" t="str">
        <f ca="1">OFFSET(buff!$AE$1,MATCH(B8,buff!B:B,0)-1,0)</f>
        <v>passive_14</v>
      </c>
      <c r="H8" s="82" t="s">
        <v>2841</v>
      </c>
      <c r="I8" s="195">
        <v>2</v>
      </c>
      <c r="J8">
        <v>2</v>
      </c>
      <c r="K8">
        <f t="shared" si="0"/>
        <v>60</v>
      </c>
      <c r="L8" s="196">
        <v>2</v>
      </c>
      <c r="M8" s="182">
        <v>1800003</v>
      </c>
      <c r="O8" s="182">
        <v>1300003</v>
      </c>
      <c r="P8">
        <v>6</v>
      </c>
      <c r="R8" s="182">
        <v>1300003</v>
      </c>
      <c r="S8">
        <v>6</v>
      </c>
    </row>
    <row r="9" ht="15.75" spans="1:19">
      <c r="A9" s="182">
        <v>1104</v>
      </c>
      <c r="B9" s="177" t="s">
        <v>2842</v>
      </c>
      <c r="C9">
        <v>1</v>
      </c>
      <c r="D9">
        <v>1</v>
      </c>
      <c r="E9">
        <v>1</v>
      </c>
      <c r="F9">
        <v>7</v>
      </c>
      <c r="G9" s="183" t="str">
        <f ca="1">OFFSET(buff!$AE$1,MATCH(B9,buff!B:B,0)-1,0)</f>
        <v>passive_13</v>
      </c>
      <c r="H9" s="82" t="s">
        <v>2843</v>
      </c>
      <c r="I9" s="195">
        <v>3</v>
      </c>
      <c r="J9">
        <v>3</v>
      </c>
      <c r="K9">
        <f t="shared" si="0"/>
        <v>90</v>
      </c>
      <c r="L9" s="196">
        <v>3</v>
      </c>
      <c r="M9" s="182">
        <v>1800004</v>
      </c>
      <c r="O9" s="182">
        <v>1300004</v>
      </c>
      <c r="P9">
        <v>6</v>
      </c>
      <c r="R9" s="182">
        <v>1300004</v>
      </c>
      <c r="S9">
        <v>6</v>
      </c>
    </row>
    <row r="10" ht="15.75" spans="1:19">
      <c r="A10" s="182">
        <v>1105</v>
      </c>
      <c r="B10" s="184" t="s">
        <v>2844</v>
      </c>
      <c r="C10">
        <v>1</v>
      </c>
      <c r="D10">
        <v>2</v>
      </c>
      <c r="E10">
        <v>1</v>
      </c>
      <c r="F10">
        <v>9</v>
      </c>
      <c r="G10" s="183" t="str">
        <f ca="1">OFFSET(buff!$AE$1,MATCH(B10,buff!B:B,0)-1,0)</f>
        <v>passive_37</v>
      </c>
      <c r="H10" s="82" t="s">
        <v>2845</v>
      </c>
      <c r="I10" s="195">
        <v>3</v>
      </c>
      <c r="J10">
        <v>1</v>
      </c>
      <c r="K10">
        <f t="shared" si="0"/>
        <v>90</v>
      </c>
      <c r="L10" s="196">
        <v>4</v>
      </c>
      <c r="M10" s="182">
        <v>1800005</v>
      </c>
      <c r="O10" s="182">
        <v>1300005</v>
      </c>
      <c r="P10">
        <v>6</v>
      </c>
      <c r="R10" s="182">
        <v>1300005</v>
      </c>
      <c r="S10">
        <v>6</v>
      </c>
    </row>
    <row r="11" ht="15.75" spans="1:19">
      <c r="A11" s="182">
        <v>1201</v>
      </c>
      <c r="B11" s="185" t="s">
        <v>2846</v>
      </c>
      <c r="C11">
        <v>1</v>
      </c>
      <c r="D11">
        <v>2</v>
      </c>
      <c r="E11">
        <v>1</v>
      </c>
      <c r="F11" s="186">
        <v>1</v>
      </c>
      <c r="G11" s="183" t="str">
        <f ca="1">OFFSET(buff!$AE$1,MATCH(B11,buff!B:B,0)-1,0)</f>
        <v>passive_17</v>
      </c>
      <c r="H11" s="82" t="s">
        <v>2847</v>
      </c>
      <c r="I11" s="197">
        <v>3</v>
      </c>
      <c r="J11">
        <v>4</v>
      </c>
      <c r="K11">
        <f t="shared" si="0"/>
        <v>90</v>
      </c>
      <c r="L11" s="196">
        <v>2</v>
      </c>
      <c r="M11" s="182">
        <v>1800006</v>
      </c>
      <c r="O11" s="182">
        <v>1300006</v>
      </c>
      <c r="P11">
        <v>6</v>
      </c>
      <c r="R11" s="182">
        <v>1300006</v>
      </c>
      <c r="S11">
        <v>6</v>
      </c>
    </row>
    <row r="12" ht="15.75" spans="1:19">
      <c r="A12" s="182">
        <v>1202</v>
      </c>
      <c r="B12" s="177" t="s">
        <v>2848</v>
      </c>
      <c r="C12">
        <v>1</v>
      </c>
      <c r="D12">
        <v>1</v>
      </c>
      <c r="E12">
        <v>1</v>
      </c>
      <c r="F12" s="186">
        <v>2</v>
      </c>
      <c r="G12" s="183" t="str">
        <f ca="1">OFFSET(buff!$AE$1,MATCH(B12,buff!B:B,0)-1,0)</f>
        <v>passive_31</v>
      </c>
      <c r="H12" s="82" t="s">
        <v>2849</v>
      </c>
      <c r="I12" s="197">
        <v>3</v>
      </c>
      <c r="J12">
        <v>5</v>
      </c>
      <c r="K12">
        <f t="shared" si="0"/>
        <v>90</v>
      </c>
      <c r="L12" s="196">
        <v>4</v>
      </c>
      <c r="M12" s="182">
        <v>1800007</v>
      </c>
      <c r="O12" s="182">
        <v>1300007</v>
      </c>
      <c r="P12">
        <v>6</v>
      </c>
      <c r="R12" s="182">
        <v>1300007</v>
      </c>
      <c r="S12">
        <v>6</v>
      </c>
    </row>
    <row r="13" ht="15.75" spans="1:19">
      <c r="A13" s="182">
        <v>1203</v>
      </c>
      <c r="B13" s="184" t="s">
        <v>2850</v>
      </c>
      <c r="C13">
        <v>1</v>
      </c>
      <c r="D13">
        <v>2</v>
      </c>
      <c r="E13">
        <v>1</v>
      </c>
      <c r="F13" s="186">
        <v>3</v>
      </c>
      <c r="G13" s="183" t="str">
        <f ca="1">OFFSET(buff!$AE$1,MATCH(B13,buff!B:B,0)-1,0)</f>
        <v>passive_16</v>
      </c>
      <c r="H13" s="82" t="s">
        <v>2851</v>
      </c>
      <c r="I13" s="197">
        <v>4</v>
      </c>
      <c r="J13">
        <v>4</v>
      </c>
      <c r="K13">
        <f t="shared" si="0"/>
        <v>120</v>
      </c>
      <c r="L13" s="196">
        <v>1</v>
      </c>
      <c r="M13" s="182">
        <v>1800008</v>
      </c>
      <c r="O13" s="182">
        <v>1300008</v>
      </c>
      <c r="P13">
        <v>6</v>
      </c>
      <c r="R13" s="182">
        <v>1300008</v>
      </c>
      <c r="S13">
        <v>6</v>
      </c>
    </row>
    <row r="14" ht="15.75" spans="1:12">
      <c r="A14">
        <v>1204</v>
      </c>
      <c r="B14" s="185" t="s">
        <v>2852</v>
      </c>
      <c r="C14">
        <v>0</v>
      </c>
      <c r="D14">
        <v>2</v>
      </c>
      <c r="E14">
        <v>1</v>
      </c>
      <c r="F14" s="187"/>
      <c r="G14" s="183" t="e">
        <f ca="1">OFFSET(buff!$AE$1,MATCH(B14,buff!B:B,0)-1,0)</f>
        <v>#N/A</v>
      </c>
      <c r="H14" s="82" t="s">
        <v>2853</v>
      </c>
      <c r="I14" s="197">
        <v>3</v>
      </c>
      <c r="J14">
        <v>3</v>
      </c>
      <c r="K14">
        <f t="shared" si="0"/>
        <v>90</v>
      </c>
      <c r="L14" s="196"/>
    </row>
    <row r="15" ht="15.75" spans="1:12">
      <c r="A15">
        <v>1205</v>
      </c>
      <c r="B15" s="185" t="s">
        <v>2854</v>
      </c>
      <c r="C15">
        <v>0</v>
      </c>
      <c r="D15">
        <v>2</v>
      </c>
      <c r="E15">
        <v>1</v>
      </c>
      <c r="F15" s="187"/>
      <c r="G15" s="183" t="e">
        <f ca="1">OFFSET(buff!$AE$1,MATCH(B15,buff!B:B,0)-1,0)</f>
        <v>#N/A</v>
      </c>
      <c r="I15" s="197">
        <v>3</v>
      </c>
      <c r="J15">
        <v>4</v>
      </c>
      <c r="K15">
        <f t="shared" si="0"/>
        <v>90</v>
      </c>
      <c r="L15" s="196"/>
    </row>
    <row r="16" ht="15.75" spans="1:12">
      <c r="A16">
        <v>1206</v>
      </c>
      <c r="B16" s="184" t="s">
        <v>2855</v>
      </c>
      <c r="C16">
        <v>0</v>
      </c>
      <c r="D16">
        <v>2</v>
      </c>
      <c r="E16">
        <v>1</v>
      </c>
      <c r="F16" s="187"/>
      <c r="G16" s="183" t="e">
        <f ca="1">OFFSET(buff!$AE$1,MATCH(B16,buff!B:B,0)-1,0)</f>
        <v>#N/A</v>
      </c>
      <c r="I16" s="197">
        <v>4</v>
      </c>
      <c r="J16">
        <v>2</v>
      </c>
      <c r="K16">
        <f t="shared" si="0"/>
        <v>120</v>
      </c>
      <c r="L16" s="196"/>
    </row>
    <row r="17" ht="15.75" spans="1:19">
      <c r="A17" s="182">
        <v>2101</v>
      </c>
      <c r="B17" s="177" t="s">
        <v>1553</v>
      </c>
      <c r="C17">
        <v>1</v>
      </c>
      <c r="D17">
        <v>1</v>
      </c>
      <c r="E17">
        <v>2</v>
      </c>
      <c r="F17">
        <v>2</v>
      </c>
      <c r="G17" s="183" t="str">
        <f ca="1">OFFSET(buff!$AE$1,MATCH(B17,buff!B:B,0)-1,0)</f>
        <v>passive_5</v>
      </c>
      <c r="H17" s="82" t="s">
        <v>2856</v>
      </c>
      <c r="I17" s="195">
        <v>2</v>
      </c>
      <c r="J17">
        <v>1</v>
      </c>
      <c r="K17">
        <f t="shared" si="0"/>
        <v>60</v>
      </c>
      <c r="L17" s="196">
        <v>1</v>
      </c>
      <c r="M17" s="182">
        <v>1800009</v>
      </c>
      <c r="O17" s="182">
        <v>1300009</v>
      </c>
      <c r="P17">
        <v>6</v>
      </c>
      <c r="R17" s="182">
        <v>1300009</v>
      </c>
      <c r="S17">
        <v>6</v>
      </c>
    </row>
    <row r="18" ht="15.75" spans="1:19">
      <c r="A18" s="182">
        <v>2102</v>
      </c>
      <c r="B18" s="177" t="s">
        <v>1533</v>
      </c>
      <c r="C18">
        <v>1</v>
      </c>
      <c r="D18">
        <v>1</v>
      </c>
      <c r="E18">
        <v>2</v>
      </c>
      <c r="F18">
        <v>4</v>
      </c>
      <c r="G18" s="183" t="str">
        <f ca="1">OFFSET(buff!$AE$1,MATCH(B18,buff!B:B,0)-1,0)</f>
        <v>passive_6</v>
      </c>
      <c r="H18" s="82" t="s">
        <v>2857</v>
      </c>
      <c r="I18" s="195">
        <v>2</v>
      </c>
      <c r="J18">
        <v>1</v>
      </c>
      <c r="K18">
        <f t="shared" si="0"/>
        <v>60</v>
      </c>
      <c r="L18" s="196">
        <v>1</v>
      </c>
      <c r="M18" s="182">
        <v>1800010</v>
      </c>
      <c r="O18" s="182">
        <v>1300010</v>
      </c>
      <c r="P18">
        <v>6</v>
      </c>
      <c r="R18" s="182">
        <v>1300010</v>
      </c>
      <c r="S18">
        <v>6</v>
      </c>
    </row>
    <row r="19" ht="15.75" spans="1:19">
      <c r="A19" s="182">
        <v>2103</v>
      </c>
      <c r="B19" s="177" t="s">
        <v>2858</v>
      </c>
      <c r="C19">
        <v>1</v>
      </c>
      <c r="D19">
        <v>1</v>
      </c>
      <c r="E19">
        <v>2</v>
      </c>
      <c r="F19">
        <v>6</v>
      </c>
      <c r="G19" s="183" t="str">
        <f ca="1">OFFSET(buff!$AE$1,MATCH(B19,buff!B:B,0)-1,0)</f>
        <v>passive_21</v>
      </c>
      <c r="H19" s="82" t="s">
        <v>2859</v>
      </c>
      <c r="I19" s="195">
        <v>2</v>
      </c>
      <c r="J19">
        <v>1</v>
      </c>
      <c r="K19">
        <f t="shared" si="0"/>
        <v>60</v>
      </c>
      <c r="L19" s="196">
        <v>2</v>
      </c>
      <c r="M19" s="182">
        <v>1800011</v>
      </c>
      <c r="O19" s="182">
        <v>1300011</v>
      </c>
      <c r="P19">
        <v>6</v>
      </c>
      <c r="R19" s="182">
        <v>1300011</v>
      </c>
      <c r="S19">
        <v>6</v>
      </c>
    </row>
    <row r="20" ht="15.75" spans="1:19">
      <c r="A20" s="182">
        <v>2104</v>
      </c>
      <c r="B20" s="177" t="s">
        <v>1563</v>
      </c>
      <c r="C20">
        <v>1</v>
      </c>
      <c r="D20">
        <v>1</v>
      </c>
      <c r="E20">
        <v>2</v>
      </c>
      <c r="F20">
        <v>7</v>
      </c>
      <c r="G20" s="183" t="str">
        <f ca="1">OFFSET(buff!$AE$1,MATCH(B20,buff!B:B,0)-1,0)</f>
        <v>passive_7</v>
      </c>
      <c r="H20" s="82" t="s">
        <v>2860</v>
      </c>
      <c r="I20" s="195">
        <v>2</v>
      </c>
      <c r="J20">
        <v>1</v>
      </c>
      <c r="K20">
        <f t="shared" si="0"/>
        <v>60</v>
      </c>
      <c r="L20" s="196">
        <v>3</v>
      </c>
      <c r="M20" s="182">
        <v>1800012</v>
      </c>
      <c r="O20" s="182">
        <v>1300012</v>
      </c>
      <c r="P20">
        <v>6</v>
      </c>
      <c r="R20" s="182">
        <v>1300012</v>
      </c>
      <c r="S20">
        <v>6</v>
      </c>
    </row>
    <row r="21" ht="15.75" spans="1:19">
      <c r="A21" s="182">
        <v>2105</v>
      </c>
      <c r="B21" s="185" t="s">
        <v>2861</v>
      </c>
      <c r="C21">
        <v>1</v>
      </c>
      <c r="D21">
        <v>1</v>
      </c>
      <c r="E21">
        <v>2</v>
      </c>
      <c r="F21">
        <v>9</v>
      </c>
      <c r="G21" s="183" t="str">
        <f ca="1">OFFSET(buff!$AE$1,MATCH(B21,buff!B:B,0)-1,0)</f>
        <v>passive_8</v>
      </c>
      <c r="H21" s="82" t="s">
        <v>2862</v>
      </c>
      <c r="I21" s="195">
        <v>3</v>
      </c>
      <c r="J21">
        <v>1</v>
      </c>
      <c r="K21">
        <f t="shared" si="0"/>
        <v>90</v>
      </c>
      <c r="L21" s="196">
        <v>4</v>
      </c>
      <c r="M21" s="182">
        <v>1800013</v>
      </c>
      <c r="O21" s="182">
        <v>1300013</v>
      </c>
      <c r="P21">
        <v>6</v>
      </c>
      <c r="R21" s="182">
        <v>1300013</v>
      </c>
      <c r="S21">
        <v>6</v>
      </c>
    </row>
    <row r="22" ht="15.75" spans="1:19">
      <c r="A22" s="182">
        <v>2201</v>
      </c>
      <c r="B22" s="185" t="s">
        <v>2863</v>
      </c>
      <c r="C22">
        <v>1</v>
      </c>
      <c r="D22">
        <v>2</v>
      </c>
      <c r="E22">
        <v>2</v>
      </c>
      <c r="F22" s="186">
        <v>1</v>
      </c>
      <c r="G22" s="183" t="str">
        <f ca="1">OFFSET(buff!$AE$1,MATCH(B22,buff!B:B,0)-1,0)</f>
        <v>passive_38</v>
      </c>
      <c r="H22" s="82" t="s">
        <v>2864</v>
      </c>
      <c r="I22" s="197">
        <v>3</v>
      </c>
      <c r="J22">
        <v>1</v>
      </c>
      <c r="K22">
        <f t="shared" si="0"/>
        <v>90</v>
      </c>
      <c r="L22" s="196">
        <v>2</v>
      </c>
      <c r="M22" s="182">
        <v>1800014</v>
      </c>
      <c r="O22" s="182">
        <v>1300014</v>
      </c>
      <c r="P22">
        <v>6</v>
      </c>
      <c r="R22" s="182">
        <v>1300014</v>
      </c>
      <c r="S22">
        <v>6</v>
      </c>
    </row>
    <row r="23" ht="15.75" spans="1:19">
      <c r="A23" s="182">
        <v>2202</v>
      </c>
      <c r="B23" s="184" t="s">
        <v>2865</v>
      </c>
      <c r="C23">
        <v>1</v>
      </c>
      <c r="D23">
        <v>2</v>
      </c>
      <c r="E23">
        <v>2</v>
      </c>
      <c r="F23" s="186">
        <v>2</v>
      </c>
      <c r="G23" s="183" t="str">
        <f ca="1">OFFSET(buff!$AE$1,MATCH(B23,buff!B:B,0)-1,0)</f>
        <v>passive_39</v>
      </c>
      <c r="H23" s="82" t="s">
        <v>2866</v>
      </c>
      <c r="I23" s="197">
        <v>4</v>
      </c>
      <c r="J23">
        <v>1</v>
      </c>
      <c r="K23">
        <f t="shared" si="0"/>
        <v>120</v>
      </c>
      <c r="L23" s="196">
        <v>2</v>
      </c>
      <c r="M23" s="182">
        <v>1800015</v>
      </c>
      <c r="O23" s="182">
        <v>1300015</v>
      </c>
      <c r="P23">
        <v>6</v>
      </c>
      <c r="R23" s="182">
        <v>1300015</v>
      </c>
      <c r="S23">
        <v>6</v>
      </c>
    </row>
    <row r="24" ht="15.75" spans="1:19">
      <c r="A24" s="182">
        <v>2203</v>
      </c>
      <c r="B24" s="184" t="s">
        <v>2867</v>
      </c>
      <c r="C24">
        <v>1</v>
      </c>
      <c r="D24">
        <v>2</v>
      </c>
      <c r="E24">
        <v>2</v>
      </c>
      <c r="F24" s="186">
        <v>3</v>
      </c>
      <c r="G24" s="183" t="str">
        <f ca="1">OFFSET(buff!$AE$1,MATCH(B24,buff!B:B,0)-1,0)</f>
        <v>passive_40</v>
      </c>
      <c r="H24" s="82" t="s">
        <v>2868</v>
      </c>
      <c r="I24" s="197">
        <v>4</v>
      </c>
      <c r="J24">
        <v>2</v>
      </c>
      <c r="K24">
        <f t="shared" si="0"/>
        <v>120</v>
      </c>
      <c r="L24" s="196">
        <v>1</v>
      </c>
      <c r="M24" s="182">
        <v>1800016</v>
      </c>
      <c r="O24" s="182">
        <v>1300016</v>
      </c>
      <c r="P24">
        <v>6</v>
      </c>
      <c r="R24" s="182">
        <v>1300016</v>
      </c>
      <c r="S24">
        <v>6</v>
      </c>
    </row>
    <row r="25" ht="15.75" spans="1:12">
      <c r="A25">
        <v>2204</v>
      </c>
      <c r="B25" s="177" t="s">
        <v>1419</v>
      </c>
      <c r="C25">
        <v>0</v>
      </c>
      <c r="D25">
        <v>1</v>
      </c>
      <c r="E25">
        <v>2</v>
      </c>
      <c r="F25" s="187">
        <v>5</v>
      </c>
      <c r="G25" s="183" t="str">
        <f ca="1">OFFSET(buff!$AE$1,MATCH(B25,buff!B:B,0)-1,0)</f>
        <v>passive_5</v>
      </c>
      <c r="H25" s="188"/>
      <c r="I25" s="197">
        <v>2</v>
      </c>
      <c r="J25">
        <v>2</v>
      </c>
      <c r="K25">
        <f t="shared" si="0"/>
        <v>60</v>
      </c>
      <c r="L25" s="196">
        <v>4</v>
      </c>
    </row>
    <row r="26" ht="15.75" spans="2:12">
      <c r="B26" s="185" t="s">
        <v>2869</v>
      </c>
      <c r="C26">
        <v>0</v>
      </c>
      <c r="D26">
        <v>2</v>
      </c>
      <c r="E26">
        <v>2</v>
      </c>
      <c r="F26" s="187"/>
      <c r="G26" s="183" t="e">
        <f ca="1">OFFSET(buff!$AE$1,MATCH(B26,buff!B:B,0)-1,0)</f>
        <v>#N/A</v>
      </c>
      <c r="I26" s="197">
        <v>3</v>
      </c>
      <c r="J26">
        <v>3</v>
      </c>
      <c r="K26">
        <f t="shared" si="0"/>
        <v>90</v>
      </c>
      <c r="L26" s="196"/>
    </row>
    <row r="27" ht="15.75" spans="2:12">
      <c r="B27" s="184" t="s">
        <v>2870</v>
      </c>
      <c r="C27">
        <v>0</v>
      </c>
      <c r="D27">
        <v>2</v>
      </c>
      <c r="E27">
        <v>2</v>
      </c>
      <c r="F27" s="187"/>
      <c r="G27" s="183" t="e">
        <f ca="1">OFFSET(buff!$AE$1,MATCH(B27,buff!B:B,0)-1,0)</f>
        <v>#N/A</v>
      </c>
      <c r="I27" s="197">
        <v>4</v>
      </c>
      <c r="J27">
        <v>2</v>
      </c>
      <c r="K27">
        <f t="shared" si="0"/>
        <v>120</v>
      </c>
      <c r="L27" s="196"/>
    </row>
    <row r="28" ht="15.75" spans="1:19">
      <c r="A28" s="182">
        <v>3101</v>
      </c>
      <c r="B28" s="177" t="s">
        <v>1543</v>
      </c>
      <c r="C28">
        <v>1</v>
      </c>
      <c r="D28">
        <v>1</v>
      </c>
      <c r="E28">
        <v>3</v>
      </c>
      <c r="F28">
        <v>2</v>
      </c>
      <c r="G28" s="183" t="str">
        <f ca="1">OFFSET(buff!$AE$1,MATCH(B28,buff!B:B,0)-1,0)</f>
        <v>passive_23</v>
      </c>
      <c r="H28" s="82" t="s">
        <v>2871</v>
      </c>
      <c r="I28" s="195">
        <v>2</v>
      </c>
      <c r="J28">
        <v>3</v>
      </c>
      <c r="K28">
        <f t="shared" si="0"/>
        <v>60</v>
      </c>
      <c r="L28" s="196">
        <v>1</v>
      </c>
      <c r="M28">
        <v>1800017</v>
      </c>
      <c r="O28">
        <v>1300017</v>
      </c>
      <c r="P28">
        <v>6</v>
      </c>
      <c r="R28">
        <v>1300017</v>
      </c>
      <c r="S28">
        <v>6</v>
      </c>
    </row>
    <row r="29" ht="15.75" spans="1:19">
      <c r="A29" s="182">
        <v>3102</v>
      </c>
      <c r="B29" s="177" t="s">
        <v>1548</v>
      </c>
      <c r="C29">
        <v>1</v>
      </c>
      <c r="D29">
        <v>1</v>
      </c>
      <c r="E29">
        <v>3</v>
      </c>
      <c r="F29">
        <v>4</v>
      </c>
      <c r="G29" s="183" t="str">
        <f ca="1">OFFSET(buff!$AE$1,MATCH(B29,buff!B:B,0)-1,0)</f>
        <v>passive_3</v>
      </c>
      <c r="H29" s="82" t="s">
        <v>2872</v>
      </c>
      <c r="I29" s="195">
        <v>2</v>
      </c>
      <c r="J29">
        <v>2</v>
      </c>
      <c r="K29">
        <f t="shared" si="0"/>
        <v>60</v>
      </c>
      <c r="L29" s="196">
        <v>1</v>
      </c>
      <c r="M29">
        <v>1800018</v>
      </c>
      <c r="O29">
        <v>1300018</v>
      </c>
      <c r="P29">
        <v>6</v>
      </c>
      <c r="R29">
        <v>1300018</v>
      </c>
      <c r="S29">
        <v>6</v>
      </c>
    </row>
    <row r="30" ht="15.75" spans="1:19">
      <c r="A30" s="182">
        <v>3103</v>
      </c>
      <c r="B30" s="177" t="s">
        <v>1951</v>
      </c>
      <c r="C30">
        <v>1</v>
      </c>
      <c r="D30">
        <v>1</v>
      </c>
      <c r="E30">
        <v>3</v>
      </c>
      <c r="F30">
        <v>9</v>
      </c>
      <c r="G30" s="183" t="str">
        <f ca="1">OFFSET(buff!$AE$1,MATCH(B30,buff!B:B,0)-1,0)</f>
        <v>passive_42</v>
      </c>
      <c r="H30" s="82" t="s">
        <v>2873</v>
      </c>
      <c r="I30" s="195">
        <v>3</v>
      </c>
      <c r="J30">
        <v>2</v>
      </c>
      <c r="K30">
        <f t="shared" si="0"/>
        <v>90</v>
      </c>
      <c r="L30" s="196">
        <v>4</v>
      </c>
      <c r="M30">
        <v>1800019</v>
      </c>
      <c r="O30">
        <v>1300019</v>
      </c>
      <c r="P30">
        <v>6</v>
      </c>
      <c r="R30">
        <v>1300019</v>
      </c>
      <c r="S30">
        <v>6</v>
      </c>
    </row>
    <row r="31" ht="15.75" spans="1:19">
      <c r="A31" s="182">
        <v>3104</v>
      </c>
      <c r="B31" s="177" t="s">
        <v>1567</v>
      </c>
      <c r="C31">
        <v>1</v>
      </c>
      <c r="D31">
        <v>1</v>
      </c>
      <c r="E31">
        <v>3</v>
      </c>
      <c r="F31">
        <v>7</v>
      </c>
      <c r="G31" s="183" t="str">
        <f ca="1">OFFSET(buff!$AE$1,MATCH(B31,buff!B:B,0)-1,0)</f>
        <v>passive_10</v>
      </c>
      <c r="H31" s="82" t="s">
        <v>2874</v>
      </c>
      <c r="I31" s="195">
        <v>3</v>
      </c>
      <c r="J31">
        <v>3</v>
      </c>
      <c r="K31">
        <f t="shared" si="0"/>
        <v>90</v>
      </c>
      <c r="L31" s="196">
        <v>3</v>
      </c>
      <c r="M31">
        <v>1800020</v>
      </c>
      <c r="O31">
        <v>1300020</v>
      </c>
      <c r="P31">
        <v>6</v>
      </c>
      <c r="R31">
        <v>1300020</v>
      </c>
      <c r="S31">
        <v>6</v>
      </c>
    </row>
    <row r="32" ht="15.75" spans="1:19">
      <c r="A32" s="182">
        <v>3105</v>
      </c>
      <c r="B32" s="184" t="s">
        <v>1962</v>
      </c>
      <c r="C32">
        <v>1</v>
      </c>
      <c r="D32">
        <v>2</v>
      </c>
      <c r="E32">
        <v>3</v>
      </c>
      <c r="F32">
        <v>1</v>
      </c>
      <c r="G32" s="183" t="str">
        <f ca="1">OFFSET(buff!$AE$1,MATCH(B32,buff!B:B,0)-1,0)</f>
        <v>passive_43</v>
      </c>
      <c r="H32" s="82" t="s">
        <v>2875</v>
      </c>
      <c r="I32" s="195">
        <v>4</v>
      </c>
      <c r="J32">
        <v>4</v>
      </c>
      <c r="K32">
        <f t="shared" si="0"/>
        <v>120</v>
      </c>
      <c r="L32" s="196">
        <v>2</v>
      </c>
      <c r="M32">
        <v>1800021</v>
      </c>
      <c r="O32">
        <v>1300021</v>
      </c>
      <c r="P32">
        <v>6</v>
      </c>
      <c r="R32">
        <v>1300021</v>
      </c>
      <c r="S32">
        <v>6</v>
      </c>
    </row>
    <row r="33" ht="15.75" spans="1:19">
      <c r="A33" s="182">
        <v>3201</v>
      </c>
      <c r="B33" s="184" t="s">
        <v>2876</v>
      </c>
      <c r="C33">
        <v>1</v>
      </c>
      <c r="D33">
        <v>2</v>
      </c>
      <c r="E33">
        <v>3</v>
      </c>
      <c r="F33" s="186">
        <v>3</v>
      </c>
      <c r="G33" s="183" t="str">
        <f ca="1">OFFSET(buff!$AE$1,MATCH(B33,buff!B:B,0)-1,0)</f>
        <v>passive_18</v>
      </c>
      <c r="H33" s="82" t="s">
        <v>2877</v>
      </c>
      <c r="I33">
        <v>4</v>
      </c>
      <c r="J33">
        <v>5</v>
      </c>
      <c r="K33">
        <f t="shared" ref="K33:K41" si="1">I33*30</f>
        <v>120</v>
      </c>
      <c r="L33" s="196">
        <v>1</v>
      </c>
      <c r="M33">
        <v>1800022</v>
      </c>
      <c r="O33">
        <v>1300022</v>
      </c>
      <c r="P33">
        <v>6</v>
      </c>
      <c r="R33">
        <v>1300022</v>
      </c>
      <c r="S33">
        <v>6</v>
      </c>
    </row>
    <row r="34" ht="15.75" spans="1:19">
      <c r="A34" s="182">
        <v>3202</v>
      </c>
      <c r="B34" s="184" t="s">
        <v>2878</v>
      </c>
      <c r="C34">
        <v>1</v>
      </c>
      <c r="D34">
        <v>2</v>
      </c>
      <c r="E34">
        <v>3</v>
      </c>
      <c r="F34" s="186">
        <v>2</v>
      </c>
      <c r="G34" s="183" t="str">
        <f ca="1">OFFSET(buff!$AE$1,MATCH(B34,buff!B:B,0)-1,0)</f>
        <v>passive_9</v>
      </c>
      <c r="H34" s="82" t="s">
        <v>2879</v>
      </c>
      <c r="I34">
        <v>4</v>
      </c>
      <c r="J34">
        <v>3</v>
      </c>
      <c r="K34">
        <f t="shared" si="1"/>
        <v>120</v>
      </c>
      <c r="L34" s="196">
        <v>2</v>
      </c>
      <c r="M34">
        <v>1800023</v>
      </c>
      <c r="O34">
        <v>1300023</v>
      </c>
      <c r="P34">
        <v>6</v>
      </c>
      <c r="R34">
        <v>1300023</v>
      </c>
      <c r="S34">
        <v>6</v>
      </c>
    </row>
    <row r="35" ht="15.75" spans="1:19">
      <c r="A35" s="182">
        <v>3203</v>
      </c>
      <c r="B35" s="177" t="s">
        <v>2880</v>
      </c>
      <c r="C35">
        <v>1</v>
      </c>
      <c r="D35">
        <v>1</v>
      </c>
      <c r="E35">
        <v>3</v>
      </c>
      <c r="F35" s="186">
        <v>6</v>
      </c>
      <c r="G35" s="183" t="str">
        <f ca="1">OFFSET(buff!$AE$1,MATCH(B35,buff!B:B,0)-1,0)</f>
        <v>passive_41</v>
      </c>
      <c r="H35" s="82" t="s">
        <v>2881</v>
      </c>
      <c r="I35">
        <v>2</v>
      </c>
      <c r="J35">
        <v>4</v>
      </c>
      <c r="K35">
        <f t="shared" si="1"/>
        <v>60</v>
      </c>
      <c r="L35" s="196">
        <v>2</v>
      </c>
      <c r="M35">
        <v>1800024</v>
      </c>
      <c r="O35">
        <v>1300024</v>
      </c>
      <c r="P35">
        <v>6</v>
      </c>
      <c r="R35">
        <v>1300024</v>
      </c>
      <c r="S35">
        <v>6</v>
      </c>
    </row>
    <row r="36" ht="27.75" spans="1:12">
      <c r="A36">
        <v>3204</v>
      </c>
      <c r="B36" s="189" t="s">
        <v>2882</v>
      </c>
      <c r="C36">
        <v>0</v>
      </c>
      <c r="D36">
        <v>2</v>
      </c>
      <c r="E36">
        <v>3</v>
      </c>
      <c r="G36" s="183" t="e">
        <f ca="1">OFFSET(buff!$AE$1,MATCH(B36,buff!B:B,0)-1,0)</f>
        <v>#N/A</v>
      </c>
      <c r="H36" s="190" t="s">
        <v>2883</v>
      </c>
      <c r="I36">
        <v>3</v>
      </c>
      <c r="J36">
        <v>2</v>
      </c>
      <c r="K36">
        <f t="shared" si="1"/>
        <v>90</v>
      </c>
      <c r="L36">
        <v>5</v>
      </c>
    </row>
    <row r="37" ht="27.75" spans="1:11">
      <c r="A37">
        <v>3205</v>
      </c>
      <c r="B37" s="189" t="s">
        <v>2884</v>
      </c>
      <c r="C37">
        <v>0</v>
      </c>
      <c r="D37">
        <v>2</v>
      </c>
      <c r="E37">
        <v>3</v>
      </c>
      <c r="G37" s="183" t="e">
        <f ca="1">OFFSET(buff!$AE$1,MATCH(B37,buff!B:B,0)-1,0)</f>
        <v>#N/A</v>
      </c>
      <c r="H37" s="190" t="s">
        <v>2885</v>
      </c>
      <c r="I37">
        <v>3</v>
      </c>
      <c r="J37">
        <v>3</v>
      </c>
      <c r="K37">
        <f t="shared" si="1"/>
        <v>90</v>
      </c>
    </row>
    <row r="38" ht="41.65" spans="1:11">
      <c r="A38">
        <v>3206</v>
      </c>
      <c r="B38" s="189" t="s">
        <v>2886</v>
      </c>
      <c r="C38">
        <v>0</v>
      </c>
      <c r="D38">
        <v>2</v>
      </c>
      <c r="E38">
        <v>3</v>
      </c>
      <c r="G38" s="183" t="e">
        <f ca="1">OFFSET(buff!$AE$1,MATCH(B38,buff!B:B,0)-1,0)</f>
        <v>#N/A</v>
      </c>
      <c r="H38" s="190" t="s">
        <v>2887</v>
      </c>
      <c r="I38">
        <v>3</v>
      </c>
      <c r="J38">
        <v>4</v>
      </c>
      <c r="K38">
        <f t="shared" si="1"/>
        <v>90</v>
      </c>
    </row>
    <row r="39" ht="13.9" spans="1:11">
      <c r="A39">
        <v>4001</v>
      </c>
      <c r="B39" s="144" t="s">
        <v>2888</v>
      </c>
      <c r="D39">
        <v>1</v>
      </c>
      <c r="E39">
        <v>4</v>
      </c>
      <c r="H39" s="190" t="s">
        <v>2889</v>
      </c>
      <c r="I39">
        <v>5</v>
      </c>
      <c r="J39">
        <v>5</v>
      </c>
      <c r="K39">
        <f t="shared" si="1"/>
        <v>150</v>
      </c>
    </row>
    <row r="40" ht="13.85" spans="1:11">
      <c r="A40">
        <v>4002</v>
      </c>
      <c r="B40" s="144" t="s">
        <v>2890</v>
      </c>
      <c r="D40">
        <v>1</v>
      </c>
      <c r="E40">
        <v>4</v>
      </c>
      <c r="H40" s="191" t="s">
        <v>2891</v>
      </c>
      <c r="I40">
        <v>5</v>
      </c>
      <c r="J40">
        <v>2</v>
      </c>
      <c r="K40">
        <f t="shared" si="1"/>
        <v>150</v>
      </c>
    </row>
    <row r="41" ht="13.9" spans="1:11">
      <c r="A41">
        <v>4003</v>
      </c>
      <c r="B41" s="144" t="s">
        <v>2892</v>
      </c>
      <c r="D41">
        <v>1</v>
      </c>
      <c r="E41">
        <v>4</v>
      </c>
      <c r="H41" s="190" t="s">
        <v>2893</v>
      </c>
      <c r="I41">
        <v>5</v>
      </c>
      <c r="J41">
        <v>3</v>
      </c>
      <c r="K41">
        <f t="shared" si="1"/>
        <v>150</v>
      </c>
    </row>
    <row r="64" spans="4:6">
      <c r="D64" s="186"/>
      <c r="F64" s="186"/>
    </row>
    <row r="65" spans="6:6">
      <c r="F65" s="186"/>
    </row>
    <row r="66" spans="6:6">
      <c r="F66" s="186"/>
    </row>
    <row r="67" spans="6:6">
      <c r="F67" s="186"/>
    </row>
  </sheetData>
  <autoFilter xmlns:etc="http://www.wps.cn/officeDocument/2017/etCustomData" ref="A5:XFB41" etc:filterBottomFollowUsedRange="0">
    <extLst/>
  </autoFilter>
  <conditionalFormatting sqref="K3">
    <cfRule type="duplicateValues" dxfId="9" priority="5"/>
  </conditionalFormatting>
  <conditionalFormatting sqref="N3">
    <cfRule type="duplicateValues" dxfId="9" priority="2"/>
  </conditionalFormatting>
  <conditionalFormatting sqref="T3">
    <cfRule type="duplicateValues" dxfId="9" priority="1"/>
  </conditionalFormatting>
  <conditionalFormatting sqref="B9">
    <cfRule type="duplicateValues" dxfId="9" priority="3"/>
  </conditionalFormatting>
  <conditionalFormatting sqref="A1:A5">
    <cfRule type="duplicateValues" dxfId="9" priority="7"/>
  </conditionalFormatting>
  <conditionalFormatting sqref="B1:B5 B11:B1048576">
    <cfRule type="duplicateValues" dxfId="9" priority="4"/>
  </conditionalFormatting>
  <conditionalFormatting sqref="I1:J5">
    <cfRule type="duplicateValues" dxfId="9" priority="6"/>
  </conditionalFormatting>
  <pageMargins left="0.7" right="0.7" top="0.75" bottom="0.75" header="0.3" footer="0.3"/>
  <pageSetup paperSize="9" orientation="portrait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AK283"/>
  <sheetViews>
    <sheetView zoomScale="85" zoomScaleNormal="85" workbookViewId="0">
      <pane xSplit="4" ySplit="5" topLeftCell="T9" activePane="bottomRight" state="frozen"/>
      <selection/>
      <selection pane="topRight"/>
      <selection pane="bottomLeft"/>
      <selection pane="bottomRight" activeCell="T20" sqref="T20"/>
    </sheetView>
  </sheetViews>
  <sheetFormatPr defaultColWidth="9" defaultRowHeight="15"/>
  <cols>
    <col min="2" max="2" width="19.1238938053097" style="91" customWidth="1"/>
    <col min="3" max="3" width="9.6283185840708" customWidth="1"/>
    <col min="4" max="4" width="13.1238938053097" customWidth="1"/>
    <col min="5" max="5" width="7.24778761061947" customWidth="1"/>
    <col min="6" max="6" width="8.12389380530973" style="91" customWidth="1"/>
    <col min="7" max="7" width="7.75221238938053" customWidth="1"/>
    <col min="8" max="8" width="4.87610619469027" customWidth="1"/>
    <col min="9" max="15" width="14.3716814159292" hidden="1" customWidth="1"/>
    <col min="16" max="16" width="9.3716814159292" hidden="1" customWidth="1"/>
    <col min="17" max="17" width="7.6283185840708" hidden="1" customWidth="1"/>
    <col min="18" max="18" width="14.3716814159292" hidden="1" customWidth="1"/>
    <col min="19" max="19" width="20.3716814159292" customWidth="1"/>
    <col min="20" max="20" width="42.2477876106195" style="66" customWidth="1"/>
    <col min="21" max="21" width="12" style="66" customWidth="1"/>
    <col min="22" max="22" width="9.75221238938053" style="66" customWidth="1"/>
    <col min="23" max="25" width="11.5044247787611" customWidth="1"/>
    <col min="26" max="26" width="8.87610619469027" style="153" customWidth="1"/>
    <col min="27" max="27" width="6.24778761061947" style="153" customWidth="1"/>
    <col min="28" max="28" width="9.12389380530973" style="153" customWidth="1"/>
    <col min="29" max="29" width="9.87610619469027" style="153" customWidth="1"/>
    <col min="30" max="30" width="14" style="153" customWidth="1"/>
    <col min="31" max="31" width="7" style="153" customWidth="1"/>
    <col min="32" max="32" width="11.5044247787611" style="91" customWidth="1"/>
    <col min="33" max="34" width="11.2477876106195" customWidth="1"/>
  </cols>
  <sheetData>
    <row r="1" spans="1:22">
      <c r="A1" s="86" t="s">
        <v>2814</v>
      </c>
      <c r="B1" s="57"/>
      <c r="C1" s="86"/>
      <c r="D1" s="86"/>
      <c r="E1" s="86"/>
      <c r="F1" s="57"/>
      <c r="G1" s="86"/>
      <c r="H1" s="86"/>
      <c r="I1" s="86" t="s">
        <v>90</v>
      </c>
      <c r="J1" s="86"/>
      <c r="K1" s="86"/>
      <c r="L1" s="86"/>
      <c r="M1" s="86"/>
      <c r="N1" s="86"/>
      <c r="O1" s="86"/>
      <c r="P1" s="86" t="s">
        <v>528</v>
      </c>
      <c r="Q1" s="86"/>
      <c r="R1" s="86"/>
      <c r="S1" s="86"/>
      <c r="T1" s="86"/>
      <c r="U1" s="153"/>
      <c r="V1" s="153"/>
    </row>
    <row r="2" ht="150" spans="1:37">
      <c r="A2" s="108" t="s">
        <v>2815</v>
      </c>
      <c r="B2" s="55" t="s">
        <v>1500</v>
      </c>
      <c r="C2" s="153" t="s">
        <v>2894</v>
      </c>
      <c r="D2" s="108" t="s">
        <v>2895</v>
      </c>
      <c r="E2" s="108" t="s">
        <v>2896</v>
      </c>
      <c r="F2" s="154" t="s">
        <v>2897</v>
      </c>
      <c r="G2" s="108" t="s">
        <v>2898</v>
      </c>
      <c r="H2" s="108" t="s">
        <v>2899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 t="s">
        <v>2900</v>
      </c>
      <c r="T2" s="163" t="s">
        <v>2901</v>
      </c>
      <c r="U2" s="164" t="s">
        <v>2902</v>
      </c>
      <c r="V2" s="108" t="s">
        <v>2903</v>
      </c>
      <c r="W2" s="108" t="s">
        <v>2904</v>
      </c>
      <c r="X2" s="134" t="s">
        <v>2905</v>
      </c>
      <c r="Y2" s="134" t="s">
        <v>2906</v>
      </c>
      <c r="Z2" s="153" t="s">
        <v>1001</v>
      </c>
      <c r="AA2" s="153" t="s">
        <v>998</v>
      </c>
      <c r="AB2" s="153" t="s">
        <v>2907</v>
      </c>
      <c r="AC2" s="153" t="s">
        <v>2908</v>
      </c>
      <c r="AD2" s="153" t="s">
        <v>1025</v>
      </c>
      <c r="AE2" s="167" t="s">
        <v>2909</v>
      </c>
      <c r="AF2" s="153" t="s">
        <v>2910</v>
      </c>
      <c r="AG2" s="168" t="s">
        <v>2911</v>
      </c>
      <c r="AH2" s="168" t="s">
        <v>2912</v>
      </c>
      <c r="AI2" s="169" t="s">
        <v>2913</v>
      </c>
      <c r="AJ2" s="170" t="s">
        <v>2911</v>
      </c>
      <c r="AK2" s="171" t="s">
        <v>2829</v>
      </c>
    </row>
    <row r="3" spans="1:37">
      <c r="A3" s="86" t="s">
        <v>109</v>
      </c>
      <c r="B3" s="86" t="s">
        <v>110</v>
      </c>
      <c r="C3" s="153" t="s">
        <v>109</v>
      </c>
      <c r="D3" s="86" t="s">
        <v>110</v>
      </c>
      <c r="E3" s="86" t="s">
        <v>109</v>
      </c>
      <c r="F3" s="153"/>
      <c r="G3" s="86" t="s">
        <v>109</v>
      </c>
      <c r="H3" s="86" t="s">
        <v>109</v>
      </c>
      <c r="I3" s="86"/>
      <c r="J3" s="86"/>
      <c r="K3" s="86"/>
      <c r="L3" s="86"/>
      <c r="M3" s="86"/>
      <c r="N3" s="86"/>
      <c r="O3" s="86"/>
      <c r="P3" s="86"/>
      <c r="Q3" s="86"/>
      <c r="R3" s="86"/>
      <c r="S3" s="86" t="s">
        <v>110</v>
      </c>
      <c r="T3" s="86" t="s">
        <v>110</v>
      </c>
      <c r="U3" s="86" t="s">
        <v>109</v>
      </c>
      <c r="V3" s="86" t="s">
        <v>109</v>
      </c>
      <c r="W3" s="86" t="s">
        <v>109</v>
      </c>
      <c r="X3" s="153" t="s">
        <v>109</v>
      </c>
      <c r="Y3" s="153" t="s">
        <v>109</v>
      </c>
      <c r="Z3" s="153" t="s">
        <v>109</v>
      </c>
      <c r="AB3" s="153" t="s">
        <v>109</v>
      </c>
      <c r="AC3" s="153" t="s">
        <v>109</v>
      </c>
      <c r="AD3" s="153" t="s">
        <v>109</v>
      </c>
      <c r="AE3" s="167" t="s">
        <v>109</v>
      </c>
      <c r="AF3" s="153" t="s">
        <v>109</v>
      </c>
      <c r="AG3" s="167" t="s">
        <v>109</v>
      </c>
      <c r="AH3" s="167" t="s">
        <v>109</v>
      </c>
      <c r="AI3" s="153" t="s">
        <v>109</v>
      </c>
      <c r="AJ3" s="172" t="s">
        <v>110</v>
      </c>
      <c r="AK3" s="153" t="s">
        <v>109</v>
      </c>
    </row>
    <row r="4" spans="1:37">
      <c r="A4" s="82" t="s">
        <v>62</v>
      </c>
      <c r="B4" s="61" t="s">
        <v>64</v>
      </c>
      <c r="C4" s="153" t="s">
        <v>18</v>
      </c>
      <c r="D4" s="82" t="s">
        <v>2914</v>
      </c>
      <c r="E4" s="82" t="s">
        <v>2915</v>
      </c>
      <c r="F4" s="155"/>
      <c r="G4" s="82" t="s">
        <v>2916</v>
      </c>
      <c r="H4" s="82" t="s">
        <v>2917</v>
      </c>
      <c r="I4" s="82"/>
      <c r="J4" s="82"/>
      <c r="K4" s="82"/>
      <c r="L4" s="82"/>
      <c r="M4" s="82"/>
      <c r="N4" s="82"/>
      <c r="O4" s="82"/>
      <c r="P4" s="82"/>
      <c r="Q4" s="82"/>
      <c r="R4" s="82"/>
      <c r="S4" s="82" t="s">
        <v>2918</v>
      </c>
      <c r="T4" s="163" t="s">
        <v>2919</v>
      </c>
      <c r="U4" s="22" t="s">
        <v>1267</v>
      </c>
      <c r="V4" t="s">
        <v>2920</v>
      </c>
      <c r="W4" t="s">
        <v>2921</v>
      </c>
      <c r="X4" t="s">
        <v>556</v>
      </c>
      <c r="Y4" t="s">
        <v>2781</v>
      </c>
      <c r="Z4" s="153" t="s">
        <v>1032</v>
      </c>
      <c r="AB4" s="153" t="s">
        <v>1045</v>
      </c>
      <c r="AC4" s="153" t="s">
        <v>2922</v>
      </c>
      <c r="AD4" s="153" t="s">
        <v>1046</v>
      </c>
      <c r="AE4" s="167" t="s">
        <v>2923</v>
      </c>
      <c r="AF4" s="153" t="s">
        <v>2781</v>
      </c>
      <c r="AG4" s="167" t="s">
        <v>2924</v>
      </c>
      <c r="AH4" s="167" t="s">
        <v>2925</v>
      </c>
      <c r="AI4" s="153" t="s">
        <v>2926</v>
      </c>
      <c r="AJ4" s="173" t="s">
        <v>1031</v>
      </c>
      <c r="AK4" s="174" t="s">
        <v>2927</v>
      </c>
    </row>
    <row r="5" spans="1:37">
      <c r="A5" s="82" t="s">
        <v>62</v>
      </c>
      <c r="B5" s="61"/>
      <c r="C5" s="153" t="s">
        <v>18</v>
      </c>
      <c r="D5" s="82"/>
      <c r="E5" s="82" t="s">
        <v>2915</v>
      </c>
      <c r="F5" s="155"/>
      <c r="G5" s="82" t="s">
        <v>2916</v>
      </c>
      <c r="H5" s="82" t="s">
        <v>2917</v>
      </c>
      <c r="I5" s="82"/>
      <c r="J5" s="82"/>
      <c r="K5" s="82"/>
      <c r="L5" s="82"/>
      <c r="M5" s="82"/>
      <c r="N5" s="82"/>
      <c r="O5" s="82"/>
      <c r="P5" s="82"/>
      <c r="Q5" s="82"/>
      <c r="R5" s="82"/>
      <c r="S5" s="82" t="s">
        <v>2918</v>
      </c>
      <c r="T5" s="163"/>
      <c r="U5" s="22" t="s">
        <v>1267</v>
      </c>
      <c r="V5" t="s">
        <v>2920</v>
      </c>
      <c r="W5" t="s">
        <v>2921</v>
      </c>
      <c r="X5" t="s">
        <v>556</v>
      </c>
      <c r="Y5" t="s">
        <v>2781</v>
      </c>
      <c r="Z5" s="153" t="s">
        <v>1032</v>
      </c>
      <c r="AB5" s="153" t="s">
        <v>1045</v>
      </c>
      <c r="AC5" s="153" t="s">
        <v>2922</v>
      </c>
      <c r="AD5" s="153" t="s">
        <v>1046</v>
      </c>
      <c r="AE5" s="167" t="s">
        <v>2923</v>
      </c>
      <c r="AF5" s="153" t="s">
        <v>2781</v>
      </c>
      <c r="AG5" s="167" t="s">
        <v>2924</v>
      </c>
      <c r="AH5" s="167" t="s">
        <v>2925</v>
      </c>
      <c r="AI5" s="153" t="s">
        <v>2926</v>
      </c>
      <c r="AJ5" s="173" t="s">
        <v>1031</v>
      </c>
      <c r="AK5" s="174" t="s">
        <v>2927</v>
      </c>
    </row>
    <row r="6" spans="1:35">
      <c r="A6">
        <f ca="1" t="shared" ref="A6:A69" si="0">C6*100+Z6</f>
        <v>110100</v>
      </c>
      <c r="B6" s="156" t="s">
        <v>1538</v>
      </c>
      <c r="C6">
        <f ca="1">OFFSET(passive_type!$A$1,MATCH(B6,passive_type!B:B,0)-1,0)</f>
        <v>1101</v>
      </c>
      <c r="D6" s="157"/>
      <c r="F6" s="158">
        <f ca="1">(OFFSET(passive_type!$E$1,MATCH(C6,passive_type!A:A,0)-1,0)*10+AA6)*100+Z6</f>
        <v>1200</v>
      </c>
      <c r="G6" s="22">
        <f ca="1">IF(Z6=0,0,VLOOKUP(F6,心法辅助配置表!$G$2:$O$91,AF6+2,FALSE))</f>
        <v>0</v>
      </c>
      <c r="T6" s="165" t="str">
        <f ca="1">OFFSET(buff!$C$1,MATCH(W6,buff!A:A,0)-1,0)</f>
        <v>每使用2招拳法，增加{0}点{1}护甲</v>
      </c>
      <c r="U6" s="166"/>
      <c r="V6" s="166">
        <v>10000</v>
      </c>
      <c r="W6">
        <f ca="1" t="shared" ref="W6:W69" si="1">A6</f>
        <v>110100</v>
      </c>
      <c r="Y6">
        <v>0</v>
      </c>
      <c r="Z6" s="153">
        <f t="shared" ref="Z6:Z69" si="2">IF(B6=B5,Z5+1,0)</f>
        <v>0</v>
      </c>
      <c r="AA6" s="153">
        <f ca="1">OFFSET(passive_type!$I$1,MATCH(C6,passive_type!A:A,0)-1,0)</f>
        <v>2</v>
      </c>
      <c r="AB6" s="153">
        <v>400015</v>
      </c>
      <c r="AC6" s="78">
        <v>400</v>
      </c>
      <c r="AD6" s="153">
        <f ca="1" t="shared" ref="AD6:AD69" si="3">IF(B6=B7,A7,0)</f>
        <v>110101</v>
      </c>
      <c r="AE6" s="153">
        <v>0</v>
      </c>
      <c r="AF6" s="153">
        <f ca="1">OFFSET(passive_type!$L$1,MATCH(B6,passive_type!B:B,0)-1,0)</f>
        <v>1</v>
      </c>
      <c r="AG6">
        <f ca="1">OFFSET(passive_type!$R$1,MATCH(B6,passive_type!B:B,0)-1,0)</f>
        <v>1300001</v>
      </c>
      <c r="AH6" s="78">
        <v>6</v>
      </c>
      <c r="AI6">
        <f ca="1">IF(Z6=0,0,VLOOKUP(F6,心法辅助配置表!Q:X,AF6+1,FALSE))</f>
        <v>0</v>
      </c>
    </row>
    <row r="7" spans="1:35">
      <c r="A7">
        <f ca="1" t="shared" si="0"/>
        <v>110101</v>
      </c>
      <c r="B7" s="156" t="s">
        <v>1538</v>
      </c>
      <c r="C7">
        <f ca="1">OFFSET(passive_type!$A$1,MATCH(B7,passive_type!B:B,0)-1,0)</f>
        <v>1101</v>
      </c>
      <c r="D7" s="157" t="s">
        <v>2928</v>
      </c>
      <c r="E7">
        <v>12</v>
      </c>
      <c r="F7" s="158">
        <f ca="1">(OFFSET(passive_type!$E$1,MATCH(C7,passive_type!A:A,0)-1,0)*10+AA7)*100+Z7</f>
        <v>1201</v>
      </c>
      <c r="G7" s="22">
        <f ca="1">IF(Z7=0,0,VLOOKUP(F7,心法辅助配置表!$G$2:$O$91,AF7+2,FALSE))</f>
        <v>188</v>
      </c>
      <c r="I7" s="78"/>
      <c r="J7" s="78">
        <v>0</v>
      </c>
      <c r="K7" s="78">
        <v>0</v>
      </c>
      <c r="L7" s="78">
        <f ca="1">G7</f>
        <v>188</v>
      </c>
      <c r="M7" s="78">
        <f>J7</f>
        <v>0</v>
      </c>
      <c r="N7" s="78">
        <f>K7</f>
        <v>0</v>
      </c>
      <c r="O7" s="78">
        <f ca="1">G7</f>
        <v>188</v>
      </c>
      <c r="P7" s="78" t="str">
        <f t="shared" ref="P7:P38" si="4">11&amp;$I$1&amp;M7&amp;$I$1&amp;$P$1</f>
        <v>11|0|;</v>
      </c>
      <c r="Q7" s="78" t="str">
        <f t="shared" ref="Q7:Q38" si="5">21&amp;$I$1&amp;N7&amp;$I$1&amp;$P$1</f>
        <v>21|0|;</v>
      </c>
      <c r="R7" s="78" t="str">
        <f ca="1" t="shared" ref="R7:R38" si="6">12&amp;$I$1&amp;O7&amp;$I$1&amp;$P$1</f>
        <v>12|188|;</v>
      </c>
      <c r="S7" s="78" t="str">
        <f ca="1" t="shared" ref="S7:S16" si="7">P7&amp;Q7&amp;R7</f>
        <v>11|0|;21|0|;12|188|;</v>
      </c>
      <c r="T7" s="165" t="str">
        <f ca="1">OFFSET(buff!$C$1,MATCH(W7,buff!A:A,0)-1,0)</f>
        <v>每使用2招拳法，增加{0}点{1}护甲</v>
      </c>
      <c r="U7" s="166"/>
      <c r="V7" s="166">
        <v>10000</v>
      </c>
      <c r="W7">
        <f ca="1" t="shared" si="1"/>
        <v>110101</v>
      </c>
      <c r="Y7">
        <v>1</v>
      </c>
      <c r="Z7" s="153">
        <f t="shared" si="2"/>
        <v>1</v>
      </c>
      <c r="AA7" s="153">
        <f ca="1">OFFSET(passive_type!$I$1,MATCH(C7,passive_type!A:A,0)-1,0)</f>
        <v>2</v>
      </c>
      <c r="AB7" s="153">
        <v>400015</v>
      </c>
      <c r="AC7" s="78">
        <v>800</v>
      </c>
      <c r="AD7" s="153">
        <f ca="1" t="shared" si="3"/>
        <v>110102</v>
      </c>
      <c r="AE7" s="153">
        <v>0</v>
      </c>
      <c r="AF7" s="153">
        <f ca="1">OFFSET(passive_type!$L$1,MATCH(B7,passive_type!B:B,0)-1,0)</f>
        <v>1</v>
      </c>
      <c r="AG7">
        <f ca="1">OFFSET(passive_type!$R$1,MATCH(B7,passive_type!B:B,0)-1,0)</f>
        <v>1300001</v>
      </c>
      <c r="AH7" s="78">
        <v>12</v>
      </c>
      <c r="AI7">
        <f ca="1">IF(Z7=0,0,VLOOKUP(F7,心法辅助配置表!Q:X,AF7+1,FALSE))</f>
        <v>144</v>
      </c>
    </row>
    <row r="8" spans="1:35">
      <c r="A8">
        <f ca="1" t="shared" si="0"/>
        <v>110102</v>
      </c>
      <c r="B8" s="156" t="s">
        <v>1538</v>
      </c>
      <c r="C8">
        <f ca="1">OFFSET(passive_type!$A$1,MATCH(B8,passive_type!B:B,0)-1,0)</f>
        <v>1101</v>
      </c>
      <c r="D8" s="157" t="s">
        <v>2929</v>
      </c>
      <c r="E8">
        <v>11</v>
      </c>
      <c r="F8" s="158">
        <f ca="1">(OFFSET(passive_type!$E$1,MATCH(C8,passive_type!A:A,0)-1,0)*10+AA8)*100+Z8</f>
        <v>1202</v>
      </c>
      <c r="G8" s="22">
        <f ca="1">IF(Z8=0,0,VLOOKUP(F8,心法辅助配置表!$G$2:$O$91,AF8+2,FALSE))</f>
        <v>31</v>
      </c>
      <c r="I8" s="78"/>
      <c r="J8" s="78">
        <f ca="1">G8</f>
        <v>31</v>
      </c>
      <c r="K8" s="78">
        <v>0</v>
      </c>
      <c r="L8" s="78"/>
      <c r="M8" s="78">
        <f ca="1" t="shared" ref="M8:O8" si="8">J8+M7</f>
        <v>31</v>
      </c>
      <c r="N8" s="78">
        <f t="shared" si="8"/>
        <v>0</v>
      </c>
      <c r="O8" s="78">
        <f ca="1" t="shared" si="8"/>
        <v>188</v>
      </c>
      <c r="P8" s="78" t="str">
        <f ca="1" t="shared" si="4"/>
        <v>11|31|;</v>
      </c>
      <c r="Q8" s="78" t="str">
        <f t="shared" si="5"/>
        <v>21|0|;</v>
      </c>
      <c r="R8" s="78" t="str">
        <f ca="1" t="shared" si="6"/>
        <v>12|188|;</v>
      </c>
      <c r="S8" s="78" t="str">
        <f ca="1" t="shared" si="7"/>
        <v>11|31|;21|0|;12|188|;</v>
      </c>
      <c r="T8" s="165" t="str">
        <f ca="1">OFFSET(buff!$C$1,MATCH(W8,buff!A:A,0)-1,0)</f>
        <v>每使用2招拳法，增加{0}点{1}护甲</v>
      </c>
      <c r="U8" s="166"/>
      <c r="V8" s="166">
        <v>10000</v>
      </c>
      <c r="W8">
        <f ca="1" t="shared" si="1"/>
        <v>110102</v>
      </c>
      <c r="Y8">
        <v>1</v>
      </c>
      <c r="Z8" s="153">
        <f t="shared" si="2"/>
        <v>2</v>
      </c>
      <c r="AA8" s="153">
        <f ca="1">OFFSET(passive_type!$I$1,MATCH(C8,passive_type!A:A,0)-1,0)</f>
        <v>2</v>
      </c>
      <c r="AB8" s="153">
        <v>400015</v>
      </c>
      <c r="AC8" s="78">
        <v>1600</v>
      </c>
      <c r="AD8" s="153">
        <f ca="1" t="shared" si="3"/>
        <v>110103</v>
      </c>
      <c r="AE8" s="153">
        <v>0</v>
      </c>
      <c r="AF8" s="153">
        <f ca="1">OFFSET(passive_type!$L$1,MATCH(B8,passive_type!B:B,0)-1,0)</f>
        <v>1</v>
      </c>
      <c r="AG8">
        <f ca="1">OFFSET(passive_type!$R$1,MATCH(B8,passive_type!B:B,0)-1,0)</f>
        <v>1300001</v>
      </c>
      <c r="AH8" s="78">
        <v>24</v>
      </c>
      <c r="AI8">
        <f ca="1">IF(Z8=0,0,VLOOKUP(F8,心法辅助配置表!Q:X,AF8+1,FALSE))</f>
        <v>172</v>
      </c>
    </row>
    <row r="9" spans="1:35">
      <c r="A9">
        <f ca="1" t="shared" si="0"/>
        <v>110103</v>
      </c>
      <c r="B9" s="156" t="s">
        <v>1538</v>
      </c>
      <c r="C9">
        <f ca="1">OFFSET(passive_type!$A$1,MATCH(B9,passive_type!B:B,0)-1,0)</f>
        <v>1101</v>
      </c>
      <c r="D9" s="157" t="s">
        <v>2930</v>
      </c>
      <c r="E9">
        <v>21</v>
      </c>
      <c r="F9" s="158">
        <f ca="1">(OFFSET(passive_type!$E$1,MATCH(C9,passive_type!A:A,0)-1,0)*10+AA9)*100+Z9</f>
        <v>1203</v>
      </c>
      <c r="G9" s="22">
        <f ca="1">IF(Z9=0,0,VLOOKUP(F9,心法辅助配置表!$G$2:$O$91,AF9+2,FALSE))</f>
        <v>19</v>
      </c>
      <c r="I9" s="78"/>
      <c r="J9" s="78"/>
      <c r="K9" s="78">
        <f ca="1">G9</f>
        <v>19</v>
      </c>
      <c r="L9" s="78"/>
      <c r="M9" s="78">
        <f ca="1" t="shared" ref="M9:O9" si="9">J9+M8</f>
        <v>31</v>
      </c>
      <c r="N9" s="78">
        <f ca="1" t="shared" si="9"/>
        <v>19</v>
      </c>
      <c r="O9" s="78">
        <f ca="1" t="shared" si="9"/>
        <v>188</v>
      </c>
      <c r="P9" s="78" t="str">
        <f ca="1" t="shared" si="4"/>
        <v>11|31|;</v>
      </c>
      <c r="Q9" s="78" t="str">
        <f ca="1" t="shared" si="5"/>
        <v>21|19|;</v>
      </c>
      <c r="R9" s="78" t="str">
        <f ca="1" t="shared" si="6"/>
        <v>12|188|;</v>
      </c>
      <c r="S9" s="78" t="str">
        <f ca="1" t="shared" si="7"/>
        <v>11|31|;21|19|;12|188|;</v>
      </c>
      <c r="T9" s="165" t="str">
        <f ca="1">OFFSET(buff!$C$1,MATCH(W9,buff!A:A,0)-1,0)</f>
        <v>每使用2招拳法，增加{0}点{1}护甲</v>
      </c>
      <c r="U9" s="166"/>
      <c r="V9" s="166">
        <v>10000</v>
      </c>
      <c r="W9">
        <f ca="1" t="shared" si="1"/>
        <v>110103</v>
      </c>
      <c r="Y9">
        <v>1</v>
      </c>
      <c r="Z9" s="153">
        <f t="shared" si="2"/>
        <v>3</v>
      </c>
      <c r="AA9" s="153">
        <f ca="1">OFFSET(passive_type!$I$1,MATCH(C9,passive_type!A:A,0)-1,0)</f>
        <v>2</v>
      </c>
      <c r="AB9" s="153">
        <v>400015</v>
      </c>
      <c r="AC9" s="78">
        <v>3200</v>
      </c>
      <c r="AD9" s="153">
        <f ca="1" t="shared" si="3"/>
        <v>110104</v>
      </c>
      <c r="AE9" s="153">
        <v>0</v>
      </c>
      <c r="AF9" s="153">
        <f ca="1">OFFSET(passive_type!$L$1,MATCH(B9,passive_type!B:B,0)-1,0)</f>
        <v>1</v>
      </c>
      <c r="AG9">
        <f ca="1">OFFSET(passive_type!$R$1,MATCH(B9,passive_type!B:B,0)-1,0)</f>
        <v>1300001</v>
      </c>
      <c r="AH9" s="78">
        <v>48</v>
      </c>
      <c r="AI9">
        <f ca="1">IF(Z9=0,0,VLOOKUP(F9,心法辅助配置表!Q:X,AF9+1,FALSE))</f>
        <v>201</v>
      </c>
    </row>
    <row r="10" spans="1:35">
      <c r="A10">
        <f ca="1" t="shared" si="0"/>
        <v>110104</v>
      </c>
      <c r="B10" s="156" t="s">
        <v>1538</v>
      </c>
      <c r="C10">
        <f ca="1">OFFSET(passive_type!$A$1,MATCH(B10,passive_type!B:B,0)-1,0)</f>
        <v>1101</v>
      </c>
      <c r="D10" s="157" t="s">
        <v>2928</v>
      </c>
      <c r="E10">
        <v>12</v>
      </c>
      <c r="F10" s="158">
        <f ca="1">(OFFSET(passive_type!$E$1,MATCH(C10,passive_type!A:A,0)-1,0)*10+AA10)*100+Z10</f>
        <v>1204</v>
      </c>
      <c r="G10" s="22">
        <f ca="1">IF(Z10=0,0,VLOOKUP(F10,心法辅助配置表!$G$2:$O$91,AF10+2,FALSE))</f>
        <v>282</v>
      </c>
      <c r="I10" s="78"/>
      <c r="J10" s="78"/>
      <c r="K10" s="78"/>
      <c r="L10" s="78">
        <f ca="1">G10</f>
        <v>282</v>
      </c>
      <c r="M10" s="78">
        <f ca="1" t="shared" ref="M10:O10" si="10">J10+M9</f>
        <v>31</v>
      </c>
      <c r="N10" s="78">
        <f ca="1" t="shared" si="10"/>
        <v>19</v>
      </c>
      <c r="O10" s="78">
        <f ca="1" t="shared" si="10"/>
        <v>470</v>
      </c>
      <c r="P10" s="78" t="str">
        <f ca="1" t="shared" si="4"/>
        <v>11|31|;</v>
      </c>
      <c r="Q10" s="78" t="str">
        <f ca="1" t="shared" si="5"/>
        <v>21|19|;</v>
      </c>
      <c r="R10" s="78" t="str">
        <f ca="1" t="shared" si="6"/>
        <v>12|470|;</v>
      </c>
      <c r="S10" s="78" t="str">
        <f ca="1" t="shared" si="7"/>
        <v>11|31|;21|19|;12|470|;</v>
      </c>
      <c r="T10" s="165" t="str">
        <f ca="1">OFFSET(buff!$C$1,MATCH(W10,buff!A:A,0)-1,0)</f>
        <v>每使用2招拳法，增加{0}点{1}护甲</v>
      </c>
      <c r="U10" s="166"/>
      <c r="V10" s="166">
        <v>10000</v>
      </c>
      <c r="W10">
        <f ca="1" t="shared" si="1"/>
        <v>110104</v>
      </c>
      <c r="Y10">
        <v>1</v>
      </c>
      <c r="Z10" s="153">
        <f t="shared" si="2"/>
        <v>4</v>
      </c>
      <c r="AA10" s="153">
        <f ca="1">OFFSET(passive_type!$I$1,MATCH(C10,passive_type!A:A,0)-1,0)</f>
        <v>2</v>
      </c>
      <c r="AB10" s="153">
        <v>400015</v>
      </c>
      <c r="AC10" s="78">
        <v>4000</v>
      </c>
      <c r="AD10" s="153">
        <f ca="1" t="shared" si="3"/>
        <v>110105</v>
      </c>
      <c r="AE10" s="153">
        <v>0</v>
      </c>
      <c r="AF10" s="153">
        <f ca="1">OFFSET(passive_type!$L$1,MATCH(B10,passive_type!B:B,0)-1,0)</f>
        <v>1</v>
      </c>
      <c r="AG10">
        <f ca="1">OFFSET(passive_type!$R$1,MATCH(B10,passive_type!B:B,0)-1,0)</f>
        <v>1300001</v>
      </c>
      <c r="AH10" s="78">
        <v>60</v>
      </c>
      <c r="AI10">
        <f ca="1">IF(Z10=0,0,VLOOKUP(F10,心法辅助配置表!Q:X,AF10+1,FALSE))</f>
        <v>230</v>
      </c>
    </row>
    <row r="11" spans="1:35">
      <c r="A11">
        <f ca="1" t="shared" si="0"/>
        <v>110105</v>
      </c>
      <c r="B11" s="156" t="s">
        <v>1538</v>
      </c>
      <c r="C11">
        <f ca="1">OFFSET(passive_type!$A$1,MATCH(B11,passive_type!B:B,0)-1,0)</f>
        <v>1101</v>
      </c>
      <c r="D11" s="157" t="s">
        <v>2929</v>
      </c>
      <c r="E11">
        <v>11</v>
      </c>
      <c r="F11" s="158">
        <f ca="1">(OFFSET(passive_type!$E$1,MATCH(C11,passive_type!A:A,0)-1,0)*10+AA11)*100+Z11</f>
        <v>1205</v>
      </c>
      <c r="G11" s="22">
        <f ca="1">IF(Z11=0,0,VLOOKUP(F11,心法辅助配置表!$G$2:$O$91,AF11+2,FALSE))</f>
        <v>46</v>
      </c>
      <c r="I11" s="78"/>
      <c r="J11" s="78">
        <f ca="1">G11</f>
        <v>46</v>
      </c>
      <c r="K11" s="78"/>
      <c r="L11" s="78"/>
      <c r="M11" s="78">
        <f ca="1" t="shared" ref="M11:O11" si="11">J11+M10</f>
        <v>77</v>
      </c>
      <c r="N11" s="78">
        <f ca="1" t="shared" si="11"/>
        <v>19</v>
      </c>
      <c r="O11" s="78">
        <f ca="1" t="shared" si="11"/>
        <v>470</v>
      </c>
      <c r="P11" s="78" t="str">
        <f ca="1" t="shared" si="4"/>
        <v>11|77|;</v>
      </c>
      <c r="Q11" s="78" t="str">
        <f ca="1" t="shared" si="5"/>
        <v>21|19|;</v>
      </c>
      <c r="R11" s="78" t="str">
        <f ca="1" t="shared" si="6"/>
        <v>12|470|;</v>
      </c>
      <c r="S11" s="78" t="str">
        <f ca="1" t="shared" si="7"/>
        <v>11|77|;21|19|;12|470|;</v>
      </c>
      <c r="T11" s="165" t="str">
        <f ca="1">OFFSET(buff!$C$1,MATCH(W11,buff!A:A,0)-1,0)</f>
        <v>每使用2招拳法，增加{0}点{1}护甲</v>
      </c>
      <c r="U11" s="166"/>
      <c r="V11" s="166">
        <v>10000</v>
      </c>
      <c r="W11">
        <f ca="1" t="shared" si="1"/>
        <v>110105</v>
      </c>
      <c r="Y11">
        <v>1</v>
      </c>
      <c r="Z11" s="153">
        <f t="shared" si="2"/>
        <v>5</v>
      </c>
      <c r="AA11" s="153">
        <f ca="1">OFFSET(passive_type!$I$1,MATCH(C11,passive_type!A:A,0)-1,0)</f>
        <v>2</v>
      </c>
      <c r="AB11" s="153">
        <v>400015</v>
      </c>
      <c r="AC11" s="78">
        <v>5600</v>
      </c>
      <c r="AD11" s="153">
        <f ca="1" t="shared" si="3"/>
        <v>110106</v>
      </c>
      <c r="AE11" s="153">
        <v>0</v>
      </c>
      <c r="AF11" s="153">
        <f ca="1">OFFSET(passive_type!$L$1,MATCH(B11,passive_type!B:B,0)-1,0)</f>
        <v>1</v>
      </c>
      <c r="AG11">
        <f ca="1">OFFSET(passive_type!$R$1,MATCH(B11,passive_type!B:B,0)-1,0)</f>
        <v>1300001</v>
      </c>
      <c r="AH11" s="78">
        <v>84</v>
      </c>
      <c r="AI11">
        <f ca="1">IF(Z11=0,0,VLOOKUP(F11,心法辅助配置表!Q:X,AF11+1,FALSE))</f>
        <v>259</v>
      </c>
    </row>
    <row r="12" spans="1:35">
      <c r="A12">
        <f ca="1" t="shared" si="0"/>
        <v>110106</v>
      </c>
      <c r="B12" s="156" t="s">
        <v>1538</v>
      </c>
      <c r="C12">
        <f ca="1">OFFSET(passive_type!$A$1,MATCH(B12,passive_type!B:B,0)-1,0)</f>
        <v>1101</v>
      </c>
      <c r="D12" s="157" t="s">
        <v>2930</v>
      </c>
      <c r="E12">
        <v>21</v>
      </c>
      <c r="F12" s="158">
        <f ca="1">(OFFSET(passive_type!$E$1,MATCH(C12,passive_type!A:A,0)-1,0)*10+AA12)*100+Z12</f>
        <v>1206</v>
      </c>
      <c r="G12" s="22">
        <f ca="1">IF(Z12=0,0,VLOOKUP(F12,心法辅助配置表!$G$2:$O$91,AF12+2,FALSE))</f>
        <v>29</v>
      </c>
      <c r="I12" s="78"/>
      <c r="J12" s="78"/>
      <c r="K12" s="78">
        <f ca="1">G12</f>
        <v>29</v>
      </c>
      <c r="L12" s="78"/>
      <c r="M12" s="78">
        <f ca="1" t="shared" ref="M12:O12" si="12">J12+M11</f>
        <v>77</v>
      </c>
      <c r="N12" s="78">
        <f ca="1" t="shared" si="12"/>
        <v>48</v>
      </c>
      <c r="O12" s="78">
        <f ca="1" t="shared" si="12"/>
        <v>470</v>
      </c>
      <c r="P12" s="78" t="str">
        <f ca="1" t="shared" si="4"/>
        <v>11|77|;</v>
      </c>
      <c r="Q12" s="78" t="str">
        <f ca="1" t="shared" si="5"/>
        <v>21|48|;</v>
      </c>
      <c r="R12" s="78" t="str">
        <f ca="1" t="shared" si="6"/>
        <v>12|470|;</v>
      </c>
      <c r="S12" s="78" t="str">
        <f ca="1" t="shared" si="7"/>
        <v>11|77|;21|48|;12|470|;</v>
      </c>
      <c r="T12" s="165" t="str">
        <f ca="1">OFFSET(buff!$C$1,MATCH(W12,buff!A:A,0)-1,0)</f>
        <v>每使用2招拳法，增加{0}点{1}护甲</v>
      </c>
      <c r="U12" s="166"/>
      <c r="V12" s="166">
        <v>10000</v>
      </c>
      <c r="W12">
        <f ca="1" t="shared" si="1"/>
        <v>110106</v>
      </c>
      <c r="Y12">
        <v>1</v>
      </c>
      <c r="Z12" s="153">
        <f t="shared" si="2"/>
        <v>6</v>
      </c>
      <c r="AA12" s="153">
        <f ca="1">OFFSET(passive_type!$I$1,MATCH(C12,passive_type!A:A,0)-1,0)</f>
        <v>2</v>
      </c>
      <c r="AB12" s="153">
        <v>400015</v>
      </c>
      <c r="AC12" s="78">
        <v>8800</v>
      </c>
      <c r="AD12" s="153">
        <f ca="1" t="shared" si="3"/>
        <v>110107</v>
      </c>
      <c r="AE12" s="153">
        <v>0</v>
      </c>
      <c r="AF12" s="153">
        <f ca="1">OFFSET(passive_type!$L$1,MATCH(B12,passive_type!B:B,0)-1,0)</f>
        <v>1</v>
      </c>
      <c r="AG12">
        <f ca="1">OFFSET(passive_type!$R$1,MATCH(B12,passive_type!B:B,0)-1,0)</f>
        <v>1300001</v>
      </c>
      <c r="AH12" s="78">
        <v>108</v>
      </c>
      <c r="AI12">
        <f ca="1">IF(Z12=0,0,VLOOKUP(F12,心法辅助配置表!Q:X,AF12+1,FALSE))</f>
        <v>287</v>
      </c>
    </row>
    <row r="13" spans="1:35">
      <c r="A13">
        <f ca="1" t="shared" si="0"/>
        <v>110107</v>
      </c>
      <c r="B13" s="156" t="s">
        <v>1538</v>
      </c>
      <c r="C13">
        <f ca="1">OFFSET(passive_type!$A$1,MATCH(B13,passive_type!B:B,0)-1,0)</f>
        <v>1101</v>
      </c>
      <c r="D13" s="157" t="s">
        <v>2928</v>
      </c>
      <c r="E13">
        <v>12</v>
      </c>
      <c r="F13" s="158">
        <f ca="1">(OFFSET(passive_type!$E$1,MATCH(C13,passive_type!A:A,0)-1,0)*10+AA13)*100+Z13</f>
        <v>1207</v>
      </c>
      <c r="G13" s="22">
        <f ca="1">IF(Z13=0,0,VLOOKUP(F13,心法辅助配置表!$G$2:$O$91,AF13+2,FALSE))</f>
        <v>376</v>
      </c>
      <c r="I13" s="78"/>
      <c r="J13" s="78"/>
      <c r="K13" s="78"/>
      <c r="L13" s="78">
        <f ca="1" t="shared" ref="L13:L18" si="13">G13</f>
        <v>376</v>
      </c>
      <c r="M13" s="78">
        <f ca="1" t="shared" ref="M13:O13" si="14">J13+M12</f>
        <v>77</v>
      </c>
      <c r="N13" s="78">
        <f ca="1" t="shared" si="14"/>
        <v>48</v>
      </c>
      <c r="O13" s="78">
        <f ca="1" t="shared" si="14"/>
        <v>846</v>
      </c>
      <c r="P13" s="78" t="str">
        <f ca="1" t="shared" si="4"/>
        <v>11|77|;</v>
      </c>
      <c r="Q13" s="78" t="str">
        <f ca="1" t="shared" si="5"/>
        <v>21|48|;</v>
      </c>
      <c r="R13" s="78" t="str">
        <f ca="1" t="shared" si="6"/>
        <v>12|846|;</v>
      </c>
      <c r="S13" s="78" t="str">
        <f ca="1" t="shared" si="7"/>
        <v>11|77|;21|48|;12|846|;</v>
      </c>
      <c r="T13" s="165" t="str">
        <f ca="1">OFFSET(buff!$C$1,MATCH(W13,buff!A:A,0)-1,0)</f>
        <v>每使用2招拳法，增加{0}点{1}护甲</v>
      </c>
      <c r="U13" s="166"/>
      <c r="V13" s="166">
        <v>10000</v>
      </c>
      <c r="W13">
        <f ca="1" t="shared" si="1"/>
        <v>110107</v>
      </c>
      <c r="Y13">
        <v>1</v>
      </c>
      <c r="Z13" s="153">
        <f t="shared" si="2"/>
        <v>7</v>
      </c>
      <c r="AA13" s="153">
        <f ca="1">OFFSET(passive_type!$I$1,MATCH(C13,passive_type!A:A,0)-1,0)</f>
        <v>2</v>
      </c>
      <c r="AB13" s="153">
        <v>400015</v>
      </c>
      <c r="AC13" s="78">
        <v>12800</v>
      </c>
      <c r="AD13" s="153">
        <f ca="1" t="shared" si="3"/>
        <v>110108</v>
      </c>
      <c r="AE13" s="153">
        <v>0</v>
      </c>
      <c r="AF13" s="153">
        <f ca="1">OFFSET(passive_type!$L$1,MATCH(B13,passive_type!B:B,0)-1,0)</f>
        <v>1</v>
      </c>
      <c r="AG13">
        <f ca="1">OFFSET(passive_type!$R$1,MATCH(B13,passive_type!B:B,0)-1,0)</f>
        <v>1300001</v>
      </c>
      <c r="AH13" s="78">
        <v>156</v>
      </c>
      <c r="AI13">
        <f ca="1">IF(Z13=0,0,VLOOKUP(F13,心法辅助配置表!Q:X,AF13+1,FALSE))</f>
        <v>316</v>
      </c>
    </row>
    <row r="14" spans="1:35">
      <c r="A14">
        <f ca="1" t="shared" si="0"/>
        <v>110108</v>
      </c>
      <c r="B14" s="156" t="s">
        <v>1538</v>
      </c>
      <c r="C14">
        <f ca="1">OFFSET(passive_type!$A$1,MATCH(B14,passive_type!B:B,0)-1,0)</f>
        <v>1101</v>
      </c>
      <c r="D14" s="157" t="s">
        <v>2929</v>
      </c>
      <c r="E14">
        <v>11</v>
      </c>
      <c r="F14" s="158">
        <f ca="1">(OFFSET(passive_type!$E$1,MATCH(C14,passive_type!A:A,0)-1,0)*10+AA14)*100+Z14</f>
        <v>1208</v>
      </c>
      <c r="G14" s="22">
        <f ca="1">IF(Z14=0,0,VLOOKUP(F14,心法辅助配置表!$G$2:$O$91,AF14+2,FALSE))</f>
        <v>61</v>
      </c>
      <c r="I14" s="78"/>
      <c r="J14" s="78">
        <f ca="1">G14</f>
        <v>61</v>
      </c>
      <c r="K14" s="78"/>
      <c r="L14" s="78"/>
      <c r="M14" s="78">
        <f ca="1" t="shared" ref="M14:O14" si="15">J14+M13</f>
        <v>138</v>
      </c>
      <c r="N14" s="78">
        <f ca="1" t="shared" si="15"/>
        <v>48</v>
      </c>
      <c r="O14" s="78">
        <f ca="1" t="shared" si="15"/>
        <v>846</v>
      </c>
      <c r="P14" s="78" t="str">
        <f ca="1" t="shared" si="4"/>
        <v>11|138|;</v>
      </c>
      <c r="Q14" s="78" t="str">
        <f ca="1" t="shared" si="5"/>
        <v>21|48|;</v>
      </c>
      <c r="R14" s="78" t="str">
        <f ca="1" t="shared" si="6"/>
        <v>12|846|;</v>
      </c>
      <c r="S14" s="78" t="str">
        <f ca="1" t="shared" si="7"/>
        <v>11|138|;21|48|;12|846|;</v>
      </c>
      <c r="T14" s="165" t="str">
        <f ca="1">OFFSET(buff!$C$1,MATCH(W14,buff!A:A,0)-1,0)</f>
        <v>每使用2招拳法，增加{0}点{1}护甲</v>
      </c>
      <c r="U14" s="166"/>
      <c r="V14" s="166">
        <v>10000</v>
      </c>
      <c r="W14">
        <f ca="1" t="shared" si="1"/>
        <v>110108</v>
      </c>
      <c r="Y14">
        <v>1</v>
      </c>
      <c r="Z14" s="153">
        <f t="shared" si="2"/>
        <v>8</v>
      </c>
      <c r="AA14" s="153">
        <f ca="1">OFFSET(passive_type!$I$1,MATCH(C14,passive_type!A:A,0)-1,0)</f>
        <v>2</v>
      </c>
      <c r="AB14" s="153">
        <v>400015</v>
      </c>
      <c r="AC14" s="78">
        <v>18400</v>
      </c>
      <c r="AD14" s="153">
        <f ca="1" t="shared" si="3"/>
        <v>110109</v>
      </c>
      <c r="AE14" s="153">
        <v>0</v>
      </c>
      <c r="AF14" s="153">
        <f ca="1">OFFSET(passive_type!$L$1,MATCH(B14,passive_type!B:B,0)-1,0)</f>
        <v>1</v>
      </c>
      <c r="AG14">
        <f ca="1">OFFSET(passive_type!$R$1,MATCH(B14,passive_type!B:B,0)-1,0)</f>
        <v>1300001</v>
      </c>
      <c r="AH14" s="78">
        <v>216</v>
      </c>
      <c r="AI14">
        <f ca="1">IF(Z14=0,0,VLOOKUP(F14,心法辅助配置表!Q:X,AF14+1,FALSE))</f>
        <v>345</v>
      </c>
    </row>
    <row r="15" spans="1:35">
      <c r="A15">
        <f ca="1" t="shared" si="0"/>
        <v>110109</v>
      </c>
      <c r="B15" s="156" t="s">
        <v>1538</v>
      </c>
      <c r="C15">
        <f ca="1">OFFSET(passive_type!$A$1,MATCH(B15,passive_type!B:B,0)-1,0)</f>
        <v>1101</v>
      </c>
      <c r="D15" s="157" t="s">
        <v>2930</v>
      </c>
      <c r="E15">
        <v>21</v>
      </c>
      <c r="F15" s="158">
        <f ca="1">(OFFSET(passive_type!$E$1,MATCH(C15,passive_type!A:A,0)-1,0)*10+AA15)*100+Z15</f>
        <v>1209</v>
      </c>
      <c r="G15" s="22">
        <f ca="1">IF(Z15=0,0,VLOOKUP(F15,心法辅助配置表!$G$2:$O$91,AF15+2,FALSE))</f>
        <v>38</v>
      </c>
      <c r="I15" s="78"/>
      <c r="J15" s="78"/>
      <c r="K15" s="78">
        <f ca="1">G15</f>
        <v>38</v>
      </c>
      <c r="L15" s="78"/>
      <c r="M15" s="78">
        <f ca="1" t="shared" ref="M15:O15" si="16">J15+M14</f>
        <v>138</v>
      </c>
      <c r="N15" s="78">
        <f ca="1" t="shared" si="16"/>
        <v>86</v>
      </c>
      <c r="O15" s="78">
        <f ca="1" t="shared" si="16"/>
        <v>846</v>
      </c>
      <c r="P15" s="78" t="str">
        <f ca="1" t="shared" si="4"/>
        <v>11|138|;</v>
      </c>
      <c r="Q15" s="78" t="str">
        <f ca="1" t="shared" si="5"/>
        <v>21|86|;</v>
      </c>
      <c r="R15" s="78" t="str">
        <f ca="1" t="shared" si="6"/>
        <v>12|846|;</v>
      </c>
      <c r="S15" s="78" t="str">
        <f ca="1" t="shared" si="7"/>
        <v>11|138|;21|86|;12|846|;</v>
      </c>
      <c r="T15" s="165" t="str">
        <f ca="1">OFFSET(buff!$C$1,MATCH(W15,buff!A:A,0)-1,0)</f>
        <v>每使用2招拳法，增加{0}点{1}护甲</v>
      </c>
      <c r="U15" s="166"/>
      <c r="V15" s="166">
        <v>10000</v>
      </c>
      <c r="W15">
        <f ca="1" t="shared" si="1"/>
        <v>110109</v>
      </c>
      <c r="Y15">
        <v>1</v>
      </c>
      <c r="Z15" s="153">
        <f t="shared" si="2"/>
        <v>9</v>
      </c>
      <c r="AA15" s="153">
        <f ca="1">OFFSET(passive_type!$I$1,MATCH(C15,passive_type!A:A,0)-1,0)</f>
        <v>2</v>
      </c>
      <c r="AB15" s="153">
        <v>400015</v>
      </c>
      <c r="AC15" s="78">
        <v>27200</v>
      </c>
      <c r="AD15" s="153">
        <f ca="1" t="shared" si="3"/>
        <v>110110</v>
      </c>
      <c r="AE15" s="153">
        <v>0</v>
      </c>
      <c r="AF15" s="153">
        <f ca="1">OFFSET(passive_type!$L$1,MATCH(B15,passive_type!B:B,0)-1,0)</f>
        <v>1</v>
      </c>
      <c r="AG15">
        <f ca="1">OFFSET(passive_type!$R$1,MATCH(B15,passive_type!B:B,0)-1,0)</f>
        <v>1300001</v>
      </c>
      <c r="AH15">
        <v>300</v>
      </c>
      <c r="AI15">
        <f ca="1">IF(Z15=0,0,VLOOKUP(F15,心法辅助配置表!Q:X,AF15+1,FALSE))</f>
        <v>374</v>
      </c>
    </row>
    <row r="16" spans="1:35">
      <c r="A16">
        <f ca="1" t="shared" si="0"/>
        <v>110110</v>
      </c>
      <c r="B16" s="156" t="s">
        <v>1538</v>
      </c>
      <c r="C16">
        <f ca="1">OFFSET(passive_type!$A$1,MATCH(B16,passive_type!B:B,0)-1,0)</f>
        <v>1101</v>
      </c>
      <c r="D16" s="157" t="s">
        <v>2928</v>
      </c>
      <c r="E16">
        <v>12</v>
      </c>
      <c r="F16" s="158">
        <f ca="1">(OFFSET(passive_type!$E$1,MATCH(C16,passive_type!A:A,0)-1,0)*10+AA16)*100+Z16</f>
        <v>1210</v>
      </c>
      <c r="G16" s="22">
        <f ca="1">IF(Z16=0,0,VLOOKUP(F16,心法辅助配置表!$G$2:$O$91,AF16+2,FALSE))</f>
        <v>470</v>
      </c>
      <c r="I16" s="78"/>
      <c r="J16" s="78"/>
      <c r="K16" s="78"/>
      <c r="L16" s="78">
        <f ca="1" t="shared" si="13"/>
        <v>470</v>
      </c>
      <c r="M16" s="78">
        <f ca="1" t="shared" ref="M16:O16" si="17">J16+M15</f>
        <v>138</v>
      </c>
      <c r="N16" s="78">
        <f ca="1" t="shared" si="17"/>
        <v>86</v>
      </c>
      <c r="O16" s="78">
        <f ca="1" t="shared" si="17"/>
        <v>1316</v>
      </c>
      <c r="P16" s="78" t="str">
        <f ca="1" t="shared" si="4"/>
        <v>11|138|;</v>
      </c>
      <c r="Q16" s="78" t="str">
        <f ca="1" t="shared" si="5"/>
        <v>21|86|;</v>
      </c>
      <c r="R16" s="78" t="str">
        <f ca="1" t="shared" si="6"/>
        <v>12|1316|;</v>
      </c>
      <c r="S16" s="78" t="str">
        <f ca="1" t="shared" si="7"/>
        <v>11|138|;21|86|;12|1316|;</v>
      </c>
      <c r="T16" s="165" t="str">
        <f ca="1">OFFSET(buff!$C$1,MATCH(W16,buff!A:A,0)-1,0)</f>
        <v>每使用2招拳法，增加{0}点{1}护甲</v>
      </c>
      <c r="U16" s="166"/>
      <c r="V16" s="166">
        <v>10000</v>
      </c>
      <c r="W16">
        <f ca="1" t="shared" si="1"/>
        <v>110110</v>
      </c>
      <c r="Y16">
        <v>1</v>
      </c>
      <c r="Z16" s="153">
        <f t="shared" si="2"/>
        <v>10</v>
      </c>
      <c r="AA16" s="153">
        <f ca="1">OFFSET(passive_type!$I$1,MATCH(C16,passive_type!A:A,0)-1,0)</f>
        <v>2</v>
      </c>
      <c r="AB16" s="153">
        <v>400015</v>
      </c>
      <c r="AC16" s="78"/>
      <c r="AD16" s="153">
        <f ca="1" t="shared" si="3"/>
        <v>0</v>
      </c>
      <c r="AE16" s="153">
        <v>0</v>
      </c>
      <c r="AF16" s="153">
        <f ca="1">OFFSET(passive_type!$L$1,MATCH(B16,passive_type!B:B,0)-1,0)</f>
        <v>1</v>
      </c>
      <c r="AG16">
        <f ca="1">OFFSET(passive_type!$R$1,MATCH(B16,passive_type!B:B,0)-1,0)</f>
        <v>1300001</v>
      </c>
      <c r="AH16">
        <f ca="1">IF(AD16=0,0,20)</f>
        <v>0</v>
      </c>
      <c r="AI16">
        <f ca="1">IF(Z16=0,0,VLOOKUP(F16,心法辅助配置表!Q:X,AF16+1,FALSE))</f>
        <v>402</v>
      </c>
    </row>
    <row r="17" spans="1:35">
      <c r="A17">
        <f ca="1" t="shared" si="0"/>
        <v>110200</v>
      </c>
      <c r="B17" s="156" t="s">
        <v>1558</v>
      </c>
      <c r="C17">
        <f ca="1">OFFSET(passive_type!$A$1,MATCH(B17,passive_type!B:B,0)-1,0)</f>
        <v>1102</v>
      </c>
      <c r="D17" s="157"/>
      <c r="F17" s="158">
        <f ca="1">(OFFSET(passive_type!$E$1,MATCH(C17,passive_type!A:A,0)-1,0)*10+AA17)*100+Z17</f>
        <v>1200</v>
      </c>
      <c r="G17" s="22">
        <f ca="1">IF(Z17=0,0,VLOOKUP(F17,心法辅助配置表!$G$2:$O$91,AF17+2,FALSE))</f>
        <v>0</v>
      </c>
      <c r="I17" s="161"/>
      <c r="J17" s="161"/>
      <c r="K17" s="161"/>
      <c r="L17" s="161"/>
      <c r="P17" s="78" t="str">
        <f t="shared" si="4"/>
        <v>11||;</v>
      </c>
      <c r="Q17" s="78" t="str">
        <f t="shared" si="5"/>
        <v>21||;</v>
      </c>
      <c r="R17" s="78" t="str">
        <f t="shared" si="6"/>
        <v>12||;</v>
      </c>
      <c r="S17" s="78"/>
      <c r="T17" s="165" t="str">
        <f ca="1">OFFSET(buff!$C$1,MATCH(W17,buff!A:A,0)-1,0)</f>
        <v>增加拳法伤害10%</v>
      </c>
      <c r="U17" s="166"/>
      <c r="V17" s="166">
        <v>10000</v>
      </c>
      <c r="W17">
        <f ca="1" t="shared" si="1"/>
        <v>110200</v>
      </c>
      <c r="Z17" s="153">
        <f t="shared" si="2"/>
        <v>0</v>
      </c>
      <c r="AA17" s="153">
        <f ca="1">OFFSET(passive_type!$I$1,MATCH(C17,passive_type!A:A,0)-1,0)</f>
        <v>2</v>
      </c>
      <c r="AB17" s="153">
        <v>400015</v>
      </c>
      <c r="AC17" s="78">
        <v>400</v>
      </c>
      <c r="AD17" s="153">
        <f ca="1" t="shared" si="3"/>
        <v>110201</v>
      </c>
      <c r="AE17" s="153">
        <v>0</v>
      </c>
      <c r="AF17" s="153">
        <f ca="1">OFFSET(passive_type!$L$1,MATCH(B17,passive_type!B:B,0)-1,0)</f>
        <v>1</v>
      </c>
      <c r="AG17">
        <f ca="1">OFFSET(passive_type!$R$1,MATCH(B17,passive_type!B:B,0)-1,0)</f>
        <v>1300002</v>
      </c>
      <c r="AH17" s="78">
        <v>6</v>
      </c>
      <c r="AI17">
        <f ca="1">IF(Z17=0,0,VLOOKUP(F17,心法辅助配置表!Q:X,AF17+1,FALSE))</f>
        <v>0</v>
      </c>
    </row>
    <row r="18" spans="1:35">
      <c r="A18">
        <f ca="1" t="shared" si="0"/>
        <v>110201</v>
      </c>
      <c r="B18" s="156" t="s">
        <v>1558</v>
      </c>
      <c r="C18">
        <f ca="1">OFFSET(passive_type!$A$1,MATCH(B18,passive_type!B:B,0)-1,0)</f>
        <v>1102</v>
      </c>
      <c r="D18" s="157" t="s">
        <v>2928</v>
      </c>
      <c r="E18">
        <v>12</v>
      </c>
      <c r="F18" s="158">
        <f ca="1">(OFFSET(passive_type!$E$1,MATCH(C18,passive_type!A:A,0)-1,0)*10+AA18)*100+Z18</f>
        <v>1201</v>
      </c>
      <c r="G18" s="22">
        <f ca="1">IF(Z18=0,0,VLOOKUP(F18,心法辅助配置表!$G$2:$O$91,AF18+2,FALSE))</f>
        <v>188</v>
      </c>
      <c r="I18" s="153"/>
      <c r="J18" s="153"/>
      <c r="K18" s="153"/>
      <c r="L18" s="78">
        <f ca="1" t="shared" si="13"/>
        <v>188</v>
      </c>
      <c r="M18" s="78">
        <f>J18</f>
        <v>0</v>
      </c>
      <c r="N18" s="78">
        <f>K18</f>
        <v>0</v>
      </c>
      <c r="O18" s="78">
        <f ca="1">G18</f>
        <v>188</v>
      </c>
      <c r="P18" s="78" t="str">
        <f t="shared" si="4"/>
        <v>11|0|;</v>
      </c>
      <c r="Q18" s="78" t="str">
        <f t="shared" si="5"/>
        <v>21|0|;</v>
      </c>
      <c r="R18" s="78" t="str">
        <f ca="1" t="shared" si="6"/>
        <v>12|188|;</v>
      </c>
      <c r="S18" s="78" t="str">
        <f ca="1" t="shared" ref="S18:S27" si="18">P18&amp;Q18&amp;R18</f>
        <v>11|0|;21|0|;12|188|;</v>
      </c>
      <c r="T18" s="165" t="str">
        <f ca="1">OFFSET(buff!$C$1,MATCH(W18,buff!A:A,0)-1,0)</f>
        <v>增加拳法伤害12%</v>
      </c>
      <c r="U18" s="166"/>
      <c r="V18" s="166">
        <v>10000</v>
      </c>
      <c r="W18">
        <f ca="1" t="shared" si="1"/>
        <v>110201</v>
      </c>
      <c r="Z18" s="153">
        <f t="shared" si="2"/>
        <v>1</v>
      </c>
      <c r="AA18" s="153">
        <f ca="1">OFFSET(passive_type!$I$1,MATCH(C18,passive_type!A:A,0)-1,0)</f>
        <v>2</v>
      </c>
      <c r="AB18" s="153">
        <v>400015</v>
      </c>
      <c r="AC18" s="78">
        <v>800</v>
      </c>
      <c r="AD18" s="153">
        <f ca="1" t="shared" si="3"/>
        <v>110202</v>
      </c>
      <c r="AE18" s="153">
        <v>0</v>
      </c>
      <c r="AF18" s="153">
        <f ca="1">OFFSET(passive_type!$L$1,MATCH(B18,passive_type!B:B,0)-1,0)</f>
        <v>1</v>
      </c>
      <c r="AG18">
        <f ca="1">OFFSET(passive_type!$R$1,MATCH(B18,passive_type!B:B,0)-1,0)</f>
        <v>1300002</v>
      </c>
      <c r="AH18" s="78">
        <v>12</v>
      </c>
      <c r="AI18">
        <f ca="1">IF(Z18=0,0,VLOOKUP(F18,心法辅助配置表!Q:X,AF18+1,FALSE))</f>
        <v>144</v>
      </c>
    </row>
    <row r="19" spans="1:35">
      <c r="A19">
        <f ca="1" t="shared" si="0"/>
        <v>110202</v>
      </c>
      <c r="B19" s="156" t="s">
        <v>1558</v>
      </c>
      <c r="C19">
        <f ca="1">OFFSET(passive_type!$A$1,MATCH(B19,passive_type!B:B,0)-1,0)</f>
        <v>1102</v>
      </c>
      <c r="D19" s="157" t="s">
        <v>2929</v>
      </c>
      <c r="E19">
        <v>11</v>
      </c>
      <c r="F19" s="158">
        <f ca="1">(OFFSET(passive_type!$E$1,MATCH(C19,passive_type!A:A,0)-1,0)*10+AA19)*100+Z19</f>
        <v>1202</v>
      </c>
      <c r="G19" s="22">
        <f ca="1">IF(Z19=0,0,VLOOKUP(F19,心法辅助配置表!$G$2:$O$91,AF19+2,FALSE))</f>
        <v>31</v>
      </c>
      <c r="I19" s="161"/>
      <c r="J19" s="78">
        <f ca="1">G19</f>
        <v>31</v>
      </c>
      <c r="K19" s="162"/>
      <c r="L19" s="162"/>
      <c r="M19" s="78">
        <f ca="1" t="shared" ref="M19:O19" si="19">J19+M18</f>
        <v>31</v>
      </c>
      <c r="N19" s="78">
        <f t="shared" si="19"/>
        <v>0</v>
      </c>
      <c r="O19" s="78">
        <f ca="1" t="shared" si="19"/>
        <v>188</v>
      </c>
      <c r="P19" s="78" t="str">
        <f ca="1" t="shared" si="4"/>
        <v>11|31|;</v>
      </c>
      <c r="Q19" s="78" t="str">
        <f t="shared" si="5"/>
        <v>21|0|;</v>
      </c>
      <c r="R19" s="78" t="str">
        <f ca="1" t="shared" si="6"/>
        <v>12|188|;</v>
      </c>
      <c r="S19" s="78" t="str">
        <f ca="1" t="shared" si="18"/>
        <v>11|31|;21|0|;12|188|;</v>
      </c>
      <c r="T19" s="165" t="str">
        <f ca="1">OFFSET(buff!$C$1,MATCH(W19,buff!A:A,0)-1,0)</f>
        <v>增加拳法伤害14%</v>
      </c>
      <c r="U19" s="166"/>
      <c r="V19" s="166">
        <v>10000</v>
      </c>
      <c r="W19">
        <f ca="1" t="shared" si="1"/>
        <v>110202</v>
      </c>
      <c r="Z19" s="153">
        <f t="shared" si="2"/>
        <v>2</v>
      </c>
      <c r="AA19" s="153">
        <f ca="1">OFFSET(passive_type!$I$1,MATCH(C19,passive_type!A:A,0)-1,0)</f>
        <v>2</v>
      </c>
      <c r="AB19" s="153">
        <v>400015</v>
      </c>
      <c r="AC19" s="78">
        <v>1600</v>
      </c>
      <c r="AD19" s="153">
        <f ca="1" t="shared" si="3"/>
        <v>110203</v>
      </c>
      <c r="AE19" s="153">
        <v>0</v>
      </c>
      <c r="AF19" s="153">
        <f ca="1">OFFSET(passive_type!$L$1,MATCH(B19,passive_type!B:B,0)-1,0)</f>
        <v>1</v>
      </c>
      <c r="AG19">
        <f ca="1">OFFSET(passive_type!$R$1,MATCH(B19,passive_type!B:B,0)-1,0)</f>
        <v>1300002</v>
      </c>
      <c r="AH19" s="78">
        <v>24</v>
      </c>
      <c r="AI19">
        <f ca="1">IF(Z19=0,0,VLOOKUP(F19,心法辅助配置表!Q:X,AF19+1,FALSE))</f>
        <v>172</v>
      </c>
    </row>
    <row r="20" spans="1:35">
      <c r="A20">
        <f ca="1" t="shared" si="0"/>
        <v>110203</v>
      </c>
      <c r="B20" s="156" t="s">
        <v>1558</v>
      </c>
      <c r="C20">
        <f ca="1">OFFSET(passive_type!$A$1,MATCH(B20,passive_type!B:B,0)-1,0)</f>
        <v>1102</v>
      </c>
      <c r="D20" s="157" t="s">
        <v>2930</v>
      </c>
      <c r="E20">
        <v>21</v>
      </c>
      <c r="F20" s="158">
        <f ca="1">(OFFSET(passive_type!$E$1,MATCH(C20,passive_type!A:A,0)-1,0)*10+AA20)*100+Z20</f>
        <v>1203</v>
      </c>
      <c r="G20" s="22">
        <f ca="1">IF(Z20=0,0,VLOOKUP(F20,心法辅助配置表!$G$2:$O$91,AF20+2,FALSE))</f>
        <v>19</v>
      </c>
      <c r="I20" s="161"/>
      <c r="J20" s="161"/>
      <c r="K20" s="78">
        <f ca="1">G20</f>
        <v>19</v>
      </c>
      <c r="L20" s="161"/>
      <c r="M20" s="78">
        <f ca="1" t="shared" ref="M20:O20" si="20">J20+M19</f>
        <v>31</v>
      </c>
      <c r="N20" s="78">
        <f ca="1" t="shared" si="20"/>
        <v>19</v>
      </c>
      <c r="O20" s="78">
        <f ca="1" t="shared" si="20"/>
        <v>188</v>
      </c>
      <c r="P20" s="78" t="str">
        <f ca="1" t="shared" si="4"/>
        <v>11|31|;</v>
      </c>
      <c r="Q20" s="78" t="str">
        <f ca="1" t="shared" si="5"/>
        <v>21|19|;</v>
      </c>
      <c r="R20" s="78" t="str">
        <f ca="1" t="shared" si="6"/>
        <v>12|188|;</v>
      </c>
      <c r="S20" s="78" t="str">
        <f ca="1" t="shared" si="18"/>
        <v>11|31|;21|19|;12|188|;</v>
      </c>
      <c r="T20" s="165" t="str">
        <f ca="1">OFFSET(buff!$C$1,MATCH(W20,buff!A:A,0)-1,0)</f>
        <v>增加拳法伤害16%</v>
      </c>
      <c r="U20" s="166"/>
      <c r="V20" s="166">
        <v>10000</v>
      </c>
      <c r="W20">
        <f ca="1" t="shared" si="1"/>
        <v>110203</v>
      </c>
      <c r="Z20" s="153">
        <f t="shared" si="2"/>
        <v>3</v>
      </c>
      <c r="AA20" s="153">
        <f ca="1">OFFSET(passive_type!$I$1,MATCH(C20,passive_type!A:A,0)-1,0)</f>
        <v>2</v>
      </c>
      <c r="AB20" s="153">
        <v>400015</v>
      </c>
      <c r="AC20" s="78">
        <v>3200</v>
      </c>
      <c r="AD20" s="153">
        <f ca="1" t="shared" si="3"/>
        <v>110204</v>
      </c>
      <c r="AE20" s="153">
        <v>0</v>
      </c>
      <c r="AF20" s="153">
        <f ca="1">OFFSET(passive_type!$L$1,MATCH(B20,passive_type!B:B,0)-1,0)</f>
        <v>1</v>
      </c>
      <c r="AG20">
        <f ca="1">OFFSET(passive_type!$R$1,MATCH(B20,passive_type!B:B,0)-1,0)</f>
        <v>1300002</v>
      </c>
      <c r="AH20" s="78">
        <v>48</v>
      </c>
      <c r="AI20">
        <f ca="1">IF(Z20=0,0,VLOOKUP(F20,心法辅助配置表!Q:X,AF20+1,FALSE))</f>
        <v>201</v>
      </c>
    </row>
    <row r="21" spans="1:35">
      <c r="A21">
        <f ca="1" t="shared" si="0"/>
        <v>110204</v>
      </c>
      <c r="B21" s="156" t="s">
        <v>1558</v>
      </c>
      <c r="C21">
        <f ca="1">OFFSET(passive_type!$A$1,MATCH(B21,passive_type!B:B,0)-1,0)</f>
        <v>1102</v>
      </c>
      <c r="D21" s="157" t="s">
        <v>2928</v>
      </c>
      <c r="E21">
        <v>12</v>
      </c>
      <c r="F21" s="158">
        <f ca="1">(OFFSET(passive_type!$E$1,MATCH(C21,passive_type!A:A,0)-1,0)*10+AA21)*100+Z21</f>
        <v>1204</v>
      </c>
      <c r="G21" s="22">
        <f ca="1">IF(Z21=0,0,VLOOKUP(F21,心法辅助配置表!$G$2:$O$91,AF21+2,FALSE))</f>
        <v>282</v>
      </c>
      <c r="I21" s="161"/>
      <c r="J21" s="161"/>
      <c r="K21" s="161"/>
      <c r="L21" s="78">
        <f ca="1">G21</f>
        <v>282</v>
      </c>
      <c r="M21" s="78">
        <f ca="1" t="shared" ref="M21:O21" si="21">J21+M20</f>
        <v>31</v>
      </c>
      <c r="N21" s="78">
        <f ca="1" t="shared" si="21"/>
        <v>19</v>
      </c>
      <c r="O21" s="78">
        <f ca="1" t="shared" si="21"/>
        <v>470</v>
      </c>
      <c r="P21" s="78" t="str">
        <f ca="1" t="shared" si="4"/>
        <v>11|31|;</v>
      </c>
      <c r="Q21" s="78" t="str">
        <f ca="1" t="shared" si="5"/>
        <v>21|19|;</v>
      </c>
      <c r="R21" s="78" t="str">
        <f ca="1" t="shared" si="6"/>
        <v>12|470|;</v>
      </c>
      <c r="S21" s="78" t="str">
        <f ca="1" t="shared" si="18"/>
        <v>11|31|;21|19|;12|470|;</v>
      </c>
      <c r="T21" s="165" t="str">
        <f ca="1">OFFSET(buff!$C$1,MATCH(W21,buff!A:A,0)-1,0)</f>
        <v>增加拳法伤害18%</v>
      </c>
      <c r="U21" s="166"/>
      <c r="V21" s="166">
        <v>10000</v>
      </c>
      <c r="W21">
        <f ca="1" t="shared" si="1"/>
        <v>110204</v>
      </c>
      <c r="Z21" s="153">
        <f t="shared" si="2"/>
        <v>4</v>
      </c>
      <c r="AA21" s="153">
        <f ca="1">OFFSET(passive_type!$I$1,MATCH(C21,passive_type!A:A,0)-1,0)</f>
        <v>2</v>
      </c>
      <c r="AB21" s="153">
        <v>400015</v>
      </c>
      <c r="AC21" s="78">
        <v>4000</v>
      </c>
      <c r="AD21" s="153">
        <f ca="1" t="shared" si="3"/>
        <v>110205</v>
      </c>
      <c r="AE21" s="153">
        <v>0</v>
      </c>
      <c r="AF21" s="153">
        <f ca="1">OFFSET(passive_type!$L$1,MATCH(B21,passive_type!B:B,0)-1,0)</f>
        <v>1</v>
      </c>
      <c r="AG21">
        <f ca="1">OFFSET(passive_type!$R$1,MATCH(B21,passive_type!B:B,0)-1,0)</f>
        <v>1300002</v>
      </c>
      <c r="AH21" s="78">
        <v>60</v>
      </c>
      <c r="AI21">
        <f ca="1">IF(Z21=0,0,VLOOKUP(F21,心法辅助配置表!Q:X,AF21+1,FALSE))</f>
        <v>230</v>
      </c>
    </row>
    <row r="22" spans="1:35">
      <c r="A22">
        <f ca="1" t="shared" si="0"/>
        <v>110205</v>
      </c>
      <c r="B22" s="156" t="s">
        <v>1558</v>
      </c>
      <c r="C22">
        <f ca="1">OFFSET(passive_type!$A$1,MATCH(B22,passive_type!B:B,0)-1,0)</f>
        <v>1102</v>
      </c>
      <c r="D22" s="157" t="s">
        <v>2929</v>
      </c>
      <c r="E22">
        <v>11</v>
      </c>
      <c r="F22" s="158">
        <f ca="1">(OFFSET(passive_type!$E$1,MATCH(C22,passive_type!A:A,0)-1,0)*10+AA22)*100+Z22</f>
        <v>1205</v>
      </c>
      <c r="G22" s="22">
        <f ca="1">IF(Z22=0,0,VLOOKUP(F22,心法辅助配置表!$G$2:$O$91,AF22+2,FALSE))</f>
        <v>46</v>
      </c>
      <c r="I22" s="161"/>
      <c r="J22" s="78">
        <f ca="1">G22</f>
        <v>46</v>
      </c>
      <c r="K22" s="162"/>
      <c r="L22" s="162"/>
      <c r="M22" s="78">
        <f ca="1" t="shared" ref="M22:O22" si="22">J22+M21</f>
        <v>77</v>
      </c>
      <c r="N22" s="78">
        <f ca="1" t="shared" si="22"/>
        <v>19</v>
      </c>
      <c r="O22" s="78">
        <f ca="1" t="shared" si="22"/>
        <v>470</v>
      </c>
      <c r="P22" s="78" t="str">
        <f ca="1" t="shared" si="4"/>
        <v>11|77|;</v>
      </c>
      <c r="Q22" s="78" t="str">
        <f ca="1" t="shared" si="5"/>
        <v>21|19|;</v>
      </c>
      <c r="R22" s="78" t="str">
        <f ca="1" t="shared" si="6"/>
        <v>12|470|;</v>
      </c>
      <c r="S22" s="78" t="str">
        <f ca="1" t="shared" si="18"/>
        <v>11|77|;21|19|;12|470|;</v>
      </c>
      <c r="T22" s="165" t="str">
        <f ca="1">OFFSET(buff!$C$1,MATCH(W22,buff!A:A,0)-1,0)</f>
        <v>增加拳法伤害20%</v>
      </c>
      <c r="U22" s="166"/>
      <c r="V22" s="166">
        <v>10000</v>
      </c>
      <c r="W22">
        <f ca="1" t="shared" si="1"/>
        <v>110205</v>
      </c>
      <c r="Z22" s="153">
        <f t="shared" si="2"/>
        <v>5</v>
      </c>
      <c r="AA22" s="153">
        <f ca="1">OFFSET(passive_type!$I$1,MATCH(C22,passive_type!A:A,0)-1,0)</f>
        <v>2</v>
      </c>
      <c r="AB22" s="153">
        <v>400015</v>
      </c>
      <c r="AC22" s="78">
        <v>5600</v>
      </c>
      <c r="AD22" s="153">
        <f ca="1" t="shared" si="3"/>
        <v>110206</v>
      </c>
      <c r="AE22" s="153">
        <v>0</v>
      </c>
      <c r="AF22" s="153">
        <f ca="1">OFFSET(passive_type!$L$1,MATCH(B22,passive_type!B:B,0)-1,0)</f>
        <v>1</v>
      </c>
      <c r="AG22">
        <f ca="1">OFFSET(passive_type!$R$1,MATCH(B22,passive_type!B:B,0)-1,0)</f>
        <v>1300002</v>
      </c>
      <c r="AH22" s="78">
        <v>84</v>
      </c>
      <c r="AI22">
        <f ca="1">IF(Z22=0,0,VLOOKUP(F22,心法辅助配置表!Q:X,AF22+1,FALSE))</f>
        <v>259</v>
      </c>
    </row>
    <row r="23" spans="1:35">
      <c r="A23">
        <f ca="1" t="shared" si="0"/>
        <v>110206</v>
      </c>
      <c r="B23" s="156" t="s">
        <v>1558</v>
      </c>
      <c r="C23">
        <f ca="1">OFFSET(passive_type!$A$1,MATCH(B23,passive_type!B:B,0)-1,0)</f>
        <v>1102</v>
      </c>
      <c r="D23" s="157" t="s">
        <v>2930</v>
      </c>
      <c r="E23">
        <v>21</v>
      </c>
      <c r="F23" s="158">
        <f ca="1">(OFFSET(passive_type!$E$1,MATCH(C23,passive_type!A:A,0)-1,0)*10+AA23)*100+Z23</f>
        <v>1206</v>
      </c>
      <c r="G23" s="22">
        <f ca="1">IF(Z23=0,0,VLOOKUP(F23,心法辅助配置表!$G$2:$O$91,AF23+2,FALSE))</f>
        <v>29</v>
      </c>
      <c r="I23" s="161"/>
      <c r="J23" s="161"/>
      <c r="K23" s="78">
        <f ca="1">G23</f>
        <v>29</v>
      </c>
      <c r="L23" s="161"/>
      <c r="M23" s="78">
        <f ca="1" t="shared" ref="M23:O23" si="23">J23+M22</f>
        <v>77</v>
      </c>
      <c r="N23" s="78">
        <f ca="1" t="shared" si="23"/>
        <v>48</v>
      </c>
      <c r="O23" s="78">
        <f ca="1" t="shared" si="23"/>
        <v>470</v>
      </c>
      <c r="P23" s="78" t="str">
        <f ca="1" t="shared" si="4"/>
        <v>11|77|;</v>
      </c>
      <c r="Q23" s="78" t="str">
        <f ca="1" t="shared" si="5"/>
        <v>21|48|;</v>
      </c>
      <c r="R23" s="78" t="str">
        <f ca="1" t="shared" si="6"/>
        <v>12|470|;</v>
      </c>
      <c r="S23" s="78" t="str">
        <f ca="1" t="shared" si="18"/>
        <v>11|77|;21|48|;12|470|;</v>
      </c>
      <c r="T23" s="165" t="str">
        <f ca="1">OFFSET(buff!$C$1,MATCH(W23,buff!A:A,0)-1,0)</f>
        <v>增加拳法伤害22%</v>
      </c>
      <c r="U23" s="166"/>
      <c r="V23" s="166">
        <v>10000</v>
      </c>
      <c r="W23">
        <f ca="1" t="shared" si="1"/>
        <v>110206</v>
      </c>
      <c r="Z23" s="153">
        <f t="shared" si="2"/>
        <v>6</v>
      </c>
      <c r="AA23" s="153">
        <f ca="1">OFFSET(passive_type!$I$1,MATCH(C23,passive_type!A:A,0)-1,0)</f>
        <v>2</v>
      </c>
      <c r="AB23" s="153">
        <v>400015</v>
      </c>
      <c r="AC23" s="78">
        <v>8800</v>
      </c>
      <c r="AD23" s="153">
        <f ca="1" t="shared" si="3"/>
        <v>110207</v>
      </c>
      <c r="AE23" s="153">
        <v>0</v>
      </c>
      <c r="AF23" s="153">
        <f ca="1">OFFSET(passive_type!$L$1,MATCH(B23,passive_type!B:B,0)-1,0)</f>
        <v>1</v>
      </c>
      <c r="AG23">
        <f ca="1">OFFSET(passive_type!$R$1,MATCH(B23,passive_type!B:B,0)-1,0)</f>
        <v>1300002</v>
      </c>
      <c r="AH23" s="78">
        <v>108</v>
      </c>
      <c r="AI23">
        <f ca="1">IF(Z23=0,0,VLOOKUP(F23,心法辅助配置表!Q:X,AF23+1,FALSE))</f>
        <v>287</v>
      </c>
    </row>
    <row r="24" spans="1:35">
      <c r="A24">
        <f ca="1" t="shared" si="0"/>
        <v>110207</v>
      </c>
      <c r="B24" s="156" t="s">
        <v>1558</v>
      </c>
      <c r="C24">
        <f ca="1">OFFSET(passive_type!$A$1,MATCH(B24,passive_type!B:B,0)-1,0)</f>
        <v>1102</v>
      </c>
      <c r="D24" s="157" t="s">
        <v>2928</v>
      </c>
      <c r="E24">
        <v>12</v>
      </c>
      <c r="F24" s="158">
        <f ca="1">(OFFSET(passive_type!$E$1,MATCH(C24,passive_type!A:A,0)-1,0)*10+AA24)*100+Z24</f>
        <v>1207</v>
      </c>
      <c r="G24" s="22">
        <f ca="1">IF(Z24=0,0,VLOOKUP(F24,心法辅助配置表!$G$2:$O$91,AF24+2,FALSE))</f>
        <v>376</v>
      </c>
      <c r="I24" s="161"/>
      <c r="J24" s="161"/>
      <c r="K24" s="161"/>
      <c r="L24" s="78">
        <f ca="1" t="shared" ref="L24:L29" si="24">G24</f>
        <v>376</v>
      </c>
      <c r="M24" s="78">
        <f ca="1" t="shared" ref="M24:O24" si="25">J24+M23</f>
        <v>77</v>
      </c>
      <c r="N24" s="78">
        <f ca="1" t="shared" si="25"/>
        <v>48</v>
      </c>
      <c r="O24" s="78">
        <f ca="1" t="shared" si="25"/>
        <v>846</v>
      </c>
      <c r="P24" s="78" t="str">
        <f ca="1" t="shared" si="4"/>
        <v>11|77|;</v>
      </c>
      <c r="Q24" s="78" t="str">
        <f ca="1" t="shared" si="5"/>
        <v>21|48|;</v>
      </c>
      <c r="R24" s="78" t="str">
        <f ca="1" t="shared" si="6"/>
        <v>12|846|;</v>
      </c>
      <c r="S24" s="78" t="str">
        <f ca="1" t="shared" si="18"/>
        <v>11|77|;21|48|;12|846|;</v>
      </c>
      <c r="T24" s="165" t="str">
        <f ca="1">OFFSET(buff!$C$1,MATCH(W24,buff!A:A,0)-1,0)</f>
        <v>增加拳法伤害24%</v>
      </c>
      <c r="U24" s="166"/>
      <c r="V24" s="166">
        <v>10000</v>
      </c>
      <c r="W24">
        <f ca="1" t="shared" si="1"/>
        <v>110207</v>
      </c>
      <c r="Z24" s="153">
        <f t="shared" si="2"/>
        <v>7</v>
      </c>
      <c r="AA24" s="153">
        <f ca="1">OFFSET(passive_type!$I$1,MATCH(C24,passive_type!A:A,0)-1,0)</f>
        <v>2</v>
      </c>
      <c r="AB24" s="153">
        <v>400015</v>
      </c>
      <c r="AC24" s="78">
        <v>12800</v>
      </c>
      <c r="AD24" s="153">
        <f ca="1" t="shared" si="3"/>
        <v>110208</v>
      </c>
      <c r="AE24" s="153">
        <v>0</v>
      </c>
      <c r="AF24" s="153">
        <f ca="1">OFFSET(passive_type!$L$1,MATCH(B24,passive_type!B:B,0)-1,0)</f>
        <v>1</v>
      </c>
      <c r="AG24">
        <f ca="1">OFFSET(passive_type!$R$1,MATCH(B24,passive_type!B:B,0)-1,0)</f>
        <v>1300002</v>
      </c>
      <c r="AH24" s="78">
        <v>156</v>
      </c>
      <c r="AI24">
        <f ca="1">IF(Z24=0,0,VLOOKUP(F24,心法辅助配置表!Q:X,AF24+1,FALSE))</f>
        <v>316</v>
      </c>
    </row>
    <row r="25" spans="1:35">
      <c r="A25">
        <f ca="1" t="shared" si="0"/>
        <v>110208</v>
      </c>
      <c r="B25" s="156" t="s">
        <v>1558</v>
      </c>
      <c r="C25">
        <f ca="1">OFFSET(passive_type!$A$1,MATCH(B25,passive_type!B:B,0)-1,0)</f>
        <v>1102</v>
      </c>
      <c r="D25" s="157" t="s">
        <v>2929</v>
      </c>
      <c r="E25">
        <v>11</v>
      </c>
      <c r="F25" s="158">
        <f ca="1">(OFFSET(passive_type!$E$1,MATCH(C25,passive_type!A:A,0)-1,0)*10+AA25)*100+Z25</f>
        <v>1208</v>
      </c>
      <c r="G25" s="22">
        <f ca="1">IF(Z25=0,0,VLOOKUP(F25,心法辅助配置表!$G$2:$O$91,AF25+2,FALSE))</f>
        <v>61</v>
      </c>
      <c r="I25" s="161"/>
      <c r="J25" s="78">
        <f ca="1">G25</f>
        <v>61</v>
      </c>
      <c r="K25" s="162"/>
      <c r="L25" s="162"/>
      <c r="M25" s="78">
        <f ca="1" t="shared" ref="M25:O25" si="26">J25+M24</f>
        <v>138</v>
      </c>
      <c r="N25" s="78">
        <f ca="1" t="shared" si="26"/>
        <v>48</v>
      </c>
      <c r="O25" s="78">
        <f ca="1" t="shared" si="26"/>
        <v>846</v>
      </c>
      <c r="P25" s="78" t="str">
        <f ca="1" t="shared" si="4"/>
        <v>11|138|;</v>
      </c>
      <c r="Q25" s="78" t="str">
        <f ca="1" t="shared" si="5"/>
        <v>21|48|;</v>
      </c>
      <c r="R25" s="78" t="str">
        <f ca="1" t="shared" si="6"/>
        <v>12|846|;</v>
      </c>
      <c r="S25" s="78" t="str">
        <f ca="1" t="shared" si="18"/>
        <v>11|138|;21|48|;12|846|;</v>
      </c>
      <c r="T25" s="165" t="str">
        <f ca="1">OFFSET(buff!$C$1,MATCH(W25,buff!A:A,0)-1,0)</f>
        <v>增加拳法伤害26%</v>
      </c>
      <c r="U25" s="166"/>
      <c r="V25" s="166">
        <v>10000</v>
      </c>
      <c r="W25">
        <f ca="1" t="shared" si="1"/>
        <v>110208</v>
      </c>
      <c r="Z25" s="153">
        <f t="shared" si="2"/>
        <v>8</v>
      </c>
      <c r="AA25" s="153">
        <f ca="1">OFFSET(passive_type!$I$1,MATCH(C25,passive_type!A:A,0)-1,0)</f>
        <v>2</v>
      </c>
      <c r="AB25" s="153">
        <v>400015</v>
      </c>
      <c r="AC25" s="78">
        <v>18400</v>
      </c>
      <c r="AD25" s="153">
        <f ca="1" t="shared" si="3"/>
        <v>110209</v>
      </c>
      <c r="AE25" s="153">
        <v>0</v>
      </c>
      <c r="AF25" s="153">
        <f ca="1">OFFSET(passive_type!$L$1,MATCH(B25,passive_type!B:B,0)-1,0)</f>
        <v>1</v>
      </c>
      <c r="AG25">
        <f ca="1">OFFSET(passive_type!$R$1,MATCH(B25,passive_type!B:B,0)-1,0)</f>
        <v>1300002</v>
      </c>
      <c r="AH25" s="78">
        <v>216</v>
      </c>
      <c r="AI25">
        <f ca="1">IF(Z25=0,0,VLOOKUP(F25,心法辅助配置表!Q:X,AF25+1,FALSE))</f>
        <v>345</v>
      </c>
    </row>
    <row r="26" spans="1:35">
      <c r="A26">
        <f ca="1" t="shared" si="0"/>
        <v>110209</v>
      </c>
      <c r="B26" s="156" t="s">
        <v>1558</v>
      </c>
      <c r="C26">
        <f ca="1">OFFSET(passive_type!$A$1,MATCH(B26,passive_type!B:B,0)-1,0)</f>
        <v>1102</v>
      </c>
      <c r="D26" s="157" t="s">
        <v>2930</v>
      </c>
      <c r="E26">
        <v>21</v>
      </c>
      <c r="F26" s="158">
        <f ca="1">(OFFSET(passive_type!$E$1,MATCH(C26,passive_type!A:A,0)-1,0)*10+AA26)*100+Z26</f>
        <v>1209</v>
      </c>
      <c r="G26" s="22">
        <f ca="1">IF(Z26=0,0,VLOOKUP(F26,心法辅助配置表!$G$2:$O$91,AF26+2,FALSE))</f>
        <v>38</v>
      </c>
      <c r="I26" s="161"/>
      <c r="J26" s="161"/>
      <c r="K26" s="78">
        <f ca="1">G26</f>
        <v>38</v>
      </c>
      <c r="L26" s="161"/>
      <c r="M26" s="78">
        <f ca="1" t="shared" ref="M26:O26" si="27">J26+M25</f>
        <v>138</v>
      </c>
      <c r="N26" s="78">
        <f ca="1" t="shared" si="27"/>
        <v>86</v>
      </c>
      <c r="O26" s="78">
        <f ca="1" t="shared" si="27"/>
        <v>846</v>
      </c>
      <c r="P26" s="78" t="str">
        <f ca="1" t="shared" si="4"/>
        <v>11|138|;</v>
      </c>
      <c r="Q26" s="78" t="str">
        <f ca="1" t="shared" si="5"/>
        <v>21|86|;</v>
      </c>
      <c r="R26" s="78" t="str">
        <f ca="1" t="shared" si="6"/>
        <v>12|846|;</v>
      </c>
      <c r="S26" s="78" t="str">
        <f ca="1" t="shared" si="18"/>
        <v>11|138|;21|86|;12|846|;</v>
      </c>
      <c r="T26" s="165" t="str">
        <f ca="1">OFFSET(buff!$C$1,MATCH(W26,buff!A:A,0)-1,0)</f>
        <v>增加拳法伤害28%</v>
      </c>
      <c r="U26" s="166"/>
      <c r="V26" s="166">
        <v>10000</v>
      </c>
      <c r="W26">
        <f ca="1" t="shared" si="1"/>
        <v>110209</v>
      </c>
      <c r="Z26" s="153">
        <f t="shared" si="2"/>
        <v>9</v>
      </c>
      <c r="AA26" s="153">
        <f ca="1">OFFSET(passive_type!$I$1,MATCH(C26,passive_type!A:A,0)-1,0)</f>
        <v>2</v>
      </c>
      <c r="AB26" s="153">
        <v>400015</v>
      </c>
      <c r="AC26" s="78">
        <v>27200</v>
      </c>
      <c r="AD26" s="153">
        <f ca="1" t="shared" si="3"/>
        <v>110210</v>
      </c>
      <c r="AE26" s="153">
        <v>0</v>
      </c>
      <c r="AF26" s="153">
        <f ca="1">OFFSET(passive_type!$L$1,MATCH(B26,passive_type!B:B,0)-1,0)</f>
        <v>1</v>
      </c>
      <c r="AG26">
        <f ca="1">OFFSET(passive_type!$R$1,MATCH(B26,passive_type!B:B,0)-1,0)</f>
        <v>1300002</v>
      </c>
      <c r="AH26">
        <v>300</v>
      </c>
      <c r="AI26">
        <f ca="1">IF(Z26=0,0,VLOOKUP(F26,心法辅助配置表!Q:X,AF26+1,FALSE))</f>
        <v>374</v>
      </c>
    </row>
    <row r="27" spans="1:35">
      <c r="A27">
        <f ca="1" t="shared" si="0"/>
        <v>110210</v>
      </c>
      <c r="B27" s="156" t="s">
        <v>1558</v>
      </c>
      <c r="C27">
        <f ca="1">OFFSET(passive_type!$A$1,MATCH(B27,passive_type!B:B,0)-1,0)</f>
        <v>1102</v>
      </c>
      <c r="D27" s="157" t="s">
        <v>2928</v>
      </c>
      <c r="E27">
        <v>12</v>
      </c>
      <c r="F27" s="158">
        <f ca="1">(OFFSET(passive_type!$E$1,MATCH(C27,passive_type!A:A,0)-1,0)*10+AA27)*100+Z27</f>
        <v>1210</v>
      </c>
      <c r="G27" s="22">
        <f ca="1">IF(Z27=0,0,VLOOKUP(F27,心法辅助配置表!$G$2:$O$91,AF27+2,FALSE))</f>
        <v>470</v>
      </c>
      <c r="I27" s="161"/>
      <c r="J27" s="161"/>
      <c r="K27" s="161"/>
      <c r="L27" s="78">
        <f ca="1" t="shared" si="24"/>
        <v>470</v>
      </c>
      <c r="M27" s="78">
        <f ca="1" t="shared" ref="M27:O27" si="28">J27+M26</f>
        <v>138</v>
      </c>
      <c r="N27" s="78">
        <f ca="1" t="shared" si="28"/>
        <v>86</v>
      </c>
      <c r="O27" s="78">
        <f ca="1" t="shared" si="28"/>
        <v>1316</v>
      </c>
      <c r="P27" s="78" t="str">
        <f ca="1" t="shared" si="4"/>
        <v>11|138|;</v>
      </c>
      <c r="Q27" s="78" t="str">
        <f ca="1" t="shared" si="5"/>
        <v>21|86|;</v>
      </c>
      <c r="R27" s="78" t="str">
        <f ca="1" t="shared" si="6"/>
        <v>12|1316|;</v>
      </c>
      <c r="S27" s="78" t="str">
        <f ca="1" t="shared" si="18"/>
        <v>11|138|;21|86|;12|1316|;</v>
      </c>
      <c r="T27" s="165" t="str">
        <f ca="1">OFFSET(buff!$C$1,MATCH(W27,buff!A:A,0)-1,0)</f>
        <v>增加拳法伤害30%</v>
      </c>
      <c r="U27" s="166"/>
      <c r="V27" s="166">
        <v>10000</v>
      </c>
      <c r="W27">
        <f ca="1" t="shared" si="1"/>
        <v>110210</v>
      </c>
      <c r="Z27" s="153">
        <f t="shared" si="2"/>
        <v>10</v>
      </c>
      <c r="AA27" s="153">
        <f ca="1">OFFSET(passive_type!$I$1,MATCH(C27,passive_type!A:A,0)-1,0)</f>
        <v>2</v>
      </c>
      <c r="AB27" s="153">
        <v>400015</v>
      </c>
      <c r="AC27" s="78"/>
      <c r="AD27" s="153">
        <f ca="1" t="shared" si="3"/>
        <v>0</v>
      </c>
      <c r="AE27" s="153">
        <v>0</v>
      </c>
      <c r="AF27" s="153">
        <f ca="1">OFFSET(passive_type!$L$1,MATCH(B27,passive_type!B:B,0)-1,0)</f>
        <v>1</v>
      </c>
      <c r="AG27">
        <f ca="1">OFFSET(passive_type!$R$1,MATCH(B27,passive_type!B:B,0)-1,0)</f>
        <v>1300002</v>
      </c>
      <c r="AH27">
        <f ca="1">IF(AD27=0,0,20)</f>
        <v>0</v>
      </c>
      <c r="AI27">
        <f ca="1">IF(Z27=0,0,VLOOKUP(F27,心法辅助配置表!Q:X,AF27+1,FALSE))</f>
        <v>402</v>
      </c>
    </row>
    <row r="28" spans="1:35">
      <c r="A28">
        <f ca="1" t="shared" si="0"/>
        <v>110300</v>
      </c>
      <c r="B28" s="156" t="s">
        <v>1572</v>
      </c>
      <c r="C28">
        <f ca="1">OFFSET(passive_type!$A$1,MATCH(B28,passive_type!B:B,0)-1,0)</f>
        <v>1103</v>
      </c>
      <c r="D28" s="157"/>
      <c r="F28" s="158">
        <f ca="1">(OFFSET(passive_type!$E$1,MATCH(C28,passive_type!A:A,0)-1,0)*10+AA28)*100+Z28</f>
        <v>1200</v>
      </c>
      <c r="G28" s="22">
        <f ca="1">IF(Z28=0,0,VLOOKUP(F28,心法辅助配置表!$G$2:$O$91,AF28+2,FALSE))</f>
        <v>0</v>
      </c>
      <c r="I28" s="161"/>
      <c r="J28" s="161"/>
      <c r="K28" s="161"/>
      <c r="L28" s="161"/>
      <c r="P28" s="78" t="str">
        <f t="shared" si="4"/>
        <v>11||;</v>
      </c>
      <c r="Q28" s="78" t="str">
        <f t="shared" si="5"/>
        <v>21||;</v>
      </c>
      <c r="R28" s="78" t="str">
        <f t="shared" si="6"/>
        <v>12||;</v>
      </c>
      <c r="S28" s="78"/>
      <c r="T28" s="165" t="str">
        <f ca="1">OFFSET(buff!$C$1,MATCH(W28,buff!A:A,0)-1,0)</f>
        <v>反弹10%受到的伤害</v>
      </c>
      <c r="U28" s="166"/>
      <c r="V28" s="166">
        <v>10000</v>
      </c>
      <c r="W28">
        <f ca="1" t="shared" si="1"/>
        <v>110300</v>
      </c>
      <c r="Z28" s="153">
        <f t="shared" si="2"/>
        <v>0</v>
      </c>
      <c r="AA28" s="153">
        <f ca="1">OFFSET(passive_type!$I$1,MATCH(C28,passive_type!A:A,0)-1,0)</f>
        <v>2</v>
      </c>
      <c r="AB28" s="153">
        <v>400015</v>
      </c>
      <c r="AC28" s="78">
        <v>400</v>
      </c>
      <c r="AD28" s="153">
        <f ca="1" t="shared" si="3"/>
        <v>110301</v>
      </c>
      <c r="AE28" s="153">
        <v>0</v>
      </c>
      <c r="AF28" s="153">
        <f ca="1">OFFSET(passive_type!$L$1,MATCH(B28,passive_type!B:B,0)-1,0)</f>
        <v>2</v>
      </c>
      <c r="AG28">
        <f ca="1">OFFSET(passive_type!$R$1,MATCH(B28,passive_type!B:B,0)-1,0)</f>
        <v>1300003</v>
      </c>
      <c r="AH28" s="78">
        <v>6</v>
      </c>
      <c r="AI28">
        <f ca="1">IF(Z28=0,0,VLOOKUP(F28,心法辅助配置表!Q:X,AF28+1,FALSE))</f>
        <v>0</v>
      </c>
    </row>
    <row r="29" spans="1:35">
      <c r="A29">
        <f ca="1" t="shared" si="0"/>
        <v>110301</v>
      </c>
      <c r="B29" s="156" t="s">
        <v>1572</v>
      </c>
      <c r="C29">
        <f ca="1">OFFSET(passive_type!$A$1,MATCH(B29,passive_type!B:B,0)-1,0)</f>
        <v>1103</v>
      </c>
      <c r="D29" s="157" t="s">
        <v>2928</v>
      </c>
      <c r="E29">
        <v>12</v>
      </c>
      <c r="F29" s="158">
        <f ca="1">(OFFSET(passive_type!$E$1,MATCH(C29,passive_type!A:A,0)-1,0)*10+AA29)*100+Z29</f>
        <v>1201</v>
      </c>
      <c r="G29" s="22">
        <f ca="1">IF(Z29=0,0,VLOOKUP(F29,心法辅助配置表!$G$2:$O$91,AF29+2,FALSE))</f>
        <v>444</v>
      </c>
      <c r="I29" s="78"/>
      <c r="J29" s="78"/>
      <c r="K29" s="78"/>
      <c r="L29" s="78">
        <f ca="1" t="shared" si="24"/>
        <v>444</v>
      </c>
      <c r="M29" s="78">
        <f>J29</f>
        <v>0</v>
      </c>
      <c r="N29" s="78">
        <f>K29</f>
        <v>0</v>
      </c>
      <c r="O29" s="78">
        <f ca="1">G29</f>
        <v>444</v>
      </c>
      <c r="P29" s="78" t="str">
        <f t="shared" si="4"/>
        <v>11|0|;</v>
      </c>
      <c r="Q29" s="78" t="str">
        <f t="shared" si="5"/>
        <v>21|0|;</v>
      </c>
      <c r="R29" s="78" t="str">
        <f ca="1" t="shared" si="6"/>
        <v>12|444|;</v>
      </c>
      <c r="S29" s="78" t="str">
        <f ca="1" t="shared" ref="S29:S38" si="29">P29&amp;Q29&amp;R29</f>
        <v>11|0|;21|0|;12|444|;</v>
      </c>
      <c r="T29" s="165" t="str">
        <f ca="1">OFFSET(buff!$C$1,MATCH(W29,buff!A:A,0)-1,0)</f>
        <v>反弹12%受到的伤害</v>
      </c>
      <c r="U29" s="166"/>
      <c r="V29" s="166">
        <v>10000</v>
      </c>
      <c r="W29">
        <f ca="1" t="shared" si="1"/>
        <v>110301</v>
      </c>
      <c r="Z29" s="153">
        <f t="shared" si="2"/>
        <v>1</v>
      </c>
      <c r="AA29" s="153">
        <f ca="1">OFFSET(passive_type!$I$1,MATCH(C29,passive_type!A:A,0)-1,0)</f>
        <v>2</v>
      </c>
      <c r="AB29" s="153">
        <v>400015</v>
      </c>
      <c r="AC29" s="78">
        <v>800</v>
      </c>
      <c r="AD29" s="153">
        <f ca="1" t="shared" si="3"/>
        <v>110302</v>
      </c>
      <c r="AE29" s="153">
        <v>0</v>
      </c>
      <c r="AF29" s="153">
        <f ca="1">OFFSET(passive_type!$L$1,MATCH(B29,passive_type!B:B,0)-1,0)</f>
        <v>2</v>
      </c>
      <c r="AG29">
        <f ca="1">OFFSET(passive_type!$R$1,MATCH(B29,passive_type!B:B,0)-1,0)</f>
        <v>1300003</v>
      </c>
      <c r="AH29" s="78">
        <v>12</v>
      </c>
      <c r="AI29">
        <f ca="1">IF(Z29=0,0,VLOOKUP(F29,心法辅助配置表!Q:X,AF29+1,FALSE))</f>
        <v>334</v>
      </c>
    </row>
    <row r="30" spans="1:35">
      <c r="A30">
        <f ca="1" t="shared" si="0"/>
        <v>110302</v>
      </c>
      <c r="B30" s="156" t="s">
        <v>1572</v>
      </c>
      <c r="C30">
        <f ca="1">OFFSET(passive_type!$A$1,MATCH(B30,passive_type!B:B,0)-1,0)</f>
        <v>1103</v>
      </c>
      <c r="D30" s="157" t="s">
        <v>2929</v>
      </c>
      <c r="E30">
        <v>11</v>
      </c>
      <c r="F30" s="158">
        <f ca="1">(OFFSET(passive_type!$E$1,MATCH(C30,passive_type!A:A,0)-1,0)*10+AA30)*100+Z30</f>
        <v>1202</v>
      </c>
      <c r="G30" s="22">
        <f ca="1">IF(Z30=0,0,VLOOKUP(F30,心法辅助配置表!$G$2:$O$91,AF30+2,FALSE))</f>
        <v>69</v>
      </c>
      <c r="I30" s="78"/>
      <c r="J30" s="78">
        <f ca="1">G30</f>
        <v>69</v>
      </c>
      <c r="K30" s="78"/>
      <c r="L30" s="78"/>
      <c r="M30" s="78">
        <f ca="1" t="shared" ref="M30:O30" si="30">J30+M29</f>
        <v>69</v>
      </c>
      <c r="N30" s="78">
        <f t="shared" si="30"/>
        <v>0</v>
      </c>
      <c r="O30" s="78">
        <f ca="1" t="shared" si="30"/>
        <v>444</v>
      </c>
      <c r="P30" s="78" t="str">
        <f ca="1" t="shared" si="4"/>
        <v>11|69|;</v>
      </c>
      <c r="Q30" s="78" t="str">
        <f t="shared" si="5"/>
        <v>21|0|;</v>
      </c>
      <c r="R30" s="78" t="str">
        <f ca="1" t="shared" si="6"/>
        <v>12|444|;</v>
      </c>
      <c r="S30" s="78" t="str">
        <f ca="1" t="shared" si="29"/>
        <v>11|69|;21|0|;12|444|;</v>
      </c>
      <c r="T30" s="165" t="str">
        <f ca="1">OFFSET(buff!$C$1,MATCH(W30,buff!A:A,0)-1,0)</f>
        <v>反弹14%受到的伤害</v>
      </c>
      <c r="U30" s="166"/>
      <c r="V30" s="166">
        <v>10000</v>
      </c>
      <c r="W30">
        <f ca="1" t="shared" si="1"/>
        <v>110302</v>
      </c>
      <c r="Z30" s="153">
        <f t="shared" si="2"/>
        <v>2</v>
      </c>
      <c r="AA30" s="153">
        <f ca="1">OFFSET(passive_type!$I$1,MATCH(C30,passive_type!A:A,0)-1,0)</f>
        <v>2</v>
      </c>
      <c r="AB30" s="153">
        <v>400015</v>
      </c>
      <c r="AC30" s="78">
        <v>1600</v>
      </c>
      <c r="AD30" s="153">
        <f ca="1" t="shared" si="3"/>
        <v>110303</v>
      </c>
      <c r="AE30" s="153">
        <v>0</v>
      </c>
      <c r="AF30" s="153">
        <f ca="1">OFFSET(passive_type!$L$1,MATCH(B30,passive_type!B:B,0)-1,0)</f>
        <v>2</v>
      </c>
      <c r="AG30">
        <f ca="1">OFFSET(passive_type!$R$1,MATCH(B30,passive_type!B:B,0)-1,0)</f>
        <v>1300003</v>
      </c>
      <c r="AH30" s="78">
        <v>24</v>
      </c>
      <c r="AI30">
        <f ca="1">IF(Z30=0,0,VLOOKUP(F30,心法辅助配置表!Q:X,AF30+1,FALSE))</f>
        <v>401</v>
      </c>
    </row>
    <row r="31" spans="1:35">
      <c r="A31">
        <f ca="1" t="shared" si="0"/>
        <v>110303</v>
      </c>
      <c r="B31" s="156" t="s">
        <v>1572</v>
      </c>
      <c r="C31">
        <f ca="1">OFFSET(passive_type!$A$1,MATCH(B31,passive_type!B:B,0)-1,0)</f>
        <v>1103</v>
      </c>
      <c r="D31" s="157" t="s">
        <v>2930</v>
      </c>
      <c r="E31">
        <v>21</v>
      </c>
      <c r="F31" s="158">
        <f ca="1">(OFFSET(passive_type!$E$1,MATCH(C31,passive_type!A:A,0)-1,0)*10+AA31)*100+Z31</f>
        <v>1203</v>
      </c>
      <c r="G31" s="22">
        <f ca="1">IF(Z31=0,0,VLOOKUP(F31,心法辅助配置表!$G$2:$O$91,AF31+2,FALSE))</f>
        <v>43</v>
      </c>
      <c r="I31" s="78"/>
      <c r="J31" s="78"/>
      <c r="K31" s="78">
        <f ca="1">G31</f>
        <v>43</v>
      </c>
      <c r="L31" s="78"/>
      <c r="M31" s="78">
        <f ca="1" t="shared" ref="M31:O31" si="31">J31+M30</f>
        <v>69</v>
      </c>
      <c r="N31" s="78">
        <f ca="1" t="shared" si="31"/>
        <v>43</v>
      </c>
      <c r="O31" s="78">
        <f ca="1" t="shared" si="31"/>
        <v>444</v>
      </c>
      <c r="P31" s="78" t="str">
        <f ca="1" t="shared" si="4"/>
        <v>11|69|;</v>
      </c>
      <c r="Q31" s="78" t="str">
        <f ca="1" t="shared" si="5"/>
        <v>21|43|;</v>
      </c>
      <c r="R31" s="78" t="str">
        <f ca="1" t="shared" si="6"/>
        <v>12|444|;</v>
      </c>
      <c r="S31" s="78" t="str">
        <f ca="1" t="shared" si="29"/>
        <v>11|69|;21|43|;12|444|;</v>
      </c>
      <c r="T31" s="165" t="str">
        <f ca="1">OFFSET(buff!$C$1,MATCH(W31,buff!A:A,0)-1,0)</f>
        <v>反弹16%受到的伤害</v>
      </c>
      <c r="U31" s="166"/>
      <c r="V31" s="166">
        <v>10000</v>
      </c>
      <c r="W31">
        <f ca="1" t="shared" si="1"/>
        <v>110303</v>
      </c>
      <c r="Z31" s="153">
        <f t="shared" si="2"/>
        <v>3</v>
      </c>
      <c r="AA31" s="153">
        <f ca="1">OFFSET(passive_type!$I$1,MATCH(C31,passive_type!A:A,0)-1,0)</f>
        <v>2</v>
      </c>
      <c r="AB31" s="153">
        <v>400015</v>
      </c>
      <c r="AC31" s="78">
        <v>3200</v>
      </c>
      <c r="AD31" s="153">
        <f ca="1" t="shared" si="3"/>
        <v>110304</v>
      </c>
      <c r="AE31" s="153">
        <v>0</v>
      </c>
      <c r="AF31" s="153">
        <f ca="1">OFFSET(passive_type!$L$1,MATCH(B31,passive_type!B:B,0)-1,0)</f>
        <v>2</v>
      </c>
      <c r="AG31">
        <f ca="1">OFFSET(passive_type!$R$1,MATCH(B31,passive_type!B:B,0)-1,0)</f>
        <v>1300003</v>
      </c>
      <c r="AH31" s="78">
        <v>48</v>
      </c>
      <c r="AI31">
        <f ca="1">IF(Z31=0,0,VLOOKUP(F31,心法辅助配置表!Q:X,AF31+1,FALSE))</f>
        <v>467</v>
      </c>
    </row>
    <row r="32" spans="1:35">
      <c r="A32">
        <f ca="1" t="shared" si="0"/>
        <v>110304</v>
      </c>
      <c r="B32" s="156" t="s">
        <v>1572</v>
      </c>
      <c r="C32">
        <f ca="1">OFFSET(passive_type!$A$1,MATCH(B32,passive_type!B:B,0)-1,0)</f>
        <v>1103</v>
      </c>
      <c r="D32" s="157" t="s">
        <v>2928</v>
      </c>
      <c r="E32">
        <v>12</v>
      </c>
      <c r="F32" s="158">
        <f ca="1">(OFFSET(passive_type!$E$1,MATCH(C32,passive_type!A:A,0)-1,0)*10+AA32)*100+Z32</f>
        <v>1204</v>
      </c>
      <c r="G32" s="22">
        <f ca="1">IF(Z32=0,0,VLOOKUP(F32,心法辅助配置表!$G$2:$O$91,AF32+2,FALSE))</f>
        <v>665</v>
      </c>
      <c r="I32" s="78"/>
      <c r="J32" s="78"/>
      <c r="K32" s="78"/>
      <c r="L32" s="78">
        <f ca="1">G32</f>
        <v>665</v>
      </c>
      <c r="M32" s="78">
        <f ca="1" t="shared" ref="M32:O32" si="32">J32+M31</f>
        <v>69</v>
      </c>
      <c r="N32" s="78">
        <f ca="1" t="shared" si="32"/>
        <v>43</v>
      </c>
      <c r="O32" s="78">
        <f ca="1" t="shared" si="32"/>
        <v>1109</v>
      </c>
      <c r="P32" s="78" t="str">
        <f ca="1" t="shared" si="4"/>
        <v>11|69|;</v>
      </c>
      <c r="Q32" s="78" t="str">
        <f ca="1" t="shared" si="5"/>
        <v>21|43|;</v>
      </c>
      <c r="R32" s="78" t="str">
        <f ca="1" t="shared" si="6"/>
        <v>12|1109|;</v>
      </c>
      <c r="S32" s="78" t="str">
        <f ca="1" t="shared" si="29"/>
        <v>11|69|;21|43|;12|1109|;</v>
      </c>
      <c r="T32" s="165" t="str">
        <f ca="1">OFFSET(buff!$C$1,MATCH(W32,buff!A:A,0)-1,0)</f>
        <v>反弹18%受到的伤害</v>
      </c>
      <c r="U32" s="166"/>
      <c r="V32" s="166">
        <v>10000</v>
      </c>
      <c r="W32">
        <f ca="1" t="shared" si="1"/>
        <v>110304</v>
      </c>
      <c r="Z32" s="153">
        <f t="shared" si="2"/>
        <v>4</v>
      </c>
      <c r="AA32" s="153">
        <f ca="1">OFFSET(passive_type!$I$1,MATCH(C32,passive_type!A:A,0)-1,0)</f>
        <v>2</v>
      </c>
      <c r="AB32" s="153">
        <v>400015</v>
      </c>
      <c r="AC32" s="78">
        <v>4000</v>
      </c>
      <c r="AD32" s="153">
        <f ca="1" t="shared" si="3"/>
        <v>110305</v>
      </c>
      <c r="AE32" s="153">
        <v>0</v>
      </c>
      <c r="AF32" s="153">
        <f ca="1">OFFSET(passive_type!$L$1,MATCH(B32,passive_type!B:B,0)-1,0)</f>
        <v>2</v>
      </c>
      <c r="AG32">
        <f ca="1">OFFSET(passive_type!$R$1,MATCH(B32,passive_type!B:B,0)-1,0)</f>
        <v>1300003</v>
      </c>
      <c r="AH32" s="78">
        <v>60</v>
      </c>
      <c r="AI32">
        <f ca="1">IF(Z32=0,0,VLOOKUP(F32,心法辅助配置表!Q:X,AF32+1,FALSE))</f>
        <v>534</v>
      </c>
    </row>
    <row r="33" spans="1:35">
      <c r="A33">
        <f ca="1" t="shared" si="0"/>
        <v>110305</v>
      </c>
      <c r="B33" s="156" t="s">
        <v>1572</v>
      </c>
      <c r="C33">
        <f ca="1">OFFSET(passive_type!$A$1,MATCH(B33,passive_type!B:B,0)-1,0)</f>
        <v>1103</v>
      </c>
      <c r="D33" s="157" t="s">
        <v>2929</v>
      </c>
      <c r="E33">
        <v>11</v>
      </c>
      <c r="F33" s="158">
        <f ca="1">(OFFSET(passive_type!$E$1,MATCH(C33,passive_type!A:A,0)-1,0)*10+AA33)*100+Z33</f>
        <v>1205</v>
      </c>
      <c r="G33" s="22">
        <f ca="1">IF(Z33=0,0,VLOOKUP(F33,心法辅助配置表!$G$2:$O$91,AF33+2,FALSE))</f>
        <v>104</v>
      </c>
      <c r="I33" s="78"/>
      <c r="J33" s="78">
        <f ca="1">G33</f>
        <v>104</v>
      </c>
      <c r="K33" s="78"/>
      <c r="L33" s="78"/>
      <c r="M33" s="78">
        <f ca="1" t="shared" ref="M33:O33" si="33">J33+M32</f>
        <v>173</v>
      </c>
      <c r="N33" s="78">
        <f ca="1" t="shared" si="33"/>
        <v>43</v>
      </c>
      <c r="O33" s="78">
        <f ca="1" t="shared" si="33"/>
        <v>1109</v>
      </c>
      <c r="P33" s="78" t="str">
        <f ca="1" t="shared" si="4"/>
        <v>11|173|;</v>
      </c>
      <c r="Q33" s="78" t="str">
        <f ca="1" t="shared" si="5"/>
        <v>21|43|;</v>
      </c>
      <c r="R33" s="78" t="str">
        <f ca="1" t="shared" si="6"/>
        <v>12|1109|;</v>
      </c>
      <c r="S33" s="78" t="str">
        <f ca="1" t="shared" si="29"/>
        <v>11|173|;21|43|;12|1109|;</v>
      </c>
      <c r="T33" s="165" t="str">
        <f ca="1">OFFSET(buff!$C$1,MATCH(W33,buff!A:A,0)-1,0)</f>
        <v>反弹20%受到的伤害</v>
      </c>
      <c r="U33" s="166"/>
      <c r="V33" s="166">
        <v>10000</v>
      </c>
      <c r="W33">
        <f ca="1" t="shared" si="1"/>
        <v>110305</v>
      </c>
      <c r="Z33" s="153">
        <f t="shared" si="2"/>
        <v>5</v>
      </c>
      <c r="AA33" s="153">
        <f ca="1">OFFSET(passive_type!$I$1,MATCH(C33,passive_type!A:A,0)-1,0)</f>
        <v>2</v>
      </c>
      <c r="AB33" s="153">
        <v>400015</v>
      </c>
      <c r="AC33" s="78">
        <v>5600</v>
      </c>
      <c r="AD33" s="153">
        <f ca="1" t="shared" si="3"/>
        <v>110306</v>
      </c>
      <c r="AE33" s="153">
        <v>0</v>
      </c>
      <c r="AF33" s="153">
        <f ca="1">OFFSET(passive_type!$L$1,MATCH(B33,passive_type!B:B,0)-1,0)</f>
        <v>2</v>
      </c>
      <c r="AG33">
        <f ca="1">OFFSET(passive_type!$R$1,MATCH(B33,passive_type!B:B,0)-1,0)</f>
        <v>1300003</v>
      </c>
      <c r="AH33" s="78">
        <v>84</v>
      </c>
      <c r="AI33">
        <f ca="1">IF(Z33=0,0,VLOOKUP(F33,心法辅助配置表!Q:X,AF33+1,FALSE))</f>
        <v>601</v>
      </c>
    </row>
    <row r="34" spans="1:35">
      <c r="A34">
        <f ca="1" t="shared" si="0"/>
        <v>110306</v>
      </c>
      <c r="B34" s="156" t="s">
        <v>1572</v>
      </c>
      <c r="C34">
        <f ca="1">OFFSET(passive_type!$A$1,MATCH(B34,passive_type!B:B,0)-1,0)</f>
        <v>1103</v>
      </c>
      <c r="D34" s="157" t="s">
        <v>2930</v>
      </c>
      <c r="E34">
        <v>21</v>
      </c>
      <c r="F34" s="158">
        <f ca="1">(OFFSET(passive_type!$E$1,MATCH(C34,passive_type!A:A,0)-1,0)*10+AA34)*100+Z34</f>
        <v>1206</v>
      </c>
      <c r="G34" s="22">
        <f ca="1">IF(Z34=0,0,VLOOKUP(F34,心法辅助配置表!$G$2:$O$91,AF34+2,FALSE))</f>
        <v>64</v>
      </c>
      <c r="I34" s="78"/>
      <c r="J34" s="78"/>
      <c r="K34" s="78">
        <f ca="1">G34</f>
        <v>64</v>
      </c>
      <c r="L34" s="78"/>
      <c r="M34" s="78">
        <f ca="1" t="shared" ref="M34:O34" si="34">J34+M33</f>
        <v>173</v>
      </c>
      <c r="N34" s="78">
        <f ca="1" t="shared" si="34"/>
        <v>107</v>
      </c>
      <c r="O34" s="78">
        <f ca="1" t="shared" si="34"/>
        <v>1109</v>
      </c>
      <c r="P34" s="78" t="str">
        <f ca="1" t="shared" si="4"/>
        <v>11|173|;</v>
      </c>
      <c r="Q34" s="78" t="str">
        <f ca="1" t="shared" si="5"/>
        <v>21|107|;</v>
      </c>
      <c r="R34" s="78" t="str">
        <f ca="1" t="shared" si="6"/>
        <v>12|1109|;</v>
      </c>
      <c r="S34" s="78" t="str">
        <f ca="1" t="shared" si="29"/>
        <v>11|173|;21|107|;12|1109|;</v>
      </c>
      <c r="T34" s="165" t="str">
        <f ca="1">OFFSET(buff!$C$1,MATCH(W34,buff!A:A,0)-1,0)</f>
        <v>反弹22%受到的伤害</v>
      </c>
      <c r="U34" s="166"/>
      <c r="V34" s="166">
        <v>10000</v>
      </c>
      <c r="W34">
        <f ca="1" t="shared" si="1"/>
        <v>110306</v>
      </c>
      <c r="Z34" s="153">
        <f t="shared" si="2"/>
        <v>6</v>
      </c>
      <c r="AA34" s="153">
        <f ca="1">OFFSET(passive_type!$I$1,MATCH(C34,passive_type!A:A,0)-1,0)</f>
        <v>2</v>
      </c>
      <c r="AB34" s="153">
        <v>400015</v>
      </c>
      <c r="AC34" s="78">
        <v>8800</v>
      </c>
      <c r="AD34" s="153">
        <f ca="1" t="shared" si="3"/>
        <v>110307</v>
      </c>
      <c r="AE34" s="153">
        <v>0</v>
      </c>
      <c r="AF34" s="153">
        <f ca="1">OFFSET(passive_type!$L$1,MATCH(B34,passive_type!B:B,0)-1,0)</f>
        <v>2</v>
      </c>
      <c r="AG34">
        <f ca="1">OFFSET(passive_type!$R$1,MATCH(B34,passive_type!B:B,0)-1,0)</f>
        <v>1300003</v>
      </c>
      <c r="AH34" s="78">
        <v>108</v>
      </c>
      <c r="AI34">
        <f ca="1">IF(Z34=0,0,VLOOKUP(F34,心法辅助配置表!Q:X,AF34+1,FALSE))</f>
        <v>668</v>
      </c>
    </row>
    <row r="35" spans="1:35">
      <c r="A35">
        <f ca="1" t="shared" si="0"/>
        <v>110307</v>
      </c>
      <c r="B35" s="156" t="s">
        <v>1572</v>
      </c>
      <c r="C35">
        <f ca="1">OFFSET(passive_type!$A$1,MATCH(B35,passive_type!B:B,0)-1,0)</f>
        <v>1103</v>
      </c>
      <c r="D35" s="157" t="s">
        <v>2928</v>
      </c>
      <c r="E35">
        <v>12</v>
      </c>
      <c r="F35" s="158">
        <f ca="1">(OFFSET(passive_type!$E$1,MATCH(C35,passive_type!A:A,0)-1,0)*10+AA35)*100+Z35</f>
        <v>1207</v>
      </c>
      <c r="G35" s="22">
        <f ca="1">IF(Z35=0,0,VLOOKUP(F35,心法辅助配置表!$G$2:$O$91,AF35+2,FALSE))</f>
        <v>887</v>
      </c>
      <c r="I35" s="78"/>
      <c r="J35" s="78"/>
      <c r="K35" s="78"/>
      <c r="L35" s="78">
        <f ca="1" t="shared" ref="L35:L40" si="35">G35</f>
        <v>887</v>
      </c>
      <c r="M35" s="78">
        <f ca="1" t="shared" ref="M35:O35" si="36">J35+M34</f>
        <v>173</v>
      </c>
      <c r="N35" s="78">
        <f ca="1" t="shared" si="36"/>
        <v>107</v>
      </c>
      <c r="O35" s="78">
        <f ca="1" t="shared" si="36"/>
        <v>1996</v>
      </c>
      <c r="P35" s="78" t="str">
        <f ca="1" t="shared" si="4"/>
        <v>11|173|;</v>
      </c>
      <c r="Q35" s="78" t="str">
        <f ca="1" t="shared" si="5"/>
        <v>21|107|;</v>
      </c>
      <c r="R35" s="78" t="str">
        <f ca="1" t="shared" si="6"/>
        <v>12|1996|;</v>
      </c>
      <c r="S35" s="78" t="str">
        <f ca="1" t="shared" si="29"/>
        <v>11|173|;21|107|;12|1996|;</v>
      </c>
      <c r="T35" s="165" t="str">
        <f ca="1">OFFSET(buff!$C$1,MATCH(W35,buff!A:A,0)-1,0)</f>
        <v>反弹24%受到的伤害</v>
      </c>
      <c r="U35" s="166"/>
      <c r="V35" s="166">
        <v>10000</v>
      </c>
      <c r="W35">
        <f ca="1" t="shared" si="1"/>
        <v>110307</v>
      </c>
      <c r="Z35" s="153">
        <f t="shared" si="2"/>
        <v>7</v>
      </c>
      <c r="AA35" s="153">
        <f ca="1">OFFSET(passive_type!$I$1,MATCH(C35,passive_type!A:A,0)-1,0)</f>
        <v>2</v>
      </c>
      <c r="AB35" s="153">
        <v>400015</v>
      </c>
      <c r="AC35" s="78">
        <v>12800</v>
      </c>
      <c r="AD35" s="153">
        <f ca="1" t="shared" si="3"/>
        <v>110308</v>
      </c>
      <c r="AE35" s="153">
        <v>0</v>
      </c>
      <c r="AF35" s="153">
        <f ca="1">OFFSET(passive_type!$L$1,MATCH(B35,passive_type!B:B,0)-1,0)</f>
        <v>2</v>
      </c>
      <c r="AG35">
        <f ca="1">OFFSET(passive_type!$R$1,MATCH(B35,passive_type!B:B,0)-1,0)</f>
        <v>1300003</v>
      </c>
      <c r="AH35" s="78">
        <v>156</v>
      </c>
      <c r="AI35">
        <f ca="1">IF(Z35=0,0,VLOOKUP(F35,心法辅助配置表!Q:X,AF35+1,FALSE))</f>
        <v>735</v>
      </c>
    </row>
    <row r="36" spans="1:35">
      <c r="A36">
        <f ca="1" t="shared" si="0"/>
        <v>110308</v>
      </c>
      <c r="B36" s="156" t="s">
        <v>1572</v>
      </c>
      <c r="C36">
        <f ca="1">OFFSET(passive_type!$A$1,MATCH(B36,passive_type!B:B,0)-1,0)</f>
        <v>1103</v>
      </c>
      <c r="D36" s="157" t="s">
        <v>2929</v>
      </c>
      <c r="E36">
        <v>11</v>
      </c>
      <c r="F36" s="158">
        <f ca="1">(OFFSET(passive_type!$E$1,MATCH(C36,passive_type!A:A,0)-1,0)*10+AA36)*100+Z36</f>
        <v>1208</v>
      </c>
      <c r="G36" s="22">
        <f ca="1">IF(Z36=0,0,VLOOKUP(F36,心法辅助配置表!$G$2:$O$91,AF36+2,FALSE))</f>
        <v>139</v>
      </c>
      <c r="I36" s="78"/>
      <c r="J36" s="78">
        <f ca="1">G36</f>
        <v>139</v>
      </c>
      <c r="K36" s="78"/>
      <c r="L36" s="78"/>
      <c r="M36" s="78">
        <f ca="1" t="shared" ref="M36:O36" si="37">J36+M35</f>
        <v>312</v>
      </c>
      <c r="N36" s="78">
        <f ca="1" t="shared" si="37"/>
        <v>107</v>
      </c>
      <c r="O36" s="78">
        <f ca="1" t="shared" si="37"/>
        <v>1996</v>
      </c>
      <c r="P36" s="78" t="str">
        <f ca="1" t="shared" si="4"/>
        <v>11|312|;</v>
      </c>
      <c r="Q36" s="78" t="str">
        <f ca="1" t="shared" si="5"/>
        <v>21|107|;</v>
      </c>
      <c r="R36" s="78" t="str">
        <f ca="1" t="shared" si="6"/>
        <v>12|1996|;</v>
      </c>
      <c r="S36" s="78" t="str">
        <f ca="1" t="shared" si="29"/>
        <v>11|312|;21|107|;12|1996|;</v>
      </c>
      <c r="T36" s="165" t="str">
        <f ca="1">OFFSET(buff!$C$1,MATCH(W36,buff!A:A,0)-1,0)</f>
        <v>反弹26%受到的伤害</v>
      </c>
      <c r="U36" s="166"/>
      <c r="V36" s="166">
        <v>10000</v>
      </c>
      <c r="W36">
        <f ca="1" t="shared" si="1"/>
        <v>110308</v>
      </c>
      <c r="Z36" s="153">
        <f t="shared" si="2"/>
        <v>8</v>
      </c>
      <c r="AA36" s="153">
        <f ca="1">OFFSET(passive_type!$I$1,MATCH(C36,passive_type!A:A,0)-1,0)</f>
        <v>2</v>
      </c>
      <c r="AB36" s="153">
        <v>400015</v>
      </c>
      <c r="AC36" s="153">
        <v>18400</v>
      </c>
      <c r="AD36" s="153">
        <f ca="1" t="shared" si="3"/>
        <v>110309</v>
      </c>
      <c r="AE36" s="153">
        <v>0</v>
      </c>
      <c r="AF36" s="153">
        <f ca="1">OFFSET(passive_type!$L$1,MATCH(B36,passive_type!B:B,0)-1,0)</f>
        <v>2</v>
      </c>
      <c r="AG36">
        <f ca="1">OFFSET(passive_type!$R$1,MATCH(B36,passive_type!B:B,0)-1,0)</f>
        <v>1300003</v>
      </c>
      <c r="AH36" s="78">
        <v>216</v>
      </c>
      <c r="AI36">
        <f ca="1">IF(Z36=0,0,VLOOKUP(F36,心法辅助配置表!Q:X,AF36+1,FALSE))</f>
        <v>801</v>
      </c>
    </row>
    <row r="37" spans="1:35">
      <c r="A37">
        <f ca="1" t="shared" si="0"/>
        <v>110309</v>
      </c>
      <c r="B37" s="156" t="s">
        <v>1572</v>
      </c>
      <c r="C37">
        <f ca="1">OFFSET(passive_type!$A$1,MATCH(B37,passive_type!B:B,0)-1,0)</f>
        <v>1103</v>
      </c>
      <c r="D37" s="157" t="s">
        <v>2930</v>
      </c>
      <c r="E37">
        <v>21</v>
      </c>
      <c r="F37" s="158">
        <f ca="1">(OFFSET(passive_type!$E$1,MATCH(C37,passive_type!A:A,0)-1,0)*10+AA37)*100+Z37</f>
        <v>1209</v>
      </c>
      <c r="G37" s="22">
        <f ca="1">IF(Z37=0,0,VLOOKUP(F37,心法辅助配置表!$G$2:$O$91,AF37+2,FALSE))</f>
        <v>85</v>
      </c>
      <c r="I37" s="78"/>
      <c r="J37" s="78"/>
      <c r="K37" s="78">
        <f ca="1">G37</f>
        <v>85</v>
      </c>
      <c r="L37" s="78"/>
      <c r="M37" s="78">
        <f ca="1" t="shared" ref="M37:O37" si="38">J37+M36</f>
        <v>312</v>
      </c>
      <c r="N37" s="78">
        <f ca="1" t="shared" si="38"/>
        <v>192</v>
      </c>
      <c r="O37" s="78">
        <f ca="1" t="shared" si="38"/>
        <v>1996</v>
      </c>
      <c r="P37" s="78" t="str">
        <f ca="1" t="shared" si="4"/>
        <v>11|312|;</v>
      </c>
      <c r="Q37" s="78" t="str">
        <f ca="1" t="shared" si="5"/>
        <v>21|192|;</v>
      </c>
      <c r="R37" s="78" t="str">
        <f ca="1" t="shared" si="6"/>
        <v>12|1996|;</v>
      </c>
      <c r="S37" s="78" t="str">
        <f ca="1" t="shared" si="29"/>
        <v>11|312|;21|192|;12|1996|;</v>
      </c>
      <c r="T37" s="165" t="str">
        <f ca="1">OFFSET(buff!$C$1,MATCH(W37,buff!A:A,0)-1,0)</f>
        <v>反弹28%受到的伤害</v>
      </c>
      <c r="U37" s="166"/>
      <c r="V37" s="166">
        <v>10000</v>
      </c>
      <c r="W37">
        <f ca="1" t="shared" si="1"/>
        <v>110309</v>
      </c>
      <c r="Z37" s="153">
        <f t="shared" si="2"/>
        <v>9</v>
      </c>
      <c r="AA37" s="153">
        <f ca="1">OFFSET(passive_type!$I$1,MATCH(C37,passive_type!A:A,0)-1,0)</f>
        <v>2</v>
      </c>
      <c r="AB37" s="153">
        <v>400015</v>
      </c>
      <c r="AC37" s="153">
        <v>27200</v>
      </c>
      <c r="AD37" s="153">
        <f ca="1" t="shared" si="3"/>
        <v>110310</v>
      </c>
      <c r="AE37" s="153">
        <v>0</v>
      </c>
      <c r="AF37" s="153">
        <f ca="1">OFFSET(passive_type!$L$1,MATCH(B37,passive_type!B:B,0)-1,0)</f>
        <v>2</v>
      </c>
      <c r="AG37">
        <f ca="1">OFFSET(passive_type!$R$1,MATCH(B37,passive_type!B:B,0)-1,0)</f>
        <v>1300003</v>
      </c>
      <c r="AH37">
        <v>300</v>
      </c>
      <c r="AI37">
        <f ca="1">IF(Z37=0,0,VLOOKUP(F37,心法辅助配置表!Q:X,AF37+1,FALSE))</f>
        <v>868</v>
      </c>
    </row>
    <row r="38" spans="1:35">
      <c r="A38">
        <f ca="1" t="shared" si="0"/>
        <v>110310</v>
      </c>
      <c r="B38" s="156" t="s">
        <v>1572</v>
      </c>
      <c r="C38">
        <f ca="1">OFFSET(passive_type!$A$1,MATCH(B38,passive_type!B:B,0)-1,0)</f>
        <v>1103</v>
      </c>
      <c r="D38" s="157" t="s">
        <v>2928</v>
      </c>
      <c r="E38">
        <v>12</v>
      </c>
      <c r="F38" s="158">
        <f ca="1">(OFFSET(passive_type!$E$1,MATCH(C38,passive_type!A:A,0)-1,0)*10+AA38)*100+Z38</f>
        <v>1210</v>
      </c>
      <c r="G38" s="22">
        <f ca="1">IF(Z38=0,0,VLOOKUP(F38,心法辅助配置表!$G$2:$O$91,AF38+2,FALSE))</f>
        <v>1109</v>
      </c>
      <c r="I38" s="78"/>
      <c r="J38" s="78"/>
      <c r="K38" s="78"/>
      <c r="L38" s="78">
        <f ca="1" t="shared" si="35"/>
        <v>1109</v>
      </c>
      <c r="M38" s="78">
        <f ca="1" t="shared" ref="M38:O38" si="39">J38+M37</f>
        <v>312</v>
      </c>
      <c r="N38" s="78">
        <f ca="1" t="shared" si="39"/>
        <v>192</v>
      </c>
      <c r="O38" s="78">
        <f ca="1" t="shared" si="39"/>
        <v>3105</v>
      </c>
      <c r="P38" s="78" t="str">
        <f ca="1" t="shared" si="4"/>
        <v>11|312|;</v>
      </c>
      <c r="Q38" s="78" t="str">
        <f ca="1" t="shared" si="5"/>
        <v>21|192|;</v>
      </c>
      <c r="R38" s="78" t="str">
        <f ca="1" t="shared" si="6"/>
        <v>12|3105|;</v>
      </c>
      <c r="S38" s="78" t="str">
        <f ca="1" t="shared" si="29"/>
        <v>11|312|;21|192|;12|3105|;</v>
      </c>
      <c r="T38" s="165" t="str">
        <f ca="1">OFFSET(buff!$C$1,MATCH(W38,buff!A:A,0)-1,0)</f>
        <v>反弹30%受到的伤害</v>
      </c>
      <c r="U38" s="166"/>
      <c r="V38" s="166">
        <v>10000</v>
      </c>
      <c r="W38">
        <f ca="1" t="shared" si="1"/>
        <v>110310</v>
      </c>
      <c r="Z38" s="153">
        <f t="shared" si="2"/>
        <v>10</v>
      </c>
      <c r="AA38" s="153">
        <f ca="1">OFFSET(passive_type!$I$1,MATCH(C38,passive_type!A:A,0)-1,0)</f>
        <v>2</v>
      </c>
      <c r="AB38" s="153">
        <v>400015</v>
      </c>
      <c r="AC38" s="153">
        <f ca="1">IF(AD38=0,0,100)</f>
        <v>0</v>
      </c>
      <c r="AD38" s="153">
        <f ca="1" t="shared" si="3"/>
        <v>0</v>
      </c>
      <c r="AE38" s="153">
        <v>0</v>
      </c>
      <c r="AF38" s="153">
        <f ca="1">OFFSET(passive_type!$L$1,MATCH(B38,passive_type!B:B,0)-1,0)</f>
        <v>2</v>
      </c>
      <c r="AG38">
        <f ca="1">OFFSET(passive_type!$R$1,MATCH(B38,passive_type!B:B,0)-1,0)</f>
        <v>1300003</v>
      </c>
      <c r="AH38">
        <f ca="1">IF(AD38=0,0,20)</f>
        <v>0</v>
      </c>
      <c r="AI38">
        <f ca="1">IF(Z38=0,0,VLOOKUP(F38,心法辅助配置表!Q:X,AF38+1,FALSE))</f>
        <v>935</v>
      </c>
    </row>
    <row r="39" spans="1:35">
      <c r="A39">
        <f ca="1" t="shared" si="0"/>
        <v>110400</v>
      </c>
      <c r="B39" s="159" t="s">
        <v>2842</v>
      </c>
      <c r="C39">
        <f ca="1">OFFSET(passive_type!$A$1,MATCH(B39,passive_type!B:B,0)-1,0)</f>
        <v>1104</v>
      </c>
      <c r="D39" s="157"/>
      <c r="F39" s="158">
        <f ca="1">(OFFSET(passive_type!$E$1,MATCH(C39,passive_type!A:A,0)-1,0)*10+AA39)*100+Z39</f>
        <v>1300</v>
      </c>
      <c r="G39" s="22">
        <f ca="1">IF(Z39=0,0,VLOOKUP(F39,心法辅助配置表!$G$2:$O$91,AF39+2,FALSE))</f>
        <v>0</v>
      </c>
      <c r="I39" s="161"/>
      <c r="J39" s="161"/>
      <c r="K39" s="161"/>
      <c r="L39" s="161"/>
      <c r="P39" s="78" t="str">
        <f t="shared" ref="P39:P70" si="40">11&amp;$I$1&amp;M39&amp;$I$1&amp;$P$1</f>
        <v>11||;</v>
      </c>
      <c r="Q39" s="78" t="str">
        <f t="shared" ref="Q39:Q70" si="41">21&amp;$I$1&amp;N39&amp;$I$1&amp;$P$1</f>
        <v>21||;</v>
      </c>
      <c r="R39" s="78" t="str">
        <f t="shared" ref="R39:R70" si="42">12&amp;$I$1&amp;O39&amp;$I$1&amp;$P$1</f>
        <v>12||;</v>
      </c>
      <c r="S39" s="78"/>
      <c r="T39" s="165" t="str">
        <f ca="1">OFFSET(buff!$C$1,MATCH(W39,buff!A:A,0)-1,0)</f>
        <v>制造幻象，每回合有25%概率使敌人1招无效</v>
      </c>
      <c r="U39" s="166">
        <v>1</v>
      </c>
      <c r="V39">
        <v>2500</v>
      </c>
      <c r="W39">
        <f ca="1" t="shared" si="1"/>
        <v>110400</v>
      </c>
      <c r="Z39" s="153">
        <f t="shared" si="2"/>
        <v>0</v>
      </c>
      <c r="AA39" s="153">
        <f ca="1">OFFSET(passive_type!$I$1,MATCH(C39,passive_type!A:A,0)-1,0)</f>
        <v>3</v>
      </c>
      <c r="AB39" s="153">
        <v>400015</v>
      </c>
      <c r="AC39" s="78">
        <v>800</v>
      </c>
      <c r="AD39" s="153">
        <f ca="1" t="shared" si="3"/>
        <v>110401</v>
      </c>
      <c r="AE39" s="153">
        <v>0</v>
      </c>
      <c r="AF39" s="153">
        <f ca="1">OFFSET(passive_type!$L$1,MATCH(B39,passive_type!B:B,0)-1,0)</f>
        <v>3</v>
      </c>
      <c r="AG39">
        <f ca="1">OFFSET(passive_type!$R$1,MATCH(B39,passive_type!B:B,0)-1,0)</f>
        <v>1300004</v>
      </c>
      <c r="AH39" s="78">
        <v>6</v>
      </c>
      <c r="AI39">
        <f ca="1">IF(Z39=0,0,VLOOKUP(F39,心法辅助配置表!Q:X,AF39+1,FALSE))</f>
        <v>0</v>
      </c>
    </row>
    <row r="40" spans="1:35">
      <c r="A40">
        <f ca="1" t="shared" si="0"/>
        <v>110401</v>
      </c>
      <c r="B40" s="159" t="s">
        <v>2842</v>
      </c>
      <c r="C40">
        <f ca="1">OFFSET(passive_type!$A$1,MATCH(B40,passive_type!B:B,0)-1,0)</f>
        <v>1104</v>
      </c>
      <c r="D40" s="157" t="s">
        <v>2928</v>
      </c>
      <c r="E40">
        <v>12</v>
      </c>
      <c r="F40" s="158">
        <f ca="1">(OFFSET(passive_type!$E$1,MATCH(C40,passive_type!A:A,0)-1,0)*10+AA40)*100+Z40</f>
        <v>1301</v>
      </c>
      <c r="G40" s="22">
        <f ca="1">IF(Z40=0,0,VLOOKUP(F40,心法辅助配置表!$G$2:$O$91,AF40+2,FALSE))</f>
        <v>1823</v>
      </c>
      <c r="I40" s="78"/>
      <c r="J40" s="78"/>
      <c r="K40" s="78"/>
      <c r="L40" s="78">
        <f ca="1" t="shared" si="35"/>
        <v>1823</v>
      </c>
      <c r="M40" s="78">
        <f>J40</f>
        <v>0</v>
      </c>
      <c r="N40" s="78">
        <f>K40</f>
        <v>0</v>
      </c>
      <c r="O40" s="78">
        <f ca="1">G40</f>
        <v>1823</v>
      </c>
      <c r="P40" s="78" t="str">
        <f t="shared" si="40"/>
        <v>11|0|;</v>
      </c>
      <c r="Q40" s="78" t="str">
        <f t="shared" si="41"/>
        <v>21|0|;</v>
      </c>
      <c r="R40" s="78" t="str">
        <f ca="1" t="shared" si="42"/>
        <v>12|1823|;</v>
      </c>
      <c r="S40" s="78" t="str">
        <f ca="1" t="shared" ref="S40:S49" si="43">P40&amp;Q40&amp;R40</f>
        <v>11|0|;21|0|;12|1823|;</v>
      </c>
      <c r="T40" s="165" t="str">
        <f ca="1">OFFSET(buff!$C$1,MATCH(W40,buff!A:A,0)-1,0)</f>
        <v>制造幻象，每回合有26%概率使敌人1招无效</v>
      </c>
      <c r="U40" s="166">
        <v>1</v>
      </c>
      <c r="V40">
        <v>2600</v>
      </c>
      <c r="W40">
        <f ca="1" t="shared" si="1"/>
        <v>110401</v>
      </c>
      <c r="Z40" s="153">
        <f t="shared" si="2"/>
        <v>1</v>
      </c>
      <c r="AA40" s="153">
        <f ca="1">OFFSET(passive_type!$I$1,MATCH(C40,passive_type!A:A,0)-1,0)</f>
        <v>3</v>
      </c>
      <c r="AB40" s="153">
        <v>400015</v>
      </c>
      <c r="AC40" s="78">
        <v>1600</v>
      </c>
      <c r="AD40" s="153">
        <f ca="1" t="shared" si="3"/>
        <v>110402</v>
      </c>
      <c r="AE40" s="153">
        <v>0</v>
      </c>
      <c r="AF40" s="153">
        <f ca="1">OFFSET(passive_type!$L$1,MATCH(B40,passive_type!B:B,0)-1,0)</f>
        <v>3</v>
      </c>
      <c r="AG40">
        <f ca="1">OFFSET(passive_type!$R$1,MATCH(B40,passive_type!B:B,0)-1,0)</f>
        <v>1300004</v>
      </c>
      <c r="AH40" s="78">
        <v>12</v>
      </c>
      <c r="AI40">
        <f ca="1">IF(Z40=0,0,VLOOKUP(F40,心法辅助配置表!Q:X,AF40+1,FALSE))</f>
        <v>1572</v>
      </c>
    </row>
    <row r="41" spans="1:35">
      <c r="A41">
        <f ca="1" t="shared" si="0"/>
        <v>110402</v>
      </c>
      <c r="B41" s="159" t="s">
        <v>2842</v>
      </c>
      <c r="C41">
        <f ca="1">OFFSET(passive_type!$A$1,MATCH(B41,passive_type!B:B,0)-1,0)</f>
        <v>1104</v>
      </c>
      <c r="D41" s="157" t="s">
        <v>2929</v>
      </c>
      <c r="E41">
        <v>11</v>
      </c>
      <c r="F41" s="158">
        <f ca="1">(OFFSET(passive_type!$E$1,MATCH(C41,passive_type!A:A,0)-1,0)*10+AA41)*100+Z41</f>
        <v>1302</v>
      </c>
      <c r="G41" s="22">
        <f ca="1">IF(Z41=0,0,VLOOKUP(F41,心法辅助配置表!$G$2:$O$91,AF41+2,FALSE))</f>
        <v>258</v>
      </c>
      <c r="I41" s="161"/>
      <c r="J41" s="78">
        <f ca="1">G41</f>
        <v>258</v>
      </c>
      <c r="K41" s="162"/>
      <c r="L41" s="162"/>
      <c r="M41" s="78">
        <f ca="1" t="shared" ref="M41:O41" si="44">J41+M40</f>
        <v>258</v>
      </c>
      <c r="N41" s="78">
        <f t="shared" si="44"/>
        <v>0</v>
      </c>
      <c r="O41" s="78">
        <f ca="1" t="shared" si="44"/>
        <v>1823</v>
      </c>
      <c r="P41" s="78" t="str">
        <f ca="1" t="shared" si="40"/>
        <v>11|258|;</v>
      </c>
      <c r="Q41" s="78" t="str">
        <f t="shared" si="41"/>
        <v>21|0|;</v>
      </c>
      <c r="R41" s="78" t="str">
        <f ca="1" t="shared" si="42"/>
        <v>12|1823|;</v>
      </c>
      <c r="S41" s="78" t="str">
        <f ca="1" t="shared" si="43"/>
        <v>11|258|;21|0|;12|1823|;</v>
      </c>
      <c r="T41" s="165" t="str">
        <f ca="1">OFFSET(buff!$C$1,MATCH(W41,buff!A:A,0)-1,0)</f>
        <v>制造幻象，每回合有27%概率使敌人1招无效</v>
      </c>
      <c r="U41" s="166">
        <v>1</v>
      </c>
      <c r="V41">
        <v>2700</v>
      </c>
      <c r="W41">
        <f ca="1" t="shared" si="1"/>
        <v>110402</v>
      </c>
      <c r="Z41" s="153">
        <f t="shared" si="2"/>
        <v>2</v>
      </c>
      <c r="AA41" s="153">
        <f ca="1">OFFSET(passive_type!$I$1,MATCH(C41,passive_type!A:A,0)-1,0)</f>
        <v>3</v>
      </c>
      <c r="AB41" s="153">
        <v>400015</v>
      </c>
      <c r="AC41" s="78">
        <v>3200</v>
      </c>
      <c r="AD41" s="153">
        <f ca="1" t="shared" si="3"/>
        <v>110403</v>
      </c>
      <c r="AE41" s="153">
        <v>0</v>
      </c>
      <c r="AF41" s="153">
        <f ca="1">OFFSET(passive_type!$L$1,MATCH(B41,passive_type!B:B,0)-1,0)</f>
        <v>3</v>
      </c>
      <c r="AG41">
        <f ca="1">OFFSET(passive_type!$R$1,MATCH(B41,passive_type!B:B,0)-1,0)</f>
        <v>1300004</v>
      </c>
      <c r="AH41" s="78">
        <v>24</v>
      </c>
      <c r="AI41">
        <f ca="1">IF(Z41=0,0,VLOOKUP(F41,心法辅助配置表!Q:X,AF41+1,FALSE))</f>
        <v>1887</v>
      </c>
    </row>
    <row r="42" spans="1:35">
      <c r="A42">
        <f ca="1" t="shared" si="0"/>
        <v>110403</v>
      </c>
      <c r="B42" s="159" t="s">
        <v>2842</v>
      </c>
      <c r="C42">
        <f ca="1">OFFSET(passive_type!$A$1,MATCH(B42,passive_type!B:B,0)-1,0)</f>
        <v>1104</v>
      </c>
      <c r="D42" s="157" t="s">
        <v>2930</v>
      </c>
      <c r="E42">
        <v>21</v>
      </c>
      <c r="F42" s="158">
        <f ca="1">(OFFSET(passive_type!$E$1,MATCH(C42,passive_type!A:A,0)-1,0)*10+AA42)*100+Z42</f>
        <v>1303</v>
      </c>
      <c r="G42" s="22">
        <f ca="1">IF(Z42=0,0,VLOOKUP(F42,心法辅助配置表!$G$2:$O$91,AF42+2,FALSE))</f>
        <v>160</v>
      </c>
      <c r="I42" s="152"/>
      <c r="J42" s="152"/>
      <c r="K42" s="78">
        <f ca="1">G42</f>
        <v>160</v>
      </c>
      <c r="L42" s="152"/>
      <c r="M42" s="78">
        <f ca="1" t="shared" ref="M42:O42" si="45">J42+M41</f>
        <v>258</v>
      </c>
      <c r="N42" s="78">
        <f ca="1" t="shared" si="45"/>
        <v>160</v>
      </c>
      <c r="O42" s="78">
        <f ca="1" t="shared" si="45"/>
        <v>1823</v>
      </c>
      <c r="P42" s="78" t="str">
        <f ca="1" t="shared" si="40"/>
        <v>11|258|;</v>
      </c>
      <c r="Q42" s="78" t="str">
        <f ca="1" t="shared" si="41"/>
        <v>21|160|;</v>
      </c>
      <c r="R42" s="78" t="str">
        <f ca="1" t="shared" si="42"/>
        <v>12|1823|;</v>
      </c>
      <c r="S42" s="78" t="str">
        <f ca="1" t="shared" si="43"/>
        <v>11|258|;21|160|;12|1823|;</v>
      </c>
      <c r="T42" s="165" t="str">
        <f ca="1">OFFSET(buff!$C$1,MATCH(W42,buff!A:A,0)-1,0)</f>
        <v>制造幻象，每回合有28%概率使敌人1招无效</v>
      </c>
      <c r="U42" s="166">
        <v>1</v>
      </c>
      <c r="V42">
        <v>2800</v>
      </c>
      <c r="W42">
        <f ca="1" t="shared" si="1"/>
        <v>110403</v>
      </c>
      <c r="Z42" s="153">
        <f t="shared" si="2"/>
        <v>3</v>
      </c>
      <c r="AA42" s="153">
        <f ca="1">OFFSET(passive_type!$I$1,MATCH(C42,passive_type!A:A,0)-1,0)</f>
        <v>3</v>
      </c>
      <c r="AB42" s="153">
        <v>400015</v>
      </c>
      <c r="AC42" s="78">
        <v>6400</v>
      </c>
      <c r="AD42" s="153">
        <f ca="1" t="shared" si="3"/>
        <v>110404</v>
      </c>
      <c r="AE42" s="153">
        <v>0</v>
      </c>
      <c r="AF42" s="153">
        <f ca="1">OFFSET(passive_type!$L$1,MATCH(B42,passive_type!B:B,0)-1,0)</f>
        <v>3</v>
      </c>
      <c r="AG42">
        <f ca="1">OFFSET(passive_type!$R$1,MATCH(B42,passive_type!B:B,0)-1,0)</f>
        <v>1300004</v>
      </c>
      <c r="AH42" s="78">
        <v>48</v>
      </c>
      <c r="AI42">
        <f ca="1">IF(Z42=0,0,VLOOKUP(F42,心法辅助配置表!Q:X,AF42+1,FALSE))</f>
        <v>2201</v>
      </c>
    </row>
    <row r="43" spans="1:35">
      <c r="A43">
        <f ca="1" t="shared" si="0"/>
        <v>110404</v>
      </c>
      <c r="B43" s="159" t="s">
        <v>2842</v>
      </c>
      <c r="C43">
        <f ca="1">OFFSET(passive_type!$A$1,MATCH(B43,passive_type!B:B,0)-1,0)</f>
        <v>1104</v>
      </c>
      <c r="D43" s="157" t="s">
        <v>2928</v>
      </c>
      <c r="E43">
        <v>12</v>
      </c>
      <c r="F43" s="158">
        <f ca="1">(OFFSET(passive_type!$E$1,MATCH(C43,passive_type!A:A,0)-1,0)*10+AA43)*100+Z43</f>
        <v>1304</v>
      </c>
      <c r="G43" s="22">
        <f ca="1">IF(Z43=0,0,VLOOKUP(F43,心法辅助配置表!$G$2:$O$91,AF43+2,FALSE))</f>
        <v>2735</v>
      </c>
      <c r="I43" s="152"/>
      <c r="J43" s="152"/>
      <c r="K43" s="152"/>
      <c r="L43" s="78">
        <f ca="1">G43</f>
        <v>2735</v>
      </c>
      <c r="M43" s="78">
        <f ca="1" t="shared" ref="M43:O43" si="46">J43+M42</f>
        <v>258</v>
      </c>
      <c r="N43" s="78">
        <f ca="1" t="shared" si="46"/>
        <v>160</v>
      </c>
      <c r="O43" s="78">
        <f ca="1" t="shared" si="46"/>
        <v>4558</v>
      </c>
      <c r="P43" s="78" t="str">
        <f ca="1" t="shared" si="40"/>
        <v>11|258|;</v>
      </c>
      <c r="Q43" s="78" t="str">
        <f ca="1" t="shared" si="41"/>
        <v>21|160|;</v>
      </c>
      <c r="R43" s="78" t="str">
        <f ca="1" t="shared" si="42"/>
        <v>12|4558|;</v>
      </c>
      <c r="S43" s="78" t="str">
        <f ca="1" t="shared" si="43"/>
        <v>11|258|;21|160|;12|4558|;</v>
      </c>
      <c r="T43" s="165" t="str">
        <f ca="1">OFFSET(buff!$C$1,MATCH(W43,buff!A:A,0)-1,0)</f>
        <v>制造幻象，每回合有29%概率使敌人1招无效</v>
      </c>
      <c r="U43" s="166">
        <v>1</v>
      </c>
      <c r="V43">
        <v>2900</v>
      </c>
      <c r="W43">
        <f ca="1" t="shared" si="1"/>
        <v>110404</v>
      </c>
      <c r="Z43" s="153">
        <f t="shared" si="2"/>
        <v>4</v>
      </c>
      <c r="AA43" s="153">
        <f ca="1">OFFSET(passive_type!$I$1,MATCH(C43,passive_type!A:A,0)-1,0)</f>
        <v>3</v>
      </c>
      <c r="AB43" s="153">
        <v>400015</v>
      </c>
      <c r="AC43" s="78">
        <v>8000</v>
      </c>
      <c r="AD43" s="153">
        <f ca="1" t="shared" si="3"/>
        <v>110405</v>
      </c>
      <c r="AE43" s="153">
        <v>0</v>
      </c>
      <c r="AF43" s="153">
        <f ca="1">OFFSET(passive_type!$L$1,MATCH(B43,passive_type!B:B,0)-1,0)</f>
        <v>3</v>
      </c>
      <c r="AG43">
        <f ca="1">OFFSET(passive_type!$R$1,MATCH(B43,passive_type!B:B,0)-1,0)</f>
        <v>1300004</v>
      </c>
      <c r="AH43" s="78">
        <v>60</v>
      </c>
      <c r="AI43">
        <f ca="1">IF(Z43=0,0,VLOOKUP(F43,心法辅助配置表!Q:X,AF43+1,FALSE))</f>
        <v>2516</v>
      </c>
    </row>
    <row r="44" spans="1:35">
      <c r="A44">
        <f ca="1" t="shared" si="0"/>
        <v>110405</v>
      </c>
      <c r="B44" s="159" t="s">
        <v>2842</v>
      </c>
      <c r="C44">
        <f ca="1">OFFSET(passive_type!$A$1,MATCH(B44,passive_type!B:B,0)-1,0)</f>
        <v>1104</v>
      </c>
      <c r="D44" s="157" t="s">
        <v>2929</v>
      </c>
      <c r="E44">
        <v>11</v>
      </c>
      <c r="F44" s="158">
        <f ca="1">(OFFSET(passive_type!$E$1,MATCH(C44,passive_type!A:A,0)-1,0)*10+AA44)*100+Z44</f>
        <v>1305</v>
      </c>
      <c r="G44" s="22">
        <f ca="1">IF(Z44=0,0,VLOOKUP(F44,心法辅助配置表!$G$2:$O$91,AF44+2,FALSE))</f>
        <v>387</v>
      </c>
      <c r="I44" s="152"/>
      <c r="J44" s="78">
        <f ca="1">G44</f>
        <v>387</v>
      </c>
      <c r="K44" s="152"/>
      <c r="L44" s="152"/>
      <c r="M44" s="78">
        <f ca="1" t="shared" ref="M44:O44" si="47">J44+M43</f>
        <v>645</v>
      </c>
      <c r="N44" s="78">
        <f ca="1" t="shared" si="47"/>
        <v>160</v>
      </c>
      <c r="O44" s="78">
        <f ca="1" t="shared" si="47"/>
        <v>4558</v>
      </c>
      <c r="P44" s="78" t="str">
        <f ca="1" t="shared" si="40"/>
        <v>11|645|;</v>
      </c>
      <c r="Q44" s="78" t="str">
        <f ca="1" t="shared" si="41"/>
        <v>21|160|;</v>
      </c>
      <c r="R44" s="78" t="str">
        <f ca="1" t="shared" si="42"/>
        <v>12|4558|;</v>
      </c>
      <c r="S44" s="78" t="str">
        <f ca="1" t="shared" si="43"/>
        <v>11|645|;21|160|;12|4558|;</v>
      </c>
      <c r="T44" s="165" t="str">
        <f ca="1">OFFSET(buff!$C$1,MATCH(W44,buff!A:A,0)-1,0)</f>
        <v>制造幻象，每回合有30%概率使敌人1招无效</v>
      </c>
      <c r="U44" s="166">
        <v>1</v>
      </c>
      <c r="V44">
        <v>3000</v>
      </c>
      <c r="W44">
        <f ca="1" t="shared" si="1"/>
        <v>110405</v>
      </c>
      <c r="Z44" s="153">
        <f t="shared" si="2"/>
        <v>5</v>
      </c>
      <c r="AA44" s="153">
        <f ca="1">OFFSET(passive_type!$I$1,MATCH(C44,passive_type!A:A,0)-1,0)</f>
        <v>3</v>
      </c>
      <c r="AB44" s="153">
        <v>400015</v>
      </c>
      <c r="AC44" s="78">
        <v>11200</v>
      </c>
      <c r="AD44" s="153">
        <f ca="1" t="shared" si="3"/>
        <v>110406</v>
      </c>
      <c r="AE44" s="153">
        <v>0</v>
      </c>
      <c r="AF44" s="153">
        <f ca="1">OFFSET(passive_type!$L$1,MATCH(B44,passive_type!B:B,0)-1,0)</f>
        <v>3</v>
      </c>
      <c r="AG44">
        <f ca="1">OFFSET(passive_type!$R$1,MATCH(B44,passive_type!B:B,0)-1,0)</f>
        <v>1300004</v>
      </c>
      <c r="AH44" s="78">
        <v>84</v>
      </c>
      <c r="AI44">
        <f ca="1">IF(Z44=0,0,VLOOKUP(F44,心法辅助配置表!Q:X,AF44+1,FALSE))</f>
        <v>2830</v>
      </c>
    </row>
    <row r="45" spans="1:35">
      <c r="A45">
        <f ca="1" t="shared" si="0"/>
        <v>110406</v>
      </c>
      <c r="B45" s="159" t="s">
        <v>2842</v>
      </c>
      <c r="C45">
        <f ca="1">OFFSET(passive_type!$A$1,MATCH(B45,passive_type!B:B,0)-1,0)</f>
        <v>1104</v>
      </c>
      <c r="D45" s="157" t="s">
        <v>2930</v>
      </c>
      <c r="E45">
        <v>21</v>
      </c>
      <c r="F45" s="158">
        <f ca="1">(OFFSET(passive_type!$E$1,MATCH(C45,passive_type!A:A,0)-1,0)*10+AA45)*100+Z45</f>
        <v>1306</v>
      </c>
      <c r="G45" s="22">
        <f ca="1">IF(Z45=0,0,VLOOKUP(F45,心法辅助配置表!$G$2:$O$91,AF45+2,FALSE))</f>
        <v>238</v>
      </c>
      <c r="I45" s="152"/>
      <c r="J45" s="152"/>
      <c r="K45" s="78">
        <f ca="1">G45</f>
        <v>238</v>
      </c>
      <c r="L45" s="152"/>
      <c r="M45" s="78">
        <f ca="1" t="shared" ref="M45:O45" si="48">J45+M44</f>
        <v>645</v>
      </c>
      <c r="N45" s="78">
        <f ca="1" t="shared" si="48"/>
        <v>398</v>
      </c>
      <c r="O45" s="78">
        <f ca="1" t="shared" si="48"/>
        <v>4558</v>
      </c>
      <c r="P45" s="78" t="str">
        <f ca="1" t="shared" si="40"/>
        <v>11|645|;</v>
      </c>
      <c r="Q45" s="78" t="str">
        <f ca="1" t="shared" si="41"/>
        <v>21|398|;</v>
      </c>
      <c r="R45" s="78" t="str">
        <f ca="1" t="shared" si="42"/>
        <v>12|4558|;</v>
      </c>
      <c r="S45" s="78" t="str">
        <f ca="1" t="shared" si="43"/>
        <v>11|645|;21|398|;12|4558|;</v>
      </c>
      <c r="T45" s="165" t="str">
        <f ca="1">OFFSET(buff!$C$1,MATCH(W45,buff!A:A,0)-1,0)</f>
        <v>制造幻象，每回合有31%概率使敌人1招无效</v>
      </c>
      <c r="U45" s="166">
        <v>1</v>
      </c>
      <c r="V45">
        <v>3100</v>
      </c>
      <c r="W45">
        <f ca="1" t="shared" si="1"/>
        <v>110406</v>
      </c>
      <c r="Z45" s="153">
        <f t="shared" si="2"/>
        <v>6</v>
      </c>
      <c r="AA45" s="153">
        <f ca="1">OFFSET(passive_type!$I$1,MATCH(C45,passive_type!A:A,0)-1,0)</f>
        <v>3</v>
      </c>
      <c r="AB45" s="153">
        <v>400015</v>
      </c>
      <c r="AC45" s="78">
        <v>17600</v>
      </c>
      <c r="AD45" s="153">
        <f ca="1" t="shared" si="3"/>
        <v>110407</v>
      </c>
      <c r="AE45" s="153">
        <v>0</v>
      </c>
      <c r="AF45" s="153">
        <f ca="1">OFFSET(passive_type!$L$1,MATCH(B45,passive_type!B:B,0)-1,0)</f>
        <v>3</v>
      </c>
      <c r="AG45">
        <f ca="1">OFFSET(passive_type!$R$1,MATCH(B45,passive_type!B:B,0)-1,0)</f>
        <v>1300004</v>
      </c>
      <c r="AH45" s="78">
        <v>108</v>
      </c>
      <c r="AI45">
        <f ca="1">IF(Z45=0,0,VLOOKUP(F45,心法辅助配置表!Q:X,AF45+1,FALSE))</f>
        <v>3145</v>
      </c>
    </row>
    <row r="46" spans="1:35">
      <c r="A46">
        <f ca="1" t="shared" si="0"/>
        <v>110407</v>
      </c>
      <c r="B46" s="159" t="s">
        <v>2842</v>
      </c>
      <c r="C46">
        <f ca="1">OFFSET(passive_type!$A$1,MATCH(B46,passive_type!B:B,0)-1,0)</f>
        <v>1104</v>
      </c>
      <c r="D46" s="157" t="s">
        <v>2928</v>
      </c>
      <c r="E46">
        <v>12</v>
      </c>
      <c r="F46" s="158">
        <f ca="1">(OFFSET(passive_type!$E$1,MATCH(C46,passive_type!A:A,0)-1,0)*10+AA46)*100+Z46</f>
        <v>1307</v>
      </c>
      <c r="G46" s="22">
        <f ca="1">IF(Z46=0,0,VLOOKUP(F46,心法辅助配置表!$G$2:$O$91,AF46+2,FALSE))</f>
        <v>3647</v>
      </c>
      <c r="I46" s="152"/>
      <c r="J46" s="152"/>
      <c r="K46" s="152"/>
      <c r="L46" s="78">
        <f ca="1" t="shared" ref="L46:L51" si="49">G46</f>
        <v>3647</v>
      </c>
      <c r="M46" s="78">
        <f ca="1" t="shared" ref="M46:O46" si="50">J46+M45</f>
        <v>645</v>
      </c>
      <c r="N46" s="78">
        <f ca="1" t="shared" si="50"/>
        <v>398</v>
      </c>
      <c r="O46" s="78">
        <f ca="1" t="shared" si="50"/>
        <v>8205</v>
      </c>
      <c r="P46" s="78" t="str">
        <f ca="1" t="shared" si="40"/>
        <v>11|645|;</v>
      </c>
      <c r="Q46" s="78" t="str">
        <f ca="1" t="shared" si="41"/>
        <v>21|398|;</v>
      </c>
      <c r="R46" s="78" t="str">
        <f ca="1" t="shared" si="42"/>
        <v>12|8205|;</v>
      </c>
      <c r="S46" s="78" t="str">
        <f ca="1" t="shared" si="43"/>
        <v>11|645|;21|398|;12|8205|;</v>
      </c>
      <c r="T46" s="165" t="str">
        <f ca="1">OFFSET(buff!$C$1,MATCH(W46,buff!A:A,0)-1,0)</f>
        <v>制造幻象，每回合有32%概率使敌人1招无效</v>
      </c>
      <c r="U46" s="166">
        <v>1</v>
      </c>
      <c r="V46">
        <v>3200</v>
      </c>
      <c r="W46">
        <f ca="1" t="shared" si="1"/>
        <v>110407</v>
      </c>
      <c r="Z46" s="153">
        <f t="shared" si="2"/>
        <v>7</v>
      </c>
      <c r="AA46" s="153">
        <f ca="1">OFFSET(passive_type!$I$1,MATCH(C46,passive_type!A:A,0)-1,0)</f>
        <v>3</v>
      </c>
      <c r="AB46" s="153">
        <v>400015</v>
      </c>
      <c r="AC46" s="78">
        <v>25600</v>
      </c>
      <c r="AD46" s="153">
        <f ca="1" t="shared" si="3"/>
        <v>110408</v>
      </c>
      <c r="AE46" s="153">
        <v>0</v>
      </c>
      <c r="AF46" s="153">
        <f ca="1">OFFSET(passive_type!$L$1,MATCH(B46,passive_type!B:B,0)-1,0)</f>
        <v>3</v>
      </c>
      <c r="AG46">
        <f ca="1">OFFSET(passive_type!$R$1,MATCH(B46,passive_type!B:B,0)-1,0)</f>
        <v>1300004</v>
      </c>
      <c r="AH46" s="78">
        <v>156</v>
      </c>
      <c r="AI46">
        <f ca="1">IF(Z46=0,0,VLOOKUP(F46,心法辅助配置表!Q:X,AF46+1,FALSE))</f>
        <v>3459</v>
      </c>
    </row>
    <row r="47" spans="1:35">
      <c r="A47">
        <f ca="1" t="shared" si="0"/>
        <v>110408</v>
      </c>
      <c r="B47" s="159" t="s">
        <v>2842</v>
      </c>
      <c r="C47">
        <f ca="1">OFFSET(passive_type!$A$1,MATCH(B47,passive_type!B:B,0)-1,0)</f>
        <v>1104</v>
      </c>
      <c r="D47" s="157" t="s">
        <v>2929</v>
      </c>
      <c r="E47">
        <v>11</v>
      </c>
      <c r="F47" s="158">
        <f ca="1">(OFFSET(passive_type!$E$1,MATCH(C47,passive_type!A:A,0)-1,0)*10+AA47)*100+Z47</f>
        <v>1308</v>
      </c>
      <c r="G47" s="22">
        <f ca="1">IF(Z47=0,0,VLOOKUP(F47,心法辅助配置表!$G$2:$O$91,AF47+2,FALSE))</f>
        <v>515</v>
      </c>
      <c r="I47" s="152"/>
      <c r="J47" s="78">
        <f ca="1">G47</f>
        <v>515</v>
      </c>
      <c r="K47" s="152"/>
      <c r="L47" s="152"/>
      <c r="M47" s="78">
        <f ca="1" t="shared" ref="M47:O47" si="51">J47+M46</f>
        <v>1160</v>
      </c>
      <c r="N47" s="78">
        <f ca="1" t="shared" si="51"/>
        <v>398</v>
      </c>
      <c r="O47" s="78">
        <f ca="1" t="shared" si="51"/>
        <v>8205</v>
      </c>
      <c r="P47" s="78" t="str">
        <f ca="1" t="shared" si="40"/>
        <v>11|1160|;</v>
      </c>
      <c r="Q47" s="78" t="str">
        <f ca="1" t="shared" si="41"/>
        <v>21|398|;</v>
      </c>
      <c r="R47" s="78" t="str">
        <f ca="1" t="shared" si="42"/>
        <v>12|8205|;</v>
      </c>
      <c r="S47" s="78" t="str">
        <f ca="1" t="shared" si="43"/>
        <v>11|1160|;21|398|;12|8205|;</v>
      </c>
      <c r="T47" s="165" t="str">
        <f ca="1">OFFSET(buff!$C$1,MATCH(W47,buff!A:A,0)-1,0)</f>
        <v>制造幻象，每回合有33%概率使敌人1招无效</v>
      </c>
      <c r="U47" s="166">
        <v>1</v>
      </c>
      <c r="V47">
        <v>3300</v>
      </c>
      <c r="W47">
        <f ca="1" t="shared" si="1"/>
        <v>110408</v>
      </c>
      <c r="Z47" s="153">
        <f t="shared" si="2"/>
        <v>8</v>
      </c>
      <c r="AA47" s="153">
        <f ca="1">OFFSET(passive_type!$I$1,MATCH(C47,passive_type!A:A,0)-1,0)</f>
        <v>3</v>
      </c>
      <c r="AB47" s="153">
        <v>400015</v>
      </c>
      <c r="AC47" s="153">
        <v>36800</v>
      </c>
      <c r="AD47" s="153">
        <f ca="1" t="shared" si="3"/>
        <v>110409</v>
      </c>
      <c r="AE47" s="153">
        <v>0</v>
      </c>
      <c r="AF47" s="153">
        <f ca="1">OFFSET(passive_type!$L$1,MATCH(B47,passive_type!B:B,0)-1,0)</f>
        <v>3</v>
      </c>
      <c r="AG47">
        <f ca="1">OFFSET(passive_type!$R$1,MATCH(B47,passive_type!B:B,0)-1,0)</f>
        <v>1300004</v>
      </c>
      <c r="AH47" s="78">
        <v>216</v>
      </c>
      <c r="AI47">
        <f ca="1">IF(Z47=0,0,VLOOKUP(F47,心法辅助配置表!Q:X,AF47+1,FALSE))</f>
        <v>3773</v>
      </c>
    </row>
    <row r="48" spans="1:35">
      <c r="A48">
        <f ca="1" t="shared" si="0"/>
        <v>110409</v>
      </c>
      <c r="B48" s="159" t="s">
        <v>2842</v>
      </c>
      <c r="C48">
        <f ca="1">OFFSET(passive_type!$A$1,MATCH(B48,passive_type!B:B,0)-1,0)</f>
        <v>1104</v>
      </c>
      <c r="D48" s="157" t="s">
        <v>2930</v>
      </c>
      <c r="E48">
        <v>21</v>
      </c>
      <c r="F48" s="158">
        <f ca="1">(OFFSET(passive_type!$E$1,MATCH(C48,passive_type!A:A,0)-1,0)*10+AA48)*100+Z48</f>
        <v>1309</v>
      </c>
      <c r="G48" s="22">
        <f ca="1">IF(Z48=0,0,VLOOKUP(F48,心法辅助配置表!$G$2:$O$91,AF48+2,FALSE))</f>
        <v>318</v>
      </c>
      <c r="I48" s="152"/>
      <c r="J48" s="152"/>
      <c r="K48" s="78">
        <f ca="1">G48</f>
        <v>318</v>
      </c>
      <c r="L48" s="152"/>
      <c r="M48" s="78">
        <f ca="1" t="shared" ref="M48:O48" si="52">J48+M47</f>
        <v>1160</v>
      </c>
      <c r="N48" s="78">
        <f ca="1" t="shared" si="52"/>
        <v>716</v>
      </c>
      <c r="O48" s="78">
        <f ca="1" t="shared" si="52"/>
        <v>8205</v>
      </c>
      <c r="P48" s="78" t="str">
        <f ca="1" t="shared" si="40"/>
        <v>11|1160|;</v>
      </c>
      <c r="Q48" s="78" t="str">
        <f ca="1" t="shared" si="41"/>
        <v>21|716|;</v>
      </c>
      <c r="R48" s="78" t="str">
        <f ca="1" t="shared" si="42"/>
        <v>12|8205|;</v>
      </c>
      <c r="S48" s="78" t="str">
        <f ca="1" t="shared" si="43"/>
        <v>11|1160|;21|716|;12|8205|;</v>
      </c>
      <c r="T48" s="165" t="str">
        <f ca="1">OFFSET(buff!$C$1,MATCH(W48,buff!A:A,0)-1,0)</f>
        <v>制造幻象，每回合有34%概率使敌人1招无效</v>
      </c>
      <c r="U48" s="166">
        <v>1</v>
      </c>
      <c r="V48">
        <v>3400</v>
      </c>
      <c r="W48">
        <f ca="1" t="shared" si="1"/>
        <v>110409</v>
      </c>
      <c r="Z48" s="153">
        <f t="shared" si="2"/>
        <v>9</v>
      </c>
      <c r="AA48" s="153">
        <f ca="1">OFFSET(passive_type!$I$1,MATCH(C48,passive_type!A:A,0)-1,0)</f>
        <v>3</v>
      </c>
      <c r="AB48" s="153">
        <v>400015</v>
      </c>
      <c r="AC48" s="153">
        <v>54400</v>
      </c>
      <c r="AD48" s="153">
        <f ca="1" t="shared" si="3"/>
        <v>110410</v>
      </c>
      <c r="AE48" s="153">
        <v>0</v>
      </c>
      <c r="AF48" s="153">
        <f ca="1">OFFSET(passive_type!$L$1,MATCH(B48,passive_type!B:B,0)-1,0)</f>
        <v>3</v>
      </c>
      <c r="AG48">
        <f ca="1">OFFSET(passive_type!$R$1,MATCH(B48,passive_type!B:B,0)-1,0)</f>
        <v>1300004</v>
      </c>
      <c r="AH48">
        <v>300</v>
      </c>
      <c r="AI48">
        <f ca="1">IF(Z48=0,0,VLOOKUP(F48,心法辅助配置表!Q:X,AF48+1,FALSE))</f>
        <v>4088</v>
      </c>
    </row>
    <row r="49" spans="1:35">
      <c r="A49">
        <f ca="1" t="shared" si="0"/>
        <v>110410</v>
      </c>
      <c r="B49" s="159" t="s">
        <v>2842</v>
      </c>
      <c r="C49">
        <f ca="1">OFFSET(passive_type!$A$1,MATCH(B49,passive_type!B:B,0)-1,0)</f>
        <v>1104</v>
      </c>
      <c r="D49" s="157" t="s">
        <v>2928</v>
      </c>
      <c r="E49">
        <v>12</v>
      </c>
      <c r="F49" s="158">
        <f ca="1">(OFFSET(passive_type!$E$1,MATCH(C49,passive_type!A:A,0)-1,0)*10+AA49)*100+Z49</f>
        <v>1310</v>
      </c>
      <c r="G49" s="22">
        <f ca="1">IF(Z49=0,0,VLOOKUP(F49,心法辅助配置表!$G$2:$O$91,AF49+2,FALSE))</f>
        <v>4558</v>
      </c>
      <c r="I49" s="78"/>
      <c r="J49" s="78"/>
      <c r="K49" s="78"/>
      <c r="L49" s="78">
        <f ca="1" t="shared" si="49"/>
        <v>4558</v>
      </c>
      <c r="M49" s="78">
        <f ca="1" t="shared" ref="M49:O49" si="53">J49+M48</f>
        <v>1160</v>
      </c>
      <c r="N49" s="78">
        <f ca="1" t="shared" si="53"/>
        <v>716</v>
      </c>
      <c r="O49" s="78">
        <f ca="1" t="shared" si="53"/>
        <v>12763</v>
      </c>
      <c r="P49" s="78" t="str">
        <f ca="1" t="shared" si="40"/>
        <v>11|1160|;</v>
      </c>
      <c r="Q49" s="78" t="str">
        <f ca="1" t="shared" si="41"/>
        <v>21|716|;</v>
      </c>
      <c r="R49" s="78" t="str">
        <f ca="1" t="shared" si="42"/>
        <v>12|12763|;</v>
      </c>
      <c r="S49" s="78" t="str">
        <f ca="1" t="shared" si="43"/>
        <v>11|1160|;21|716|;12|12763|;</v>
      </c>
      <c r="T49" s="165" t="str">
        <f ca="1">OFFSET(buff!$C$1,MATCH(W49,buff!A:A,0)-1,0)</f>
        <v>制造幻象，每回合有35%概率使敌人1招无效</v>
      </c>
      <c r="U49" s="166">
        <v>1</v>
      </c>
      <c r="V49">
        <v>3500</v>
      </c>
      <c r="W49">
        <f ca="1" t="shared" si="1"/>
        <v>110410</v>
      </c>
      <c r="Z49" s="153">
        <f t="shared" si="2"/>
        <v>10</v>
      </c>
      <c r="AA49" s="153">
        <f ca="1">OFFSET(passive_type!$I$1,MATCH(C49,passive_type!A:A,0)-1,0)</f>
        <v>3</v>
      </c>
      <c r="AB49" s="153">
        <v>400015</v>
      </c>
      <c r="AC49" s="153">
        <f ca="1">IF(AD49=0,0,100)</f>
        <v>0</v>
      </c>
      <c r="AD49" s="153">
        <f ca="1" t="shared" si="3"/>
        <v>0</v>
      </c>
      <c r="AE49" s="153">
        <v>0</v>
      </c>
      <c r="AF49" s="153">
        <f ca="1">OFFSET(passive_type!$L$1,MATCH(B49,passive_type!B:B,0)-1,0)</f>
        <v>3</v>
      </c>
      <c r="AG49">
        <f ca="1">OFFSET(passive_type!$R$1,MATCH(B49,passive_type!B:B,0)-1,0)</f>
        <v>1300004</v>
      </c>
      <c r="AH49">
        <f ca="1">IF(AD49=0,0,20)</f>
        <v>0</v>
      </c>
      <c r="AI49">
        <f ca="1">IF(Z49=0,0,VLOOKUP(F49,心法辅助配置表!Q:X,AF49+1,FALSE))</f>
        <v>4402</v>
      </c>
    </row>
    <row r="50" spans="1:35">
      <c r="A50">
        <f ca="1" t="shared" si="0"/>
        <v>110500</v>
      </c>
      <c r="B50" s="156" t="s">
        <v>2844</v>
      </c>
      <c r="C50">
        <f ca="1">OFFSET(passive_type!$A$1,MATCH(B50,passive_type!B:B,0)-1,0)</f>
        <v>1105</v>
      </c>
      <c r="D50" s="157"/>
      <c r="F50" s="158">
        <f ca="1">(OFFSET(passive_type!$E$1,MATCH(C50,passive_type!A:A,0)-1,0)*10+AA50)*100+Z50</f>
        <v>1300</v>
      </c>
      <c r="G50" s="22">
        <f ca="1">IF(Z50=0,0,VLOOKUP(F50,心法辅助配置表!$G$2:$O$91,AF50+2,FALSE))</f>
        <v>0</v>
      </c>
      <c r="P50" s="78" t="str">
        <f t="shared" si="40"/>
        <v>11||;</v>
      </c>
      <c r="Q50" s="78" t="str">
        <f t="shared" si="41"/>
        <v>21||;</v>
      </c>
      <c r="R50" s="78" t="str">
        <f t="shared" si="42"/>
        <v>12||;</v>
      </c>
      <c r="S50" s="78"/>
      <c r="T50" s="165" t="str">
        <f ca="1">OFFSET(buff!$C$1,MATCH(W50,buff!A:A,0)-1,0)</f>
        <v>使用拳法时，附加当前护甲10%的伤害</v>
      </c>
      <c r="U50" s="166"/>
      <c r="V50" s="166">
        <v>10000</v>
      </c>
      <c r="W50">
        <f ca="1" t="shared" si="1"/>
        <v>110500</v>
      </c>
      <c r="Z50" s="153">
        <f t="shared" si="2"/>
        <v>0</v>
      </c>
      <c r="AA50" s="153">
        <f ca="1">OFFSET(passive_type!$I$1,MATCH(C50,passive_type!A:A,0)-1,0)</f>
        <v>3</v>
      </c>
      <c r="AB50" s="153">
        <v>400015</v>
      </c>
      <c r="AC50" s="153">
        <v>800</v>
      </c>
      <c r="AD50" s="153">
        <f ca="1" t="shared" si="3"/>
        <v>110501</v>
      </c>
      <c r="AE50" s="153">
        <v>0</v>
      </c>
      <c r="AF50" s="153">
        <f ca="1">OFFSET(passive_type!$L$1,MATCH(B50,passive_type!B:B,0)-1,0)</f>
        <v>4</v>
      </c>
      <c r="AG50">
        <f ca="1">OFFSET(passive_type!$R$1,MATCH(B50,passive_type!B:B,0)-1,0)</f>
        <v>1300005</v>
      </c>
      <c r="AH50" s="78">
        <v>6</v>
      </c>
      <c r="AI50">
        <f ca="1">IF(Z50=0,0,VLOOKUP(F50,心法辅助配置表!Q:X,AF50+1,FALSE))</f>
        <v>0</v>
      </c>
    </row>
    <row r="51" spans="1:35">
      <c r="A51">
        <f ca="1" t="shared" si="0"/>
        <v>110501</v>
      </c>
      <c r="B51" s="156" t="s">
        <v>2844</v>
      </c>
      <c r="C51">
        <f ca="1">OFFSET(passive_type!$A$1,MATCH(B51,passive_type!B:B,0)-1,0)</f>
        <v>1105</v>
      </c>
      <c r="D51" s="157" t="s">
        <v>2928</v>
      </c>
      <c r="E51">
        <v>12</v>
      </c>
      <c r="F51" s="158">
        <f ca="1">(OFFSET(passive_type!$E$1,MATCH(C51,passive_type!A:A,0)-1,0)*10+AA51)*100+Z51</f>
        <v>1301</v>
      </c>
      <c r="G51" s="22">
        <f ca="1">IF(Z51=0,0,VLOOKUP(F51,心法辅助配置表!$G$2:$O$91,AF51+2,FALSE))</f>
        <v>4382</v>
      </c>
      <c r="L51" s="78">
        <f ca="1" t="shared" si="49"/>
        <v>4382</v>
      </c>
      <c r="M51" s="78">
        <f>J51</f>
        <v>0</v>
      </c>
      <c r="N51" s="78">
        <f>K51</f>
        <v>0</v>
      </c>
      <c r="O51" s="78">
        <f ca="1">G51</f>
        <v>4382</v>
      </c>
      <c r="P51" s="78" t="str">
        <f t="shared" si="40"/>
        <v>11|0|;</v>
      </c>
      <c r="Q51" s="78" t="str">
        <f t="shared" si="41"/>
        <v>21|0|;</v>
      </c>
      <c r="R51" s="78" t="str">
        <f ca="1" t="shared" si="42"/>
        <v>12|4382|;</v>
      </c>
      <c r="S51" s="78" t="str">
        <f ca="1" t="shared" ref="S51:S60" si="54">P51&amp;Q51&amp;R51</f>
        <v>11|0|;21|0|;12|4382|;</v>
      </c>
      <c r="T51" s="165" t="str">
        <f ca="1">OFFSET(buff!$C$1,MATCH(W51,buff!A:A,0)-1,0)</f>
        <v>使用拳法时，附加当前护甲12%的伤害</v>
      </c>
      <c r="U51" s="166"/>
      <c r="V51" s="166">
        <v>10000</v>
      </c>
      <c r="W51">
        <f ca="1" t="shared" si="1"/>
        <v>110501</v>
      </c>
      <c r="Z51" s="153">
        <f t="shared" si="2"/>
        <v>1</v>
      </c>
      <c r="AA51" s="153">
        <f ca="1">OFFSET(passive_type!$I$1,MATCH(C51,passive_type!A:A,0)-1,0)</f>
        <v>3</v>
      </c>
      <c r="AB51" s="153">
        <v>400015</v>
      </c>
      <c r="AC51" s="153">
        <v>1600</v>
      </c>
      <c r="AD51" s="153">
        <f ca="1" t="shared" si="3"/>
        <v>110502</v>
      </c>
      <c r="AE51" s="153">
        <v>0</v>
      </c>
      <c r="AF51" s="153">
        <f ca="1">OFFSET(passive_type!$L$1,MATCH(B51,passive_type!B:B,0)-1,0)</f>
        <v>4</v>
      </c>
      <c r="AG51">
        <f ca="1">OFFSET(passive_type!$R$1,MATCH(B51,passive_type!B:B,0)-1,0)</f>
        <v>1300005</v>
      </c>
      <c r="AH51" s="78">
        <v>12</v>
      </c>
      <c r="AI51">
        <f ca="1">IF(Z51=0,0,VLOOKUP(F51,心法辅助配置表!Q:X,AF51+1,FALSE))</f>
        <v>1729</v>
      </c>
    </row>
    <row r="52" spans="1:35">
      <c r="A52">
        <f ca="1" t="shared" si="0"/>
        <v>110502</v>
      </c>
      <c r="B52" s="156" t="s">
        <v>2844</v>
      </c>
      <c r="C52">
        <f ca="1">OFFSET(passive_type!$A$1,MATCH(B52,passive_type!B:B,0)-1,0)</f>
        <v>1105</v>
      </c>
      <c r="D52" s="157" t="s">
        <v>2929</v>
      </c>
      <c r="E52">
        <v>11</v>
      </c>
      <c r="F52" s="158">
        <f ca="1">(OFFSET(passive_type!$E$1,MATCH(C52,passive_type!A:A,0)-1,0)*10+AA52)*100+Z52</f>
        <v>1302</v>
      </c>
      <c r="G52" s="22">
        <f ca="1">IF(Z52=0,0,VLOOKUP(F52,心法辅助配置表!$G$2:$O$91,AF52+2,FALSE))</f>
        <v>572</v>
      </c>
      <c r="J52" s="78">
        <f ca="1">G52</f>
        <v>572</v>
      </c>
      <c r="M52" s="78">
        <f ca="1" t="shared" ref="M52:O52" si="55">J52+M51</f>
        <v>572</v>
      </c>
      <c r="N52" s="78">
        <f t="shared" si="55"/>
        <v>0</v>
      </c>
      <c r="O52" s="78">
        <f ca="1" t="shared" si="55"/>
        <v>4382</v>
      </c>
      <c r="P52" s="78" t="str">
        <f ca="1" t="shared" si="40"/>
        <v>11|572|;</v>
      </c>
      <c r="Q52" s="78" t="str">
        <f t="shared" si="41"/>
        <v>21|0|;</v>
      </c>
      <c r="R52" s="78" t="str">
        <f ca="1" t="shared" si="42"/>
        <v>12|4382|;</v>
      </c>
      <c r="S52" s="78" t="str">
        <f ca="1" t="shared" si="54"/>
        <v>11|572|;21|0|;12|4382|;</v>
      </c>
      <c r="T52" s="165" t="str">
        <f ca="1">OFFSET(buff!$C$1,MATCH(W52,buff!A:A,0)-1,0)</f>
        <v>使用拳法时，附加当前护甲14%的伤害</v>
      </c>
      <c r="U52" s="166"/>
      <c r="V52" s="166">
        <v>10000</v>
      </c>
      <c r="W52">
        <f ca="1" t="shared" si="1"/>
        <v>110502</v>
      </c>
      <c r="Z52" s="153">
        <f t="shared" si="2"/>
        <v>2</v>
      </c>
      <c r="AA52" s="153">
        <f ca="1">OFFSET(passive_type!$I$1,MATCH(C52,passive_type!A:A,0)-1,0)</f>
        <v>3</v>
      </c>
      <c r="AB52" s="153">
        <v>400015</v>
      </c>
      <c r="AC52" s="153">
        <v>3200</v>
      </c>
      <c r="AD52" s="153">
        <f ca="1" t="shared" si="3"/>
        <v>110503</v>
      </c>
      <c r="AE52" s="153">
        <v>0</v>
      </c>
      <c r="AF52" s="153">
        <f ca="1">OFFSET(passive_type!$L$1,MATCH(B52,passive_type!B:B,0)-1,0)</f>
        <v>4</v>
      </c>
      <c r="AG52">
        <f ca="1">OFFSET(passive_type!$R$1,MATCH(B52,passive_type!B:B,0)-1,0)</f>
        <v>1300005</v>
      </c>
      <c r="AH52" s="78">
        <v>24</v>
      </c>
      <c r="AI52">
        <f ca="1">IF(Z52=0,0,VLOOKUP(F52,心法辅助配置表!Q:X,AF52+1,FALSE))</f>
        <v>2075</v>
      </c>
    </row>
    <row r="53" spans="1:35">
      <c r="A53">
        <f ca="1" t="shared" si="0"/>
        <v>110503</v>
      </c>
      <c r="B53" s="156" t="s">
        <v>2844</v>
      </c>
      <c r="C53">
        <f ca="1">OFFSET(passive_type!$A$1,MATCH(B53,passive_type!B:B,0)-1,0)</f>
        <v>1105</v>
      </c>
      <c r="D53" s="157" t="s">
        <v>2930</v>
      </c>
      <c r="E53">
        <v>21</v>
      </c>
      <c r="F53" s="158">
        <f ca="1">(OFFSET(passive_type!$E$1,MATCH(C53,passive_type!A:A,0)-1,0)*10+AA53)*100+Z53</f>
        <v>1303</v>
      </c>
      <c r="G53" s="22">
        <f ca="1">IF(Z53=0,0,VLOOKUP(F53,心法辅助配置表!$G$2:$O$91,AF53+2,FALSE))</f>
        <v>352</v>
      </c>
      <c r="K53" s="78">
        <f ca="1">G53</f>
        <v>352</v>
      </c>
      <c r="M53" s="78">
        <f ca="1" t="shared" ref="M53:O53" si="56">J53+M52</f>
        <v>572</v>
      </c>
      <c r="N53" s="78">
        <f ca="1" t="shared" si="56"/>
        <v>352</v>
      </c>
      <c r="O53" s="78">
        <f ca="1" t="shared" si="56"/>
        <v>4382</v>
      </c>
      <c r="P53" s="78" t="str">
        <f ca="1" t="shared" si="40"/>
        <v>11|572|;</v>
      </c>
      <c r="Q53" s="78" t="str">
        <f ca="1" t="shared" si="41"/>
        <v>21|352|;</v>
      </c>
      <c r="R53" s="78" t="str">
        <f ca="1" t="shared" si="42"/>
        <v>12|4382|;</v>
      </c>
      <c r="S53" s="78" t="str">
        <f ca="1" t="shared" si="54"/>
        <v>11|572|;21|352|;12|4382|;</v>
      </c>
      <c r="T53" s="165" t="str">
        <f ca="1">OFFSET(buff!$C$1,MATCH(W53,buff!A:A,0)-1,0)</f>
        <v>使用拳法时，附加当前护甲16%的伤害</v>
      </c>
      <c r="U53" s="166"/>
      <c r="V53" s="166">
        <v>10000</v>
      </c>
      <c r="W53">
        <f ca="1" t="shared" si="1"/>
        <v>110503</v>
      </c>
      <c r="Z53" s="153">
        <f t="shared" si="2"/>
        <v>3</v>
      </c>
      <c r="AA53" s="153">
        <f ca="1">OFFSET(passive_type!$I$1,MATCH(C53,passive_type!A:A,0)-1,0)</f>
        <v>3</v>
      </c>
      <c r="AB53" s="153">
        <v>400015</v>
      </c>
      <c r="AC53" s="153">
        <v>6400</v>
      </c>
      <c r="AD53" s="153">
        <f ca="1" t="shared" si="3"/>
        <v>110504</v>
      </c>
      <c r="AE53" s="153">
        <v>0</v>
      </c>
      <c r="AF53" s="153">
        <f ca="1">OFFSET(passive_type!$L$1,MATCH(B53,passive_type!B:B,0)-1,0)</f>
        <v>4</v>
      </c>
      <c r="AG53">
        <f ca="1">OFFSET(passive_type!$R$1,MATCH(B53,passive_type!B:B,0)-1,0)</f>
        <v>1300005</v>
      </c>
      <c r="AH53" s="78">
        <v>48</v>
      </c>
      <c r="AI53">
        <f ca="1">IF(Z53=0,0,VLOOKUP(F53,心法辅助配置表!Q:X,AF53+1,FALSE))</f>
        <v>2421</v>
      </c>
    </row>
    <row r="54" spans="1:35">
      <c r="A54">
        <f ca="1" t="shared" si="0"/>
        <v>110504</v>
      </c>
      <c r="B54" s="156" t="s">
        <v>2844</v>
      </c>
      <c r="C54">
        <f ca="1">OFFSET(passive_type!$A$1,MATCH(B54,passive_type!B:B,0)-1,0)</f>
        <v>1105</v>
      </c>
      <c r="D54" s="157" t="s">
        <v>2928</v>
      </c>
      <c r="E54">
        <v>12</v>
      </c>
      <c r="F54" s="158">
        <f ca="1">(OFFSET(passive_type!$E$1,MATCH(C54,passive_type!A:A,0)-1,0)*10+AA54)*100+Z54</f>
        <v>1304</v>
      </c>
      <c r="G54" s="22">
        <f ca="1">IF(Z54=0,0,VLOOKUP(F54,心法辅助配置表!$G$2:$O$91,AF54+2,FALSE))</f>
        <v>6572</v>
      </c>
      <c r="L54" s="78">
        <f ca="1">G54</f>
        <v>6572</v>
      </c>
      <c r="M54" s="78">
        <f ca="1" t="shared" ref="M54:O54" si="57">J54+M53</f>
        <v>572</v>
      </c>
      <c r="N54" s="78">
        <f ca="1" t="shared" si="57"/>
        <v>352</v>
      </c>
      <c r="O54" s="78">
        <f ca="1" t="shared" si="57"/>
        <v>10954</v>
      </c>
      <c r="P54" s="78" t="str">
        <f ca="1" t="shared" si="40"/>
        <v>11|572|;</v>
      </c>
      <c r="Q54" s="78" t="str">
        <f ca="1" t="shared" si="41"/>
        <v>21|352|;</v>
      </c>
      <c r="R54" s="78" t="str">
        <f ca="1" t="shared" si="42"/>
        <v>12|10954|;</v>
      </c>
      <c r="S54" s="78" t="str">
        <f ca="1" t="shared" si="54"/>
        <v>11|572|;21|352|;12|10954|;</v>
      </c>
      <c r="T54" s="165" t="str">
        <f ca="1">OFFSET(buff!$C$1,MATCH(W54,buff!A:A,0)-1,0)</f>
        <v>使用拳法时，附加当前护甲18%的伤害</v>
      </c>
      <c r="U54" s="166"/>
      <c r="V54" s="166">
        <v>10000</v>
      </c>
      <c r="W54">
        <f ca="1" t="shared" si="1"/>
        <v>110504</v>
      </c>
      <c r="Z54" s="153">
        <f t="shared" si="2"/>
        <v>4</v>
      </c>
      <c r="AA54" s="153">
        <f ca="1">OFFSET(passive_type!$I$1,MATCH(C54,passive_type!A:A,0)-1,0)</f>
        <v>3</v>
      </c>
      <c r="AB54" s="153">
        <v>400015</v>
      </c>
      <c r="AC54" s="153">
        <v>8000</v>
      </c>
      <c r="AD54" s="153">
        <f ca="1" t="shared" si="3"/>
        <v>110505</v>
      </c>
      <c r="AE54" s="153">
        <v>0</v>
      </c>
      <c r="AF54" s="153">
        <f ca="1">OFFSET(passive_type!$L$1,MATCH(B54,passive_type!B:B,0)-1,0)</f>
        <v>4</v>
      </c>
      <c r="AG54">
        <f ca="1">OFFSET(passive_type!$R$1,MATCH(B54,passive_type!B:B,0)-1,0)</f>
        <v>1300005</v>
      </c>
      <c r="AH54" s="78">
        <v>60</v>
      </c>
      <c r="AI54">
        <f ca="1">IF(Z54=0,0,VLOOKUP(F54,心法辅助配置表!Q:X,AF54+1,FALSE))</f>
        <v>2767</v>
      </c>
    </row>
    <row r="55" spans="1:35">
      <c r="A55">
        <f ca="1" t="shared" si="0"/>
        <v>110505</v>
      </c>
      <c r="B55" s="156" t="s">
        <v>2844</v>
      </c>
      <c r="C55">
        <f ca="1">OFFSET(passive_type!$A$1,MATCH(B55,passive_type!B:B,0)-1,0)</f>
        <v>1105</v>
      </c>
      <c r="D55" s="157" t="s">
        <v>2929</v>
      </c>
      <c r="E55">
        <v>11</v>
      </c>
      <c r="F55" s="158">
        <f ca="1">(OFFSET(passive_type!$E$1,MATCH(C55,passive_type!A:A,0)-1,0)*10+AA55)*100+Z55</f>
        <v>1305</v>
      </c>
      <c r="G55" s="22">
        <f ca="1">IF(Z55=0,0,VLOOKUP(F55,心法辅助配置表!$G$2:$O$91,AF55+2,FALSE))</f>
        <v>857</v>
      </c>
      <c r="J55" s="78">
        <f ca="1">G55</f>
        <v>857</v>
      </c>
      <c r="M55" s="78">
        <f ca="1" t="shared" ref="M55:O55" si="58">J55+M54</f>
        <v>1429</v>
      </c>
      <c r="N55" s="78">
        <f ca="1" t="shared" si="58"/>
        <v>352</v>
      </c>
      <c r="O55" s="78">
        <f ca="1" t="shared" si="58"/>
        <v>10954</v>
      </c>
      <c r="P55" s="78" t="str">
        <f ca="1" t="shared" si="40"/>
        <v>11|1429|;</v>
      </c>
      <c r="Q55" s="78" t="str">
        <f ca="1" t="shared" si="41"/>
        <v>21|352|;</v>
      </c>
      <c r="R55" s="78" t="str">
        <f ca="1" t="shared" si="42"/>
        <v>12|10954|;</v>
      </c>
      <c r="S55" s="78" t="str">
        <f ca="1" t="shared" si="54"/>
        <v>11|1429|;21|352|;12|10954|;</v>
      </c>
      <c r="T55" s="165" t="str">
        <f ca="1">OFFSET(buff!$C$1,MATCH(W55,buff!A:A,0)-1,0)</f>
        <v>使用拳法时，附加当前护甲20%的伤害</v>
      </c>
      <c r="U55" s="166"/>
      <c r="V55" s="166">
        <v>10000</v>
      </c>
      <c r="W55">
        <f ca="1" t="shared" si="1"/>
        <v>110505</v>
      </c>
      <c r="Z55" s="153">
        <f t="shared" si="2"/>
        <v>5</v>
      </c>
      <c r="AA55" s="153">
        <f ca="1">OFFSET(passive_type!$I$1,MATCH(C55,passive_type!A:A,0)-1,0)</f>
        <v>3</v>
      </c>
      <c r="AB55" s="153">
        <v>400015</v>
      </c>
      <c r="AC55" s="153">
        <v>11200</v>
      </c>
      <c r="AD55" s="153">
        <f ca="1" t="shared" si="3"/>
        <v>110506</v>
      </c>
      <c r="AE55" s="153">
        <v>0</v>
      </c>
      <c r="AF55" s="153">
        <f ca="1">OFFSET(passive_type!$L$1,MATCH(B55,passive_type!B:B,0)-1,0)</f>
        <v>4</v>
      </c>
      <c r="AG55">
        <f ca="1">OFFSET(passive_type!$R$1,MATCH(B55,passive_type!B:B,0)-1,0)</f>
        <v>1300005</v>
      </c>
      <c r="AH55" s="78">
        <v>84</v>
      </c>
      <c r="AI55">
        <f ca="1">IF(Z55=0,0,VLOOKUP(F55,心法辅助配置表!Q:X,AF55+1,FALSE))</f>
        <v>3113</v>
      </c>
    </row>
    <row r="56" spans="1:35">
      <c r="A56">
        <f ca="1" t="shared" si="0"/>
        <v>110506</v>
      </c>
      <c r="B56" s="156" t="s">
        <v>2844</v>
      </c>
      <c r="C56">
        <f ca="1">OFFSET(passive_type!$A$1,MATCH(B56,passive_type!B:B,0)-1,0)</f>
        <v>1105</v>
      </c>
      <c r="D56" s="157" t="s">
        <v>2930</v>
      </c>
      <c r="E56">
        <v>21</v>
      </c>
      <c r="F56" s="158">
        <f ca="1">(OFFSET(passive_type!$E$1,MATCH(C56,passive_type!A:A,0)-1,0)*10+AA56)*100+Z56</f>
        <v>1306</v>
      </c>
      <c r="G56" s="22">
        <f ca="1">IF(Z56=0,0,VLOOKUP(F56,心法辅助配置表!$G$2:$O$91,AF56+2,FALSE))</f>
        <v>528</v>
      </c>
      <c r="K56" s="78">
        <f ca="1">G56</f>
        <v>528</v>
      </c>
      <c r="M56" s="78">
        <f ca="1" t="shared" ref="M56:O56" si="59">J56+M55</f>
        <v>1429</v>
      </c>
      <c r="N56" s="78">
        <f ca="1" t="shared" si="59"/>
        <v>880</v>
      </c>
      <c r="O56" s="78">
        <f ca="1" t="shared" si="59"/>
        <v>10954</v>
      </c>
      <c r="P56" s="78" t="str">
        <f ca="1" t="shared" si="40"/>
        <v>11|1429|;</v>
      </c>
      <c r="Q56" s="78" t="str">
        <f ca="1" t="shared" si="41"/>
        <v>21|880|;</v>
      </c>
      <c r="R56" s="78" t="str">
        <f ca="1" t="shared" si="42"/>
        <v>12|10954|;</v>
      </c>
      <c r="S56" s="78" t="str">
        <f ca="1" t="shared" si="54"/>
        <v>11|1429|;21|880|;12|10954|;</v>
      </c>
      <c r="T56" s="165" t="str">
        <f ca="1">OFFSET(buff!$C$1,MATCH(W56,buff!A:A,0)-1,0)</f>
        <v>使用拳法时，附加当前护甲22%的伤害</v>
      </c>
      <c r="U56" s="166"/>
      <c r="V56" s="166">
        <v>10000</v>
      </c>
      <c r="W56">
        <f ca="1" t="shared" si="1"/>
        <v>110506</v>
      </c>
      <c r="Z56" s="153">
        <f t="shared" si="2"/>
        <v>6</v>
      </c>
      <c r="AA56" s="153">
        <f ca="1">OFFSET(passive_type!$I$1,MATCH(C56,passive_type!A:A,0)-1,0)</f>
        <v>3</v>
      </c>
      <c r="AB56" s="153">
        <v>400015</v>
      </c>
      <c r="AC56" s="153">
        <v>17600</v>
      </c>
      <c r="AD56" s="153">
        <f ca="1" t="shared" si="3"/>
        <v>110507</v>
      </c>
      <c r="AE56" s="153">
        <v>0</v>
      </c>
      <c r="AF56" s="153">
        <f ca="1">OFFSET(passive_type!$L$1,MATCH(B56,passive_type!B:B,0)-1,0)</f>
        <v>4</v>
      </c>
      <c r="AG56">
        <f ca="1">OFFSET(passive_type!$R$1,MATCH(B56,passive_type!B:B,0)-1,0)</f>
        <v>1300005</v>
      </c>
      <c r="AH56" s="78">
        <v>108</v>
      </c>
      <c r="AI56">
        <f ca="1">IF(Z56=0,0,VLOOKUP(F56,心法辅助配置表!Q:X,AF56+1,FALSE))</f>
        <v>3459</v>
      </c>
    </row>
    <row r="57" spans="1:35">
      <c r="A57">
        <f ca="1" t="shared" si="0"/>
        <v>110507</v>
      </c>
      <c r="B57" s="156" t="s">
        <v>2844</v>
      </c>
      <c r="C57">
        <f ca="1">OFFSET(passive_type!$A$1,MATCH(B57,passive_type!B:B,0)-1,0)</f>
        <v>1105</v>
      </c>
      <c r="D57" s="157" t="s">
        <v>2928</v>
      </c>
      <c r="E57">
        <v>12</v>
      </c>
      <c r="F57" s="158">
        <f ca="1">(OFFSET(passive_type!$E$1,MATCH(C57,passive_type!A:A,0)-1,0)*10+AA57)*100+Z57</f>
        <v>1307</v>
      </c>
      <c r="G57" s="22">
        <f ca="1">IF(Z57=0,0,VLOOKUP(F57,心法辅助配置表!$G$2:$O$91,AF57+2,FALSE))</f>
        <v>8762</v>
      </c>
      <c r="L57" s="78">
        <f ca="1" t="shared" ref="L57:L62" si="60">G57</f>
        <v>8762</v>
      </c>
      <c r="M57" s="78">
        <f ca="1" t="shared" ref="M57:O57" si="61">J57+M56</f>
        <v>1429</v>
      </c>
      <c r="N57" s="78">
        <f ca="1" t="shared" si="61"/>
        <v>880</v>
      </c>
      <c r="O57" s="78">
        <f ca="1" t="shared" si="61"/>
        <v>19716</v>
      </c>
      <c r="P57" s="78" t="str">
        <f ca="1" t="shared" si="40"/>
        <v>11|1429|;</v>
      </c>
      <c r="Q57" s="78" t="str">
        <f ca="1" t="shared" si="41"/>
        <v>21|880|;</v>
      </c>
      <c r="R57" s="78" t="str">
        <f ca="1" t="shared" si="42"/>
        <v>12|19716|;</v>
      </c>
      <c r="S57" s="78" t="str">
        <f ca="1" t="shared" si="54"/>
        <v>11|1429|;21|880|;12|19716|;</v>
      </c>
      <c r="T57" s="165" t="str">
        <f ca="1">OFFSET(buff!$C$1,MATCH(W57,buff!A:A,0)-1,0)</f>
        <v>使用拳法时，附加当前护甲24%的伤害</v>
      </c>
      <c r="U57" s="166"/>
      <c r="V57" s="166">
        <v>10000</v>
      </c>
      <c r="W57">
        <f ca="1" t="shared" si="1"/>
        <v>110507</v>
      </c>
      <c r="Z57" s="153">
        <f t="shared" si="2"/>
        <v>7</v>
      </c>
      <c r="AA57" s="153">
        <f ca="1">OFFSET(passive_type!$I$1,MATCH(C57,passive_type!A:A,0)-1,0)</f>
        <v>3</v>
      </c>
      <c r="AB57" s="153">
        <v>400015</v>
      </c>
      <c r="AC57" s="153">
        <v>25600</v>
      </c>
      <c r="AD57" s="153">
        <f ca="1" t="shared" si="3"/>
        <v>110508</v>
      </c>
      <c r="AE57" s="153">
        <v>0</v>
      </c>
      <c r="AF57" s="153">
        <f ca="1">OFFSET(passive_type!$L$1,MATCH(B57,passive_type!B:B,0)-1,0)</f>
        <v>4</v>
      </c>
      <c r="AG57">
        <f ca="1">OFFSET(passive_type!$R$1,MATCH(B57,passive_type!B:B,0)-1,0)</f>
        <v>1300005</v>
      </c>
      <c r="AH57" s="78">
        <v>156</v>
      </c>
      <c r="AI57">
        <f ca="1">IF(Z57=0,0,VLOOKUP(F57,心法辅助配置表!Q:X,AF57+1,FALSE))</f>
        <v>3805</v>
      </c>
    </row>
    <row r="58" spans="1:35">
      <c r="A58">
        <f ca="1" t="shared" si="0"/>
        <v>110508</v>
      </c>
      <c r="B58" s="156" t="s">
        <v>2844</v>
      </c>
      <c r="C58">
        <f ca="1">OFFSET(passive_type!$A$1,MATCH(B58,passive_type!B:B,0)-1,0)</f>
        <v>1105</v>
      </c>
      <c r="D58" s="157" t="s">
        <v>2929</v>
      </c>
      <c r="E58">
        <v>11</v>
      </c>
      <c r="F58" s="158">
        <f ca="1">(OFFSET(passive_type!$E$1,MATCH(C58,passive_type!A:A,0)-1,0)*10+AA58)*100+Z58</f>
        <v>1308</v>
      </c>
      <c r="G58" s="22">
        <f ca="1">IF(Z58=0,0,VLOOKUP(F58,心法辅助配置表!$G$2:$O$91,AF58+2,FALSE))</f>
        <v>1142</v>
      </c>
      <c r="J58" s="78">
        <f ca="1">G58</f>
        <v>1142</v>
      </c>
      <c r="M58" s="78">
        <f ca="1" t="shared" ref="M58:O58" si="62">J58+M57</f>
        <v>2571</v>
      </c>
      <c r="N58" s="78">
        <f ca="1" t="shared" si="62"/>
        <v>880</v>
      </c>
      <c r="O58" s="78">
        <f ca="1" t="shared" si="62"/>
        <v>19716</v>
      </c>
      <c r="P58" s="78" t="str">
        <f ca="1" t="shared" si="40"/>
        <v>11|2571|;</v>
      </c>
      <c r="Q58" s="78" t="str">
        <f ca="1" t="shared" si="41"/>
        <v>21|880|;</v>
      </c>
      <c r="R58" s="78" t="str">
        <f ca="1" t="shared" si="42"/>
        <v>12|19716|;</v>
      </c>
      <c r="S58" s="78" t="str">
        <f ca="1" t="shared" si="54"/>
        <v>11|2571|;21|880|;12|19716|;</v>
      </c>
      <c r="T58" s="165" t="str">
        <f ca="1">OFFSET(buff!$C$1,MATCH(W58,buff!A:A,0)-1,0)</f>
        <v>使用拳法时，附加当前护甲26%的伤害</v>
      </c>
      <c r="U58" s="166"/>
      <c r="V58" s="166">
        <v>10000</v>
      </c>
      <c r="W58">
        <f ca="1" t="shared" si="1"/>
        <v>110508</v>
      </c>
      <c r="Z58" s="153">
        <f t="shared" si="2"/>
        <v>8</v>
      </c>
      <c r="AA58" s="153">
        <f ca="1">OFFSET(passive_type!$I$1,MATCH(C58,passive_type!A:A,0)-1,0)</f>
        <v>3</v>
      </c>
      <c r="AB58" s="153">
        <v>400015</v>
      </c>
      <c r="AC58" s="153">
        <v>36800</v>
      </c>
      <c r="AD58" s="153">
        <f ca="1" t="shared" si="3"/>
        <v>110509</v>
      </c>
      <c r="AE58" s="153">
        <v>0</v>
      </c>
      <c r="AF58" s="153">
        <f ca="1">OFFSET(passive_type!$L$1,MATCH(B58,passive_type!B:B,0)-1,0)</f>
        <v>4</v>
      </c>
      <c r="AG58">
        <f ca="1">OFFSET(passive_type!$R$1,MATCH(B58,passive_type!B:B,0)-1,0)</f>
        <v>1300005</v>
      </c>
      <c r="AH58" s="78">
        <v>216</v>
      </c>
      <c r="AI58">
        <f ca="1">IF(Z58=0,0,VLOOKUP(F58,心法辅助配置表!Q:X,AF58+1,FALSE))</f>
        <v>4151</v>
      </c>
    </row>
    <row r="59" spans="1:35">
      <c r="A59">
        <f ca="1" t="shared" si="0"/>
        <v>110509</v>
      </c>
      <c r="B59" s="156" t="s">
        <v>2844</v>
      </c>
      <c r="C59">
        <f ca="1">OFFSET(passive_type!$A$1,MATCH(B59,passive_type!B:B,0)-1,0)</f>
        <v>1105</v>
      </c>
      <c r="D59" s="157" t="s">
        <v>2930</v>
      </c>
      <c r="E59">
        <v>21</v>
      </c>
      <c r="F59" s="158">
        <f ca="1">(OFFSET(passive_type!$E$1,MATCH(C59,passive_type!A:A,0)-1,0)*10+AA59)*100+Z59</f>
        <v>1309</v>
      </c>
      <c r="G59" s="22">
        <f ca="1">IF(Z59=0,0,VLOOKUP(F59,心法辅助配置表!$G$2:$O$91,AF59+2,FALSE))</f>
        <v>705</v>
      </c>
      <c r="K59" s="78">
        <f ca="1">G59</f>
        <v>705</v>
      </c>
      <c r="M59" s="78">
        <f ca="1" t="shared" ref="M59:O59" si="63">J59+M58</f>
        <v>2571</v>
      </c>
      <c r="N59" s="78">
        <f ca="1" t="shared" si="63"/>
        <v>1585</v>
      </c>
      <c r="O59" s="78">
        <f ca="1" t="shared" si="63"/>
        <v>19716</v>
      </c>
      <c r="P59" s="78" t="str">
        <f ca="1" t="shared" si="40"/>
        <v>11|2571|;</v>
      </c>
      <c r="Q59" s="78" t="str">
        <f ca="1" t="shared" si="41"/>
        <v>21|1585|;</v>
      </c>
      <c r="R59" s="78" t="str">
        <f ca="1" t="shared" si="42"/>
        <v>12|19716|;</v>
      </c>
      <c r="S59" s="78" t="str">
        <f ca="1" t="shared" si="54"/>
        <v>11|2571|;21|1585|;12|19716|;</v>
      </c>
      <c r="T59" s="165" t="str">
        <f ca="1">OFFSET(buff!$C$1,MATCH(W59,buff!A:A,0)-1,0)</f>
        <v>使用拳法时，附加当前护甲28%的伤害</v>
      </c>
      <c r="U59" s="166"/>
      <c r="V59" s="166">
        <v>10000</v>
      </c>
      <c r="W59">
        <f ca="1" t="shared" si="1"/>
        <v>110509</v>
      </c>
      <c r="Z59" s="153">
        <f t="shared" si="2"/>
        <v>9</v>
      </c>
      <c r="AA59" s="153">
        <f ca="1">OFFSET(passive_type!$I$1,MATCH(C59,passive_type!A:A,0)-1,0)</f>
        <v>3</v>
      </c>
      <c r="AB59" s="153">
        <v>400015</v>
      </c>
      <c r="AC59" s="153">
        <v>54400</v>
      </c>
      <c r="AD59" s="153">
        <f ca="1" t="shared" si="3"/>
        <v>110510</v>
      </c>
      <c r="AE59" s="153">
        <v>0</v>
      </c>
      <c r="AF59" s="153">
        <f ca="1">OFFSET(passive_type!$L$1,MATCH(B59,passive_type!B:B,0)-1,0)</f>
        <v>4</v>
      </c>
      <c r="AG59">
        <f ca="1">OFFSET(passive_type!$R$1,MATCH(B59,passive_type!B:B,0)-1,0)</f>
        <v>1300005</v>
      </c>
      <c r="AH59">
        <v>300</v>
      </c>
      <c r="AI59">
        <f ca="1">IF(Z59=0,0,VLOOKUP(F59,心法辅助配置表!Q:X,AF59+1,FALSE))</f>
        <v>4497</v>
      </c>
    </row>
    <row r="60" spans="1:35">
      <c r="A60">
        <f ca="1" t="shared" si="0"/>
        <v>110510</v>
      </c>
      <c r="B60" s="156" t="s">
        <v>2844</v>
      </c>
      <c r="C60">
        <f ca="1">OFFSET(passive_type!$A$1,MATCH(B60,passive_type!B:B,0)-1,0)</f>
        <v>1105</v>
      </c>
      <c r="D60" s="157" t="s">
        <v>2928</v>
      </c>
      <c r="E60">
        <v>12</v>
      </c>
      <c r="F60" s="158">
        <f ca="1">(OFFSET(passive_type!$E$1,MATCH(C60,passive_type!A:A,0)-1,0)*10+AA60)*100+Z60</f>
        <v>1310</v>
      </c>
      <c r="G60" s="22">
        <f ca="1">IF(Z60=0,0,VLOOKUP(F60,心法辅助配置表!$G$2:$O$91,AF60+2,FALSE))</f>
        <v>10952</v>
      </c>
      <c r="L60" s="78">
        <f ca="1" t="shared" si="60"/>
        <v>10952</v>
      </c>
      <c r="M60" s="78">
        <f ca="1" t="shared" ref="M60:O60" si="64">J60+M59</f>
        <v>2571</v>
      </c>
      <c r="N60" s="78">
        <f ca="1" t="shared" si="64"/>
        <v>1585</v>
      </c>
      <c r="O60" s="78">
        <f ca="1" t="shared" si="64"/>
        <v>30668</v>
      </c>
      <c r="P60" s="78" t="str">
        <f ca="1" t="shared" si="40"/>
        <v>11|2571|;</v>
      </c>
      <c r="Q60" s="78" t="str">
        <f ca="1" t="shared" si="41"/>
        <v>21|1585|;</v>
      </c>
      <c r="R60" s="78" t="str">
        <f ca="1" t="shared" si="42"/>
        <v>12|30668|;</v>
      </c>
      <c r="S60" s="78" t="str">
        <f ca="1" t="shared" si="54"/>
        <v>11|2571|;21|1585|;12|30668|;</v>
      </c>
      <c r="T60" s="165" t="str">
        <f ca="1">OFFSET(buff!$C$1,MATCH(W60,buff!A:A,0)-1,0)</f>
        <v>使用拳法时，附加当前护甲30%的伤害</v>
      </c>
      <c r="U60" s="166"/>
      <c r="V60" s="166">
        <v>10000</v>
      </c>
      <c r="W60">
        <f ca="1" t="shared" si="1"/>
        <v>110510</v>
      </c>
      <c r="Z60" s="153">
        <f t="shared" si="2"/>
        <v>10</v>
      </c>
      <c r="AA60" s="153">
        <f ca="1">OFFSET(passive_type!$I$1,MATCH(C60,passive_type!A:A,0)-1,0)</f>
        <v>3</v>
      </c>
      <c r="AB60" s="153">
        <v>400015</v>
      </c>
      <c r="AC60" s="153">
        <f ca="1">IF(AD60=0,0,100)</f>
        <v>0</v>
      </c>
      <c r="AD60" s="153">
        <f ca="1" t="shared" si="3"/>
        <v>0</v>
      </c>
      <c r="AE60" s="153">
        <v>0</v>
      </c>
      <c r="AF60" s="153">
        <f ca="1">OFFSET(passive_type!$L$1,MATCH(B60,passive_type!B:B,0)-1,0)</f>
        <v>4</v>
      </c>
      <c r="AG60">
        <f ca="1">OFFSET(passive_type!$R$1,MATCH(B60,passive_type!B:B,0)-1,0)</f>
        <v>1300005</v>
      </c>
      <c r="AH60">
        <f ca="1">IF(AD60=0,0,20)</f>
        <v>0</v>
      </c>
      <c r="AI60">
        <f ca="1">IF(Z60=0,0,VLOOKUP(F60,心法辅助配置表!Q:X,AF60+1,FALSE))</f>
        <v>4843</v>
      </c>
    </row>
    <row r="61" spans="1:35">
      <c r="A61">
        <f ca="1" t="shared" si="0"/>
        <v>120100</v>
      </c>
      <c r="B61" s="160" t="s">
        <v>2846</v>
      </c>
      <c r="C61">
        <f ca="1">OFFSET(passive_type!$A$1,MATCH(B61,passive_type!B:B,0)-1,0)</f>
        <v>1201</v>
      </c>
      <c r="D61" s="157"/>
      <c r="F61" s="158">
        <f ca="1">(OFFSET(passive_type!$E$1,MATCH(C61,passive_type!A:A,0)-1,0)*10+AA61)*100+Z61</f>
        <v>1300</v>
      </c>
      <c r="G61" s="22">
        <f ca="1">IF(Z61=0,0,VLOOKUP(F61,心法辅助配置表!$G$2:$O$91,AF61+2,FALSE))</f>
        <v>0</v>
      </c>
      <c r="P61" s="78" t="str">
        <f t="shared" si="40"/>
        <v>11||;</v>
      </c>
      <c r="Q61" s="78" t="str">
        <f t="shared" si="41"/>
        <v>21||;</v>
      </c>
      <c r="R61" s="78" t="str">
        <f t="shared" si="42"/>
        <v>12||;</v>
      </c>
      <c r="S61" s="78"/>
      <c r="T61" s="165" t="str">
        <f ca="1">OFFSET(buff!$C$1,MATCH(W61,buff!A:A,0)-1,0)</f>
        <v>血量每降低10%，增加3%伤害减免</v>
      </c>
      <c r="U61" s="166"/>
      <c r="V61" s="166">
        <v>10000</v>
      </c>
      <c r="W61">
        <f ca="1" t="shared" si="1"/>
        <v>120100</v>
      </c>
      <c r="Z61" s="153">
        <f t="shared" si="2"/>
        <v>0</v>
      </c>
      <c r="AA61" s="153">
        <f ca="1">OFFSET(passive_type!$I$1,MATCH(C61,passive_type!A:A,0)-1,0)</f>
        <v>3</v>
      </c>
      <c r="AB61" s="153">
        <v>400015</v>
      </c>
      <c r="AC61" s="153">
        <v>800</v>
      </c>
      <c r="AD61" s="153">
        <f ca="1" t="shared" si="3"/>
        <v>120101</v>
      </c>
      <c r="AE61" s="153">
        <v>0</v>
      </c>
      <c r="AF61" s="153">
        <f ca="1">OFFSET(passive_type!$L$1,MATCH(B61,passive_type!B:B,0)-1,0)</f>
        <v>2</v>
      </c>
      <c r="AG61">
        <f ca="1">OFFSET(passive_type!$R$1,MATCH(B61,passive_type!B:B,0)-1,0)</f>
        <v>1300006</v>
      </c>
      <c r="AH61" s="78">
        <v>6</v>
      </c>
      <c r="AI61">
        <f ca="1">IF(Z61=0,0,VLOOKUP(F61,心法辅助配置表!Q:X,AF61+1,FALSE))</f>
        <v>0</v>
      </c>
    </row>
    <row r="62" spans="1:35">
      <c r="A62">
        <f ca="1" t="shared" si="0"/>
        <v>120101</v>
      </c>
      <c r="B62" s="160" t="s">
        <v>2846</v>
      </c>
      <c r="C62">
        <f ca="1">OFFSET(passive_type!$A$1,MATCH(B62,passive_type!B:B,0)-1,0)</f>
        <v>1201</v>
      </c>
      <c r="D62" s="157" t="s">
        <v>2928</v>
      </c>
      <c r="E62">
        <v>12</v>
      </c>
      <c r="F62" s="158">
        <f ca="1">(OFFSET(passive_type!$E$1,MATCH(C62,passive_type!A:A,0)-1,0)*10+AA62)*100+Z62</f>
        <v>1301</v>
      </c>
      <c r="G62" s="22">
        <f ca="1">IF(Z62=0,0,VLOOKUP(F62,心法辅助配置表!$G$2:$O$91,AF62+2,FALSE))</f>
        <v>740</v>
      </c>
      <c r="L62" s="78">
        <f ca="1" t="shared" si="60"/>
        <v>740</v>
      </c>
      <c r="M62" s="78">
        <f>J62</f>
        <v>0</v>
      </c>
      <c r="N62" s="78">
        <f>K62</f>
        <v>0</v>
      </c>
      <c r="O62" s="78">
        <f ca="1">G62</f>
        <v>740</v>
      </c>
      <c r="P62" s="78" t="str">
        <f t="shared" si="40"/>
        <v>11|0|;</v>
      </c>
      <c r="Q62" s="78" t="str">
        <f t="shared" si="41"/>
        <v>21|0|;</v>
      </c>
      <c r="R62" s="78" t="str">
        <f ca="1" t="shared" si="42"/>
        <v>12|740|;</v>
      </c>
      <c r="S62" s="78" t="str">
        <f ca="1" t="shared" ref="S62:S71" si="65">P62&amp;Q62&amp;R62</f>
        <v>11|0|;21|0|;12|740|;</v>
      </c>
      <c r="T62" s="165" t="str">
        <f ca="1">OFFSET(buff!$C$1,MATCH(W62,buff!A:A,0)-1,0)</f>
        <v>血量每降低10%，增加3.5%伤害减免</v>
      </c>
      <c r="U62" s="166"/>
      <c r="V62" s="166">
        <v>10000</v>
      </c>
      <c r="W62">
        <f ca="1" t="shared" si="1"/>
        <v>120101</v>
      </c>
      <c r="Z62" s="153">
        <f t="shared" si="2"/>
        <v>1</v>
      </c>
      <c r="AA62" s="153">
        <f ca="1">OFFSET(passive_type!$I$1,MATCH(C62,passive_type!A:A,0)-1,0)</f>
        <v>3</v>
      </c>
      <c r="AB62" s="153">
        <v>400015</v>
      </c>
      <c r="AC62" s="153">
        <v>1600</v>
      </c>
      <c r="AD62" s="153">
        <f ca="1" t="shared" si="3"/>
        <v>120102</v>
      </c>
      <c r="AE62" s="153">
        <v>0</v>
      </c>
      <c r="AF62" s="153">
        <f ca="1">OFFSET(passive_type!$L$1,MATCH(B62,passive_type!B:B,0)-1,0)</f>
        <v>2</v>
      </c>
      <c r="AG62">
        <f ca="1">OFFSET(passive_type!$R$1,MATCH(B62,passive_type!B:B,0)-1,0)</f>
        <v>1300006</v>
      </c>
      <c r="AH62" s="78">
        <v>12</v>
      </c>
      <c r="AI62">
        <f ca="1">IF(Z62=0,0,VLOOKUP(F62,心法辅助配置表!Q:X,AF62+1,FALSE))</f>
        <v>668</v>
      </c>
    </row>
    <row r="63" spans="1:35">
      <c r="A63">
        <f ca="1" t="shared" si="0"/>
        <v>120102</v>
      </c>
      <c r="B63" s="160" t="s">
        <v>2846</v>
      </c>
      <c r="C63">
        <f ca="1">OFFSET(passive_type!$A$1,MATCH(B63,passive_type!B:B,0)-1,0)</f>
        <v>1201</v>
      </c>
      <c r="D63" s="157" t="s">
        <v>2929</v>
      </c>
      <c r="E63">
        <v>11</v>
      </c>
      <c r="F63" s="158">
        <f ca="1">(OFFSET(passive_type!$E$1,MATCH(C63,passive_type!A:A,0)-1,0)*10+AA63)*100+Z63</f>
        <v>1302</v>
      </c>
      <c r="G63" s="22">
        <f ca="1">IF(Z63=0,0,VLOOKUP(F63,心法辅助配置表!$G$2:$O$91,AF63+2,FALSE))</f>
        <v>115</v>
      </c>
      <c r="J63" s="78">
        <f ca="1">G63</f>
        <v>115</v>
      </c>
      <c r="M63" s="78">
        <f ca="1" t="shared" ref="M63:O63" si="66">J63+M62</f>
        <v>115</v>
      </c>
      <c r="N63" s="78">
        <f t="shared" si="66"/>
        <v>0</v>
      </c>
      <c r="O63" s="78">
        <f ca="1" t="shared" si="66"/>
        <v>740</v>
      </c>
      <c r="P63" s="78" t="str">
        <f ca="1" t="shared" si="40"/>
        <v>11|115|;</v>
      </c>
      <c r="Q63" s="78" t="str">
        <f t="shared" si="41"/>
        <v>21|0|;</v>
      </c>
      <c r="R63" s="78" t="str">
        <f ca="1" t="shared" si="42"/>
        <v>12|740|;</v>
      </c>
      <c r="S63" s="78" t="str">
        <f ca="1" t="shared" si="65"/>
        <v>11|115|;21|0|;12|740|;</v>
      </c>
      <c r="T63" s="165" t="str">
        <f ca="1">OFFSET(buff!$C$1,MATCH(W63,buff!A:A,0)-1,0)</f>
        <v>血量每降低10%，增加4%伤害减免</v>
      </c>
      <c r="U63" s="166"/>
      <c r="V63" s="166">
        <v>10000</v>
      </c>
      <c r="W63">
        <f ca="1" t="shared" si="1"/>
        <v>120102</v>
      </c>
      <c r="Z63" s="153">
        <f t="shared" si="2"/>
        <v>2</v>
      </c>
      <c r="AA63" s="153">
        <f ca="1">OFFSET(passive_type!$I$1,MATCH(C63,passive_type!A:A,0)-1,0)</f>
        <v>3</v>
      </c>
      <c r="AB63" s="153">
        <v>400015</v>
      </c>
      <c r="AC63" s="153">
        <v>3200</v>
      </c>
      <c r="AD63" s="153">
        <f ca="1" t="shared" si="3"/>
        <v>120103</v>
      </c>
      <c r="AE63" s="153">
        <v>0</v>
      </c>
      <c r="AF63" s="153">
        <f ca="1">OFFSET(passive_type!$L$1,MATCH(B63,passive_type!B:B,0)-1,0)</f>
        <v>2</v>
      </c>
      <c r="AG63">
        <f ca="1">OFFSET(passive_type!$R$1,MATCH(B63,passive_type!B:B,0)-1,0)</f>
        <v>1300006</v>
      </c>
      <c r="AH63" s="78">
        <v>24</v>
      </c>
      <c r="AI63">
        <f ca="1">IF(Z63=0,0,VLOOKUP(F63,心法辅助配置表!Q:X,AF63+1,FALSE))</f>
        <v>801</v>
      </c>
    </row>
    <row r="64" spans="1:35">
      <c r="A64">
        <f ca="1" t="shared" si="0"/>
        <v>120103</v>
      </c>
      <c r="B64" s="160" t="s">
        <v>2846</v>
      </c>
      <c r="C64">
        <f ca="1">OFFSET(passive_type!$A$1,MATCH(B64,passive_type!B:B,0)-1,0)</f>
        <v>1201</v>
      </c>
      <c r="D64" s="157" t="s">
        <v>2930</v>
      </c>
      <c r="E64">
        <v>21</v>
      </c>
      <c r="F64" s="158">
        <f ca="1">(OFFSET(passive_type!$E$1,MATCH(C64,passive_type!A:A,0)-1,0)*10+AA64)*100+Z64</f>
        <v>1303</v>
      </c>
      <c r="G64" s="22">
        <f ca="1">IF(Z64=0,0,VLOOKUP(F64,心法辅助配置表!$G$2:$O$91,AF64+2,FALSE))</f>
        <v>72</v>
      </c>
      <c r="K64" s="78">
        <f ca="1">G64</f>
        <v>72</v>
      </c>
      <c r="M64" s="78">
        <f ca="1" t="shared" ref="M64:O64" si="67">J64+M63</f>
        <v>115</v>
      </c>
      <c r="N64" s="78">
        <f ca="1" t="shared" si="67"/>
        <v>72</v>
      </c>
      <c r="O64" s="78">
        <f ca="1" t="shared" si="67"/>
        <v>740</v>
      </c>
      <c r="P64" s="78" t="str">
        <f ca="1" t="shared" si="40"/>
        <v>11|115|;</v>
      </c>
      <c r="Q64" s="78" t="str">
        <f ca="1" t="shared" si="41"/>
        <v>21|72|;</v>
      </c>
      <c r="R64" s="78" t="str">
        <f ca="1" t="shared" si="42"/>
        <v>12|740|;</v>
      </c>
      <c r="S64" s="78" t="str">
        <f ca="1" t="shared" si="65"/>
        <v>11|115|;21|72|;12|740|;</v>
      </c>
      <c r="T64" s="165" t="str">
        <f ca="1">OFFSET(buff!$C$1,MATCH(W64,buff!A:A,0)-1,0)</f>
        <v>血量每降低10%，增加4.5%伤害减免</v>
      </c>
      <c r="U64" s="166"/>
      <c r="V64" s="166">
        <v>10000</v>
      </c>
      <c r="W64">
        <f ca="1" t="shared" si="1"/>
        <v>120103</v>
      </c>
      <c r="Z64" s="153">
        <f t="shared" si="2"/>
        <v>3</v>
      </c>
      <c r="AA64" s="153">
        <f ca="1">OFFSET(passive_type!$I$1,MATCH(C64,passive_type!A:A,0)-1,0)</f>
        <v>3</v>
      </c>
      <c r="AB64" s="153">
        <v>400015</v>
      </c>
      <c r="AC64" s="153">
        <v>6400</v>
      </c>
      <c r="AD64" s="153">
        <f ca="1" t="shared" si="3"/>
        <v>120104</v>
      </c>
      <c r="AE64" s="153">
        <v>0</v>
      </c>
      <c r="AF64" s="153">
        <f ca="1">OFFSET(passive_type!$L$1,MATCH(B64,passive_type!B:B,0)-1,0)</f>
        <v>2</v>
      </c>
      <c r="AG64">
        <f ca="1">OFFSET(passive_type!$R$1,MATCH(B64,passive_type!B:B,0)-1,0)</f>
        <v>1300006</v>
      </c>
      <c r="AH64" s="78">
        <v>48</v>
      </c>
      <c r="AI64">
        <f ca="1">IF(Z64=0,0,VLOOKUP(F64,心法辅助配置表!Q:X,AF64+1,FALSE))</f>
        <v>935</v>
      </c>
    </row>
    <row r="65" spans="1:35">
      <c r="A65">
        <f ca="1" t="shared" si="0"/>
        <v>120104</v>
      </c>
      <c r="B65" s="160" t="s">
        <v>2846</v>
      </c>
      <c r="C65">
        <f ca="1">OFFSET(passive_type!$A$1,MATCH(B65,passive_type!B:B,0)-1,0)</f>
        <v>1201</v>
      </c>
      <c r="D65" s="157" t="s">
        <v>2928</v>
      </c>
      <c r="E65">
        <v>12</v>
      </c>
      <c r="F65" s="158">
        <f ca="1">(OFFSET(passive_type!$E$1,MATCH(C65,passive_type!A:A,0)-1,0)*10+AA65)*100+Z65</f>
        <v>1304</v>
      </c>
      <c r="G65" s="22">
        <f ca="1">IF(Z65=0,0,VLOOKUP(F65,心法辅助配置表!$G$2:$O$91,AF65+2,FALSE))</f>
        <v>1108</v>
      </c>
      <c r="L65" s="78">
        <f ca="1">G65</f>
        <v>1108</v>
      </c>
      <c r="M65" s="78">
        <f ca="1" t="shared" ref="M65:O65" si="68">J65+M64</f>
        <v>115</v>
      </c>
      <c r="N65" s="78">
        <f ca="1" t="shared" si="68"/>
        <v>72</v>
      </c>
      <c r="O65" s="78">
        <f ca="1" t="shared" si="68"/>
        <v>1848</v>
      </c>
      <c r="P65" s="78" t="str">
        <f ca="1" t="shared" si="40"/>
        <v>11|115|;</v>
      </c>
      <c r="Q65" s="78" t="str">
        <f ca="1" t="shared" si="41"/>
        <v>21|72|;</v>
      </c>
      <c r="R65" s="78" t="str">
        <f ca="1" t="shared" si="42"/>
        <v>12|1848|;</v>
      </c>
      <c r="S65" s="78" t="str">
        <f ca="1" t="shared" si="65"/>
        <v>11|115|;21|72|;12|1848|;</v>
      </c>
      <c r="T65" s="165" t="str">
        <f ca="1">OFFSET(buff!$C$1,MATCH(W65,buff!A:A,0)-1,0)</f>
        <v>血量每降低10%，增加5%伤害减免</v>
      </c>
      <c r="U65" s="166"/>
      <c r="V65" s="166">
        <v>10000</v>
      </c>
      <c r="W65">
        <f ca="1" t="shared" si="1"/>
        <v>120104</v>
      </c>
      <c r="Z65" s="153">
        <f t="shared" si="2"/>
        <v>4</v>
      </c>
      <c r="AA65" s="153">
        <f ca="1">OFFSET(passive_type!$I$1,MATCH(C65,passive_type!A:A,0)-1,0)</f>
        <v>3</v>
      </c>
      <c r="AB65" s="153">
        <v>400015</v>
      </c>
      <c r="AC65" s="153">
        <v>8000</v>
      </c>
      <c r="AD65" s="153">
        <f ca="1" t="shared" si="3"/>
        <v>120105</v>
      </c>
      <c r="AE65" s="153">
        <v>0</v>
      </c>
      <c r="AF65" s="153">
        <f ca="1">OFFSET(passive_type!$L$1,MATCH(B65,passive_type!B:B,0)-1,0)</f>
        <v>2</v>
      </c>
      <c r="AG65">
        <f ca="1">OFFSET(passive_type!$R$1,MATCH(B65,passive_type!B:B,0)-1,0)</f>
        <v>1300006</v>
      </c>
      <c r="AH65" s="78">
        <v>60</v>
      </c>
      <c r="AI65">
        <f ca="1">IF(Z65=0,0,VLOOKUP(F65,心法辅助配置表!Q:X,AF65+1,FALSE))</f>
        <v>1068</v>
      </c>
    </row>
    <row r="66" spans="1:35">
      <c r="A66">
        <f ca="1" t="shared" si="0"/>
        <v>120105</v>
      </c>
      <c r="B66" s="160" t="s">
        <v>2846</v>
      </c>
      <c r="C66">
        <f ca="1">OFFSET(passive_type!$A$1,MATCH(B66,passive_type!B:B,0)-1,0)</f>
        <v>1201</v>
      </c>
      <c r="D66" s="157" t="s">
        <v>2929</v>
      </c>
      <c r="E66">
        <v>11</v>
      </c>
      <c r="F66" s="158">
        <f ca="1">(OFFSET(passive_type!$E$1,MATCH(C66,passive_type!A:A,0)-1,0)*10+AA66)*100+Z66</f>
        <v>1305</v>
      </c>
      <c r="G66" s="22">
        <f ca="1">IF(Z66=0,0,VLOOKUP(F66,心法辅助配置表!$G$2:$O$91,AF66+2,FALSE))</f>
        <v>173</v>
      </c>
      <c r="J66" s="78">
        <f ca="1">G66</f>
        <v>173</v>
      </c>
      <c r="M66" s="78">
        <f ca="1" t="shared" ref="M66:O66" si="69">J66+M65</f>
        <v>288</v>
      </c>
      <c r="N66" s="78">
        <f ca="1" t="shared" si="69"/>
        <v>72</v>
      </c>
      <c r="O66" s="78">
        <f ca="1" t="shared" si="69"/>
        <v>1848</v>
      </c>
      <c r="P66" s="78" t="str">
        <f ca="1" t="shared" si="40"/>
        <v>11|288|;</v>
      </c>
      <c r="Q66" s="78" t="str">
        <f ca="1" t="shared" si="41"/>
        <v>21|72|;</v>
      </c>
      <c r="R66" s="78" t="str">
        <f ca="1" t="shared" si="42"/>
        <v>12|1848|;</v>
      </c>
      <c r="S66" s="78" t="str">
        <f ca="1" t="shared" si="65"/>
        <v>11|288|;21|72|;12|1848|;</v>
      </c>
      <c r="T66" s="165" t="str">
        <f ca="1">OFFSET(buff!$C$1,MATCH(W66,buff!A:A,0)-1,0)</f>
        <v>血量每降低10%，增加5.5%伤害减免</v>
      </c>
      <c r="U66" s="166"/>
      <c r="V66" s="166">
        <v>10000</v>
      </c>
      <c r="W66">
        <f ca="1" t="shared" si="1"/>
        <v>120105</v>
      </c>
      <c r="Z66" s="153">
        <f t="shared" si="2"/>
        <v>5</v>
      </c>
      <c r="AA66" s="153">
        <f ca="1">OFFSET(passive_type!$I$1,MATCH(C66,passive_type!A:A,0)-1,0)</f>
        <v>3</v>
      </c>
      <c r="AB66" s="153">
        <v>400015</v>
      </c>
      <c r="AC66" s="153">
        <v>11200</v>
      </c>
      <c r="AD66" s="153">
        <f ca="1" t="shared" si="3"/>
        <v>120106</v>
      </c>
      <c r="AE66" s="153">
        <v>0</v>
      </c>
      <c r="AF66" s="153">
        <f ca="1">OFFSET(passive_type!$L$1,MATCH(B66,passive_type!B:B,0)-1,0)</f>
        <v>2</v>
      </c>
      <c r="AG66">
        <f ca="1">OFFSET(passive_type!$R$1,MATCH(B66,passive_type!B:B,0)-1,0)</f>
        <v>1300006</v>
      </c>
      <c r="AH66" s="78">
        <v>84</v>
      </c>
      <c r="AI66">
        <f ca="1">IF(Z66=0,0,VLOOKUP(F66,心法辅助配置表!Q:X,AF66+1,FALSE))</f>
        <v>1202</v>
      </c>
    </row>
    <row r="67" spans="1:35">
      <c r="A67">
        <f ca="1" t="shared" si="0"/>
        <v>120106</v>
      </c>
      <c r="B67" s="160" t="s">
        <v>2846</v>
      </c>
      <c r="C67">
        <f ca="1">OFFSET(passive_type!$A$1,MATCH(B67,passive_type!B:B,0)-1,0)</f>
        <v>1201</v>
      </c>
      <c r="D67" s="157" t="s">
        <v>2930</v>
      </c>
      <c r="E67">
        <v>21</v>
      </c>
      <c r="F67" s="158">
        <f ca="1">(OFFSET(passive_type!$E$1,MATCH(C67,passive_type!A:A,0)-1,0)*10+AA67)*100+Z67</f>
        <v>1306</v>
      </c>
      <c r="G67" s="22">
        <f ca="1">IF(Z67=0,0,VLOOKUP(F67,心法辅助配置表!$G$2:$O$91,AF67+2,FALSE))</f>
        <v>107</v>
      </c>
      <c r="K67" s="78">
        <f ca="1">G67</f>
        <v>107</v>
      </c>
      <c r="M67" s="78">
        <f ca="1" t="shared" ref="M67:O67" si="70">J67+M66</f>
        <v>288</v>
      </c>
      <c r="N67" s="78">
        <f ca="1" t="shared" si="70"/>
        <v>179</v>
      </c>
      <c r="O67" s="78">
        <f ca="1" t="shared" si="70"/>
        <v>1848</v>
      </c>
      <c r="P67" s="78" t="str">
        <f ca="1" t="shared" si="40"/>
        <v>11|288|;</v>
      </c>
      <c r="Q67" s="78" t="str">
        <f ca="1" t="shared" si="41"/>
        <v>21|179|;</v>
      </c>
      <c r="R67" s="78" t="str">
        <f ca="1" t="shared" si="42"/>
        <v>12|1848|;</v>
      </c>
      <c r="S67" s="78" t="str">
        <f ca="1" t="shared" si="65"/>
        <v>11|288|;21|179|;12|1848|;</v>
      </c>
      <c r="T67" s="165" t="str">
        <f ca="1">OFFSET(buff!$C$1,MATCH(W67,buff!A:A,0)-1,0)</f>
        <v>血量每降低10%，增加6%伤害减免</v>
      </c>
      <c r="U67" s="166"/>
      <c r="V67" s="166">
        <v>10000</v>
      </c>
      <c r="W67">
        <f ca="1" t="shared" si="1"/>
        <v>120106</v>
      </c>
      <c r="Z67" s="153">
        <f t="shared" si="2"/>
        <v>6</v>
      </c>
      <c r="AA67" s="153">
        <f ca="1">OFFSET(passive_type!$I$1,MATCH(C67,passive_type!A:A,0)-1,0)</f>
        <v>3</v>
      </c>
      <c r="AB67" s="153">
        <v>400015</v>
      </c>
      <c r="AC67" s="153">
        <v>17600</v>
      </c>
      <c r="AD67" s="153">
        <f ca="1" t="shared" si="3"/>
        <v>120107</v>
      </c>
      <c r="AE67" s="153">
        <v>0</v>
      </c>
      <c r="AF67" s="153">
        <f ca="1">OFFSET(passive_type!$L$1,MATCH(B67,passive_type!B:B,0)-1,0)</f>
        <v>2</v>
      </c>
      <c r="AG67">
        <f ca="1">OFFSET(passive_type!$R$1,MATCH(B67,passive_type!B:B,0)-1,0)</f>
        <v>1300006</v>
      </c>
      <c r="AH67" s="78">
        <v>108</v>
      </c>
      <c r="AI67">
        <f ca="1">IF(Z67=0,0,VLOOKUP(F67,心法辅助配置表!Q:X,AF67+1,FALSE))</f>
        <v>1335</v>
      </c>
    </row>
    <row r="68" spans="1:35">
      <c r="A68">
        <f ca="1" t="shared" si="0"/>
        <v>120107</v>
      </c>
      <c r="B68" s="160" t="s">
        <v>2846</v>
      </c>
      <c r="C68">
        <f ca="1">OFFSET(passive_type!$A$1,MATCH(B68,passive_type!B:B,0)-1,0)</f>
        <v>1201</v>
      </c>
      <c r="D68" s="157" t="s">
        <v>2928</v>
      </c>
      <c r="E68">
        <v>12</v>
      </c>
      <c r="F68" s="158">
        <f ca="1">(OFFSET(passive_type!$E$1,MATCH(C68,passive_type!A:A,0)-1,0)*10+AA68)*100+Z68</f>
        <v>1307</v>
      </c>
      <c r="G68" s="22">
        <f ca="1">IF(Z68=0,0,VLOOKUP(F68,心法辅助配置表!$G$2:$O$91,AF68+2,FALSE))</f>
        <v>1478</v>
      </c>
      <c r="L68" s="78">
        <f ca="1" t="shared" ref="L68:L73" si="71">G68</f>
        <v>1478</v>
      </c>
      <c r="M68" s="78">
        <f ca="1" t="shared" ref="M68:O68" si="72">J68+M67</f>
        <v>288</v>
      </c>
      <c r="N68" s="78">
        <f ca="1" t="shared" si="72"/>
        <v>179</v>
      </c>
      <c r="O68" s="78">
        <f ca="1" t="shared" si="72"/>
        <v>3326</v>
      </c>
      <c r="P68" s="78" t="str">
        <f ca="1" t="shared" si="40"/>
        <v>11|288|;</v>
      </c>
      <c r="Q68" s="78" t="str">
        <f ca="1" t="shared" si="41"/>
        <v>21|179|;</v>
      </c>
      <c r="R68" s="78" t="str">
        <f ca="1" t="shared" si="42"/>
        <v>12|3326|;</v>
      </c>
      <c r="S68" s="78" t="str">
        <f ca="1" t="shared" si="65"/>
        <v>11|288|;21|179|;12|3326|;</v>
      </c>
      <c r="T68" s="165" t="str">
        <f ca="1">OFFSET(buff!$C$1,MATCH(W68,buff!A:A,0)-1,0)</f>
        <v>血量每降低10%，增加6.5%伤害减免</v>
      </c>
      <c r="U68" s="166"/>
      <c r="V68" s="166">
        <v>10000</v>
      </c>
      <c r="W68">
        <f ca="1" t="shared" si="1"/>
        <v>120107</v>
      </c>
      <c r="Z68" s="153">
        <f t="shared" si="2"/>
        <v>7</v>
      </c>
      <c r="AA68" s="153">
        <f ca="1">OFFSET(passive_type!$I$1,MATCH(C68,passive_type!A:A,0)-1,0)</f>
        <v>3</v>
      </c>
      <c r="AB68" s="153">
        <v>400015</v>
      </c>
      <c r="AC68" s="153">
        <v>25600</v>
      </c>
      <c r="AD68" s="153">
        <f ca="1" t="shared" si="3"/>
        <v>120108</v>
      </c>
      <c r="AE68" s="153">
        <v>0</v>
      </c>
      <c r="AF68" s="153">
        <f ca="1">OFFSET(passive_type!$L$1,MATCH(B68,passive_type!B:B,0)-1,0)</f>
        <v>2</v>
      </c>
      <c r="AG68">
        <f ca="1">OFFSET(passive_type!$R$1,MATCH(B68,passive_type!B:B,0)-1,0)</f>
        <v>1300006</v>
      </c>
      <c r="AH68" s="78">
        <v>156</v>
      </c>
      <c r="AI68">
        <f ca="1">IF(Z68=0,0,VLOOKUP(F68,心法辅助配置表!Q:X,AF68+1,FALSE))</f>
        <v>1469</v>
      </c>
    </row>
    <row r="69" spans="1:35">
      <c r="A69">
        <f ca="1" t="shared" si="0"/>
        <v>120108</v>
      </c>
      <c r="B69" s="160" t="s">
        <v>2846</v>
      </c>
      <c r="C69">
        <f ca="1">OFFSET(passive_type!$A$1,MATCH(B69,passive_type!B:B,0)-1,0)</f>
        <v>1201</v>
      </c>
      <c r="D69" s="157" t="s">
        <v>2929</v>
      </c>
      <c r="E69">
        <v>11</v>
      </c>
      <c r="F69" s="158">
        <f ca="1">(OFFSET(passive_type!$E$1,MATCH(C69,passive_type!A:A,0)-1,0)*10+AA69)*100+Z69</f>
        <v>1308</v>
      </c>
      <c r="G69" s="22">
        <f ca="1">IF(Z69=0,0,VLOOKUP(F69,心法辅助配置表!$G$2:$O$91,AF69+2,FALSE))</f>
        <v>232</v>
      </c>
      <c r="J69" s="78">
        <f ca="1">G69</f>
        <v>232</v>
      </c>
      <c r="M69" s="78">
        <f ca="1" t="shared" ref="M69:O69" si="73">J69+M68</f>
        <v>520</v>
      </c>
      <c r="N69" s="78">
        <f ca="1" t="shared" si="73"/>
        <v>179</v>
      </c>
      <c r="O69" s="78">
        <f ca="1" t="shared" si="73"/>
        <v>3326</v>
      </c>
      <c r="P69" s="78" t="str">
        <f ca="1" t="shared" si="40"/>
        <v>11|520|;</v>
      </c>
      <c r="Q69" s="78" t="str">
        <f ca="1" t="shared" si="41"/>
        <v>21|179|;</v>
      </c>
      <c r="R69" s="78" t="str">
        <f ca="1" t="shared" si="42"/>
        <v>12|3326|;</v>
      </c>
      <c r="S69" s="78" t="str">
        <f ca="1" t="shared" si="65"/>
        <v>11|520|;21|179|;12|3326|;</v>
      </c>
      <c r="T69" s="165" t="str">
        <f ca="1">OFFSET(buff!$C$1,MATCH(W69,buff!A:A,0)-1,0)</f>
        <v>血量每降低10%，增加7%伤害减免</v>
      </c>
      <c r="U69" s="166"/>
      <c r="V69" s="166">
        <v>10000</v>
      </c>
      <c r="W69">
        <f ca="1" t="shared" si="1"/>
        <v>120108</v>
      </c>
      <c r="Z69" s="153">
        <f t="shared" si="2"/>
        <v>8</v>
      </c>
      <c r="AA69" s="153">
        <f ca="1">OFFSET(passive_type!$I$1,MATCH(C69,passive_type!A:A,0)-1,0)</f>
        <v>3</v>
      </c>
      <c r="AB69" s="153">
        <v>400015</v>
      </c>
      <c r="AC69" s="153">
        <v>36800</v>
      </c>
      <c r="AD69" s="153">
        <f ca="1" t="shared" si="3"/>
        <v>120109</v>
      </c>
      <c r="AE69" s="153">
        <v>0</v>
      </c>
      <c r="AF69" s="153">
        <f ca="1">OFFSET(passive_type!$L$1,MATCH(B69,passive_type!B:B,0)-1,0)</f>
        <v>2</v>
      </c>
      <c r="AG69">
        <f ca="1">OFFSET(passive_type!$R$1,MATCH(B69,passive_type!B:B,0)-1,0)</f>
        <v>1300006</v>
      </c>
      <c r="AH69" s="78">
        <v>216</v>
      </c>
      <c r="AI69">
        <f ca="1">IF(Z69=0,0,VLOOKUP(F69,心法辅助配置表!Q:X,AF69+1,FALSE))</f>
        <v>1603</v>
      </c>
    </row>
    <row r="70" spans="1:35">
      <c r="A70">
        <f ca="1" t="shared" ref="A70:A133" si="74">C70*100+Z70</f>
        <v>120109</v>
      </c>
      <c r="B70" s="160" t="s">
        <v>2846</v>
      </c>
      <c r="C70">
        <f ca="1">OFFSET(passive_type!$A$1,MATCH(B70,passive_type!B:B,0)-1,0)</f>
        <v>1201</v>
      </c>
      <c r="D70" s="157" t="s">
        <v>2930</v>
      </c>
      <c r="E70">
        <v>21</v>
      </c>
      <c r="F70" s="158">
        <f ca="1">(OFFSET(passive_type!$E$1,MATCH(C70,passive_type!A:A,0)-1,0)*10+AA70)*100+Z70</f>
        <v>1309</v>
      </c>
      <c r="G70" s="22">
        <f ca="1">IF(Z70=0,0,VLOOKUP(F70,心法辅助配置表!$G$2:$O$91,AF70+2,FALSE))</f>
        <v>142</v>
      </c>
      <c r="K70" s="78">
        <f ca="1">G70</f>
        <v>142</v>
      </c>
      <c r="M70" s="78">
        <f ca="1" t="shared" ref="M70:O70" si="75">J70+M69</f>
        <v>520</v>
      </c>
      <c r="N70" s="78">
        <f ca="1" t="shared" si="75"/>
        <v>321</v>
      </c>
      <c r="O70" s="78">
        <f ca="1" t="shared" si="75"/>
        <v>3326</v>
      </c>
      <c r="P70" s="78" t="str">
        <f ca="1" t="shared" si="40"/>
        <v>11|520|;</v>
      </c>
      <c r="Q70" s="78" t="str">
        <f ca="1" t="shared" si="41"/>
        <v>21|321|;</v>
      </c>
      <c r="R70" s="78" t="str">
        <f ca="1" t="shared" si="42"/>
        <v>12|3326|;</v>
      </c>
      <c r="S70" s="78" t="str">
        <f ca="1" t="shared" si="65"/>
        <v>11|520|;21|321|;12|3326|;</v>
      </c>
      <c r="T70" s="165" t="str">
        <f ca="1">OFFSET(buff!$C$1,MATCH(W70,buff!A:A,0)-1,0)</f>
        <v>血量每降低10%，增加7.5%伤害减免</v>
      </c>
      <c r="U70" s="166"/>
      <c r="V70" s="166">
        <v>10000</v>
      </c>
      <c r="W70">
        <f ca="1" t="shared" ref="W70:W133" si="76">A70</f>
        <v>120109</v>
      </c>
      <c r="Z70" s="153">
        <f t="shared" ref="Z70:Z133" si="77">IF(B70=B69,Z69+1,0)</f>
        <v>9</v>
      </c>
      <c r="AA70" s="153">
        <f ca="1">OFFSET(passive_type!$I$1,MATCH(C70,passive_type!A:A,0)-1,0)</f>
        <v>3</v>
      </c>
      <c r="AB70" s="153">
        <v>400015</v>
      </c>
      <c r="AC70" s="153">
        <v>54400</v>
      </c>
      <c r="AD70" s="153">
        <f ca="1" t="shared" ref="AD70:AD133" si="78">IF(B70=B71,A71,0)</f>
        <v>120110</v>
      </c>
      <c r="AE70" s="153">
        <v>0</v>
      </c>
      <c r="AF70" s="153">
        <f ca="1">OFFSET(passive_type!$L$1,MATCH(B70,passive_type!B:B,0)-1,0)</f>
        <v>2</v>
      </c>
      <c r="AG70">
        <f ca="1">OFFSET(passive_type!$R$1,MATCH(B70,passive_type!B:B,0)-1,0)</f>
        <v>1300006</v>
      </c>
      <c r="AH70">
        <v>300</v>
      </c>
      <c r="AI70">
        <f ca="1">IF(Z70=0,0,VLOOKUP(F70,心法辅助配置表!Q:X,AF70+1,FALSE))</f>
        <v>1736</v>
      </c>
    </row>
    <row r="71" spans="1:35">
      <c r="A71">
        <f ca="1" t="shared" si="74"/>
        <v>120110</v>
      </c>
      <c r="B71" s="160" t="s">
        <v>2846</v>
      </c>
      <c r="C71">
        <f ca="1">OFFSET(passive_type!$A$1,MATCH(B71,passive_type!B:B,0)-1,0)</f>
        <v>1201</v>
      </c>
      <c r="D71" s="157" t="s">
        <v>2928</v>
      </c>
      <c r="E71">
        <v>12</v>
      </c>
      <c r="F71" s="158">
        <f ca="1">(OFFSET(passive_type!$E$1,MATCH(C71,passive_type!A:A,0)-1,0)*10+AA71)*100+Z71</f>
        <v>1310</v>
      </c>
      <c r="G71" s="22">
        <f ca="1">IF(Z71=0,0,VLOOKUP(F71,心法辅助配置表!$G$2:$O$91,AF71+2,FALSE))</f>
        <v>1848</v>
      </c>
      <c r="L71" s="78">
        <f ca="1" t="shared" si="71"/>
        <v>1848</v>
      </c>
      <c r="M71" s="78">
        <f ca="1" t="shared" ref="M71:O71" si="79">J71+M70</f>
        <v>520</v>
      </c>
      <c r="N71" s="78">
        <f ca="1" t="shared" si="79"/>
        <v>321</v>
      </c>
      <c r="O71" s="78">
        <f ca="1" t="shared" si="79"/>
        <v>5174</v>
      </c>
      <c r="P71" s="78" t="str">
        <f ca="1" t="shared" ref="P71:P102" si="80">11&amp;$I$1&amp;M71&amp;$I$1&amp;$P$1</f>
        <v>11|520|;</v>
      </c>
      <c r="Q71" s="78" t="str">
        <f ca="1" t="shared" ref="Q71:Q102" si="81">21&amp;$I$1&amp;N71&amp;$I$1&amp;$P$1</f>
        <v>21|321|;</v>
      </c>
      <c r="R71" s="78" t="str">
        <f ca="1" t="shared" ref="R71:R102" si="82">12&amp;$I$1&amp;O71&amp;$I$1&amp;$P$1</f>
        <v>12|5174|;</v>
      </c>
      <c r="S71" s="78" t="str">
        <f ca="1" t="shared" si="65"/>
        <v>11|520|;21|321|;12|5174|;</v>
      </c>
      <c r="T71" s="165" t="str">
        <f ca="1">OFFSET(buff!$C$1,MATCH(W71,buff!A:A,0)-1,0)</f>
        <v>血量每降低10%，增加8%伤害减免</v>
      </c>
      <c r="U71" s="166"/>
      <c r="V71" s="166">
        <v>10000</v>
      </c>
      <c r="W71">
        <f ca="1" t="shared" si="76"/>
        <v>120110</v>
      </c>
      <c r="Z71" s="153">
        <f t="shared" si="77"/>
        <v>10</v>
      </c>
      <c r="AA71" s="153">
        <f ca="1">OFFSET(passive_type!$I$1,MATCH(C71,passive_type!A:A,0)-1,0)</f>
        <v>3</v>
      </c>
      <c r="AB71" s="153">
        <v>400015</v>
      </c>
      <c r="AC71" s="153">
        <f ca="1">IF(AD71=0,0,100)</f>
        <v>0</v>
      </c>
      <c r="AD71" s="153">
        <f ca="1" t="shared" si="78"/>
        <v>0</v>
      </c>
      <c r="AE71" s="153">
        <v>0</v>
      </c>
      <c r="AF71" s="153">
        <f ca="1">OFFSET(passive_type!$L$1,MATCH(B71,passive_type!B:B,0)-1,0)</f>
        <v>2</v>
      </c>
      <c r="AG71">
        <f ca="1">OFFSET(passive_type!$R$1,MATCH(B71,passive_type!B:B,0)-1,0)</f>
        <v>1300006</v>
      </c>
      <c r="AH71">
        <f ca="1">IF(AD71=0,0,20)</f>
        <v>0</v>
      </c>
      <c r="AI71">
        <f ca="1">IF(Z71=0,0,VLOOKUP(F71,心法辅助配置表!Q:X,AF71+1,FALSE))</f>
        <v>1870</v>
      </c>
    </row>
    <row r="72" spans="1:35">
      <c r="A72">
        <f ca="1" t="shared" si="74"/>
        <v>120200</v>
      </c>
      <c r="B72" s="175" t="s">
        <v>2848</v>
      </c>
      <c r="C72">
        <f ca="1">OFFSET(passive_type!$A$1,MATCH(B72,passive_type!B:B,0)-1,0)</f>
        <v>1202</v>
      </c>
      <c r="D72" s="157"/>
      <c r="F72" s="158">
        <f ca="1">(OFFSET(passive_type!$E$1,MATCH(C72,passive_type!A:A,0)-1,0)*10+AA72)*100+Z72</f>
        <v>1300</v>
      </c>
      <c r="G72" s="22">
        <f ca="1">IF(Z72=0,0,VLOOKUP(F72,心法辅助配置表!$G$2:$O$91,AF72+2,FALSE))</f>
        <v>0</v>
      </c>
      <c r="P72" s="78" t="str">
        <f t="shared" si="80"/>
        <v>11||;</v>
      </c>
      <c r="Q72" s="78" t="str">
        <f t="shared" si="81"/>
        <v>21||;</v>
      </c>
      <c r="R72" s="78" t="str">
        <f t="shared" si="82"/>
        <v>12||;</v>
      </c>
      <c r="S72" s="78"/>
      <c r="T72" s="165" t="str">
        <f ca="1">OFFSET(buff!$C$1,MATCH(W72,buff!A:A,0)-1,0)</f>
        <v>回合开始时，增加{0}点{1}点护甲</v>
      </c>
      <c r="U72" s="166"/>
      <c r="V72" s="166">
        <v>10000</v>
      </c>
      <c r="W72">
        <f ca="1" t="shared" si="76"/>
        <v>120200</v>
      </c>
      <c r="Z72" s="153">
        <f t="shared" si="77"/>
        <v>0</v>
      </c>
      <c r="AA72" s="153">
        <f ca="1">OFFSET(passive_type!$I$1,MATCH(C72,passive_type!A:A,0)-1,0)</f>
        <v>3</v>
      </c>
      <c r="AB72" s="153">
        <v>400015</v>
      </c>
      <c r="AC72" s="153">
        <v>800</v>
      </c>
      <c r="AD72" s="153">
        <f ca="1" t="shared" si="78"/>
        <v>120201</v>
      </c>
      <c r="AE72" s="153">
        <v>0</v>
      </c>
      <c r="AF72" s="153">
        <f ca="1">OFFSET(passive_type!$L$1,MATCH(B72,passive_type!B:B,0)-1,0)</f>
        <v>4</v>
      </c>
      <c r="AG72">
        <f ca="1">OFFSET(passive_type!$R$1,MATCH(B72,passive_type!B:B,0)-1,0)</f>
        <v>1300007</v>
      </c>
      <c r="AH72" s="78">
        <v>6</v>
      </c>
      <c r="AI72">
        <f ca="1">IF(Z72=0,0,VLOOKUP(F72,心法辅助配置表!Q:X,AF72+1,FALSE))</f>
        <v>0</v>
      </c>
    </row>
    <row r="73" spans="1:35">
      <c r="A73">
        <f ca="1" t="shared" si="74"/>
        <v>120201</v>
      </c>
      <c r="B73" s="175" t="s">
        <v>2848</v>
      </c>
      <c r="C73">
        <f ca="1">OFFSET(passive_type!$A$1,MATCH(B73,passive_type!B:B,0)-1,0)</f>
        <v>1202</v>
      </c>
      <c r="D73" s="157" t="s">
        <v>2928</v>
      </c>
      <c r="E73">
        <v>12</v>
      </c>
      <c r="F73" s="158">
        <f ca="1">(OFFSET(passive_type!$E$1,MATCH(C73,passive_type!A:A,0)-1,0)*10+AA73)*100+Z73</f>
        <v>1301</v>
      </c>
      <c r="G73" s="22">
        <f ca="1">IF(Z73=0,0,VLOOKUP(F73,心法辅助配置表!$G$2:$O$91,AF73+2,FALSE))</f>
        <v>4382</v>
      </c>
      <c r="L73" s="78">
        <f ca="1" t="shared" si="71"/>
        <v>4382</v>
      </c>
      <c r="M73" s="78">
        <f>J73</f>
        <v>0</v>
      </c>
      <c r="N73" s="78">
        <f>K73</f>
        <v>0</v>
      </c>
      <c r="O73" s="78">
        <f ca="1">G73</f>
        <v>4382</v>
      </c>
      <c r="P73" s="78" t="str">
        <f t="shared" si="80"/>
        <v>11|0|;</v>
      </c>
      <c r="Q73" s="78" t="str">
        <f t="shared" si="81"/>
        <v>21|0|;</v>
      </c>
      <c r="R73" s="78" t="str">
        <f ca="1" t="shared" si="82"/>
        <v>12|4382|;</v>
      </c>
      <c r="S73" s="78" t="str">
        <f ca="1" t="shared" ref="S73:S82" si="83">P73&amp;Q73&amp;R73</f>
        <v>11|0|;21|0|;12|4382|;</v>
      </c>
      <c r="T73" s="165" t="str">
        <f ca="1">OFFSET(buff!$C$1,MATCH(W73,buff!A:A,0)-1,0)</f>
        <v>回合开始时，增加{0}点{1}点护甲</v>
      </c>
      <c r="U73" s="166"/>
      <c r="V73" s="166">
        <v>10000</v>
      </c>
      <c r="W73">
        <f ca="1" t="shared" si="76"/>
        <v>120201</v>
      </c>
      <c r="Z73" s="153">
        <f t="shared" si="77"/>
        <v>1</v>
      </c>
      <c r="AA73" s="153">
        <f ca="1">OFFSET(passive_type!$I$1,MATCH(C73,passive_type!A:A,0)-1,0)</f>
        <v>3</v>
      </c>
      <c r="AB73" s="153">
        <v>400015</v>
      </c>
      <c r="AC73" s="153">
        <v>1600</v>
      </c>
      <c r="AD73" s="153">
        <f ca="1" t="shared" si="78"/>
        <v>120202</v>
      </c>
      <c r="AE73" s="153">
        <v>0</v>
      </c>
      <c r="AF73" s="153">
        <f ca="1">OFFSET(passive_type!$L$1,MATCH(B73,passive_type!B:B,0)-1,0)</f>
        <v>4</v>
      </c>
      <c r="AG73">
        <f ca="1">OFFSET(passive_type!$R$1,MATCH(B73,passive_type!B:B,0)-1,0)</f>
        <v>1300007</v>
      </c>
      <c r="AH73" s="78">
        <v>12</v>
      </c>
      <c r="AI73">
        <f ca="1">IF(Z73=0,0,VLOOKUP(F73,心法辅助配置表!Q:X,AF73+1,FALSE))</f>
        <v>1729</v>
      </c>
    </row>
    <row r="74" spans="1:35">
      <c r="A74">
        <f ca="1" t="shared" si="74"/>
        <v>120202</v>
      </c>
      <c r="B74" s="175" t="s">
        <v>2848</v>
      </c>
      <c r="C74">
        <f ca="1">OFFSET(passive_type!$A$1,MATCH(B74,passive_type!B:B,0)-1,0)</f>
        <v>1202</v>
      </c>
      <c r="D74" s="157" t="s">
        <v>2929</v>
      </c>
      <c r="E74">
        <v>11</v>
      </c>
      <c r="F74" s="158">
        <f ca="1">(OFFSET(passive_type!$E$1,MATCH(C74,passive_type!A:A,0)-1,0)*10+AA74)*100+Z74</f>
        <v>1302</v>
      </c>
      <c r="G74" s="22">
        <f ca="1">IF(Z74=0,0,VLOOKUP(F74,心法辅助配置表!$G$2:$O$91,AF74+2,FALSE))</f>
        <v>572</v>
      </c>
      <c r="J74" s="78">
        <f ca="1">G74</f>
        <v>572</v>
      </c>
      <c r="M74" s="78">
        <f ca="1" t="shared" ref="M74:O74" si="84">J74+M73</f>
        <v>572</v>
      </c>
      <c r="N74" s="78">
        <f t="shared" si="84"/>
        <v>0</v>
      </c>
      <c r="O74" s="78">
        <f ca="1" t="shared" si="84"/>
        <v>4382</v>
      </c>
      <c r="P74" s="78" t="str">
        <f ca="1" t="shared" si="80"/>
        <v>11|572|;</v>
      </c>
      <c r="Q74" s="78" t="str">
        <f t="shared" si="81"/>
        <v>21|0|;</v>
      </c>
      <c r="R74" s="78" t="str">
        <f ca="1" t="shared" si="82"/>
        <v>12|4382|;</v>
      </c>
      <c r="S74" s="78" t="str">
        <f ca="1" t="shared" si="83"/>
        <v>11|572|;21|0|;12|4382|;</v>
      </c>
      <c r="T74" s="165" t="str">
        <f ca="1">OFFSET(buff!$C$1,MATCH(W74,buff!A:A,0)-1,0)</f>
        <v>回合开始时，增加{0}点{1}点护甲</v>
      </c>
      <c r="U74" s="166"/>
      <c r="V74" s="166">
        <v>10000</v>
      </c>
      <c r="W74">
        <f ca="1" t="shared" si="76"/>
        <v>120202</v>
      </c>
      <c r="Z74" s="153">
        <f t="shared" si="77"/>
        <v>2</v>
      </c>
      <c r="AA74" s="153">
        <f ca="1">OFFSET(passive_type!$I$1,MATCH(C74,passive_type!A:A,0)-1,0)</f>
        <v>3</v>
      </c>
      <c r="AB74" s="153">
        <v>400015</v>
      </c>
      <c r="AC74" s="153">
        <v>3200</v>
      </c>
      <c r="AD74" s="153">
        <f ca="1" t="shared" si="78"/>
        <v>120203</v>
      </c>
      <c r="AE74" s="153">
        <v>0</v>
      </c>
      <c r="AF74" s="153">
        <f ca="1">OFFSET(passive_type!$L$1,MATCH(B74,passive_type!B:B,0)-1,0)</f>
        <v>4</v>
      </c>
      <c r="AG74">
        <f ca="1">OFFSET(passive_type!$R$1,MATCH(B74,passive_type!B:B,0)-1,0)</f>
        <v>1300007</v>
      </c>
      <c r="AH74" s="78">
        <v>24</v>
      </c>
      <c r="AI74">
        <f ca="1">IF(Z74=0,0,VLOOKUP(F74,心法辅助配置表!Q:X,AF74+1,FALSE))</f>
        <v>2075</v>
      </c>
    </row>
    <row r="75" spans="1:35">
      <c r="A75">
        <f ca="1" t="shared" si="74"/>
        <v>120203</v>
      </c>
      <c r="B75" s="175" t="s">
        <v>2848</v>
      </c>
      <c r="C75">
        <f ca="1">OFFSET(passive_type!$A$1,MATCH(B75,passive_type!B:B,0)-1,0)</f>
        <v>1202</v>
      </c>
      <c r="D75" s="157" t="s">
        <v>2930</v>
      </c>
      <c r="E75">
        <v>21</v>
      </c>
      <c r="F75" s="158">
        <f ca="1">(OFFSET(passive_type!$E$1,MATCH(C75,passive_type!A:A,0)-1,0)*10+AA75)*100+Z75</f>
        <v>1303</v>
      </c>
      <c r="G75" s="22">
        <f ca="1">IF(Z75=0,0,VLOOKUP(F75,心法辅助配置表!$G$2:$O$91,AF75+2,FALSE))</f>
        <v>352</v>
      </c>
      <c r="K75" s="78">
        <f ca="1">G75</f>
        <v>352</v>
      </c>
      <c r="M75" s="78">
        <f ca="1" t="shared" ref="M75:O75" si="85">J75+M74</f>
        <v>572</v>
      </c>
      <c r="N75" s="78">
        <f ca="1" t="shared" si="85"/>
        <v>352</v>
      </c>
      <c r="O75" s="78">
        <f ca="1" t="shared" si="85"/>
        <v>4382</v>
      </c>
      <c r="P75" s="78" t="str">
        <f ca="1" t="shared" si="80"/>
        <v>11|572|;</v>
      </c>
      <c r="Q75" s="78" t="str">
        <f ca="1" t="shared" si="81"/>
        <v>21|352|;</v>
      </c>
      <c r="R75" s="78" t="str">
        <f ca="1" t="shared" si="82"/>
        <v>12|4382|;</v>
      </c>
      <c r="S75" s="78" t="str">
        <f ca="1" t="shared" si="83"/>
        <v>11|572|;21|352|;12|4382|;</v>
      </c>
      <c r="T75" s="165" t="str">
        <f ca="1">OFFSET(buff!$C$1,MATCH(W75,buff!A:A,0)-1,0)</f>
        <v>回合开始时，增加{0}点{1}点护甲</v>
      </c>
      <c r="U75" s="166"/>
      <c r="V75" s="166">
        <v>10000</v>
      </c>
      <c r="W75">
        <f ca="1" t="shared" si="76"/>
        <v>120203</v>
      </c>
      <c r="Z75" s="153">
        <f t="shared" si="77"/>
        <v>3</v>
      </c>
      <c r="AA75" s="153">
        <f ca="1">OFFSET(passive_type!$I$1,MATCH(C75,passive_type!A:A,0)-1,0)</f>
        <v>3</v>
      </c>
      <c r="AB75" s="153">
        <v>400015</v>
      </c>
      <c r="AC75" s="153">
        <v>6400</v>
      </c>
      <c r="AD75" s="153">
        <f ca="1" t="shared" si="78"/>
        <v>120204</v>
      </c>
      <c r="AE75" s="153">
        <v>0</v>
      </c>
      <c r="AF75" s="153">
        <f ca="1">OFFSET(passive_type!$L$1,MATCH(B75,passive_type!B:B,0)-1,0)</f>
        <v>4</v>
      </c>
      <c r="AG75">
        <f ca="1">OFFSET(passive_type!$R$1,MATCH(B75,passive_type!B:B,0)-1,0)</f>
        <v>1300007</v>
      </c>
      <c r="AH75" s="78">
        <v>48</v>
      </c>
      <c r="AI75">
        <f ca="1">IF(Z75=0,0,VLOOKUP(F75,心法辅助配置表!Q:X,AF75+1,FALSE))</f>
        <v>2421</v>
      </c>
    </row>
    <row r="76" spans="1:35">
      <c r="A76">
        <f ca="1" t="shared" si="74"/>
        <v>120204</v>
      </c>
      <c r="B76" s="175" t="s">
        <v>2848</v>
      </c>
      <c r="C76">
        <f ca="1">OFFSET(passive_type!$A$1,MATCH(B76,passive_type!B:B,0)-1,0)</f>
        <v>1202</v>
      </c>
      <c r="D76" s="157" t="s">
        <v>2928</v>
      </c>
      <c r="E76">
        <v>12</v>
      </c>
      <c r="F76" s="158">
        <f ca="1">(OFFSET(passive_type!$E$1,MATCH(C76,passive_type!A:A,0)-1,0)*10+AA76)*100+Z76</f>
        <v>1304</v>
      </c>
      <c r="G76" s="22">
        <f ca="1">IF(Z76=0,0,VLOOKUP(F76,心法辅助配置表!$G$2:$O$91,AF76+2,FALSE))</f>
        <v>6572</v>
      </c>
      <c r="L76" s="78">
        <f ca="1">G76</f>
        <v>6572</v>
      </c>
      <c r="M76" s="78">
        <f ca="1" t="shared" ref="M76:O76" si="86">J76+M75</f>
        <v>572</v>
      </c>
      <c r="N76" s="78">
        <f ca="1" t="shared" si="86"/>
        <v>352</v>
      </c>
      <c r="O76" s="78">
        <f ca="1" t="shared" si="86"/>
        <v>10954</v>
      </c>
      <c r="P76" s="78" t="str">
        <f ca="1" t="shared" si="80"/>
        <v>11|572|;</v>
      </c>
      <c r="Q76" s="78" t="str">
        <f ca="1" t="shared" si="81"/>
        <v>21|352|;</v>
      </c>
      <c r="R76" s="78" t="str">
        <f ca="1" t="shared" si="82"/>
        <v>12|10954|;</v>
      </c>
      <c r="S76" s="78" t="str">
        <f ca="1" t="shared" si="83"/>
        <v>11|572|;21|352|;12|10954|;</v>
      </c>
      <c r="T76" s="165" t="str">
        <f ca="1">OFFSET(buff!$C$1,MATCH(W76,buff!A:A,0)-1,0)</f>
        <v>回合开始时，增加{0}点{1}点护甲</v>
      </c>
      <c r="U76" s="166"/>
      <c r="V76" s="166">
        <v>10000</v>
      </c>
      <c r="W76">
        <f ca="1" t="shared" si="76"/>
        <v>120204</v>
      </c>
      <c r="Z76" s="153">
        <f t="shared" si="77"/>
        <v>4</v>
      </c>
      <c r="AA76" s="153">
        <f ca="1">OFFSET(passive_type!$I$1,MATCH(C76,passive_type!A:A,0)-1,0)</f>
        <v>3</v>
      </c>
      <c r="AB76" s="153">
        <v>400015</v>
      </c>
      <c r="AC76" s="153">
        <v>8000</v>
      </c>
      <c r="AD76" s="153">
        <f ca="1" t="shared" si="78"/>
        <v>120205</v>
      </c>
      <c r="AE76" s="153">
        <v>0</v>
      </c>
      <c r="AF76" s="153">
        <f ca="1">OFFSET(passive_type!$L$1,MATCH(B76,passive_type!B:B,0)-1,0)</f>
        <v>4</v>
      </c>
      <c r="AG76">
        <f ca="1">OFFSET(passive_type!$R$1,MATCH(B76,passive_type!B:B,0)-1,0)</f>
        <v>1300007</v>
      </c>
      <c r="AH76" s="78">
        <v>60</v>
      </c>
      <c r="AI76">
        <f ca="1">IF(Z76=0,0,VLOOKUP(F76,心法辅助配置表!Q:X,AF76+1,FALSE))</f>
        <v>2767</v>
      </c>
    </row>
    <row r="77" spans="1:35">
      <c r="A77">
        <f ca="1" t="shared" si="74"/>
        <v>120205</v>
      </c>
      <c r="B77" s="175" t="s">
        <v>2848</v>
      </c>
      <c r="C77">
        <f ca="1">OFFSET(passive_type!$A$1,MATCH(B77,passive_type!B:B,0)-1,0)</f>
        <v>1202</v>
      </c>
      <c r="D77" s="157" t="s">
        <v>2929</v>
      </c>
      <c r="E77">
        <v>11</v>
      </c>
      <c r="F77" s="158">
        <f ca="1">(OFFSET(passive_type!$E$1,MATCH(C77,passive_type!A:A,0)-1,0)*10+AA77)*100+Z77</f>
        <v>1305</v>
      </c>
      <c r="G77" s="22">
        <f ca="1">IF(Z77=0,0,VLOOKUP(F77,心法辅助配置表!$G$2:$O$91,AF77+2,FALSE))</f>
        <v>857</v>
      </c>
      <c r="J77" s="78">
        <f ca="1">G77</f>
        <v>857</v>
      </c>
      <c r="M77" s="78">
        <f ca="1" t="shared" ref="M77:O77" si="87">J77+M76</f>
        <v>1429</v>
      </c>
      <c r="N77" s="78">
        <f ca="1" t="shared" si="87"/>
        <v>352</v>
      </c>
      <c r="O77" s="78">
        <f ca="1" t="shared" si="87"/>
        <v>10954</v>
      </c>
      <c r="P77" s="78" t="str">
        <f ca="1" t="shared" si="80"/>
        <v>11|1429|;</v>
      </c>
      <c r="Q77" s="78" t="str">
        <f ca="1" t="shared" si="81"/>
        <v>21|352|;</v>
      </c>
      <c r="R77" s="78" t="str">
        <f ca="1" t="shared" si="82"/>
        <v>12|10954|;</v>
      </c>
      <c r="S77" s="78" t="str">
        <f ca="1" t="shared" si="83"/>
        <v>11|1429|;21|352|;12|10954|;</v>
      </c>
      <c r="T77" s="165" t="str">
        <f ca="1">OFFSET(buff!$C$1,MATCH(W77,buff!A:A,0)-1,0)</f>
        <v>回合开始时，增加{0}点{1}点护甲</v>
      </c>
      <c r="U77" s="166"/>
      <c r="V77" s="166">
        <v>10000</v>
      </c>
      <c r="W77">
        <f ca="1" t="shared" si="76"/>
        <v>120205</v>
      </c>
      <c r="Z77" s="153">
        <f t="shared" si="77"/>
        <v>5</v>
      </c>
      <c r="AA77" s="153">
        <f ca="1">OFFSET(passive_type!$I$1,MATCH(C77,passive_type!A:A,0)-1,0)</f>
        <v>3</v>
      </c>
      <c r="AB77" s="153">
        <v>400015</v>
      </c>
      <c r="AC77" s="153">
        <v>11200</v>
      </c>
      <c r="AD77" s="153">
        <f ca="1" t="shared" si="78"/>
        <v>120206</v>
      </c>
      <c r="AE77" s="153">
        <v>0</v>
      </c>
      <c r="AF77" s="153">
        <f ca="1">OFFSET(passive_type!$L$1,MATCH(B77,passive_type!B:B,0)-1,0)</f>
        <v>4</v>
      </c>
      <c r="AG77">
        <f ca="1">OFFSET(passive_type!$R$1,MATCH(B77,passive_type!B:B,0)-1,0)</f>
        <v>1300007</v>
      </c>
      <c r="AH77" s="78">
        <v>84</v>
      </c>
      <c r="AI77">
        <f ca="1">IF(Z77=0,0,VLOOKUP(F77,心法辅助配置表!Q:X,AF77+1,FALSE))</f>
        <v>3113</v>
      </c>
    </row>
    <row r="78" spans="1:35">
      <c r="A78">
        <f ca="1" t="shared" si="74"/>
        <v>120206</v>
      </c>
      <c r="B78" s="175" t="s">
        <v>2848</v>
      </c>
      <c r="C78">
        <f ca="1">OFFSET(passive_type!$A$1,MATCH(B78,passive_type!B:B,0)-1,0)</f>
        <v>1202</v>
      </c>
      <c r="D78" s="157" t="s">
        <v>2930</v>
      </c>
      <c r="E78">
        <v>21</v>
      </c>
      <c r="F78" s="158">
        <f ca="1">(OFFSET(passive_type!$E$1,MATCH(C78,passive_type!A:A,0)-1,0)*10+AA78)*100+Z78</f>
        <v>1306</v>
      </c>
      <c r="G78" s="22">
        <f ca="1">IF(Z78=0,0,VLOOKUP(F78,心法辅助配置表!$G$2:$O$91,AF78+2,FALSE))</f>
        <v>528</v>
      </c>
      <c r="K78" s="78">
        <f ca="1">G78</f>
        <v>528</v>
      </c>
      <c r="M78" s="78">
        <f ca="1" t="shared" ref="M78:O78" si="88">J78+M77</f>
        <v>1429</v>
      </c>
      <c r="N78" s="78">
        <f ca="1" t="shared" si="88"/>
        <v>880</v>
      </c>
      <c r="O78" s="78">
        <f ca="1" t="shared" si="88"/>
        <v>10954</v>
      </c>
      <c r="P78" s="78" t="str">
        <f ca="1" t="shared" si="80"/>
        <v>11|1429|;</v>
      </c>
      <c r="Q78" s="78" t="str">
        <f ca="1" t="shared" si="81"/>
        <v>21|880|;</v>
      </c>
      <c r="R78" s="78" t="str">
        <f ca="1" t="shared" si="82"/>
        <v>12|10954|;</v>
      </c>
      <c r="S78" s="78" t="str">
        <f ca="1" t="shared" si="83"/>
        <v>11|1429|;21|880|;12|10954|;</v>
      </c>
      <c r="T78" s="165" t="str">
        <f ca="1">OFFSET(buff!$C$1,MATCH(W78,buff!A:A,0)-1,0)</f>
        <v>回合开始时，增加{0}点{1}点护甲</v>
      </c>
      <c r="U78" s="166"/>
      <c r="V78" s="166">
        <v>10000</v>
      </c>
      <c r="W78">
        <f ca="1" t="shared" si="76"/>
        <v>120206</v>
      </c>
      <c r="Z78" s="153">
        <f t="shared" si="77"/>
        <v>6</v>
      </c>
      <c r="AA78" s="153">
        <f ca="1">OFFSET(passive_type!$I$1,MATCH(C78,passive_type!A:A,0)-1,0)</f>
        <v>3</v>
      </c>
      <c r="AB78" s="153">
        <v>400015</v>
      </c>
      <c r="AC78" s="153">
        <v>17600</v>
      </c>
      <c r="AD78" s="153">
        <f ca="1" t="shared" si="78"/>
        <v>120207</v>
      </c>
      <c r="AE78" s="153">
        <v>0</v>
      </c>
      <c r="AF78" s="153">
        <f ca="1">OFFSET(passive_type!$L$1,MATCH(B78,passive_type!B:B,0)-1,0)</f>
        <v>4</v>
      </c>
      <c r="AG78">
        <f ca="1">OFFSET(passive_type!$R$1,MATCH(B78,passive_type!B:B,0)-1,0)</f>
        <v>1300007</v>
      </c>
      <c r="AH78" s="78">
        <v>108</v>
      </c>
      <c r="AI78">
        <f ca="1">IF(Z78=0,0,VLOOKUP(F78,心法辅助配置表!Q:X,AF78+1,FALSE))</f>
        <v>3459</v>
      </c>
    </row>
    <row r="79" spans="1:35">
      <c r="A79">
        <f ca="1" t="shared" si="74"/>
        <v>120207</v>
      </c>
      <c r="B79" s="175" t="s">
        <v>2848</v>
      </c>
      <c r="C79">
        <f ca="1">OFFSET(passive_type!$A$1,MATCH(B79,passive_type!B:B,0)-1,0)</f>
        <v>1202</v>
      </c>
      <c r="D79" s="157" t="s">
        <v>2928</v>
      </c>
      <c r="E79">
        <v>12</v>
      </c>
      <c r="F79" s="158">
        <f ca="1">(OFFSET(passive_type!$E$1,MATCH(C79,passive_type!A:A,0)-1,0)*10+AA79)*100+Z79</f>
        <v>1307</v>
      </c>
      <c r="G79" s="22">
        <f ca="1">IF(Z79=0,0,VLOOKUP(F79,心法辅助配置表!$G$2:$O$91,AF79+2,FALSE))</f>
        <v>8762</v>
      </c>
      <c r="L79" s="78">
        <f ca="1" t="shared" ref="L79:L84" si="89">G79</f>
        <v>8762</v>
      </c>
      <c r="M79" s="78">
        <f ca="1" t="shared" ref="M79:O79" si="90">J79+M78</f>
        <v>1429</v>
      </c>
      <c r="N79" s="78">
        <f ca="1" t="shared" si="90"/>
        <v>880</v>
      </c>
      <c r="O79" s="78">
        <f ca="1" t="shared" si="90"/>
        <v>19716</v>
      </c>
      <c r="P79" s="78" t="str">
        <f ca="1" t="shared" si="80"/>
        <v>11|1429|;</v>
      </c>
      <c r="Q79" s="78" t="str">
        <f ca="1" t="shared" si="81"/>
        <v>21|880|;</v>
      </c>
      <c r="R79" s="78" t="str">
        <f ca="1" t="shared" si="82"/>
        <v>12|19716|;</v>
      </c>
      <c r="S79" s="78" t="str">
        <f ca="1" t="shared" si="83"/>
        <v>11|1429|;21|880|;12|19716|;</v>
      </c>
      <c r="T79" s="165" t="str">
        <f ca="1">OFFSET(buff!$C$1,MATCH(W79,buff!A:A,0)-1,0)</f>
        <v>回合开始时，增加{0}点{1}点护甲</v>
      </c>
      <c r="U79" s="166"/>
      <c r="V79" s="166">
        <v>10000</v>
      </c>
      <c r="W79">
        <f ca="1" t="shared" si="76"/>
        <v>120207</v>
      </c>
      <c r="Z79" s="153">
        <f t="shared" si="77"/>
        <v>7</v>
      </c>
      <c r="AA79" s="153">
        <f ca="1">OFFSET(passive_type!$I$1,MATCH(C79,passive_type!A:A,0)-1,0)</f>
        <v>3</v>
      </c>
      <c r="AB79" s="153">
        <v>400015</v>
      </c>
      <c r="AC79" s="153">
        <v>25600</v>
      </c>
      <c r="AD79" s="153">
        <f ca="1" t="shared" si="78"/>
        <v>120208</v>
      </c>
      <c r="AE79" s="153">
        <v>0</v>
      </c>
      <c r="AF79" s="153">
        <f ca="1">OFFSET(passive_type!$L$1,MATCH(B79,passive_type!B:B,0)-1,0)</f>
        <v>4</v>
      </c>
      <c r="AG79">
        <f ca="1">OFFSET(passive_type!$R$1,MATCH(B79,passive_type!B:B,0)-1,0)</f>
        <v>1300007</v>
      </c>
      <c r="AH79" s="78">
        <v>156</v>
      </c>
      <c r="AI79">
        <f ca="1">IF(Z79=0,0,VLOOKUP(F79,心法辅助配置表!Q:X,AF79+1,FALSE))</f>
        <v>3805</v>
      </c>
    </row>
    <row r="80" spans="1:35">
      <c r="A80">
        <f ca="1" t="shared" si="74"/>
        <v>120208</v>
      </c>
      <c r="B80" s="175" t="s">
        <v>2848</v>
      </c>
      <c r="C80">
        <f ca="1">OFFSET(passive_type!$A$1,MATCH(B80,passive_type!B:B,0)-1,0)</f>
        <v>1202</v>
      </c>
      <c r="D80" s="157" t="s">
        <v>2929</v>
      </c>
      <c r="E80">
        <v>11</v>
      </c>
      <c r="F80" s="158">
        <f ca="1">(OFFSET(passive_type!$E$1,MATCH(C80,passive_type!A:A,0)-1,0)*10+AA80)*100+Z80</f>
        <v>1308</v>
      </c>
      <c r="G80" s="22">
        <f ca="1">IF(Z80=0,0,VLOOKUP(F80,心法辅助配置表!$G$2:$O$91,AF80+2,FALSE))</f>
        <v>1142</v>
      </c>
      <c r="J80" s="78">
        <f ca="1">G80</f>
        <v>1142</v>
      </c>
      <c r="M80" s="78">
        <f ca="1" t="shared" ref="M80:O80" si="91">J80+M79</f>
        <v>2571</v>
      </c>
      <c r="N80" s="78">
        <f ca="1" t="shared" si="91"/>
        <v>880</v>
      </c>
      <c r="O80" s="78">
        <f ca="1" t="shared" si="91"/>
        <v>19716</v>
      </c>
      <c r="P80" s="78" t="str">
        <f ca="1" t="shared" si="80"/>
        <v>11|2571|;</v>
      </c>
      <c r="Q80" s="78" t="str">
        <f ca="1" t="shared" si="81"/>
        <v>21|880|;</v>
      </c>
      <c r="R80" s="78" t="str">
        <f ca="1" t="shared" si="82"/>
        <v>12|19716|;</v>
      </c>
      <c r="S80" s="78" t="str">
        <f ca="1" t="shared" si="83"/>
        <v>11|2571|;21|880|;12|19716|;</v>
      </c>
      <c r="T80" s="165" t="str">
        <f ca="1">OFFSET(buff!$C$1,MATCH(W80,buff!A:A,0)-1,0)</f>
        <v>回合开始时，增加{0}点{1}点护甲</v>
      </c>
      <c r="U80" s="166"/>
      <c r="V80" s="166">
        <v>10000</v>
      </c>
      <c r="W80">
        <f ca="1" t="shared" si="76"/>
        <v>120208</v>
      </c>
      <c r="Z80" s="153">
        <f t="shared" si="77"/>
        <v>8</v>
      </c>
      <c r="AA80" s="153">
        <f ca="1">OFFSET(passive_type!$I$1,MATCH(C80,passive_type!A:A,0)-1,0)</f>
        <v>3</v>
      </c>
      <c r="AB80" s="153">
        <v>400015</v>
      </c>
      <c r="AC80" s="153">
        <v>36800</v>
      </c>
      <c r="AD80" s="153">
        <f ca="1" t="shared" si="78"/>
        <v>120209</v>
      </c>
      <c r="AE80" s="153">
        <v>0</v>
      </c>
      <c r="AF80" s="153">
        <f ca="1">OFFSET(passive_type!$L$1,MATCH(B80,passive_type!B:B,0)-1,0)</f>
        <v>4</v>
      </c>
      <c r="AG80">
        <f ca="1">OFFSET(passive_type!$R$1,MATCH(B80,passive_type!B:B,0)-1,0)</f>
        <v>1300007</v>
      </c>
      <c r="AH80" s="78">
        <v>216</v>
      </c>
      <c r="AI80">
        <f ca="1">IF(Z80=0,0,VLOOKUP(F80,心法辅助配置表!Q:X,AF80+1,FALSE))</f>
        <v>4151</v>
      </c>
    </row>
    <row r="81" spans="1:35">
      <c r="A81">
        <f ca="1" t="shared" si="74"/>
        <v>120209</v>
      </c>
      <c r="B81" s="175" t="s">
        <v>2848</v>
      </c>
      <c r="C81">
        <f ca="1">OFFSET(passive_type!$A$1,MATCH(B81,passive_type!B:B,0)-1,0)</f>
        <v>1202</v>
      </c>
      <c r="D81" s="157" t="s">
        <v>2930</v>
      </c>
      <c r="E81">
        <v>21</v>
      </c>
      <c r="F81" s="158">
        <f ca="1">(OFFSET(passive_type!$E$1,MATCH(C81,passive_type!A:A,0)-1,0)*10+AA81)*100+Z81</f>
        <v>1309</v>
      </c>
      <c r="G81" s="22">
        <f ca="1">IF(Z81=0,0,VLOOKUP(F81,心法辅助配置表!$G$2:$O$91,AF81+2,FALSE))</f>
        <v>705</v>
      </c>
      <c r="K81" s="78">
        <f ca="1">G81</f>
        <v>705</v>
      </c>
      <c r="M81" s="78">
        <f ca="1" t="shared" ref="M81:O81" si="92">J81+M80</f>
        <v>2571</v>
      </c>
      <c r="N81" s="78">
        <f ca="1" t="shared" si="92"/>
        <v>1585</v>
      </c>
      <c r="O81" s="78">
        <f ca="1" t="shared" si="92"/>
        <v>19716</v>
      </c>
      <c r="P81" s="78" t="str">
        <f ca="1" t="shared" si="80"/>
        <v>11|2571|;</v>
      </c>
      <c r="Q81" s="78" t="str">
        <f ca="1" t="shared" si="81"/>
        <v>21|1585|;</v>
      </c>
      <c r="R81" s="78" t="str">
        <f ca="1" t="shared" si="82"/>
        <v>12|19716|;</v>
      </c>
      <c r="S81" s="78" t="str">
        <f ca="1" t="shared" si="83"/>
        <v>11|2571|;21|1585|;12|19716|;</v>
      </c>
      <c r="T81" s="165" t="str">
        <f ca="1">OFFSET(buff!$C$1,MATCH(W81,buff!A:A,0)-1,0)</f>
        <v>回合开始时，增加{0}点{1}点护甲</v>
      </c>
      <c r="U81" s="166"/>
      <c r="V81" s="166">
        <v>10000</v>
      </c>
      <c r="W81">
        <f ca="1" t="shared" si="76"/>
        <v>120209</v>
      </c>
      <c r="Z81" s="153">
        <f t="shared" si="77"/>
        <v>9</v>
      </c>
      <c r="AA81" s="153">
        <f ca="1">OFFSET(passive_type!$I$1,MATCH(C81,passive_type!A:A,0)-1,0)</f>
        <v>3</v>
      </c>
      <c r="AB81" s="153">
        <v>400015</v>
      </c>
      <c r="AC81" s="153">
        <v>54400</v>
      </c>
      <c r="AD81" s="153">
        <f ca="1" t="shared" si="78"/>
        <v>120210</v>
      </c>
      <c r="AE81" s="153">
        <v>0</v>
      </c>
      <c r="AF81" s="153">
        <f ca="1">OFFSET(passive_type!$L$1,MATCH(B81,passive_type!B:B,0)-1,0)</f>
        <v>4</v>
      </c>
      <c r="AG81">
        <f ca="1">OFFSET(passive_type!$R$1,MATCH(B81,passive_type!B:B,0)-1,0)</f>
        <v>1300007</v>
      </c>
      <c r="AH81">
        <v>300</v>
      </c>
      <c r="AI81">
        <f ca="1">IF(Z81=0,0,VLOOKUP(F81,心法辅助配置表!Q:X,AF81+1,FALSE))</f>
        <v>4497</v>
      </c>
    </row>
    <row r="82" spans="1:35">
      <c r="A82">
        <f ca="1" t="shared" si="74"/>
        <v>120210</v>
      </c>
      <c r="B82" s="175" t="s">
        <v>2848</v>
      </c>
      <c r="C82">
        <f ca="1">OFFSET(passive_type!$A$1,MATCH(B82,passive_type!B:B,0)-1,0)</f>
        <v>1202</v>
      </c>
      <c r="D82" s="157" t="s">
        <v>2928</v>
      </c>
      <c r="E82">
        <v>12</v>
      </c>
      <c r="F82" s="158">
        <f ca="1">(OFFSET(passive_type!$E$1,MATCH(C82,passive_type!A:A,0)-1,0)*10+AA82)*100+Z82</f>
        <v>1310</v>
      </c>
      <c r="G82" s="22">
        <f ca="1">IF(Z82=0,0,VLOOKUP(F82,心法辅助配置表!$G$2:$O$91,AF82+2,FALSE))</f>
        <v>10952</v>
      </c>
      <c r="L82" s="78">
        <f ca="1" t="shared" si="89"/>
        <v>10952</v>
      </c>
      <c r="M82" s="78">
        <f ca="1" t="shared" ref="M82:O82" si="93">J82+M81</f>
        <v>2571</v>
      </c>
      <c r="N82" s="78">
        <f ca="1" t="shared" si="93"/>
        <v>1585</v>
      </c>
      <c r="O82" s="78">
        <f ca="1" t="shared" si="93"/>
        <v>30668</v>
      </c>
      <c r="P82" s="78" t="str">
        <f ca="1" t="shared" si="80"/>
        <v>11|2571|;</v>
      </c>
      <c r="Q82" s="78" t="str">
        <f ca="1" t="shared" si="81"/>
        <v>21|1585|;</v>
      </c>
      <c r="R82" s="78" t="str">
        <f ca="1" t="shared" si="82"/>
        <v>12|30668|;</v>
      </c>
      <c r="S82" s="78" t="str">
        <f ca="1" t="shared" si="83"/>
        <v>11|2571|;21|1585|;12|30668|;</v>
      </c>
      <c r="T82" s="165" t="str">
        <f ca="1">OFFSET(buff!$C$1,MATCH(W82,buff!A:A,0)-1,0)</f>
        <v>回合开始时，增加{0}点{1}点护甲</v>
      </c>
      <c r="U82" s="166"/>
      <c r="V82" s="166">
        <v>10000</v>
      </c>
      <c r="W82">
        <f ca="1" t="shared" si="76"/>
        <v>120210</v>
      </c>
      <c r="Z82" s="153">
        <f t="shared" si="77"/>
        <v>10</v>
      </c>
      <c r="AA82" s="153">
        <f ca="1">OFFSET(passive_type!$I$1,MATCH(C82,passive_type!A:A,0)-1,0)</f>
        <v>3</v>
      </c>
      <c r="AB82" s="153">
        <v>400015</v>
      </c>
      <c r="AD82" s="153">
        <f ca="1" t="shared" si="78"/>
        <v>0</v>
      </c>
      <c r="AE82" s="153">
        <v>0</v>
      </c>
      <c r="AF82" s="153">
        <f ca="1">OFFSET(passive_type!$L$1,MATCH(B82,passive_type!B:B,0)-1,0)</f>
        <v>4</v>
      </c>
      <c r="AG82">
        <f ca="1">OFFSET(passive_type!$R$1,MATCH(B82,passive_type!B:B,0)-1,0)</f>
        <v>1300007</v>
      </c>
      <c r="AH82">
        <f ca="1">IF(AD82=0,0,20)</f>
        <v>0</v>
      </c>
      <c r="AI82">
        <f ca="1">IF(Z82=0,0,VLOOKUP(F82,心法辅助配置表!Q:X,AF82+1,FALSE))</f>
        <v>4843</v>
      </c>
    </row>
    <row r="83" spans="1:35">
      <c r="A83">
        <f ca="1" t="shared" si="74"/>
        <v>120300</v>
      </c>
      <c r="B83" s="160" t="s">
        <v>2850</v>
      </c>
      <c r="C83">
        <f ca="1">OFFSET(passive_type!$A$1,MATCH(B83,passive_type!B:B,0)-1,0)</f>
        <v>1203</v>
      </c>
      <c r="D83" s="157"/>
      <c r="F83" s="158">
        <f ca="1">(OFFSET(passive_type!$E$1,MATCH(C83,passive_type!A:A,0)-1,0)*10+AA83)*100+Z83</f>
        <v>1400</v>
      </c>
      <c r="G83" s="22">
        <f ca="1">IF(Z83=0,0,VLOOKUP(F83,心法辅助配置表!$G$2:$O$91,AF83+2,FALSE))</f>
        <v>0</v>
      </c>
      <c r="P83" s="78" t="str">
        <f t="shared" si="80"/>
        <v>11||;</v>
      </c>
      <c r="Q83" s="78" t="str">
        <f t="shared" si="81"/>
        <v>21||;</v>
      </c>
      <c r="R83" s="78" t="str">
        <f t="shared" si="82"/>
        <v>12||;</v>
      </c>
      <c r="S83" s="78"/>
      <c r="T83" s="165" t="str">
        <f ca="1">OFFSET(buff!$C$1,MATCH(W83,buff!A:A,0)-1,0)</f>
        <v>使拳法招式附带5%吸血效果</v>
      </c>
      <c r="U83" s="166"/>
      <c r="V83" s="166">
        <v>10000</v>
      </c>
      <c r="W83">
        <f ca="1" t="shared" si="76"/>
        <v>120300</v>
      </c>
      <c r="Z83" s="153">
        <f t="shared" si="77"/>
        <v>0</v>
      </c>
      <c r="AA83" s="153">
        <f ca="1">OFFSET(passive_type!$I$1,MATCH(C83,passive_type!A:A,0)-1,0)</f>
        <v>4</v>
      </c>
      <c r="AB83" s="153">
        <v>400015</v>
      </c>
      <c r="AC83" s="153">
        <v>1600</v>
      </c>
      <c r="AD83" s="153">
        <f ca="1" t="shared" si="78"/>
        <v>120301</v>
      </c>
      <c r="AE83" s="153">
        <v>0</v>
      </c>
      <c r="AF83" s="153">
        <f ca="1">OFFSET(passive_type!$L$1,MATCH(B83,passive_type!B:B,0)-1,0)</f>
        <v>1</v>
      </c>
      <c r="AG83">
        <f ca="1">OFFSET(passive_type!$R$1,MATCH(B83,passive_type!B:B,0)-1,0)</f>
        <v>1300008</v>
      </c>
      <c r="AH83" s="78">
        <v>6</v>
      </c>
      <c r="AI83">
        <f ca="1">IF(Z83=0,0,VLOOKUP(F83,心法辅助配置表!Q:X,AF83+1,FALSE))</f>
        <v>0</v>
      </c>
    </row>
    <row r="84" spans="1:35">
      <c r="A84">
        <f ca="1" t="shared" si="74"/>
        <v>120301</v>
      </c>
      <c r="B84" s="160" t="s">
        <v>2850</v>
      </c>
      <c r="C84">
        <f ca="1">OFFSET(passive_type!$A$1,MATCH(B84,passive_type!B:B,0)-1,0)</f>
        <v>1203</v>
      </c>
      <c r="D84" s="157" t="s">
        <v>2928</v>
      </c>
      <c r="E84">
        <v>12</v>
      </c>
      <c r="F84" s="158">
        <f ca="1">(OFFSET(passive_type!$E$1,MATCH(C84,passive_type!A:A,0)-1,0)*10+AA84)*100+Z84</f>
        <v>1401</v>
      </c>
      <c r="G84" s="22">
        <f ca="1">IF(Z84=0,0,VLOOKUP(F84,心法辅助配置表!$G$2:$O$91,AF84+2,FALSE))</f>
        <v>439</v>
      </c>
      <c r="L84" s="78">
        <f ca="1" t="shared" si="89"/>
        <v>439</v>
      </c>
      <c r="M84" s="78">
        <f>J84</f>
        <v>0</v>
      </c>
      <c r="N84" s="78">
        <f>K84</f>
        <v>0</v>
      </c>
      <c r="O84" s="78">
        <f ca="1">G84</f>
        <v>439</v>
      </c>
      <c r="P84" s="78" t="str">
        <f t="shared" si="80"/>
        <v>11|0|;</v>
      </c>
      <c r="Q84" s="78" t="str">
        <f t="shared" si="81"/>
        <v>21|0|;</v>
      </c>
      <c r="R84" s="78" t="str">
        <f ca="1" t="shared" si="82"/>
        <v>12|439|;</v>
      </c>
      <c r="S84" s="78" t="str">
        <f ca="1" t="shared" ref="S84:S93" si="94">P84&amp;Q84&amp;R84</f>
        <v>11|0|;21|0|;12|439|;</v>
      </c>
      <c r="T84" s="165" t="str">
        <f ca="1">OFFSET(buff!$C$1,MATCH(W84,buff!A:A,0)-1,0)</f>
        <v>使拳法招式附带7%吸血效果</v>
      </c>
      <c r="U84" s="166"/>
      <c r="V84" s="166">
        <v>10000</v>
      </c>
      <c r="W84">
        <f ca="1" t="shared" si="76"/>
        <v>120301</v>
      </c>
      <c r="Z84" s="153">
        <f t="shared" si="77"/>
        <v>1</v>
      </c>
      <c r="AA84" s="153">
        <f ca="1">OFFSET(passive_type!$I$1,MATCH(C84,passive_type!A:A,0)-1,0)</f>
        <v>4</v>
      </c>
      <c r="AB84" s="153">
        <v>400015</v>
      </c>
      <c r="AC84" s="153">
        <v>3200</v>
      </c>
      <c r="AD84" s="153">
        <f ca="1" t="shared" si="78"/>
        <v>120302</v>
      </c>
      <c r="AE84" s="153">
        <v>0</v>
      </c>
      <c r="AF84" s="153">
        <f ca="1">OFFSET(passive_type!$L$1,MATCH(B84,passive_type!B:B,0)-1,0)</f>
        <v>1</v>
      </c>
      <c r="AG84">
        <f ca="1">OFFSET(passive_type!$R$1,MATCH(B84,passive_type!B:B,0)-1,0)</f>
        <v>1300008</v>
      </c>
      <c r="AH84" s="78">
        <v>12</v>
      </c>
      <c r="AI84">
        <f ca="1">IF(Z84=0,0,VLOOKUP(F84,心法辅助配置表!Q:X,AF84+1,FALSE))</f>
        <v>431</v>
      </c>
    </row>
    <row r="85" spans="1:35">
      <c r="A85">
        <f ca="1" t="shared" si="74"/>
        <v>120302</v>
      </c>
      <c r="B85" s="160" t="s">
        <v>2850</v>
      </c>
      <c r="C85">
        <f ca="1">OFFSET(passive_type!$A$1,MATCH(B85,passive_type!B:B,0)-1,0)</f>
        <v>1203</v>
      </c>
      <c r="D85" s="157" t="s">
        <v>2929</v>
      </c>
      <c r="E85">
        <v>11</v>
      </c>
      <c r="F85" s="158">
        <f ca="1">(OFFSET(passive_type!$E$1,MATCH(C85,passive_type!A:A,0)-1,0)*10+AA85)*100+Z85</f>
        <v>1402</v>
      </c>
      <c r="G85" s="22">
        <f ca="1">IF(Z85=0,0,VLOOKUP(F85,心法辅助配置表!$G$2:$O$91,AF85+2,FALSE))</f>
        <v>72</v>
      </c>
      <c r="J85" s="78">
        <f ca="1">G85</f>
        <v>72</v>
      </c>
      <c r="M85" s="78">
        <f ca="1" t="shared" ref="M85:O85" si="95">J85+M84</f>
        <v>72</v>
      </c>
      <c r="N85" s="78">
        <f t="shared" si="95"/>
        <v>0</v>
      </c>
      <c r="O85" s="78">
        <f ca="1" t="shared" si="95"/>
        <v>439</v>
      </c>
      <c r="P85" s="78" t="str">
        <f ca="1" t="shared" si="80"/>
        <v>11|72|;</v>
      </c>
      <c r="Q85" s="78" t="str">
        <f t="shared" si="81"/>
        <v>21|0|;</v>
      </c>
      <c r="R85" s="78" t="str">
        <f ca="1" t="shared" si="82"/>
        <v>12|439|;</v>
      </c>
      <c r="S85" s="78" t="str">
        <f ca="1" t="shared" si="94"/>
        <v>11|72|;21|0|;12|439|;</v>
      </c>
      <c r="T85" s="165" t="str">
        <f ca="1">OFFSET(buff!$C$1,MATCH(W85,buff!A:A,0)-1,0)</f>
        <v>使拳法招式附带9%吸血效果</v>
      </c>
      <c r="U85" s="166"/>
      <c r="V85" s="166">
        <v>10000</v>
      </c>
      <c r="W85">
        <f ca="1" t="shared" si="76"/>
        <v>120302</v>
      </c>
      <c r="Z85" s="153">
        <f t="shared" si="77"/>
        <v>2</v>
      </c>
      <c r="AA85" s="153">
        <f ca="1">OFFSET(passive_type!$I$1,MATCH(C85,passive_type!A:A,0)-1,0)</f>
        <v>4</v>
      </c>
      <c r="AB85" s="153">
        <v>400015</v>
      </c>
      <c r="AC85" s="153">
        <v>6400</v>
      </c>
      <c r="AD85" s="153">
        <f ca="1" t="shared" si="78"/>
        <v>120303</v>
      </c>
      <c r="AE85" s="153">
        <v>0</v>
      </c>
      <c r="AF85" s="153">
        <f ca="1">OFFSET(passive_type!$L$1,MATCH(B85,passive_type!B:B,0)-1,0)</f>
        <v>1</v>
      </c>
      <c r="AG85">
        <f ca="1">OFFSET(passive_type!$R$1,MATCH(B85,passive_type!B:B,0)-1,0)</f>
        <v>1300008</v>
      </c>
      <c r="AH85" s="78">
        <v>24</v>
      </c>
      <c r="AI85">
        <f ca="1">IF(Z85=0,0,VLOOKUP(F85,心法辅助配置表!Q:X,AF85+1,FALSE))</f>
        <v>517</v>
      </c>
    </row>
    <row r="86" spans="1:35">
      <c r="A86">
        <f ca="1" t="shared" si="74"/>
        <v>120303</v>
      </c>
      <c r="B86" s="160" t="s">
        <v>2850</v>
      </c>
      <c r="C86">
        <f ca="1">OFFSET(passive_type!$A$1,MATCH(B86,passive_type!B:B,0)-1,0)</f>
        <v>1203</v>
      </c>
      <c r="D86" s="157" t="s">
        <v>2930</v>
      </c>
      <c r="E86">
        <v>21</v>
      </c>
      <c r="F86" s="158">
        <f ca="1">(OFFSET(passive_type!$E$1,MATCH(C86,passive_type!A:A,0)-1,0)*10+AA86)*100+Z86</f>
        <v>1403</v>
      </c>
      <c r="G86" s="22">
        <f ca="1">IF(Z86=0,0,VLOOKUP(F86,心法辅助配置表!$G$2:$O$91,AF86+2,FALSE))</f>
        <v>44</v>
      </c>
      <c r="K86" s="78">
        <f ca="1">G86</f>
        <v>44</v>
      </c>
      <c r="M86" s="78">
        <f ca="1" t="shared" ref="M86:O86" si="96">J86+M85</f>
        <v>72</v>
      </c>
      <c r="N86" s="78">
        <f ca="1" t="shared" si="96"/>
        <v>44</v>
      </c>
      <c r="O86" s="78">
        <f ca="1" t="shared" si="96"/>
        <v>439</v>
      </c>
      <c r="P86" s="78" t="str">
        <f ca="1" t="shared" si="80"/>
        <v>11|72|;</v>
      </c>
      <c r="Q86" s="78" t="str">
        <f ca="1" t="shared" si="81"/>
        <v>21|44|;</v>
      </c>
      <c r="R86" s="78" t="str">
        <f ca="1" t="shared" si="82"/>
        <v>12|439|;</v>
      </c>
      <c r="S86" s="78" t="str">
        <f ca="1" t="shared" si="94"/>
        <v>11|72|;21|44|;12|439|;</v>
      </c>
      <c r="T86" s="165" t="str">
        <f ca="1">OFFSET(buff!$C$1,MATCH(W86,buff!A:A,0)-1,0)</f>
        <v>使拳法招式附带11%吸血效果</v>
      </c>
      <c r="U86" s="166"/>
      <c r="V86" s="166">
        <v>10000</v>
      </c>
      <c r="W86">
        <f ca="1" t="shared" si="76"/>
        <v>120303</v>
      </c>
      <c r="Z86" s="153">
        <f t="shared" si="77"/>
        <v>3</v>
      </c>
      <c r="AA86" s="153">
        <f ca="1">OFFSET(passive_type!$I$1,MATCH(C86,passive_type!A:A,0)-1,0)</f>
        <v>4</v>
      </c>
      <c r="AB86" s="153">
        <v>400015</v>
      </c>
      <c r="AC86" s="153">
        <v>12800</v>
      </c>
      <c r="AD86" s="153">
        <f ca="1" t="shared" si="78"/>
        <v>120304</v>
      </c>
      <c r="AE86" s="153">
        <v>0</v>
      </c>
      <c r="AF86" s="153">
        <f ca="1">OFFSET(passive_type!$L$1,MATCH(B86,passive_type!B:B,0)-1,0)</f>
        <v>1</v>
      </c>
      <c r="AG86">
        <f ca="1">OFFSET(passive_type!$R$1,MATCH(B86,passive_type!B:B,0)-1,0)</f>
        <v>1300008</v>
      </c>
      <c r="AH86" s="78">
        <v>48</v>
      </c>
      <c r="AI86">
        <f ca="1">IF(Z86=0,0,VLOOKUP(F86,心法辅助配置表!Q:X,AF86+1,FALSE))</f>
        <v>603</v>
      </c>
    </row>
    <row r="87" spans="1:35">
      <c r="A87">
        <f ca="1" t="shared" si="74"/>
        <v>120304</v>
      </c>
      <c r="B87" s="160" t="s">
        <v>2850</v>
      </c>
      <c r="C87">
        <f ca="1">OFFSET(passive_type!$A$1,MATCH(B87,passive_type!B:B,0)-1,0)</f>
        <v>1203</v>
      </c>
      <c r="D87" s="157" t="s">
        <v>2928</v>
      </c>
      <c r="E87">
        <v>12</v>
      </c>
      <c r="F87" s="158">
        <f ca="1">(OFFSET(passive_type!$E$1,MATCH(C87,passive_type!A:A,0)-1,0)*10+AA87)*100+Z87</f>
        <v>1404</v>
      </c>
      <c r="G87" s="22">
        <f ca="1">IF(Z87=0,0,VLOOKUP(F87,心法辅助配置表!$G$2:$O$91,AF87+2,FALSE))</f>
        <v>658</v>
      </c>
      <c r="L87" s="78">
        <f ca="1">G87</f>
        <v>658</v>
      </c>
      <c r="M87" s="78">
        <f ca="1" t="shared" ref="M87:O87" si="97">J87+M86</f>
        <v>72</v>
      </c>
      <c r="N87" s="78">
        <f ca="1" t="shared" si="97"/>
        <v>44</v>
      </c>
      <c r="O87" s="78">
        <f ca="1" t="shared" si="97"/>
        <v>1097</v>
      </c>
      <c r="P87" s="78" t="str">
        <f ca="1" t="shared" si="80"/>
        <v>11|72|;</v>
      </c>
      <c r="Q87" s="78" t="str">
        <f ca="1" t="shared" si="81"/>
        <v>21|44|;</v>
      </c>
      <c r="R87" s="78" t="str">
        <f ca="1" t="shared" si="82"/>
        <v>12|1097|;</v>
      </c>
      <c r="S87" s="78" t="str">
        <f ca="1" t="shared" si="94"/>
        <v>11|72|;21|44|;12|1097|;</v>
      </c>
      <c r="T87" s="165" t="str">
        <f ca="1">OFFSET(buff!$C$1,MATCH(W87,buff!A:A,0)-1,0)</f>
        <v>使拳法招式附带13%吸血效果</v>
      </c>
      <c r="U87" s="166"/>
      <c r="V87" s="166">
        <v>10000</v>
      </c>
      <c r="W87">
        <f ca="1" t="shared" si="76"/>
        <v>120304</v>
      </c>
      <c r="Z87" s="153">
        <f t="shared" si="77"/>
        <v>4</v>
      </c>
      <c r="AA87" s="153">
        <f ca="1">OFFSET(passive_type!$I$1,MATCH(C87,passive_type!A:A,0)-1,0)</f>
        <v>4</v>
      </c>
      <c r="AB87" s="153">
        <v>400015</v>
      </c>
      <c r="AC87" s="153">
        <v>16000</v>
      </c>
      <c r="AD87" s="153">
        <f ca="1" t="shared" si="78"/>
        <v>120305</v>
      </c>
      <c r="AE87" s="153">
        <v>0</v>
      </c>
      <c r="AF87" s="153">
        <f ca="1">OFFSET(passive_type!$L$1,MATCH(B87,passive_type!B:B,0)-1,0)</f>
        <v>1</v>
      </c>
      <c r="AG87">
        <f ca="1">OFFSET(passive_type!$R$1,MATCH(B87,passive_type!B:B,0)-1,0)</f>
        <v>1300008</v>
      </c>
      <c r="AH87" s="78">
        <v>60</v>
      </c>
      <c r="AI87">
        <f ca="1">IF(Z87=0,0,VLOOKUP(F87,心法辅助配置表!Q:X,AF87+1,FALSE))</f>
        <v>690</v>
      </c>
    </row>
    <row r="88" spans="1:35">
      <c r="A88">
        <f ca="1" t="shared" si="74"/>
        <v>120305</v>
      </c>
      <c r="B88" s="160" t="s">
        <v>2850</v>
      </c>
      <c r="C88">
        <f ca="1">OFFSET(passive_type!$A$1,MATCH(B88,passive_type!B:B,0)-1,0)</f>
        <v>1203</v>
      </c>
      <c r="D88" s="157" t="s">
        <v>2929</v>
      </c>
      <c r="E88">
        <v>11</v>
      </c>
      <c r="F88" s="158">
        <f ca="1">(OFFSET(passive_type!$E$1,MATCH(C88,passive_type!A:A,0)-1,0)*10+AA88)*100+Z88</f>
        <v>1405</v>
      </c>
      <c r="G88" s="22">
        <f ca="1">IF(Z88=0,0,VLOOKUP(F88,心法辅助配置表!$G$2:$O$91,AF88+2,FALSE))</f>
        <v>107</v>
      </c>
      <c r="J88" s="78">
        <f ca="1">G88</f>
        <v>107</v>
      </c>
      <c r="M88" s="78">
        <f ca="1" t="shared" ref="M88:O88" si="98">J88+M87</f>
        <v>179</v>
      </c>
      <c r="N88" s="78">
        <f ca="1" t="shared" si="98"/>
        <v>44</v>
      </c>
      <c r="O88" s="78">
        <f ca="1" t="shared" si="98"/>
        <v>1097</v>
      </c>
      <c r="P88" s="78" t="str">
        <f ca="1" t="shared" si="80"/>
        <v>11|179|;</v>
      </c>
      <c r="Q88" s="78" t="str">
        <f ca="1" t="shared" si="81"/>
        <v>21|44|;</v>
      </c>
      <c r="R88" s="78" t="str">
        <f ca="1" t="shared" si="82"/>
        <v>12|1097|;</v>
      </c>
      <c r="S88" s="78" t="str">
        <f ca="1" t="shared" si="94"/>
        <v>11|179|;21|44|;12|1097|;</v>
      </c>
      <c r="T88" s="165" t="str">
        <f ca="1">OFFSET(buff!$C$1,MATCH(W88,buff!A:A,0)-1,0)</f>
        <v>使拳法招式附带15%吸血效果</v>
      </c>
      <c r="U88" s="166"/>
      <c r="V88" s="166">
        <v>10000</v>
      </c>
      <c r="W88">
        <f ca="1" t="shared" si="76"/>
        <v>120305</v>
      </c>
      <c r="Z88" s="153">
        <f t="shared" si="77"/>
        <v>5</v>
      </c>
      <c r="AA88" s="153">
        <f ca="1">OFFSET(passive_type!$I$1,MATCH(C88,passive_type!A:A,0)-1,0)</f>
        <v>4</v>
      </c>
      <c r="AB88" s="153">
        <v>400015</v>
      </c>
      <c r="AC88" s="153">
        <v>22400</v>
      </c>
      <c r="AD88" s="153">
        <f ca="1" t="shared" si="78"/>
        <v>120306</v>
      </c>
      <c r="AE88" s="153">
        <v>0</v>
      </c>
      <c r="AF88" s="153">
        <f ca="1">OFFSET(passive_type!$L$1,MATCH(B88,passive_type!B:B,0)-1,0)</f>
        <v>1</v>
      </c>
      <c r="AG88">
        <f ca="1">OFFSET(passive_type!$R$1,MATCH(B88,passive_type!B:B,0)-1,0)</f>
        <v>1300008</v>
      </c>
      <c r="AH88" s="78">
        <v>84</v>
      </c>
      <c r="AI88">
        <f ca="1">IF(Z88=0,0,VLOOKUP(F88,心法辅助配置表!Q:X,AF88+1,FALSE))</f>
        <v>776</v>
      </c>
    </row>
    <row r="89" spans="1:35">
      <c r="A89">
        <f ca="1" t="shared" si="74"/>
        <v>120306</v>
      </c>
      <c r="B89" s="160" t="s">
        <v>2850</v>
      </c>
      <c r="C89">
        <f ca="1">OFFSET(passive_type!$A$1,MATCH(B89,passive_type!B:B,0)-1,0)</f>
        <v>1203</v>
      </c>
      <c r="D89" s="157" t="s">
        <v>2930</v>
      </c>
      <c r="E89">
        <v>21</v>
      </c>
      <c r="F89" s="158">
        <f ca="1">(OFFSET(passive_type!$E$1,MATCH(C89,passive_type!A:A,0)-1,0)*10+AA89)*100+Z89</f>
        <v>1406</v>
      </c>
      <c r="G89" s="22">
        <f ca="1">IF(Z89=0,0,VLOOKUP(F89,心法辅助配置表!$G$2:$O$91,AF89+2,FALSE))</f>
        <v>68</v>
      </c>
      <c r="K89" s="78">
        <f ca="1">G89</f>
        <v>68</v>
      </c>
      <c r="M89" s="78">
        <f ca="1" t="shared" ref="M89:O89" si="99">J89+M88</f>
        <v>179</v>
      </c>
      <c r="N89" s="78">
        <f ca="1" t="shared" si="99"/>
        <v>112</v>
      </c>
      <c r="O89" s="78">
        <f ca="1" t="shared" si="99"/>
        <v>1097</v>
      </c>
      <c r="P89" s="78" t="str">
        <f ca="1" t="shared" si="80"/>
        <v>11|179|;</v>
      </c>
      <c r="Q89" s="78" t="str">
        <f ca="1" t="shared" si="81"/>
        <v>21|112|;</v>
      </c>
      <c r="R89" s="78" t="str">
        <f ca="1" t="shared" si="82"/>
        <v>12|1097|;</v>
      </c>
      <c r="S89" s="78" t="str">
        <f ca="1" t="shared" si="94"/>
        <v>11|179|;21|112|;12|1097|;</v>
      </c>
      <c r="T89" s="165" t="str">
        <f ca="1">OFFSET(buff!$C$1,MATCH(W89,buff!A:A,0)-1,0)</f>
        <v>使拳法招式附带18%吸血效果</v>
      </c>
      <c r="U89" s="166"/>
      <c r="V89" s="166">
        <v>10000</v>
      </c>
      <c r="W89">
        <f ca="1" t="shared" si="76"/>
        <v>120306</v>
      </c>
      <c r="Z89" s="153">
        <f t="shared" si="77"/>
        <v>6</v>
      </c>
      <c r="AA89" s="153">
        <f ca="1">OFFSET(passive_type!$I$1,MATCH(C89,passive_type!A:A,0)-1,0)</f>
        <v>4</v>
      </c>
      <c r="AB89" s="153">
        <v>400015</v>
      </c>
      <c r="AC89" s="153">
        <v>35200</v>
      </c>
      <c r="AD89" s="153">
        <f ca="1" t="shared" si="78"/>
        <v>120307</v>
      </c>
      <c r="AE89" s="153">
        <v>0</v>
      </c>
      <c r="AF89" s="153">
        <f ca="1">OFFSET(passive_type!$L$1,MATCH(B89,passive_type!B:B,0)-1,0)</f>
        <v>1</v>
      </c>
      <c r="AG89">
        <f ca="1">OFFSET(passive_type!$R$1,MATCH(B89,passive_type!B:B,0)-1,0)</f>
        <v>1300008</v>
      </c>
      <c r="AH89" s="78">
        <v>108</v>
      </c>
      <c r="AI89">
        <f ca="1">IF(Z89=0,0,VLOOKUP(F89,心法辅助配置表!Q:X,AF89+1,FALSE))</f>
        <v>862</v>
      </c>
    </row>
    <row r="90" spans="1:35">
      <c r="A90">
        <f ca="1" t="shared" si="74"/>
        <v>120307</v>
      </c>
      <c r="B90" s="160" t="s">
        <v>2850</v>
      </c>
      <c r="C90">
        <f ca="1">OFFSET(passive_type!$A$1,MATCH(B90,passive_type!B:B,0)-1,0)</f>
        <v>1203</v>
      </c>
      <c r="D90" s="157" t="s">
        <v>2928</v>
      </c>
      <c r="E90">
        <v>12</v>
      </c>
      <c r="F90" s="158">
        <f ca="1">(OFFSET(passive_type!$E$1,MATCH(C90,passive_type!A:A,0)-1,0)*10+AA90)*100+Z90</f>
        <v>1407</v>
      </c>
      <c r="G90" s="22">
        <f ca="1">IF(Z90=0,0,VLOOKUP(F90,心法辅助配置表!$G$2:$O$91,AF90+2,FALSE))</f>
        <v>877</v>
      </c>
      <c r="L90" s="78">
        <f ca="1" t="shared" ref="L90:L95" si="100">G90</f>
        <v>877</v>
      </c>
      <c r="M90" s="78">
        <f ca="1" t="shared" ref="M90:O90" si="101">J90+M89</f>
        <v>179</v>
      </c>
      <c r="N90" s="78">
        <f ca="1" t="shared" si="101"/>
        <v>112</v>
      </c>
      <c r="O90" s="78">
        <f ca="1" t="shared" si="101"/>
        <v>1974</v>
      </c>
      <c r="P90" s="78" t="str">
        <f ca="1" t="shared" si="80"/>
        <v>11|179|;</v>
      </c>
      <c r="Q90" s="78" t="str">
        <f ca="1" t="shared" si="81"/>
        <v>21|112|;</v>
      </c>
      <c r="R90" s="78" t="str">
        <f ca="1" t="shared" si="82"/>
        <v>12|1974|;</v>
      </c>
      <c r="S90" s="78" t="str">
        <f ca="1" t="shared" si="94"/>
        <v>11|179|;21|112|;12|1974|;</v>
      </c>
      <c r="T90" s="165" t="str">
        <f ca="1">OFFSET(buff!$C$1,MATCH(W90,buff!A:A,0)-1,0)</f>
        <v>使拳法招式附带21%吸血效果</v>
      </c>
      <c r="U90" s="166"/>
      <c r="V90" s="166">
        <v>10000</v>
      </c>
      <c r="W90">
        <f ca="1" t="shared" si="76"/>
        <v>120307</v>
      </c>
      <c r="Z90" s="153">
        <f t="shared" si="77"/>
        <v>7</v>
      </c>
      <c r="AA90" s="153">
        <f ca="1">OFFSET(passive_type!$I$1,MATCH(C90,passive_type!A:A,0)-1,0)</f>
        <v>4</v>
      </c>
      <c r="AB90" s="153">
        <v>400015</v>
      </c>
      <c r="AC90" s="153">
        <v>51200</v>
      </c>
      <c r="AD90" s="153">
        <f ca="1" t="shared" si="78"/>
        <v>120308</v>
      </c>
      <c r="AE90" s="153">
        <v>0</v>
      </c>
      <c r="AF90" s="153">
        <f ca="1">OFFSET(passive_type!$L$1,MATCH(B90,passive_type!B:B,0)-1,0)</f>
        <v>1</v>
      </c>
      <c r="AG90">
        <f ca="1">OFFSET(passive_type!$R$1,MATCH(B90,passive_type!B:B,0)-1,0)</f>
        <v>1300008</v>
      </c>
      <c r="AH90" s="78">
        <v>156</v>
      </c>
      <c r="AI90">
        <f ca="1">IF(Z90=0,0,VLOOKUP(F90,心法辅助配置表!Q:X,AF90+1,FALSE))</f>
        <v>948</v>
      </c>
    </row>
    <row r="91" spans="1:35">
      <c r="A91">
        <f ca="1" t="shared" si="74"/>
        <v>120308</v>
      </c>
      <c r="B91" s="160" t="s">
        <v>2850</v>
      </c>
      <c r="C91">
        <f ca="1">OFFSET(passive_type!$A$1,MATCH(B91,passive_type!B:B,0)-1,0)</f>
        <v>1203</v>
      </c>
      <c r="D91" s="157" t="s">
        <v>2929</v>
      </c>
      <c r="E91">
        <v>11</v>
      </c>
      <c r="F91" s="158">
        <f ca="1">(OFFSET(passive_type!$E$1,MATCH(C91,passive_type!A:A,0)-1,0)*10+AA91)*100+Z91</f>
        <v>1408</v>
      </c>
      <c r="G91" s="22">
        <f ca="1">IF(Z91=0,0,VLOOKUP(F91,心法辅助配置表!$G$2:$O$91,AF91+2,FALSE))</f>
        <v>142</v>
      </c>
      <c r="J91" s="78">
        <f ca="1">G91</f>
        <v>142</v>
      </c>
      <c r="M91" s="78">
        <f ca="1" t="shared" ref="M91:O91" si="102">J91+M90</f>
        <v>321</v>
      </c>
      <c r="N91" s="78">
        <f ca="1" t="shared" si="102"/>
        <v>112</v>
      </c>
      <c r="O91" s="78">
        <f ca="1" t="shared" si="102"/>
        <v>1974</v>
      </c>
      <c r="P91" s="78" t="str">
        <f ca="1" t="shared" si="80"/>
        <v>11|321|;</v>
      </c>
      <c r="Q91" s="78" t="str">
        <f ca="1" t="shared" si="81"/>
        <v>21|112|;</v>
      </c>
      <c r="R91" s="78" t="str">
        <f ca="1" t="shared" si="82"/>
        <v>12|1974|;</v>
      </c>
      <c r="S91" s="78" t="str">
        <f ca="1" t="shared" si="94"/>
        <v>11|321|;21|112|;12|1974|;</v>
      </c>
      <c r="T91" s="165" t="str">
        <f ca="1">OFFSET(buff!$C$1,MATCH(W91,buff!A:A,0)-1,0)</f>
        <v>使拳法招式附带24%吸血效果</v>
      </c>
      <c r="U91" s="166"/>
      <c r="V91" s="166">
        <v>10000</v>
      </c>
      <c r="W91">
        <f ca="1" t="shared" si="76"/>
        <v>120308</v>
      </c>
      <c r="Z91" s="153">
        <f t="shared" si="77"/>
        <v>8</v>
      </c>
      <c r="AA91" s="153">
        <f ca="1">OFFSET(passive_type!$I$1,MATCH(C91,passive_type!A:A,0)-1,0)</f>
        <v>4</v>
      </c>
      <c r="AB91" s="153">
        <v>400015</v>
      </c>
      <c r="AC91" s="153">
        <v>73600</v>
      </c>
      <c r="AD91" s="153">
        <f ca="1" t="shared" si="78"/>
        <v>120309</v>
      </c>
      <c r="AE91" s="153">
        <v>0</v>
      </c>
      <c r="AF91" s="153">
        <f ca="1">OFFSET(passive_type!$L$1,MATCH(B91,passive_type!B:B,0)-1,0)</f>
        <v>1</v>
      </c>
      <c r="AG91">
        <f ca="1">OFFSET(passive_type!$R$1,MATCH(B91,passive_type!B:B,0)-1,0)</f>
        <v>1300008</v>
      </c>
      <c r="AH91" s="78">
        <v>216</v>
      </c>
      <c r="AI91">
        <f ca="1">IF(Z91=0,0,VLOOKUP(F91,心法辅助配置表!Q:X,AF91+1,FALSE))</f>
        <v>1035</v>
      </c>
    </row>
    <row r="92" spans="1:35">
      <c r="A92">
        <f ca="1" t="shared" si="74"/>
        <v>120309</v>
      </c>
      <c r="B92" s="160" t="s">
        <v>2850</v>
      </c>
      <c r="C92">
        <f ca="1">OFFSET(passive_type!$A$1,MATCH(B92,passive_type!B:B,0)-1,0)</f>
        <v>1203</v>
      </c>
      <c r="D92" s="157" t="s">
        <v>2930</v>
      </c>
      <c r="E92">
        <v>21</v>
      </c>
      <c r="F92" s="158">
        <f ca="1">(OFFSET(passive_type!$E$1,MATCH(C92,passive_type!A:A,0)-1,0)*10+AA92)*100+Z92</f>
        <v>1409</v>
      </c>
      <c r="G92" s="22">
        <f ca="1">IF(Z92=0,0,VLOOKUP(F92,心法辅助配置表!$G$2:$O$91,AF92+2,FALSE))</f>
        <v>89</v>
      </c>
      <c r="K92" s="78">
        <f ca="1">G92</f>
        <v>89</v>
      </c>
      <c r="M92" s="78">
        <f ca="1" t="shared" ref="M92:O92" si="103">J92+M91</f>
        <v>321</v>
      </c>
      <c r="N92" s="78">
        <f ca="1" t="shared" si="103"/>
        <v>201</v>
      </c>
      <c r="O92" s="78">
        <f ca="1" t="shared" si="103"/>
        <v>1974</v>
      </c>
      <c r="P92" s="78" t="str">
        <f ca="1" t="shared" si="80"/>
        <v>11|321|;</v>
      </c>
      <c r="Q92" s="78" t="str">
        <f ca="1" t="shared" si="81"/>
        <v>21|201|;</v>
      </c>
      <c r="R92" s="78" t="str">
        <f ca="1" t="shared" si="82"/>
        <v>12|1974|;</v>
      </c>
      <c r="S92" s="78" t="str">
        <f ca="1" t="shared" si="94"/>
        <v>11|321|;21|201|;12|1974|;</v>
      </c>
      <c r="T92" s="165" t="str">
        <f ca="1">OFFSET(buff!$C$1,MATCH(W92,buff!A:A,0)-1,0)</f>
        <v>使拳法招式附带27%吸血效果</v>
      </c>
      <c r="U92" s="166"/>
      <c r="V92" s="166">
        <v>10000</v>
      </c>
      <c r="W92">
        <f ca="1" t="shared" si="76"/>
        <v>120309</v>
      </c>
      <c r="Z92" s="153">
        <f t="shared" si="77"/>
        <v>9</v>
      </c>
      <c r="AA92" s="153">
        <f ca="1">OFFSET(passive_type!$I$1,MATCH(C92,passive_type!A:A,0)-1,0)</f>
        <v>4</v>
      </c>
      <c r="AB92" s="153">
        <v>400015</v>
      </c>
      <c r="AC92" s="153">
        <v>108800</v>
      </c>
      <c r="AD92" s="153">
        <f ca="1" t="shared" si="78"/>
        <v>120310</v>
      </c>
      <c r="AE92" s="153">
        <v>0</v>
      </c>
      <c r="AF92" s="153">
        <f ca="1">OFFSET(passive_type!$L$1,MATCH(B92,passive_type!B:B,0)-1,0)</f>
        <v>1</v>
      </c>
      <c r="AG92">
        <f ca="1">OFFSET(passive_type!$R$1,MATCH(B92,passive_type!B:B,0)-1,0)</f>
        <v>1300008</v>
      </c>
      <c r="AH92">
        <v>300</v>
      </c>
      <c r="AI92">
        <f ca="1">IF(Z92=0,0,VLOOKUP(F92,心法辅助配置表!Q:X,AF92+1,FALSE))</f>
        <v>1121</v>
      </c>
    </row>
    <row r="93" spans="1:35">
      <c r="A93">
        <f ca="1" t="shared" si="74"/>
        <v>120310</v>
      </c>
      <c r="B93" s="160" t="s">
        <v>2850</v>
      </c>
      <c r="C93">
        <f ca="1">OFFSET(passive_type!$A$1,MATCH(B93,passive_type!B:B,0)-1,0)</f>
        <v>1203</v>
      </c>
      <c r="D93" s="157" t="s">
        <v>2928</v>
      </c>
      <c r="E93">
        <v>12</v>
      </c>
      <c r="F93" s="158">
        <f ca="1">(OFFSET(passive_type!$E$1,MATCH(C93,passive_type!A:A,0)-1,0)*10+AA93)*100+Z93</f>
        <v>1410</v>
      </c>
      <c r="G93" s="22">
        <f ca="1">IF(Z93=0,0,VLOOKUP(F93,心法辅助配置表!$G$2:$O$91,AF93+2,FALSE))</f>
        <v>1097</v>
      </c>
      <c r="L93" s="78">
        <f ca="1" t="shared" si="100"/>
        <v>1097</v>
      </c>
      <c r="M93" s="78">
        <f ca="1" t="shared" ref="M93:O93" si="104">J93+M92</f>
        <v>321</v>
      </c>
      <c r="N93" s="78">
        <f ca="1" t="shared" si="104"/>
        <v>201</v>
      </c>
      <c r="O93" s="78">
        <f ca="1" t="shared" si="104"/>
        <v>3071</v>
      </c>
      <c r="P93" s="78" t="str">
        <f ca="1" t="shared" si="80"/>
        <v>11|321|;</v>
      </c>
      <c r="Q93" s="78" t="str">
        <f ca="1" t="shared" si="81"/>
        <v>21|201|;</v>
      </c>
      <c r="R93" s="78" t="str">
        <f ca="1" t="shared" si="82"/>
        <v>12|3071|;</v>
      </c>
      <c r="S93" s="78" t="str">
        <f ca="1" t="shared" si="94"/>
        <v>11|321|;21|201|;12|3071|;</v>
      </c>
      <c r="T93" s="165" t="str">
        <f ca="1">OFFSET(buff!$C$1,MATCH(W93,buff!A:A,0)-1,0)</f>
        <v>使拳法招式附带30%吸血效果</v>
      </c>
      <c r="U93" s="166"/>
      <c r="V93" s="166">
        <v>10000</v>
      </c>
      <c r="W93">
        <f ca="1" t="shared" si="76"/>
        <v>120310</v>
      </c>
      <c r="Z93" s="153">
        <f t="shared" si="77"/>
        <v>10</v>
      </c>
      <c r="AA93" s="153">
        <f ca="1">OFFSET(passive_type!$I$1,MATCH(C93,passive_type!A:A,0)-1,0)</f>
        <v>4</v>
      </c>
      <c r="AB93" s="153">
        <v>400015</v>
      </c>
      <c r="AC93" s="153">
        <f ca="1">IF(AD93=0,0,100)</f>
        <v>0</v>
      </c>
      <c r="AD93" s="153">
        <f ca="1" t="shared" si="78"/>
        <v>0</v>
      </c>
      <c r="AE93" s="153">
        <v>0</v>
      </c>
      <c r="AF93" s="153">
        <f ca="1">OFFSET(passive_type!$L$1,MATCH(B93,passive_type!B:B,0)-1,0)</f>
        <v>1</v>
      </c>
      <c r="AG93">
        <f ca="1">OFFSET(passive_type!$R$1,MATCH(B93,passive_type!B:B,0)-1,0)</f>
        <v>1300008</v>
      </c>
      <c r="AH93">
        <f ca="1">IF(AD93=0,0,20)</f>
        <v>0</v>
      </c>
      <c r="AI93">
        <f ca="1">IF(Z93=0,0,VLOOKUP(F93,心法辅助配置表!Q:X,AF93+1,FALSE))</f>
        <v>1207</v>
      </c>
    </row>
    <row r="94" spans="1:35">
      <c r="A94">
        <f ca="1" t="shared" si="74"/>
        <v>210100</v>
      </c>
      <c r="B94" s="176" t="s">
        <v>1553</v>
      </c>
      <c r="C94">
        <f ca="1">OFFSET(passive_type!$A$1,MATCH(B94,passive_type!B:B,0)-1,0)</f>
        <v>2101</v>
      </c>
      <c r="D94" s="157"/>
      <c r="F94" s="158">
        <f ca="1">(OFFSET(passive_type!$E$1,MATCH(C94,passive_type!A:A,0)-1,0)*10+AA94)*100+Z94</f>
        <v>2200</v>
      </c>
      <c r="G94" s="22">
        <f ca="1">IF(Z94=0,0,VLOOKUP(F94,心法辅助配置表!$G$2:$O$91,AF94+2,FALSE))</f>
        <v>0</v>
      </c>
      <c r="P94" s="78" t="str">
        <f t="shared" si="80"/>
        <v>11||;</v>
      </c>
      <c r="Q94" s="78" t="str">
        <f t="shared" si="81"/>
        <v>21||;</v>
      </c>
      <c r="R94" s="78" t="str">
        <f t="shared" si="82"/>
        <v>12||;</v>
      </c>
      <c r="S94" s="78"/>
      <c r="T94" s="165" t="str">
        <f ca="1">OFFSET(buff!$C$1,MATCH(W94,buff!A:A,0)-1,0)</f>
        <v>每使用2招剑法，发出1道剑气造成{0}点{1}伤害</v>
      </c>
      <c r="U94" s="166"/>
      <c r="V94" s="166">
        <v>10000</v>
      </c>
      <c r="W94">
        <f ca="1" t="shared" si="76"/>
        <v>210100</v>
      </c>
      <c r="Z94" s="153">
        <f t="shared" si="77"/>
        <v>0</v>
      </c>
      <c r="AA94" s="153">
        <f ca="1">OFFSET(passive_type!$I$1,MATCH(C94,passive_type!A:A,0)-1,0)</f>
        <v>2</v>
      </c>
      <c r="AB94" s="153">
        <v>400015</v>
      </c>
      <c r="AC94" s="78">
        <v>400</v>
      </c>
      <c r="AD94" s="153">
        <f ca="1" t="shared" si="78"/>
        <v>210101</v>
      </c>
      <c r="AE94" s="153">
        <v>0</v>
      </c>
      <c r="AF94" s="153">
        <f ca="1">OFFSET(passive_type!$L$1,MATCH(B94,passive_type!B:B,0)-1,0)</f>
        <v>1</v>
      </c>
      <c r="AG94">
        <f ca="1">OFFSET(passive_type!$R$1,MATCH(B94,passive_type!B:B,0)-1,0)</f>
        <v>1300009</v>
      </c>
      <c r="AH94" s="78">
        <v>6</v>
      </c>
      <c r="AI94">
        <f ca="1">IF(Z94=0,0,VLOOKUP(F94,心法辅助配置表!Q:X,AF94+1,FALSE))</f>
        <v>0</v>
      </c>
    </row>
    <row r="95" spans="1:35">
      <c r="A95">
        <f ca="1" t="shared" si="74"/>
        <v>210101</v>
      </c>
      <c r="B95" s="176" t="s">
        <v>1553</v>
      </c>
      <c r="C95">
        <f ca="1">OFFSET(passive_type!$A$1,MATCH(B95,passive_type!B:B,0)-1,0)</f>
        <v>2101</v>
      </c>
      <c r="D95" s="157" t="s">
        <v>2928</v>
      </c>
      <c r="E95">
        <v>12</v>
      </c>
      <c r="F95" s="158">
        <f ca="1">(OFFSET(passive_type!$E$1,MATCH(C95,passive_type!A:A,0)-1,0)*10+AA95)*100+Z95</f>
        <v>2201</v>
      </c>
      <c r="G95" s="22">
        <f ca="1">IF(Z95=0,0,VLOOKUP(F95,心法辅助配置表!$G$2:$O$91,AF95+2,FALSE))</f>
        <v>169</v>
      </c>
      <c r="I95" s="78"/>
      <c r="J95" s="78"/>
      <c r="K95" s="78"/>
      <c r="L95" s="78">
        <f ca="1" t="shared" si="100"/>
        <v>169</v>
      </c>
      <c r="M95" s="78">
        <f>J95</f>
        <v>0</v>
      </c>
      <c r="N95" s="78">
        <f>K95</f>
        <v>0</v>
      </c>
      <c r="O95" s="78">
        <f ca="1">G95</f>
        <v>169</v>
      </c>
      <c r="P95" s="78" t="str">
        <f t="shared" si="80"/>
        <v>11|0|;</v>
      </c>
      <c r="Q95" s="78" t="str">
        <f t="shared" si="81"/>
        <v>21|0|;</v>
      </c>
      <c r="R95" s="78" t="str">
        <f ca="1" t="shared" si="82"/>
        <v>12|169|;</v>
      </c>
      <c r="S95" s="78" t="str">
        <f ca="1" t="shared" ref="S95:S104" si="105">P95&amp;Q95&amp;R95</f>
        <v>11|0|;21|0|;12|169|;</v>
      </c>
      <c r="T95" s="165" t="str">
        <f ca="1">OFFSET(buff!$C$1,MATCH(W95,buff!A:A,0)-1,0)</f>
        <v>每使用2招剑法，发出1道剑气造成{0}点{1}伤害</v>
      </c>
      <c r="U95" s="166"/>
      <c r="V95" s="166">
        <v>10000</v>
      </c>
      <c r="W95">
        <f ca="1" t="shared" si="76"/>
        <v>210101</v>
      </c>
      <c r="Z95" s="153">
        <f t="shared" si="77"/>
        <v>1</v>
      </c>
      <c r="AA95" s="153">
        <f ca="1">OFFSET(passive_type!$I$1,MATCH(C95,passive_type!A:A,0)-1,0)</f>
        <v>2</v>
      </c>
      <c r="AB95" s="153">
        <v>400015</v>
      </c>
      <c r="AC95" s="78">
        <v>800</v>
      </c>
      <c r="AD95" s="153">
        <f ca="1" t="shared" si="78"/>
        <v>210102</v>
      </c>
      <c r="AE95" s="153">
        <v>0</v>
      </c>
      <c r="AF95" s="153">
        <f ca="1">OFFSET(passive_type!$L$1,MATCH(B95,passive_type!B:B,0)-1,0)</f>
        <v>1</v>
      </c>
      <c r="AG95">
        <f ca="1">OFFSET(passive_type!$R$1,MATCH(B95,passive_type!B:B,0)-1,0)</f>
        <v>1300009</v>
      </c>
      <c r="AH95" s="78">
        <v>12</v>
      </c>
      <c r="AI95">
        <f ca="1">IF(Z95=0,0,VLOOKUP(F95,心法辅助配置表!Q:X,AF95+1,FALSE))</f>
        <v>144</v>
      </c>
    </row>
    <row r="96" spans="1:35">
      <c r="A96">
        <f ca="1" t="shared" si="74"/>
        <v>210102</v>
      </c>
      <c r="B96" s="176" t="s">
        <v>1553</v>
      </c>
      <c r="C96">
        <f ca="1">OFFSET(passive_type!$A$1,MATCH(B96,passive_type!B:B,0)-1,0)</f>
        <v>2101</v>
      </c>
      <c r="D96" s="157" t="s">
        <v>2929</v>
      </c>
      <c r="E96">
        <v>11</v>
      </c>
      <c r="F96" s="158">
        <f ca="1">(OFFSET(passive_type!$E$1,MATCH(C96,passive_type!A:A,0)-1,0)*10+AA96)*100+Z96</f>
        <v>2202</v>
      </c>
      <c r="G96" s="22">
        <f ca="1">IF(Z96=0,0,VLOOKUP(F96,心法辅助配置表!$G$2:$O$91,AF96+2,FALSE))</f>
        <v>38</v>
      </c>
      <c r="I96" s="78"/>
      <c r="J96" s="78">
        <f ca="1">G96</f>
        <v>38</v>
      </c>
      <c r="K96" s="78"/>
      <c r="L96" s="78"/>
      <c r="M96" s="78">
        <f ca="1" t="shared" ref="M96:O96" si="106">J96+M95</f>
        <v>38</v>
      </c>
      <c r="N96" s="78">
        <f t="shared" si="106"/>
        <v>0</v>
      </c>
      <c r="O96" s="78">
        <f ca="1" t="shared" si="106"/>
        <v>169</v>
      </c>
      <c r="P96" s="78" t="str">
        <f ca="1" t="shared" si="80"/>
        <v>11|38|;</v>
      </c>
      <c r="Q96" s="78" t="str">
        <f t="shared" si="81"/>
        <v>21|0|;</v>
      </c>
      <c r="R96" s="78" t="str">
        <f ca="1" t="shared" si="82"/>
        <v>12|169|;</v>
      </c>
      <c r="S96" s="78" t="str">
        <f ca="1" t="shared" si="105"/>
        <v>11|38|;21|0|;12|169|;</v>
      </c>
      <c r="T96" s="165" t="str">
        <f ca="1">OFFSET(buff!$C$1,MATCH(W96,buff!A:A,0)-1,0)</f>
        <v>每使用2招剑法，发出1道剑气造成{0}点{1}伤害</v>
      </c>
      <c r="U96" s="166"/>
      <c r="V96" s="166">
        <v>10000</v>
      </c>
      <c r="W96">
        <f ca="1" t="shared" si="76"/>
        <v>210102</v>
      </c>
      <c r="Z96" s="153">
        <f t="shared" si="77"/>
        <v>2</v>
      </c>
      <c r="AA96" s="153">
        <f ca="1">OFFSET(passive_type!$I$1,MATCH(C96,passive_type!A:A,0)-1,0)</f>
        <v>2</v>
      </c>
      <c r="AB96" s="153">
        <v>400015</v>
      </c>
      <c r="AC96" s="78">
        <v>1600</v>
      </c>
      <c r="AD96" s="153">
        <f ca="1" t="shared" si="78"/>
        <v>210103</v>
      </c>
      <c r="AE96" s="153">
        <v>0</v>
      </c>
      <c r="AF96" s="153">
        <f ca="1">OFFSET(passive_type!$L$1,MATCH(B96,passive_type!B:B,0)-1,0)</f>
        <v>1</v>
      </c>
      <c r="AG96">
        <f ca="1">OFFSET(passive_type!$R$1,MATCH(B96,passive_type!B:B,0)-1,0)</f>
        <v>1300009</v>
      </c>
      <c r="AH96" s="78">
        <v>24</v>
      </c>
      <c r="AI96">
        <f ca="1">IF(Z96=0,0,VLOOKUP(F96,心法辅助配置表!Q:X,AF96+1,FALSE))</f>
        <v>172</v>
      </c>
    </row>
    <row r="97" spans="1:35">
      <c r="A97">
        <f ca="1" t="shared" si="74"/>
        <v>210103</v>
      </c>
      <c r="B97" s="176" t="s">
        <v>1553</v>
      </c>
      <c r="C97">
        <f ca="1">OFFSET(passive_type!$A$1,MATCH(B97,passive_type!B:B,0)-1,0)</f>
        <v>2101</v>
      </c>
      <c r="D97" s="157" t="s">
        <v>2930</v>
      </c>
      <c r="E97">
        <v>21</v>
      </c>
      <c r="F97" s="158">
        <f ca="1">(OFFSET(passive_type!$E$1,MATCH(C97,passive_type!A:A,0)-1,0)*10+AA97)*100+Z97</f>
        <v>2203</v>
      </c>
      <c r="G97" s="22">
        <f ca="1">IF(Z97=0,0,VLOOKUP(F97,心法辅助配置表!$G$2:$O$91,AF97+2,FALSE))</f>
        <v>17</v>
      </c>
      <c r="I97" s="78"/>
      <c r="J97" s="78"/>
      <c r="K97" s="78">
        <f ca="1">G97</f>
        <v>17</v>
      </c>
      <c r="L97" s="78"/>
      <c r="M97" s="78">
        <f ca="1" t="shared" ref="M97:O97" si="107">J97+M96</f>
        <v>38</v>
      </c>
      <c r="N97" s="78">
        <f ca="1" t="shared" si="107"/>
        <v>17</v>
      </c>
      <c r="O97" s="78">
        <f ca="1" t="shared" si="107"/>
        <v>169</v>
      </c>
      <c r="P97" s="78" t="str">
        <f ca="1" t="shared" si="80"/>
        <v>11|38|;</v>
      </c>
      <c r="Q97" s="78" t="str">
        <f ca="1" t="shared" si="81"/>
        <v>21|17|;</v>
      </c>
      <c r="R97" s="78" t="str">
        <f ca="1" t="shared" si="82"/>
        <v>12|169|;</v>
      </c>
      <c r="S97" s="78" t="str">
        <f ca="1" t="shared" si="105"/>
        <v>11|38|;21|17|;12|169|;</v>
      </c>
      <c r="T97" s="165" t="str">
        <f ca="1">OFFSET(buff!$C$1,MATCH(W97,buff!A:A,0)-1,0)</f>
        <v>每使用2招剑法，发出1道剑气造成{0}点{1}伤害</v>
      </c>
      <c r="U97" s="166"/>
      <c r="V97" s="166">
        <v>10000</v>
      </c>
      <c r="W97">
        <f ca="1" t="shared" si="76"/>
        <v>210103</v>
      </c>
      <c r="Z97" s="153">
        <f t="shared" si="77"/>
        <v>3</v>
      </c>
      <c r="AA97" s="153">
        <f ca="1">OFFSET(passive_type!$I$1,MATCH(C97,passive_type!A:A,0)-1,0)</f>
        <v>2</v>
      </c>
      <c r="AB97" s="153">
        <v>400015</v>
      </c>
      <c r="AC97" s="78">
        <v>3200</v>
      </c>
      <c r="AD97" s="153">
        <f ca="1" t="shared" si="78"/>
        <v>210104</v>
      </c>
      <c r="AE97" s="153">
        <v>0</v>
      </c>
      <c r="AF97" s="153">
        <f ca="1">OFFSET(passive_type!$L$1,MATCH(B97,passive_type!B:B,0)-1,0)</f>
        <v>1</v>
      </c>
      <c r="AG97">
        <f ca="1">OFFSET(passive_type!$R$1,MATCH(B97,passive_type!B:B,0)-1,0)</f>
        <v>1300009</v>
      </c>
      <c r="AH97" s="78">
        <v>48</v>
      </c>
      <c r="AI97">
        <f ca="1">IF(Z97=0,0,VLOOKUP(F97,心法辅助配置表!Q:X,AF97+1,FALSE))</f>
        <v>201</v>
      </c>
    </row>
    <row r="98" spans="1:35">
      <c r="A98">
        <f ca="1" t="shared" si="74"/>
        <v>210104</v>
      </c>
      <c r="B98" s="176" t="s">
        <v>1553</v>
      </c>
      <c r="C98">
        <f ca="1">OFFSET(passive_type!$A$1,MATCH(B98,passive_type!B:B,0)-1,0)</f>
        <v>2101</v>
      </c>
      <c r="D98" s="157" t="s">
        <v>2928</v>
      </c>
      <c r="E98">
        <v>12</v>
      </c>
      <c r="F98" s="158">
        <f ca="1">(OFFSET(passive_type!$E$1,MATCH(C98,passive_type!A:A,0)-1,0)*10+AA98)*100+Z98</f>
        <v>2204</v>
      </c>
      <c r="G98" s="22">
        <f ca="1">IF(Z98=0,0,VLOOKUP(F98,心法辅助配置表!$G$2:$O$91,AF98+2,FALSE))</f>
        <v>254</v>
      </c>
      <c r="I98" s="78"/>
      <c r="J98" s="78"/>
      <c r="K98" s="78"/>
      <c r="L98" s="78">
        <f ca="1">G98</f>
        <v>254</v>
      </c>
      <c r="M98" s="78">
        <f ca="1" t="shared" ref="M98:O98" si="108">J98+M97</f>
        <v>38</v>
      </c>
      <c r="N98" s="78">
        <f ca="1" t="shared" si="108"/>
        <v>17</v>
      </c>
      <c r="O98" s="78">
        <f ca="1" t="shared" si="108"/>
        <v>423</v>
      </c>
      <c r="P98" s="78" t="str">
        <f ca="1" t="shared" si="80"/>
        <v>11|38|;</v>
      </c>
      <c r="Q98" s="78" t="str">
        <f ca="1" t="shared" si="81"/>
        <v>21|17|;</v>
      </c>
      <c r="R98" s="78" t="str">
        <f ca="1" t="shared" si="82"/>
        <v>12|423|;</v>
      </c>
      <c r="S98" s="78" t="str">
        <f ca="1" t="shared" si="105"/>
        <v>11|38|;21|17|;12|423|;</v>
      </c>
      <c r="T98" s="165" t="str">
        <f ca="1">OFFSET(buff!$C$1,MATCH(W98,buff!A:A,0)-1,0)</f>
        <v>每使用2招剑法，发出1道剑气造成{0}点{1}伤害</v>
      </c>
      <c r="U98" s="166"/>
      <c r="V98" s="166">
        <v>10000</v>
      </c>
      <c r="W98">
        <f ca="1" t="shared" si="76"/>
        <v>210104</v>
      </c>
      <c r="Z98" s="153">
        <f t="shared" si="77"/>
        <v>4</v>
      </c>
      <c r="AA98" s="153">
        <f ca="1">OFFSET(passive_type!$I$1,MATCH(C98,passive_type!A:A,0)-1,0)</f>
        <v>2</v>
      </c>
      <c r="AB98" s="153">
        <v>400015</v>
      </c>
      <c r="AC98" s="78">
        <v>4000</v>
      </c>
      <c r="AD98" s="153">
        <f ca="1" t="shared" si="78"/>
        <v>210105</v>
      </c>
      <c r="AE98" s="153">
        <v>0</v>
      </c>
      <c r="AF98" s="153">
        <f ca="1">OFFSET(passive_type!$L$1,MATCH(B98,passive_type!B:B,0)-1,0)</f>
        <v>1</v>
      </c>
      <c r="AG98">
        <f ca="1">OFFSET(passive_type!$R$1,MATCH(B98,passive_type!B:B,0)-1,0)</f>
        <v>1300009</v>
      </c>
      <c r="AH98" s="78">
        <v>60</v>
      </c>
      <c r="AI98">
        <f ca="1">IF(Z98=0,0,VLOOKUP(F98,心法辅助配置表!Q:X,AF98+1,FALSE))</f>
        <v>230</v>
      </c>
    </row>
    <row r="99" spans="1:35">
      <c r="A99">
        <f ca="1" t="shared" si="74"/>
        <v>210105</v>
      </c>
      <c r="B99" s="176" t="s">
        <v>1553</v>
      </c>
      <c r="C99">
        <f ca="1">OFFSET(passive_type!$A$1,MATCH(B99,passive_type!B:B,0)-1,0)</f>
        <v>2101</v>
      </c>
      <c r="D99" s="157" t="s">
        <v>2929</v>
      </c>
      <c r="E99">
        <v>11</v>
      </c>
      <c r="F99" s="158">
        <f ca="1">(OFFSET(passive_type!$E$1,MATCH(C99,passive_type!A:A,0)-1,0)*10+AA99)*100+Z99</f>
        <v>2205</v>
      </c>
      <c r="G99" s="22">
        <f ca="1">IF(Z99=0,0,VLOOKUP(F99,心法辅助配置表!$G$2:$O$91,AF99+2,FALSE))</f>
        <v>57</v>
      </c>
      <c r="I99" s="78"/>
      <c r="J99" s="78">
        <f ca="1">G99</f>
        <v>57</v>
      </c>
      <c r="K99" s="78"/>
      <c r="L99" s="78"/>
      <c r="M99" s="78">
        <f ca="1" t="shared" ref="M99:O99" si="109">J99+M98</f>
        <v>95</v>
      </c>
      <c r="N99" s="78">
        <f ca="1" t="shared" si="109"/>
        <v>17</v>
      </c>
      <c r="O99" s="78">
        <f ca="1" t="shared" si="109"/>
        <v>423</v>
      </c>
      <c r="P99" s="78" t="str">
        <f ca="1" t="shared" si="80"/>
        <v>11|95|;</v>
      </c>
      <c r="Q99" s="78" t="str">
        <f ca="1" t="shared" si="81"/>
        <v>21|17|;</v>
      </c>
      <c r="R99" s="78" t="str">
        <f ca="1" t="shared" si="82"/>
        <v>12|423|;</v>
      </c>
      <c r="S99" s="78" t="str">
        <f ca="1" t="shared" si="105"/>
        <v>11|95|;21|17|;12|423|;</v>
      </c>
      <c r="T99" s="165" t="str">
        <f ca="1">OFFSET(buff!$C$1,MATCH(W99,buff!A:A,0)-1,0)</f>
        <v>每使用2招剑法，发出1道剑气造成{0}点{1}伤害</v>
      </c>
      <c r="U99" s="166"/>
      <c r="V99" s="166">
        <v>10000</v>
      </c>
      <c r="W99">
        <f ca="1" t="shared" si="76"/>
        <v>210105</v>
      </c>
      <c r="Z99" s="153">
        <f t="shared" si="77"/>
        <v>5</v>
      </c>
      <c r="AA99" s="153">
        <f ca="1">OFFSET(passive_type!$I$1,MATCH(C99,passive_type!A:A,0)-1,0)</f>
        <v>2</v>
      </c>
      <c r="AB99" s="153">
        <v>400015</v>
      </c>
      <c r="AC99" s="78">
        <v>5600</v>
      </c>
      <c r="AD99" s="153">
        <f ca="1" t="shared" si="78"/>
        <v>210106</v>
      </c>
      <c r="AE99" s="153">
        <v>0</v>
      </c>
      <c r="AF99" s="153">
        <f ca="1">OFFSET(passive_type!$L$1,MATCH(B99,passive_type!B:B,0)-1,0)</f>
        <v>1</v>
      </c>
      <c r="AG99">
        <f ca="1">OFFSET(passive_type!$R$1,MATCH(B99,passive_type!B:B,0)-1,0)</f>
        <v>1300009</v>
      </c>
      <c r="AH99" s="78">
        <v>84</v>
      </c>
      <c r="AI99">
        <f ca="1">IF(Z99=0,0,VLOOKUP(F99,心法辅助配置表!Q:X,AF99+1,FALSE))</f>
        <v>259</v>
      </c>
    </row>
    <row r="100" spans="1:35">
      <c r="A100">
        <f ca="1" t="shared" si="74"/>
        <v>210106</v>
      </c>
      <c r="B100" s="176" t="s">
        <v>1553</v>
      </c>
      <c r="C100">
        <f ca="1">OFFSET(passive_type!$A$1,MATCH(B100,passive_type!B:B,0)-1,0)</f>
        <v>2101</v>
      </c>
      <c r="D100" s="157" t="s">
        <v>2930</v>
      </c>
      <c r="E100">
        <v>21</v>
      </c>
      <c r="F100" s="158">
        <f ca="1">(OFFSET(passive_type!$E$1,MATCH(C100,passive_type!A:A,0)-1,0)*10+AA100)*100+Z100</f>
        <v>2206</v>
      </c>
      <c r="G100" s="22">
        <f ca="1">IF(Z100=0,0,VLOOKUP(F100,心法辅助配置表!$G$2:$O$91,AF100+2,FALSE))</f>
        <v>26</v>
      </c>
      <c r="I100" s="78"/>
      <c r="J100" s="78"/>
      <c r="K100" s="78">
        <f ca="1">G100</f>
        <v>26</v>
      </c>
      <c r="L100" s="78"/>
      <c r="M100" s="78">
        <f ca="1" t="shared" ref="M100:O100" si="110">J100+M99</f>
        <v>95</v>
      </c>
      <c r="N100" s="78">
        <f ca="1" t="shared" si="110"/>
        <v>43</v>
      </c>
      <c r="O100" s="78">
        <f ca="1" t="shared" si="110"/>
        <v>423</v>
      </c>
      <c r="P100" s="78" t="str">
        <f ca="1" t="shared" si="80"/>
        <v>11|95|;</v>
      </c>
      <c r="Q100" s="78" t="str">
        <f ca="1" t="shared" si="81"/>
        <v>21|43|;</v>
      </c>
      <c r="R100" s="78" t="str">
        <f ca="1" t="shared" si="82"/>
        <v>12|423|;</v>
      </c>
      <c r="S100" s="78" t="str">
        <f ca="1" t="shared" si="105"/>
        <v>11|95|;21|43|;12|423|;</v>
      </c>
      <c r="T100" s="165" t="str">
        <f ca="1">OFFSET(buff!$C$1,MATCH(W100,buff!A:A,0)-1,0)</f>
        <v>每使用2招剑法，发出1道剑气造成{0}点{1}伤害</v>
      </c>
      <c r="U100" s="166"/>
      <c r="V100" s="166">
        <v>10000</v>
      </c>
      <c r="W100">
        <f ca="1" t="shared" si="76"/>
        <v>210106</v>
      </c>
      <c r="Z100" s="153">
        <f t="shared" si="77"/>
        <v>6</v>
      </c>
      <c r="AA100" s="153">
        <f ca="1">OFFSET(passive_type!$I$1,MATCH(C100,passive_type!A:A,0)-1,0)</f>
        <v>2</v>
      </c>
      <c r="AB100" s="153">
        <v>400015</v>
      </c>
      <c r="AC100" s="78">
        <v>8800</v>
      </c>
      <c r="AD100" s="153">
        <f ca="1" t="shared" si="78"/>
        <v>210107</v>
      </c>
      <c r="AE100" s="153">
        <v>0</v>
      </c>
      <c r="AF100" s="153">
        <f ca="1">OFFSET(passive_type!$L$1,MATCH(B100,passive_type!B:B,0)-1,0)</f>
        <v>1</v>
      </c>
      <c r="AG100">
        <f ca="1">OFFSET(passive_type!$R$1,MATCH(B100,passive_type!B:B,0)-1,0)</f>
        <v>1300009</v>
      </c>
      <c r="AH100" s="78">
        <v>108</v>
      </c>
      <c r="AI100">
        <f ca="1">IF(Z100=0,0,VLOOKUP(F100,心法辅助配置表!Q:X,AF100+1,FALSE))</f>
        <v>287</v>
      </c>
    </row>
    <row r="101" spans="1:35">
      <c r="A101">
        <f ca="1" t="shared" si="74"/>
        <v>210107</v>
      </c>
      <c r="B101" s="176" t="s">
        <v>1553</v>
      </c>
      <c r="C101">
        <f ca="1">OFFSET(passive_type!$A$1,MATCH(B101,passive_type!B:B,0)-1,0)</f>
        <v>2101</v>
      </c>
      <c r="D101" s="157" t="s">
        <v>2928</v>
      </c>
      <c r="E101">
        <v>12</v>
      </c>
      <c r="F101" s="158">
        <f ca="1">(OFFSET(passive_type!$E$1,MATCH(C101,passive_type!A:A,0)-1,0)*10+AA101)*100+Z101</f>
        <v>2207</v>
      </c>
      <c r="G101" s="22">
        <f ca="1">IF(Z101=0,0,VLOOKUP(F101,心法辅助配置表!$G$2:$O$91,AF101+2,FALSE))</f>
        <v>338</v>
      </c>
      <c r="I101" s="78"/>
      <c r="J101" s="78"/>
      <c r="K101" s="78"/>
      <c r="L101" s="78">
        <f ca="1" t="shared" ref="L101:L106" si="111">G101</f>
        <v>338</v>
      </c>
      <c r="M101" s="78">
        <f ca="1" t="shared" ref="M101:O101" si="112">J101+M100</f>
        <v>95</v>
      </c>
      <c r="N101" s="78">
        <f ca="1" t="shared" si="112"/>
        <v>43</v>
      </c>
      <c r="O101" s="78">
        <f ca="1" t="shared" si="112"/>
        <v>761</v>
      </c>
      <c r="P101" s="78" t="str">
        <f ca="1" t="shared" si="80"/>
        <v>11|95|;</v>
      </c>
      <c r="Q101" s="78" t="str">
        <f ca="1" t="shared" si="81"/>
        <v>21|43|;</v>
      </c>
      <c r="R101" s="78" t="str">
        <f ca="1" t="shared" si="82"/>
        <v>12|761|;</v>
      </c>
      <c r="S101" s="78" t="str">
        <f ca="1" t="shared" si="105"/>
        <v>11|95|;21|43|;12|761|;</v>
      </c>
      <c r="T101" s="165" t="str">
        <f ca="1">OFFSET(buff!$C$1,MATCH(W101,buff!A:A,0)-1,0)</f>
        <v>每使用2招剑法，发出1道剑气造成{0}点{1}伤害</v>
      </c>
      <c r="U101" s="166"/>
      <c r="V101" s="166">
        <v>10000</v>
      </c>
      <c r="W101">
        <f ca="1" t="shared" si="76"/>
        <v>210107</v>
      </c>
      <c r="Z101" s="153">
        <f t="shared" si="77"/>
        <v>7</v>
      </c>
      <c r="AA101" s="153">
        <f ca="1">OFFSET(passive_type!$I$1,MATCH(C101,passive_type!A:A,0)-1,0)</f>
        <v>2</v>
      </c>
      <c r="AB101" s="153">
        <v>400015</v>
      </c>
      <c r="AC101" s="78">
        <v>12800</v>
      </c>
      <c r="AD101" s="153">
        <f ca="1" t="shared" si="78"/>
        <v>210108</v>
      </c>
      <c r="AE101" s="153">
        <v>0</v>
      </c>
      <c r="AF101" s="153">
        <f ca="1">OFFSET(passive_type!$L$1,MATCH(B101,passive_type!B:B,0)-1,0)</f>
        <v>1</v>
      </c>
      <c r="AG101">
        <f ca="1">OFFSET(passive_type!$R$1,MATCH(B101,passive_type!B:B,0)-1,0)</f>
        <v>1300009</v>
      </c>
      <c r="AH101" s="78">
        <v>156</v>
      </c>
      <c r="AI101">
        <f ca="1">IF(Z101=0,0,VLOOKUP(F101,心法辅助配置表!Q:X,AF101+1,FALSE))</f>
        <v>316</v>
      </c>
    </row>
    <row r="102" spans="1:35">
      <c r="A102">
        <f ca="1" t="shared" si="74"/>
        <v>210108</v>
      </c>
      <c r="B102" s="176" t="s">
        <v>1553</v>
      </c>
      <c r="C102">
        <f ca="1">OFFSET(passive_type!$A$1,MATCH(B102,passive_type!B:B,0)-1,0)</f>
        <v>2101</v>
      </c>
      <c r="D102" s="157" t="s">
        <v>2929</v>
      </c>
      <c r="E102">
        <v>11</v>
      </c>
      <c r="F102" s="158">
        <f ca="1">(OFFSET(passive_type!$E$1,MATCH(C102,passive_type!A:A,0)-1,0)*10+AA102)*100+Z102</f>
        <v>2208</v>
      </c>
      <c r="G102" s="22">
        <f ca="1">IF(Z102=0,0,VLOOKUP(F102,心法辅助配置表!$G$2:$O$91,AF102+2,FALSE))</f>
        <v>76</v>
      </c>
      <c r="I102" s="78"/>
      <c r="J102" s="78">
        <f ca="1">G102</f>
        <v>76</v>
      </c>
      <c r="K102" s="78"/>
      <c r="L102" s="78"/>
      <c r="M102" s="78">
        <f ca="1" t="shared" ref="M102:O102" si="113">J102+M101</f>
        <v>171</v>
      </c>
      <c r="N102" s="78">
        <f ca="1" t="shared" si="113"/>
        <v>43</v>
      </c>
      <c r="O102" s="78">
        <f ca="1" t="shared" si="113"/>
        <v>761</v>
      </c>
      <c r="P102" s="78" t="str">
        <f ca="1" t="shared" si="80"/>
        <v>11|171|;</v>
      </c>
      <c r="Q102" s="78" t="str">
        <f ca="1" t="shared" si="81"/>
        <v>21|43|;</v>
      </c>
      <c r="R102" s="78" t="str">
        <f ca="1" t="shared" si="82"/>
        <v>12|761|;</v>
      </c>
      <c r="S102" s="78" t="str">
        <f ca="1" t="shared" si="105"/>
        <v>11|171|;21|43|;12|761|;</v>
      </c>
      <c r="T102" s="165" t="str">
        <f ca="1">OFFSET(buff!$C$1,MATCH(W102,buff!A:A,0)-1,0)</f>
        <v>每使用2招剑法，发出1道剑气造成{0}点{1}伤害</v>
      </c>
      <c r="U102" s="166"/>
      <c r="V102" s="166">
        <v>10000</v>
      </c>
      <c r="W102">
        <f ca="1" t="shared" si="76"/>
        <v>210108</v>
      </c>
      <c r="Z102" s="153">
        <f t="shared" si="77"/>
        <v>8</v>
      </c>
      <c r="AA102" s="153">
        <f ca="1">OFFSET(passive_type!$I$1,MATCH(C102,passive_type!A:A,0)-1,0)</f>
        <v>2</v>
      </c>
      <c r="AB102" s="153">
        <v>400015</v>
      </c>
      <c r="AC102" s="78">
        <v>18400</v>
      </c>
      <c r="AD102" s="153">
        <f ca="1" t="shared" si="78"/>
        <v>210109</v>
      </c>
      <c r="AE102" s="153">
        <v>0</v>
      </c>
      <c r="AF102" s="153">
        <f ca="1">OFFSET(passive_type!$L$1,MATCH(B102,passive_type!B:B,0)-1,0)</f>
        <v>1</v>
      </c>
      <c r="AG102">
        <f ca="1">OFFSET(passive_type!$R$1,MATCH(B102,passive_type!B:B,0)-1,0)</f>
        <v>1300009</v>
      </c>
      <c r="AH102" s="78">
        <v>216</v>
      </c>
      <c r="AI102">
        <f ca="1">IF(Z102=0,0,VLOOKUP(F102,心法辅助配置表!Q:X,AF102+1,FALSE))</f>
        <v>345</v>
      </c>
    </row>
    <row r="103" spans="1:35">
      <c r="A103">
        <f ca="1" t="shared" si="74"/>
        <v>210109</v>
      </c>
      <c r="B103" s="176" t="s">
        <v>1553</v>
      </c>
      <c r="C103">
        <f ca="1">OFFSET(passive_type!$A$1,MATCH(B103,passive_type!B:B,0)-1,0)</f>
        <v>2101</v>
      </c>
      <c r="D103" s="157" t="s">
        <v>2930</v>
      </c>
      <c r="E103">
        <v>21</v>
      </c>
      <c r="F103" s="158">
        <f ca="1">(OFFSET(passive_type!$E$1,MATCH(C103,passive_type!A:A,0)-1,0)*10+AA103)*100+Z103</f>
        <v>2209</v>
      </c>
      <c r="G103" s="22">
        <f ca="1">IF(Z103=0,0,VLOOKUP(F103,心法辅助配置表!$G$2:$O$91,AF103+2,FALSE))</f>
        <v>34</v>
      </c>
      <c r="I103" s="78"/>
      <c r="J103" s="78"/>
      <c r="K103" s="78">
        <f ca="1">G103</f>
        <v>34</v>
      </c>
      <c r="L103" s="78"/>
      <c r="M103" s="78">
        <f ca="1" t="shared" ref="M103:O103" si="114">J103+M102</f>
        <v>171</v>
      </c>
      <c r="N103" s="78">
        <f ca="1" t="shared" si="114"/>
        <v>77</v>
      </c>
      <c r="O103" s="78">
        <f ca="1" t="shared" si="114"/>
        <v>761</v>
      </c>
      <c r="P103" s="78" t="str">
        <f ca="1" t="shared" ref="P103:P137" si="115">11&amp;$I$1&amp;M103&amp;$I$1&amp;$P$1</f>
        <v>11|171|;</v>
      </c>
      <c r="Q103" s="78" t="str">
        <f ca="1" t="shared" ref="Q103:Q137" si="116">21&amp;$I$1&amp;N103&amp;$I$1&amp;$P$1</f>
        <v>21|77|;</v>
      </c>
      <c r="R103" s="78" t="str">
        <f ca="1" t="shared" ref="R103:R137" si="117">12&amp;$I$1&amp;O103&amp;$I$1&amp;$P$1</f>
        <v>12|761|;</v>
      </c>
      <c r="S103" s="78" t="str">
        <f ca="1" t="shared" si="105"/>
        <v>11|171|;21|77|;12|761|;</v>
      </c>
      <c r="T103" s="165" t="str">
        <f ca="1">OFFSET(buff!$C$1,MATCH(W103,buff!A:A,0)-1,0)</f>
        <v>每使用2招剑法，发出1道剑气造成{0}点{1}伤害</v>
      </c>
      <c r="U103" s="166"/>
      <c r="V103" s="166">
        <v>10000</v>
      </c>
      <c r="W103">
        <f ca="1" t="shared" si="76"/>
        <v>210109</v>
      </c>
      <c r="Z103" s="153">
        <f t="shared" si="77"/>
        <v>9</v>
      </c>
      <c r="AA103" s="153">
        <f ca="1">OFFSET(passive_type!$I$1,MATCH(C103,passive_type!A:A,0)-1,0)</f>
        <v>2</v>
      </c>
      <c r="AB103" s="153">
        <v>400015</v>
      </c>
      <c r="AC103" s="78">
        <v>27200</v>
      </c>
      <c r="AD103" s="153">
        <f ca="1" t="shared" si="78"/>
        <v>210110</v>
      </c>
      <c r="AE103" s="153">
        <v>0</v>
      </c>
      <c r="AF103" s="153">
        <f ca="1">OFFSET(passive_type!$L$1,MATCH(B103,passive_type!B:B,0)-1,0)</f>
        <v>1</v>
      </c>
      <c r="AG103">
        <f ca="1">OFFSET(passive_type!$R$1,MATCH(B103,passive_type!B:B,0)-1,0)</f>
        <v>1300009</v>
      </c>
      <c r="AH103">
        <v>300</v>
      </c>
      <c r="AI103">
        <f ca="1">IF(Z103=0,0,VLOOKUP(F103,心法辅助配置表!Q:X,AF103+1,FALSE))</f>
        <v>374</v>
      </c>
    </row>
    <row r="104" spans="1:35">
      <c r="A104">
        <f ca="1" t="shared" si="74"/>
        <v>210110</v>
      </c>
      <c r="B104" s="176" t="s">
        <v>1553</v>
      </c>
      <c r="C104">
        <f ca="1">OFFSET(passive_type!$A$1,MATCH(B104,passive_type!B:B,0)-1,0)</f>
        <v>2101</v>
      </c>
      <c r="D104" s="157" t="s">
        <v>2928</v>
      </c>
      <c r="E104">
        <v>12</v>
      </c>
      <c r="F104" s="158">
        <f ca="1">(OFFSET(passive_type!$E$1,MATCH(C104,passive_type!A:A,0)-1,0)*10+AA104)*100+Z104</f>
        <v>2210</v>
      </c>
      <c r="G104" s="22">
        <f ca="1">IF(Z104=0,0,VLOOKUP(F104,心法辅助配置表!$G$2:$O$91,AF104+2,FALSE))</f>
        <v>423</v>
      </c>
      <c r="I104" s="78"/>
      <c r="J104" s="78"/>
      <c r="K104" s="78"/>
      <c r="L104" s="78">
        <f ca="1" t="shared" si="111"/>
        <v>423</v>
      </c>
      <c r="M104" s="78">
        <f ca="1" t="shared" ref="M104:O104" si="118">J104+M103</f>
        <v>171</v>
      </c>
      <c r="N104" s="78">
        <f ca="1" t="shared" si="118"/>
        <v>77</v>
      </c>
      <c r="O104" s="78">
        <f ca="1" t="shared" si="118"/>
        <v>1184</v>
      </c>
      <c r="P104" s="78" t="str">
        <f ca="1" t="shared" si="115"/>
        <v>11|171|;</v>
      </c>
      <c r="Q104" s="78" t="str">
        <f ca="1" t="shared" si="116"/>
        <v>21|77|;</v>
      </c>
      <c r="R104" s="78" t="str">
        <f ca="1" t="shared" si="117"/>
        <v>12|1184|;</v>
      </c>
      <c r="S104" s="78" t="str">
        <f ca="1" t="shared" si="105"/>
        <v>11|171|;21|77|;12|1184|;</v>
      </c>
      <c r="T104" s="165" t="str">
        <f ca="1">OFFSET(buff!$C$1,MATCH(W104,buff!A:A,0)-1,0)</f>
        <v>每使用2招剑法，发出1道剑气造成{0}点{1}伤害</v>
      </c>
      <c r="U104" s="166"/>
      <c r="V104" s="166">
        <v>10000</v>
      </c>
      <c r="W104">
        <f ca="1" t="shared" si="76"/>
        <v>210110</v>
      </c>
      <c r="Z104" s="153">
        <f t="shared" si="77"/>
        <v>10</v>
      </c>
      <c r="AA104" s="153">
        <f ca="1">OFFSET(passive_type!$I$1,MATCH(C104,passive_type!A:A,0)-1,0)</f>
        <v>2</v>
      </c>
      <c r="AB104" s="153">
        <v>400015</v>
      </c>
      <c r="AC104" s="78"/>
      <c r="AD104" s="153">
        <f ca="1" t="shared" si="78"/>
        <v>0</v>
      </c>
      <c r="AE104" s="153">
        <v>0</v>
      </c>
      <c r="AF104" s="153">
        <f ca="1">OFFSET(passive_type!$L$1,MATCH(B104,passive_type!B:B,0)-1,0)</f>
        <v>1</v>
      </c>
      <c r="AG104">
        <f ca="1">OFFSET(passive_type!$R$1,MATCH(B104,passive_type!B:B,0)-1,0)</f>
        <v>1300009</v>
      </c>
      <c r="AH104">
        <f ca="1">IF(AD104=0,0,20)</f>
        <v>0</v>
      </c>
      <c r="AI104">
        <f ca="1">IF(Z104=0,0,VLOOKUP(F104,心法辅助配置表!Q:X,AF104+1,FALSE))</f>
        <v>402</v>
      </c>
    </row>
    <row r="105" spans="1:35">
      <c r="A105">
        <f ca="1" t="shared" si="74"/>
        <v>210200</v>
      </c>
      <c r="B105" s="176" t="s">
        <v>1533</v>
      </c>
      <c r="C105">
        <f ca="1">OFFSET(passive_type!$A$1,MATCH(B105,passive_type!B:B,0)-1,0)</f>
        <v>2102</v>
      </c>
      <c r="D105" s="157"/>
      <c r="F105" s="158">
        <f ca="1">(OFFSET(passive_type!$E$1,MATCH(C105,passive_type!A:A,0)-1,0)*10+AA105)*100+Z105</f>
        <v>2200</v>
      </c>
      <c r="G105" s="22">
        <f ca="1">IF(Z105=0,0,VLOOKUP(F105,心法辅助配置表!$G$2:$O$91,AF105+2,FALSE))</f>
        <v>0</v>
      </c>
      <c r="I105" s="161"/>
      <c r="J105" s="161"/>
      <c r="K105" s="161"/>
      <c r="L105" s="161"/>
      <c r="P105" s="78" t="str">
        <f t="shared" si="115"/>
        <v>11||;</v>
      </c>
      <c r="Q105" s="78" t="str">
        <f t="shared" si="116"/>
        <v>21||;</v>
      </c>
      <c r="R105" s="78" t="str">
        <f t="shared" si="117"/>
        <v>12||;</v>
      </c>
      <c r="S105" s="78"/>
      <c r="T105" s="165" t="str">
        <f ca="1">OFFSET(buff!$C$1,MATCH(W105,buff!A:A,0)-1,0)</f>
        <v>增加剑法伤害10%</v>
      </c>
      <c r="U105" s="166"/>
      <c r="V105" s="166">
        <v>10000</v>
      </c>
      <c r="W105">
        <f ca="1" t="shared" si="76"/>
        <v>210200</v>
      </c>
      <c r="Z105" s="153">
        <f t="shared" si="77"/>
        <v>0</v>
      </c>
      <c r="AA105" s="153">
        <f ca="1">OFFSET(passive_type!$I$1,MATCH(C105,passive_type!A:A,0)-1,0)</f>
        <v>2</v>
      </c>
      <c r="AB105" s="153">
        <v>400015</v>
      </c>
      <c r="AC105" s="78">
        <v>400</v>
      </c>
      <c r="AD105" s="153">
        <f ca="1" t="shared" si="78"/>
        <v>210201</v>
      </c>
      <c r="AE105" s="153">
        <v>0</v>
      </c>
      <c r="AF105" s="153">
        <f ca="1">OFFSET(passive_type!$L$1,MATCH(B105,passive_type!B:B,0)-1,0)</f>
        <v>1</v>
      </c>
      <c r="AG105">
        <f ca="1">OFFSET(passive_type!$R$1,MATCH(B105,passive_type!B:B,0)-1,0)</f>
        <v>1300010</v>
      </c>
      <c r="AH105" s="78">
        <v>6</v>
      </c>
      <c r="AI105">
        <f ca="1">IF(Z105=0,0,VLOOKUP(F105,心法辅助配置表!Q:X,AF105+1,FALSE))</f>
        <v>0</v>
      </c>
    </row>
    <row r="106" spans="1:35">
      <c r="A106">
        <f ca="1" t="shared" si="74"/>
        <v>210201</v>
      </c>
      <c r="B106" s="176" t="s">
        <v>1533</v>
      </c>
      <c r="C106">
        <f ca="1">OFFSET(passive_type!$A$1,MATCH(B106,passive_type!B:B,0)-1,0)</f>
        <v>2102</v>
      </c>
      <c r="D106" s="157" t="s">
        <v>2928</v>
      </c>
      <c r="E106">
        <v>12</v>
      </c>
      <c r="F106" s="158">
        <f ca="1">(OFFSET(passive_type!$E$1,MATCH(C106,passive_type!A:A,0)-1,0)*10+AA106)*100+Z106</f>
        <v>2201</v>
      </c>
      <c r="G106" s="22">
        <f ca="1">IF(Z106=0,0,VLOOKUP(F106,心法辅助配置表!$G$2:$O$91,AF106+2,FALSE))</f>
        <v>169</v>
      </c>
      <c r="I106" s="153"/>
      <c r="J106" s="153"/>
      <c r="K106" s="153"/>
      <c r="L106" s="78">
        <f ca="1" t="shared" si="111"/>
        <v>169</v>
      </c>
      <c r="M106" s="78">
        <f>J106</f>
        <v>0</v>
      </c>
      <c r="N106" s="78">
        <f>K106</f>
        <v>0</v>
      </c>
      <c r="O106" s="78">
        <f ca="1">G106</f>
        <v>169</v>
      </c>
      <c r="P106" s="78" t="str">
        <f t="shared" si="115"/>
        <v>11|0|;</v>
      </c>
      <c r="Q106" s="78" t="str">
        <f t="shared" si="116"/>
        <v>21|0|;</v>
      </c>
      <c r="R106" s="78" t="str">
        <f ca="1" t="shared" si="117"/>
        <v>12|169|;</v>
      </c>
      <c r="S106" s="78" t="str">
        <f ca="1" t="shared" ref="S106:S115" si="119">P106&amp;Q106&amp;R106</f>
        <v>11|0|;21|0|;12|169|;</v>
      </c>
      <c r="T106" s="165" t="str">
        <f ca="1">OFFSET(buff!$C$1,MATCH(W106,buff!A:A,0)-1,0)</f>
        <v>增加剑法伤害11%</v>
      </c>
      <c r="U106" s="166"/>
      <c r="V106" s="166">
        <v>10000</v>
      </c>
      <c r="W106">
        <f ca="1" t="shared" si="76"/>
        <v>210201</v>
      </c>
      <c r="Z106" s="153">
        <f t="shared" si="77"/>
        <v>1</v>
      </c>
      <c r="AA106" s="153">
        <f ca="1">OFFSET(passive_type!$I$1,MATCH(C106,passive_type!A:A,0)-1,0)</f>
        <v>2</v>
      </c>
      <c r="AB106" s="153">
        <v>400015</v>
      </c>
      <c r="AC106" s="78">
        <v>800</v>
      </c>
      <c r="AD106" s="153">
        <f ca="1" t="shared" si="78"/>
        <v>210202</v>
      </c>
      <c r="AE106" s="153">
        <v>0</v>
      </c>
      <c r="AF106" s="153">
        <f ca="1">OFFSET(passive_type!$L$1,MATCH(B106,passive_type!B:B,0)-1,0)</f>
        <v>1</v>
      </c>
      <c r="AG106">
        <f ca="1">OFFSET(passive_type!$R$1,MATCH(B106,passive_type!B:B,0)-1,0)</f>
        <v>1300010</v>
      </c>
      <c r="AH106" s="78">
        <v>12</v>
      </c>
      <c r="AI106">
        <f ca="1">IF(Z106=0,0,VLOOKUP(F106,心法辅助配置表!Q:X,AF106+1,FALSE))</f>
        <v>144</v>
      </c>
    </row>
    <row r="107" spans="1:35">
      <c r="A107">
        <f ca="1" t="shared" si="74"/>
        <v>210202</v>
      </c>
      <c r="B107" s="176" t="s">
        <v>1533</v>
      </c>
      <c r="C107">
        <f ca="1">OFFSET(passive_type!$A$1,MATCH(B107,passive_type!B:B,0)-1,0)</f>
        <v>2102</v>
      </c>
      <c r="D107" s="157" t="s">
        <v>2929</v>
      </c>
      <c r="E107">
        <v>11</v>
      </c>
      <c r="F107" s="158">
        <f ca="1">(OFFSET(passive_type!$E$1,MATCH(C107,passive_type!A:A,0)-1,0)*10+AA107)*100+Z107</f>
        <v>2202</v>
      </c>
      <c r="G107" s="22">
        <f ca="1">IF(Z107=0,0,VLOOKUP(F107,心法辅助配置表!$G$2:$O$91,AF107+2,FALSE))</f>
        <v>38</v>
      </c>
      <c r="I107" s="161"/>
      <c r="J107" s="78">
        <f ca="1">G107</f>
        <v>38</v>
      </c>
      <c r="K107" s="162"/>
      <c r="L107" s="162"/>
      <c r="M107" s="78">
        <f ca="1" t="shared" ref="M107:O107" si="120">J107+M106</f>
        <v>38</v>
      </c>
      <c r="N107" s="78">
        <f t="shared" si="120"/>
        <v>0</v>
      </c>
      <c r="O107" s="78">
        <f ca="1" t="shared" si="120"/>
        <v>169</v>
      </c>
      <c r="P107" s="78" t="str">
        <f ca="1" t="shared" si="115"/>
        <v>11|38|;</v>
      </c>
      <c r="Q107" s="78" t="str">
        <f t="shared" si="116"/>
        <v>21|0|;</v>
      </c>
      <c r="R107" s="78" t="str">
        <f ca="1" t="shared" si="117"/>
        <v>12|169|;</v>
      </c>
      <c r="S107" s="78" t="str">
        <f ca="1" t="shared" si="119"/>
        <v>11|38|;21|0|;12|169|;</v>
      </c>
      <c r="T107" s="165" t="str">
        <f ca="1">OFFSET(buff!$C$1,MATCH(W107,buff!A:A,0)-1,0)</f>
        <v>增加剑法伤害12%</v>
      </c>
      <c r="U107" s="166"/>
      <c r="V107" s="166">
        <v>10000</v>
      </c>
      <c r="W107">
        <f ca="1" t="shared" si="76"/>
        <v>210202</v>
      </c>
      <c r="Z107" s="153">
        <f t="shared" si="77"/>
        <v>2</v>
      </c>
      <c r="AA107" s="153">
        <f ca="1">OFFSET(passive_type!$I$1,MATCH(C107,passive_type!A:A,0)-1,0)</f>
        <v>2</v>
      </c>
      <c r="AB107" s="153">
        <v>400015</v>
      </c>
      <c r="AC107" s="78">
        <v>1600</v>
      </c>
      <c r="AD107" s="153">
        <f ca="1" t="shared" si="78"/>
        <v>210203</v>
      </c>
      <c r="AE107" s="153">
        <v>0</v>
      </c>
      <c r="AF107" s="153">
        <f ca="1">OFFSET(passive_type!$L$1,MATCH(B107,passive_type!B:B,0)-1,0)</f>
        <v>1</v>
      </c>
      <c r="AG107">
        <f ca="1">OFFSET(passive_type!$R$1,MATCH(B107,passive_type!B:B,0)-1,0)</f>
        <v>1300010</v>
      </c>
      <c r="AH107" s="78">
        <v>24</v>
      </c>
      <c r="AI107">
        <f ca="1">IF(Z107=0,0,VLOOKUP(F107,心法辅助配置表!Q:X,AF107+1,FALSE))</f>
        <v>172</v>
      </c>
    </row>
    <row r="108" spans="1:35">
      <c r="A108">
        <f ca="1" t="shared" si="74"/>
        <v>210203</v>
      </c>
      <c r="B108" s="176" t="s">
        <v>1533</v>
      </c>
      <c r="C108">
        <f ca="1">OFFSET(passive_type!$A$1,MATCH(B108,passive_type!B:B,0)-1,0)</f>
        <v>2102</v>
      </c>
      <c r="D108" s="157" t="s">
        <v>2930</v>
      </c>
      <c r="E108">
        <v>21</v>
      </c>
      <c r="F108" s="158">
        <f ca="1">(OFFSET(passive_type!$E$1,MATCH(C108,passive_type!A:A,0)-1,0)*10+AA108)*100+Z108</f>
        <v>2203</v>
      </c>
      <c r="G108" s="22">
        <f ca="1">IF(Z108=0,0,VLOOKUP(F108,心法辅助配置表!$G$2:$O$91,AF108+2,FALSE))</f>
        <v>17</v>
      </c>
      <c r="I108" s="161"/>
      <c r="J108" s="161"/>
      <c r="K108" s="78">
        <f ca="1">G108</f>
        <v>17</v>
      </c>
      <c r="L108" s="161"/>
      <c r="M108" s="78">
        <f ca="1" t="shared" ref="M108:O108" si="121">J108+M107</f>
        <v>38</v>
      </c>
      <c r="N108" s="78">
        <f ca="1" t="shared" si="121"/>
        <v>17</v>
      </c>
      <c r="O108" s="78">
        <f ca="1" t="shared" si="121"/>
        <v>169</v>
      </c>
      <c r="P108" s="78" t="str">
        <f ca="1" t="shared" si="115"/>
        <v>11|38|;</v>
      </c>
      <c r="Q108" s="78" t="str">
        <f ca="1" t="shared" si="116"/>
        <v>21|17|;</v>
      </c>
      <c r="R108" s="78" t="str">
        <f ca="1" t="shared" si="117"/>
        <v>12|169|;</v>
      </c>
      <c r="S108" s="78" t="str">
        <f ca="1" t="shared" si="119"/>
        <v>11|38|;21|17|;12|169|;</v>
      </c>
      <c r="T108" s="165" t="str">
        <f ca="1">OFFSET(buff!$C$1,MATCH(W108,buff!A:A,0)-1,0)</f>
        <v>增加剑法伤害13%</v>
      </c>
      <c r="U108" s="166"/>
      <c r="V108" s="166">
        <v>10000</v>
      </c>
      <c r="W108">
        <f ca="1" t="shared" si="76"/>
        <v>210203</v>
      </c>
      <c r="Z108" s="153">
        <f t="shared" si="77"/>
        <v>3</v>
      </c>
      <c r="AA108" s="153">
        <f ca="1">OFFSET(passive_type!$I$1,MATCH(C108,passive_type!A:A,0)-1,0)</f>
        <v>2</v>
      </c>
      <c r="AB108" s="153">
        <v>400015</v>
      </c>
      <c r="AC108" s="78">
        <v>3200</v>
      </c>
      <c r="AD108" s="153">
        <f ca="1" t="shared" si="78"/>
        <v>210204</v>
      </c>
      <c r="AE108" s="153">
        <v>0</v>
      </c>
      <c r="AF108" s="153">
        <f ca="1">OFFSET(passive_type!$L$1,MATCH(B108,passive_type!B:B,0)-1,0)</f>
        <v>1</v>
      </c>
      <c r="AG108">
        <f ca="1">OFFSET(passive_type!$R$1,MATCH(B108,passive_type!B:B,0)-1,0)</f>
        <v>1300010</v>
      </c>
      <c r="AH108" s="78">
        <v>48</v>
      </c>
      <c r="AI108">
        <f ca="1">IF(Z108=0,0,VLOOKUP(F108,心法辅助配置表!Q:X,AF108+1,FALSE))</f>
        <v>201</v>
      </c>
    </row>
    <row r="109" spans="1:35">
      <c r="A109">
        <f ca="1" t="shared" si="74"/>
        <v>210204</v>
      </c>
      <c r="B109" s="176" t="s">
        <v>1533</v>
      </c>
      <c r="C109">
        <f ca="1">OFFSET(passive_type!$A$1,MATCH(B109,passive_type!B:B,0)-1,0)</f>
        <v>2102</v>
      </c>
      <c r="D109" s="157" t="s">
        <v>2928</v>
      </c>
      <c r="E109">
        <v>12</v>
      </c>
      <c r="F109" s="158">
        <f ca="1">(OFFSET(passive_type!$E$1,MATCH(C109,passive_type!A:A,0)-1,0)*10+AA109)*100+Z109</f>
        <v>2204</v>
      </c>
      <c r="G109" s="22">
        <f ca="1">IF(Z109=0,0,VLOOKUP(F109,心法辅助配置表!$G$2:$O$91,AF109+2,FALSE))</f>
        <v>254</v>
      </c>
      <c r="I109" s="161"/>
      <c r="J109" s="161"/>
      <c r="K109" s="161"/>
      <c r="L109" s="78">
        <f ca="1">G109</f>
        <v>254</v>
      </c>
      <c r="M109" s="78">
        <f ca="1" t="shared" ref="M109:O109" si="122">J109+M108</f>
        <v>38</v>
      </c>
      <c r="N109" s="78">
        <f ca="1" t="shared" si="122"/>
        <v>17</v>
      </c>
      <c r="O109" s="78">
        <f ca="1" t="shared" si="122"/>
        <v>423</v>
      </c>
      <c r="P109" s="78" t="str">
        <f ca="1" t="shared" si="115"/>
        <v>11|38|;</v>
      </c>
      <c r="Q109" s="78" t="str">
        <f ca="1" t="shared" si="116"/>
        <v>21|17|;</v>
      </c>
      <c r="R109" s="78" t="str">
        <f ca="1" t="shared" si="117"/>
        <v>12|423|;</v>
      </c>
      <c r="S109" s="78" t="str">
        <f ca="1" t="shared" si="119"/>
        <v>11|38|;21|17|;12|423|;</v>
      </c>
      <c r="T109" s="165" t="str">
        <f ca="1">OFFSET(buff!$C$1,MATCH(W109,buff!A:A,0)-1,0)</f>
        <v>增加剑法伤害14%</v>
      </c>
      <c r="U109" s="166"/>
      <c r="V109" s="166">
        <v>10000</v>
      </c>
      <c r="W109">
        <f ca="1" t="shared" si="76"/>
        <v>210204</v>
      </c>
      <c r="Z109" s="153">
        <f t="shared" si="77"/>
        <v>4</v>
      </c>
      <c r="AA109" s="153">
        <f ca="1">OFFSET(passive_type!$I$1,MATCH(C109,passive_type!A:A,0)-1,0)</f>
        <v>2</v>
      </c>
      <c r="AB109" s="153">
        <v>400015</v>
      </c>
      <c r="AC109" s="78">
        <v>4000</v>
      </c>
      <c r="AD109" s="153">
        <f ca="1" t="shared" si="78"/>
        <v>210205</v>
      </c>
      <c r="AE109" s="153">
        <v>0</v>
      </c>
      <c r="AF109" s="153">
        <f ca="1">OFFSET(passive_type!$L$1,MATCH(B109,passive_type!B:B,0)-1,0)</f>
        <v>1</v>
      </c>
      <c r="AG109">
        <f ca="1">OFFSET(passive_type!$R$1,MATCH(B109,passive_type!B:B,0)-1,0)</f>
        <v>1300010</v>
      </c>
      <c r="AH109" s="78">
        <v>60</v>
      </c>
      <c r="AI109">
        <f ca="1">IF(Z109=0,0,VLOOKUP(F109,心法辅助配置表!Q:X,AF109+1,FALSE))</f>
        <v>230</v>
      </c>
    </row>
    <row r="110" spans="1:35">
      <c r="A110">
        <f ca="1" t="shared" si="74"/>
        <v>210205</v>
      </c>
      <c r="B110" s="176" t="s">
        <v>1533</v>
      </c>
      <c r="C110">
        <f ca="1">OFFSET(passive_type!$A$1,MATCH(B110,passive_type!B:B,0)-1,0)</f>
        <v>2102</v>
      </c>
      <c r="D110" s="157" t="s">
        <v>2929</v>
      </c>
      <c r="E110">
        <v>11</v>
      </c>
      <c r="F110" s="158">
        <f ca="1">(OFFSET(passive_type!$E$1,MATCH(C110,passive_type!A:A,0)-1,0)*10+AA110)*100+Z110</f>
        <v>2205</v>
      </c>
      <c r="G110" s="22">
        <f ca="1">IF(Z110=0,0,VLOOKUP(F110,心法辅助配置表!$G$2:$O$91,AF110+2,FALSE))</f>
        <v>57</v>
      </c>
      <c r="I110" s="161"/>
      <c r="J110" s="78">
        <f ca="1">G110</f>
        <v>57</v>
      </c>
      <c r="K110" s="162"/>
      <c r="L110" s="162"/>
      <c r="M110" s="78">
        <f ca="1" t="shared" ref="M110:O110" si="123">J110+M109</f>
        <v>95</v>
      </c>
      <c r="N110" s="78">
        <f ca="1" t="shared" si="123"/>
        <v>17</v>
      </c>
      <c r="O110" s="78">
        <f ca="1" t="shared" si="123"/>
        <v>423</v>
      </c>
      <c r="P110" s="78" t="str">
        <f ca="1" t="shared" si="115"/>
        <v>11|95|;</v>
      </c>
      <c r="Q110" s="78" t="str">
        <f ca="1" t="shared" si="116"/>
        <v>21|17|;</v>
      </c>
      <c r="R110" s="78" t="str">
        <f ca="1" t="shared" si="117"/>
        <v>12|423|;</v>
      </c>
      <c r="S110" s="78" t="str">
        <f ca="1" t="shared" si="119"/>
        <v>11|95|;21|17|;12|423|;</v>
      </c>
      <c r="T110" s="165" t="str">
        <f ca="1">OFFSET(buff!$C$1,MATCH(W110,buff!A:A,0)-1,0)</f>
        <v>增加剑法伤害15%</v>
      </c>
      <c r="U110" s="166"/>
      <c r="V110" s="166">
        <v>10000</v>
      </c>
      <c r="W110">
        <f ca="1" t="shared" si="76"/>
        <v>210205</v>
      </c>
      <c r="Z110" s="153">
        <f t="shared" si="77"/>
        <v>5</v>
      </c>
      <c r="AA110" s="153">
        <f ca="1">OFFSET(passive_type!$I$1,MATCH(C110,passive_type!A:A,0)-1,0)</f>
        <v>2</v>
      </c>
      <c r="AB110" s="153">
        <v>400015</v>
      </c>
      <c r="AC110" s="78">
        <v>5600</v>
      </c>
      <c r="AD110" s="153">
        <f ca="1" t="shared" si="78"/>
        <v>210206</v>
      </c>
      <c r="AE110" s="153">
        <v>0</v>
      </c>
      <c r="AF110" s="153">
        <f ca="1">OFFSET(passive_type!$L$1,MATCH(B110,passive_type!B:B,0)-1,0)</f>
        <v>1</v>
      </c>
      <c r="AG110">
        <f ca="1">OFFSET(passive_type!$R$1,MATCH(B110,passive_type!B:B,0)-1,0)</f>
        <v>1300010</v>
      </c>
      <c r="AH110" s="78">
        <v>84</v>
      </c>
      <c r="AI110">
        <f ca="1">IF(Z110=0,0,VLOOKUP(F110,心法辅助配置表!Q:X,AF110+1,FALSE))</f>
        <v>259</v>
      </c>
    </row>
    <row r="111" spans="1:35">
      <c r="A111">
        <f ca="1" t="shared" si="74"/>
        <v>210206</v>
      </c>
      <c r="B111" s="176" t="s">
        <v>1533</v>
      </c>
      <c r="C111">
        <f ca="1">OFFSET(passive_type!$A$1,MATCH(B111,passive_type!B:B,0)-1,0)</f>
        <v>2102</v>
      </c>
      <c r="D111" s="157" t="s">
        <v>2930</v>
      </c>
      <c r="E111">
        <v>21</v>
      </c>
      <c r="F111" s="158">
        <f ca="1">(OFFSET(passive_type!$E$1,MATCH(C111,passive_type!A:A,0)-1,0)*10+AA111)*100+Z111</f>
        <v>2206</v>
      </c>
      <c r="G111" s="22">
        <f ca="1">IF(Z111=0,0,VLOOKUP(F111,心法辅助配置表!$G$2:$O$91,AF111+2,FALSE))</f>
        <v>26</v>
      </c>
      <c r="I111" s="161"/>
      <c r="J111" s="161"/>
      <c r="K111" s="78">
        <f ca="1">G111</f>
        <v>26</v>
      </c>
      <c r="L111" s="161"/>
      <c r="M111" s="78">
        <f ca="1" t="shared" ref="M111:O111" si="124">J111+M110</f>
        <v>95</v>
      </c>
      <c r="N111" s="78">
        <f ca="1" t="shared" si="124"/>
        <v>43</v>
      </c>
      <c r="O111" s="78">
        <f ca="1" t="shared" si="124"/>
        <v>423</v>
      </c>
      <c r="P111" s="78" t="str">
        <f ca="1" t="shared" si="115"/>
        <v>11|95|;</v>
      </c>
      <c r="Q111" s="78" t="str">
        <f ca="1" t="shared" si="116"/>
        <v>21|43|;</v>
      </c>
      <c r="R111" s="78" t="str">
        <f ca="1" t="shared" si="117"/>
        <v>12|423|;</v>
      </c>
      <c r="S111" s="78" t="str">
        <f ca="1" t="shared" si="119"/>
        <v>11|95|;21|43|;12|423|;</v>
      </c>
      <c r="T111" s="165" t="str">
        <f ca="1">OFFSET(buff!$C$1,MATCH(W111,buff!A:A,0)-1,0)</f>
        <v>增加剑法伤害16%</v>
      </c>
      <c r="U111" s="166"/>
      <c r="V111" s="166">
        <v>10000</v>
      </c>
      <c r="W111">
        <f ca="1" t="shared" si="76"/>
        <v>210206</v>
      </c>
      <c r="Z111" s="153">
        <f t="shared" si="77"/>
        <v>6</v>
      </c>
      <c r="AA111" s="153">
        <f ca="1">OFFSET(passive_type!$I$1,MATCH(C111,passive_type!A:A,0)-1,0)</f>
        <v>2</v>
      </c>
      <c r="AB111" s="153">
        <v>400015</v>
      </c>
      <c r="AC111" s="78">
        <v>8800</v>
      </c>
      <c r="AD111" s="153">
        <f ca="1" t="shared" si="78"/>
        <v>210207</v>
      </c>
      <c r="AE111" s="153">
        <v>0</v>
      </c>
      <c r="AF111" s="153">
        <f ca="1">OFFSET(passive_type!$L$1,MATCH(B111,passive_type!B:B,0)-1,0)</f>
        <v>1</v>
      </c>
      <c r="AG111">
        <f ca="1">OFFSET(passive_type!$R$1,MATCH(B111,passive_type!B:B,0)-1,0)</f>
        <v>1300010</v>
      </c>
      <c r="AH111" s="78">
        <v>108</v>
      </c>
      <c r="AI111">
        <f ca="1">IF(Z111=0,0,VLOOKUP(F111,心法辅助配置表!Q:X,AF111+1,FALSE))</f>
        <v>287</v>
      </c>
    </row>
    <row r="112" spans="1:35">
      <c r="A112">
        <f ca="1" t="shared" si="74"/>
        <v>210207</v>
      </c>
      <c r="B112" s="176" t="s">
        <v>1533</v>
      </c>
      <c r="C112">
        <f ca="1">OFFSET(passive_type!$A$1,MATCH(B112,passive_type!B:B,0)-1,0)</f>
        <v>2102</v>
      </c>
      <c r="D112" s="157" t="s">
        <v>2928</v>
      </c>
      <c r="E112">
        <v>12</v>
      </c>
      <c r="F112" s="158">
        <f ca="1">(OFFSET(passive_type!$E$1,MATCH(C112,passive_type!A:A,0)-1,0)*10+AA112)*100+Z112</f>
        <v>2207</v>
      </c>
      <c r="G112" s="22">
        <f ca="1">IF(Z112=0,0,VLOOKUP(F112,心法辅助配置表!$G$2:$O$91,AF112+2,FALSE))</f>
        <v>338</v>
      </c>
      <c r="I112" s="161"/>
      <c r="J112" s="161"/>
      <c r="K112" s="161"/>
      <c r="L112" s="78">
        <f ca="1" t="shared" ref="L112:L117" si="125">G112</f>
        <v>338</v>
      </c>
      <c r="M112" s="78">
        <f ca="1" t="shared" ref="M112:O112" si="126">J112+M111</f>
        <v>95</v>
      </c>
      <c r="N112" s="78">
        <f ca="1" t="shared" si="126"/>
        <v>43</v>
      </c>
      <c r="O112" s="78">
        <f ca="1" t="shared" si="126"/>
        <v>761</v>
      </c>
      <c r="P112" s="78" t="str">
        <f ca="1" t="shared" si="115"/>
        <v>11|95|;</v>
      </c>
      <c r="Q112" s="78" t="str">
        <f ca="1" t="shared" si="116"/>
        <v>21|43|;</v>
      </c>
      <c r="R112" s="78" t="str">
        <f ca="1" t="shared" si="117"/>
        <v>12|761|;</v>
      </c>
      <c r="S112" s="78" t="str">
        <f ca="1" t="shared" si="119"/>
        <v>11|95|;21|43|;12|761|;</v>
      </c>
      <c r="T112" s="165" t="str">
        <f ca="1">OFFSET(buff!$C$1,MATCH(W112,buff!A:A,0)-1,0)</f>
        <v>增加剑法伤害17%</v>
      </c>
      <c r="U112" s="166"/>
      <c r="V112" s="166">
        <v>10000</v>
      </c>
      <c r="W112">
        <f ca="1" t="shared" si="76"/>
        <v>210207</v>
      </c>
      <c r="Z112" s="153">
        <f t="shared" si="77"/>
        <v>7</v>
      </c>
      <c r="AA112" s="153">
        <f ca="1">OFFSET(passive_type!$I$1,MATCH(C112,passive_type!A:A,0)-1,0)</f>
        <v>2</v>
      </c>
      <c r="AB112" s="153">
        <v>400015</v>
      </c>
      <c r="AC112" s="78">
        <v>12800</v>
      </c>
      <c r="AD112" s="153">
        <f ca="1" t="shared" si="78"/>
        <v>210208</v>
      </c>
      <c r="AE112" s="153">
        <v>0</v>
      </c>
      <c r="AF112" s="153">
        <f ca="1">OFFSET(passive_type!$L$1,MATCH(B112,passive_type!B:B,0)-1,0)</f>
        <v>1</v>
      </c>
      <c r="AG112">
        <f ca="1">OFFSET(passive_type!$R$1,MATCH(B112,passive_type!B:B,0)-1,0)</f>
        <v>1300010</v>
      </c>
      <c r="AH112" s="78">
        <v>156</v>
      </c>
      <c r="AI112">
        <f ca="1">IF(Z112=0,0,VLOOKUP(F112,心法辅助配置表!Q:X,AF112+1,FALSE))</f>
        <v>316</v>
      </c>
    </row>
    <row r="113" spans="1:35">
      <c r="A113">
        <f ca="1" t="shared" si="74"/>
        <v>210208</v>
      </c>
      <c r="B113" s="176" t="s">
        <v>1533</v>
      </c>
      <c r="C113">
        <f ca="1">OFFSET(passive_type!$A$1,MATCH(B113,passive_type!B:B,0)-1,0)</f>
        <v>2102</v>
      </c>
      <c r="D113" s="157" t="s">
        <v>2929</v>
      </c>
      <c r="E113">
        <v>11</v>
      </c>
      <c r="F113" s="158">
        <f ca="1">(OFFSET(passive_type!$E$1,MATCH(C113,passive_type!A:A,0)-1,0)*10+AA113)*100+Z113</f>
        <v>2208</v>
      </c>
      <c r="G113" s="22">
        <f ca="1">IF(Z113=0,0,VLOOKUP(F113,心法辅助配置表!$G$2:$O$91,AF113+2,FALSE))</f>
        <v>76</v>
      </c>
      <c r="I113" s="161"/>
      <c r="J113" s="78">
        <f ca="1">G113</f>
        <v>76</v>
      </c>
      <c r="K113" s="162"/>
      <c r="L113" s="162"/>
      <c r="M113" s="78">
        <f ca="1" t="shared" ref="M113:O113" si="127">J113+M112</f>
        <v>171</v>
      </c>
      <c r="N113" s="78">
        <f ca="1" t="shared" si="127"/>
        <v>43</v>
      </c>
      <c r="O113" s="78">
        <f ca="1" t="shared" si="127"/>
        <v>761</v>
      </c>
      <c r="P113" s="78" t="str">
        <f ca="1" t="shared" si="115"/>
        <v>11|171|;</v>
      </c>
      <c r="Q113" s="78" t="str">
        <f ca="1" t="shared" si="116"/>
        <v>21|43|;</v>
      </c>
      <c r="R113" s="78" t="str">
        <f ca="1" t="shared" si="117"/>
        <v>12|761|;</v>
      </c>
      <c r="S113" s="78" t="str">
        <f ca="1" t="shared" si="119"/>
        <v>11|171|;21|43|;12|761|;</v>
      </c>
      <c r="T113" s="165" t="str">
        <f ca="1">OFFSET(buff!$C$1,MATCH(W113,buff!A:A,0)-1,0)</f>
        <v>增加剑法伤害18%</v>
      </c>
      <c r="U113" s="166"/>
      <c r="V113" s="166">
        <v>10000</v>
      </c>
      <c r="W113">
        <f ca="1" t="shared" si="76"/>
        <v>210208</v>
      </c>
      <c r="Z113" s="153">
        <f t="shared" si="77"/>
        <v>8</v>
      </c>
      <c r="AA113" s="153">
        <f ca="1">OFFSET(passive_type!$I$1,MATCH(C113,passive_type!A:A,0)-1,0)</f>
        <v>2</v>
      </c>
      <c r="AB113" s="153">
        <v>400015</v>
      </c>
      <c r="AC113" s="78">
        <v>18400</v>
      </c>
      <c r="AD113" s="153">
        <f ca="1" t="shared" si="78"/>
        <v>210209</v>
      </c>
      <c r="AE113" s="153">
        <v>0</v>
      </c>
      <c r="AF113" s="153">
        <f ca="1">OFFSET(passive_type!$L$1,MATCH(B113,passive_type!B:B,0)-1,0)</f>
        <v>1</v>
      </c>
      <c r="AG113">
        <f ca="1">OFFSET(passive_type!$R$1,MATCH(B113,passive_type!B:B,0)-1,0)</f>
        <v>1300010</v>
      </c>
      <c r="AH113" s="78">
        <v>216</v>
      </c>
      <c r="AI113">
        <f ca="1">IF(Z113=0,0,VLOOKUP(F113,心法辅助配置表!Q:X,AF113+1,FALSE))</f>
        <v>345</v>
      </c>
    </row>
    <row r="114" spans="1:35">
      <c r="A114">
        <f ca="1" t="shared" si="74"/>
        <v>210209</v>
      </c>
      <c r="B114" s="176" t="s">
        <v>1533</v>
      </c>
      <c r="C114">
        <f ca="1">OFFSET(passive_type!$A$1,MATCH(B114,passive_type!B:B,0)-1,0)</f>
        <v>2102</v>
      </c>
      <c r="D114" s="157" t="s">
        <v>2930</v>
      </c>
      <c r="E114">
        <v>21</v>
      </c>
      <c r="F114" s="158">
        <f ca="1">(OFFSET(passive_type!$E$1,MATCH(C114,passive_type!A:A,0)-1,0)*10+AA114)*100+Z114</f>
        <v>2209</v>
      </c>
      <c r="G114" s="22">
        <f ca="1">IF(Z114=0,0,VLOOKUP(F114,心法辅助配置表!$G$2:$O$91,AF114+2,FALSE))</f>
        <v>34</v>
      </c>
      <c r="I114" s="161"/>
      <c r="J114" s="161"/>
      <c r="K114" s="78">
        <f ca="1">G114</f>
        <v>34</v>
      </c>
      <c r="L114" s="161"/>
      <c r="M114" s="78">
        <f ca="1" t="shared" ref="M114:O114" si="128">J114+M113</f>
        <v>171</v>
      </c>
      <c r="N114" s="78">
        <f ca="1" t="shared" si="128"/>
        <v>77</v>
      </c>
      <c r="O114" s="78">
        <f ca="1" t="shared" si="128"/>
        <v>761</v>
      </c>
      <c r="P114" s="78" t="str">
        <f ca="1" t="shared" si="115"/>
        <v>11|171|;</v>
      </c>
      <c r="Q114" s="78" t="str">
        <f ca="1" t="shared" si="116"/>
        <v>21|77|;</v>
      </c>
      <c r="R114" s="78" t="str">
        <f ca="1" t="shared" si="117"/>
        <v>12|761|;</v>
      </c>
      <c r="S114" s="78" t="str">
        <f ca="1" t="shared" si="119"/>
        <v>11|171|;21|77|;12|761|;</v>
      </c>
      <c r="T114" s="165" t="str">
        <f ca="1">OFFSET(buff!$C$1,MATCH(W114,buff!A:A,0)-1,0)</f>
        <v>增加剑法伤害19%</v>
      </c>
      <c r="U114" s="166"/>
      <c r="V114" s="166">
        <v>10000</v>
      </c>
      <c r="W114">
        <f ca="1" t="shared" si="76"/>
        <v>210209</v>
      </c>
      <c r="Z114" s="153">
        <f t="shared" si="77"/>
        <v>9</v>
      </c>
      <c r="AA114" s="153">
        <f ca="1">OFFSET(passive_type!$I$1,MATCH(C114,passive_type!A:A,0)-1,0)</f>
        <v>2</v>
      </c>
      <c r="AB114" s="153">
        <v>400015</v>
      </c>
      <c r="AC114" s="78">
        <v>27200</v>
      </c>
      <c r="AD114" s="153">
        <f ca="1" t="shared" si="78"/>
        <v>210210</v>
      </c>
      <c r="AE114" s="153">
        <v>0</v>
      </c>
      <c r="AF114" s="153">
        <f ca="1">OFFSET(passive_type!$L$1,MATCH(B114,passive_type!B:B,0)-1,0)</f>
        <v>1</v>
      </c>
      <c r="AG114">
        <f ca="1">OFFSET(passive_type!$R$1,MATCH(B114,passive_type!B:B,0)-1,0)</f>
        <v>1300010</v>
      </c>
      <c r="AH114">
        <v>300</v>
      </c>
      <c r="AI114">
        <f ca="1">IF(Z114=0,0,VLOOKUP(F114,心法辅助配置表!Q:X,AF114+1,FALSE))</f>
        <v>374</v>
      </c>
    </row>
    <row r="115" spans="1:35">
      <c r="A115">
        <f ca="1" t="shared" si="74"/>
        <v>210210</v>
      </c>
      <c r="B115" s="176" t="s">
        <v>1533</v>
      </c>
      <c r="C115">
        <f ca="1">OFFSET(passive_type!$A$1,MATCH(B115,passive_type!B:B,0)-1,0)</f>
        <v>2102</v>
      </c>
      <c r="D115" s="157" t="s">
        <v>2928</v>
      </c>
      <c r="E115">
        <v>12</v>
      </c>
      <c r="F115" s="158">
        <f ca="1">(OFFSET(passive_type!$E$1,MATCH(C115,passive_type!A:A,0)-1,0)*10+AA115)*100+Z115</f>
        <v>2210</v>
      </c>
      <c r="G115" s="22">
        <f ca="1">IF(Z115=0,0,VLOOKUP(F115,心法辅助配置表!$G$2:$O$91,AF115+2,FALSE))</f>
        <v>423</v>
      </c>
      <c r="I115" s="161"/>
      <c r="J115" s="161"/>
      <c r="K115" s="161"/>
      <c r="L115" s="78">
        <f ca="1" t="shared" si="125"/>
        <v>423</v>
      </c>
      <c r="M115" s="78">
        <f ca="1" t="shared" ref="M115:O115" si="129">J115+M114</f>
        <v>171</v>
      </c>
      <c r="N115" s="78">
        <f ca="1" t="shared" si="129"/>
        <v>77</v>
      </c>
      <c r="O115" s="78">
        <f ca="1" t="shared" si="129"/>
        <v>1184</v>
      </c>
      <c r="P115" s="78" t="str">
        <f ca="1" t="shared" si="115"/>
        <v>11|171|;</v>
      </c>
      <c r="Q115" s="78" t="str">
        <f ca="1" t="shared" si="116"/>
        <v>21|77|;</v>
      </c>
      <c r="R115" s="78" t="str">
        <f ca="1" t="shared" si="117"/>
        <v>12|1184|;</v>
      </c>
      <c r="S115" s="78" t="str">
        <f ca="1" t="shared" si="119"/>
        <v>11|171|;21|77|;12|1184|;</v>
      </c>
      <c r="T115" s="165" t="str">
        <f ca="1">OFFSET(buff!$C$1,MATCH(W115,buff!A:A,0)-1,0)</f>
        <v>增加剑法伤害20%</v>
      </c>
      <c r="U115" s="166"/>
      <c r="V115" s="166">
        <v>10000</v>
      </c>
      <c r="W115">
        <f ca="1" t="shared" si="76"/>
        <v>210210</v>
      </c>
      <c r="Z115" s="153">
        <f t="shared" si="77"/>
        <v>10</v>
      </c>
      <c r="AA115" s="153">
        <f ca="1">OFFSET(passive_type!$I$1,MATCH(C115,passive_type!A:A,0)-1,0)</f>
        <v>2</v>
      </c>
      <c r="AB115" s="153">
        <v>400015</v>
      </c>
      <c r="AC115" s="78"/>
      <c r="AD115" s="153">
        <f ca="1" t="shared" si="78"/>
        <v>0</v>
      </c>
      <c r="AE115" s="153">
        <v>0</v>
      </c>
      <c r="AF115" s="153">
        <f ca="1">OFFSET(passive_type!$L$1,MATCH(B115,passive_type!B:B,0)-1,0)</f>
        <v>1</v>
      </c>
      <c r="AG115">
        <f ca="1">OFFSET(passive_type!$R$1,MATCH(B115,passive_type!B:B,0)-1,0)</f>
        <v>1300010</v>
      </c>
      <c r="AH115">
        <f ca="1">IF(AD115=0,0,20)</f>
        <v>0</v>
      </c>
      <c r="AI115">
        <f ca="1">IF(Z115=0,0,VLOOKUP(F115,心法辅助配置表!Q:X,AF115+1,FALSE))</f>
        <v>402</v>
      </c>
    </row>
    <row r="116" spans="1:35">
      <c r="A116">
        <f ca="1" t="shared" si="74"/>
        <v>210300</v>
      </c>
      <c r="B116" s="156" t="s">
        <v>2858</v>
      </c>
      <c r="C116">
        <f ca="1">OFFSET(passive_type!$A$1,MATCH(B116,passive_type!B:B,0)-1,0)</f>
        <v>2103</v>
      </c>
      <c r="D116" s="157"/>
      <c r="F116" s="158">
        <f ca="1">(OFFSET(passive_type!$E$1,MATCH(C116,passive_type!A:A,0)-1,0)*10+AA116)*100+Z116</f>
        <v>2200</v>
      </c>
      <c r="G116" s="22">
        <f ca="1">IF(Z116=0,0,VLOOKUP(F116,心法辅助配置表!$G$2:$O$91,AF116+2,FALSE))</f>
        <v>0</v>
      </c>
      <c r="I116" s="161"/>
      <c r="J116" s="161"/>
      <c r="K116" s="161"/>
      <c r="L116" s="161"/>
      <c r="P116" s="78" t="str">
        <f t="shared" si="115"/>
        <v>11||;</v>
      </c>
      <c r="Q116" s="78" t="str">
        <f t="shared" si="116"/>
        <v>21||;</v>
      </c>
      <c r="R116" s="78" t="str">
        <f t="shared" si="117"/>
        <v>12||;</v>
      </c>
      <c r="S116" s="78"/>
      <c r="T116" s="165" t="str">
        <f ca="1">OFFSET(buff!$C$1,MATCH(W116,buff!A:A,0)-1,0)</f>
        <v>回合开始时，30%概率额外抽取1招剑法</v>
      </c>
      <c r="U116" s="166"/>
      <c r="V116" s="166">
        <v>10000</v>
      </c>
      <c r="W116">
        <f ca="1" t="shared" si="76"/>
        <v>210300</v>
      </c>
      <c r="Z116" s="153">
        <f t="shared" si="77"/>
        <v>0</v>
      </c>
      <c r="AA116" s="153">
        <f ca="1">OFFSET(passive_type!$I$1,MATCH(C116,passive_type!A:A,0)-1,0)</f>
        <v>2</v>
      </c>
      <c r="AB116" s="153">
        <v>400015</v>
      </c>
      <c r="AC116" s="78">
        <v>400</v>
      </c>
      <c r="AD116" s="153">
        <f ca="1" t="shared" si="78"/>
        <v>210301</v>
      </c>
      <c r="AE116" s="153">
        <v>0</v>
      </c>
      <c r="AF116" s="153">
        <f ca="1">OFFSET(passive_type!$L$1,MATCH(B116,passive_type!B:B,0)-1,0)</f>
        <v>2</v>
      </c>
      <c r="AG116">
        <f ca="1">OFFSET(passive_type!$R$1,MATCH(B116,passive_type!B:B,0)-1,0)</f>
        <v>1300011</v>
      </c>
      <c r="AH116" s="78">
        <v>6</v>
      </c>
      <c r="AI116">
        <f ca="1">IF(Z116=0,0,VLOOKUP(F116,心法辅助配置表!Q:X,AF116+1,FALSE))</f>
        <v>0</v>
      </c>
    </row>
    <row r="117" spans="1:35">
      <c r="A117">
        <f ca="1" t="shared" si="74"/>
        <v>210301</v>
      </c>
      <c r="B117" s="156" t="s">
        <v>2858</v>
      </c>
      <c r="C117">
        <f ca="1">OFFSET(passive_type!$A$1,MATCH(B117,passive_type!B:B,0)-1,0)</f>
        <v>2103</v>
      </c>
      <c r="D117" s="157" t="s">
        <v>2928</v>
      </c>
      <c r="E117">
        <v>12</v>
      </c>
      <c r="F117" s="158">
        <f ca="1">(OFFSET(passive_type!$E$1,MATCH(C117,passive_type!A:A,0)-1,0)*10+AA117)*100+Z117</f>
        <v>2201</v>
      </c>
      <c r="G117" s="22">
        <f ca="1">IF(Z117=0,0,VLOOKUP(F117,心法辅助配置表!$G$2:$O$91,AF117+2,FALSE))</f>
        <v>399</v>
      </c>
      <c r="I117" s="78"/>
      <c r="J117" s="78"/>
      <c r="K117" s="78"/>
      <c r="L117" s="78">
        <f ca="1" t="shared" si="125"/>
        <v>399</v>
      </c>
      <c r="M117" s="78">
        <f>J117</f>
        <v>0</v>
      </c>
      <c r="N117" s="78">
        <f>K117</f>
        <v>0</v>
      </c>
      <c r="O117" s="78">
        <f ca="1">G117</f>
        <v>399</v>
      </c>
      <c r="P117" s="78" t="str">
        <f t="shared" si="115"/>
        <v>11|0|;</v>
      </c>
      <c r="Q117" s="78" t="str">
        <f t="shared" si="116"/>
        <v>21|0|;</v>
      </c>
      <c r="R117" s="78" t="str">
        <f ca="1" t="shared" si="117"/>
        <v>12|399|;</v>
      </c>
      <c r="S117" s="78" t="str">
        <f ca="1" t="shared" ref="S117:S126" si="130">P117&amp;Q117&amp;R117</f>
        <v>11|0|;21|0|;12|399|;</v>
      </c>
      <c r="T117" s="165" t="str">
        <f ca="1">OFFSET(buff!$C$1,MATCH(W117,buff!A:A,0)-1,0)</f>
        <v>回合开始时，32%概率额外抽取1招剑法</v>
      </c>
      <c r="U117" s="166"/>
      <c r="V117" s="166">
        <v>10000</v>
      </c>
      <c r="W117">
        <f ca="1" t="shared" si="76"/>
        <v>210301</v>
      </c>
      <c r="Z117" s="153">
        <f t="shared" si="77"/>
        <v>1</v>
      </c>
      <c r="AA117" s="153">
        <f ca="1">OFFSET(passive_type!$I$1,MATCH(C117,passive_type!A:A,0)-1,0)</f>
        <v>2</v>
      </c>
      <c r="AB117" s="153">
        <v>400015</v>
      </c>
      <c r="AC117" s="78">
        <v>800</v>
      </c>
      <c r="AD117" s="153">
        <f ca="1" t="shared" si="78"/>
        <v>210302</v>
      </c>
      <c r="AE117" s="153">
        <v>0</v>
      </c>
      <c r="AF117" s="153">
        <f ca="1">OFFSET(passive_type!$L$1,MATCH(B117,passive_type!B:B,0)-1,0)</f>
        <v>2</v>
      </c>
      <c r="AG117">
        <f ca="1">OFFSET(passive_type!$R$1,MATCH(B117,passive_type!B:B,0)-1,0)</f>
        <v>1300011</v>
      </c>
      <c r="AH117" s="78">
        <v>12</v>
      </c>
      <c r="AI117">
        <f ca="1">IF(Z117=0,0,VLOOKUP(F117,心法辅助配置表!Q:X,AF117+1,FALSE))</f>
        <v>334</v>
      </c>
    </row>
    <row r="118" spans="1:35">
      <c r="A118">
        <f ca="1" t="shared" si="74"/>
        <v>210302</v>
      </c>
      <c r="B118" s="156" t="s">
        <v>2858</v>
      </c>
      <c r="C118">
        <f ca="1">OFFSET(passive_type!$A$1,MATCH(B118,passive_type!B:B,0)-1,0)</f>
        <v>2103</v>
      </c>
      <c r="D118" s="157" t="s">
        <v>2929</v>
      </c>
      <c r="E118">
        <v>11</v>
      </c>
      <c r="F118" s="158">
        <f ca="1">(OFFSET(passive_type!$E$1,MATCH(C118,passive_type!A:A,0)-1,0)*10+AA118)*100+Z118</f>
        <v>2202</v>
      </c>
      <c r="G118" s="22">
        <f ca="1">IF(Z118=0,0,VLOOKUP(F118,心法辅助配置表!$G$2:$O$91,AF118+2,FALSE))</f>
        <v>86</v>
      </c>
      <c r="I118" s="78"/>
      <c r="J118" s="78">
        <f ca="1">G118</f>
        <v>86</v>
      </c>
      <c r="K118" s="78"/>
      <c r="L118" s="78"/>
      <c r="M118" s="78">
        <f ca="1" t="shared" ref="M118:O118" si="131">J118+M117</f>
        <v>86</v>
      </c>
      <c r="N118" s="78">
        <f t="shared" si="131"/>
        <v>0</v>
      </c>
      <c r="O118" s="78">
        <f ca="1" t="shared" si="131"/>
        <v>399</v>
      </c>
      <c r="P118" s="78" t="str">
        <f ca="1" t="shared" si="115"/>
        <v>11|86|;</v>
      </c>
      <c r="Q118" s="78" t="str">
        <f t="shared" si="116"/>
        <v>21|0|;</v>
      </c>
      <c r="R118" s="78" t="str">
        <f ca="1" t="shared" si="117"/>
        <v>12|399|;</v>
      </c>
      <c r="S118" s="78" t="str">
        <f ca="1" t="shared" si="130"/>
        <v>11|86|;21|0|;12|399|;</v>
      </c>
      <c r="T118" s="165" t="str">
        <f ca="1">OFFSET(buff!$C$1,MATCH(W118,buff!A:A,0)-1,0)</f>
        <v>回合开始时，34%概率额外抽取1招剑法</v>
      </c>
      <c r="U118" s="166"/>
      <c r="V118" s="166">
        <v>10000</v>
      </c>
      <c r="W118">
        <f ca="1" t="shared" si="76"/>
        <v>210302</v>
      </c>
      <c r="Z118" s="153">
        <f t="shared" si="77"/>
        <v>2</v>
      </c>
      <c r="AA118" s="153">
        <f ca="1">OFFSET(passive_type!$I$1,MATCH(C118,passive_type!A:A,0)-1,0)</f>
        <v>2</v>
      </c>
      <c r="AB118" s="153">
        <v>400015</v>
      </c>
      <c r="AC118" s="78">
        <v>1600</v>
      </c>
      <c r="AD118" s="153">
        <f ca="1" t="shared" si="78"/>
        <v>210303</v>
      </c>
      <c r="AE118" s="153">
        <v>0</v>
      </c>
      <c r="AF118" s="153">
        <f ca="1">OFFSET(passive_type!$L$1,MATCH(B118,passive_type!B:B,0)-1,0)</f>
        <v>2</v>
      </c>
      <c r="AG118">
        <f ca="1">OFFSET(passive_type!$R$1,MATCH(B118,passive_type!B:B,0)-1,0)</f>
        <v>1300011</v>
      </c>
      <c r="AH118" s="78">
        <v>24</v>
      </c>
      <c r="AI118">
        <f ca="1">IF(Z118=0,0,VLOOKUP(F118,心法辅助配置表!Q:X,AF118+1,FALSE))</f>
        <v>401</v>
      </c>
    </row>
    <row r="119" spans="1:35">
      <c r="A119">
        <f ca="1" t="shared" si="74"/>
        <v>210303</v>
      </c>
      <c r="B119" s="156" t="s">
        <v>2858</v>
      </c>
      <c r="C119">
        <f ca="1">OFFSET(passive_type!$A$1,MATCH(B119,passive_type!B:B,0)-1,0)</f>
        <v>2103</v>
      </c>
      <c r="D119" s="157" t="s">
        <v>2930</v>
      </c>
      <c r="E119">
        <v>21</v>
      </c>
      <c r="F119" s="158">
        <f ca="1">(OFFSET(passive_type!$E$1,MATCH(C119,passive_type!A:A,0)-1,0)*10+AA119)*100+Z119</f>
        <v>2203</v>
      </c>
      <c r="G119" s="22">
        <f ca="1">IF(Z119=0,0,VLOOKUP(F119,心法辅助配置表!$G$2:$O$91,AF119+2,FALSE))</f>
        <v>38</v>
      </c>
      <c r="I119" s="78"/>
      <c r="J119" s="78"/>
      <c r="K119" s="78">
        <f ca="1">G119</f>
        <v>38</v>
      </c>
      <c r="L119" s="78"/>
      <c r="M119" s="78">
        <f ca="1" t="shared" ref="M119:O119" si="132">J119+M118</f>
        <v>86</v>
      </c>
      <c r="N119" s="78">
        <f ca="1" t="shared" si="132"/>
        <v>38</v>
      </c>
      <c r="O119" s="78">
        <f ca="1" t="shared" si="132"/>
        <v>399</v>
      </c>
      <c r="P119" s="78" t="str">
        <f ca="1" t="shared" si="115"/>
        <v>11|86|;</v>
      </c>
      <c r="Q119" s="78" t="str">
        <f ca="1" t="shared" si="116"/>
        <v>21|38|;</v>
      </c>
      <c r="R119" s="78" t="str">
        <f ca="1" t="shared" si="117"/>
        <v>12|399|;</v>
      </c>
      <c r="S119" s="78" t="str">
        <f ca="1" t="shared" si="130"/>
        <v>11|86|;21|38|;12|399|;</v>
      </c>
      <c r="T119" s="165" t="str">
        <f ca="1">OFFSET(buff!$C$1,MATCH(W119,buff!A:A,0)-1,0)</f>
        <v>回合开始时，36%概率额外抽取1招剑法</v>
      </c>
      <c r="U119" s="166"/>
      <c r="V119" s="166">
        <v>10000</v>
      </c>
      <c r="W119">
        <f ca="1" t="shared" si="76"/>
        <v>210303</v>
      </c>
      <c r="Z119" s="153">
        <f t="shared" si="77"/>
        <v>3</v>
      </c>
      <c r="AA119" s="153">
        <f ca="1">OFFSET(passive_type!$I$1,MATCH(C119,passive_type!A:A,0)-1,0)</f>
        <v>2</v>
      </c>
      <c r="AB119" s="153">
        <v>400015</v>
      </c>
      <c r="AC119" s="78">
        <v>3200</v>
      </c>
      <c r="AD119" s="153">
        <f ca="1" t="shared" si="78"/>
        <v>210304</v>
      </c>
      <c r="AE119" s="153">
        <v>0</v>
      </c>
      <c r="AF119" s="153">
        <f ca="1">OFFSET(passive_type!$L$1,MATCH(B119,passive_type!B:B,0)-1,0)</f>
        <v>2</v>
      </c>
      <c r="AG119">
        <f ca="1">OFFSET(passive_type!$R$1,MATCH(B119,passive_type!B:B,0)-1,0)</f>
        <v>1300011</v>
      </c>
      <c r="AH119" s="78">
        <v>48</v>
      </c>
      <c r="AI119">
        <f ca="1">IF(Z119=0,0,VLOOKUP(F119,心法辅助配置表!Q:X,AF119+1,FALSE))</f>
        <v>467</v>
      </c>
    </row>
    <row r="120" spans="1:35">
      <c r="A120">
        <f ca="1" t="shared" si="74"/>
        <v>210304</v>
      </c>
      <c r="B120" s="156" t="s">
        <v>2858</v>
      </c>
      <c r="C120">
        <f ca="1">OFFSET(passive_type!$A$1,MATCH(B120,passive_type!B:B,0)-1,0)</f>
        <v>2103</v>
      </c>
      <c r="D120" s="157" t="s">
        <v>2928</v>
      </c>
      <c r="E120">
        <v>12</v>
      </c>
      <c r="F120" s="158">
        <f ca="1">(OFFSET(passive_type!$E$1,MATCH(C120,passive_type!A:A,0)-1,0)*10+AA120)*100+Z120</f>
        <v>2204</v>
      </c>
      <c r="G120" s="22">
        <f ca="1">IF(Z120=0,0,VLOOKUP(F120,心法辅助配置表!$G$2:$O$91,AF120+2,FALSE))</f>
        <v>599</v>
      </c>
      <c r="I120" s="78"/>
      <c r="J120" s="78"/>
      <c r="K120" s="78"/>
      <c r="L120" s="78">
        <f ca="1">G120</f>
        <v>599</v>
      </c>
      <c r="M120" s="78">
        <f ca="1" t="shared" ref="M120:O120" si="133">J120+M119</f>
        <v>86</v>
      </c>
      <c r="N120" s="78">
        <f ca="1" t="shared" si="133"/>
        <v>38</v>
      </c>
      <c r="O120" s="78">
        <f ca="1" t="shared" si="133"/>
        <v>998</v>
      </c>
      <c r="P120" s="78" t="str">
        <f ca="1" t="shared" si="115"/>
        <v>11|86|;</v>
      </c>
      <c r="Q120" s="78" t="str">
        <f ca="1" t="shared" si="116"/>
        <v>21|38|;</v>
      </c>
      <c r="R120" s="78" t="str">
        <f ca="1" t="shared" si="117"/>
        <v>12|998|;</v>
      </c>
      <c r="S120" s="78" t="str">
        <f ca="1" t="shared" si="130"/>
        <v>11|86|;21|38|;12|998|;</v>
      </c>
      <c r="T120" s="165" t="str">
        <f ca="1">OFFSET(buff!$C$1,MATCH(W120,buff!A:A,0)-1,0)</f>
        <v>回合开始时，38%概率额外抽取1招剑法</v>
      </c>
      <c r="U120" s="166"/>
      <c r="V120" s="166">
        <v>10000</v>
      </c>
      <c r="W120">
        <f ca="1" t="shared" si="76"/>
        <v>210304</v>
      </c>
      <c r="Z120" s="153">
        <f t="shared" si="77"/>
        <v>4</v>
      </c>
      <c r="AA120" s="153">
        <f ca="1">OFFSET(passive_type!$I$1,MATCH(C120,passive_type!A:A,0)-1,0)</f>
        <v>2</v>
      </c>
      <c r="AB120" s="153">
        <v>400015</v>
      </c>
      <c r="AC120" s="78">
        <v>4000</v>
      </c>
      <c r="AD120" s="153">
        <f ca="1" t="shared" si="78"/>
        <v>210305</v>
      </c>
      <c r="AE120" s="153">
        <v>0</v>
      </c>
      <c r="AF120" s="153">
        <f ca="1">OFFSET(passive_type!$L$1,MATCH(B120,passive_type!B:B,0)-1,0)</f>
        <v>2</v>
      </c>
      <c r="AG120">
        <f ca="1">OFFSET(passive_type!$R$1,MATCH(B120,passive_type!B:B,0)-1,0)</f>
        <v>1300011</v>
      </c>
      <c r="AH120" s="78">
        <v>60</v>
      </c>
      <c r="AI120">
        <f ca="1">IF(Z120=0,0,VLOOKUP(F120,心法辅助配置表!Q:X,AF120+1,FALSE))</f>
        <v>534</v>
      </c>
    </row>
    <row r="121" spans="1:35">
      <c r="A121">
        <f ca="1" t="shared" si="74"/>
        <v>210305</v>
      </c>
      <c r="B121" s="156" t="s">
        <v>2858</v>
      </c>
      <c r="C121">
        <f ca="1">OFFSET(passive_type!$A$1,MATCH(B121,passive_type!B:B,0)-1,0)</f>
        <v>2103</v>
      </c>
      <c r="D121" s="157" t="s">
        <v>2929</v>
      </c>
      <c r="E121">
        <v>11</v>
      </c>
      <c r="F121" s="158">
        <f ca="1">(OFFSET(passive_type!$E$1,MATCH(C121,passive_type!A:A,0)-1,0)*10+AA121)*100+Z121</f>
        <v>2205</v>
      </c>
      <c r="G121" s="22">
        <f ca="1">IF(Z121=0,0,VLOOKUP(F121,心法辅助配置表!$G$2:$O$91,AF121+2,FALSE))</f>
        <v>129</v>
      </c>
      <c r="I121" s="78"/>
      <c r="J121" s="78">
        <f ca="1">G121</f>
        <v>129</v>
      </c>
      <c r="K121" s="78"/>
      <c r="L121" s="78"/>
      <c r="M121" s="78">
        <f ca="1" t="shared" ref="M121:O121" si="134">J121+M120</f>
        <v>215</v>
      </c>
      <c r="N121" s="78">
        <f ca="1" t="shared" si="134"/>
        <v>38</v>
      </c>
      <c r="O121" s="78">
        <f ca="1" t="shared" si="134"/>
        <v>998</v>
      </c>
      <c r="P121" s="78" t="str">
        <f ca="1" t="shared" si="115"/>
        <v>11|215|;</v>
      </c>
      <c r="Q121" s="78" t="str">
        <f ca="1" t="shared" si="116"/>
        <v>21|38|;</v>
      </c>
      <c r="R121" s="78" t="str">
        <f ca="1" t="shared" si="117"/>
        <v>12|998|;</v>
      </c>
      <c r="S121" s="78" t="str">
        <f ca="1" t="shared" si="130"/>
        <v>11|215|;21|38|;12|998|;</v>
      </c>
      <c r="T121" s="165" t="str">
        <f ca="1">OFFSET(buff!$C$1,MATCH(W121,buff!A:A,0)-1,0)</f>
        <v>回合开始时，40%概率额外抽取2招剑法</v>
      </c>
      <c r="U121" s="166"/>
      <c r="V121" s="166">
        <v>10000</v>
      </c>
      <c r="W121">
        <f ca="1" t="shared" si="76"/>
        <v>210305</v>
      </c>
      <c r="Z121" s="153">
        <f t="shared" si="77"/>
        <v>5</v>
      </c>
      <c r="AA121" s="153">
        <f ca="1">OFFSET(passive_type!$I$1,MATCH(C121,passive_type!A:A,0)-1,0)</f>
        <v>2</v>
      </c>
      <c r="AB121" s="153">
        <v>400015</v>
      </c>
      <c r="AC121" s="78">
        <v>5600</v>
      </c>
      <c r="AD121" s="153">
        <f ca="1" t="shared" si="78"/>
        <v>210306</v>
      </c>
      <c r="AE121" s="153">
        <v>0</v>
      </c>
      <c r="AF121" s="153">
        <f ca="1">OFFSET(passive_type!$L$1,MATCH(B121,passive_type!B:B,0)-1,0)</f>
        <v>2</v>
      </c>
      <c r="AG121">
        <f ca="1">OFFSET(passive_type!$R$1,MATCH(B121,passive_type!B:B,0)-1,0)</f>
        <v>1300011</v>
      </c>
      <c r="AH121" s="78">
        <v>84</v>
      </c>
      <c r="AI121">
        <f ca="1">IF(Z121=0,0,VLOOKUP(F121,心法辅助配置表!Q:X,AF121+1,FALSE))</f>
        <v>601</v>
      </c>
    </row>
    <row r="122" spans="1:35">
      <c r="A122">
        <f ca="1" t="shared" si="74"/>
        <v>210306</v>
      </c>
      <c r="B122" s="156" t="s">
        <v>2858</v>
      </c>
      <c r="C122">
        <f ca="1">OFFSET(passive_type!$A$1,MATCH(B122,passive_type!B:B,0)-1,0)</f>
        <v>2103</v>
      </c>
      <c r="D122" s="157" t="s">
        <v>2930</v>
      </c>
      <c r="E122">
        <v>21</v>
      </c>
      <c r="F122" s="158">
        <f ca="1">(OFFSET(passive_type!$E$1,MATCH(C122,passive_type!A:A,0)-1,0)*10+AA122)*100+Z122</f>
        <v>2206</v>
      </c>
      <c r="G122" s="22">
        <f ca="1">IF(Z122=0,0,VLOOKUP(F122,心法辅助配置表!$G$2:$O$91,AF122+2,FALSE))</f>
        <v>58</v>
      </c>
      <c r="I122" s="78"/>
      <c r="J122" s="78"/>
      <c r="K122" s="78">
        <f ca="1">G122</f>
        <v>58</v>
      </c>
      <c r="L122" s="78"/>
      <c r="M122" s="78">
        <f ca="1" t="shared" ref="M122:O122" si="135">J122+M121</f>
        <v>215</v>
      </c>
      <c r="N122" s="78">
        <f ca="1" t="shared" si="135"/>
        <v>96</v>
      </c>
      <c r="O122" s="78">
        <f ca="1" t="shared" si="135"/>
        <v>998</v>
      </c>
      <c r="P122" s="78" t="str">
        <f ca="1" t="shared" si="115"/>
        <v>11|215|;</v>
      </c>
      <c r="Q122" s="78" t="str">
        <f ca="1" t="shared" si="116"/>
        <v>21|96|;</v>
      </c>
      <c r="R122" s="78" t="str">
        <f ca="1" t="shared" si="117"/>
        <v>12|998|;</v>
      </c>
      <c r="S122" s="78" t="str">
        <f ca="1" t="shared" si="130"/>
        <v>11|215|;21|96|;12|998|;</v>
      </c>
      <c r="T122" s="165" t="str">
        <f ca="1">OFFSET(buff!$C$1,MATCH(W122,buff!A:A,0)-1,0)</f>
        <v>回合开始时，42%概率额外抽取2招剑法</v>
      </c>
      <c r="U122" s="166"/>
      <c r="V122" s="166">
        <v>10000</v>
      </c>
      <c r="W122">
        <f ca="1" t="shared" si="76"/>
        <v>210306</v>
      </c>
      <c r="Z122" s="153">
        <f t="shared" si="77"/>
        <v>6</v>
      </c>
      <c r="AA122" s="153">
        <f ca="1">OFFSET(passive_type!$I$1,MATCH(C122,passive_type!A:A,0)-1,0)</f>
        <v>2</v>
      </c>
      <c r="AB122" s="153">
        <v>400015</v>
      </c>
      <c r="AC122" s="78">
        <v>8800</v>
      </c>
      <c r="AD122" s="153">
        <f ca="1" t="shared" si="78"/>
        <v>210307</v>
      </c>
      <c r="AE122" s="153">
        <v>0</v>
      </c>
      <c r="AF122" s="153">
        <f ca="1">OFFSET(passive_type!$L$1,MATCH(B122,passive_type!B:B,0)-1,0)</f>
        <v>2</v>
      </c>
      <c r="AG122">
        <f ca="1">OFFSET(passive_type!$R$1,MATCH(B122,passive_type!B:B,0)-1,0)</f>
        <v>1300011</v>
      </c>
      <c r="AH122" s="78">
        <v>108</v>
      </c>
      <c r="AI122">
        <f ca="1">IF(Z122=0,0,VLOOKUP(F122,心法辅助配置表!Q:X,AF122+1,FALSE))</f>
        <v>668</v>
      </c>
    </row>
    <row r="123" spans="1:35">
      <c r="A123">
        <f ca="1" t="shared" si="74"/>
        <v>210307</v>
      </c>
      <c r="B123" s="156" t="s">
        <v>2858</v>
      </c>
      <c r="C123">
        <f ca="1">OFFSET(passive_type!$A$1,MATCH(B123,passive_type!B:B,0)-1,0)</f>
        <v>2103</v>
      </c>
      <c r="D123" s="157" t="s">
        <v>2928</v>
      </c>
      <c r="E123">
        <v>12</v>
      </c>
      <c r="F123" s="158">
        <f ca="1">(OFFSET(passive_type!$E$1,MATCH(C123,passive_type!A:A,0)-1,0)*10+AA123)*100+Z123</f>
        <v>2207</v>
      </c>
      <c r="G123" s="22">
        <f ca="1">IF(Z123=0,0,VLOOKUP(F123,心法辅助配置表!$G$2:$O$91,AF123+2,FALSE))</f>
        <v>798</v>
      </c>
      <c r="I123" s="78"/>
      <c r="J123" s="78"/>
      <c r="K123" s="78"/>
      <c r="L123" s="78">
        <f ca="1" t="shared" ref="L123:L128" si="136">G123</f>
        <v>798</v>
      </c>
      <c r="M123" s="78">
        <f ca="1" t="shared" ref="M123:O123" si="137">J123+M122</f>
        <v>215</v>
      </c>
      <c r="N123" s="78">
        <f ca="1" t="shared" si="137"/>
        <v>96</v>
      </c>
      <c r="O123" s="78">
        <f ca="1" t="shared" si="137"/>
        <v>1796</v>
      </c>
      <c r="P123" s="78" t="str">
        <f ca="1" t="shared" si="115"/>
        <v>11|215|;</v>
      </c>
      <c r="Q123" s="78" t="str">
        <f ca="1" t="shared" si="116"/>
        <v>21|96|;</v>
      </c>
      <c r="R123" s="78" t="str">
        <f ca="1" t="shared" si="117"/>
        <v>12|1796|;</v>
      </c>
      <c r="S123" s="78" t="str">
        <f ca="1" t="shared" si="130"/>
        <v>11|215|;21|96|;12|1796|;</v>
      </c>
      <c r="T123" s="165" t="str">
        <f ca="1">OFFSET(buff!$C$1,MATCH(W123,buff!A:A,0)-1,0)</f>
        <v>回合开始时，44%概率额外抽取2招剑法</v>
      </c>
      <c r="U123" s="166"/>
      <c r="V123" s="166">
        <v>10000</v>
      </c>
      <c r="W123">
        <f ca="1" t="shared" si="76"/>
        <v>210307</v>
      </c>
      <c r="Z123" s="153">
        <f t="shared" si="77"/>
        <v>7</v>
      </c>
      <c r="AA123" s="153">
        <f ca="1">OFFSET(passive_type!$I$1,MATCH(C123,passive_type!A:A,0)-1,0)</f>
        <v>2</v>
      </c>
      <c r="AB123" s="153">
        <v>400015</v>
      </c>
      <c r="AC123" s="78">
        <v>12800</v>
      </c>
      <c r="AD123" s="153">
        <f ca="1" t="shared" si="78"/>
        <v>210308</v>
      </c>
      <c r="AE123" s="153">
        <v>0</v>
      </c>
      <c r="AF123" s="153">
        <f ca="1">OFFSET(passive_type!$L$1,MATCH(B123,passive_type!B:B,0)-1,0)</f>
        <v>2</v>
      </c>
      <c r="AG123">
        <f ca="1">OFFSET(passive_type!$R$1,MATCH(B123,passive_type!B:B,0)-1,0)</f>
        <v>1300011</v>
      </c>
      <c r="AH123" s="78">
        <v>156</v>
      </c>
      <c r="AI123">
        <f ca="1">IF(Z123=0,0,VLOOKUP(F123,心法辅助配置表!Q:X,AF123+1,FALSE))</f>
        <v>735</v>
      </c>
    </row>
    <row r="124" spans="1:35">
      <c r="A124">
        <f ca="1" t="shared" si="74"/>
        <v>210308</v>
      </c>
      <c r="B124" s="156" t="s">
        <v>2858</v>
      </c>
      <c r="C124">
        <f ca="1">OFFSET(passive_type!$A$1,MATCH(B124,passive_type!B:B,0)-1,0)</f>
        <v>2103</v>
      </c>
      <c r="D124" s="157" t="s">
        <v>2929</v>
      </c>
      <c r="E124">
        <v>11</v>
      </c>
      <c r="F124" s="158">
        <f ca="1">(OFFSET(passive_type!$E$1,MATCH(C124,passive_type!A:A,0)-1,0)*10+AA124)*100+Z124</f>
        <v>2208</v>
      </c>
      <c r="G124" s="22">
        <f ca="1">IF(Z124=0,0,VLOOKUP(F124,心法辅助配置表!$G$2:$O$91,AF124+2,FALSE))</f>
        <v>171</v>
      </c>
      <c r="I124" s="78"/>
      <c r="J124" s="78">
        <f ca="1">G124</f>
        <v>171</v>
      </c>
      <c r="K124" s="78"/>
      <c r="L124" s="78"/>
      <c r="M124" s="78">
        <f ca="1" t="shared" ref="M124:O124" si="138">J124+M123</f>
        <v>386</v>
      </c>
      <c r="N124" s="78">
        <f ca="1" t="shared" si="138"/>
        <v>96</v>
      </c>
      <c r="O124" s="78">
        <f ca="1" t="shared" si="138"/>
        <v>1796</v>
      </c>
      <c r="P124" s="78" t="str">
        <f ca="1" t="shared" si="115"/>
        <v>11|386|;</v>
      </c>
      <c r="Q124" s="78" t="str">
        <f ca="1" t="shared" si="116"/>
        <v>21|96|;</v>
      </c>
      <c r="R124" s="78" t="str">
        <f ca="1" t="shared" si="117"/>
        <v>12|1796|;</v>
      </c>
      <c r="S124" s="78" t="str">
        <f ca="1" t="shared" si="130"/>
        <v>11|386|;21|96|;12|1796|;</v>
      </c>
      <c r="T124" s="165" t="str">
        <f ca="1">OFFSET(buff!$C$1,MATCH(W124,buff!A:A,0)-1,0)</f>
        <v>回合开始时，46%概率额外抽取2招剑法</v>
      </c>
      <c r="U124" s="166"/>
      <c r="V124" s="166">
        <v>10000</v>
      </c>
      <c r="W124">
        <f ca="1" t="shared" si="76"/>
        <v>210308</v>
      </c>
      <c r="Z124" s="153">
        <f t="shared" si="77"/>
        <v>8</v>
      </c>
      <c r="AA124" s="153">
        <f ca="1">OFFSET(passive_type!$I$1,MATCH(C124,passive_type!A:A,0)-1,0)</f>
        <v>2</v>
      </c>
      <c r="AB124" s="153">
        <v>400015</v>
      </c>
      <c r="AC124" s="153">
        <v>18400</v>
      </c>
      <c r="AD124" s="153">
        <f ca="1" t="shared" si="78"/>
        <v>210309</v>
      </c>
      <c r="AE124" s="153">
        <v>0</v>
      </c>
      <c r="AF124" s="153">
        <f ca="1">OFFSET(passive_type!$L$1,MATCH(B124,passive_type!B:B,0)-1,0)</f>
        <v>2</v>
      </c>
      <c r="AG124">
        <f ca="1">OFFSET(passive_type!$R$1,MATCH(B124,passive_type!B:B,0)-1,0)</f>
        <v>1300011</v>
      </c>
      <c r="AH124" s="78">
        <v>216</v>
      </c>
      <c r="AI124">
        <f ca="1">IF(Z124=0,0,VLOOKUP(F124,心法辅助配置表!Q:X,AF124+1,FALSE))</f>
        <v>801</v>
      </c>
    </row>
    <row r="125" spans="1:35">
      <c r="A125">
        <f ca="1" t="shared" si="74"/>
        <v>210309</v>
      </c>
      <c r="B125" s="156" t="s">
        <v>2858</v>
      </c>
      <c r="C125">
        <f ca="1">OFFSET(passive_type!$A$1,MATCH(B125,passive_type!B:B,0)-1,0)</f>
        <v>2103</v>
      </c>
      <c r="D125" s="157" t="s">
        <v>2930</v>
      </c>
      <c r="E125">
        <v>21</v>
      </c>
      <c r="F125" s="158">
        <f ca="1">(OFFSET(passive_type!$E$1,MATCH(C125,passive_type!A:A,0)-1,0)*10+AA125)*100+Z125</f>
        <v>2209</v>
      </c>
      <c r="G125" s="22">
        <f ca="1">IF(Z125=0,0,VLOOKUP(F125,心法辅助配置表!$G$2:$O$91,AF125+2,FALSE))</f>
        <v>77</v>
      </c>
      <c r="I125" s="78"/>
      <c r="J125" s="78"/>
      <c r="K125" s="78">
        <f ca="1">G125</f>
        <v>77</v>
      </c>
      <c r="L125" s="78"/>
      <c r="M125" s="78">
        <f ca="1" t="shared" ref="M125:O125" si="139">J125+M124</f>
        <v>386</v>
      </c>
      <c r="N125" s="78">
        <f ca="1" t="shared" si="139"/>
        <v>173</v>
      </c>
      <c r="O125" s="78">
        <f ca="1" t="shared" si="139"/>
        <v>1796</v>
      </c>
      <c r="P125" s="78" t="str">
        <f ca="1" t="shared" si="115"/>
        <v>11|386|;</v>
      </c>
      <c r="Q125" s="78" t="str">
        <f ca="1" t="shared" si="116"/>
        <v>21|173|;</v>
      </c>
      <c r="R125" s="78" t="str">
        <f ca="1" t="shared" si="117"/>
        <v>12|1796|;</v>
      </c>
      <c r="S125" s="78" t="str">
        <f ca="1" t="shared" si="130"/>
        <v>11|386|;21|173|;12|1796|;</v>
      </c>
      <c r="T125" s="165" t="str">
        <f ca="1">OFFSET(buff!$C$1,MATCH(W125,buff!A:A,0)-1,0)</f>
        <v>回合开始时，48%概率额外抽取2招剑法</v>
      </c>
      <c r="U125" s="166"/>
      <c r="V125" s="166">
        <v>10000</v>
      </c>
      <c r="W125">
        <f ca="1" t="shared" si="76"/>
        <v>210309</v>
      </c>
      <c r="Z125" s="153">
        <f t="shared" si="77"/>
        <v>9</v>
      </c>
      <c r="AA125" s="153">
        <f ca="1">OFFSET(passive_type!$I$1,MATCH(C125,passive_type!A:A,0)-1,0)</f>
        <v>2</v>
      </c>
      <c r="AB125" s="153">
        <v>400015</v>
      </c>
      <c r="AC125" s="153">
        <v>27200</v>
      </c>
      <c r="AD125" s="153">
        <f ca="1" t="shared" si="78"/>
        <v>210310</v>
      </c>
      <c r="AE125" s="153">
        <v>0</v>
      </c>
      <c r="AF125" s="153">
        <f ca="1">OFFSET(passive_type!$L$1,MATCH(B125,passive_type!B:B,0)-1,0)</f>
        <v>2</v>
      </c>
      <c r="AG125">
        <f ca="1">OFFSET(passive_type!$R$1,MATCH(B125,passive_type!B:B,0)-1,0)</f>
        <v>1300011</v>
      </c>
      <c r="AH125">
        <v>300</v>
      </c>
      <c r="AI125">
        <f ca="1">IF(Z125=0,0,VLOOKUP(F125,心法辅助配置表!Q:X,AF125+1,FALSE))</f>
        <v>868</v>
      </c>
    </row>
    <row r="126" spans="1:35">
      <c r="A126">
        <f ca="1" t="shared" si="74"/>
        <v>210310</v>
      </c>
      <c r="B126" s="156" t="s">
        <v>2858</v>
      </c>
      <c r="C126">
        <f ca="1">OFFSET(passive_type!$A$1,MATCH(B126,passive_type!B:B,0)-1,0)</f>
        <v>2103</v>
      </c>
      <c r="D126" s="157" t="s">
        <v>2928</v>
      </c>
      <c r="E126">
        <v>12</v>
      </c>
      <c r="F126" s="158">
        <f ca="1">(OFFSET(passive_type!$E$1,MATCH(C126,passive_type!A:A,0)-1,0)*10+AA126)*100+Z126</f>
        <v>2210</v>
      </c>
      <c r="G126" s="22">
        <f ca="1">IF(Z126=0,0,VLOOKUP(F126,心法辅助配置表!$G$2:$O$91,AF126+2,FALSE))</f>
        <v>998</v>
      </c>
      <c r="I126" s="78"/>
      <c r="J126" s="78"/>
      <c r="K126" s="78"/>
      <c r="L126" s="78">
        <f ca="1" t="shared" si="136"/>
        <v>998</v>
      </c>
      <c r="M126" s="78">
        <f ca="1" t="shared" ref="M126:O126" si="140">J126+M125</f>
        <v>386</v>
      </c>
      <c r="N126" s="78">
        <f ca="1" t="shared" si="140"/>
        <v>173</v>
      </c>
      <c r="O126" s="78">
        <f ca="1" t="shared" si="140"/>
        <v>2794</v>
      </c>
      <c r="P126" s="78" t="str">
        <f ca="1" t="shared" si="115"/>
        <v>11|386|;</v>
      </c>
      <c r="Q126" s="78" t="str">
        <f ca="1" t="shared" si="116"/>
        <v>21|173|;</v>
      </c>
      <c r="R126" s="78" t="str">
        <f ca="1" t="shared" si="117"/>
        <v>12|2794|;</v>
      </c>
      <c r="S126" s="78" t="str">
        <f ca="1" t="shared" si="130"/>
        <v>11|386|;21|173|;12|2794|;</v>
      </c>
      <c r="T126" s="165" t="str">
        <f ca="1">OFFSET(buff!$C$1,MATCH(W126,buff!A:A,0)-1,0)</f>
        <v>回合开始时，50%概率额外抽取3招剑法</v>
      </c>
      <c r="U126" s="166"/>
      <c r="V126" s="166">
        <v>10000</v>
      </c>
      <c r="W126">
        <f ca="1" t="shared" si="76"/>
        <v>210310</v>
      </c>
      <c r="Z126" s="153">
        <f t="shared" si="77"/>
        <v>10</v>
      </c>
      <c r="AA126" s="153">
        <f ca="1">OFFSET(passive_type!$I$1,MATCH(C126,passive_type!A:A,0)-1,0)</f>
        <v>2</v>
      </c>
      <c r="AB126" s="153">
        <v>400015</v>
      </c>
      <c r="AC126" s="153">
        <f ca="1">IF(AD126=0,0,100)</f>
        <v>0</v>
      </c>
      <c r="AD126" s="153">
        <f ca="1" t="shared" si="78"/>
        <v>0</v>
      </c>
      <c r="AE126" s="153">
        <v>0</v>
      </c>
      <c r="AF126" s="153">
        <f ca="1">OFFSET(passive_type!$L$1,MATCH(B126,passive_type!B:B,0)-1,0)</f>
        <v>2</v>
      </c>
      <c r="AG126">
        <f ca="1">OFFSET(passive_type!$R$1,MATCH(B126,passive_type!B:B,0)-1,0)</f>
        <v>1300011</v>
      </c>
      <c r="AH126">
        <f ca="1">IF(AD126=0,0,20)</f>
        <v>0</v>
      </c>
      <c r="AI126">
        <f ca="1">IF(Z126=0,0,VLOOKUP(F126,心法辅助配置表!Q:X,AF126+1,FALSE))</f>
        <v>935</v>
      </c>
    </row>
    <row r="127" spans="1:35">
      <c r="A127">
        <f ca="1" t="shared" si="74"/>
        <v>210400</v>
      </c>
      <c r="B127" s="156" t="s">
        <v>1563</v>
      </c>
      <c r="C127">
        <f ca="1">OFFSET(passive_type!$A$1,MATCH(B127,passive_type!B:B,0)-1,0)</f>
        <v>2104</v>
      </c>
      <c r="D127" s="157"/>
      <c r="F127" s="158">
        <f ca="1">(OFFSET(passive_type!$E$1,MATCH(C127,passive_type!A:A,0)-1,0)*10+AA127)*100+Z127</f>
        <v>2200</v>
      </c>
      <c r="G127" s="22">
        <f ca="1">IF(Z127=0,0,VLOOKUP(F127,心法辅助配置表!$G$2:$O$91,AF127+2,FALSE))</f>
        <v>0</v>
      </c>
      <c r="P127" s="78" t="str">
        <f t="shared" si="115"/>
        <v>11||;</v>
      </c>
      <c r="Q127" s="78" t="str">
        <f t="shared" si="116"/>
        <v>21||;</v>
      </c>
      <c r="R127" s="78" t="str">
        <f t="shared" si="117"/>
        <v>12||;</v>
      </c>
      <c r="S127" s="78"/>
      <c r="T127" s="165" t="str">
        <f ca="1">OFFSET(buff!$C$1,MATCH(W127,buff!A:A,0)-1,0)</f>
        <v>每回合有30%概率，使前1张打出的剑法招式消耗减少1点</v>
      </c>
      <c r="U127" s="166">
        <v>1</v>
      </c>
      <c r="V127" s="166">
        <v>3000</v>
      </c>
      <c r="W127">
        <f ca="1" t="shared" si="76"/>
        <v>210400</v>
      </c>
      <c r="Z127" s="153">
        <f t="shared" si="77"/>
        <v>0</v>
      </c>
      <c r="AA127" s="153">
        <f ca="1">OFFSET(passive_type!$I$1,MATCH(C127,passive_type!A:A,0)-1,0)</f>
        <v>2</v>
      </c>
      <c r="AB127" s="153">
        <v>400015</v>
      </c>
      <c r="AC127" s="153">
        <v>800</v>
      </c>
      <c r="AD127" s="153">
        <f ca="1" t="shared" si="78"/>
        <v>210401</v>
      </c>
      <c r="AE127" s="153">
        <v>0</v>
      </c>
      <c r="AF127" s="153">
        <f ca="1">OFFSET(passive_type!$L$1,MATCH(B127,passive_type!B:B,0)-1,0)</f>
        <v>3</v>
      </c>
      <c r="AG127">
        <f ca="1">OFFSET(passive_type!$R$1,MATCH(B127,passive_type!B:B,0)-1,0)</f>
        <v>1300012</v>
      </c>
      <c r="AH127" s="78">
        <v>6</v>
      </c>
      <c r="AI127">
        <f ca="1">IF(Z127=0,0,VLOOKUP(F127,心法辅助配置表!Q:X,AF127+1,FALSE))</f>
        <v>0</v>
      </c>
    </row>
    <row r="128" spans="1:35">
      <c r="A128">
        <f ca="1" t="shared" si="74"/>
        <v>210401</v>
      </c>
      <c r="B128" s="156" t="s">
        <v>1563</v>
      </c>
      <c r="C128">
        <f ca="1">OFFSET(passive_type!$A$1,MATCH(B128,passive_type!B:B,0)-1,0)</f>
        <v>2104</v>
      </c>
      <c r="D128" s="157" t="s">
        <v>2928</v>
      </c>
      <c r="E128">
        <v>12</v>
      </c>
      <c r="F128" s="158">
        <f ca="1">(OFFSET(passive_type!$E$1,MATCH(C128,passive_type!A:A,0)-1,0)*10+AA128)*100+Z128</f>
        <v>2201</v>
      </c>
      <c r="G128" s="22">
        <f ca="1">IF(Z128=0,0,VLOOKUP(F128,心法辅助配置表!$G$2:$O$91,AF128+2,FALSE))</f>
        <v>985</v>
      </c>
      <c r="L128" s="78">
        <f ca="1" t="shared" si="136"/>
        <v>985</v>
      </c>
      <c r="M128" s="78">
        <f>J128</f>
        <v>0</v>
      </c>
      <c r="N128" s="78">
        <f>K128</f>
        <v>0</v>
      </c>
      <c r="O128" s="78">
        <f ca="1">G128</f>
        <v>985</v>
      </c>
      <c r="P128" s="78" t="str">
        <f t="shared" si="115"/>
        <v>11|0|;</v>
      </c>
      <c r="Q128" s="78" t="str">
        <f t="shared" si="116"/>
        <v>21|0|;</v>
      </c>
      <c r="R128" s="78" t="str">
        <f ca="1" t="shared" si="117"/>
        <v>12|985|;</v>
      </c>
      <c r="S128" s="78" t="str">
        <f ca="1" t="shared" ref="S128:S137" si="141">P128&amp;Q128&amp;R128</f>
        <v>11|0|;21|0|;12|985|;</v>
      </c>
      <c r="T128" s="165" t="str">
        <f ca="1">OFFSET(buff!$C$1,MATCH(W128,buff!A:A,0)-1,0)</f>
        <v>每回合有32%概率，使前1张打出的剑法招式消耗减少1点</v>
      </c>
      <c r="U128" s="166">
        <v>1</v>
      </c>
      <c r="V128" s="166">
        <v>3200</v>
      </c>
      <c r="W128">
        <f ca="1" t="shared" si="76"/>
        <v>210401</v>
      </c>
      <c r="Z128" s="153">
        <f t="shared" si="77"/>
        <v>1</v>
      </c>
      <c r="AA128" s="153">
        <f ca="1">OFFSET(passive_type!$I$1,MATCH(C128,passive_type!A:A,0)-1,0)</f>
        <v>2</v>
      </c>
      <c r="AB128" s="153">
        <v>400015</v>
      </c>
      <c r="AC128" s="153">
        <v>1600</v>
      </c>
      <c r="AD128" s="153">
        <f ca="1" t="shared" si="78"/>
        <v>210402</v>
      </c>
      <c r="AE128" s="153">
        <v>0</v>
      </c>
      <c r="AF128" s="153">
        <f ca="1">OFFSET(passive_type!$L$1,MATCH(B128,passive_type!B:B,0)-1,0)</f>
        <v>3</v>
      </c>
      <c r="AG128">
        <f ca="1">OFFSET(passive_type!$R$1,MATCH(B128,passive_type!B:B,0)-1,0)</f>
        <v>1300012</v>
      </c>
      <c r="AH128" s="78">
        <v>12</v>
      </c>
      <c r="AI128">
        <f ca="1">IF(Z128=0,0,VLOOKUP(F128,心法辅助配置表!Q:X,AF128+1,FALSE))</f>
        <v>786</v>
      </c>
    </row>
    <row r="129" spans="1:35">
      <c r="A129">
        <f ca="1" t="shared" si="74"/>
        <v>210402</v>
      </c>
      <c r="B129" s="156" t="s">
        <v>1563</v>
      </c>
      <c r="C129">
        <f ca="1">OFFSET(passive_type!$A$1,MATCH(B129,passive_type!B:B,0)-1,0)</f>
        <v>2104</v>
      </c>
      <c r="D129" s="157" t="s">
        <v>2929</v>
      </c>
      <c r="E129">
        <v>11</v>
      </c>
      <c r="F129" s="158">
        <f ca="1">(OFFSET(passive_type!$E$1,MATCH(C129,passive_type!A:A,0)-1,0)*10+AA129)*100+Z129</f>
        <v>2202</v>
      </c>
      <c r="G129" s="22">
        <f ca="1">IF(Z129=0,0,VLOOKUP(F129,心法辅助配置表!$G$2:$O$91,AF129+2,FALSE))</f>
        <v>191</v>
      </c>
      <c r="J129" s="78">
        <f ca="1">G129</f>
        <v>191</v>
      </c>
      <c r="M129" s="78">
        <f ca="1" t="shared" ref="M129:O129" si="142">J129+M128</f>
        <v>191</v>
      </c>
      <c r="N129" s="78">
        <f t="shared" si="142"/>
        <v>0</v>
      </c>
      <c r="O129" s="78">
        <f ca="1" t="shared" si="142"/>
        <v>985</v>
      </c>
      <c r="P129" s="78" t="str">
        <f ca="1" t="shared" si="115"/>
        <v>11|191|;</v>
      </c>
      <c r="Q129" s="78" t="str">
        <f t="shared" si="116"/>
        <v>21|0|;</v>
      </c>
      <c r="R129" s="78" t="str">
        <f ca="1" t="shared" si="117"/>
        <v>12|985|;</v>
      </c>
      <c r="S129" s="78" t="str">
        <f ca="1" t="shared" si="141"/>
        <v>11|191|;21|0|;12|985|;</v>
      </c>
      <c r="T129" s="165" t="str">
        <f ca="1">OFFSET(buff!$C$1,MATCH(W129,buff!A:A,0)-1,0)</f>
        <v>每回合有34%概率，使前1张打出的剑法招式消耗减少1点</v>
      </c>
      <c r="U129" s="166">
        <v>1</v>
      </c>
      <c r="V129" s="166">
        <v>3400</v>
      </c>
      <c r="W129">
        <f ca="1" t="shared" si="76"/>
        <v>210402</v>
      </c>
      <c r="Z129" s="153">
        <f t="shared" si="77"/>
        <v>2</v>
      </c>
      <c r="AA129" s="153">
        <f ca="1">OFFSET(passive_type!$I$1,MATCH(C129,passive_type!A:A,0)-1,0)</f>
        <v>2</v>
      </c>
      <c r="AB129" s="153">
        <v>400015</v>
      </c>
      <c r="AC129" s="153">
        <v>3200</v>
      </c>
      <c r="AD129" s="153">
        <f ca="1" t="shared" si="78"/>
        <v>210403</v>
      </c>
      <c r="AE129" s="153">
        <v>0</v>
      </c>
      <c r="AF129" s="153">
        <f ca="1">OFFSET(passive_type!$L$1,MATCH(B129,passive_type!B:B,0)-1,0)</f>
        <v>3</v>
      </c>
      <c r="AG129">
        <f ca="1">OFFSET(passive_type!$R$1,MATCH(B129,passive_type!B:B,0)-1,0)</f>
        <v>1300012</v>
      </c>
      <c r="AH129" s="78">
        <v>24</v>
      </c>
      <c r="AI129">
        <f ca="1">IF(Z129=0,0,VLOOKUP(F129,心法辅助配置表!Q:X,AF129+1,FALSE))</f>
        <v>943</v>
      </c>
    </row>
    <row r="130" spans="1:35">
      <c r="A130">
        <f ca="1" t="shared" si="74"/>
        <v>210403</v>
      </c>
      <c r="B130" s="156" t="s">
        <v>1563</v>
      </c>
      <c r="C130">
        <f ca="1">OFFSET(passive_type!$A$1,MATCH(B130,passive_type!B:B,0)-1,0)</f>
        <v>2104</v>
      </c>
      <c r="D130" s="157" t="s">
        <v>2930</v>
      </c>
      <c r="E130">
        <v>21</v>
      </c>
      <c r="F130" s="158">
        <f ca="1">(OFFSET(passive_type!$E$1,MATCH(C130,passive_type!A:A,0)-1,0)*10+AA130)*100+Z130</f>
        <v>2203</v>
      </c>
      <c r="G130" s="22">
        <f ca="1">IF(Z130=0,0,VLOOKUP(F130,心法辅助配置表!$G$2:$O$91,AF130+2,FALSE))</f>
        <v>86</v>
      </c>
      <c r="K130" s="78">
        <f ca="1">G130</f>
        <v>86</v>
      </c>
      <c r="M130" s="78">
        <f ca="1" t="shared" ref="M130:O130" si="143">J130+M129</f>
        <v>191</v>
      </c>
      <c r="N130" s="78">
        <f ca="1" t="shared" si="143"/>
        <v>86</v>
      </c>
      <c r="O130" s="78">
        <f ca="1" t="shared" si="143"/>
        <v>985</v>
      </c>
      <c r="P130" s="78" t="str">
        <f ca="1" t="shared" si="115"/>
        <v>11|191|;</v>
      </c>
      <c r="Q130" s="78" t="str">
        <f ca="1" t="shared" si="116"/>
        <v>21|86|;</v>
      </c>
      <c r="R130" s="78" t="str">
        <f ca="1" t="shared" si="117"/>
        <v>12|985|;</v>
      </c>
      <c r="S130" s="78" t="str">
        <f ca="1" t="shared" si="141"/>
        <v>11|191|;21|86|;12|985|;</v>
      </c>
      <c r="T130" s="165" t="str">
        <f ca="1">OFFSET(buff!$C$1,MATCH(W130,buff!A:A,0)-1,0)</f>
        <v>每回合有36%概率，使前1张打出的剑法招式消耗减少1点</v>
      </c>
      <c r="U130" s="166">
        <v>1</v>
      </c>
      <c r="V130" s="166">
        <v>3600</v>
      </c>
      <c r="W130">
        <f ca="1" t="shared" si="76"/>
        <v>210403</v>
      </c>
      <c r="Z130" s="153">
        <f t="shared" si="77"/>
        <v>3</v>
      </c>
      <c r="AA130" s="153">
        <f ca="1">OFFSET(passive_type!$I$1,MATCH(C130,passive_type!A:A,0)-1,0)</f>
        <v>2</v>
      </c>
      <c r="AB130" s="153">
        <v>400015</v>
      </c>
      <c r="AC130" s="153">
        <v>6400</v>
      </c>
      <c r="AD130" s="153">
        <f ca="1" t="shared" si="78"/>
        <v>210404</v>
      </c>
      <c r="AE130" s="153">
        <v>0</v>
      </c>
      <c r="AF130" s="153">
        <f ca="1">OFFSET(passive_type!$L$1,MATCH(B130,passive_type!B:B,0)-1,0)</f>
        <v>3</v>
      </c>
      <c r="AG130">
        <f ca="1">OFFSET(passive_type!$R$1,MATCH(B130,passive_type!B:B,0)-1,0)</f>
        <v>1300012</v>
      </c>
      <c r="AH130" s="78">
        <v>48</v>
      </c>
      <c r="AI130">
        <f ca="1">IF(Z130=0,0,VLOOKUP(F130,心法辅助配置表!Q:X,AF130+1,FALSE))</f>
        <v>1101</v>
      </c>
    </row>
    <row r="131" spans="1:35">
      <c r="A131">
        <f ca="1" t="shared" si="74"/>
        <v>210404</v>
      </c>
      <c r="B131" s="156" t="s">
        <v>1563</v>
      </c>
      <c r="C131">
        <f ca="1">OFFSET(passive_type!$A$1,MATCH(B131,passive_type!B:B,0)-1,0)</f>
        <v>2104</v>
      </c>
      <c r="D131" s="157" t="s">
        <v>2928</v>
      </c>
      <c r="E131">
        <v>12</v>
      </c>
      <c r="F131" s="158">
        <f ca="1">(OFFSET(passive_type!$E$1,MATCH(C131,passive_type!A:A,0)-1,0)*10+AA131)*100+Z131</f>
        <v>2204</v>
      </c>
      <c r="G131" s="22">
        <f ca="1">IF(Z131=0,0,VLOOKUP(F131,心法辅助配置表!$G$2:$O$91,AF131+2,FALSE))</f>
        <v>1477</v>
      </c>
      <c r="L131" s="78">
        <f ca="1">G131</f>
        <v>1477</v>
      </c>
      <c r="M131" s="78">
        <f ca="1" t="shared" ref="M131:O131" si="144">J131+M130</f>
        <v>191</v>
      </c>
      <c r="N131" s="78">
        <f ca="1" t="shared" si="144"/>
        <v>86</v>
      </c>
      <c r="O131" s="78">
        <f ca="1" t="shared" si="144"/>
        <v>2462</v>
      </c>
      <c r="P131" s="78" t="str">
        <f ca="1" t="shared" si="115"/>
        <v>11|191|;</v>
      </c>
      <c r="Q131" s="78" t="str">
        <f ca="1" t="shared" si="116"/>
        <v>21|86|;</v>
      </c>
      <c r="R131" s="78" t="str">
        <f ca="1" t="shared" si="117"/>
        <v>12|2462|;</v>
      </c>
      <c r="S131" s="78" t="str">
        <f ca="1" t="shared" si="141"/>
        <v>11|191|;21|86|;12|2462|;</v>
      </c>
      <c r="T131" s="165" t="str">
        <f ca="1">OFFSET(buff!$C$1,MATCH(W131,buff!A:A,0)-1,0)</f>
        <v>每回合有38%概率，使前1张打出的剑法招式消耗减少1点</v>
      </c>
      <c r="U131" s="166">
        <v>1</v>
      </c>
      <c r="V131" s="166">
        <v>3800</v>
      </c>
      <c r="W131">
        <f ca="1" t="shared" si="76"/>
        <v>210404</v>
      </c>
      <c r="Z131" s="153">
        <f t="shared" si="77"/>
        <v>4</v>
      </c>
      <c r="AA131" s="153">
        <f ca="1">OFFSET(passive_type!$I$1,MATCH(C131,passive_type!A:A,0)-1,0)</f>
        <v>2</v>
      </c>
      <c r="AB131" s="153">
        <v>400015</v>
      </c>
      <c r="AC131" s="153">
        <v>8000</v>
      </c>
      <c r="AD131" s="153">
        <f ca="1" t="shared" si="78"/>
        <v>210405</v>
      </c>
      <c r="AE131" s="153">
        <v>0</v>
      </c>
      <c r="AF131" s="153">
        <f ca="1">OFFSET(passive_type!$L$1,MATCH(B131,passive_type!B:B,0)-1,0)</f>
        <v>3</v>
      </c>
      <c r="AG131">
        <f ca="1">OFFSET(passive_type!$R$1,MATCH(B131,passive_type!B:B,0)-1,0)</f>
        <v>1300012</v>
      </c>
      <c r="AH131" s="78">
        <v>60</v>
      </c>
      <c r="AI131">
        <f ca="1">IF(Z131=0,0,VLOOKUP(F131,心法辅助配置表!Q:X,AF131+1,FALSE))</f>
        <v>1258</v>
      </c>
    </row>
    <row r="132" spans="1:35">
      <c r="A132">
        <f ca="1" t="shared" si="74"/>
        <v>210405</v>
      </c>
      <c r="B132" s="156" t="s">
        <v>1563</v>
      </c>
      <c r="C132">
        <f ca="1">OFFSET(passive_type!$A$1,MATCH(B132,passive_type!B:B,0)-1,0)</f>
        <v>2104</v>
      </c>
      <c r="D132" s="157" t="s">
        <v>2929</v>
      </c>
      <c r="E132">
        <v>11</v>
      </c>
      <c r="F132" s="158">
        <f ca="1">(OFFSET(passive_type!$E$1,MATCH(C132,passive_type!A:A,0)-1,0)*10+AA132)*100+Z132</f>
        <v>2205</v>
      </c>
      <c r="G132" s="22">
        <f ca="1">IF(Z132=0,0,VLOOKUP(F132,心法辅助配置表!$G$2:$O$91,AF132+2,FALSE))</f>
        <v>286</v>
      </c>
      <c r="J132" s="78">
        <f ca="1">G132</f>
        <v>286</v>
      </c>
      <c r="M132" s="78">
        <f ca="1" t="shared" ref="M132:O132" si="145">J132+M131</f>
        <v>477</v>
      </c>
      <c r="N132" s="78">
        <f ca="1" t="shared" si="145"/>
        <v>86</v>
      </c>
      <c r="O132" s="78">
        <f ca="1" t="shared" si="145"/>
        <v>2462</v>
      </c>
      <c r="P132" s="78" t="str">
        <f ca="1" t="shared" si="115"/>
        <v>11|477|;</v>
      </c>
      <c r="Q132" s="78" t="str">
        <f ca="1" t="shared" si="116"/>
        <v>21|86|;</v>
      </c>
      <c r="R132" s="78" t="str">
        <f ca="1" t="shared" si="117"/>
        <v>12|2462|;</v>
      </c>
      <c r="S132" s="78" t="str">
        <f ca="1" t="shared" si="141"/>
        <v>11|477|;21|86|;12|2462|;</v>
      </c>
      <c r="T132" s="165" t="str">
        <f ca="1">OFFSET(buff!$C$1,MATCH(W132,buff!A:A,0)-1,0)</f>
        <v>每回合有40%概率，使前2张打出的剑法招式消耗减少1点</v>
      </c>
      <c r="U132" s="166">
        <v>1</v>
      </c>
      <c r="V132" s="166">
        <v>4000</v>
      </c>
      <c r="W132">
        <f ca="1" t="shared" si="76"/>
        <v>210405</v>
      </c>
      <c r="Z132" s="153">
        <f t="shared" si="77"/>
        <v>5</v>
      </c>
      <c r="AA132" s="153">
        <f ca="1">OFFSET(passive_type!$I$1,MATCH(C132,passive_type!A:A,0)-1,0)</f>
        <v>2</v>
      </c>
      <c r="AB132" s="153">
        <v>400015</v>
      </c>
      <c r="AC132" s="153">
        <v>11200</v>
      </c>
      <c r="AD132" s="153">
        <f ca="1" t="shared" si="78"/>
        <v>210406</v>
      </c>
      <c r="AE132" s="153">
        <v>0</v>
      </c>
      <c r="AF132" s="153">
        <f ca="1">OFFSET(passive_type!$L$1,MATCH(B132,passive_type!B:B,0)-1,0)</f>
        <v>3</v>
      </c>
      <c r="AG132">
        <f ca="1">OFFSET(passive_type!$R$1,MATCH(B132,passive_type!B:B,0)-1,0)</f>
        <v>1300012</v>
      </c>
      <c r="AH132" s="78">
        <v>84</v>
      </c>
      <c r="AI132">
        <f ca="1">IF(Z132=0,0,VLOOKUP(F132,心法辅助配置表!Q:X,AF132+1,FALSE))</f>
        <v>1415</v>
      </c>
    </row>
    <row r="133" spans="1:35">
      <c r="A133">
        <f ca="1" t="shared" si="74"/>
        <v>210406</v>
      </c>
      <c r="B133" s="156" t="s">
        <v>1563</v>
      </c>
      <c r="C133">
        <f ca="1">OFFSET(passive_type!$A$1,MATCH(B133,passive_type!B:B,0)-1,0)</f>
        <v>2104</v>
      </c>
      <c r="D133" s="157" t="s">
        <v>2930</v>
      </c>
      <c r="E133">
        <v>21</v>
      </c>
      <c r="F133" s="158">
        <f ca="1">(OFFSET(passive_type!$E$1,MATCH(C133,passive_type!A:A,0)-1,0)*10+AA133)*100+Z133</f>
        <v>2206</v>
      </c>
      <c r="G133" s="22">
        <f ca="1">IF(Z133=0,0,VLOOKUP(F133,心法辅助配置表!$G$2:$O$91,AF133+2,FALSE))</f>
        <v>129</v>
      </c>
      <c r="K133" s="78">
        <f ca="1">G133</f>
        <v>129</v>
      </c>
      <c r="M133" s="78">
        <f ca="1" t="shared" ref="M133:O133" si="146">J133+M132</f>
        <v>477</v>
      </c>
      <c r="N133" s="78">
        <f ca="1" t="shared" si="146"/>
        <v>215</v>
      </c>
      <c r="O133" s="78">
        <f ca="1" t="shared" si="146"/>
        <v>2462</v>
      </c>
      <c r="P133" s="78" t="str">
        <f ca="1" t="shared" si="115"/>
        <v>11|477|;</v>
      </c>
      <c r="Q133" s="78" t="str">
        <f ca="1" t="shared" si="116"/>
        <v>21|215|;</v>
      </c>
      <c r="R133" s="78" t="str">
        <f ca="1" t="shared" si="117"/>
        <v>12|2462|;</v>
      </c>
      <c r="S133" s="78" t="str">
        <f ca="1" t="shared" si="141"/>
        <v>11|477|;21|215|;12|2462|;</v>
      </c>
      <c r="T133" s="165" t="str">
        <f ca="1">OFFSET(buff!$C$1,MATCH(W133,buff!A:A,0)-1,0)</f>
        <v>每回合有42%概率，使前2张打出的剑法招式消耗减少1点</v>
      </c>
      <c r="U133" s="166">
        <v>1</v>
      </c>
      <c r="V133" s="166">
        <v>4200</v>
      </c>
      <c r="W133">
        <f ca="1" t="shared" si="76"/>
        <v>210406</v>
      </c>
      <c r="Z133" s="153">
        <f t="shared" si="77"/>
        <v>6</v>
      </c>
      <c r="AA133" s="153">
        <f ca="1">OFFSET(passive_type!$I$1,MATCH(C133,passive_type!A:A,0)-1,0)</f>
        <v>2</v>
      </c>
      <c r="AB133" s="153">
        <v>400015</v>
      </c>
      <c r="AC133" s="153">
        <v>17600</v>
      </c>
      <c r="AD133" s="153">
        <f ca="1" t="shared" si="78"/>
        <v>210407</v>
      </c>
      <c r="AE133" s="153">
        <v>0</v>
      </c>
      <c r="AF133" s="153">
        <f ca="1">OFFSET(passive_type!$L$1,MATCH(B133,passive_type!B:B,0)-1,0)</f>
        <v>3</v>
      </c>
      <c r="AG133">
        <f ca="1">OFFSET(passive_type!$R$1,MATCH(B133,passive_type!B:B,0)-1,0)</f>
        <v>1300012</v>
      </c>
      <c r="AH133" s="78">
        <v>108</v>
      </c>
      <c r="AI133">
        <f ca="1">IF(Z133=0,0,VLOOKUP(F133,心法辅助配置表!Q:X,AF133+1,FALSE))</f>
        <v>1572</v>
      </c>
    </row>
    <row r="134" spans="1:35">
      <c r="A134">
        <f ca="1" t="shared" ref="A134:A197" si="147">C134*100+Z134</f>
        <v>210407</v>
      </c>
      <c r="B134" s="156" t="s">
        <v>1563</v>
      </c>
      <c r="C134">
        <f ca="1">OFFSET(passive_type!$A$1,MATCH(B134,passive_type!B:B,0)-1,0)</f>
        <v>2104</v>
      </c>
      <c r="D134" s="157" t="s">
        <v>2928</v>
      </c>
      <c r="E134">
        <v>12</v>
      </c>
      <c r="F134" s="158">
        <f ca="1">(OFFSET(passive_type!$E$1,MATCH(C134,passive_type!A:A,0)-1,0)*10+AA134)*100+Z134</f>
        <v>2207</v>
      </c>
      <c r="G134" s="22">
        <f ca="1">IF(Z134=0,0,VLOOKUP(F134,心法辅助配置表!$G$2:$O$91,AF134+2,FALSE))</f>
        <v>1969</v>
      </c>
      <c r="L134" s="78">
        <f ca="1">G134</f>
        <v>1969</v>
      </c>
      <c r="M134" s="78">
        <f ca="1" t="shared" ref="M134:O134" si="148">J134+M133</f>
        <v>477</v>
      </c>
      <c r="N134" s="78">
        <f ca="1" t="shared" si="148"/>
        <v>215</v>
      </c>
      <c r="O134" s="78">
        <f ca="1" t="shared" si="148"/>
        <v>4431</v>
      </c>
      <c r="P134" s="78" t="str">
        <f ca="1" t="shared" si="115"/>
        <v>11|477|;</v>
      </c>
      <c r="Q134" s="78" t="str">
        <f ca="1" t="shared" si="116"/>
        <v>21|215|;</v>
      </c>
      <c r="R134" s="78" t="str">
        <f ca="1" t="shared" si="117"/>
        <v>12|4431|;</v>
      </c>
      <c r="S134" s="78" t="str">
        <f ca="1" t="shared" si="141"/>
        <v>11|477|;21|215|;12|4431|;</v>
      </c>
      <c r="T134" s="165" t="str">
        <f ca="1">OFFSET(buff!$C$1,MATCH(W134,buff!A:A,0)-1,0)</f>
        <v>每回合有44%概率，使前2张打出的剑法招式消耗减少1点</v>
      </c>
      <c r="U134" s="166">
        <v>1</v>
      </c>
      <c r="V134" s="166">
        <v>4400</v>
      </c>
      <c r="W134">
        <f ca="1" t="shared" ref="W134:W197" si="149">A134</f>
        <v>210407</v>
      </c>
      <c r="Z134" s="153">
        <f t="shared" ref="Z134:Z148" si="150">IF(B134=B133,Z133+1,0)</f>
        <v>7</v>
      </c>
      <c r="AA134" s="153">
        <f ca="1">OFFSET(passive_type!$I$1,MATCH(C134,passive_type!A:A,0)-1,0)</f>
        <v>2</v>
      </c>
      <c r="AB134" s="153">
        <v>400015</v>
      </c>
      <c r="AC134" s="153">
        <v>25600</v>
      </c>
      <c r="AD134" s="153">
        <f ca="1" t="shared" ref="AD134:AD197" si="151">IF(B134=B135,A135,0)</f>
        <v>210408</v>
      </c>
      <c r="AE134" s="153">
        <v>0</v>
      </c>
      <c r="AF134" s="153">
        <f ca="1">OFFSET(passive_type!$L$1,MATCH(B134,passive_type!B:B,0)-1,0)</f>
        <v>3</v>
      </c>
      <c r="AG134">
        <f ca="1">OFFSET(passive_type!$R$1,MATCH(B134,passive_type!B:B,0)-1,0)</f>
        <v>1300012</v>
      </c>
      <c r="AH134" s="78">
        <v>156</v>
      </c>
      <c r="AI134">
        <f ca="1">IF(Z134=0,0,VLOOKUP(F134,心法辅助配置表!Q:X,AF134+1,FALSE))</f>
        <v>1729</v>
      </c>
    </row>
    <row r="135" spans="1:35">
      <c r="A135">
        <f ca="1" t="shared" si="147"/>
        <v>210408</v>
      </c>
      <c r="B135" s="156" t="s">
        <v>1563</v>
      </c>
      <c r="C135">
        <f ca="1">OFFSET(passive_type!$A$1,MATCH(B135,passive_type!B:B,0)-1,0)</f>
        <v>2104</v>
      </c>
      <c r="D135" s="157" t="s">
        <v>2929</v>
      </c>
      <c r="E135">
        <v>11</v>
      </c>
      <c r="F135" s="158">
        <f ca="1">(OFFSET(passive_type!$E$1,MATCH(C135,passive_type!A:A,0)-1,0)*10+AA135)*100+Z135</f>
        <v>2208</v>
      </c>
      <c r="G135" s="22">
        <f ca="1">IF(Z135=0,0,VLOOKUP(F135,心法辅助配置表!$G$2:$O$91,AF135+2,FALSE))</f>
        <v>382</v>
      </c>
      <c r="J135" s="78">
        <f ca="1">G135</f>
        <v>382</v>
      </c>
      <c r="M135" s="78">
        <f ca="1" t="shared" ref="M135:O135" si="152">J135+M134</f>
        <v>859</v>
      </c>
      <c r="N135" s="78">
        <f ca="1" t="shared" si="152"/>
        <v>215</v>
      </c>
      <c r="O135" s="78">
        <f ca="1" t="shared" si="152"/>
        <v>4431</v>
      </c>
      <c r="P135" s="78" t="str">
        <f ca="1" t="shared" si="115"/>
        <v>11|859|;</v>
      </c>
      <c r="Q135" s="78" t="str">
        <f ca="1" t="shared" si="116"/>
        <v>21|215|;</v>
      </c>
      <c r="R135" s="78" t="str">
        <f ca="1" t="shared" si="117"/>
        <v>12|4431|;</v>
      </c>
      <c r="S135" s="78" t="str">
        <f ca="1" t="shared" si="141"/>
        <v>11|859|;21|215|;12|4431|;</v>
      </c>
      <c r="T135" s="165" t="str">
        <f ca="1">OFFSET(buff!$C$1,MATCH(W135,buff!A:A,0)-1,0)</f>
        <v>每回合有46%概率，使前2张打出的剑法招式消耗减少1点</v>
      </c>
      <c r="U135" s="166">
        <v>1</v>
      </c>
      <c r="V135" s="166">
        <v>4600</v>
      </c>
      <c r="W135">
        <f ca="1" t="shared" si="149"/>
        <v>210408</v>
      </c>
      <c r="Z135" s="153">
        <f t="shared" si="150"/>
        <v>8</v>
      </c>
      <c r="AA135" s="153">
        <f ca="1">OFFSET(passive_type!$I$1,MATCH(C135,passive_type!A:A,0)-1,0)</f>
        <v>2</v>
      </c>
      <c r="AB135" s="153">
        <v>400015</v>
      </c>
      <c r="AC135" s="153">
        <v>36800</v>
      </c>
      <c r="AD135" s="153">
        <f ca="1" t="shared" si="151"/>
        <v>210409</v>
      </c>
      <c r="AE135" s="153">
        <v>0</v>
      </c>
      <c r="AF135" s="153">
        <f ca="1">OFFSET(passive_type!$L$1,MATCH(B135,passive_type!B:B,0)-1,0)</f>
        <v>3</v>
      </c>
      <c r="AG135">
        <f ca="1">OFFSET(passive_type!$R$1,MATCH(B135,passive_type!B:B,0)-1,0)</f>
        <v>1300012</v>
      </c>
      <c r="AH135" s="78">
        <v>216</v>
      </c>
      <c r="AI135">
        <f ca="1">IF(Z135=0,0,VLOOKUP(F135,心法辅助配置表!Q:X,AF135+1,FALSE))</f>
        <v>1887</v>
      </c>
    </row>
    <row r="136" spans="1:35">
      <c r="A136">
        <f ca="1" t="shared" si="147"/>
        <v>210409</v>
      </c>
      <c r="B136" s="156" t="s">
        <v>1563</v>
      </c>
      <c r="C136">
        <f ca="1">OFFSET(passive_type!$A$1,MATCH(B136,passive_type!B:B,0)-1,0)</f>
        <v>2104</v>
      </c>
      <c r="D136" s="157" t="s">
        <v>2930</v>
      </c>
      <c r="E136">
        <v>21</v>
      </c>
      <c r="F136" s="158">
        <f ca="1">(OFFSET(passive_type!$E$1,MATCH(C136,passive_type!A:A,0)-1,0)*10+AA136)*100+Z136</f>
        <v>2209</v>
      </c>
      <c r="G136" s="22">
        <f ca="1">IF(Z136=0,0,VLOOKUP(F136,心法辅助配置表!$G$2:$O$91,AF136+2,FALSE))</f>
        <v>172</v>
      </c>
      <c r="K136" s="78">
        <f ca="1">G136</f>
        <v>172</v>
      </c>
      <c r="M136" s="78">
        <f ca="1" t="shared" ref="M136:O136" si="153">J136+M135</f>
        <v>859</v>
      </c>
      <c r="N136" s="78">
        <f ca="1" t="shared" si="153"/>
        <v>387</v>
      </c>
      <c r="O136" s="78">
        <f ca="1" t="shared" si="153"/>
        <v>4431</v>
      </c>
      <c r="P136" s="78" t="str">
        <f ca="1" t="shared" si="115"/>
        <v>11|859|;</v>
      </c>
      <c r="Q136" s="78" t="str">
        <f ca="1" t="shared" si="116"/>
        <v>21|387|;</v>
      </c>
      <c r="R136" s="78" t="str">
        <f ca="1" t="shared" si="117"/>
        <v>12|4431|;</v>
      </c>
      <c r="S136" s="78" t="str">
        <f ca="1" t="shared" si="141"/>
        <v>11|859|;21|387|;12|4431|;</v>
      </c>
      <c r="T136" s="165" t="str">
        <f ca="1">OFFSET(buff!$C$1,MATCH(W136,buff!A:A,0)-1,0)</f>
        <v>每回合有48%概率，使前2张打出的剑法招式消耗减少1点</v>
      </c>
      <c r="U136" s="166">
        <v>1</v>
      </c>
      <c r="V136" s="166">
        <v>4800</v>
      </c>
      <c r="W136">
        <f ca="1" t="shared" si="149"/>
        <v>210409</v>
      </c>
      <c r="Z136" s="153">
        <f t="shared" si="150"/>
        <v>9</v>
      </c>
      <c r="AA136" s="153">
        <f ca="1">OFFSET(passive_type!$I$1,MATCH(C136,passive_type!A:A,0)-1,0)</f>
        <v>2</v>
      </c>
      <c r="AB136" s="153">
        <v>400015</v>
      </c>
      <c r="AC136" s="153">
        <v>54400</v>
      </c>
      <c r="AD136" s="153">
        <f ca="1" t="shared" si="151"/>
        <v>210410</v>
      </c>
      <c r="AE136" s="153">
        <v>0</v>
      </c>
      <c r="AF136" s="153">
        <f ca="1">OFFSET(passive_type!$L$1,MATCH(B136,passive_type!B:B,0)-1,0)</f>
        <v>3</v>
      </c>
      <c r="AG136">
        <f ca="1">OFFSET(passive_type!$R$1,MATCH(B136,passive_type!B:B,0)-1,0)</f>
        <v>1300012</v>
      </c>
      <c r="AH136">
        <v>300</v>
      </c>
      <c r="AI136">
        <f ca="1">IF(Z136=0,0,VLOOKUP(F136,心法辅助配置表!Q:X,AF136+1,FALSE))</f>
        <v>2044</v>
      </c>
    </row>
    <row r="137" spans="1:35">
      <c r="A137">
        <f ca="1" t="shared" si="147"/>
        <v>210410</v>
      </c>
      <c r="B137" s="156" t="s">
        <v>1563</v>
      </c>
      <c r="C137">
        <f ca="1">OFFSET(passive_type!$A$1,MATCH(B137,passive_type!B:B,0)-1,0)</f>
        <v>2104</v>
      </c>
      <c r="D137" s="157" t="s">
        <v>2928</v>
      </c>
      <c r="E137">
        <v>12</v>
      </c>
      <c r="F137" s="158">
        <f ca="1">(OFFSET(passive_type!$E$1,MATCH(C137,passive_type!A:A,0)-1,0)*10+AA137)*100+Z137</f>
        <v>2210</v>
      </c>
      <c r="G137" s="22">
        <f ca="1">IF(Z137=0,0,VLOOKUP(F137,心法辅助配置表!$G$2:$O$91,AF137+2,FALSE))</f>
        <v>2462</v>
      </c>
      <c r="L137" s="78">
        <f ca="1">G137</f>
        <v>2462</v>
      </c>
      <c r="M137" s="78">
        <f ca="1" t="shared" ref="M137:O137" si="154">J137+M136</f>
        <v>859</v>
      </c>
      <c r="N137" s="78">
        <f ca="1" t="shared" si="154"/>
        <v>387</v>
      </c>
      <c r="O137" s="78">
        <f ca="1" t="shared" si="154"/>
        <v>6893</v>
      </c>
      <c r="P137" s="78" t="str">
        <f ca="1" t="shared" si="115"/>
        <v>11|859|;</v>
      </c>
      <c r="Q137" s="78" t="str">
        <f ca="1" t="shared" si="116"/>
        <v>21|387|;</v>
      </c>
      <c r="R137" s="78" t="str">
        <f ca="1" t="shared" si="117"/>
        <v>12|6893|;</v>
      </c>
      <c r="S137" s="78" t="str">
        <f ca="1" t="shared" si="141"/>
        <v>11|859|;21|387|;12|6893|;</v>
      </c>
      <c r="T137" s="165" t="str">
        <f ca="1">OFFSET(buff!$C$1,MATCH(W137,buff!A:A,0)-1,0)</f>
        <v>每回合有50%概率，使前3张打出的剑法招式消耗减少1点</v>
      </c>
      <c r="U137" s="166">
        <v>1</v>
      </c>
      <c r="V137" s="166">
        <v>5000</v>
      </c>
      <c r="W137">
        <f ca="1" t="shared" si="149"/>
        <v>210410</v>
      </c>
      <c r="Z137" s="153">
        <f t="shared" si="150"/>
        <v>10</v>
      </c>
      <c r="AA137" s="153">
        <f ca="1">OFFSET(passive_type!$I$1,MATCH(C137,passive_type!A:A,0)-1,0)</f>
        <v>2</v>
      </c>
      <c r="AB137" s="153">
        <v>400015</v>
      </c>
      <c r="AC137" s="153">
        <f ca="1">IF(AD137=0,0,100)</f>
        <v>0</v>
      </c>
      <c r="AD137" s="153">
        <f ca="1" t="shared" si="151"/>
        <v>0</v>
      </c>
      <c r="AE137" s="153">
        <v>0</v>
      </c>
      <c r="AF137" s="153">
        <f ca="1">OFFSET(passive_type!$L$1,MATCH(B137,passive_type!B:B,0)-1,0)</f>
        <v>3</v>
      </c>
      <c r="AG137">
        <f ca="1">OFFSET(passive_type!$R$1,MATCH(B137,passive_type!B:B,0)-1,0)</f>
        <v>1300012</v>
      </c>
      <c r="AH137">
        <f ca="1">IF(AD137=0,0,20)</f>
        <v>0</v>
      </c>
      <c r="AI137">
        <f ca="1">IF(Z137=0,0,VLOOKUP(F137,心法辅助配置表!Q:X,AF137+1,FALSE))</f>
        <v>2201</v>
      </c>
    </row>
    <row r="138" spans="1:35">
      <c r="A138">
        <f ca="1" t="shared" si="147"/>
        <v>220400</v>
      </c>
      <c r="B138" s="177" t="s">
        <v>1419</v>
      </c>
      <c r="C138">
        <f ca="1">OFFSET(passive_type!$A$1,MATCH(B138,passive_type!B:B,0)-1,0)</f>
        <v>2204</v>
      </c>
      <c r="D138" s="157"/>
      <c r="F138" s="158">
        <f ca="1">(OFFSET(passive_type!$E$1,MATCH(C138,passive_type!A:A,0)-1,0)*10+AA138)*100+Z138</f>
        <v>2200</v>
      </c>
      <c r="G138" s="22">
        <f ca="1">IF(Z138=0,0,VLOOKUP(F138,心法辅助配置表!$G$2:$O$91,AF138+2,FALSE))</f>
        <v>0</v>
      </c>
      <c r="P138" s="78" t="str">
        <f t="shared" ref="P138:P148" si="155">11&amp;$I$1&amp;M138&amp;$I$1&amp;$P$1</f>
        <v>11||;</v>
      </c>
      <c r="Q138" s="78" t="str">
        <f t="shared" ref="Q138:Q148" si="156">21&amp;$I$1&amp;N138&amp;$I$1&amp;$P$1</f>
        <v>21||;</v>
      </c>
      <c r="R138" s="78" t="str">
        <f t="shared" ref="R138:R148" si="157">12&amp;$I$1&amp;O138&amp;$I$1&amp;$P$1</f>
        <v>12||;</v>
      </c>
      <c r="S138" s="78"/>
      <c r="T138" s="165" t="str">
        <f ca="1">OFFSET(buff!$C$1,MATCH(W138,buff!A:A,0)-1,0)</f>
        <v>回合开始时，发出1道剑气造成{0}点{1}伤害</v>
      </c>
      <c r="U138" s="166"/>
      <c r="V138" s="166">
        <v>10000</v>
      </c>
      <c r="W138">
        <f ca="1" t="shared" si="149"/>
        <v>220400</v>
      </c>
      <c r="Z138" s="153">
        <f t="shared" si="150"/>
        <v>0</v>
      </c>
      <c r="AA138" s="153">
        <v>2</v>
      </c>
      <c r="AB138" s="153">
        <v>400015</v>
      </c>
      <c r="AC138" s="153">
        <f ca="1" t="shared" ref="AC138:AC148" si="158">IF(AD138=0,0,100)</f>
        <v>100</v>
      </c>
      <c r="AD138" s="153">
        <f ca="1" t="shared" si="151"/>
        <v>220401</v>
      </c>
      <c r="AE138" s="153">
        <v>0</v>
      </c>
      <c r="AF138" s="153">
        <f ca="1">OFFSET(passive_type!$L$1,MATCH(B138,passive_type!B:B,0)-1,0)</f>
        <v>4</v>
      </c>
      <c r="AG138">
        <f ca="1">OFFSET(passive_type!$R$1,MATCH(B138,passive_type!B:B,0)-1,0)</f>
        <v>0</v>
      </c>
      <c r="AH138" s="78">
        <v>6</v>
      </c>
      <c r="AI138">
        <f ca="1">IF(Z138=0,0,VLOOKUP(F138,心法辅助配置表!Q:X,AF138+1,FALSE))</f>
        <v>0</v>
      </c>
    </row>
    <row r="139" spans="1:35">
      <c r="A139">
        <f ca="1" t="shared" si="147"/>
        <v>220401</v>
      </c>
      <c r="B139" s="177" t="s">
        <v>1419</v>
      </c>
      <c r="C139">
        <f ca="1">OFFSET(passive_type!$A$1,MATCH(B139,passive_type!B:B,0)-1,0)</f>
        <v>2204</v>
      </c>
      <c r="D139" s="157" t="s">
        <v>2928</v>
      </c>
      <c r="E139">
        <v>12</v>
      </c>
      <c r="F139" s="158">
        <f ca="1">(OFFSET(passive_type!$E$1,MATCH(C139,passive_type!A:A,0)-1,0)*10+AA139)*100+Z139</f>
        <v>2201</v>
      </c>
      <c r="G139" s="22">
        <f ca="1">IF(Z139=0,0,VLOOKUP(F139,心法辅助配置表!$G$2:$O$91,AF139+2,FALSE))</f>
        <v>2366</v>
      </c>
      <c r="L139" s="78">
        <f ca="1">G139</f>
        <v>2366</v>
      </c>
      <c r="M139" s="78">
        <f>J139</f>
        <v>0</v>
      </c>
      <c r="N139" s="78">
        <f>K139</f>
        <v>0</v>
      </c>
      <c r="O139" s="78">
        <f ca="1">G139</f>
        <v>2366</v>
      </c>
      <c r="P139" s="78" t="str">
        <f t="shared" si="155"/>
        <v>11|0|;</v>
      </c>
      <c r="Q139" s="78" t="str">
        <f t="shared" si="156"/>
        <v>21|0|;</v>
      </c>
      <c r="R139" s="78" t="str">
        <f ca="1" t="shared" si="157"/>
        <v>12|2366|;</v>
      </c>
      <c r="S139" s="78" t="str">
        <f ca="1" t="shared" ref="S139:S148" si="159">P139&amp;Q139&amp;R139</f>
        <v>11|0|;21|0|;12|2366|;</v>
      </c>
      <c r="T139" s="165" t="str">
        <f ca="1">OFFSET(buff!$C$1,MATCH(W139,buff!A:A,0)-1,0)</f>
        <v>回合开始时，发出1道剑气造成{0}点{1}伤害</v>
      </c>
      <c r="U139" s="166"/>
      <c r="V139" s="166">
        <v>10000</v>
      </c>
      <c r="W139">
        <f ca="1" t="shared" si="149"/>
        <v>220401</v>
      </c>
      <c r="Z139" s="153">
        <f t="shared" si="150"/>
        <v>1</v>
      </c>
      <c r="AA139" s="153">
        <v>2</v>
      </c>
      <c r="AB139" s="153">
        <v>400015</v>
      </c>
      <c r="AC139" s="153">
        <f ca="1" t="shared" si="158"/>
        <v>100</v>
      </c>
      <c r="AD139" s="153">
        <f ca="1" t="shared" si="151"/>
        <v>220402</v>
      </c>
      <c r="AE139" s="153">
        <v>0</v>
      </c>
      <c r="AF139" s="153">
        <f ca="1">OFFSET(passive_type!$L$1,MATCH(B139,passive_type!B:B,0)-1,0)</f>
        <v>4</v>
      </c>
      <c r="AG139">
        <f ca="1">OFFSET(passive_type!$R$1,MATCH(B139,passive_type!B:B,0)-1,0)</f>
        <v>0</v>
      </c>
      <c r="AH139" s="78">
        <v>12</v>
      </c>
      <c r="AI139">
        <f ca="1">IF(Z139=0,0,VLOOKUP(F139,心法辅助配置表!Q:X,AF139+1,FALSE))</f>
        <v>865</v>
      </c>
    </row>
    <row r="140" spans="1:35">
      <c r="A140">
        <f ca="1" t="shared" si="147"/>
        <v>220402</v>
      </c>
      <c r="B140" s="177" t="s">
        <v>1419</v>
      </c>
      <c r="C140">
        <f ca="1">OFFSET(passive_type!$A$1,MATCH(B140,passive_type!B:B,0)-1,0)</f>
        <v>2204</v>
      </c>
      <c r="D140" s="157" t="s">
        <v>2929</v>
      </c>
      <c r="E140">
        <v>11</v>
      </c>
      <c r="F140" s="158">
        <f ca="1">(OFFSET(passive_type!$E$1,MATCH(C140,passive_type!A:A,0)-1,0)*10+AA140)*100+Z140</f>
        <v>2202</v>
      </c>
      <c r="G140" s="22">
        <f ca="1">IF(Z140=0,0,VLOOKUP(F140,心法辅助配置表!$G$2:$O$91,AF140+2,FALSE))</f>
        <v>423</v>
      </c>
      <c r="J140" s="78">
        <f ca="1">G140</f>
        <v>423</v>
      </c>
      <c r="M140" s="78">
        <f ca="1" t="shared" ref="M140:O140" si="160">J140+M139</f>
        <v>423</v>
      </c>
      <c r="N140" s="78">
        <f t="shared" si="160"/>
        <v>0</v>
      </c>
      <c r="O140" s="78">
        <f ca="1" t="shared" si="160"/>
        <v>2366</v>
      </c>
      <c r="P140" s="78" t="str">
        <f ca="1" t="shared" si="155"/>
        <v>11|423|;</v>
      </c>
      <c r="Q140" s="78" t="str">
        <f t="shared" si="156"/>
        <v>21|0|;</v>
      </c>
      <c r="R140" s="78" t="str">
        <f ca="1" t="shared" si="157"/>
        <v>12|2366|;</v>
      </c>
      <c r="S140" s="78" t="str">
        <f ca="1" t="shared" si="159"/>
        <v>11|423|;21|0|;12|2366|;</v>
      </c>
      <c r="T140" s="165" t="str">
        <f ca="1">OFFSET(buff!$C$1,MATCH(W140,buff!A:A,0)-1,0)</f>
        <v>回合开始时，发出1道剑气造成{0}点{1}伤害</v>
      </c>
      <c r="U140" s="166"/>
      <c r="V140" s="166">
        <v>10000</v>
      </c>
      <c r="W140">
        <f ca="1" t="shared" si="149"/>
        <v>220402</v>
      </c>
      <c r="Z140" s="153">
        <f t="shared" si="150"/>
        <v>2</v>
      </c>
      <c r="AA140" s="153">
        <v>2</v>
      </c>
      <c r="AB140" s="153">
        <v>400015</v>
      </c>
      <c r="AC140" s="153">
        <f ca="1" t="shared" si="158"/>
        <v>100</v>
      </c>
      <c r="AD140" s="153">
        <f ca="1" t="shared" si="151"/>
        <v>220403</v>
      </c>
      <c r="AE140" s="153">
        <v>0</v>
      </c>
      <c r="AF140" s="153">
        <f ca="1">OFFSET(passive_type!$L$1,MATCH(B140,passive_type!B:B,0)-1,0)</f>
        <v>4</v>
      </c>
      <c r="AG140">
        <f ca="1">OFFSET(passive_type!$R$1,MATCH(B140,passive_type!B:B,0)-1,0)</f>
        <v>0</v>
      </c>
      <c r="AH140" s="78">
        <v>24</v>
      </c>
      <c r="AI140">
        <f ca="1">IF(Z140=0,0,VLOOKUP(F140,心法辅助配置表!Q:X,AF140+1,FALSE))</f>
        <v>1038</v>
      </c>
    </row>
    <row r="141" spans="1:35">
      <c r="A141">
        <f ca="1" t="shared" si="147"/>
        <v>220403</v>
      </c>
      <c r="B141" s="177" t="s">
        <v>1419</v>
      </c>
      <c r="C141">
        <f ca="1">OFFSET(passive_type!$A$1,MATCH(B141,passive_type!B:B,0)-1,0)</f>
        <v>2204</v>
      </c>
      <c r="D141" s="157" t="s">
        <v>2930</v>
      </c>
      <c r="E141">
        <v>21</v>
      </c>
      <c r="F141" s="158">
        <f ca="1">(OFFSET(passive_type!$E$1,MATCH(C141,passive_type!A:A,0)-1,0)*10+AA141)*100+Z141</f>
        <v>2203</v>
      </c>
      <c r="G141" s="22">
        <f ca="1">IF(Z141=0,0,VLOOKUP(F141,心法辅助配置表!$G$2:$O$91,AF141+2,FALSE))</f>
        <v>190</v>
      </c>
      <c r="K141" s="78">
        <f ca="1">G141</f>
        <v>190</v>
      </c>
      <c r="M141" s="78">
        <f ca="1" t="shared" ref="M141:O141" si="161">J141+M140</f>
        <v>423</v>
      </c>
      <c r="N141" s="78">
        <f ca="1" t="shared" si="161"/>
        <v>190</v>
      </c>
      <c r="O141" s="78">
        <f ca="1" t="shared" si="161"/>
        <v>2366</v>
      </c>
      <c r="P141" s="78" t="str">
        <f ca="1" t="shared" si="155"/>
        <v>11|423|;</v>
      </c>
      <c r="Q141" s="78" t="str">
        <f ca="1" t="shared" si="156"/>
        <v>21|190|;</v>
      </c>
      <c r="R141" s="78" t="str">
        <f ca="1" t="shared" si="157"/>
        <v>12|2366|;</v>
      </c>
      <c r="S141" s="78" t="str">
        <f ca="1" t="shared" si="159"/>
        <v>11|423|;21|190|;12|2366|;</v>
      </c>
      <c r="T141" s="165" t="str">
        <f ca="1">OFFSET(buff!$C$1,MATCH(W141,buff!A:A,0)-1,0)</f>
        <v>回合开始时，发出1道剑气造成{0}点{1}伤害</v>
      </c>
      <c r="U141" s="166"/>
      <c r="V141" s="166">
        <v>10000</v>
      </c>
      <c r="W141">
        <f ca="1" t="shared" si="149"/>
        <v>220403</v>
      </c>
      <c r="Z141" s="153">
        <f t="shared" si="150"/>
        <v>3</v>
      </c>
      <c r="AA141" s="153">
        <v>2</v>
      </c>
      <c r="AB141" s="153">
        <v>400015</v>
      </c>
      <c r="AC141" s="153">
        <f ca="1" t="shared" si="158"/>
        <v>100</v>
      </c>
      <c r="AD141" s="153">
        <f ca="1" t="shared" si="151"/>
        <v>220404</v>
      </c>
      <c r="AE141" s="153">
        <v>0</v>
      </c>
      <c r="AF141" s="153">
        <f ca="1">OFFSET(passive_type!$L$1,MATCH(B141,passive_type!B:B,0)-1,0)</f>
        <v>4</v>
      </c>
      <c r="AG141">
        <f ca="1">OFFSET(passive_type!$R$1,MATCH(B141,passive_type!B:B,0)-1,0)</f>
        <v>0</v>
      </c>
      <c r="AH141" s="78">
        <v>48</v>
      </c>
      <c r="AI141">
        <f ca="1">IF(Z141=0,0,VLOOKUP(F141,心法辅助配置表!Q:X,AF141+1,FALSE))</f>
        <v>1211</v>
      </c>
    </row>
    <row r="142" spans="1:35">
      <c r="A142">
        <f ca="1" t="shared" si="147"/>
        <v>220404</v>
      </c>
      <c r="B142" s="177" t="s">
        <v>1419</v>
      </c>
      <c r="C142">
        <f ca="1">OFFSET(passive_type!$A$1,MATCH(B142,passive_type!B:B,0)-1,0)</f>
        <v>2204</v>
      </c>
      <c r="D142" s="157" t="s">
        <v>2928</v>
      </c>
      <c r="E142">
        <v>12</v>
      </c>
      <c r="F142" s="158">
        <f ca="1">(OFFSET(passive_type!$E$1,MATCH(C142,passive_type!A:A,0)-1,0)*10+AA142)*100+Z142</f>
        <v>2204</v>
      </c>
      <c r="G142" s="22">
        <f ca="1">IF(Z142=0,0,VLOOKUP(F142,心法辅助配置表!$G$2:$O$91,AF142+2,FALSE))</f>
        <v>3549</v>
      </c>
      <c r="L142" s="78">
        <f ca="1">G142</f>
        <v>3549</v>
      </c>
      <c r="M142" s="78">
        <f ca="1" t="shared" ref="M142:O142" si="162">J142+M141</f>
        <v>423</v>
      </c>
      <c r="N142" s="78">
        <f ca="1" t="shared" si="162"/>
        <v>190</v>
      </c>
      <c r="O142" s="78">
        <f ca="1" t="shared" si="162"/>
        <v>5915</v>
      </c>
      <c r="P142" s="78" t="str">
        <f ca="1" t="shared" si="155"/>
        <v>11|423|;</v>
      </c>
      <c r="Q142" s="78" t="str">
        <f ca="1" t="shared" si="156"/>
        <v>21|190|;</v>
      </c>
      <c r="R142" s="78" t="str">
        <f ca="1" t="shared" si="157"/>
        <v>12|5915|;</v>
      </c>
      <c r="S142" s="78" t="str">
        <f ca="1" t="shared" si="159"/>
        <v>11|423|;21|190|;12|5915|;</v>
      </c>
      <c r="T142" s="165" t="str">
        <f ca="1">OFFSET(buff!$C$1,MATCH(W142,buff!A:A,0)-1,0)</f>
        <v>回合开始时，发出1道剑气造成{0}点{1}伤害</v>
      </c>
      <c r="U142" s="166"/>
      <c r="V142" s="166">
        <v>10000</v>
      </c>
      <c r="W142">
        <f ca="1" t="shared" si="149"/>
        <v>220404</v>
      </c>
      <c r="Z142" s="153">
        <f t="shared" si="150"/>
        <v>4</v>
      </c>
      <c r="AA142" s="153">
        <v>2</v>
      </c>
      <c r="AB142" s="153">
        <v>400015</v>
      </c>
      <c r="AC142" s="153">
        <f ca="1" t="shared" si="158"/>
        <v>100</v>
      </c>
      <c r="AD142" s="153">
        <f ca="1" t="shared" si="151"/>
        <v>220405</v>
      </c>
      <c r="AE142" s="153">
        <v>0</v>
      </c>
      <c r="AF142" s="153">
        <f ca="1">OFFSET(passive_type!$L$1,MATCH(B142,passive_type!B:B,0)-1,0)</f>
        <v>4</v>
      </c>
      <c r="AG142">
        <f ca="1">OFFSET(passive_type!$R$1,MATCH(B142,passive_type!B:B,0)-1,0)</f>
        <v>0</v>
      </c>
      <c r="AH142" s="78">
        <v>60</v>
      </c>
      <c r="AI142">
        <f ca="1">IF(Z142=0,0,VLOOKUP(F142,心法辅助配置表!Q:X,AF142+1,FALSE))</f>
        <v>1384</v>
      </c>
    </row>
    <row r="143" spans="1:35">
      <c r="A143">
        <f ca="1" t="shared" si="147"/>
        <v>220405</v>
      </c>
      <c r="B143" s="177" t="s">
        <v>1419</v>
      </c>
      <c r="C143">
        <f ca="1">OFFSET(passive_type!$A$1,MATCH(B143,passive_type!B:B,0)-1,0)</f>
        <v>2204</v>
      </c>
      <c r="D143" s="157" t="s">
        <v>2929</v>
      </c>
      <c r="E143">
        <v>11</v>
      </c>
      <c r="F143" s="158">
        <f ca="1">(OFFSET(passive_type!$E$1,MATCH(C143,passive_type!A:A,0)-1,0)*10+AA143)*100+Z143</f>
        <v>2205</v>
      </c>
      <c r="G143" s="22">
        <f ca="1">IF(Z143=0,0,VLOOKUP(F143,心法辅助配置表!$G$2:$O$91,AF143+2,FALSE))</f>
        <v>634</v>
      </c>
      <c r="J143" s="78">
        <f ca="1">G143</f>
        <v>634</v>
      </c>
      <c r="M143" s="78">
        <f ca="1" t="shared" ref="M143:O143" si="163">J143+M142</f>
        <v>1057</v>
      </c>
      <c r="N143" s="78">
        <f ca="1" t="shared" si="163"/>
        <v>190</v>
      </c>
      <c r="O143" s="78">
        <f ca="1" t="shared" si="163"/>
        <v>5915</v>
      </c>
      <c r="P143" s="78" t="str">
        <f ca="1" t="shared" si="155"/>
        <v>11|1057|;</v>
      </c>
      <c r="Q143" s="78" t="str">
        <f ca="1" t="shared" si="156"/>
        <v>21|190|;</v>
      </c>
      <c r="R143" s="78" t="str">
        <f ca="1" t="shared" si="157"/>
        <v>12|5915|;</v>
      </c>
      <c r="S143" s="78" t="str">
        <f ca="1" t="shared" si="159"/>
        <v>11|1057|;21|190|;12|5915|;</v>
      </c>
      <c r="T143" s="165" t="str">
        <f ca="1">OFFSET(buff!$C$1,MATCH(W143,buff!A:A,0)-1,0)</f>
        <v>回合开始时，发出1道剑气造成{0}点{1}伤害</v>
      </c>
      <c r="U143" s="166"/>
      <c r="V143" s="166">
        <v>10000</v>
      </c>
      <c r="W143">
        <f ca="1" t="shared" si="149"/>
        <v>220405</v>
      </c>
      <c r="Z143" s="153">
        <f t="shared" si="150"/>
        <v>5</v>
      </c>
      <c r="AA143" s="153">
        <v>2</v>
      </c>
      <c r="AB143" s="153">
        <v>400015</v>
      </c>
      <c r="AC143" s="153">
        <f ca="1" t="shared" si="158"/>
        <v>100</v>
      </c>
      <c r="AD143" s="153">
        <f ca="1" t="shared" si="151"/>
        <v>220406</v>
      </c>
      <c r="AE143" s="153">
        <v>0</v>
      </c>
      <c r="AF143" s="153">
        <f ca="1">OFFSET(passive_type!$L$1,MATCH(B143,passive_type!B:B,0)-1,0)</f>
        <v>4</v>
      </c>
      <c r="AG143">
        <f ca="1">OFFSET(passive_type!$R$1,MATCH(B143,passive_type!B:B,0)-1,0)</f>
        <v>0</v>
      </c>
      <c r="AH143" s="78">
        <v>84</v>
      </c>
      <c r="AI143">
        <f ca="1">IF(Z143=0,0,VLOOKUP(F143,心法辅助配置表!Q:X,AF143+1,FALSE))</f>
        <v>1557</v>
      </c>
    </row>
    <row r="144" spans="1:35">
      <c r="A144">
        <f ca="1" t="shared" si="147"/>
        <v>220406</v>
      </c>
      <c r="B144" s="177" t="s">
        <v>1419</v>
      </c>
      <c r="C144">
        <f ca="1">OFFSET(passive_type!$A$1,MATCH(B144,passive_type!B:B,0)-1,0)</f>
        <v>2204</v>
      </c>
      <c r="D144" s="157" t="s">
        <v>2930</v>
      </c>
      <c r="E144">
        <v>21</v>
      </c>
      <c r="F144" s="158">
        <f ca="1">(OFFSET(passive_type!$E$1,MATCH(C144,passive_type!A:A,0)-1,0)*10+AA144)*100+Z144</f>
        <v>2206</v>
      </c>
      <c r="G144" s="22">
        <f ca="1">IF(Z144=0,0,VLOOKUP(F144,心法辅助配置表!$G$2:$O$91,AF144+2,FALSE))</f>
        <v>285</v>
      </c>
      <c r="K144" s="78">
        <f ca="1">G144</f>
        <v>285</v>
      </c>
      <c r="M144" s="78">
        <f ca="1" t="shared" ref="M144:O144" si="164">J144+M143</f>
        <v>1057</v>
      </c>
      <c r="N144" s="78">
        <f ca="1" t="shared" si="164"/>
        <v>475</v>
      </c>
      <c r="O144" s="78">
        <f ca="1" t="shared" si="164"/>
        <v>5915</v>
      </c>
      <c r="P144" s="78" t="str">
        <f ca="1" t="shared" si="155"/>
        <v>11|1057|;</v>
      </c>
      <c r="Q144" s="78" t="str">
        <f ca="1" t="shared" si="156"/>
        <v>21|475|;</v>
      </c>
      <c r="R144" s="78" t="str">
        <f ca="1" t="shared" si="157"/>
        <v>12|5915|;</v>
      </c>
      <c r="S144" s="78" t="str">
        <f ca="1" t="shared" si="159"/>
        <v>11|1057|;21|475|;12|5915|;</v>
      </c>
      <c r="T144" s="165" t="str">
        <f ca="1">OFFSET(buff!$C$1,MATCH(W144,buff!A:A,0)-1,0)</f>
        <v>回合开始时，发出1道剑气造成{0}点{1}伤害</v>
      </c>
      <c r="U144" s="166"/>
      <c r="V144" s="166">
        <v>10000</v>
      </c>
      <c r="W144">
        <f ca="1" t="shared" si="149"/>
        <v>220406</v>
      </c>
      <c r="Z144" s="153">
        <f t="shared" si="150"/>
        <v>6</v>
      </c>
      <c r="AA144" s="153">
        <v>2</v>
      </c>
      <c r="AB144" s="153">
        <v>400015</v>
      </c>
      <c r="AC144" s="153">
        <f ca="1" t="shared" si="158"/>
        <v>100</v>
      </c>
      <c r="AD144" s="153">
        <f ca="1" t="shared" si="151"/>
        <v>220407</v>
      </c>
      <c r="AE144" s="153">
        <v>0</v>
      </c>
      <c r="AF144" s="153">
        <f ca="1">OFFSET(passive_type!$L$1,MATCH(B144,passive_type!B:B,0)-1,0)</f>
        <v>4</v>
      </c>
      <c r="AG144">
        <f ca="1">OFFSET(passive_type!$R$1,MATCH(B144,passive_type!B:B,0)-1,0)</f>
        <v>0</v>
      </c>
      <c r="AH144" s="78">
        <v>108</v>
      </c>
      <c r="AI144">
        <f ca="1">IF(Z144=0,0,VLOOKUP(F144,心法辅助配置表!Q:X,AF144+1,FALSE))</f>
        <v>1729</v>
      </c>
    </row>
    <row r="145" spans="1:35">
      <c r="A145">
        <f ca="1" t="shared" si="147"/>
        <v>220407</v>
      </c>
      <c r="B145" s="177" t="s">
        <v>1419</v>
      </c>
      <c r="C145">
        <f ca="1">OFFSET(passive_type!$A$1,MATCH(B145,passive_type!B:B,0)-1,0)</f>
        <v>2204</v>
      </c>
      <c r="D145" s="157" t="s">
        <v>2928</v>
      </c>
      <c r="E145">
        <v>12</v>
      </c>
      <c r="F145" s="158">
        <f ca="1">(OFFSET(passive_type!$E$1,MATCH(C145,passive_type!A:A,0)-1,0)*10+AA145)*100+Z145</f>
        <v>2207</v>
      </c>
      <c r="G145" s="22">
        <f ca="1">IF(Z145=0,0,VLOOKUP(F145,心法辅助配置表!$G$2:$O$91,AF145+2,FALSE))</f>
        <v>4731</v>
      </c>
      <c r="L145" s="78">
        <f ca="1">G145</f>
        <v>4731</v>
      </c>
      <c r="M145" s="78">
        <f ca="1" t="shared" ref="M145:O145" si="165">J145+M144</f>
        <v>1057</v>
      </c>
      <c r="N145" s="78">
        <f ca="1" t="shared" si="165"/>
        <v>475</v>
      </c>
      <c r="O145" s="78">
        <f ca="1" t="shared" si="165"/>
        <v>10646</v>
      </c>
      <c r="P145" s="78" t="str">
        <f ca="1" t="shared" si="155"/>
        <v>11|1057|;</v>
      </c>
      <c r="Q145" s="78" t="str">
        <f ca="1" t="shared" si="156"/>
        <v>21|475|;</v>
      </c>
      <c r="R145" s="78" t="str">
        <f ca="1" t="shared" si="157"/>
        <v>12|10646|;</v>
      </c>
      <c r="S145" s="78" t="str">
        <f ca="1" t="shared" si="159"/>
        <v>11|1057|;21|475|;12|10646|;</v>
      </c>
      <c r="T145" s="165" t="str">
        <f ca="1">OFFSET(buff!$C$1,MATCH(W145,buff!A:A,0)-1,0)</f>
        <v>回合开始时，发出1道剑气造成{0}点{1}伤害</v>
      </c>
      <c r="U145" s="166"/>
      <c r="V145" s="166">
        <v>10000</v>
      </c>
      <c r="W145">
        <f ca="1" t="shared" si="149"/>
        <v>220407</v>
      </c>
      <c r="Z145" s="153">
        <f t="shared" si="150"/>
        <v>7</v>
      </c>
      <c r="AA145" s="153">
        <v>2</v>
      </c>
      <c r="AB145" s="153">
        <v>400015</v>
      </c>
      <c r="AC145" s="153">
        <f ca="1" t="shared" si="158"/>
        <v>100</v>
      </c>
      <c r="AD145" s="153">
        <f ca="1" t="shared" si="151"/>
        <v>220408</v>
      </c>
      <c r="AE145" s="153">
        <v>0</v>
      </c>
      <c r="AF145" s="153">
        <f ca="1">OFFSET(passive_type!$L$1,MATCH(B145,passive_type!B:B,0)-1,0)</f>
        <v>4</v>
      </c>
      <c r="AG145">
        <f ca="1">OFFSET(passive_type!$R$1,MATCH(B145,passive_type!B:B,0)-1,0)</f>
        <v>0</v>
      </c>
      <c r="AH145" s="78">
        <v>156</v>
      </c>
      <c r="AI145">
        <f ca="1">IF(Z145=0,0,VLOOKUP(F145,心法辅助配置表!Q:X,AF145+1,FALSE))</f>
        <v>1902</v>
      </c>
    </row>
    <row r="146" spans="1:35">
      <c r="A146">
        <f ca="1" t="shared" si="147"/>
        <v>220408</v>
      </c>
      <c r="B146" s="177" t="s">
        <v>1419</v>
      </c>
      <c r="C146">
        <f ca="1">OFFSET(passive_type!$A$1,MATCH(B146,passive_type!B:B,0)-1,0)</f>
        <v>2204</v>
      </c>
      <c r="D146" s="157" t="s">
        <v>2929</v>
      </c>
      <c r="E146">
        <v>11</v>
      </c>
      <c r="F146" s="158">
        <f ca="1">(OFFSET(passive_type!$E$1,MATCH(C146,passive_type!A:A,0)-1,0)*10+AA146)*100+Z146</f>
        <v>2208</v>
      </c>
      <c r="G146" s="22">
        <f ca="1">IF(Z146=0,0,VLOOKUP(F146,心法辅助配置表!$G$2:$O$91,AF146+2,FALSE))</f>
        <v>846</v>
      </c>
      <c r="J146" s="78">
        <f ca="1">G146</f>
        <v>846</v>
      </c>
      <c r="M146" s="78">
        <f ca="1" t="shared" ref="M146:O146" si="166">J146+M145</f>
        <v>1903</v>
      </c>
      <c r="N146" s="78">
        <f ca="1" t="shared" si="166"/>
        <v>475</v>
      </c>
      <c r="O146" s="78">
        <f ca="1" t="shared" si="166"/>
        <v>10646</v>
      </c>
      <c r="P146" s="78" t="str">
        <f ca="1" t="shared" si="155"/>
        <v>11|1903|;</v>
      </c>
      <c r="Q146" s="78" t="str">
        <f ca="1" t="shared" si="156"/>
        <v>21|475|;</v>
      </c>
      <c r="R146" s="78" t="str">
        <f ca="1" t="shared" si="157"/>
        <v>12|10646|;</v>
      </c>
      <c r="S146" s="78" t="str">
        <f ca="1" t="shared" si="159"/>
        <v>11|1903|;21|475|;12|10646|;</v>
      </c>
      <c r="T146" s="165" t="str">
        <f ca="1">OFFSET(buff!$C$1,MATCH(W146,buff!A:A,0)-1,0)</f>
        <v>回合开始时，发出1道剑气造成{0}点{1}伤害</v>
      </c>
      <c r="U146" s="166"/>
      <c r="V146" s="166">
        <v>10000</v>
      </c>
      <c r="W146">
        <f ca="1" t="shared" si="149"/>
        <v>220408</v>
      </c>
      <c r="Z146" s="153">
        <f t="shared" si="150"/>
        <v>8</v>
      </c>
      <c r="AA146" s="153">
        <v>2</v>
      </c>
      <c r="AB146" s="153">
        <v>400015</v>
      </c>
      <c r="AC146" s="153">
        <f ca="1" t="shared" si="158"/>
        <v>100</v>
      </c>
      <c r="AD146" s="153">
        <f ca="1" t="shared" si="151"/>
        <v>220409</v>
      </c>
      <c r="AE146" s="153">
        <v>0</v>
      </c>
      <c r="AF146" s="153">
        <f ca="1">OFFSET(passive_type!$L$1,MATCH(B146,passive_type!B:B,0)-1,0)</f>
        <v>4</v>
      </c>
      <c r="AG146">
        <f ca="1">OFFSET(passive_type!$R$1,MATCH(B146,passive_type!B:B,0)-1,0)</f>
        <v>0</v>
      </c>
      <c r="AH146" s="78">
        <v>216</v>
      </c>
      <c r="AI146">
        <f ca="1">IF(Z146=0,0,VLOOKUP(F146,心法辅助配置表!Q:X,AF146+1,FALSE))</f>
        <v>2075</v>
      </c>
    </row>
    <row r="147" spans="1:35">
      <c r="A147">
        <f ca="1" t="shared" si="147"/>
        <v>220409</v>
      </c>
      <c r="B147" s="177" t="s">
        <v>1419</v>
      </c>
      <c r="C147">
        <f ca="1">OFFSET(passive_type!$A$1,MATCH(B147,passive_type!B:B,0)-1,0)</f>
        <v>2204</v>
      </c>
      <c r="D147" s="157" t="s">
        <v>2930</v>
      </c>
      <c r="E147">
        <v>21</v>
      </c>
      <c r="F147" s="158">
        <f ca="1">(OFFSET(passive_type!$E$1,MATCH(C147,passive_type!A:A,0)-1,0)*10+AA147)*100+Z147</f>
        <v>2209</v>
      </c>
      <c r="G147" s="22">
        <f ca="1">IF(Z147=0,0,VLOOKUP(F147,心法辅助配置表!$G$2:$O$91,AF147+2,FALSE))</f>
        <v>380</v>
      </c>
      <c r="K147" s="78">
        <f ca="1">G147</f>
        <v>380</v>
      </c>
      <c r="M147" s="78">
        <f ca="1" t="shared" ref="M147:O147" si="167">J147+M146</f>
        <v>1903</v>
      </c>
      <c r="N147" s="78">
        <f ca="1" t="shared" si="167"/>
        <v>855</v>
      </c>
      <c r="O147" s="78">
        <f ca="1" t="shared" si="167"/>
        <v>10646</v>
      </c>
      <c r="P147" s="78" t="str">
        <f ca="1" t="shared" si="155"/>
        <v>11|1903|;</v>
      </c>
      <c r="Q147" s="78" t="str">
        <f ca="1" t="shared" si="156"/>
        <v>21|855|;</v>
      </c>
      <c r="R147" s="78" t="str">
        <f ca="1" t="shared" si="157"/>
        <v>12|10646|;</v>
      </c>
      <c r="S147" s="78" t="str">
        <f ca="1" t="shared" si="159"/>
        <v>11|1903|;21|855|;12|10646|;</v>
      </c>
      <c r="T147" s="165" t="str">
        <f ca="1">OFFSET(buff!$C$1,MATCH(W147,buff!A:A,0)-1,0)</f>
        <v>回合开始时，发出1道剑气造成{0}点{1}伤害</v>
      </c>
      <c r="U147" s="166"/>
      <c r="V147" s="166">
        <v>10000</v>
      </c>
      <c r="W147">
        <f ca="1" t="shared" si="149"/>
        <v>220409</v>
      </c>
      <c r="Z147" s="153">
        <f t="shared" si="150"/>
        <v>9</v>
      </c>
      <c r="AA147" s="153">
        <v>2</v>
      </c>
      <c r="AB147" s="153">
        <v>400015</v>
      </c>
      <c r="AC147" s="153">
        <f ca="1" t="shared" si="158"/>
        <v>100</v>
      </c>
      <c r="AD147" s="153">
        <f ca="1" t="shared" si="151"/>
        <v>220410</v>
      </c>
      <c r="AE147" s="153">
        <v>0</v>
      </c>
      <c r="AF147" s="153">
        <f ca="1">OFFSET(passive_type!$L$1,MATCH(B147,passive_type!B:B,0)-1,0)</f>
        <v>4</v>
      </c>
      <c r="AG147">
        <f ca="1">OFFSET(passive_type!$R$1,MATCH(B147,passive_type!B:B,0)-1,0)</f>
        <v>0</v>
      </c>
      <c r="AH147">
        <v>300</v>
      </c>
      <c r="AI147">
        <f ca="1">IF(Z147=0,0,VLOOKUP(F147,心法辅助配置表!Q:X,AF147+1,FALSE))</f>
        <v>2248</v>
      </c>
    </row>
    <row r="148" spans="1:35">
      <c r="A148">
        <f ca="1" t="shared" si="147"/>
        <v>220410</v>
      </c>
      <c r="B148" s="177" t="s">
        <v>1419</v>
      </c>
      <c r="C148">
        <f ca="1">OFFSET(passive_type!$A$1,MATCH(B148,passive_type!B:B,0)-1,0)</f>
        <v>2204</v>
      </c>
      <c r="D148" s="157" t="s">
        <v>2928</v>
      </c>
      <c r="E148">
        <v>12</v>
      </c>
      <c r="F148" s="158">
        <f ca="1">(OFFSET(passive_type!$E$1,MATCH(C148,passive_type!A:A,0)-1,0)*10+AA148)*100+Z148</f>
        <v>2210</v>
      </c>
      <c r="G148" s="22">
        <f ca="1">IF(Z148=0,0,VLOOKUP(F148,心法辅助配置表!$G$2:$O$91,AF148+2,FALSE))</f>
        <v>5914</v>
      </c>
      <c r="L148" s="78">
        <f ca="1">G148</f>
        <v>5914</v>
      </c>
      <c r="M148" s="78">
        <f ca="1" t="shared" ref="M148:O148" si="168">J148+M147</f>
        <v>1903</v>
      </c>
      <c r="N148" s="78">
        <f ca="1" t="shared" si="168"/>
        <v>855</v>
      </c>
      <c r="O148" s="78">
        <f ca="1" t="shared" si="168"/>
        <v>16560</v>
      </c>
      <c r="P148" s="78" t="str">
        <f ca="1" t="shared" si="155"/>
        <v>11|1903|;</v>
      </c>
      <c r="Q148" s="78" t="str">
        <f ca="1" t="shared" si="156"/>
        <v>21|855|;</v>
      </c>
      <c r="R148" s="78" t="str">
        <f ca="1" t="shared" si="157"/>
        <v>12|16560|;</v>
      </c>
      <c r="S148" s="78" t="str">
        <f ca="1" t="shared" si="159"/>
        <v>11|1903|;21|855|;12|16560|;</v>
      </c>
      <c r="T148" s="165" t="str">
        <f ca="1">OFFSET(buff!$C$1,MATCH(W148,buff!A:A,0)-1,0)</f>
        <v>回合开始时，发出1道剑气造成{0}点{1}伤害</v>
      </c>
      <c r="U148" s="166"/>
      <c r="V148" s="166">
        <v>10000</v>
      </c>
      <c r="W148">
        <f ca="1" t="shared" si="149"/>
        <v>220410</v>
      </c>
      <c r="Z148" s="153">
        <f t="shared" si="150"/>
        <v>10</v>
      </c>
      <c r="AA148" s="153">
        <v>2</v>
      </c>
      <c r="AB148" s="153">
        <v>400015</v>
      </c>
      <c r="AC148" s="153">
        <f ca="1" t="shared" si="158"/>
        <v>0</v>
      </c>
      <c r="AD148" s="153">
        <f ca="1" t="shared" si="151"/>
        <v>0</v>
      </c>
      <c r="AE148" s="153">
        <v>0</v>
      </c>
      <c r="AF148" s="153">
        <f ca="1">OFFSET(passive_type!$L$1,MATCH(B148,passive_type!B:B,0)-1,0)</f>
        <v>4</v>
      </c>
      <c r="AG148">
        <f ca="1">OFFSET(passive_type!$R$1,MATCH(B148,passive_type!B:B,0)-1,0)</f>
        <v>0</v>
      </c>
      <c r="AH148">
        <f ca="1">IF(AD148=0,0,20)</f>
        <v>0</v>
      </c>
      <c r="AI148">
        <f ca="1">IF(Z148=0,0,VLOOKUP(F148,心法辅助配置表!Q:X,AF148+1,FALSE))</f>
        <v>2421</v>
      </c>
    </row>
    <row r="149" spans="1:35">
      <c r="A149">
        <f ca="1" t="shared" si="147"/>
        <v>210500</v>
      </c>
      <c r="B149" s="176" t="s">
        <v>2861</v>
      </c>
      <c r="C149">
        <f ca="1">OFFSET(passive_type!$A$1,MATCH(B149,passive_type!B:B,0)-1,0)</f>
        <v>2105</v>
      </c>
      <c r="D149" s="157"/>
      <c r="F149" s="158">
        <f ca="1">(OFFSET(passive_type!$E$1,MATCH(C149,passive_type!A:A,0)-1,0)*10+AA149)*100+Z149</f>
        <v>2300</v>
      </c>
      <c r="G149" s="22">
        <f ca="1">IF(Z149=0,0,VLOOKUP(F149,心法辅助配置表!$G$2:$O$91,AF149+2,FALSE))</f>
        <v>0</v>
      </c>
      <c r="P149" s="78" t="str">
        <f t="shared" ref="P149:P180" si="169">11&amp;$I$1&amp;M149&amp;$I$1&amp;$P$1</f>
        <v>11||;</v>
      </c>
      <c r="Q149" s="78" t="str">
        <f t="shared" ref="Q149:Q180" si="170">21&amp;$I$1&amp;N149&amp;$I$1&amp;$P$1</f>
        <v>21||;</v>
      </c>
      <c r="R149" s="78" t="str">
        <f t="shared" ref="R149:R180" si="171">12&amp;$I$1&amp;O149&amp;$I$1&amp;$P$1</f>
        <v>12||;</v>
      </c>
      <c r="S149" s="78"/>
      <c r="T149" s="165" t="str">
        <f ca="1">OFFSET(buff!$C$1,MATCH(W149,buff!A:A,0)-1,0)</f>
        <v>使用剑法时，15%概率从牌库中抽取1招剑法并且打出</v>
      </c>
      <c r="U149" s="166"/>
      <c r="V149" s="166">
        <v>10000</v>
      </c>
      <c r="W149">
        <f ca="1" t="shared" si="149"/>
        <v>210500</v>
      </c>
      <c r="Z149" s="153">
        <f>IF(B149=B137,Z137+1,0)</f>
        <v>0</v>
      </c>
      <c r="AA149" s="153">
        <f ca="1">OFFSET(passive_type!$I$1,MATCH(C149,passive_type!A:A,0)-1,0)</f>
        <v>3</v>
      </c>
      <c r="AB149" s="153">
        <v>400015</v>
      </c>
      <c r="AC149" s="153">
        <v>800</v>
      </c>
      <c r="AD149" s="153">
        <f ca="1" t="shared" si="151"/>
        <v>210501</v>
      </c>
      <c r="AE149" s="153">
        <v>0</v>
      </c>
      <c r="AF149" s="153">
        <f ca="1">OFFSET(passive_type!$L$1,MATCH(B149,passive_type!B:B,0)-1,0)</f>
        <v>4</v>
      </c>
      <c r="AG149">
        <f ca="1">OFFSET(passive_type!$R$1,MATCH(B149,passive_type!B:B,0)-1,0)</f>
        <v>1300013</v>
      </c>
      <c r="AH149" s="78">
        <v>6</v>
      </c>
      <c r="AI149">
        <f ca="1">IF(Z149=0,0,VLOOKUP(F149,心法辅助配置表!Q:X,AF149+1,FALSE))</f>
        <v>0</v>
      </c>
    </row>
    <row r="150" spans="1:35">
      <c r="A150">
        <f ca="1" t="shared" si="147"/>
        <v>210501</v>
      </c>
      <c r="B150" s="176" t="s">
        <v>2861</v>
      </c>
      <c r="C150">
        <f ca="1">OFFSET(passive_type!$A$1,MATCH(B150,passive_type!B:B,0)-1,0)</f>
        <v>2105</v>
      </c>
      <c r="D150" s="157" t="s">
        <v>2928</v>
      </c>
      <c r="E150">
        <v>12</v>
      </c>
      <c r="F150" s="158">
        <f ca="1">(OFFSET(passive_type!$E$1,MATCH(C150,passive_type!A:A,0)-1,0)*10+AA150)*100+Z150</f>
        <v>2301</v>
      </c>
      <c r="G150" s="22">
        <f ca="1">IF(Z150=0,0,VLOOKUP(F150,心法辅助配置表!$G$2:$O$91,AF150+2,FALSE))</f>
        <v>3943</v>
      </c>
      <c r="L150" s="78">
        <f ca="1">G150</f>
        <v>3943</v>
      </c>
      <c r="M150" s="78">
        <f>J150</f>
        <v>0</v>
      </c>
      <c r="N150" s="78">
        <f>K150</f>
        <v>0</v>
      </c>
      <c r="O150" s="78">
        <f ca="1">G150</f>
        <v>3943</v>
      </c>
      <c r="P150" s="78" t="str">
        <f t="shared" si="169"/>
        <v>11|0|;</v>
      </c>
      <c r="Q150" s="78" t="str">
        <f t="shared" si="170"/>
        <v>21|0|;</v>
      </c>
      <c r="R150" s="78" t="str">
        <f ca="1" t="shared" si="171"/>
        <v>12|3943|;</v>
      </c>
      <c r="S150" s="78" t="str">
        <f ca="1" t="shared" ref="S150:S159" si="172">P150&amp;Q150&amp;R150</f>
        <v>11|0|;21|0|;12|3943|;</v>
      </c>
      <c r="T150" s="165" t="str">
        <f ca="1">OFFSET(buff!$C$1,MATCH(W150,buff!A:A,0)-1,0)</f>
        <v>使用剑法时，16%概率从牌库中抽取1招剑法并且打出</v>
      </c>
      <c r="U150" s="166"/>
      <c r="V150" s="166">
        <v>10000</v>
      </c>
      <c r="W150">
        <f ca="1" t="shared" si="149"/>
        <v>210501</v>
      </c>
      <c r="Z150" s="153">
        <f t="shared" ref="Z150:Z181" si="173">IF(B150=B149,Z149+1,0)</f>
        <v>1</v>
      </c>
      <c r="AA150" s="153">
        <f ca="1">OFFSET(passive_type!$I$1,MATCH(C150,passive_type!A:A,0)-1,0)</f>
        <v>3</v>
      </c>
      <c r="AB150" s="153">
        <v>400015</v>
      </c>
      <c r="AC150" s="153">
        <v>1600</v>
      </c>
      <c r="AD150" s="153">
        <f ca="1" t="shared" si="151"/>
        <v>210502</v>
      </c>
      <c r="AE150" s="153">
        <v>0</v>
      </c>
      <c r="AF150" s="153">
        <f ca="1">OFFSET(passive_type!$L$1,MATCH(B150,passive_type!B:B,0)-1,0)</f>
        <v>4</v>
      </c>
      <c r="AG150">
        <f ca="1">OFFSET(passive_type!$R$1,MATCH(B150,passive_type!B:B,0)-1,0)</f>
        <v>1300013</v>
      </c>
      <c r="AH150" s="78">
        <v>12</v>
      </c>
      <c r="AI150">
        <f ca="1">IF(Z150=0,0,VLOOKUP(F150,心法辅助配置表!Q:X,AF150+1,FALSE))</f>
        <v>1729</v>
      </c>
    </row>
    <row r="151" spans="1:35">
      <c r="A151">
        <f ca="1" t="shared" si="147"/>
        <v>210502</v>
      </c>
      <c r="B151" s="176" t="s">
        <v>2861</v>
      </c>
      <c r="C151">
        <f ca="1">OFFSET(passive_type!$A$1,MATCH(B151,passive_type!B:B,0)-1,0)</f>
        <v>2105</v>
      </c>
      <c r="D151" s="157" t="s">
        <v>2929</v>
      </c>
      <c r="E151">
        <v>11</v>
      </c>
      <c r="F151" s="158">
        <f ca="1">(OFFSET(passive_type!$E$1,MATCH(C151,passive_type!A:A,0)-1,0)*10+AA151)*100+Z151</f>
        <v>2302</v>
      </c>
      <c r="G151" s="22">
        <f ca="1">IF(Z151=0,0,VLOOKUP(F151,心法辅助配置表!$G$2:$O$91,AF151+2,FALSE))</f>
        <v>705</v>
      </c>
      <c r="J151" s="78">
        <f ca="1">G151</f>
        <v>705</v>
      </c>
      <c r="M151" s="78">
        <f ca="1" t="shared" ref="M151:O151" si="174">J151+M150</f>
        <v>705</v>
      </c>
      <c r="N151" s="78">
        <f t="shared" si="174"/>
        <v>0</v>
      </c>
      <c r="O151" s="78">
        <f ca="1" t="shared" si="174"/>
        <v>3943</v>
      </c>
      <c r="P151" s="78" t="str">
        <f ca="1" t="shared" si="169"/>
        <v>11|705|;</v>
      </c>
      <c r="Q151" s="78" t="str">
        <f t="shared" si="170"/>
        <v>21|0|;</v>
      </c>
      <c r="R151" s="78" t="str">
        <f ca="1" t="shared" si="171"/>
        <v>12|3943|;</v>
      </c>
      <c r="S151" s="78" t="str">
        <f ca="1" t="shared" si="172"/>
        <v>11|705|;21|0|;12|3943|;</v>
      </c>
      <c r="T151" s="165" t="str">
        <f ca="1">OFFSET(buff!$C$1,MATCH(W151,buff!A:A,0)-1,0)</f>
        <v>使用剑法时，17%概率从牌库中抽取1招剑法并且打出</v>
      </c>
      <c r="U151" s="166"/>
      <c r="V151" s="166">
        <v>10000</v>
      </c>
      <c r="W151">
        <f ca="1" t="shared" si="149"/>
        <v>210502</v>
      </c>
      <c r="Z151" s="153">
        <f t="shared" si="173"/>
        <v>2</v>
      </c>
      <c r="AA151" s="153">
        <f ca="1">OFFSET(passive_type!$I$1,MATCH(C151,passive_type!A:A,0)-1,0)</f>
        <v>3</v>
      </c>
      <c r="AB151" s="153">
        <v>400015</v>
      </c>
      <c r="AC151" s="153">
        <v>3200</v>
      </c>
      <c r="AD151" s="153">
        <f ca="1" t="shared" si="151"/>
        <v>210503</v>
      </c>
      <c r="AE151" s="153">
        <v>0</v>
      </c>
      <c r="AF151" s="153">
        <f ca="1">OFFSET(passive_type!$L$1,MATCH(B151,passive_type!B:B,0)-1,0)</f>
        <v>4</v>
      </c>
      <c r="AG151">
        <f ca="1">OFFSET(passive_type!$R$1,MATCH(B151,passive_type!B:B,0)-1,0)</f>
        <v>1300013</v>
      </c>
      <c r="AH151" s="78">
        <v>24</v>
      </c>
      <c r="AI151">
        <f ca="1">IF(Z151=0,0,VLOOKUP(F151,心法辅助配置表!Q:X,AF151+1,FALSE))</f>
        <v>2075</v>
      </c>
    </row>
    <row r="152" spans="1:35">
      <c r="A152">
        <f ca="1" t="shared" si="147"/>
        <v>210503</v>
      </c>
      <c r="B152" s="176" t="s">
        <v>2861</v>
      </c>
      <c r="C152">
        <f ca="1">OFFSET(passive_type!$A$1,MATCH(B152,passive_type!B:B,0)-1,0)</f>
        <v>2105</v>
      </c>
      <c r="D152" s="157" t="s">
        <v>2930</v>
      </c>
      <c r="E152">
        <v>21</v>
      </c>
      <c r="F152" s="158">
        <f ca="1">(OFFSET(passive_type!$E$1,MATCH(C152,passive_type!A:A,0)-1,0)*10+AA152)*100+Z152</f>
        <v>2303</v>
      </c>
      <c r="G152" s="22">
        <f ca="1">IF(Z152=0,0,VLOOKUP(F152,心法辅助配置表!$G$2:$O$91,AF152+2,FALSE))</f>
        <v>317</v>
      </c>
      <c r="K152" s="78">
        <f ca="1">G152</f>
        <v>317</v>
      </c>
      <c r="M152" s="78">
        <f ca="1" t="shared" ref="M152:O152" si="175">J152+M151</f>
        <v>705</v>
      </c>
      <c r="N152" s="78">
        <f ca="1" t="shared" si="175"/>
        <v>317</v>
      </c>
      <c r="O152" s="78">
        <f ca="1" t="shared" si="175"/>
        <v>3943</v>
      </c>
      <c r="P152" s="78" t="str">
        <f ca="1" t="shared" si="169"/>
        <v>11|705|;</v>
      </c>
      <c r="Q152" s="78" t="str">
        <f ca="1" t="shared" si="170"/>
        <v>21|317|;</v>
      </c>
      <c r="R152" s="78" t="str">
        <f ca="1" t="shared" si="171"/>
        <v>12|3943|;</v>
      </c>
      <c r="S152" s="78" t="str">
        <f ca="1" t="shared" si="172"/>
        <v>11|705|;21|317|;12|3943|;</v>
      </c>
      <c r="T152" s="165" t="str">
        <f ca="1">OFFSET(buff!$C$1,MATCH(W152,buff!A:A,0)-1,0)</f>
        <v>使用剑法时，18%概率从牌库中抽取1招剑法并且打出</v>
      </c>
      <c r="U152" s="166"/>
      <c r="V152" s="166">
        <v>10000</v>
      </c>
      <c r="W152">
        <f ca="1" t="shared" si="149"/>
        <v>210503</v>
      </c>
      <c r="Z152" s="153">
        <f t="shared" si="173"/>
        <v>3</v>
      </c>
      <c r="AA152" s="153">
        <f ca="1">OFFSET(passive_type!$I$1,MATCH(C152,passive_type!A:A,0)-1,0)</f>
        <v>3</v>
      </c>
      <c r="AB152" s="153">
        <v>400015</v>
      </c>
      <c r="AC152" s="153">
        <v>6400</v>
      </c>
      <c r="AD152" s="153">
        <f ca="1" t="shared" si="151"/>
        <v>210504</v>
      </c>
      <c r="AE152" s="153">
        <v>0</v>
      </c>
      <c r="AF152" s="153">
        <f ca="1">OFFSET(passive_type!$L$1,MATCH(B152,passive_type!B:B,0)-1,0)</f>
        <v>4</v>
      </c>
      <c r="AG152">
        <f ca="1">OFFSET(passive_type!$R$1,MATCH(B152,passive_type!B:B,0)-1,0)</f>
        <v>1300013</v>
      </c>
      <c r="AH152" s="78">
        <v>48</v>
      </c>
      <c r="AI152">
        <f ca="1">IF(Z152=0,0,VLOOKUP(F152,心法辅助配置表!Q:X,AF152+1,FALSE))</f>
        <v>2421</v>
      </c>
    </row>
    <row r="153" spans="1:35">
      <c r="A153">
        <f ca="1" t="shared" si="147"/>
        <v>210504</v>
      </c>
      <c r="B153" s="176" t="s">
        <v>2861</v>
      </c>
      <c r="C153">
        <f ca="1">OFFSET(passive_type!$A$1,MATCH(B153,passive_type!B:B,0)-1,0)</f>
        <v>2105</v>
      </c>
      <c r="D153" s="157" t="s">
        <v>2928</v>
      </c>
      <c r="E153">
        <v>12</v>
      </c>
      <c r="F153" s="158">
        <f ca="1">(OFFSET(passive_type!$E$1,MATCH(C153,passive_type!A:A,0)-1,0)*10+AA153)*100+Z153</f>
        <v>2304</v>
      </c>
      <c r="G153" s="22">
        <f ca="1">IF(Z153=0,0,VLOOKUP(F153,心法辅助配置表!$G$2:$O$91,AF153+2,FALSE))</f>
        <v>5915</v>
      </c>
      <c r="L153" s="78">
        <f ca="1">G153</f>
        <v>5915</v>
      </c>
      <c r="M153" s="78">
        <f ca="1" t="shared" ref="M153:O153" si="176">J153+M152</f>
        <v>705</v>
      </c>
      <c r="N153" s="78">
        <f ca="1" t="shared" si="176"/>
        <v>317</v>
      </c>
      <c r="O153" s="78">
        <f ca="1" t="shared" si="176"/>
        <v>9858</v>
      </c>
      <c r="P153" s="78" t="str">
        <f ca="1" t="shared" si="169"/>
        <v>11|705|;</v>
      </c>
      <c r="Q153" s="78" t="str">
        <f ca="1" t="shared" si="170"/>
        <v>21|317|;</v>
      </c>
      <c r="R153" s="78" t="str">
        <f ca="1" t="shared" si="171"/>
        <v>12|9858|;</v>
      </c>
      <c r="S153" s="78" t="str">
        <f ca="1" t="shared" si="172"/>
        <v>11|705|;21|317|;12|9858|;</v>
      </c>
      <c r="T153" s="165" t="str">
        <f ca="1">OFFSET(buff!$C$1,MATCH(W153,buff!A:A,0)-1,0)</f>
        <v>使用剑法时，19%概率从牌库中抽取1招剑法并且打出</v>
      </c>
      <c r="U153" s="166"/>
      <c r="V153" s="166">
        <v>10000</v>
      </c>
      <c r="W153">
        <f ca="1" t="shared" si="149"/>
        <v>210504</v>
      </c>
      <c r="Z153" s="153">
        <f t="shared" si="173"/>
        <v>4</v>
      </c>
      <c r="AA153" s="153">
        <f ca="1">OFFSET(passive_type!$I$1,MATCH(C153,passive_type!A:A,0)-1,0)</f>
        <v>3</v>
      </c>
      <c r="AB153" s="153">
        <v>400015</v>
      </c>
      <c r="AC153" s="153">
        <v>8000</v>
      </c>
      <c r="AD153" s="153">
        <f ca="1" t="shared" si="151"/>
        <v>210505</v>
      </c>
      <c r="AE153" s="153">
        <v>0</v>
      </c>
      <c r="AF153" s="153">
        <f ca="1">OFFSET(passive_type!$L$1,MATCH(B153,passive_type!B:B,0)-1,0)</f>
        <v>4</v>
      </c>
      <c r="AG153">
        <f ca="1">OFFSET(passive_type!$R$1,MATCH(B153,passive_type!B:B,0)-1,0)</f>
        <v>1300013</v>
      </c>
      <c r="AH153" s="78">
        <v>60</v>
      </c>
      <c r="AI153">
        <f ca="1">IF(Z153=0,0,VLOOKUP(F153,心法辅助配置表!Q:X,AF153+1,FALSE))</f>
        <v>2767</v>
      </c>
    </row>
    <row r="154" spans="1:35">
      <c r="A154">
        <f ca="1" t="shared" si="147"/>
        <v>210505</v>
      </c>
      <c r="B154" s="176" t="s">
        <v>2861</v>
      </c>
      <c r="C154">
        <f ca="1">OFFSET(passive_type!$A$1,MATCH(B154,passive_type!B:B,0)-1,0)</f>
        <v>2105</v>
      </c>
      <c r="D154" s="157" t="s">
        <v>2929</v>
      </c>
      <c r="E154">
        <v>11</v>
      </c>
      <c r="F154" s="158">
        <f ca="1">(OFFSET(passive_type!$E$1,MATCH(C154,passive_type!A:A,0)-1,0)*10+AA154)*100+Z154</f>
        <v>2305</v>
      </c>
      <c r="G154" s="22">
        <f ca="1">IF(Z154=0,0,VLOOKUP(F154,心法辅助配置表!$G$2:$O$91,AF154+2,FALSE))</f>
        <v>1057</v>
      </c>
      <c r="J154" s="78">
        <f ca="1">G154</f>
        <v>1057</v>
      </c>
      <c r="M154" s="78">
        <f ca="1" t="shared" ref="M154:O154" si="177">J154+M153</f>
        <v>1762</v>
      </c>
      <c r="N154" s="78">
        <f ca="1" t="shared" si="177"/>
        <v>317</v>
      </c>
      <c r="O154" s="78">
        <f ca="1" t="shared" si="177"/>
        <v>9858</v>
      </c>
      <c r="P154" s="78" t="str">
        <f ca="1" t="shared" si="169"/>
        <v>11|1762|;</v>
      </c>
      <c r="Q154" s="78" t="str">
        <f ca="1" t="shared" si="170"/>
        <v>21|317|;</v>
      </c>
      <c r="R154" s="78" t="str">
        <f ca="1" t="shared" si="171"/>
        <v>12|9858|;</v>
      </c>
      <c r="S154" s="78" t="str">
        <f ca="1" t="shared" si="172"/>
        <v>11|1762|;21|317|;12|9858|;</v>
      </c>
      <c r="T154" s="165" t="str">
        <f ca="1">OFFSET(buff!$C$1,MATCH(W154,buff!A:A,0)-1,0)</f>
        <v>使用剑法时，20%概率从牌库中抽取1招剑法并且打出</v>
      </c>
      <c r="U154" s="166"/>
      <c r="V154" s="166">
        <v>10000</v>
      </c>
      <c r="W154">
        <f ca="1" t="shared" si="149"/>
        <v>210505</v>
      </c>
      <c r="Z154" s="153">
        <f t="shared" si="173"/>
        <v>5</v>
      </c>
      <c r="AA154" s="153">
        <f ca="1">OFFSET(passive_type!$I$1,MATCH(C154,passive_type!A:A,0)-1,0)</f>
        <v>3</v>
      </c>
      <c r="AB154" s="153">
        <v>400015</v>
      </c>
      <c r="AC154" s="153">
        <v>11200</v>
      </c>
      <c r="AD154" s="153">
        <f ca="1" t="shared" si="151"/>
        <v>210506</v>
      </c>
      <c r="AE154" s="153">
        <v>0</v>
      </c>
      <c r="AF154" s="153">
        <f ca="1">OFFSET(passive_type!$L$1,MATCH(B154,passive_type!B:B,0)-1,0)</f>
        <v>4</v>
      </c>
      <c r="AG154">
        <f ca="1">OFFSET(passive_type!$R$1,MATCH(B154,passive_type!B:B,0)-1,0)</f>
        <v>1300013</v>
      </c>
      <c r="AH154" s="78">
        <v>84</v>
      </c>
      <c r="AI154">
        <f ca="1">IF(Z154=0,0,VLOOKUP(F154,心法辅助配置表!Q:X,AF154+1,FALSE))</f>
        <v>3113</v>
      </c>
    </row>
    <row r="155" spans="1:35">
      <c r="A155">
        <f ca="1" t="shared" si="147"/>
        <v>210506</v>
      </c>
      <c r="B155" s="176" t="s">
        <v>2861</v>
      </c>
      <c r="C155">
        <f ca="1">OFFSET(passive_type!$A$1,MATCH(B155,passive_type!B:B,0)-1,0)</f>
        <v>2105</v>
      </c>
      <c r="D155" s="157" t="s">
        <v>2930</v>
      </c>
      <c r="E155">
        <v>21</v>
      </c>
      <c r="F155" s="158">
        <f ca="1">(OFFSET(passive_type!$E$1,MATCH(C155,passive_type!A:A,0)-1,0)*10+AA155)*100+Z155</f>
        <v>2306</v>
      </c>
      <c r="G155" s="22">
        <f ca="1">IF(Z155=0,0,VLOOKUP(F155,心法辅助配置表!$G$2:$O$91,AF155+2,FALSE))</f>
        <v>475</v>
      </c>
      <c r="K155" s="78">
        <f ca="1">G155</f>
        <v>475</v>
      </c>
      <c r="M155" s="78">
        <f ca="1" t="shared" ref="M155:O155" si="178">J155+M154</f>
        <v>1762</v>
      </c>
      <c r="N155" s="78">
        <f ca="1" t="shared" si="178"/>
        <v>792</v>
      </c>
      <c r="O155" s="78">
        <f ca="1" t="shared" si="178"/>
        <v>9858</v>
      </c>
      <c r="P155" s="78" t="str">
        <f ca="1" t="shared" si="169"/>
        <v>11|1762|;</v>
      </c>
      <c r="Q155" s="78" t="str">
        <f ca="1" t="shared" si="170"/>
        <v>21|792|;</v>
      </c>
      <c r="R155" s="78" t="str">
        <f ca="1" t="shared" si="171"/>
        <v>12|9858|;</v>
      </c>
      <c r="S155" s="78" t="str">
        <f ca="1" t="shared" si="172"/>
        <v>11|1762|;21|792|;12|9858|;</v>
      </c>
      <c r="T155" s="165" t="str">
        <f ca="1">OFFSET(buff!$C$1,MATCH(W155,buff!A:A,0)-1,0)</f>
        <v>使用剑法时，21%概率从牌库中抽取1招剑法并且打出</v>
      </c>
      <c r="U155" s="166"/>
      <c r="V155" s="166">
        <v>10000</v>
      </c>
      <c r="W155">
        <f ca="1" t="shared" si="149"/>
        <v>210506</v>
      </c>
      <c r="Z155" s="153">
        <f t="shared" si="173"/>
        <v>6</v>
      </c>
      <c r="AA155" s="153">
        <f ca="1">OFFSET(passive_type!$I$1,MATCH(C155,passive_type!A:A,0)-1,0)</f>
        <v>3</v>
      </c>
      <c r="AB155" s="153">
        <v>400015</v>
      </c>
      <c r="AC155" s="153">
        <v>17600</v>
      </c>
      <c r="AD155" s="153">
        <f ca="1" t="shared" si="151"/>
        <v>210507</v>
      </c>
      <c r="AE155" s="153">
        <v>0</v>
      </c>
      <c r="AF155" s="153">
        <f ca="1">OFFSET(passive_type!$L$1,MATCH(B155,passive_type!B:B,0)-1,0)</f>
        <v>4</v>
      </c>
      <c r="AG155">
        <f ca="1">OFFSET(passive_type!$R$1,MATCH(B155,passive_type!B:B,0)-1,0)</f>
        <v>1300013</v>
      </c>
      <c r="AH155" s="78">
        <v>108</v>
      </c>
      <c r="AI155">
        <f ca="1">IF(Z155=0,0,VLOOKUP(F155,心法辅助配置表!Q:X,AF155+1,FALSE))</f>
        <v>3459</v>
      </c>
    </row>
    <row r="156" spans="1:35">
      <c r="A156">
        <f ca="1" t="shared" si="147"/>
        <v>210507</v>
      </c>
      <c r="B156" s="176" t="s">
        <v>2861</v>
      </c>
      <c r="C156">
        <f ca="1">OFFSET(passive_type!$A$1,MATCH(B156,passive_type!B:B,0)-1,0)</f>
        <v>2105</v>
      </c>
      <c r="D156" s="157" t="s">
        <v>2928</v>
      </c>
      <c r="E156">
        <v>12</v>
      </c>
      <c r="F156" s="158">
        <f ca="1">(OFFSET(passive_type!$E$1,MATCH(C156,passive_type!A:A,0)-1,0)*10+AA156)*100+Z156</f>
        <v>2307</v>
      </c>
      <c r="G156" s="22">
        <f ca="1">IF(Z156=0,0,VLOOKUP(F156,心法辅助配置表!$G$2:$O$91,AF156+2,FALSE))</f>
        <v>7885</v>
      </c>
      <c r="L156" s="78">
        <f ca="1" t="shared" ref="L156:L161" si="179">G156</f>
        <v>7885</v>
      </c>
      <c r="M156" s="78">
        <f ca="1" t="shared" ref="M156:O156" si="180">J156+M155</f>
        <v>1762</v>
      </c>
      <c r="N156" s="78">
        <f ca="1" t="shared" si="180"/>
        <v>792</v>
      </c>
      <c r="O156" s="78">
        <f ca="1" t="shared" si="180"/>
        <v>17743</v>
      </c>
      <c r="P156" s="78" t="str">
        <f ca="1" t="shared" si="169"/>
        <v>11|1762|;</v>
      </c>
      <c r="Q156" s="78" t="str">
        <f ca="1" t="shared" si="170"/>
        <v>21|792|;</v>
      </c>
      <c r="R156" s="78" t="str">
        <f ca="1" t="shared" si="171"/>
        <v>12|17743|;</v>
      </c>
      <c r="S156" s="78" t="str">
        <f ca="1" t="shared" si="172"/>
        <v>11|1762|;21|792|;12|17743|;</v>
      </c>
      <c r="T156" s="165" t="str">
        <f ca="1">OFFSET(buff!$C$1,MATCH(W156,buff!A:A,0)-1,0)</f>
        <v>使用剑法时，22%概率从牌库中抽取1招剑法并且打出</v>
      </c>
      <c r="U156" s="166"/>
      <c r="V156" s="166">
        <v>10000</v>
      </c>
      <c r="W156">
        <f ca="1" t="shared" si="149"/>
        <v>210507</v>
      </c>
      <c r="Z156" s="153">
        <f t="shared" si="173"/>
        <v>7</v>
      </c>
      <c r="AA156" s="153">
        <f ca="1">OFFSET(passive_type!$I$1,MATCH(C156,passive_type!A:A,0)-1,0)</f>
        <v>3</v>
      </c>
      <c r="AB156" s="153">
        <v>400015</v>
      </c>
      <c r="AC156" s="153">
        <v>25600</v>
      </c>
      <c r="AD156" s="153">
        <f ca="1" t="shared" si="151"/>
        <v>210508</v>
      </c>
      <c r="AE156" s="153">
        <v>0</v>
      </c>
      <c r="AF156" s="153">
        <f ca="1">OFFSET(passive_type!$L$1,MATCH(B156,passive_type!B:B,0)-1,0)</f>
        <v>4</v>
      </c>
      <c r="AG156">
        <f ca="1">OFFSET(passive_type!$R$1,MATCH(B156,passive_type!B:B,0)-1,0)</f>
        <v>1300013</v>
      </c>
      <c r="AH156" s="78">
        <v>156</v>
      </c>
      <c r="AI156">
        <f ca="1">IF(Z156=0,0,VLOOKUP(F156,心法辅助配置表!Q:X,AF156+1,FALSE))</f>
        <v>3805</v>
      </c>
    </row>
    <row r="157" spans="1:35">
      <c r="A157">
        <f ca="1" t="shared" si="147"/>
        <v>210508</v>
      </c>
      <c r="B157" s="176" t="s">
        <v>2861</v>
      </c>
      <c r="C157">
        <f ca="1">OFFSET(passive_type!$A$1,MATCH(B157,passive_type!B:B,0)-1,0)</f>
        <v>2105</v>
      </c>
      <c r="D157" s="157" t="s">
        <v>2929</v>
      </c>
      <c r="E157">
        <v>11</v>
      </c>
      <c r="F157" s="158">
        <f ca="1">(OFFSET(passive_type!$E$1,MATCH(C157,passive_type!A:A,0)-1,0)*10+AA157)*100+Z157</f>
        <v>2308</v>
      </c>
      <c r="G157" s="22">
        <f ca="1">IF(Z157=0,0,VLOOKUP(F157,心法辅助配置表!$G$2:$O$91,AF157+2,FALSE))</f>
        <v>1410</v>
      </c>
      <c r="J157" s="78">
        <f ca="1">G157</f>
        <v>1410</v>
      </c>
      <c r="M157" s="78">
        <f ca="1" t="shared" ref="M157:O157" si="181">J157+M156</f>
        <v>3172</v>
      </c>
      <c r="N157" s="78">
        <f ca="1" t="shared" si="181"/>
        <v>792</v>
      </c>
      <c r="O157" s="78">
        <f ca="1" t="shared" si="181"/>
        <v>17743</v>
      </c>
      <c r="P157" s="78" t="str">
        <f ca="1" t="shared" si="169"/>
        <v>11|3172|;</v>
      </c>
      <c r="Q157" s="78" t="str">
        <f ca="1" t="shared" si="170"/>
        <v>21|792|;</v>
      </c>
      <c r="R157" s="78" t="str">
        <f ca="1" t="shared" si="171"/>
        <v>12|17743|;</v>
      </c>
      <c r="S157" s="78" t="str">
        <f ca="1" t="shared" si="172"/>
        <v>11|3172|;21|792|;12|17743|;</v>
      </c>
      <c r="T157" s="165" t="str">
        <f ca="1">OFFSET(buff!$C$1,MATCH(W157,buff!A:A,0)-1,0)</f>
        <v>使用剑法时，23%概率从牌库中抽取1招剑法并且打出</v>
      </c>
      <c r="U157" s="166"/>
      <c r="V157" s="166">
        <v>10000</v>
      </c>
      <c r="W157">
        <f ca="1" t="shared" si="149"/>
        <v>210508</v>
      </c>
      <c r="Z157" s="153">
        <f t="shared" si="173"/>
        <v>8</v>
      </c>
      <c r="AA157" s="153">
        <f ca="1">OFFSET(passive_type!$I$1,MATCH(C157,passive_type!A:A,0)-1,0)</f>
        <v>3</v>
      </c>
      <c r="AB157" s="153">
        <v>400015</v>
      </c>
      <c r="AC157" s="153">
        <v>36800</v>
      </c>
      <c r="AD157" s="153">
        <f ca="1" t="shared" si="151"/>
        <v>210509</v>
      </c>
      <c r="AE157" s="153">
        <v>0</v>
      </c>
      <c r="AF157" s="153">
        <f ca="1">OFFSET(passive_type!$L$1,MATCH(B157,passive_type!B:B,0)-1,0)</f>
        <v>4</v>
      </c>
      <c r="AG157">
        <f ca="1">OFFSET(passive_type!$R$1,MATCH(B157,passive_type!B:B,0)-1,0)</f>
        <v>1300013</v>
      </c>
      <c r="AH157" s="78">
        <v>216</v>
      </c>
      <c r="AI157">
        <f ca="1">IF(Z157=0,0,VLOOKUP(F157,心法辅助配置表!Q:X,AF157+1,FALSE))</f>
        <v>4151</v>
      </c>
    </row>
    <row r="158" spans="1:35">
      <c r="A158">
        <f ca="1" t="shared" si="147"/>
        <v>210509</v>
      </c>
      <c r="B158" s="176" t="s">
        <v>2861</v>
      </c>
      <c r="C158">
        <f ca="1">OFFSET(passive_type!$A$1,MATCH(B158,passive_type!B:B,0)-1,0)</f>
        <v>2105</v>
      </c>
      <c r="D158" s="157" t="s">
        <v>2930</v>
      </c>
      <c r="E158">
        <v>21</v>
      </c>
      <c r="F158" s="158">
        <f ca="1">(OFFSET(passive_type!$E$1,MATCH(C158,passive_type!A:A,0)-1,0)*10+AA158)*100+Z158</f>
        <v>2309</v>
      </c>
      <c r="G158" s="22">
        <f ca="1">IF(Z158=0,0,VLOOKUP(F158,心法辅助配置表!$G$2:$O$91,AF158+2,FALSE))</f>
        <v>633</v>
      </c>
      <c r="K158" s="78">
        <f ca="1">G158</f>
        <v>633</v>
      </c>
      <c r="M158" s="78">
        <f ca="1" t="shared" ref="M158:O158" si="182">J158+M157</f>
        <v>3172</v>
      </c>
      <c r="N158" s="78">
        <f ca="1" t="shared" si="182"/>
        <v>1425</v>
      </c>
      <c r="O158" s="78">
        <f ca="1" t="shared" si="182"/>
        <v>17743</v>
      </c>
      <c r="P158" s="78" t="str">
        <f ca="1" t="shared" si="169"/>
        <v>11|3172|;</v>
      </c>
      <c r="Q158" s="78" t="str">
        <f ca="1" t="shared" si="170"/>
        <v>21|1425|;</v>
      </c>
      <c r="R158" s="78" t="str">
        <f ca="1" t="shared" si="171"/>
        <v>12|17743|;</v>
      </c>
      <c r="S158" s="78" t="str">
        <f ca="1" t="shared" si="172"/>
        <v>11|3172|;21|1425|;12|17743|;</v>
      </c>
      <c r="T158" s="165" t="str">
        <f ca="1">OFFSET(buff!$C$1,MATCH(W158,buff!A:A,0)-1,0)</f>
        <v>使用剑法时，24%概率从牌库中抽取1招剑法并且打出</v>
      </c>
      <c r="U158" s="166"/>
      <c r="V158" s="166">
        <v>10000</v>
      </c>
      <c r="W158">
        <f ca="1" t="shared" si="149"/>
        <v>210509</v>
      </c>
      <c r="Z158" s="153">
        <f t="shared" si="173"/>
        <v>9</v>
      </c>
      <c r="AA158" s="153">
        <f ca="1">OFFSET(passive_type!$I$1,MATCH(C158,passive_type!A:A,0)-1,0)</f>
        <v>3</v>
      </c>
      <c r="AB158" s="153">
        <v>400015</v>
      </c>
      <c r="AC158" s="153">
        <v>54400</v>
      </c>
      <c r="AD158" s="153">
        <f ca="1" t="shared" si="151"/>
        <v>210510</v>
      </c>
      <c r="AE158" s="153">
        <v>0</v>
      </c>
      <c r="AF158" s="153">
        <f ca="1">OFFSET(passive_type!$L$1,MATCH(B158,passive_type!B:B,0)-1,0)</f>
        <v>4</v>
      </c>
      <c r="AG158">
        <f ca="1">OFFSET(passive_type!$R$1,MATCH(B158,passive_type!B:B,0)-1,0)</f>
        <v>1300013</v>
      </c>
      <c r="AH158">
        <v>300</v>
      </c>
      <c r="AI158">
        <f ca="1">IF(Z158=0,0,VLOOKUP(F158,心法辅助配置表!Q:X,AF158+1,FALSE))</f>
        <v>4497</v>
      </c>
    </row>
    <row r="159" spans="1:35">
      <c r="A159">
        <f ca="1" t="shared" si="147"/>
        <v>210510</v>
      </c>
      <c r="B159" s="176" t="s">
        <v>2861</v>
      </c>
      <c r="C159">
        <f ca="1">OFFSET(passive_type!$A$1,MATCH(B159,passive_type!B:B,0)-1,0)</f>
        <v>2105</v>
      </c>
      <c r="D159" s="157" t="s">
        <v>2928</v>
      </c>
      <c r="E159">
        <v>12</v>
      </c>
      <c r="F159" s="158">
        <f ca="1">(OFFSET(passive_type!$E$1,MATCH(C159,passive_type!A:A,0)-1,0)*10+AA159)*100+Z159</f>
        <v>2310</v>
      </c>
      <c r="G159" s="22">
        <f ca="1">IF(Z159=0,0,VLOOKUP(F159,心法辅助配置表!$G$2:$O$91,AF159+2,FALSE))</f>
        <v>9857</v>
      </c>
      <c r="L159" s="78">
        <f ca="1" t="shared" si="179"/>
        <v>9857</v>
      </c>
      <c r="M159" s="78">
        <f ca="1" t="shared" ref="M159:O159" si="183">J159+M158</f>
        <v>3172</v>
      </c>
      <c r="N159" s="78">
        <f ca="1" t="shared" si="183"/>
        <v>1425</v>
      </c>
      <c r="O159" s="78">
        <f ca="1" t="shared" si="183"/>
        <v>27600</v>
      </c>
      <c r="P159" s="78" t="str">
        <f ca="1" t="shared" si="169"/>
        <v>11|3172|;</v>
      </c>
      <c r="Q159" s="78" t="str">
        <f ca="1" t="shared" si="170"/>
        <v>21|1425|;</v>
      </c>
      <c r="R159" s="78" t="str">
        <f ca="1" t="shared" si="171"/>
        <v>12|27600|;</v>
      </c>
      <c r="S159" s="78" t="str">
        <f ca="1" t="shared" si="172"/>
        <v>11|3172|;21|1425|;12|27600|;</v>
      </c>
      <c r="T159" s="165" t="str">
        <f ca="1">OFFSET(buff!$C$1,MATCH(W159,buff!A:A,0)-1,0)</f>
        <v>使用剑法时，25%概率从牌库中抽取1招剑法并且打出</v>
      </c>
      <c r="U159" s="166"/>
      <c r="V159" s="166">
        <v>10000</v>
      </c>
      <c r="W159">
        <f ca="1" t="shared" si="149"/>
        <v>210510</v>
      </c>
      <c r="Z159" s="153">
        <f t="shared" si="173"/>
        <v>10</v>
      </c>
      <c r="AA159" s="153">
        <f ca="1">OFFSET(passive_type!$I$1,MATCH(C159,passive_type!A:A,0)-1,0)</f>
        <v>3</v>
      </c>
      <c r="AB159" s="153">
        <v>400015</v>
      </c>
      <c r="AC159" s="153">
        <f ca="1">IF(AD159=0,0,100)</f>
        <v>0</v>
      </c>
      <c r="AD159" s="153">
        <f ca="1" t="shared" si="151"/>
        <v>0</v>
      </c>
      <c r="AE159" s="153">
        <v>0</v>
      </c>
      <c r="AF159" s="153">
        <f ca="1">OFFSET(passive_type!$L$1,MATCH(B159,passive_type!B:B,0)-1,0)</f>
        <v>4</v>
      </c>
      <c r="AG159">
        <f ca="1">OFFSET(passive_type!$R$1,MATCH(B159,passive_type!B:B,0)-1,0)</f>
        <v>1300013</v>
      </c>
      <c r="AH159">
        <f ca="1">IF(AD159=0,0,20)</f>
        <v>0</v>
      </c>
      <c r="AI159">
        <f ca="1">IF(Z159=0,0,VLOOKUP(F159,心法辅助配置表!Q:X,AF159+1,FALSE))</f>
        <v>4843</v>
      </c>
    </row>
    <row r="160" spans="1:35">
      <c r="A160">
        <f ca="1" t="shared" si="147"/>
        <v>220100</v>
      </c>
      <c r="B160" s="175" t="s">
        <v>2863</v>
      </c>
      <c r="C160">
        <f ca="1">OFFSET(passive_type!$A$1,MATCH(B160,passive_type!B:B,0)-1,0)</f>
        <v>2201</v>
      </c>
      <c r="D160" s="157"/>
      <c r="F160" s="158">
        <f ca="1">(OFFSET(passive_type!$E$1,MATCH(C160,passive_type!A:A,0)-1,0)*10+AA160)*100+Z160</f>
        <v>2300</v>
      </c>
      <c r="G160" s="22">
        <f ca="1">IF(Z160=0,0,VLOOKUP(F160,心法辅助配置表!$G$2:$O$91,AF160+2,FALSE))</f>
        <v>0</v>
      </c>
      <c r="P160" s="78" t="str">
        <f t="shared" si="169"/>
        <v>11||;</v>
      </c>
      <c r="Q160" s="78" t="str">
        <f t="shared" si="170"/>
        <v>21||;</v>
      </c>
      <c r="R160" s="78" t="str">
        <f t="shared" si="171"/>
        <v>12||;</v>
      </c>
      <c r="S160" s="78"/>
      <c r="T160" s="165" t="str">
        <f ca="1">OFFSET(buff!$C$1,MATCH(W160,buff!A:A,0)-1,0)</f>
        <v>每回合有30%概率使第1次使用的剑法生效2次</v>
      </c>
      <c r="U160" s="166">
        <v>1</v>
      </c>
      <c r="V160" s="3">
        <v>3000</v>
      </c>
      <c r="W160">
        <f ca="1" t="shared" si="149"/>
        <v>220100</v>
      </c>
      <c r="Z160" s="153">
        <f t="shared" si="173"/>
        <v>0</v>
      </c>
      <c r="AA160" s="153">
        <f ca="1">OFFSET(passive_type!$I$1,MATCH(C160,passive_type!A:A,0)-1,0)</f>
        <v>3</v>
      </c>
      <c r="AB160" s="153">
        <v>400015</v>
      </c>
      <c r="AC160" s="153">
        <v>800</v>
      </c>
      <c r="AD160" s="153">
        <f ca="1" t="shared" si="151"/>
        <v>220101</v>
      </c>
      <c r="AE160" s="153">
        <v>0</v>
      </c>
      <c r="AF160" s="153">
        <f ca="1">OFFSET(passive_type!$L$1,MATCH(B160,passive_type!B:B,0)-1,0)</f>
        <v>2</v>
      </c>
      <c r="AG160">
        <f ca="1">OFFSET(passive_type!$R$1,MATCH(B160,passive_type!B:B,0)-1,0)</f>
        <v>1300014</v>
      </c>
      <c r="AH160" s="78">
        <v>6</v>
      </c>
      <c r="AI160">
        <f ca="1">IF(Z160=0,0,VLOOKUP(F160,心法辅助配置表!Q:X,AF160+1,FALSE))</f>
        <v>0</v>
      </c>
    </row>
    <row r="161" spans="1:35">
      <c r="A161">
        <f ca="1" t="shared" si="147"/>
        <v>220101</v>
      </c>
      <c r="B161" s="175" t="s">
        <v>2863</v>
      </c>
      <c r="C161">
        <f ca="1">OFFSET(passive_type!$A$1,MATCH(B161,passive_type!B:B,0)-1,0)</f>
        <v>2201</v>
      </c>
      <c r="D161" s="157" t="s">
        <v>2928</v>
      </c>
      <c r="E161">
        <v>12</v>
      </c>
      <c r="F161" s="158">
        <f ca="1">(OFFSET(passive_type!$E$1,MATCH(C161,passive_type!A:A,0)-1,0)*10+AA161)*100+Z161</f>
        <v>2301</v>
      </c>
      <c r="G161" s="22">
        <f ca="1">IF(Z161=0,0,VLOOKUP(F161,心法辅助配置表!$G$2:$O$91,AF161+2,FALSE))</f>
        <v>665</v>
      </c>
      <c r="L161" s="78">
        <f ca="1" t="shared" si="179"/>
        <v>665</v>
      </c>
      <c r="M161" s="78">
        <f>J161</f>
        <v>0</v>
      </c>
      <c r="N161" s="78">
        <f>K161</f>
        <v>0</v>
      </c>
      <c r="O161" s="78">
        <f ca="1">G161</f>
        <v>665</v>
      </c>
      <c r="P161" s="78" t="str">
        <f t="shared" si="169"/>
        <v>11|0|;</v>
      </c>
      <c r="Q161" s="78" t="str">
        <f t="shared" si="170"/>
        <v>21|0|;</v>
      </c>
      <c r="R161" s="78" t="str">
        <f ca="1" t="shared" si="171"/>
        <v>12|665|;</v>
      </c>
      <c r="S161" s="78" t="str">
        <f ca="1" t="shared" ref="S161:S170" si="184">P161&amp;Q161&amp;R161</f>
        <v>11|0|;21|0|;12|665|;</v>
      </c>
      <c r="T161" s="165" t="str">
        <f ca="1">OFFSET(buff!$C$1,MATCH(W161,buff!A:A,0)-1,0)</f>
        <v>每回合有32%概率使第1次使用的剑法生效2次</v>
      </c>
      <c r="U161" s="166">
        <v>1</v>
      </c>
      <c r="V161" s="3">
        <v>3200</v>
      </c>
      <c r="W161">
        <f ca="1" t="shared" si="149"/>
        <v>220101</v>
      </c>
      <c r="Z161" s="153">
        <f t="shared" si="173"/>
        <v>1</v>
      </c>
      <c r="AA161" s="153">
        <f ca="1">OFFSET(passive_type!$I$1,MATCH(C161,passive_type!A:A,0)-1,0)</f>
        <v>3</v>
      </c>
      <c r="AB161" s="153">
        <v>400015</v>
      </c>
      <c r="AC161" s="153">
        <v>1600</v>
      </c>
      <c r="AD161" s="153">
        <f ca="1" t="shared" si="151"/>
        <v>220102</v>
      </c>
      <c r="AE161" s="153">
        <v>0</v>
      </c>
      <c r="AF161" s="153">
        <f ca="1">OFFSET(passive_type!$L$1,MATCH(B161,passive_type!B:B,0)-1,0)</f>
        <v>2</v>
      </c>
      <c r="AG161">
        <f ca="1">OFFSET(passive_type!$R$1,MATCH(B161,passive_type!B:B,0)-1,0)</f>
        <v>1300014</v>
      </c>
      <c r="AH161" s="78">
        <v>12</v>
      </c>
      <c r="AI161">
        <f ca="1">IF(Z161=0,0,VLOOKUP(F161,心法辅助配置表!Q:X,AF161+1,FALSE))</f>
        <v>668</v>
      </c>
    </row>
    <row r="162" spans="1:35">
      <c r="A162">
        <f ca="1" t="shared" si="147"/>
        <v>220102</v>
      </c>
      <c r="B162" s="175" t="s">
        <v>2863</v>
      </c>
      <c r="C162">
        <f ca="1">OFFSET(passive_type!$A$1,MATCH(B162,passive_type!B:B,0)-1,0)</f>
        <v>2201</v>
      </c>
      <c r="D162" s="157" t="s">
        <v>2929</v>
      </c>
      <c r="E162">
        <v>11</v>
      </c>
      <c r="F162" s="158">
        <f ca="1">(OFFSET(passive_type!$E$1,MATCH(C162,passive_type!A:A,0)-1,0)*10+AA162)*100+Z162</f>
        <v>2302</v>
      </c>
      <c r="G162" s="22">
        <f ca="1">IF(Z162=0,0,VLOOKUP(F162,心法辅助配置表!$G$2:$O$91,AF162+2,FALSE))</f>
        <v>143</v>
      </c>
      <c r="J162" s="78">
        <f ca="1">G162</f>
        <v>143</v>
      </c>
      <c r="M162" s="78">
        <f ca="1" t="shared" ref="M162:O162" si="185">J162+M161</f>
        <v>143</v>
      </c>
      <c r="N162" s="78">
        <f t="shared" si="185"/>
        <v>0</v>
      </c>
      <c r="O162" s="78">
        <f ca="1" t="shared" si="185"/>
        <v>665</v>
      </c>
      <c r="P162" s="78" t="str">
        <f ca="1" t="shared" si="169"/>
        <v>11|143|;</v>
      </c>
      <c r="Q162" s="78" t="str">
        <f t="shared" si="170"/>
        <v>21|0|;</v>
      </c>
      <c r="R162" s="78" t="str">
        <f ca="1" t="shared" si="171"/>
        <v>12|665|;</v>
      </c>
      <c r="S162" s="78" t="str">
        <f ca="1" t="shared" si="184"/>
        <v>11|143|;21|0|;12|665|;</v>
      </c>
      <c r="T162" s="165" t="str">
        <f ca="1">OFFSET(buff!$C$1,MATCH(W162,buff!A:A,0)-1,0)</f>
        <v>每回合有34%概率使第1次使用的剑法生效2次</v>
      </c>
      <c r="U162" s="166">
        <v>1</v>
      </c>
      <c r="V162" s="3">
        <v>3400</v>
      </c>
      <c r="W162">
        <f ca="1" t="shared" si="149"/>
        <v>220102</v>
      </c>
      <c r="Z162" s="153">
        <f t="shared" si="173"/>
        <v>2</v>
      </c>
      <c r="AA162" s="153">
        <f ca="1">OFFSET(passive_type!$I$1,MATCH(C162,passive_type!A:A,0)-1,0)</f>
        <v>3</v>
      </c>
      <c r="AB162" s="153">
        <v>400015</v>
      </c>
      <c r="AC162" s="153">
        <v>3200</v>
      </c>
      <c r="AD162" s="153">
        <f ca="1" t="shared" si="151"/>
        <v>220103</v>
      </c>
      <c r="AE162" s="153">
        <v>0</v>
      </c>
      <c r="AF162" s="153">
        <f ca="1">OFFSET(passive_type!$L$1,MATCH(B162,passive_type!B:B,0)-1,0)</f>
        <v>2</v>
      </c>
      <c r="AG162">
        <f ca="1">OFFSET(passive_type!$R$1,MATCH(B162,passive_type!B:B,0)-1,0)</f>
        <v>1300014</v>
      </c>
      <c r="AH162" s="78">
        <v>24</v>
      </c>
      <c r="AI162">
        <f ca="1">IF(Z162=0,0,VLOOKUP(F162,心法辅助配置表!Q:X,AF162+1,FALSE))</f>
        <v>801</v>
      </c>
    </row>
    <row r="163" spans="1:35">
      <c r="A163">
        <f ca="1" t="shared" si="147"/>
        <v>220103</v>
      </c>
      <c r="B163" s="175" t="s">
        <v>2863</v>
      </c>
      <c r="C163">
        <f ca="1">OFFSET(passive_type!$A$1,MATCH(B163,passive_type!B:B,0)-1,0)</f>
        <v>2201</v>
      </c>
      <c r="D163" s="157" t="s">
        <v>2930</v>
      </c>
      <c r="E163">
        <v>21</v>
      </c>
      <c r="F163" s="158">
        <f ca="1">(OFFSET(passive_type!$E$1,MATCH(C163,passive_type!A:A,0)-1,0)*10+AA163)*100+Z163</f>
        <v>2303</v>
      </c>
      <c r="G163" s="22">
        <f ca="1">IF(Z163=0,0,VLOOKUP(F163,心法辅助配置表!$G$2:$O$91,AF163+2,FALSE))</f>
        <v>63</v>
      </c>
      <c r="K163" s="78">
        <f ca="1">G163</f>
        <v>63</v>
      </c>
      <c r="M163" s="78">
        <f ca="1" t="shared" ref="M163:O163" si="186">J163+M162</f>
        <v>143</v>
      </c>
      <c r="N163" s="78">
        <f ca="1" t="shared" si="186"/>
        <v>63</v>
      </c>
      <c r="O163" s="78">
        <f ca="1" t="shared" si="186"/>
        <v>665</v>
      </c>
      <c r="P163" s="78" t="str">
        <f ca="1" t="shared" si="169"/>
        <v>11|143|;</v>
      </c>
      <c r="Q163" s="78" t="str">
        <f ca="1" t="shared" si="170"/>
        <v>21|63|;</v>
      </c>
      <c r="R163" s="78" t="str">
        <f ca="1" t="shared" si="171"/>
        <v>12|665|;</v>
      </c>
      <c r="S163" s="78" t="str">
        <f ca="1" t="shared" si="184"/>
        <v>11|143|;21|63|;12|665|;</v>
      </c>
      <c r="T163" s="165" t="str">
        <f ca="1">OFFSET(buff!$C$1,MATCH(W163,buff!A:A,0)-1,0)</f>
        <v>每回合有36%概率使第1次使用的剑法生效2次</v>
      </c>
      <c r="U163" s="166">
        <v>1</v>
      </c>
      <c r="V163" s="3">
        <v>3600</v>
      </c>
      <c r="W163">
        <f ca="1" t="shared" si="149"/>
        <v>220103</v>
      </c>
      <c r="Z163" s="153">
        <f t="shared" si="173"/>
        <v>3</v>
      </c>
      <c r="AA163" s="153">
        <f ca="1">OFFSET(passive_type!$I$1,MATCH(C163,passive_type!A:A,0)-1,0)</f>
        <v>3</v>
      </c>
      <c r="AB163" s="153">
        <v>400015</v>
      </c>
      <c r="AC163" s="153">
        <v>6400</v>
      </c>
      <c r="AD163" s="153">
        <f ca="1" t="shared" si="151"/>
        <v>220104</v>
      </c>
      <c r="AE163" s="153">
        <v>0</v>
      </c>
      <c r="AF163" s="153">
        <f ca="1">OFFSET(passive_type!$L$1,MATCH(B163,passive_type!B:B,0)-1,0)</f>
        <v>2</v>
      </c>
      <c r="AG163">
        <f ca="1">OFFSET(passive_type!$R$1,MATCH(B163,passive_type!B:B,0)-1,0)</f>
        <v>1300014</v>
      </c>
      <c r="AH163" s="78">
        <v>48</v>
      </c>
      <c r="AI163">
        <f ca="1">IF(Z163=0,0,VLOOKUP(F163,心法辅助配置表!Q:X,AF163+1,FALSE))</f>
        <v>935</v>
      </c>
    </row>
    <row r="164" spans="1:35">
      <c r="A164">
        <f ca="1" t="shared" si="147"/>
        <v>220104</v>
      </c>
      <c r="B164" s="175" t="s">
        <v>2863</v>
      </c>
      <c r="C164">
        <f ca="1">OFFSET(passive_type!$A$1,MATCH(B164,passive_type!B:B,0)-1,0)</f>
        <v>2201</v>
      </c>
      <c r="D164" s="157" t="s">
        <v>2928</v>
      </c>
      <c r="E164">
        <v>12</v>
      </c>
      <c r="F164" s="158">
        <f ca="1">(OFFSET(passive_type!$E$1,MATCH(C164,passive_type!A:A,0)-1,0)*10+AA164)*100+Z164</f>
        <v>2304</v>
      </c>
      <c r="G164" s="22">
        <f ca="1">IF(Z164=0,0,VLOOKUP(F164,心法辅助配置表!$G$2:$O$91,AF164+2,FALSE))</f>
        <v>998</v>
      </c>
      <c r="L164" s="78">
        <f ca="1">G164</f>
        <v>998</v>
      </c>
      <c r="M164" s="78">
        <f ca="1" t="shared" ref="M164:O164" si="187">J164+M163</f>
        <v>143</v>
      </c>
      <c r="N164" s="78">
        <f ca="1" t="shared" si="187"/>
        <v>63</v>
      </c>
      <c r="O164" s="78">
        <f ca="1" t="shared" si="187"/>
        <v>1663</v>
      </c>
      <c r="P164" s="78" t="str">
        <f ca="1" t="shared" si="169"/>
        <v>11|143|;</v>
      </c>
      <c r="Q164" s="78" t="str">
        <f ca="1" t="shared" si="170"/>
        <v>21|63|;</v>
      </c>
      <c r="R164" s="78" t="str">
        <f ca="1" t="shared" si="171"/>
        <v>12|1663|;</v>
      </c>
      <c r="S164" s="78" t="str">
        <f ca="1" t="shared" si="184"/>
        <v>11|143|;21|63|;12|1663|;</v>
      </c>
      <c r="T164" s="165" t="str">
        <f ca="1">OFFSET(buff!$C$1,MATCH(W164,buff!A:A,0)-1,0)</f>
        <v>每回合有38%概率使第1次使用的剑法生效2次</v>
      </c>
      <c r="U164" s="166">
        <v>1</v>
      </c>
      <c r="V164" s="3">
        <v>3800</v>
      </c>
      <c r="W164">
        <f ca="1" t="shared" si="149"/>
        <v>220104</v>
      </c>
      <c r="Z164" s="153">
        <f t="shared" si="173"/>
        <v>4</v>
      </c>
      <c r="AA164" s="153">
        <f ca="1">OFFSET(passive_type!$I$1,MATCH(C164,passive_type!A:A,0)-1,0)</f>
        <v>3</v>
      </c>
      <c r="AB164" s="153">
        <v>400015</v>
      </c>
      <c r="AC164" s="153">
        <v>8000</v>
      </c>
      <c r="AD164" s="153">
        <f ca="1" t="shared" si="151"/>
        <v>220105</v>
      </c>
      <c r="AE164" s="153">
        <v>0</v>
      </c>
      <c r="AF164" s="153">
        <f ca="1">OFFSET(passive_type!$L$1,MATCH(B164,passive_type!B:B,0)-1,0)</f>
        <v>2</v>
      </c>
      <c r="AG164">
        <f ca="1">OFFSET(passive_type!$R$1,MATCH(B164,passive_type!B:B,0)-1,0)</f>
        <v>1300014</v>
      </c>
      <c r="AH164" s="78">
        <v>60</v>
      </c>
      <c r="AI164">
        <f ca="1">IF(Z164=0,0,VLOOKUP(F164,心法辅助配置表!Q:X,AF164+1,FALSE))</f>
        <v>1068</v>
      </c>
    </row>
    <row r="165" spans="1:35">
      <c r="A165">
        <f ca="1" t="shared" si="147"/>
        <v>220105</v>
      </c>
      <c r="B165" s="175" t="s">
        <v>2863</v>
      </c>
      <c r="C165">
        <f ca="1">OFFSET(passive_type!$A$1,MATCH(B165,passive_type!B:B,0)-1,0)</f>
        <v>2201</v>
      </c>
      <c r="D165" s="157" t="s">
        <v>2929</v>
      </c>
      <c r="E165">
        <v>11</v>
      </c>
      <c r="F165" s="158">
        <f ca="1">(OFFSET(passive_type!$E$1,MATCH(C165,passive_type!A:A,0)-1,0)*10+AA165)*100+Z165</f>
        <v>2305</v>
      </c>
      <c r="G165" s="22">
        <f ca="1">IF(Z165=0,0,VLOOKUP(F165,心法辅助配置表!$G$2:$O$91,AF165+2,FALSE))</f>
        <v>215</v>
      </c>
      <c r="J165" s="78">
        <f ca="1">G165</f>
        <v>215</v>
      </c>
      <c r="M165" s="78">
        <f ca="1" t="shared" ref="M165:O165" si="188">J165+M164</f>
        <v>358</v>
      </c>
      <c r="N165" s="78">
        <f ca="1" t="shared" si="188"/>
        <v>63</v>
      </c>
      <c r="O165" s="78">
        <f ca="1" t="shared" si="188"/>
        <v>1663</v>
      </c>
      <c r="P165" s="78" t="str">
        <f ca="1" t="shared" si="169"/>
        <v>11|358|;</v>
      </c>
      <c r="Q165" s="78" t="str">
        <f ca="1" t="shared" si="170"/>
        <v>21|63|;</v>
      </c>
      <c r="R165" s="78" t="str">
        <f ca="1" t="shared" si="171"/>
        <v>12|1663|;</v>
      </c>
      <c r="S165" s="78" t="str">
        <f ca="1" t="shared" si="184"/>
        <v>11|358|;21|63|;12|1663|;</v>
      </c>
      <c r="T165" s="165" t="str">
        <f ca="1">OFFSET(buff!$C$1,MATCH(W165,buff!A:A,0)-1,0)</f>
        <v>每回合有40%概率使第1次使用的剑法生效2次</v>
      </c>
      <c r="U165" s="166">
        <v>1</v>
      </c>
      <c r="V165" s="3">
        <v>4000</v>
      </c>
      <c r="W165">
        <f ca="1" t="shared" si="149"/>
        <v>220105</v>
      </c>
      <c r="Z165" s="153">
        <f t="shared" si="173"/>
        <v>5</v>
      </c>
      <c r="AA165" s="153">
        <f ca="1">OFFSET(passive_type!$I$1,MATCH(C165,passive_type!A:A,0)-1,0)</f>
        <v>3</v>
      </c>
      <c r="AB165" s="153">
        <v>400015</v>
      </c>
      <c r="AC165" s="153">
        <v>11200</v>
      </c>
      <c r="AD165" s="153">
        <f ca="1" t="shared" si="151"/>
        <v>220106</v>
      </c>
      <c r="AE165" s="153">
        <v>0</v>
      </c>
      <c r="AF165" s="153">
        <f ca="1">OFFSET(passive_type!$L$1,MATCH(B165,passive_type!B:B,0)-1,0)</f>
        <v>2</v>
      </c>
      <c r="AG165">
        <f ca="1">OFFSET(passive_type!$R$1,MATCH(B165,passive_type!B:B,0)-1,0)</f>
        <v>1300014</v>
      </c>
      <c r="AH165" s="78">
        <v>84</v>
      </c>
      <c r="AI165">
        <f ca="1">IF(Z165=0,0,VLOOKUP(F165,心法辅助配置表!Q:X,AF165+1,FALSE))</f>
        <v>1202</v>
      </c>
    </row>
    <row r="166" spans="1:35">
      <c r="A166">
        <f ca="1" t="shared" si="147"/>
        <v>220106</v>
      </c>
      <c r="B166" s="175" t="s">
        <v>2863</v>
      </c>
      <c r="C166">
        <f ca="1">OFFSET(passive_type!$A$1,MATCH(B166,passive_type!B:B,0)-1,0)</f>
        <v>2201</v>
      </c>
      <c r="D166" s="157" t="s">
        <v>2930</v>
      </c>
      <c r="E166">
        <v>21</v>
      </c>
      <c r="F166" s="158">
        <f ca="1">(OFFSET(passive_type!$E$1,MATCH(C166,passive_type!A:A,0)-1,0)*10+AA166)*100+Z166</f>
        <v>2306</v>
      </c>
      <c r="G166" s="22">
        <f ca="1">IF(Z166=0,0,VLOOKUP(F166,心法辅助配置表!$G$2:$O$91,AF166+2,FALSE))</f>
        <v>97</v>
      </c>
      <c r="K166" s="78">
        <f ca="1">G166</f>
        <v>97</v>
      </c>
      <c r="M166" s="78">
        <f ca="1" t="shared" ref="M166:O166" si="189">J166+M165</f>
        <v>358</v>
      </c>
      <c r="N166" s="78">
        <f ca="1" t="shared" si="189"/>
        <v>160</v>
      </c>
      <c r="O166" s="78">
        <f ca="1" t="shared" si="189"/>
        <v>1663</v>
      </c>
      <c r="P166" s="78" t="str">
        <f ca="1" t="shared" si="169"/>
        <v>11|358|;</v>
      </c>
      <c r="Q166" s="78" t="str">
        <f ca="1" t="shared" si="170"/>
        <v>21|160|;</v>
      </c>
      <c r="R166" s="78" t="str">
        <f ca="1" t="shared" si="171"/>
        <v>12|1663|;</v>
      </c>
      <c r="S166" s="78" t="str">
        <f ca="1" t="shared" si="184"/>
        <v>11|358|;21|160|;12|1663|;</v>
      </c>
      <c r="T166" s="165" t="str">
        <f ca="1">OFFSET(buff!$C$1,MATCH(W166,buff!A:A,0)-1,0)</f>
        <v>每回合有42%概率使第1次使用的剑法生效2次</v>
      </c>
      <c r="U166" s="166">
        <v>1</v>
      </c>
      <c r="V166" s="3">
        <v>4200</v>
      </c>
      <c r="W166">
        <f ca="1" t="shared" si="149"/>
        <v>220106</v>
      </c>
      <c r="Z166" s="153">
        <f t="shared" si="173"/>
        <v>6</v>
      </c>
      <c r="AA166" s="153">
        <f ca="1">OFFSET(passive_type!$I$1,MATCH(C166,passive_type!A:A,0)-1,0)</f>
        <v>3</v>
      </c>
      <c r="AB166" s="153">
        <v>400015</v>
      </c>
      <c r="AC166" s="153">
        <v>17600</v>
      </c>
      <c r="AD166" s="153">
        <f ca="1" t="shared" si="151"/>
        <v>220107</v>
      </c>
      <c r="AE166" s="153">
        <v>0</v>
      </c>
      <c r="AF166" s="153">
        <f ca="1">OFFSET(passive_type!$L$1,MATCH(B166,passive_type!B:B,0)-1,0)</f>
        <v>2</v>
      </c>
      <c r="AG166">
        <f ca="1">OFFSET(passive_type!$R$1,MATCH(B166,passive_type!B:B,0)-1,0)</f>
        <v>1300014</v>
      </c>
      <c r="AH166" s="78">
        <v>108</v>
      </c>
      <c r="AI166">
        <f ca="1">IF(Z166=0,0,VLOOKUP(F166,心法辅助配置表!Q:X,AF166+1,FALSE))</f>
        <v>1335</v>
      </c>
    </row>
    <row r="167" spans="1:35">
      <c r="A167">
        <f ca="1" t="shared" si="147"/>
        <v>220107</v>
      </c>
      <c r="B167" s="175" t="s">
        <v>2863</v>
      </c>
      <c r="C167">
        <f ca="1">OFFSET(passive_type!$A$1,MATCH(B167,passive_type!B:B,0)-1,0)</f>
        <v>2201</v>
      </c>
      <c r="D167" s="157" t="s">
        <v>2928</v>
      </c>
      <c r="E167">
        <v>12</v>
      </c>
      <c r="F167" s="158">
        <f ca="1">(OFFSET(passive_type!$E$1,MATCH(C167,passive_type!A:A,0)-1,0)*10+AA167)*100+Z167</f>
        <v>2307</v>
      </c>
      <c r="G167" s="22">
        <f ca="1">IF(Z167=0,0,VLOOKUP(F167,心法辅助配置表!$G$2:$O$91,AF167+2,FALSE))</f>
        <v>1330</v>
      </c>
      <c r="L167" s="78">
        <f ca="1" t="shared" ref="L167:L172" si="190">G167</f>
        <v>1330</v>
      </c>
      <c r="M167" s="78">
        <f ca="1" t="shared" ref="M167:O167" si="191">J167+M166</f>
        <v>358</v>
      </c>
      <c r="N167" s="78">
        <f ca="1" t="shared" si="191"/>
        <v>160</v>
      </c>
      <c r="O167" s="78">
        <f ca="1" t="shared" si="191"/>
        <v>2993</v>
      </c>
      <c r="P167" s="78" t="str">
        <f ca="1" t="shared" si="169"/>
        <v>11|358|;</v>
      </c>
      <c r="Q167" s="78" t="str">
        <f ca="1" t="shared" si="170"/>
        <v>21|160|;</v>
      </c>
      <c r="R167" s="78" t="str">
        <f ca="1" t="shared" si="171"/>
        <v>12|2993|;</v>
      </c>
      <c r="S167" s="78" t="str">
        <f ca="1" t="shared" si="184"/>
        <v>11|358|;21|160|;12|2993|;</v>
      </c>
      <c r="T167" s="165" t="str">
        <f ca="1">OFFSET(buff!$C$1,MATCH(W167,buff!A:A,0)-1,0)</f>
        <v>每回合有44%概率使第1次使用的剑法生效2次</v>
      </c>
      <c r="U167" s="166">
        <v>1</v>
      </c>
      <c r="V167" s="3">
        <v>4400</v>
      </c>
      <c r="W167">
        <f ca="1" t="shared" si="149"/>
        <v>220107</v>
      </c>
      <c r="Z167" s="153">
        <f t="shared" si="173"/>
        <v>7</v>
      </c>
      <c r="AA167" s="153">
        <f ca="1">OFFSET(passive_type!$I$1,MATCH(C167,passive_type!A:A,0)-1,0)</f>
        <v>3</v>
      </c>
      <c r="AB167" s="153">
        <v>400015</v>
      </c>
      <c r="AC167" s="153">
        <v>25600</v>
      </c>
      <c r="AD167" s="153">
        <f ca="1" t="shared" si="151"/>
        <v>220108</v>
      </c>
      <c r="AE167" s="153">
        <v>0</v>
      </c>
      <c r="AF167" s="153">
        <f ca="1">OFFSET(passive_type!$L$1,MATCH(B167,passive_type!B:B,0)-1,0)</f>
        <v>2</v>
      </c>
      <c r="AG167">
        <f ca="1">OFFSET(passive_type!$R$1,MATCH(B167,passive_type!B:B,0)-1,0)</f>
        <v>1300014</v>
      </c>
      <c r="AH167" s="78">
        <v>156</v>
      </c>
      <c r="AI167">
        <f ca="1">IF(Z167=0,0,VLOOKUP(F167,心法辅助配置表!Q:X,AF167+1,FALSE))</f>
        <v>1469</v>
      </c>
    </row>
    <row r="168" spans="1:35">
      <c r="A168">
        <f ca="1" t="shared" si="147"/>
        <v>220108</v>
      </c>
      <c r="B168" s="175" t="s">
        <v>2863</v>
      </c>
      <c r="C168">
        <f ca="1">OFFSET(passive_type!$A$1,MATCH(B168,passive_type!B:B,0)-1,0)</f>
        <v>2201</v>
      </c>
      <c r="D168" s="157" t="s">
        <v>2929</v>
      </c>
      <c r="E168">
        <v>11</v>
      </c>
      <c r="F168" s="158">
        <f ca="1">(OFFSET(passive_type!$E$1,MATCH(C168,passive_type!A:A,0)-1,0)*10+AA168)*100+Z168</f>
        <v>2308</v>
      </c>
      <c r="G168" s="22">
        <f ca="1">IF(Z168=0,0,VLOOKUP(F168,心法辅助配置表!$G$2:$O$91,AF168+2,FALSE))</f>
        <v>285</v>
      </c>
      <c r="J168" s="78">
        <f ca="1">G168</f>
        <v>285</v>
      </c>
      <c r="M168" s="78">
        <f ca="1" t="shared" ref="M168:O168" si="192">J168+M167</f>
        <v>643</v>
      </c>
      <c r="N168" s="78">
        <f ca="1" t="shared" si="192"/>
        <v>160</v>
      </c>
      <c r="O168" s="78">
        <f ca="1" t="shared" si="192"/>
        <v>2993</v>
      </c>
      <c r="P168" s="78" t="str">
        <f ca="1" t="shared" si="169"/>
        <v>11|643|;</v>
      </c>
      <c r="Q168" s="78" t="str">
        <f ca="1" t="shared" si="170"/>
        <v>21|160|;</v>
      </c>
      <c r="R168" s="78" t="str">
        <f ca="1" t="shared" si="171"/>
        <v>12|2993|;</v>
      </c>
      <c r="S168" s="78" t="str">
        <f ca="1" t="shared" si="184"/>
        <v>11|643|;21|160|;12|2993|;</v>
      </c>
      <c r="T168" s="165" t="str">
        <f ca="1">OFFSET(buff!$C$1,MATCH(W168,buff!A:A,0)-1,0)</f>
        <v>每回合有46%概率使第1次使用的剑法生效2次</v>
      </c>
      <c r="U168" s="166">
        <v>1</v>
      </c>
      <c r="V168" s="3">
        <v>4600</v>
      </c>
      <c r="W168">
        <f ca="1" t="shared" si="149"/>
        <v>220108</v>
      </c>
      <c r="Z168" s="153">
        <f t="shared" si="173"/>
        <v>8</v>
      </c>
      <c r="AA168" s="153">
        <f ca="1">OFFSET(passive_type!$I$1,MATCH(C168,passive_type!A:A,0)-1,0)</f>
        <v>3</v>
      </c>
      <c r="AB168" s="153">
        <v>400015</v>
      </c>
      <c r="AC168" s="153">
        <v>36800</v>
      </c>
      <c r="AD168" s="153">
        <f ca="1" t="shared" si="151"/>
        <v>220109</v>
      </c>
      <c r="AE168" s="153">
        <v>0</v>
      </c>
      <c r="AF168" s="153">
        <f ca="1">OFFSET(passive_type!$L$1,MATCH(B168,passive_type!B:B,0)-1,0)</f>
        <v>2</v>
      </c>
      <c r="AG168">
        <f ca="1">OFFSET(passive_type!$R$1,MATCH(B168,passive_type!B:B,0)-1,0)</f>
        <v>1300014</v>
      </c>
      <c r="AH168" s="78">
        <v>216</v>
      </c>
      <c r="AI168">
        <f ca="1">IF(Z168=0,0,VLOOKUP(F168,心法辅助配置表!Q:X,AF168+1,FALSE))</f>
        <v>1603</v>
      </c>
    </row>
    <row r="169" spans="1:35">
      <c r="A169">
        <f ca="1" t="shared" si="147"/>
        <v>220109</v>
      </c>
      <c r="B169" s="175" t="s">
        <v>2863</v>
      </c>
      <c r="C169">
        <f ca="1">OFFSET(passive_type!$A$1,MATCH(B169,passive_type!B:B,0)-1,0)</f>
        <v>2201</v>
      </c>
      <c r="D169" s="157" t="s">
        <v>2930</v>
      </c>
      <c r="E169">
        <v>21</v>
      </c>
      <c r="F169" s="158">
        <f ca="1">(OFFSET(passive_type!$E$1,MATCH(C169,passive_type!A:A,0)-1,0)*10+AA169)*100+Z169</f>
        <v>2309</v>
      </c>
      <c r="G169" s="22">
        <f ca="1">IF(Z169=0,0,VLOOKUP(F169,心法辅助配置表!$G$2:$O$91,AF169+2,FALSE))</f>
        <v>128</v>
      </c>
      <c r="K169" s="78">
        <f ca="1">G169</f>
        <v>128</v>
      </c>
      <c r="M169" s="78">
        <f ca="1" t="shared" ref="M169:O169" si="193">J169+M168</f>
        <v>643</v>
      </c>
      <c r="N169" s="78">
        <f ca="1" t="shared" si="193"/>
        <v>288</v>
      </c>
      <c r="O169" s="78">
        <f ca="1" t="shared" si="193"/>
        <v>2993</v>
      </c>
      <c r="P169" s="78" t="str">
        <f ca="1" t="shared" si="169"/>
        <v>11|643|;</v>
      </c>
      <c r="Q169" s="78" t="str">
        <f ca="1" t="shared" si="170"/>
        <v>21|288|;</v>
      </c>
      <c r="R169" s="78" t="str">
        <f ca="1" t="shared" si="171"/>
        <v>12|2993|;</v>
      </c>
      <c r="S169" s="78" t="str">
        <f ca="1" t="shared" si="184"/>
        <v>11|643|;21|288|;12|2993|;</v>
      </c>
      <c r="T169" s="165" t="str">
        <f ca="1">OFFSET(buff!$C$1,MATCH(W169,buff!A:A,0)-1,0)</f>
        <v>每回合有48%概率使第1次使用的剑法生效2次</v>
      </c>
      <c r="U169" s="166">
        <v>1</v>
      </c>
      <c r="V169" s="3">
        <v>4800</v>
      </c>
      <c r="W169">
        <f ca="1" t="shared" si="149"/>
        <v>220109</v>
      </c>
      <c r="Z169" s="153">
        <f t="shared" si="173"/>
        <v>9</v>
      </c>
      <c r="AA169" s="153">
        <f ca="1">OFFSET(passive_type!$I$1,MATCH(C169,passive_type!A:A,0)-1,0)</f>
        <v>3</v>
      </c>
      <c r="AB169" s="153">
        <v>400015</v>
      </c>
      <c r="AC169" s="153">
        <v>54400</v>
      </c>
      <c r="AD169" s="153">
        <f ca="1" t="shared" si="151"/>
        <v>220110</v>
      </c>
      <c r="AE169" s="153">
        <v>0</v>
      </c>
      <c r="AF169" s="153">
        <f ca="1">OFFSET(passive_type!$L$1,MATCH(B169,passive_type!B:B,0)-1,0)</f>
        <v>2</v>
      </c>
      <c r="AG169">
        <f ca="1">OFFSET(passive_type!$R$1,MATCH(B169,passive_type!B:B,0)-1,0)</f>
        <v>1300014</v>
      </c>
      <c r="AH169">
        <v>300</v>
      </c>
      <c r="AI169">
        <f ca="1">IF(Z169=0,0,VLOOKUP(F169,心法辅助配置表!Q:X,AF169+1,FALSE))</f>
        <v>1736</v>
      </c>
    </row>
    <row r="170" spans="1:35">
      <c r="A170">
        <f ca="1" t="shared" si="147"/>
        <v>220110</v>
      </c>
      <c r="B170" s="175" t="s">
        <v>2863</v>
      </c>
      <c r="C170">
        <f ca="1">OFFSET(passive_type!$A$1,MATCH(B170,passive_type!B:B,0)-1,0)</f>
        <v>2201</v>
      </c>
      <c r="D170" s="157" t="s">
        <v>2928</v>
      </c>
      <c r="E170">
        <v>12</v>
      </c>
      <c r="F170" s="158">
        <f ca="1">(OFFSET(passive_type!$E$1,MATCH(C170,passive_type!A:A,0)-1,0)*10+AA170)*100+Z170</f>
        <v>2310</v>
      </c>
      <c r="G170" s="22">
        <f ca="1">IF(Z170=0,0,VLOOKUP(F170,心法辅助配置表!$G$2:$O$91,AF170+2,FALSE))</f>
        <v>1663</v>
      </c>
      <c r="L170" s="78">
        <f ca="1" t="shared" si="190"/>
        <v>1663</v>
      </c>
      <c r="M170" s="78">
        <f ca="1" t="shared" ref="M170:O170" si="194">J170+M169</f>
        <v>643</v>
      </c>
      <c r="N170" s="78">
        <f ca="1" t="shared" si="194"/>
        <v>288</v>
      </c>
      <c r="O170" s="78">
        <f ca="1" t="shared" si="194"/>
        <v>4656</v>
      </c>
      <c r="P170" s="78" t="str">
        <f ca="1" t="shared" si="169"/>
        <v>11|643|;</v>
      </c>
      <c r="Q170" s="78" t="str">
        <f ca="1" t="shared" si="170"/>
        <v>21|288|;</v>
      </c>
      <c r="R170" s="78" t="str">
        <f ca="1" t="shared" si="171"/>
        <v>12|4656|;</v>
      </c>
      <c r="S170" s="78" t="str">
        <f ca="1" t="shared" si="184"/>
        <v>11|643|;21|288|;12|4656|;</v>
      </c>
      <c r="T170" s="165" t="str">
        <f ca="1">OFFSET(buff!$C$1,MATCH(W170,buff!A:A,0)-1,0)</f>
        <v>每回合有50%概率使第1次使用的剑法生效2次</v>
      </c>
      <c r="U170" s="166">
        <v>1</v>
      </c>
      <c r="V170" s="3">
        <v>5000</v>
      </c>
      <c r="W170">
        <f ca="1" t="shared" si="149"/>
        <v>220110</v>
      </c>
      <c r="Z170" s="153">
        <f t="shared" si="173"/>
        <v>10</v>
      </c>
      <c r="AA170" s="153">
        <f ca="1">OFFSET(passive_type!$I$1,MATCH(C170,passive_type!A:A,0)-1,0)</f>
        <v>3</v>
      </c>
      <c r="AB170" s="153">
        <v>400015</v>
      </c>
      <c r="AC170" s="153">
        <f ca="1">IF(AD170=0,0,100)</f>
        <v>0</v>
      </c>
      <c r="AD170" s="153">
        <f ca="1" t="shared" si="151"/>
        <v>0</v>
      </c>
      <c r="AE170" s="153">
        <v>0</v>
      </c>
      <c r="AF170" s="153">
        <f ca="1">OFFSET(passive_type!$L$1,MATCH(B170,passive_type!B:B,0)-1,0)</f>
        <v>2</v>
      </c>
      <c r="AG170">
        <f ca="1">OFFSET(passive_type!$R$1,MATCH(B170,passive_type!B:B,0)-1,0)</f>
        <v>1300014</v>
      </c>
      <c r="AH170">
        <f ca="1">IF(AD170=0,0,20)</f>
        <v>0</v>
      </c>
      <c r="AI170">
        <f ca="1">IF(Z170=0,0,VLOOKUP(F170,心法辅助配置表!Q:X,AF170+1,FALSE))</f>
        <v>1870</v>
      </c>
    </row>
    <row r="171" spans="1:35">
      <c r="A171">
        <f ca="1" t="shared" si="147"/>
        <v>220200</v>
      </c>
      <c r="B171" s="175" t="s">
        <v>2865</v>
      </c>
      <c r="C171">
        <f ca="1">OFFSET(passive_type!$A$1,MATCH(B171,passive_type!B:B,0)-1,0)</f>
        <v>2202</v>
      </c>
      <c r="D171" s="157"/>
      <c r="F171" s="158">
        <f ca="1">(OFFSET(passive_type!$E$1,MATCH(C171,passive_type!A:A,0)-1,0)*10+AA171)*100+Z171</f>
        <v>2400</v>
      </c>
      <c r="G171" s="22">
        <f ca="1">IF(Z171=0,0,VLOOKUP(F171,心法辅助配置表!$G$2:$O$91,AF171+2,FALSE))</f>
        <v>0</v>
      </c>
      <c r="P171" s="78" t="str">
        <f t="shared" si="169"/>
        <v>11||;</v>
      </c>
      <c r="Q171" s="78" t="str">
        <f t="shared" si="170"/>
        <v>21||;</v>
      </c>
      <c r="R171" s="78" t="str">
        <f t="shared" si="171"/>
        <v>12||;</v>
      </c>
      <c r="S171" s="78"/>
      <c r="T171" s="165" t="str">
        <f ca="1">OFFSET(buff!$C$1,MATCH(W171,buff!A:A,0)-1,0)</f>
        <v>每使用2招，造成敌人当前血量5%的伤害</v>
      </c>
      <c r="U171" s="166"/>
      <c r="V171" s="166">
        <v>10000</v>
      </c>
      <c r="W171">
        <f ca="1" t="shared" si="149"/>
        <v>220200</v>
      </c>
      <c r="Z171" s="153">
        <f t="shared" si="173"/>
        <v>0</v>
      </c>
      <c r="AA171" s="153">
        <f ca="1">OFFSET(passive_type!$I$1,MATCH(C171,passive_type!A:A,0)-1,0)</f>
        <v>4</v>
      </c>
      <c r="AB171" s="153">
        <v>400015</v>
      </c>
      <c r="AC171" s="78">
        <v>800</v>
      </c>
      <c r="AD171" s="153">
        <f ca="1" t="shared" si="151"/>
        <v>220201</v>
      </c>
      <c r="AE171" s="153">
        <v>0</v>
      </c>
      <c r="AF171" s="153">
        <f ca="1">OFFSET(passive_type!$L$1,MATCH(B171,passive_type!B:B,0)-1,0)</f>
        <v>2</v>
      </c>
      <c r="AG171">
        <f ca="1">OFFSET(passive_type!$R$1,MATCH(B171,passive_type!B:B,0)-1,0)</f>
        <v>1300015</v>
      </c>
      <c r="AH171" s="78">
        <v>6</v>
      </c>
      <c r="AI171">
        <f ca="1">IF(Z171=0,0,VLOOKUP(F171,心法辅助配置表!Q:X,AF171+1,FALSE))</f>
        <v>0</v>
      </c>
    </row>
    <row r="172" spans="1:35">
      <c r="A172">
        <f ca="1" t="shared" si="147"/>
        <v>220201</v>
      </c>
      <c r="B172" s="175" t="s">
        <v>2865</v>
      </c>
      <c r="C172">
        <f ca="1">OFFSET(passive_type!$A$1,MATCH(B172,passive_type!B:B,0)-1,0)</f>
        <v>2202</v>
      </c>
      <c r="D172" s="157" t="s">
        <v>2928</v>
      </c>
      <c r="E172">
        <v>12</v>
      </c>
      <c r="F172" s="158">
        <f ca="1">(OFFSET(passive_type!$E$1,MATCH(C172,passive_type!A:A,0)-1,0)*10+AA172)*100+Z172</f>
        <v>2401</v>
      </c>
      <c r="G172" s="22">
        <f ca="1">IF(Z172=0,0,VLOOKUP(F172,心法辅助配置表!$G$2:$O$91,AF172+2,FALSE))</f>
        <v>931</v>
      </c>
      <c r="L172" s="78">
        <f ca="1" t="shared" si="190"/>
        <v>931</v>
      </c>
      <c r="M172" s="78">
        <f>J172</f>
        <v>0</v>
      </c>
      <c r="N172" s="78">
        <f>K172</f>
        <v>0</v>
      </c>
      <c r="O172" s="78">
        <f ca="1">G172</f>
        <v>931</v>
      </c>
      <c r="P172" s="78" t="str">
        <f t="shared" si="169"/>
        <v>11|0|;</v>
      </c>
      <c r="Q172" s="78" t="str">
        <f t="shared" si="170"/>
        <v>21|0|;</v>
      </c>
      <c r="R172" s="78" t="str">
        <f ca="1" t="shared" si="171"/>
        <v>12|931|;</v>
      </c>
      <c r="S172" s="78" t="str">
        <f ca="1" t="shared" ref="S172:S181" si="195">P172&amp;Q172&amp;R172</f>
        <v>11|0|;21|0|;12|931|;</v>
      </c>
      <c r="T172" s="165" t="str">
        <f ca="1">OFFSET(buff!$C$1,MATCH(W172,buff!A:A,0)-1,0)</f>
        <v>每使用2招，造成敌人当前血量5.5%的伤害</v>
      </c>
      <c r="U172" s="166"/>
      <c r="V172" s="166">
        <v>10000</v>
      </c>
      <c r="W172">
        <f ca="1" t="shared" si="149"/>
        <v>220201</v>
      </c>
      <c r="Z172" s="153">
        <f t="shared" si="173"/>
        <v>1</v>
      </c>
      <c r="AA172" s="153">
        <f ca="1">OFFSET(passive_type!$I$1,MATCH(C172,passive_type!A:A,0)-1,0)</f>
        <v>4</v>
      </c>
      <c r="AB172" s="153">
        <v>400015</v>
      </c>
      <c r="AC172" s="78">
        <v>1600</v>
      </c>
      <c r="AD172" s="153">
        <f ca="1" t="shared" si="151"/>
        <v>220202</v>
      </c>
      <c r="AE172" s="153">
        <v>0</v>
      </c>
      <c r="AF172" s="153">
        <f ca="1">OFFSET(passive_type!$L$1,MATCH(B172,passive_type!B:B,0)-1,0)</f>
        <v>2</v>
      </c>
      <c r="AG172">
        <f ca="1">OFFSET(passive_type!$R$1,MATCH(B172,passive_type!B:B,0)-1,0)</f>
        <v>1300015</v>
      </c>
      <c r="AH172" s="78">
        <v>12</v>
      </c>
      <c r="AI172">
        <f ca="1">IF(Z172=0,0,VLOOKUP(F172,心法辅助配置表!Q:X,AF172+1,FALSE))</f>
        <v>1002</v>
      </c>
    </row>
    <row r="173" spans="1:35">
      <c r="A173">
        <f ca="1" t="shared" si="147"/>
        <v>220202</v>
      </c>
      <c r="B173" s="175" t="s">
        <v>2865</v>
      </c>
      <c r="C173">
        <f ca="1">OFFSET(passive_type!$A$1,MATCH(B173,passive_type!B:B,0)-1,0)</f>
        <v>2202</v>
      </c>
      <c r="D173" s="157" t="s">
        <v>2929</v>
      </c>
      <c r="E173">
        <v>11</v>
      </c>
      <c r="F173" s="158">
        <f ca="1">(OFFSET(passive_type!$E$1,MATCH(C173,passive_type!A:A,0)-1,0)*10+AA173)*100+Z173</f>
        <v>2402</v>
      </c>
      <c r="G173" s="22">
        <f ca="1">IF(Z173=0,0,VLOOKUP(F173,心法辅助配置表!$G$2:$O$91,AF173+2,FALSE))</f>
        <v>201</v>
      </c>
      <c r="J173" s="78">
        <f ca="1">G173</f>
        <v>201</v>
      </c>
      <c r="M173" s="78">
        <f ca="1" t="shared" ref="M173:O173" si="196">J173+M172</f>
        <v>201</v>
      </c>
      <c r="N173" s="78">
        <f t="shared" si="196"/>
        <v>0</v>
      </c>
      <c r="O173" s="78">
        <f ca="1" t="shared" si="196"/>
        <v>931</v>
      </c>
      <c r="P173" s="78" t="str">
        <f ca="1" t="shared" si="169"/>
        <v>11|201|;</v>
      </c>
      <c r="Q173" s="78" t="str">
        <f t="shared" si="170"/>
        <v>21|0|;</v>
      </c>
      <c r="R173" s="78" t="str">
        <f ca="1" t="shared" si="171"/>
        <v>12|931|;</v>
      </c>
      <c r="S173" s="78" t="str">
        <f ca="1" t="shared" si="195"/>
        <v>11|201|;21|0|;12|931|;</v>
      </c>
      <c r="T173" s="165" t="str">
        <f ca="1">OFFSET(buff!$C$1,MATCH(W173,buff!A:A,0)-1,0)</f>
        <v>每使用2招，造成敌人当前血量6%的伤害</v>
      </c>
      <c r="U173" s="166"/>
      <c r="V173" s="166">
        <v>10000</v>
      </c>
      <c r="W173">
        <f ca="1" t="shared" si="149"/>
        <v>220202</v>
      </c>
      <c r="Z173" s="153">
        <f t="shared" si="173"/>
        <v>2</v>
      </c>
      <c r="AA173" s="153">
        <f ca="1">OFFSET(passive_type!$I$1,MATCH(C173,passive_type!A:A,0)-1,0)</f>
        <v>4</v>
      </c>
      <c r="AB173" s="153">
        <v>400015</v>
      </c>
      <c r="AC173" s="78">
        <v>3200</v>
      </c>
      <c r="AD173" s="153">
        <f ca="1" t="shared" si="151"/>
        <v>220203</v>
      </c>
      <c r="AE173" s="153">
        <v>0</v>
      </c>
      <c r="AF173" s="153">
        <f ca="1">OFFSET(passive_type!$L$1,MATCH(B173,passive_type!B:B,0)-1,0)</f>
        <v>2</v>
      </c>
      <c r="AG173">
        <f ca="1">OFFSET(passive_type!$R$1,MATCH(B173,passive_type!B:B,0)-1,0)</f>
        <v>1300015</v>
      </c>
      <c r="AH173" s="78">
        <v>24</v>
      </c>
      <c r="AI173">
        <f ca="1">IF(Z173=0,0,VLOOKUP(F173,心法辅助配置表!Q:X,AF173+1,FALSE))</f>
        <v>1202</v>
      </c>
    </row>
    <row r="174" spans="1:35">
      <c r="A174">
        <f ca="1" t="shared" si="147"/>
        <v>220203</v>
      </c>
      <c r="B174" s="175" t="s">
        <v>2865</v>
      </c>
      <c r="C174">
        <f ca="1">OFFSET(passive_type!$A$1,MATCH(B174,passive_type!B:B,0)-1,0)</f>
        <v>2202</v>
      </c>
      <c r="D174" s="157" t="s">
        <v>2930</v>
      </c>
      <c r="E174">
        <v>21</v>
      </c>
      <c r="F174" s="158">
        <f ca="1">(OFFSET(passive_type!$E$1,MATCH(C174,passive_type!A:A,0)-1,0)*10+AA174)*100+Z174</f>
        <v>2403</v>
      </c>
      <c r="G174" s="22">
        <f ca="1">IF(Z174=0,0,VLOOKUP(F174,心法辅助配置表!$G$2:$O$91,AF174+2,FALSE))</f>
        <v>89</v>
      </c>
      <c r="K174" s="78">
        <f ca="1">G174</f>
        <v>89</v>
      </c>
      <c r="M174" s="78">
        <f ca="1" t="shared" ref="M174:O174" si="197">J174+M173</f>
        <v>201</v>
      </c>
      <c r="N174" s="78">
        <f ca="1" t="shared" si="197"/>
        <v>89</v>
      </c>
      <c r="O174" s="78">
        <f ca="1" t="shared" si="197"/>
        <v>931</v>
      </c>
      <c r="P174" s="78" t="str">
        <f ca="1" t="shared" si="169"/>
        <v>11|201|;</v>
      </c>
      <c r="Q174" s="78" t="str">
        <f ca="1" t="shared" si="170"/>
        <v>21|89|;</v>
      </c>
      <c r="R174" s="78" t="str">
        <f ca="1" t="shared" si="171"/>
        <v>12|931|;</v>
      </c>
      <c r="S174" s="78" t="str">
        <f ca="1" t="shared" si="195"/>
        <v>11|201|;21|89|;12|931|;</v>
      </c>
      <c r="T174" s="165" t="str">
        <f ca="1">OFFSET(buff!$C$1,MATCH(W174,buff!A:A,0)-1,0)</f>
        <v>每使用2招，造成敌人当前血量6.5%的伤害</v>
      </c>
      <c r="U174" s="166"/>
      <c r="V174" s="166">
        <v>10000</v>
      </c>
      <c r="W174">
        <f ca="1" t="shared" si="149"/>
        <v>220203</v>
      </c>
      <c r="Z174" s="153">
        <f t="shared" si="173"/>
        <v>3</v>
      </c>
      <c r="AA174" s="153">
        <f ca="1">OFFSET(passive_type!$I$1,MATCH(C174,passive_type!A:A,0)-1,0)</f>
        <v>4</v>
      </c>
      <c r="AB174" s="153">
        <v>400015</v>
      </c>
      <c r="AC174" s="78">
        <v>6400</v>
      </c>
      <c r="AD174" s="153">
        <f ca="1" t="shared" si="151"/>
        <v>220204</v>
      </c>
      <c r="AE174" s="153">
        <v>0</v>
      </c>
      <c r="AF174" s="153">
        <f ca="1">OFFSET(passive_type!$L$1,MATCH(B174,passive_type!B:B,0)-1,0)</f>
        <v>2</v>
      </c>
      <c r="AG174">
        <f ca="1">OFFSET(passive_type!$R$1,MATCH(B174,passive_type!B:B,0)-1,0)</f>
        <v>1300015</v>
      </c>
      <c r="AH174" s="78">
        <v>48</v>
      </c>
      <c r="AI174">
        <f ca="1">IF(Z174=0,0,VLOOKUP(F174,心法辅助配置表!Q:X,AF174+1,FALSE))</f>
        <v>1402</v>
      </c>
    </row>
    <row r="175" spans="1:35">
      <c r="A175">
        <f ca="1" t="shared" si="147"/>
        <v>220204</v>
      </c>
      <c r="B175" s="175" t="s">
        <v>2865</v>
      </c>
      <c r="C175">
        <f ca="1">OFFSET(passive_type!$A$1,MATCH(B175,passive_type!B:B,0)-1,0)</f>
        <v>2202</v>
      </c>
      <c r="D175" s="157" t="s">
        <v>2928</v>
      </c>
      <c r="E175">
        <v>12</v>
      </c>
      <c r="F175" s="158">
        <f ca="1">(OFFSET(passive_type!$E$1,MATCH(C175,passive_type!A:A,0)-1,0)*10+AA175)*100+Z175</f>
        <v>2404</v>
      </c>
      <c r="G175" s="22">
        <f ca="1">IF(Z175=0,0,VLOOKUP(F175,心法辅助配置表!$G$2:$O$91,AF175+2,FALSE))</f>
        <v>1398</v>
      </c>
      <c r="L175" s="78">
        <f ca="1">G175</f>
        <v>1398</v>
      </c>
      <c r="M175" s="78">
        <f ca="1" t="shared" ref="M175:O175" si="198">J175+M174</f>
        <v>201</v>
      </c>
      <c r="N175" s="78">
        <f ca="1" t="shared" si="198"/>
        <v>89</v>
      </c>
      <c r="O175" s="78">
        <f ca="1" t="shared" si="198"/>
        <v>2329</v>
      </c>
      <c r="P175" s="78" t="str">
        <f ca="1" t="shared" si="169"/>
        <v>11|201|;</v>
      </c>
      <c r="Q175" s="78" t="str">
        <f ca="1" t="shared" si="170"/>
        <v>21|89|;</v>
      </c>
      <c r="R175" s="78" t="str">
        <f ca="1" t="shared" si="171"/>
        <v>12|2329|;</v>
      </c>
      <c r="S175" s="78" t="str">
        <f ca="1" t="shared" si="195"/>
        <v>11|201|;21|89|;12|2329|;</v>
      </c>
      <c r="T175" s="165" t="str">
        <f ca="1">OFFSET(buff!$C$1,MATCH(W175,buff!A:A,0)-1,0)</f>
        <v>每使用2招，造成敌人当前血量7%的伤害</v>
      </c>
      <c r="U175" s="166"/>
      <c r="V175" s="166">
        <v>10000</v>
      </c>
      <c r="W175">
        <f ca="1" t="shared" si="149"/>
        <v>220204</v>
      </c>
      <c r="Z175" s="153">
        <f t="shared" si="173"/>
        <v>4</v>
      </c>
      <c r="AA175" s="153">
        <f ca="1">OFFSET(passive_type!$I$1,MATCH(C175,passive_type!A:A,0)-1,0)</f>
        <v>4</v>
      </c>
      <c r="AB175" s="153">
        <v>400015</v>
      </c>
      <c r="AC175" s="78">
        <v>8000</v>
      </c>
      <c r="AD175" s="153">
        <f ca="1" t="shared" si="151"/>
        <v>220205</v>
      </c>
      <c r="AE175" s="153">
        <v>0</v>
      </c>
      <c r="AF175" s="153">
        <f ca="1">OFFSET(passive_type!$L$1,MATCH(B175,passive_type!B:B,0)-1,0)</f>
        <v>2</v>
      </c>
      <c r="AG175">
        <f ca="1">OFFSET(passive_type!$R$1,MATCH(B175,passive_type!B:B,0)-1,0)</f>
        <v>1300015</v>
      </c>
      <c r="AH175" s="78">
        <v>60</v>
      </c>
      <c r="AI175">
        <f ca="1">IF(Z175=0,0,VLOOKUP(F175,心法辅助配置表!Q:X,AF175+1,FALSE))</f>
        <v>1603</v>
      </c>
    </row>
    <row r="176" spans="1:35">
      <c r="A176">
        <f ca="1" t="shared" si="147"/>
        <v>220205</v>
      </c>
      <c r="B176" s="175" t="s">
        <v>2865</v>
      </c>
      <c r="C176">
        <f ca="1">OFFSET(passive_type!$A$1,MATCH(B176,passive_type!B:B,0)-1,0)</f>
        <v>2202</v>
      </c>
      <c r="D176" s="157" t="s">
        <v>2929</v>
      </c>
      <c r="E176">
        <v>11</v>
      </c>
      <c r="F176" s="158">
        <f ca="1">(OFFSET(passive_type!$E$1,MATCH(C176,passive_type!A:A,0)-1,0)*10+AA176)*100+Z176</f>
        <v>2405</v>
      </c>
      <c r="G176" s="22">
        <f ca="1">IF(Z176=0,0,VLOOKUP(F176,心法辅助配置表!$G$2:$O$91,AF176+2,FALSE))</f>
        <v>301</v>
      </c>
      <c r="J176" s="78">
        <f ca="1">G176</f>
        <v>301</v>
      </c>
      <c r="M176" s="78">
        <f ca="1" t="shared" ref="M176:O176" si="199">J176+M175</f>
        <v>502</v>
      </c>
      <c r="N176" s="78">
        <f ca="1" t="shared" si="199"/>
        <v>89</v>
      </c>
      <c r="O176" s="78">
        <f ca="1" t="shared" si="199"/>
        <v>2329</v>
      </c>
      <c r="P176" s="78" t="str">
        <f ca="1" t="shared" si="169"/>
        <v>11|502|;</v>
      </c>
      <c r="Q176" s="78" t="str">
        <f ca="1" t="shared" si="170"/>
        <v>21|89|;</v>
      </c>
      <c r="R176" s="78" t="str">
        <f ca="1" t="shared" si="171"/>
        <v>12|2329|;</v>
      </c>
      <c r="S176" s="78" t="str">
        <f ca="1" t="shared" si="195"/>
        <v>11|502|;21|89|;12|2329|;</v>
      </c>
      <c r="T176" s="165" t="str">
        <f ca="1">OFFSET(buff!$C$1,MATCH(W176,buff!A:A,0)-1,0)</f>
        <v>每使用2招，造成敌人当前血量7.5%的伤害</v>
      </c>
      <c r="U176" s="166"/>
      <c r="V176" s="166">
        <v>10000</v>
      </c>
      <c r="W176">
        <f ca="1" t="shared" si="149"/>
        <v>220205</v>
      </c>
      <c r="Z176" s="153">
        <f t="shared" si="173"/>
        <v>5</v>
      </c>
      <c r="AA176" s="153">
        <f ca="1">OFFSET(passive_type!$I$1,MATCH(C176,passive_type!A:A,0)-1,0)</f>
        <v>4</v>
      </c>
      <c r="AB176" s="153">
        <v>400015</v>
      </c>
      <c r="AC176" s="78">
        <v>11200</v>
      </c>
      <c r="AD176" s="153">
        <f ca="1" t="shared" si="151"/>
        <v>220206</v>
      </c>
      <c r="AE176" s="153">
        <v>0</v>
      </c>
      <c r="AF176" s="153">
        <f ca="1">OFFSET(passive_type!$L$1,MATCH(B176,passive_type!B:B,0)-1,0)</f>
        <v>2</v>
      </c>
      <c r="AG176">
        <f ca="1">OFFSET(passive_type!$R$1,MATCH(B176,passive_type!B:B,0)-1,0)</f>
        <v>1300015</v>
      </c>
      <c r="AH176" s="78">
        <v>84</v>
      </c>
      <c r="AI176">
        <f ca="1">IF(Z176=0,0,VLOOKUP(F176,心法辅助配置表!Q:X,AF176+1,FALSE))</f>
        <v>1803</v>
      </c>
    </row>
    <row r="177" spans="1:35">
      <c r="A177">
        <f ca="1" t="shared" si="147"/>
        <v>220206</v>
      </c>
      <c r="B177" s="175" t="s">
        <v>2865</v>
      </c>
      <c r="C177">
        <f ca="1">OFFSET(passive_type!$A$1,MATCH(B177,passive_type!B:B,0)-1,0)</f>
        <v>2202</v>
      </c>
      <c r="D177" s="157" t="s">
        <v>2930</v>
      </c>
      <c r="E177">
        <v>21</v>
      </c>
      <c r="F177" s="158">
        <f ca="1">(OFFSET(passive_type!$E$1,MATCH(C177,passive_type!A:A,0)-1,0)*10+AA177)*100+Z177</f>
        <v>2406</v>
      </c>
      <c r="G177" s="22">
        <f ca="1">IF(Z177=0,0,VLOOKUP(F177,心法辅助配置表!$G$2:$O$91,AF177+2,FALSE))</f>
        <v>135</v>
      </c>
      <c r="K177" s="78">
        <f ca="1">G177</f>
        <v>135</v>
      </c>
      <c r="M177" s="78">
        <f ca="1" t="shared" ref="M177:O177" si="200">J177+M176</f>
        <v>502</v>
      </c>
      <c r="N177" s="78">
        <f ca="1" t="shared" si="200"/>
        <v>224</v>
      </c>
      <c r="O177" s="78">
        <f ca="1" t="shared" si="200"/>
        <v>2329</v>
      </c>
      <c r="P177" s="78" t="str">
        <f ca="1" t="shared" si="169"/>
        <v>11|502|;</v>
      </c>
      <c r="Q177" s="78" t="str">
        <f ca="1" t="shared" si="170"/>
        <v>21|224|;</v>
      </c>
      <c r="R177" s="78" t="str">
        <f ca="1" t="shared" si="171"/>
        <v>12|2329|;</v>
      </c>
      <c r="S177" s="78" t="str">
        <f ca="1" t="shared" si="195"/>
        <v>11|502|;21|224|;12|2329|;</v>
      </c>
      <c r="T177" s="165" t="str">
        <f ca="1">OFFSET(buff!$C$1,MATCH(W177,buff!A:A,0)-1,0)</f>
        <v>每使用2招，造成敌人当前血量8%的伤害</v>
      </c>
      <c r="U177" s="166"/>
      <c r="V177" s="166">
        <v>10000</v>
      </c>
      <c r="W177">
        <f ca="1" t="shared" si="149"/>
        <v>220206</v>
      </c>
      <c r="Z177" s="153">
        <f t="shared" si="173"/>
        <v>6</v>
      </c>
      <c r="AA177" s="153">
        <f ca="1">OFFSET(passive_type!$I$1,MATCH(C177,passive_type!A:A,0)-1,0)</f>
        <v>4</v>
      </c>
      <c r="AB177" s="153">
        <v>400015</v>
      </c>
      <c r="AC177" s="78">
        <v>17600</v>
      </c>
      <c r="AD177" s="153">
        <f ca="1" t="shared" si="151"/>
        <v>220207</v>
      </c>
      <c r="AE177" s="153">
        <v>0</v>
      </c>
      <c r="AF177" s="153">
        <f ca="1">OFFSET(passive_type!$L$1,MATCH(B177,passive_type!B:B,0)-1,0)</f>
        <v>2</v>
      </c>
      <c r="AG177">
        <f ca="1">OFFSET(passive_type!$R$1,MATCH(B177,passive_type!B:B,0)-1,0)</f>
        <v>1300015</v>
      </c>
      <c r="AH177" s="78">
        <v>108</v>
      </c>
      <c r="AI177">
        <f ca="1">IF(Z177=0,0,VLOOKUP(F177,心法辅助配置表!Q:X,AF177+1,FALSE))</f>
        <v>2003</v>
      </c>
    </row>
    <row r="178" spans="1:35">
      <c r="A178">
        <f ca="1" t="shared" si="147"/>
        <v>220207</v>
      </c>
      <c r="B178" s="175" t="s">
        <v>2865</v>
      </c>
      <c r="C178">
        <f ca="1">OFFSET(passive_type!$A$1,MATCH(B178,passive_type!B:B,0)-1,0)</f>
        <v>2202</v>
      </c>
      <c r="D178" s="157" t="s">
        <v>2928</v>
      </c>
      <c r="E178">
        <v>12</v>
      </c>
      <c r="F178" s="158">
        <f ca="1">(OFFSET(passive_type!$E$1,MATCH(C178,passive_type!A:A,0)-1,0)*10+AA178)*100+Z178</f>
        <v>2407</v>
      </c>
      <c r="G178" s="22">
        <f ca="1">IF(Z178=0,0,VLOOKUP(F178,心法辅助配置表!$G$2:$O$91,AF178+2,FALSE))</f>
        <v>1862</v>
      </c>
      <c r="L178" s="78">
        <f ca="1" t="shared" ref="L178:L183" si="201">G178</f>
        <v>1862</v>
      </c>
      <c r="M178" s="78">
        <f ca="1" t="shared" ref="M178:O178" si="202">J178+M177</f>
        <v>502</v>
      </c>
      <c r="N178" s="78">
        <f ca="1" t="shared" si="202"/>
        <v>224</v>
      </c>
      <c r="O178" s="78">
        <f ca="1" t="shared" si="202"/>
        <v>4191</v>
      </c>
      <c r="P178" s="78" t="str">
        <f ca="1" t="shared" si="169"/>
        <v>11|502|;</v>
      </c>
      <c r="Q178" s="78" t="str">
        <f ca="1" t="shared" si="170"/>
        <v>21|224|;</v>
      </c>
      <c r="R178" s="78" t="str">
        <f ca="1" t="shared" si="171"/>
        <v>12|4191|;</v>
      </c>
      <c r="S178" s="78" t="str">
        <f ca="1" t="shared" si="195"/>
        <v>11|502|;21|224|;12|4191|;</v>
      </c>
      <c r="T178" s="165" t="str">
        <f ca="1">OFFSET(buff!$C$1,MATCH(W178,buff!A:A,0)-1,0)</f>
        <v>每使用2招，造成敌人当前血量8.5%的伤害</v>
      </c>
      <c r="U178" s="166"/>
      <c r="V178" s="166">
        <v>10000</v>
      </c>
      <c r="W178">
        <f ca="1" t="shared" si="149"/>
        <v>220207</v>
      </c>
      <c r="Z178" s="153">
        <f t="shared" si="173"/>
        <v>7</v>
      </c>
      <c r="AA178" s="153">
        <f ca="1">OFFSET(passive_type!$I$1,MATCH(C178,passive_type!A:A,0)-1,0)</f>
        <v>4</v>
      </c>
      <c r="AB178" s="153">
        <v>400015</v>
      </c>
      <c r="AC178" s="78">
        <v>25600</v>
      </c>
      <c r="AD178" s="153">
        <f ca="1" t="shared" si="151"/>
        <v>220208</v>
      </c>
      <c r="AE178" s="153">
        <v>0</v>
      </c>
      <c r="AF178" s="153">
        <f ca="1">OFFSET(passive_type!$L$1,MATCH(B178,passive_type!B:B,0)-1,0)</f>
        <v>2</v>
      </c>
      <c r="AG178">
        <f ca="1">OFFSET(passive_type!$R$1,MATCH(B178,passive_type!B:B,0)-1,0)</f>
        <v>1300015</v>
      </c>
      <c r="AH178" s="78">
        <v>156</v>
      </c>
      <c r="AI178">
        <f ca="1">IF(Z178=0,0,VLOOKUP(F178,心法辅助配置表!Q:X,AF178+1,FALSE))</f>
        <v>2204</v>
      </c>
    </row>
    <row r="179" spans="1:35">
      <c r="A179">
        <f ca="1" t="shared" si="147"/>
        <v>220208</v>
      </c>
      <c r="B179" s="175" t="s">
        <v>2865</v>
      </c>
      <c r="C179">
        <f ca="1">OFFSET(passive_type!$A$1,MATCH(B179,passive_type!B:B,0)-1,0)</f>
        <v>2202</v>
      </c>
      <c r="D179" s="157" t="s">
        <v>2929</v>
      </c>
      <c r="E179">
        <v>11</v>
      </c>
      <c r="F179" s="158">
        <f ca="1">(OFFSET(passive_type!$E$1,MATCH(C179,passive_type!A:A,0)-1,0)*10+AA179)*100+Z179</f>
        <v>2408</v>
      </c>
      <c r="G179" s="22">
        <f ca="1">IF(Z179=0,0,VLOOKUP(F179,心法辅助配置表!$G$2:$O$91,AF179+2,FALSE))</f>
        <v>399</v>
      </c>
      <c r="J179" s="78">
        <f ca="1">G179</f>
        <v>399</v>
      </c>
      <c r="M179" s="78">
        <f ca="1" t="shared" ref="M179:O179" si="203">J179+M178</f>
        <v>901</v>
      </c>
      <c r="N179" s="78">
        <f ca="1" t="shared" si="203"/>
        <v>224</v>
      </c>
      <c r="O179" s="78">
        <f ca="1" t="shared" si="203"/>
        <v>4191</v>
      </c>
      <c r="P179" s="78" t="str">
        <f ca="1" t="shared" si="169"/>
        <v>11|901|;</v>
      </c>
      <c r="Q179" s="78" t="str">
        <f ca="1" t="shared" si="170"/>
        <v>21|224|;</v>
      </c>
      <c r="R179" s="78" t="str">
        <f ca="1" t="shared" si="171"/>
        <v>12|4191|;</v>
      </c>
      <c r="S179" s="78" t="str">
        <f ca="1" t="shared" si="195"/>
        <v>11|901|;21|224|;12|4191|;</v>
      </c>
      <c r="T179" s="165" t="str">
        <f ca="1">OFFSET(buff!$C$1,MATCH(W179,buff!A:A,0)-1,0)</f>
        <v>每使用2招，造成敌人当前血量9%的伤害</v>
      </c>
      <c r="U179" s="166"/>
      <c r="V179" s="166">
        <v>10000</v>
      </c>
      <c r="W179">
        <f ca="1" t="shared" si="149"/>
        <v>220208</v>
      </c>
      <c r="Z179" s="153">
        <f t="shared" si="173"/>
        <v>8</v>
      </c>
      <c r="AA179" s="153">
        <f ca="1">OFFSET(passive_type!$I$1,MATCH(C179,passive_type!A:A,0)-1,0)</f>
        <v>4</v>
      </c>
      <c r="AB179" s="153">
        <v>400015</v>
      </c>
      <c r="AC179" s="78">
        <v>36800</v>
      </c>
      <c r="AD179" s="153">
        <f ca="1" t="shared" si="151"/>
        <v>220209</v>
      </c>
      <c r="AE179" s="153">
        <v>0</v>
      </c>
      <c r="AF179" s="153">
        <f ca="1">OFFSET(passive_type!$L$1,MATCH(B179,passive_type!B:B,0)-1,0)</f>
        <v>2</v>
      </c>
      <c r="AG179">
        <f ca="1">OFFSET(passive_type!$R$1,MATCH(B179,passive_type!B:B,0)-1,0)</f>
        <v>1300015</v>
      </c>
      <c r="AH179" s="78">
        <v>216</v>
      </c>
      <c r="AI179">
        <f ca="1">IF(Z179=0,0,VLOOKUP(F179,心法辅助配置表!Q:X,AF179+1,FALSE))</f>
        <v>2404</v>
      </c>
    </row>
    <row r="180" spans="1:35">
      <c r="A180">
        <f ca="1" t="shared" si="147"/>
        <v>220209</v>
      </c>
      <c r="B180" s="175" t="s">
        <v>2865</v>
      </c>
      <c r="C180">
        <f ca="1">OFFSET(passive_type!$A$1,MATCH(B180,passive_type!B:B,0)-1,0)</f>
        <v>2202</v>
      </c>
      <c r="D180" s="157" t="s">
        <v>2930</v>
      </c>
      <c r="E180">
        <v>21</v>
      </c>
      <c r="F180" s="158">
        <f ca="1">(OFFSET(passive_type!$E$1,MATCH(C180,passive_type!A:A,0)-1,0)*10+AA180)*100+Z180</f>
        <v>2409</v>
      </c>
      <c r="G180" s="22">
        <f ca="1">IF(Z180=0,0,VLOOKUP(F180,心法辅助配置表!$G$2:$O$91,AF180+2,FALSE))</f>
        <v>180</v>
      </c>
      <c r="K180" s="78">
        <f ca="1">G180</f>
        <v>180</v>
      </c>
      <c r="M180" s="78">
        <f ca="1" t="shared" ref="M180:O180" si="204">J180+M179</f>
        <v>901</v>
      </c>
      <c r="N180" s="78">
        <f ca="1" t="shared" si="204"/>
        <v>404</v>
      </c>
      <c r="O180" s="78">
        <f ca="1" t="shared" si="204"/>
        <v>4191</v>
      </c>
      <c r="P180" s="78" t="str">
        <f ca="1" t="shared" si="169"/>
        <v>11|901|;</v>
      </c>
      <c r="Q180" s="78" t="str">
        <f ca="1" t="shared" si="170"/>
        <v>21|404|;</v>
      </c>
      <c r="R180" s="78" t="str">
        <f ca="1" t="shared" si="171"/>
        <v>12|4191|;</v>
      </c>
      <c r="S180" s="78" t="str">
        <f ca="1" t="shared" si="195"/>
        <v>11|901|;21|404|;12|4191|;</v>
      </c>
      <c r="T180" s="165" t="str">
        <f ca="1">OFFSET(buff!$C$1,MATCH(W180,buff!A:A,0)-1,0)</f>
        <v>每使用2招，造成敌人当前血量9.5%的伤害</v>
      </c>
      <c r="U180" s="166"/>
      <c r="V180" s="166">
        <v>10000</v>
      </c>
      <c r="W180">
        <f ca="1" t="shared" si="149"/>
        <v>220209</v>
      </c>
      <c r="Z180" s="153">
        <f t="shared" si="173"/>
        <v>9</v>
      </c>
      <c r="AA180" s="153">
        <f ca="1">OFFSET(passive_type!$I$1,MATCH(C180,passive_type!A:A,0)-1,0)</f>
        <v>4</v>
      </c>
      <c r="AB180" s="153">
        <v>400015</v>
      </c>
      <c r="AC180" s="78">
        <v>54400</v>
      </c>
      <c r="AD180" s="153">
        <f ca="1" t="shared" si="151"/>
        <v>220210</v>
      </c>
      <c r="AE180" s="153">
        <v>0</v>
      </c>
      <c r="AF180" s="153">
        <f ca="1">OFFSET(passive_type!$L$1,MATCH(B180,passive_type!B:B,0)-1,0)</f>
        <v>2</v>
      </c>
      <c r="AG180">
        <f ca="1">OFFSET(passive_type!$R$1,MATCH(B180,passive_type!B:B,0)-1,0)</f>
        <v>1300015</v>
      </c>
      <c r="AH180">
        <v>300</v>
      </c>
      <c r="AI180">
        <f ca="1">IF(Z180=0,0,VLOOKUP(F180,心法辅助配置表!Q:X,AF180+1,FALSE))</f>
        <v>2604</v>
      </c>
    </row>
    <row r="181" spans="1:35">
      <c r="A181">
        <f ca="1" t="shared" si="147"/>
        <v>220210</v>
      </c>
      <c r="B181" s="175" t="s">
        <v>2865</v>
      </c>
      <c r="C181">
        <f ca="1">OFFSET(passive_type!$A$1,MATCH(B181,passive_type!B:B,0)-1,0)</f>
        <v>2202</v>
      </c>
      <c r="D181" s="157" t="s">
        <v>2928</v>
      </c>
      <c r="E181">
        <v>12</v>
      </c>
      <c r="F181" s="158">
        <f ca="1">(OFFSET(passive_type!$E$1,MATCH(C181,passive_type!A:A,0)-1,0)*10+AA181)*100+Z181</f>
        <v>2410</v>
      </c>
      <c r="G181" s="22">
        <f ca="1">IF(Z181=0,0,VLOOKUP(F181,心法辅助配置表!$G$2:$O$91,AF181+2,FALSE))</f>
        <v>2329</v>
      </c>
      <c r="L181" s="78">
        <f ca="1" t="shared" si="201"/>
        <v>2329</v>
      </c>
      <c r="M181" s="78">
        <f ca="1" t="shared" ref="M181:O181" si="205">J181+M180</f>
        <v>901</v>
      </c>
      <c r="N181" s="78">
        <f ca="1" t="shared" si="205"/>
        <v>404</v>
      </c>
      <c r="O181" s="78">
        <f ca="1" t="shared" si="205"/>
        <v>6520</v>
      </c>
      <c r="P181" s="78" t="str">
        <f ca="1" t="shared" ref="P181:P212" si="206">11&amp;$I$1&amp;M181&amp;$I$1&amp;$P$1</f>
        <v>11|901|;</v>
      </c>
      <c r="Q181" s="78" t="str">
        <f ca="1" t="shared" ref="Q181:Q212" si="207">21&amp;$I$1&amp;N181&amp;$I$1&amp;$P$1</f>
        <v>21|404|;</v>
      </c>
      <c r="R181" s="78" t="str">
        <f ca="1" t="shared" ref="R181:R212" si="208">12&amp;$I$1&amp;O181&amp;$I$1&amp;$P$1</f>
        <v>12|6520|;</v>
      </c>
      <c r="S181" s="78" t="str">
        <f ca="1" t="shared" si="195"/>
        <v>11|901|;21|404|;12|6520|;</v>
      </c>
      <c r="T181" s="165" t="str">
        <f ca="1">OFFSET(buff!$C$1,MATCH(W181,buff!A:A,0)-1,0)</f>
        <v>每使用2招，造成敌人当前血量10%的伤害</v>
      </c>
      <c r="U181" s="166"/>
      <c r="V181" s="166">
        <v>10000</v>
      </c>
      <c r="W181">
        <f ca="1" t="shared" si="149"/>
        <v>220210</v>
      </c>
      <c r="Z181" s="153">
        <f t="shared" si="173"/>
        <v>10</v>
      </c>
      <c r="AA181" s="153">
        <f ca="1">OFFSET(passive_type!$I$1,MATCH(C181,passive_type!A:A,0)-1,0)</f>
        <v>4</v>
      </c>
      <c r="AB181" s="153">
        <v>400015</v>
      </c>
      <c r="AC181" s="78"/>
      <c r="AD181" s="153">
        <f ca="1" t="shared" si="151"/>
        <v>0</v>
      </c>
      <c r="AE181" s="153">
        <v>0</v>
      </c>
      <c r="AF181" s="153">
        <f ca="1">OFFSET(passive_type!$L$1,MATCH(B181,passive_type!B:B,0)-1,0)</f>
        <v>2</v>
      </c>
      <c r="AG181">
        <f ca="1">OFFSET(passive_type!$R$1,MATCH(B181,passive_type!B:B,0)-1,0)</f>
        <v>1300015</v>
      </c>
      <c r="AH181">
        <f ca="1">IF(AD181=0,0,20)</f>
        <v>0</v>
      </c>
      <c r="AI181">
        <f ca="1">IF(Z181=0,0,VLOOKUP(F181,心法辅助配置表!Q:X,AF181+1,FALSE))</f>
        <v>2804</v>
      </c>
    </row>
    <row r="182" ht="24" customHeight="1" spans="1:35">
      <c r="A182">
        <f ca="1" t="shared" si="147"/>
        <v>220300</v>
      </c>
      <c r="B182" s="175" t="s">
        <v>2867</v>
      </c>
      <c r="C182">
        <f ca="1">OFFSET(passive_type!$A$1,MATCH(B182,passive_type!B:B,0)-1,0)</f>
        <v>2203</v>
      </c>
      <c r="D182" s="157"/>
      <c r="F182" s="158">
        <f ca="1">(OFFSET(passive_type!$E$1,MATCH(C182,passive_type!A:A,0)-1,0)*10+AA182)*100+Z182</f>
        <v>2400</v>
      </c>
      <c r="G182" s="22">
        <f ca="1">IF(Z182=0,0,VLOOKUP(F182,心法辅助配置表!$G$2:$O$91,AF182+2,FALSE))</f>
        <v>0</v>
      </c>
      <c r="P182" s="78" t="str">
        <f t="shared" si="206"/>
        <v>11||;</v>
      </c>
      <c r="Q182" s="78" t="str">
        <f t="shared" si="207"/>
        <v>21||;</v>
      </c>
      <c r="R182" s="78" t="str">
        <f t="shared" si="208"/>
        <v>12||;</v>
      </c>
      <c r="S182" s="78"/>
      <c r="T182" s="165" t="str">
        <f ca="1">OFFSET(buff!$C$1,MATCH(W182,buff!A:A,0)-1,0)</f>
        <v>每使用4招剑法，下一招剑法伤害额外增加150%</v>
      </c>
      <c r="U182" s="166"/>
      <c r="V182" s="166">
        <v>10000</v>
      </c>
      <c r="W182">
        <f ca="1" t="shared" si="149"/>
        <v>220300</v>
      </c>
      <c r="Z182" s="153">
        <f>IF(B182=B180,Z180+1,0)</f>
        <v>0</v>
      </c>
      <c r="AA182" s="153">
        <f ca="1">OFFSET(passive_type!$I$1,MATCH(C182,passive_type!A:A,0)-1,0)</f>
        <v>4</v>
      </c>
      <c r="AB182" s="153">
        <v>400015</v>
      </c>
      <c r="AC182" s="78">
        <v>1600</v>
      </c>
      <c r="AD182" s="153">
        <f ca="1" t="shared" si="151"/>
        <v>220301</v>
      </c>
      <c r="AE182" s="153">
        <v>0</v>
      </c>
      <c r="AF182" s="153">
        <f ca="1">OFFSET(passive_type!$L$1,MATCH(B182,passive_type!B:B,0)-1,0)</f>
        <v>1</v>
      </c>
      <c r="AG182">
        <f ca="1">OFFSET(passive_type!$R$1,MATCH(B182,passive_type!B:B,0)-1,0)</f>
        <v>1300016</v>
      </c>
      <c r="AH182" s="78">
        <v>6</v>
      </c>
      <c r="AI182">
        <f ca="1">IF(Z182=0,0,VLOOKUP(F182,心法辅助配置表!Q:X,AF182+1,FALSE))</f>
        <v>0</v>
      </c>
    </row>
    <row r="183" ht="24" customHeight="1" spans="1:35">
      <c r="A183">
        <f ca="1" t="shared" si="147"/>
        <v>220301</v>
      </c>
      <c r="B183" s="175" t="s">
        <v>2867</v>
      </c>
      <c r="C183">
        <f ca="1">OFFSET(passive_type!$A$1,MATCH(B183,passive_type!B:B,0)-1,0)</f>
        <v>2203</v>
      </c>
      <c r="D183" s="157" t="s">
        <v>2928</v>
      </c>
      <c r="E183">
        <v>12</v>
      </c>
      <c r="F183" s="158">
        <f ca="1">(OFFSET(passive_type!$E$1,MATCH(C183,passive_type!A:A,0)-1,0)*10+AA183)*100+Z183</f>
        <v>2401</v>
      </c>
      <c r="G183" s="22">
        <f ca="1">IF(Z183=0,0,VLOOKUP(F183,心法辅助配置表!$G$2:$O$91,AF183+2,FALSE))</f>
        <v>394</v>
      </c>
      <c r="I183" s="78"/>
      <c r="J183" s="78"/>
      <c r="K183" s="78"/>
      <c r="L183" s="78">
        <f ca="1" t="shared" si="201"/>
        <v>394</v>
      </c>
      <c r="M183" s="78">
        <f>J183</f>
        <v>0</v>
      </c>
      <c r="N183" s="78">
        <f>K183</f>
        <v>0</v>
      </c>
      <c r="O183" s="78">
        <f ca="1">G183</f>
        <v>394</v>
      </c>
      <c r="P183" s="78" t="str">
        <f t="shared" si="206"/>
        <v>11|0|;</v>
      </c>
      <c r="Q183" s="78" t="str">
        <f t="shared" si="207"/>
        <v>21|0|;</v>
      </c>
      <c r="R183" s="78" t="str">
        <f ca="1" t="shared" si="208"/>
        <v>12|394|;</v>
      </c>
      <c r="S183" s="78" t="str">
        <f ca="1" t="shared" ref="S183:S192" si="209">P183&amp;Q183&amp;R183</f>
        <v>11|0|;21|0|;12|394|;</v>
      </c>
      <c r="T183" s="165" t="str">
        <f ca="1">OFFSET(buff!$C$1,MATCH(W183,buff!A:A,0)-1,0)</f>
        <v>每使用4招剑法，下一招剑法伤害额外增加170%</v>
      </c>
      <c r="U183" s="166"/>
      <c r="V183" s="166">
        <v>10000</v>
      </c>
      <c r="W183">
        <f ca="1" t="shared" si="149"/>
        <v>220301</v>
      </c>
      <c r="Z183" s="153">
        <f t="shared" ref="Z183:Z246" si="210">IF(B183=B182,Z182+1,0)</f>
        <v>1</v>
      </c>
      <c r="AA183" s="153">
        <f ca="1">OFFSET(passive_type!$I$1,MATCH(C183,passive_type!A:A,0)-1,0)</f>
        <v>4</v>
      </c>
      <c r="AB183" s="153">
        <v>400015</v>
      </c>
      <c r="AC183" s="78">
        <v>3200</v>
      </c>
      <c r="AD183" s="153">
        <f ca="1" t="shared" si="151"/>
        <v>220302</v>
      </c>
      <c r="AE183" s="153">
        <v>0</v>
      </c>
      <c r="AF183" s="153">
        <f ca="1">OFFSET(passive_type!$L$1,MATCH(B183,passive_type!B:B,0)-1,0)</f>
        <v>1</v>
      </c>
      <c r="AG183">
        <f ca="1">OFFSET(passive_type!$R$1,MATCH(B183,passive_type!B:B,0)-1,0)</f>
        <v>1300016</v>
      </c>
      <c r="AH183" s="78">
        <v>12</v>
      </c>
      <c r="AI183">
        <f ca="1">IF(Z183=0,0,VLOOKUP(F183,心法辅助配置表!Q:X,AF183+1,FALSE))</f>
        <v>431</v>
      </c>
    </row>
    <row r="184" ht="24" customHeight="1" spans="1:35">
      <c r="A184">
        <f ca="1" t="shared" si="147"/>
        <v>220302</v>
      </c>
      <c r="B184" s="175" t="s">
        <v>2867</v>
      </c>
      <c r="C184">
        <f ca="1">OFFSET(passive_type!$A$1,MATCH(B184,passive_type!B:B,0)-1,0)</f>
        <v>2203</v>
      </c>
      <c r="D184" s="157" t="s">
        <v>2929</v>
      </c>
      <c r="E184">
        <v>11</v>
      </c>
      <c r="F184" s="158">
        <f ca="1">(OFFSET(passive_type!$E$1,MATCH(C184,passive_type!A:A,0)-1,0)*10+AA184)*100+Z184</f>
        <v>2402</v>
      </c>
      <c r="G184" s="22">
        <f ca="1">IF(Z184=0,0,VLOOKUP(F184,心法辅助配置表!$G$2:$O$91,AF184+2,FALSE))</f>
        <v>89</v>
      </c>
      <c r="I184" s="78"/>
      <c r="J184" s="78">
        <f ca="1">G184</f>
        <v>89</v>
      </c>
      <c r="K184" s="78"/>
      <c r="L184" s="78"/>
      <c r="M184" s="78">
        <f ca="1" t="shared" ref="M184:O184" si="211">J184+M183</f>
        <v>89</v>
      </c>
      <c r="N184" s="78">
        <f t="shared" si="211"/>
        <v>0</v>
      </c>
      <c r="O184" s="78">
        <f ca="1" t="shared" si="211"/>
        <v>394</v>
      </c>
      <c r="P184" s="78" t="str">
        <f ca="1" t="shared" si="206"/>
        <v>11|89|;</v>
      </c>
      <c r="Q184" s="78" t="str">
        <f t="shared" si="207"/>
        <v>21|0|;</v>
      </c>
      <c r="R184" s="78" t="str">
        <f ca="1" t="shared" si="208"/>
        <v>12|394|;</v>
      </c>
      <c r="S184" s="78" t="str">
        <f ca="1" t="shared" si="209"/>
        <v>11|89|;21|0|;12|394|;</v>
      </c>
      <c r="T184" s="165" t="str">
        <f ca="1">OFFSET(buff!$C$1,MATCH(W184,buff!A:A,0)-1,0)</f>
        <v>每使用4招剑法，下一招剑法伤害额外增加190%</v>
      </c>
      <c r="U184" s="166"/>
      <c r="V184" s="166">
        <v>10000</v>
      </c>
      <c r="W184">
        <f ca="1" t="shared" si="149"/>
        <v>220302</v>
      </c>
      <c r="Z184" s="153">
        <f t="shared" si="210"/>
        <v>2</v>
      </c>
      <c r="AA184" s="153">
        <f ca="1">OFFSET(passive_type!$I$1,MATCH(C184,passive_type!A:A,0)-1,0)</f>
        <v>4</v>
      </c>
      <c r="AB184" s="153">
        <v>400015</v>
      </c>
      <c r="AC184" s="78">
        <v>6400</v>
      </c>
      <c r="AD184" s="153">
        <f ca="1" t="shared" si="151"/>
        <v>220303</v>
      </c>
      <c r="AE184" s="153">
        <v>0</v>
      </c>
      <c r="AF184" s="153">
        <f ca="1">OFFSET(passive_type!$L$1,MATCH(B184,passive_type!B:B,0)-1,0)</f>
        <v>1</v>
      </c>
      <c r="AG184">
        <f ca="1">OFFSET(passive_type!$R$1,MATCH(B184,passive_type!B:B,0)-1,0)</f>
        <v>1300016</v>
      </c>
      <c r="AH184" s="78">
        <v>24</v>
      </c>
      <c r="AI184">
        <f ca="1">IF(Z184=0,0,VLOOKUP(F184,心法辅助配置表!Q:X,AF184+1,FALSE))</f>
        <v>517</v>
      </c>
    </row>
    <row r="185" ht="24" customHeight="1" spans="1:35">
      <c r="A185">
        <f ca="1" t="shared" si="147"/>
        <v>220303</v>
      </c>
      <c r="B185" s="175" t="s">
        <v>2867</v>
      </c>
      <c r="C185">
        <f ca="1">OFFSET(passive_type!$A$1,MATCH(B185,passive_type!B:B,0)-1,0)</f>
        <v>2203</v>
      </c>
      <c r="D185" s="157" t="s">
        <v>2930</v>
      </c>
      <c r="E185">
        <v>21</v>
      </c>
      <c r="F185" s="158">
        <f ca="1">(OFFSET(passive_type!$E$1,MATCH(C185,passive_type!A:A,0)-1,0)*10+AA185)*100+Z185</f>
        <v>2403</v>
      </c>
      <c r="G185" s="22">
        <f ca="1">IF(Z185=0,0,VLOOKUP(F185,心法辅助配置表!$G$2:$O$91,AF185+2,FALSE))</f>
        <v>40</v>
      </c>
      <c r="I185" s="78"/>
      <c r="J185" s="78"/>
      <c r="K185" s="78">
        <f ca="1">G185</f>
        <v>40</v>
      </c>
      <c r="L185" s="78"/>
      <c r="M185" s="78">
        <f ca="1" t="shared" ref="M185:O185" si="212">J185+M184</f>
        <v>89</v>
      </c>
      <c r="N185" s="78">
        <f ca="1" t="shared" si="212"/>
        <v>40</v>
      </c>
      <c r="O185" s="78">
        <f ca="1" t="shared" si="212"/>
        <v>394</v>
      </c>
      <c r="P185" s="78" t="str">
        <f ca="1" t="shared" si="206"/>
        <v>11|89|;</v>
      </c>
      <c r="Q185" s="78" t="str">
        <f ca="1" t="shared" si="207"/>
        <v>21|40|;</v>
      </c>
      <c r="R185" s="78" t="str">
        <f ca="1" t="shared" si="208"/>
        <v>12|394|;</v>
      </c>
      <c r="S185" s="78" t="str">
        <f ca="1" t="shared" si="209"/>
        <v>11|89|;21|40|;12|394|;</v>
      </c>
      <c r="T185" s="165" t="str">
        <f ca="1">OFFSET(buff!$C$1,MATCH(W185,buff!A:A,0)-1,0)</f>
        <v>每使用4招剑法，下一招剑法伤害额外增加210%</v>
      </c>
      <c r="U185" s="166"/>
      <c r="V185" s="166">
        <v>10000</v>
      </c>
      <c r="W185">
        <f ca="1" t="shared" si="149"/>
        <v>220303</v>
      </c>
      <c r="Z185" s="153">
        <f t="shared" si="210"/>
        <v>3</v>
      </c>
      <c r="AA185" s="153">
        <f ca="1">OFFSET(passive_type!$I$1,MATCH(C185,passive_type!A:A,0)-1,0)</f>
        <v>4</v>
      </c>
      <c r="AB185" s="153">
        <v>400015</v>
      </c>
      <c r="AC185" s="78">
        <v>12800</v>
      </c>
      <c r="AD185" s="153">
        <f ca="1" t="shared" si="151"/>
        <v>220304</v>
      </c>
      <c r="AE185" s="153">
        <v>0</v>
      </c>
      <c r="AF185" s="153">
        <f ca="1">OFFSET(passive_type!$L$1,MATCH(B185,passive_type!B:B,0)-1,0)</f>
        <v>1</v>
      </c>
      <c r="AG185">
        <f ca="1">OFFSET(passive_type!$R$1,MATCH(B185,passive_type!B:B,0)-1,0)</f>
        <v>1300016</v>
      </c>
      <c r="AH185" s="78">
        <v>48</v>
      </c>
      <c r="AI185">
        <f ca="1">IF(Z185=0,0,VLOOKUP(F185,心法辅助配置表!Q:X,AF185+1,FALSE))</f>
        <v>603</v>
      </c>
    </row>
    <row r="186" ht="24" customHeight="1" spans="1:35">
      <c r="A186">
        <f ca="1" t="shared" si="147"/>
        <v>220304</v>
      </c>
      <c r="B186" s="175" t="s">
        <v>2867</v>
      </c>
      <c r="C186">
        <f ca="1">OFFSET(passive_type!$A$1,MATCH(B186,passive_type!B:B,0)-1,0)</f>
        <v>2203</v>
      </c>
      <c r="D186" s="157" t="s">
        <v>2928</v>
      </c>
      <c r="E186">
        <v>12</v>
      </c>
      <c r="F186" s="158">
        <f ca="1">(OFFSET(passive_type!$E$1,MATCH(C186,passive_type!A:A,0)-1,0)*10+AA186)*100+Z186</f>
        <v>2404</v>
      </c>
      <c r="G186" s="22">
        <f ca="1">IF(Z186=0,0,VLOOKUP(F186,心法辅助配置表!$G$2:$O$91,AF186+2,FALSE))</f>
        <v>593</v>
      </c>
      <c r="I186" s="78"/>
      <c r="J186" s="78"/>
      <c r="K186" s="78"/>
      <c r="L186" s="78">
        <f ca="1">G186</f>
        <v>593</v>
      </c>
      <c r="M186" s="78">
        <f ca="1" t="shared" ref="M186:O186" si="213">J186+M185</f>
        <v>89</v>
      </c>
      <c r="N186" s="78">
        <f ca="1" t="shared" si="213"/>
        <v>40</v>
      </c>
      <c r="O186" s="78">
        <f ca="1" t="shared" si="213"/>
        <v>987</v>
      </c>
      <c r="P186" s="78" t="str">
        <f ca="1" t="shared" si="206"/>
        <v>11|89|;</v>
      </c>
      <c r="Q186" s="78" t="str">
        <f ca="1" t="shared" si="207"/>
        <v>21|40|;</v>
      </c>
      <c r="R186" s="78" t="str">
        <f ca="1" t="shared" si="208"/>
        <v>12|987|;</v>
      </c>
      <c r="S186" s="78" t="str">
        <f ca="1" t="shared" si="209"/>
        <v>11|89|;21|40|;12|987|;</v>
      </c>
      <c r="T186" s="165" t="str">
        <f ca="1">OFFSET(buff!$C$1,MATCH(W186,buff!A:A,0)-1,0)</f>
        <v>每使用4招剑法，下一招剑法伤害额外增加230%</v>
      </c>
      <c r="U186" s="166"/>
      <c r="V186" s="166">
        <v>10000</v>
      </c>
      <c r="W186">
        <f ca="1" t="shared" si="149"/>
        <v>220304</v>
      </c>
      <c r="Z186" s="153">
        <f t="shared" si="210"/>
        <v>4</v>
      </c>
      <c r="AA186" s="153">
        <f ca="1">OFFSET(passive_type!$I$1,MATCH(C186,passive_type!A:A,0)-1,0)</f>
        <v>4</v>
      </c>
      <c r="AB186" s="153">
        <v>400015</v>
      </c>
      <c r="AC186" s="78">
        <v>16000</v>
      </c>
      <c r="AD186" s="153">
        <f ca="1" t="shared" si="151"/>
        <v>220305</v>
      </c>
      <c r="AE186" s="153">
        <v>0</v>
      </c>
      <c r="AF186" s="153">
        <f ca="1">OFFSET(passive_type!$L$1,MATCH(B186,passive_type!B:B,0)-1,0)</f>
        <v>1</v>
      </c>
      <c r="AG186">
        <f ca="1">OFFSET(passive_type!$R$1,MATCH(B186,passive_type!B:B,0)-1,0)</f>
        <v>1300016</v>
      </c>
      <c r="AH186" s="78">
        <v>60</v>
      </c>
      <c r="AI186">
        <f ca="1">IF(Z186=0,0,VLOOKUP(F186,心法辅助配置表!Q:X,AF186+1,FALSE))</f>
        <v>690</v>
      </c>
    </row>
    <row r="187" ht="24" customHeight="1" spans="1:35">
      <c r="A187">
        <f ca="1" t="shared" si="147"/>
        <v>220305</v>
      </c>
      <c r="B187" s="175" t="s">
        <v>2867</v>
      </c>
      <c r="C187">
        <f ca="1">OFFSET(passive_type!$A$1,MATCH(B187,passive_type!B:B,0)-1,0)</f>
        <v>2203</v>
      </c>
      <c r="D187" s="157" t="s">
        <v>2929</v>
      </c>
      <c r="E187">
        <v>11</v>
      </c>
      <c r="F187" s="158">
        <f ca="1">(OFFSET(passive_type!$E$1,MATCH(C187,passive_type!A:A,0)-1,0)*10+AA187)*100+Z187</f>
        <v>2405</v>
      </c>
      <c r="G187" s="22">
        <f ca="1">IF(Z187=0,0,VLOOKUP(F187,心法辅助配置表!$G$2:$O$91,AF187+2,FALSE))</f>
        <v>133</v>
      </c>
      <c r="I187" s="78"/>
      <c r="J187" s="78">
        <f ca="1">G187</f>
        <v>133</v>
      </c>
      <c r="K187" s="78"/>
      <c r="L187" s="78"/>
      <c r="M187" s="78">
        <f ca="1" t="shared" ref="M187:O187" si="214">J187+M186</f>
        <v>222</v>
      </c>
      <c r="N187" s="78">
        <f ca="1" t="shared" si="214"/>
        <v>40</v>
      </c>
      <c r="O187" s="78">
        <f ca="1" t="shared" si="214"/>
        <v>987</v>
      </c>
      <c r="P187" s="78" t="str">
        <f ca="1" t="shared" si="206"/>
        <v>11|222|;</v>
      </c>
      <c r="Q187" s="78" t="str">
        <f ca="1" t="shared" si="207"/>
        <v>21|40|;</v>
      </c>
      <c r="R187" s="78" t="str">
        <f ca="1" t="shared" si="208"/>
        <v>12|987|;</v>
      </c>
      <c r="S187" s="78" t="str">
        <f ca="1" t="shared" si="209"/>
        <v>11|222|;21|40|;12|987|;</v>
      </c>
      <c r="T187" s="165" t="str">
        <f ca="1">OFFSET(buff!$C$1,MATCH(W187,buff!A:A,0)-1,0)</f>
        <v>每使用4招剑法，下一招剑法伤害额外增加250%</v>
      </c>
      <c r="U187" s="166"/>
      <c r="V187" s="166">
        <v>10000</v>
      </c>
      <c r="W187">
        <f ca="1" t="shared" si="149"/>
        <v>220305</v>
      </c>
      <c r="Z187" s="153">
        <f t="shared" si="210"/>
        <v>5</v>
      </c>
      <c r="AA187" s="153">
        <f ca="1">OFFSET(passive_type!$I$1,MATCH(C187,passive_type!A:A,0)-1,0)</f>
        <v>4</v>
      </c>
      <c r="AB187" s="153">
        <v>400015</v>
      </c>
      <c r="AC187" s="78">
        <v>22400</v>
      </c>
      <c r="AD187" s="153">
        <f ca="1" t="shared" si="151"/>
        <v>220306</v>
      </c>
      <c r="AE187" s="153">
        <v>0</v>
      </c>
      <c r="AF187" s="153">
        <f ca="1">OFFSET(passive_type!$L$1,MATCH(B187,passive_type!B:B,0)-1,0)</f>
        <v>1</v>
      </c>
      <c r="AG187">
        <f ca="1">OFFSET(passive_type!$R$1,MATCH(B187,passive_type!B:B,0)-1,0)</f>
        <v>1300016</v>
      </c>
      <c r="AH187" s="78">
        <v>84</v>
      </c>
      <c r="AI187">
        <f ca="1">IF(Z187=0,0,VLOOKUP(F187,心法辅助配置表!Q:X,AF187+1,FALSE))</f>
        <v>776</v>
      </c>
    </row>
    <row r="188" ht="24" customHeight="1" spans="1:35">
      <c r="A188">
        <f ca="1" t="shared" si="147"/>
        <v>220306</v>
      </c>
      <c r="B188" s="175" t="s">
        <v>2867</v>
      </c>
      <c r="C188">
        <f ca="1">OFFSET(passive_type!$A$1,MATCH(B188,passive_type!B:B,0)-1,0)</f>
        <v>2203</v>
      </c>
      <c r="D188" s="157" t="s">
        <v>2930</v>
      </c>
      <c r="E188">
        <v>21</v>
      </c>
      <c r="F188" s="158">
        <f ca="1">(OFFSET(passive_type!$E$1,MATCH(C188,passive_type!A:A,0)-1,0)*10+AA188)*100+Z188</f>
        <v>2406</v>
      </c>
      <c r="G188" s="22">
        <f ca="1">IF(Z188=0,0,VLOOKUP(F188,心法辅助配置表!$G$2:$O$91,AF188+2,FALSE))</f>
        <v>61</v>
      </c>
      <c r="I188" s="78"/>
      <c r="J188" s="78"/>
      <c r="K188" s="78">
        <f ca="1">G188</f>
        <v>61</v>
      </c>
      <c r="L188" s="78"/>
      <c r="M188" s="78">
        <f ca="1" t="shared" ref="M188:O188" si="215">J188+M187</f>
        <v>222</v>
      </c>
      <c r="N188" s="78">
        <f ca="1" t="shared" si="215"/>
        <v>101</v>
      </c>
      <c r="O188" s="78">
        <f ca="1" t="shared" si="215"/>
        <v>987</v>
      </c>
      <c r="P188" s="78" t="str">
        <f ca="1" t="shared" si="206"/>
        <v>11|222|;</v>
      </c>
      <c r="Q188" s="78" t="str">
        <f ca="1" t="shared" si="207"/>
        <v>21|101|;</v>
      </c>
      <c r="R188" s="78" t="str">
        <f ca="1" t="shared" si="208"/>
        <v>12|987|;</v>
      </c>
      <c r="S188" s="78" t="str">
        <f ca="1" t="shared" si="209"/>
        <v>11|222|;21|101|;12|987|;</v>
      </c>
      <c r="T188" s="165" t="str">
        <f ca="1">OFFSET(buff!$C$1,MATCH(W188,buff!A:A,0)-1,0)</f>
        <v>每使用4招剑法，下一招剑法伤害额外增加280%</v>
      </c>
      <c r="U188" s="166"/>
      <c r="V188" s="166">
        <v>10000</v>
      </c>
      <c r="W188">
        <f ca="1" t="shared" si="149"/>
        <v>220306</v>
      </c>
      <c r="Z188" s="153">
        <f t="shared" si="210"/>
        <v>6</v>
      </c>
      <c r="AA188" s="153">
        <f ca="1">OFFSET(passive_type!$I$1,MATCH(C188,passive_type!A:A,0)-1,0)</f>
        <v>4</v>
      </c>
      <c r="AB188" s="153">
        <v>400015</v>
      </c>
      <c r="AC188" s="78">
        <v>35200</v>
      </c>
      <c r="AD188" s="153">
        <f ca="1" t="shared" si="151"/>
        <v>220307</v>
      </c>
      <c r="AE188" s="153">
        <v>0</v>
      </c>
      <c r="AF188" s="153">
        <f ca="1">OFFSET(passive_type!$L$1,MATCH(B188,passive_type!B:B,0)-1,0)</f>
        <v>1</v>
      </c>
      <c r="AG188">
        <f ca="1">OFFSET(passive_type!$R$1,MATCH(B188,passive_type!B:B,0)-1,0)</f>
        <v>1300016</v>
      </c>
      <c r="AH188" s="78">
        <v>108</v>
      </c>
      <c r="AI188">
        <f ca="1">IF(Z188=0,0,VLOOKUP(F188,心法辅助配置表!Q:X,AF188+1,FALSE))</f>
        <v>862</v>
      </c>
    </row>
    <row r="189" ht="24" customHeight="1" spans="1:35">
      <c r="A189">
        <f ca="1" t="shared" si="147"/>
        <v>220307</v>
      </c>
      <c r="B189" s="175" t="s">
        <v>2867</v>
      </c>
      <c r="C189">
        <f ca="1">OFFSET(passive_type!$A$1,MATCH(B189,passive_type!B:B,0)-1,0)</f>
        <v>2203</v>
      </c>
      <c r="D189" s="157" t="s">
        <v>2928</v>
      </c>
      <c r="E189">
        <v>12</v>
      </c>
      <c r="F189" s="158">
        <f ca="1">(OFFSET(passive_type!$E$1,MATCH(C189,passive_type!A:A,0)-1,0)*10+AA189)*100+Z189</f>
        <v>2407</v>
      </c>
      <c r="G189" s="22">
        <f ca="1">IF(Z189=0,0,VLOOKUP(F189,心法辅助配置表!$G$2:$O$91,AF189+2,FALSE))</f>
        <v>789</v>
      </c>
      <c r="I189" s="78"/>
      <c r="J189" s="78"/>
      <c r="K189" s="78"/>
      <c r="L189" s="78">
        <f ca="1" t="shared" ref="L189:L194" si="216">G189</f>
        <v>789</v>
      </c>
      <c r="M189" s="78">
        <f ca="1" t="shared" ref="M189:O189" si="217">J189+M188</f>
        <v>222</v>
      </c>
      <c r="N189" s="78">
        <f ca="1" t="shared" si="217"/>
        <v>101</v>
      </c>
      <c r="O189" s="78">
        <f ca="1" t="shared" si="217"/>
        <v>1776</v>
      </c>
      <c r="P189" s="78" t="str">
        <f ca="1" t="shared" si="206"/>
        <v>11|222|;</v>
      </c>
      <c r="Q189" s="78" t="str">
        <f ca="1" t="shared" si="207"/>
        <v>21|101|;</v>
      </c>
      <c r="R189" s="78" t="str">
        <f ca="1" t="shared" si="208"/>
        <v>12|1776|;</v>
      </c>
      <c r="S189" s="78" t="str">
        <f ca="1" t="shared" si="209"/>
        <v>11|222|;21|101|;12|1776|;</v>
      </c>
      <c r="T189" s="165" t="str">
        <f ca="1">OFFSET(buff!$C$1,MATCH(W189,buff!A:A,0)-1,0)</f>
        <v>每使用4招剑法，下一招剑法伤害额外增加310%</v>
      </c>
      <c r="U189" s="166"/>
      <c r="V189" s="166">
        <v>10000</v>
      </c>
      <c r="W189">
        <f ca="1" t="shared" si="149"/>
        <v>220307</v>
      </c>
      <c r="Z189" s="153">
        <f t="shared" si="210"/>
        <v>7</v>
      </c>
      <c r="AA189" s="153">
        <f ca="1">OFFSET(passive_type!$I$1,MATCH(C189,passive_type!A:A,0)-1,0)</f>
        <v>4</v>
      </c>
      <c r="AB189" s="153">
        <v>400015</v>
      </c>
      <c r="AC189" s="78">
        <v>51200</v>
      </c>
      <c r="AD189" s="153">
        <f ca="1" t="shared" si="151"/>
        <v>220308</v>
      </c>
      <c r="AE189" s="153">
        <v>0</v>
      </c>
      <c r="AF189" s="153">
        <f ca="1">OFFSET(passive_type!$L$1,MATCH(B189,passive_type!B:B,0)-1,0)</f>
        <v>1</v>
      </c>
      <c r="AG189">
        <f ca="1">OFFSET(passive_type!$R$1,MATCH(B189,passive_type!B:B,0)-1,0)</f>
        <v>1300016</v>
      </c>
      <c r="AH189" s="78">
        <v>156</v>
      </c>
      <c r="AI189">
        <f ca="1">IF(Z189=0,0,VLOOKUP(F189,心法辅助配置表!Q:X,AF189+1,FALSE))</f>
        <v>948</v>
      </c>
    </row>
    <row r="190" ht="24" customHeight="1" spans="1:35">
      <c r="A190">
        <f ca="1" t="shared" si="147"/>
        <v>220308</v>
      </c>
      <c r="B190" s="175" t="s">
        <v>2867</v>
      </c>
      <c r="C190">
        <f ca="1">OFFSET(passive_type!$A$1,MATCH(B190,passive_type!B:B,0)-1,0)</f>
        <v>2203</v>
      </c>
      <c r="D190" s="157" t="s">
        <v>2929</v>
      </c>
      <c r="E190">
        <v>11</v>
      </c>
      <c r="F190" s="158">
        <f ca="1">(OFFSET(passive_type!$E$1,MATCH(C190,passive_type!A:A,0)-1,0)*10+AA190)*100+Z190</f>
        <v>2408</v>
      </c>
      <c r="G190" s="22">
        <f ca="1">IF(Z190=0,0,VLOOKUP(F190,心法辅助配置表!$G$2:$O$91,AF190+2,FALSE))</f>
        <v>177</v>
      </c>
      <c r="I190" s="78"/>
      <c r="J190" s="78">
        <f ca="1">G190</f>
        <v>177</v>
      </c>
      <c r="K190" s="78"/>
      <c r="L190" s="78"/>
      <c r="M190" s="78">
        <f ca="1" t="shared" ref="M190:O190" si="218">J190+M189</f>
        <v>399</v>
      </c>
      <c r="N190" s="78">
        <f ca="1" t="shared" si="218"/>
        <v>101</v>
      </c>
      <c r="O190" s="78">
        <f ca="1" t="shared" si="218"/>
        <v>1776</v>
      </c>
      <c r="P190" s="78" t="str">
        <f ca="1" t="shared" si="206"/>
        <v>11|399|;</v>
      </c>
      <c r="Q190" s="78" t="str">
        <f ca="1" t="shared" si="207"/>
        <v>21|101|;</v>
      </c>
      <c r="R190" s="78" t="str">
        <f ca="1" t="shared" si="208"/>
        <v>12|1776|;</v>
      </c>
      <c r="S190" s="78" t="str">
        <f ca="1" t="shared" si="209"/>
        <v>11|399|;21|101|;12|1776|;</v>
      </c>
      <c r="T190" s="165" t="str">
        <f ca="1">OFFSET(buff!$C$1,MATCH(W190,buff!A:A,0)-1,0)</f>
        <v>每使用4招剑法，下一招剑法伤害额外增加340%</v>
      </c>
      <c r="U190" s="166"/>
      <c r="V190" s="166">
        <v>10000</v>
      </c>
      <c r="W190">
        <f ca="1" t="shared" si="149"/>
        <v>220308</v>
      </c>
      <c r="Z190" s="153">
        <f t="shared" si="210"/>
        <v>8</v>
      </c>
      <c r="AA190" s="153">
        <f ca="1">OFFSET(passive_type!$I$1,MATCH(C190,passive_type!A:A,0)-1,0)</f>
        <v>4</v>
      </c>
      <c r="AB190" s="153">
        <v>400015</v>
      </c>
      <c r="AC190" s="78">
        <v>73600</v>
      </c>
      <c r="AD190" s="153">
        <f ca="1" t="shared" si="151"/>
        <v>220309</v>
      </c>
      <c r="AE190" s="153">
        <v>0</v>
      </c>
      <c r="AF190" s="153">
        <f ca="1">OFFSET(passive_type!$L$1,MATCH(B190,passive_type!B:B,0)-1,0)</f>
        <v>1</v>
      </c>
      <c r="AG190">
        <f ca="1">OFFSET(passive_type!$R$1,MATCH(B190,passive_type!B:B,0)-1,0)</f>
        <v>1300016</v>
      </c>
      <c r="AH190" s="78">
        <v>216</v>
      </c>
      <c r="AI190">
        <f ca="1">IF(Z190=0,0,VLOOKUP(F190,心法辅助配置表!Q:X,AF190+1,FALSE))</f>
        <v>1035</v>
      </c>
    </row>
    <row r="191" ht="24" customHeight="1" spans="1:35">
      <c r="A191">
        <f ca="1" t="shared" si="147"/>
        <v>220309</v>
      </c>
      <c r="B191" s="175" t="s">
        <v>2867</v>
      </c>
      <c r="C191">
        <f ca="1">OFFSET(passive_type!$A$1,MATCH(B191,passive_type!B:B,0)-1,0)</f>
        <v>2203</v>
      </c>
      <c r="D191" s="157" t="s">
        <v>2930</v>
      </c>
      <c r="E191">
        <v>21</v>
      </c>
      <c r="F191" s="158">
        <f ca="1">(OFFSET(passive_type!$E$1,MATCH(C191,passive_type!A:A,0)-1,0)*10+AA191)*100+Z191</f>
        <v>2409</v>
      </c>
      <c r="G191" s="22">
        <f ca="1">IF(Z191=0,0,VLOOKUP(F191,心法辅助配置表!$G$2:$O$91,AF191+2,FALSE))</f>
        <v>79</v>
      </c>
      <c r="I191" s="78"/>
      <c r="J191" s="78"/>
      <c r="K191" s="78">
        <f ca="1">G191</f>
        <v>79</v>
      </c>
      <c r="L191" s="78"/>
      <c r="M191" s="78">
        <f ca="1" t="shared" ref="M191:O191" si="219">J191+M190</f>
        <v>399</v>
      </c>
      <c r="N191" s="78">
        <f ca="1" t="shared" si="219"/>
        <v>180</v>
      </c>
      <c r="O191" s="78">
        <f ca="1" t="shared" si="219"/>
        <v>1776</v>
      </c>
      <c r="P191" s="78" t="str">
        <f ca="1" t="shared" si="206"/>
        <v>11|399|;</v>
      </c>
      <c r="Q191" s="78" t="str">
        <f ca="1" t="shared" si="207"/>
        <v>21|180|;</v>
      </c>
      <c r="R191" s="78" t="str">
        <f ca="1" t="shared" si="208"/>
        <v>12|1776|;</v>
      </c>
      <c r="S191" s="78" t="str">
        <f ca="1" t="shared" si="209"/>
        <v>11|399|;21|180|;12|1776|;</v>
      </c>
      <c r="T191" s="165" t="str">
        <f ca="1">OFFSET(buff!$C$1,MATCH(W191,buff!A:A,0)-1,0)</f>
        <v>每使用4招剑法，下一招剑法伤害额外增加370%</v>
      </c>
      <c r="U191" s="166"/>
      <c r="V191" s="166">
        <v>10000</v>
      </c>
      <c r="W191">
        <f ca="1" t="shared" si="149"/>
        <v>220309</v>
      </c>
      <c r="Z191" s="153">
        <f t="shared" si="210"/>
        <v>9</v>
      </c>
      <c r="AA191" s="153">
        <f ca="1">OFFSET(passive_type!$I$1,MATCH(C191,passive_type!A:A,0)-1,0)</f>
        <v>4</v>
      </c>
      <c r="AB191" s="153">
        <v>400015</v>
      </c>
      <c r="AC191" s="78">
        <v>108800</v>
      </c>
      <c r="AD191" s="153">
        <f ca="1" t="shared" si="151"/>
        <v>220310</v>
      </c>
      <c r="AE191" s="153">
        <v>0</v>
      </c>
      <c r="AF191" s="153">
        <f ca="1">OFFSET(passive_type!$L$1,MATCH(B191,passive_type!B:B,0)-1,0)</f>
        <v>1</v>
      </c>
      <c r="AG191">
        <f ca="1">OFFSET(passive_type!$R$1,MATCH(B191,passive_type!B:B,0)-1,0)</f>
        <v>1300016</v>
      </c>
      <c r="AH191">
        <v>300</v>
      </c>
      <c r="AI191">
        <f ca="1">IF(Z191=0,0,VLOOKUP(F191,心法辅助配置表!Q:X,AF191+1,FALSE))</f>
        <v>1121</v>
      </c>
    </row>
    <row r="192" ht="24" customHeight="1" spans="1:35">
      <c r="A192">
        <f ca="1" t="shared" si="147"/>
        <v>220310</v>
      </c>
      <c r="B192" s="175" t="s">
        <v>2867</v>
      </c>
      <c r="C192">
        <f ca="1">OFFSET(passive_type!$A$1,MATCH(B192,passive_type!B:B,0)-1,0)</f>
        <v>2203</v>
      </c>
      <c r="D192" s="157" t="s">
        <v>2928</v>
      </c>
      <c r="E192">
        <v>12</v>
      </c>
      <c r="F192" s="158">
        <f ca="1">(OFFSET(passive_type!$E$1,MATCH(C192,passive_type!A:A,0)-1,0)*10+AA192)*100+Z192</f>
        <v>2410</v>
      </c>
      <c r="G192" s="22">
        <f ca="1">IF(Z192=0,0,VLOOKUP(F192,心法辅助配置表!$G$2:$O$91,AF192+2,FALSE))</f>
        <v>987</v>
      </c>
      <c r="I192" s="78"/>
      <c r="J192" s="78"/>
      <c r="K192" s="78"/>
      <c r="L192" s="78">
        <f ca="1" t="shared" si="216"/>
        <v>987</v>
      </c>
      <c r="M192" s="78">
        <f ca="1" t="shared" ref="M192:O192" si="220">J192+M191</f>
        <v>399</v>
      </c>
      <c r="N192" s="78">
        <f ca="1" t="shared" si="220"/>
        <v>180</v>
      </c>
      <c r="O192" s="78">
        <f ca="1" t="shared" si="220"/>
        <v>2763</v>
      </c>
      <c r="P192" s="78" t="str">
        <f ca="1" t="shared" si="206"/>
        <v>11|399|;</v>
      </c>
      <c r="Q192" s="78" t="str">
        <f ca="1" t="shared" si="207"/>
        <v>21|180|;</v>
      </c>
      <c r="R192" s="78" t="str">
        <f ca="1" t="shared" si="208"/>
        <v>12|2763|;</v>
      </c>
      <c r="S192" s="78" t="str">
        <f ca="1" t="shared" si="209"/>
        <v>11|399|;21|180|;12|2763|;</v>
      </c>
      <c r="T192" s="165" t="str">
        <f ca="1">OFFSET(buff!$C$1,MATCH(W192,buff!A:A,0)-1,0)</f>
        <v>每使用4招剑法，下一招剑法伤害额外增加400%</v>
      </c>
      <c r="U192" s="166"/>
      <c r="V192" s="166">
        <v>10000</v>
      </c>
      <c r="W192">
        <f ca="1" t="shared" si="149"/>
        <v>220310</v>
      </c>
      <c r="Z192" s="153">
        <f t="shared" si="210"/>
        <v>10</v>
      </c>
      <c r="AA192" s="153">
        <f ca="1">OFFSET(passive_type!$I$1,MATCH(C192,passive_type!A:A,0)-1,0)</f>
        <v>4</v>
      </c>
      <c r="AB192" s="153">
        <v>400015</v>
      </c>
      <c r="AD192" s="153">
        <f ca="1" t="shared" si="151"/>
        <v>0</v>
      </c>
      <c r="AE192" s="153">
        <v>0</v>
      </c>
      <c r="AF192" s="153">
        <f ca="1">OFFSET(passive_type!$L$1,MATCH(B192,passive_type!B:B,0)-1,0)</f>
        <v>1</v>
      </c>
      <c r="AG192">
        <f ca="1">OFFSET(passive_type!$R$1,MATCH(B192,passive_type!B:B,0)-1,0)</f>
        <v>1300016</v>
      </c>
      <c r="AH192">
        <f ca="1">IF(AD192=0,0,20)</f>
        <v>0</v>
      </c>
      <c r="AI192">
        <f ca="1">IF(Z192=0,0,VLOOKUP(F192,心法辅助配置表!Q:X,AF192+1,FALSE))</f>
        <v>1207</v>
      </c>
    </row>
    <row r="193" ht="24" customHeight="1" spans="1:35">
      <c r="A193">
        <f ca="1" t="shared" si="147"/>
        <v>310100</v>
      </c>
      <c r="B193" s="178" t="s">
        <v>1543</v>
      </c>
      <c r="C193">
        <f ca="1">OFFSET(passive_type!$A$1,MATCH(B193,passive_type!B:B,0)-1,0)</f>
        <v>3101</v>
      </c>
      <c r="D193" s="157"/>
      <c r="F193" s="158">
        <f ca="1">(OFFSET(passive_type!$E$1,MATCH(C193,passive_type!A:A,0)-1,0)*10+AA193)*100+Z193</f>
        <v>3200</v>
      </c>
      <c r="G193" s="22">
        <f ca="1">IF(Z193=0,0,VLOOKUP(F193,心法辅助配置表!$G$2:$O$91,AF193+2,FALSE))</f>
        <v>0</v>
      </c>
      <c r="I193" s="161"/>
      <c r="J193" s="161"/>
      <c r="K193" s="161"/>
      <c r="L193" s="161"/>
      <c r="P193" s="78" t="str">
        <f t="shared" si="206"/>
        <v>11||;</v>
      </c>
      <c r="Q193" s="78" t="str">
        <f t="shared" si="207"/>
        <v>21||;</v>
      </c>
      <c r="R193" s="78" t="str">
        <f t="shared" si="208"/>
        <v>12||;</v>
      </c>
      <c r="S193" s="78"/>
      <c r="T193" s="165" t="str">
        <f ca="1">OFFSET(buff!$C$1,MATCH(W193,buff!A:A,0)-1,0)</f>
        <v>每使用2招法术，发出1道真气造成{0}点{1}真实伤害</v>
      </c>
      <c r="U193" s="166"/>
      <c r="V193" s="166">
        <v>10000</v>
      </c>
      <c r="W193">
        <f ca="1" t="shared" si="149"/>
        <v>310100</v>
      </c>
      <c r="Z193" s="153">
        <f t="shared" si="210"/>
        <v>0</v>
      </c>
      <c r="AA193" s="153">
        <f ca="1">OFFSET(passive_type!$I$1,MATCH(C193,passive_type!A:A,0)-1,0)</f>
        <v>2</v>
      </c>
      <c r="AB193" s="153">
        <v>400015</v>
      </c>
      <c r="AC193" s="78">
        <v>400</v>
      </c>
      <c r="AD193" s="153">
        <f ca="1" t="shared" si="151"/>
        <v>310101</v>
      </c>
      <c r="AE193" s="153">
        <v>0</v>
      </c>
      <c r="AF193" s="153">
        <f ca="1">OFFSET(passive_type!$L$1,MATCH(B193,passive_type!B:B,0)-1,0)</f>
        <v>1</v>
      </c>
      <c r="AG193">
        <f ca="1">OFFSET(passive_type!$R$1,MATCH(B193,passive_type!B:B,0)-1,0)</f>
        <v>1300017</v>
      </c>
      <c r="AH193" s="78">
        <v>6</v>
      </c>
      <c r="AI193">
        <f ca="1">IF(Z193=0,0,VLOOKUP(F193,心法辅助配置表!Q:X,AF193+1,FALSE))</f>
        <v>0</v>
      </c>
    </row>
    <row r="194" ht="24" customHeight="1" spans="1:35">
      <c r="A194">
        <f ca="1" t="shared" si="147"/>
        <v>310101</v>
      </c>
      <c r="B194" s="178" t="s">
        <v>1543</v>
      </c>
      <c r="C194">
        <f ca="1">OFFSET(passive_type!$A$1,MATCH(B194,passive_type!B:B,0)-1,0)</f>
        <v>3101</v>
      </c>
      <c r="D194" s="157" t="s">
        <v>2928</v>
      </c>
      <c r="E194">
        <v>12</v>
      </c>
      <c r="F194" s="158">
        <f ca="1">(OFFSET(passive_type!$E$1,MATCH(C194,passive_type!A:A,0)-1,0)*10+AA194)*100+Z194</f>
        <v>3201</v>
      </c>
      <c r="G194" s="22">
        <f ca="1">IF(Z194=0,0,VLOOKUP(F194,心法辅助配置表!$G$2:$O$91,AF194+2,FALSE))</f>
        <v>209</v>
      </c>
      <c r="I194" s="153"/>
      <c r="J194" s="153"/>
      <c r="K194" s="153"/>
      <c r="L194" s="78">
        <f ca="1" t="shared" si="216"/>
        <v>209</v>
      </c>
      <c r="M194" s="78">
        <f>J194</f>
        <v>0</v>
      </c>
      <c r="N194" s="78">
        <f>K194</f>
        <v>0</v>
      </c>
      <c r="O194" s="78">
        <f ca="1">G194</f>
        <v>209</v>
      </c>
      <c r="P194" s="78" t="str">
        <f t="shared" si="206"/>
        <v>11|0|;</v>
      </c>
      <c r="Q194" s="78" t="str">
        <f t="shared" si="207"/>
        <v>21|0|;</v>
      </c>
      <c r="R194" s="78" t="str">
        <f ca="1" t="shared" si="208"/>
        <v>12|209|;</v>
      </c>
      <c r="S194" s="78" t="str">
        <f ca="1" t="shared" ref="S194:S203" si="221">P194&amp;Q194&amp;R194</f>
        <v>11|0|;21|0|;12|209|;</v>
      </c>
      <c r="T194" s="165" t="str">
        <f ca="1">OFFSET(buff!$C$1,MATCH(W194,buff!A:A,0)-1,0)</f>
        <v>每使用2招法术，发出1道真气造成{0}点{2}真实伤害</v>
      </c>
      <c r="U194" s="166"/>
      <c r="V194" s="166">
        <v>10000</v>
      </c>
      <c r="W194">
        <f ca="1" t="shared" si="149"/>
        <v>310101</v>
      </c>
      <c r="Z194" s="153">
        <f t="shared" si="210"/>
        <v>1</v>
      </c>
      <c r="AA194" s="153">
        <f ca="1">OFFSET(passive_type!$I$1,MATCH(C194,passive_type!A:A,0)-1,0)</f>
        <v>2</v>
      </c>
      <c r="AB194" s="153">
        <v>400015</v>
      </c>
      <c r="AC194" s="78">
        <v>800</v>
      </c>
      <c r="AD194" s="153">
        <f ca="1" t="shared" si="151"/>
        <v>310102</v>
      </c>
      <c r="AE194" s="153">
        <v>0</v>
      </c>
      <c r="AF194" s="153">
        <f ca="1">OFFSET(passive_type!$L$1,MATCH(B194,passive_type!B:B,0)-1,0)</f>
        <v>1</v>
      </c>
      <c r="AG194">
        <f ca="1">OFFSET(passive_type!$R$1,MATCH(B194,passive_type!B:B,0)-1,0)</f>
        <v>1300017</v>
      </c>
      <c r="AH194" s="78">
        <v>12</v>
      </c>
      <c r="AI194">
        <f ca="1">IF(Z194=0,0,VLOOKUP(F194,心法辅助配置表!Q:X,AF194+1,FALSE))</f>
        <v>144</v>
      </c>
    </row>
    <row r="195" ht="24" customHeight="1" spans="1:35">
      <c r="A195">
        <f ca="1" t="shared" si="147"/>
        <v>310102</v>
      </c>
      <c r="B195" s="178" t="s">
        <v>1543</v>
      </c>
      <c r="C195">
        <f ca="1">OFFSET(passive_type!$A$1,MATCH(B195,passive_type!B:B,0)-1,0)</f>
        <v>3101</v>
      </c>
      <c r="D195" s="157" t="s">
        <v>2929</v>
      </c>
      <c r="E195">
        <v>11</v>
      </c>
      <c r="F195" s="158">
        <f ca="1">(OFFSET(passive_type!$E$1,MATCH(C195,passive_type!A:A,0)-1,0)*10+AA195)*100+Z195</f>
        <v>3202</v>
      </c>
      <c r="G195" s="22">
        <f ca="1">IF(Z195=0,0,VLOOKUP(F195,心法辅助配置表!$G$2:$O$91,AF195+2,FALSE))</f>
        <v>34</v>
      </c>
      <c r="I195" s="161"/>
      <c r="J195" s="78">
        <f ca="1">G195</f>
        <v>34</v>
      </c>
      <c r="K195" s="162"/>
      <c r="L195" s="162"/>
      <c r="M195" s="78">
        <f ca="1" t="shared" ref="M195:O195" si="222">J195+M194</f>
        <v>34</v>
      </c>
      <c r="N195" s="78">
        <f t="shared" si="222"/>
        <v>0</v>
      </c>
      <c r="O195" s="78">
        <f ca="1" t="shared" si="222"/>
        <v>209</v>
      </c>
      <c r="P195" s="78" t="str">
        <f ca="1" t="shared" si="206"/>
        <v>11|34|;</v>
      </c>
      <c r="Q195" s="78" t="str">
        <f t="shared" si="207"/>
        <v>21|0|;</v>
      </c>
      <c r="R195" s="78" t="str">
        <f ca="1" t="shared" si="208"/>
        <v>12|209|;</v>
      </c>
      <c r="S195" s="78" t="str">
        <f ca="1" t="shared" si="221"/>
        <v>11|34|;21|0|;12|209|;</v>
      </c>
      <c r="T195" s="165" t="str">
        <f ca="1">OFFSET(buff!$C$1,MATCH(W195,buff!A:A,0)-1,0)</f>
        <v>每使用2招法术，发出1道真气造成{0}点{3}真实伤害</v>
      </c>
      <c r="U195" s="166"/>
      <c r="V195" s="166">
        <v>10000</v>
      </c>
      <c r="W195">
        <f ca="1" t="shared" si="149"/>
        <v>310102</v>
      </c>
      <c r="Z195" s="153">
        <f t="shared" si="210"/>
        <v>2</v>
      </c>
      <c r="AA195" s="153">
        <f ca="1">OFFSET(passive_type!$I$1,MATCH(C195,passive_type!A:A,0)-1,0)</f>
        <v>2</v>
      </c>
      <c r="AB195" s="153">
        <v>400015</v>
      </c>
      <c r="AC195" s="78">
        <v>1600</v>
      </c>
      <c r="AD195" s="153">
        <f ca="1" t="shared" si="151"/>
        <v>310103</v>
      </c>
      <c r="AE195" s="153">
        <v>0</v>
      </c>
      <c r="AF195" s="153">
        <f ca="1">OFFSET(passive_type!$L$1,MATCH(B195,passive_type!B:B,0)-1,0)</f>
        <v>1</v>
      </c>
      <c r="AG195">
        <f ca="1">OFFSET(passive_type!$R$1,MATCH(B195,passive_type!B:B,0)-1,0)</f>
        <v>1300017</v>
      </c>
      <c r="AH195" s="78">
        <v>24</v>
      </c>
      <c r="AI195">
        <f ca="1">IF(Z195=0,0,VLOOKUP(F195,心法辅助配置表!Q:X,AF195+1,FALSE))</f>
        <v>172</v>
      </c>
    </row>
    <row r="196" ht="24" customHeight="1" spans="1:35">
      <c r="A196">
        <f ca="1" t="shared" si="147"/>
        <v>310103</v>
      </c>
      <c r="B196" s="178" t="s">
        <v>1543</v>
      </c>
      <c r="C196">
        <f ca="1">OFFSET(passive_type!$A$1,MATCH(B196,passive_type!B:B,0)-1,0)</f>
        <v>3101</v>
      </c>
      <c r="D196" s="157" t="s">
        <v>2930</v>
      </c>
      <c r="E196">
        <v>21</v>
      </c>
      <c r="F196" s="158">
        <f ca="1">(OFFSET(passive_type!$E$1,MATCH(C196,passive_type!A:A,0)-1,0)*10+AA196)*100+Z196</f>
        <v>3203</v>
      </c>
      <c r="G196" s="22">
        <f ca="1">IF(Z196=0,0,VLOOKUP(F196,心法辅助配置表!$G$2:$O$91,AF196+2,FALSE))</f>
        <v>15</v>
      </c>
      <c r="I196" s="161"/>
      <c r="J196" s="161"/>
      <c r="K196" s="78">
        <f ca="1">G196</f>
        <v>15</v>
      </c>
      <c r="L196" s="161"/>
      <c r="M196" s="78">
        <f ca="1" t="shared" ref="M196:O196" si="223">J196+M195</f>
        <v>34</v>
      </c>
      <c r="N196" s="78">
        <f ca="1" t="shared" si="223"/>
        <v>15</v>
      </c>
      <c r="O196" s="78">
        <f ca="1" t="shared" si="223"/>
        <v>209</v>
      </c>
      <c r="P196" s="78" t="str">
        <f ca="1" t="shared" si="206"/>
        <v>11|34|;</v>
      </c>
      <c r="Q196" s="78" t="str">
        <f ca="1" t="shared" si="207"/>
        <v>21|15|;</v>
      </c>
      <c r="R196" s="78" t="str">
        <f ca="1" t="shared" si="208"/>
        <v>12|209|;</v>
      </c>
      <c r="S196" s="78" t="str">
        <f ca="1" t="shared" si="221"/>
        <v>11|34|;21|15|;12|209|;</v>
      </c>
      <c r="T196" s="165" t="str">
        <f ca="1">OFFSET(buff!$C$1,MATCH(W196,buff!A:A,0)-1,0)</f>
        <v>每使用2招法术，发出1道真气造成{0}点{4}真实伤害</v>
      </c>
      <c r="U196" s="166"/>
      <c r="V196" s="166">
        <v>10000</v>
      </c>
      <c r="W196">
        <f ca="1" t="shared" si="149"/>
        <v>310103</v>
      </c>
      <c r="Z196" s="153">
        <f t="shared" si="210"/>
        <v>3</v>
      </c>
      <c r="AA196" s="153">
        <f ca="1">OFFSET(passive_type!$I$1,MATCH(C196,passive_type!A:A,0)-1,0)</f>
        <v>2</v>
      </c>
      <c r="AB196" s="153">
        <v>400015</v>
      </c>
      <c r="AC196" s="78">
        <v>3200</v>
      </c>
      <c r="AD196" s="153">
        <f ca="1" t="shared" si="151"/>
        <v>310104</v>
      </c>
      <c r="AE196" s="153">
        <v>0</v>
      </c>
      <c r="AF196" s="153">
        <f ca="1">OFFSET(passive_type!$L$1,MATCH(B196,passive_type!B:B,0)-1,0)</f>
        <v>1</v>
      </c>
      <c r="AG196">
        <f ca="1">OFFSET(passive_type!$R$1,MATCH(B196,passive_type!B:B,0)-1,0)</f>
        <v>1300017</v>
      </c>
      <c r="AH196" s="78">
        <v>48</v>
      </c>
      <c r="AI196">
        <f ca="1">IF(Z196=0,0,VLOOKUP(F196,心法辅助配置表!Q:X,AF196+1,FALSE))</f>
        <v>201</v>
      </c>
    </row>
    <row r="197" ht="24" customHeight="1" spans="1:35">
      <c r="A197">
        <f ca="1" t="shared" si="147"/>
        <v>310104</v>
      </c>
      <c r="B197" s="178" t="s">
        <v>1543</v>
      </c>
      <c r="C197">
        <f ca="1">OFFSET(passive_type!$A$1,MATCH(B197,passive_type!B:B,0)-1,0)</f>
        <v>3101</v>
      </c>
      <c r="D197" s="157" t="s">
        <v>2928</v>
      </c>
      <c r="E197">
        <v>12</v>
      </c>
      <c r="F197" s="158">
        <f ca="1">(OFFSET(passive_type!$E$1,MATCH(C197,passive_type!A:A,0)-1,0)*10+AA197)*100+Z197</f>
        <v>3204</v>
      </c>
      <c r="G197" s="22">
        <f ca="1">IF(Z197=0,0,VLOOKUP(F197,心法辅助配置表!$G$2:$O$91,AF197+2,FALSE))</f>
        <v>313</v>
      </c>
      <c r="I197" s="161"/>
      <c r="J197" s="161"/>
      <c r="K197" s="161"/>
      <c r="L197" s="78">
        <f ca="1">G197</f>
        <v>313</v>
      </c>
      <c r="M197" s="78">
        <f ca="1" t="shared" ref="M197:O197" si="224">J197+M196</f>
        <v>34</v>
      </c>
      <c r="N197" s="78">
        <f ca="1" t="shared" si="224"/>
        <v>15</v>
      </c>
      <c r="O197" s="78">
        <f ca="1" t="shared" si="224"/>
        <v>522</v>
      </c>
      <c r="P197" s="78" t="str">
        <f ca="1" t="shared" si="206"/>
        <v>11|34|;</v>
      </c>
      <c r="Q197" s="78" t="str">
        <f ca="1" t="shared" si="207"/>
        <v>21|15|;</v>
      </c>
      <c r="R197" s="78" t="str">
        <f ca="1" t="shared" si="208"/>
        <v>12|522|;</v>
      </c>
      <c r="S197" s="78" t="str">
        <f ca="1" t="shared" si="221"/>
        <v>11|34|;21|15|;12|522|;</v>
      </c>
      <c r="T197" s="165" t="str">
        <f ca="1">OFFSET(buff!$C$1,MATCH(W197,buff!A:A,0)-1,0)</f>
        <v>每使用2招法术，发出1道真气造成{0}点{5}真实伤害</v>
      </c>
      <c r="U197" s="166"/>
      <c r="V197" s="166">
        <v>10000</v>
      </c>
      <c r="W197">
        <f ca="1" t="shared" si="149"/>
        <v>310104</v>
      </c>
      <c r="Z197" s="153">
        <f t="shared" si="210"/>
        <v>4</v>
      </c>
      <c r="AA197" s="153">
        <f ca="1">OFFSET(passive_type!$I$1,MATCH(C197,passive_type!A:A,0)-1,0)</f>
        <v>2</v>
      </c>
      <c r="AB197" s="153">
        <v>400015</v>
      </c>
      <c r="AC197" s="78">
        <v>4000</v>
      </c>
      <c r="AD197" s="153">
        <f ca="1" t="shared" si="151"/>
        <v>310105</v>
      </c>
      <c r="AE197" s="153">
        <v>0</v>
      </c>
      <c r="AF197" s="153">
        <f ca="1">OFFSET(passive_type!$L$1,MATCH(B197,passive_type!B:B,0)-1,0)</f>
        <v>1</v>
      </c>
      <c r="AG197">
        <f ca="1">OFFSET(passive_type!$R$1,MATCH(B197,passive_type!B:B,0)-1,0)</f>
        <v>1300017</v>
      </c>
      <c r="AH197" s="78">
        <v>60</v>
      </c>
      <c r="AI197">
        <f ca="1">IF(Z197=0,0,VLOOKUP(F197,心法辅助配置表!Q:X,AF197+1,FALSE))</f>
        <v>230</v>
      </c>
    </row>
    <row r="198" ht="24" customHeight="1" spans="1:35">
      <c r="A198">
        <f ca="1" t="shared" ref="A198:A261" si="225">C198*100+Z198</f>
        <v>310105</v>
      </c>
      <c r="B198" s="178" t="s">
        <v>1543</v>
      </c>
      <c r="C198">
        <f ca="1">OFFSET(passive_type!$A$1,MATCH(B198,passive_type!B:B,0)-1,0)</f>
        <v>3101</v>
      </c>
      <c r="D198" s="157" t="s">
        <v>2929</v>
      </c>
      <c r="E198">
        <v>11</v>
      </c>
      <c r="F198" s="158">
        <f ca="1">(OFFSET(passive_type!$E$1,MATCH(C198,passive_type!A:A,0)-1,0)*10+AA198)*100+Z198</f>
        <v>3205</v>
      </c>
      <c r="G198" s="22">
        <f ca="1">IF(Z198=0,0,VLOOKUP(F198,心法辅助配置表!$G$2:$O$91,AF198+2,FALSE))</f>
        <v>51</v>
      </c>
      <c r="I198" s="161"/>
      <c r="J198" s="78">
        <f ca="1">G198</f>
        <v>51</v>
      </c>
      <c r="K198" s="162"/>
      <c r="L198" s="162"/>
      <c r="M198" s="78">
        <f ca="1" t="shared" ref="M198:O198" si="226">J198+M197</f>
        <v>85</v>
      </c>
      <c r="N198" s="78">
        <f ca="1" t="shared" si="226"/>
        <v>15</v>
      </c>
      <c r="O198" s="78">
        <f ca="1" t="shared" si="226"/>
        <v>522</v>
      </c>
      <c r="P198" s="78" t="str">
        <f ca="1" t="shared" si="206"/>
        <v>11|85|;</v>
      </c>
      <c r="Q198" s="78" t="str">
        <f ca="1" t="shared" si="207"/>
        <v>21|15|;</v>
      </c>
      <c r="R198" s="78" t="str">
        <f ca="1" t="shared" si="208"/>
        <v>12|522|;</v>
      </c>
      <c r="S198" s="78" t="str">
        <f ca="1" t="shared" si="221"/>
        <v>11|85|;21|15|;12|522|;</v>
      </c>
      <c r="T198" s="165" t="str">
        <f ca="1">OFFSET(buff!$C$1,MATCH(W198,buff!A:A,0)-1,0)</f>
        <v>每使用2招法术，发出1道真气造成{0}点{6}真实伤害</v>
      </c>
      <c r="U198" s="166"/>
      <c r="V198" s="166">
        <v>10000</v>
      </c>
      <c r="W198">
        <f ca="1" t="shared" ref="W198:W261" si="227">A198</f>
        <v>310105</v>
      </c>
      <c r="Z198" s="153">
        <f t="shared" si="210"/>
        <v>5</v>
      </c>
      <c r="AA198" s="153">
        <f ca="1">OFFSET(passive_type!$I$1,MATCH(C198,passive_type!A:A,0)-1,0)</f>
        <v>2</v>
      </c>
      <c r="AB198" s="153">
        <v>400015</v>
      </c>
      <c r="AC198" s="78">
        <v>5600</v>
      </c>
      <c r="AD198" s="153">
        <f ca="1" t="shared" ref="AD198:AD261" si="228">IF(B198=B199,A199,0)</f>
        <v>310106</v>
      </c>
      <c r="AE198" s="153">
        <v>0</v>
      </c>
      <c r="AF198" s="153">
        <f ca="1">OFFSET(passive_type!$L$1,MATCH(B198,passive_type!B:B,0)-1,0)</f>
        <v>1</v>
      </c>
      <c r="AG198">
        <f ca="1">OFFSET(passive_type!$R$1,MATCH(B198,passive_type!B:B,0)-1,0)</f>
        <v>1300017</v>
      </c>
      <c r="AH198" s="78">
        <v>84</v>
      </c>
      <c r="AI198">
        <f ca="1">IF(Z198=0,0,VLOOKUP(F198,心法辅助配置表!Q:X,AF198+1,FALSE))</f>
        <v>259</v>
      </c>
    </row>
    <row r="199" ht="24" customHeight="1" spans="1:35">
      <c r="A199">
        <f ca="1" t="shared" si="225"/>
        <v>310106</v>
      </c>
      <c r="B199" s="178" t="s">
        <v>1543</v>
      </c>
      <c r="C199">
        <f ca="1">OFFSET(passive_type!$A$1,MATCH(B199,passive_type!B:B,0)-1,0)</f>
        <v>3101</v>
      </c>
      <c r="D199" s="157" t="s">
        <v>2930</v>
      </c>
      <c r="E199">
        <v>21</v>
      </c>
      <c r="F199" s="158">
        <f ca="1">(OFFSET(passive_type!$E$1,MATCH(C199,passive_type!A:A,0)-1,0)*10+AA199)*100+Z199</f>
        <v>3206</v>
      </c>
      <c r="G199" s="22">
        <f ca="1">IF(Z199=0,0,VLOOKUP(F199,心法辅助配置表!$G$2:$O$91,AF199+2,FALSE))</f>
        <v>23</v>
      </c>
      <c r="I199" s="161"/>
      <c r="J199" s="161"/>
      <c r="K199" s="78">
        <f ca="1">G199</f>
        <v>23</v>
      </c>
      <c r="L199" s="161"/>
      <c r="M199" s="78">
        <f ca="1" t="shared" ref="M199:O199" si="229">J199+M198</f>
        <v>85</v>
      </c>
      <c r="N199" s="78">
        <f ca="1" t="shared" si="229"/>
        <v>38</v>
      </c>
      <c r="O199" s="78">
        <f ca="1" t="shared" si="229"/>
        <v>522</v>
      </c>
      <c r="P199" s="78" t="str">
        <f ca="1" t="shared" si="206"/>
        <v>11|85|;</v>
      </c>
      <c r="Q199" s="78" t="str">
        <f ca="1" t="shared" si="207"/>
        <v>21|38|;</v>
      </c>
      <c r="R199" s="78" t="str">
        <f ca="1" t="shared" si="208"/>
        <v>12|522|;</v>
      </c>
      <c r="S199" s="78" t="str">
        <f ca="1" t="shared" si="221"/>
        <v>11|85|;21|38|;12|522|;</v>
      </c>
      <c r="T199" s="165" t="str">
        <f ca="1">OFFSET(buff!$C$1,MATCH(W199,buff!A:A,0)-1,0)</f>
        <v>每使用2招法术，发出1道真气造成{0}点{7}真实伤害</v>
      </c>
      <c r="U199" s="166"/>
      <c r="V199" s="166">
        <v>10000</v>
      </c>
      <c r="W199">
        <f ca="1" t="shared" si="227"/>
        <v>310106</v>
      </c>
      <c r="Z199" s="153">
        <f t="shared" si="210"/>
        <v>6</v>
      </c>
      <c r="AA199" s="153">
        <f ca="1">OFFSET(passive_type!$I$1,MATCH(C199,passive_type!A:A,0)-1,0)</f>
        <v>2</v>
      </c>
      <c r="AB199" s="153">
        <v>400015</v>
      </c>
      <c r="AC199" s="78">
        <v>8800</v>
      </c>
      <c r="AD199" s="153">
        <f ca="1" t="shared" si="228"/>
        <v>310107</v>
      </c>
      <c r="AE199" s="153">
        <v>0</v>
      </c>
      <c r="AF199" s="153">
        <f ca="1">OFFSET(passive_type!$L$1,MATCH(B199,passive_type!B:B,0)-1,0)</f>
        <v>1</v>
      </c>
      <c r="AG199">
        <f ca="1">OFFSET(passive_type!$R$1,MATCH(B199,passive_type!B:B,0)-1,0)</f>
        <v>1300017</v>
      </c>
      <c r="AH199" s="78">
        <v>108</v>
      </c>
      <c r="AI199">
        <f ca="1">IF(Z199=0,0,VLOOKUP(F199,心法辅助配置表!Q:X,AF199+1,FALSE))</f>
        <v>287</v>
      </c>
    </row>
    <row r="200" ht="24" customHeight="1" spans="1:35">
      <c r="A200">
        <f ca="1" t="shared" si="225"/>
        <v>310107</v>
      </c>
      <c r="B200" s="178" t="s">
        <v>1543</v>
      </c>
      <c r="C200">
        <f ca="1">OFFSET(passive_type!$A$1,MATCH(B200,passive_type!B:B,0)-1,0)</f>
        <v>3101</v>
      </c>
      <c r="D200" s="157" t="s">
        <v>2928</v>
      </c>
      <c r="E200">
        <v>12</v>
      </c>
      <c r="F200" s="158">
        <f ca="1">(OFFSET(passive_type!$E$1,MATCH(C200,passive_type!A:A,0)-1,0)*10+AA200)*100+Z200</f>
        <v>3207</v>
      </c>
      <c r="G200" s="22">
        <f ca="1">IF(Z200=0,0,VLOOKUP(F200,心法辅助配置表!$G$2:$O$91,AF200+2,FALSE))</f>
        <v>418</v>
      </c>
      <c r="I200" s="161"/>
      <c r="J200" s="161"/>
      <c r="K200" s="161"/>
      <c r="L200" s="78">
        <f ca="1" t="shared" ref="L200:L205" si="230">G200</f>
        <v>418</v>
      </c>
      <c r="M200" s="78">
        <f ca="1" t="shared" ref="M200:O200" si="231">J200+M199</f>
        <v>85</v>
      </c>
      <c r="N200" s="78">
        <f ca="1" t="shared" si="231"/>
        <v>38</v>
      </c>
      <c r="O200" s="78">
        <f ca="1" t="shared" si="231"/>
        <v>940</v>
      </c>
      <c r="P200" s="78" t="str">
        <f ca="1" t="shared" si="206"/>
        <v>11|85|;</v>
      </c>
      <c r="Q200" s="78" t="str">
        <f ca="1" t="shared" si="207"/>
        <v>21|38|;</v>
      </c>
      <c r="R200" s="78" t="str">
        <f ca="1" t="shared" si="208"/>
        <v>12|940|;</v>
      </c>
      <c r="S200" s="78" t="str">
        <f ca="1" t="shared" si="221"/>
        <v>11|85|;21|38|;12|940|;</v>
      </c>
      <c r="T200" s="165" t="str">
        <f ca="1">OFFSET(buff!$C$1,MATCH(W200,buff!A:A,0)-1,0)</f>
        <v>每使用2招法术，发出1道真气造成{0}点{8}真实伤害</v>
      </c>
      <c r="U200" s="166"/>
      <c r="V200" s="166">
        <v>10000</v>
      </c>
      <c r="W200">
        <f ca="1" t="shared" si="227"/>
        <v>310107</v>
      </c>
      <c r="Z200" s="153">
        <f t="shared" si="210"/>
        <v>7</v>
      </c>
      <c r="AA200" s="153">
        <f ca="1">OFFSET(passive_type!$I$1,MATCH(C200,passive_type!A:A,0)-1,0)</f>
        <v>2</v>
      </c>
      <c r="AB200" s="153">
        <v>400015</v>
      </c>
      <c r="AC200" s="78">
        <v>12800</v>
      </c>
      <c r="AD200" s="153">
        <f ca="1" t="shared" si="228"/>
        <v>310108</v>
      </c>
      <c r="AE200" s="153">
        <v>0</v>
      </c>
      <c r="AF200" s="153">
        <f ca="1">OFFSET(passive_type!$L$1,MATCH(B200,passive_type!B:B,0)-1,0)</f>
        <v>1</v>
      </c>
      <c r="AG200">
        <f ca="1">OFFSET(passive_type!$R$1,MATCH(B200,passive_type!B:B,0)-1,0)</f>
        <v>1300017</v>
      </c>
      <c r="AH200" s="78">
        <v>156</v>
      </c>
      <c r="AI200">
        <f ca="1">IF(Z200=0,0,VLOOKUP(F200,心法辅助配置表!Q:X,AF200+1,FALSE))</f>
        <v>316</v>
      </c>
    </row>
    <row r="201" ht="24" customHeight="1" spans="1:35">
      <c r="A201">
        <f ca="1" t="shared" si="225"/>
        <v>310108</v>
      </c>
      <c r="B201" s="178" t="s">
        <v>1543</v>
      </c>
      <c r="C201">
        <f ca="1">OFFSET(passive_type!$A$1,MATCH(B201,passive_type!B:B,0)-1,0)</f>
        <v>3101</v>
      </c>
      <c r="D201" s="157" t="s">
        <v>2929</v>
      </c>
      <c r="E201">
        <v>11</v>
      </c>
      <c r="F201" s="158">
        <f ca="1">(OFFSET(passive_type!$E$1,MATCH(C201,passive_type!A:A,0)-1,0)*10+AA201)*100+Z201</f>
        <v>3208</v>
      </c>
      <c r="G201" s="22">
        <f ca="1">IF(Z201=0,0,VLOOKUP(F201,心法辅助配置表!$G$2:$O$91,AF201+2,FALSE))</f>
        <v>68</v>
      </c>
      <c r="I201" s="161"/>
      <c r="J201" s="78">
        <f ca="1">G201</f>
        <v>68</v>
      </c>
      <c r="K201" s="162"/>
      <c r="L201" s="162"/>
      <c r="M201" s="78">
        <f ca="1" t="shared" ref="M201:O201" si="232">J201+M200</f>
        <v>153</v>
      </c>
      <c r="N201" s="78">
        <f ca="1" t="shared" si="232"/>
        <v>38</v>
      </c>
      <c r="O201" s="78">
        <f ca="1" t="shared" si="232"/>
        <v>940</v>
      </c>
      <c r="P201" s="78" t="str">
        <f ca="1" t="shared" si="206"/>
        <v>11|153|;</v>
      </c>
      <c r="Q201" s="78" t="str">
        <f ca="1" t="shared" si="207"/>
        <v>21|38|;</v>
      </c>
      <c r="R201" s="78" t="str">
        <f ca="1" t="shared" si="208"/>
        <v>12|940|;</v>
      </c>
      <c r="S201" s="78" t="str">
        <f ca="1" t="shared" si="221"/>
        <v>11|153|;21|38|;12|940|;</v>
      </c>
      <c r="T201" s="165" t="str">
        <f ca="1">OFFSET(buff!$C$1,MATCH(W201,buff!A:A,0)-1,0)</f>
        <v>每使用2招法术，发出1道真气造成{0}点{9}真实伤害</v>
      </c>
      <c r="U201" s="166"/>
      <c r="V201" s="166">
        <v>10000</v>
      </c>
      <c r="W201">
        <f ca="1" t="shared" si="227"/>
        <v>310108</v>
      </c>
      <c r="Z201" s="153">
        <f t="shared" si="210"/>
        <v>8</v>
      </c>
      <c r="AA201" s="153">
        <f ca="1">OFFSET(passive_type!$I$1,MATCH(C201,passive_type!A:A,0)-1,0)</f>
        <v>2</v>
      </c>
      <c r="AB201" s="153">
        <v>400015</v>
      </c>
      <c r="AC201" s="78">
        <v>18400</v>
      </c>
      <c r="AD201" s="153">
        <f ca="1" t="shared" si="228"/>
        <v>310109</v>
      </c>
      <c r="AE201" s="153">
        <v>0</v>
      </c>
      <c r="AF201" s="153">
        <f ca="1">OFFSET(passive_type!$L$1,MATCH(B201,passive_type!B:B,0)-1,0)</f>
        <v>1</v>
      </c>
      <c r="AG201">
        <f ca="1">OFFSET(passive_type!$R$1,MATCH(B201,passive_type!B:B,0)-1,0)</f>
        <v>1300017</v>
      </c>
      <c r="AH201" s="78">
        <v>216</v>
      </c>
      <c r="AI201">
        <f ca="1">IF(Z201=0,0,VLOOKUP(F201,心法辅助配置表!Q:X,AF201+1,FALSE))</f>
        <v>345</v>
      </c>
    </row>
    <row r="202" ht="24" customHeight="1" spans="1:35">
      <c r="A202">
        <f ca="1" t="shared" si="225"/>
        <v>310109</v>
      </c>
      <c r="B202" s="178" t="s">
        <v>1543</v>
      </c>
      <c r="C202">
        <f ca="1">OFFSET(passive_type!$A$1,MATCH(B202,passive_type!B:B,0)-1,0)</f>
        <v>3101</v>
      </c>
      <c r="D202" s="157" t="s">
        <v>2930</v>
      </c>
      <c r="E202">
        <v>21</v>
      </c>
      <c r="F202" s="158">
        <f ca="1">(OFFSET(passive_type!$E$1,MATCH(C202,passive_type!A:A,0)-1,0)*10+AA202)*100+Z202</f>
        <v>3209</v>
      </c>
      <c r="G202" s="22">
        <f ca="1">IF(Z202=0,0,VLOOKUP(F202,心法辅助配置表!$G$2:$O$91,AF202+2,FALSE))</f>
        <v>31</v>
      </c>
      <c r="I202" s="161"/>
      <c r="J202" s="161"/>
      <c r="K202" s="78">
        <f ca="1">G202</f>
        <v>31</v>
      </c>
      <c r="L202" s="161"/>
      <c r="M202" s="78">
        <f ca="1" t="shared" ref="M202:O202" si="233">J202+M201</f>
        <v>153</v>
      </c>
      <c r="N202" s="78">
        <f ca="1" t="shared" si="233"/>
        <v>69</v>
      </c>
      <c r="O202" s="78">
        <f ca="1" t="shared" si="233"/>
        <v>940</v>
      </c>
      <c r="P202" s="78" t="str">
        <f ca="1" t="shared" si="206"/>
        <v>11|153|;</v>
      </c>
      <c r="Q202" s="78" t="str">
        <f ca="1" t="shared" si="207"/>
        <v>21|69|;</v>
      </c>
      <c r="R202" s="78" t="str">
        <f ca="1" t="shared" si="208"/>
        <v>12|940|;</v>
      </c>
      <c r="S202" s="78" t="str">
        <f ca="1" t="shared" si="221"/>
        <v>11|153|;21|69|;12|940|;</v>
      </c>
      <c r="T202" s="165" t="str">
        <f ca="1">OFFSET(buff!$C$1,MATCH(W202,buff!A:A,0)-1,0)</f>
        <v>每使用2招法术，发出1道真气造成{0}点{10}真实伤害</v>
      </c>
      <c r="U202" s="166"/>
      <c r="V202" s="166">
        <v>10000</v>
      </c>
      <c r="W202">
        <f ca="1" t="shared" si="227"/>
        <v>310109</v>
      </c>
      <c r="Z202" s="153">
        <f t="shared" si="210"/>
        <v>9</v>
      </c>
      <c r="AA202" s="153">
        <f ca="1">OFFSET(passive_type!$I$1,MATCH(C202,passive_type!A:A,0)-1,0)</f>
        <v>2</v>
      </c>
      <c r="AB202" s="153">
        <v>400015</v>
      </c>
      <c r="AC202" s="78">
        <v>27200</v>
      </c>
      <c r="AD202" s="153">
        <f ca="1" t="shared" si="228"/>
        <v>310110</v>
      </c>
      <c r="AE202" s="153">
        <v>0</v>
      </c>
      <c r="AF202" s="153">
        <f ca="1">OFFSET(passive_type!$L$1,MATCH(B202,passive_type!B:B,0)-1,0)</f>
        <v>1</v>
      </c>
      <c r="AG202">
        <f ca="1">OFFSET(passive_type!$R$1,MATCH(B202,passive_type!B:B,0)-1,0)</f>
        <v>1300017</v>
      </c>
      <c r="AH202">
        <v>300</v>
      </c>
      <c r="AI202">
        <f ca="1">IF(Z202=0,0,VLOOKUP(F202,心法辅助配置表!Q:X,AF202+1,FALSE))</f>
        <v>374</v>
      </c>
    </row>
    <row r="203" ht="24" customHeight="1" spans="1:35">
      <c r="A203">
        <f ca="1" t="shared" si="225"/>
        <v>310110</v>
      </c>
      <c r="B203" s="178" t="s">
        <v>1543</v>
      </c>
      <c r="C203">
        <f ca="1">OFFSET(passive_type!$A$1,MATCH(B203,passive_type!B:B,0)-1,0)</f>
        <v>3101</v>
      </c>
      <c r="D203" s="157" t="s">
        <v>2928</v>
      </c>
      <c r="E203">
        <v>12</v>
      </c>
      <c r="F203" s="158">
        <f ca="1">(OFFSET(passive_type!$E$1,MATCH(C203,passive_type!A:A,0)-1,0)*10+AA203)*100+Z203</f>
        <v>3210</v>
      </c>
      <c r="G203" s="22">
        <f ca="1">IF(Z203=0,0,VLOOKUP(F203,心法辅助配置表!$G$2:$O$91,AF203+2,FALSE))</f>
        <v>522</v>
      </c>
      <c r="I203" s="161"/>
      <c r="J203" s="161"/>
      <c r="K203" s="161"/>
      <c r="L203" s="78">
        <f ca="1" t="shared" si="230"/>
        <v>522</v>
      </c>
      <c r="M203" s="78">
        <f ca="1" t="shared" ref="M203:O203" si="234">J203+M202</f>
        <v>153</v>
      </c>
      <c r="N203" s="78">
        <f ca="1" t="shared" si="234"/>
        <v>69</v>
      </c>
      <c r="O203" s="78">
        <f ca="1" t="shared" si="234"/>
        <v>1462</v>
      </c>
      <c r="P203" s="78" t="str">
        <f ca="1" t="shared" si="206"/>
        <v>11|153|;</v>
      </c>
      <c r="Q203" s="78" t="str">
        <f ca="1" t="shared" si="207"/>
        <v>21|69|;</v>
      </c>
      <c r="R203" s="78" t="str">
        <f ca="1" t="shared" si="208"/>
        <v>12|1462|;</v>
      </c>
      <c r="S203" s="78" t="str">
        <f ca="1" t="shared" si="221"/>
        <v>11|153|;21|69|;12|1462|;</v>
      </c>
      <c r="T203" s="165" t="str">
        <f ca="1">OFFSET(buff!$C$1,MATCH(W203,buff!A:A,0)-1,0)</f>
        <v>每使用2招法术，发出1道真气造成{0}点{11}真实伤害</v>
      </c>
      <c r="U203" s="166"/>
      <c r="V203" s="166">
        <v>10000</v>
      </c>
      <c r="W203">
        <f ca="1" t="shared" si="227"/>
        <v>310110</v>
      </c>
      <c r="Z203" s="153">
        <f t="shared" si="210"/>
        <v>10</v>
      </c>
      <c r="AA203" s="153">
        <f ca="1">OFFSET(passive_type!$I$1,MATCH(C203,passive_type!A:A,0)-1,0)</f>
        <v>2</v>
      </c>
      <c r="AB203" s="153">
        <v>400015</v>
      </c>
      <c r="AD203" s="153">
        <f ca="1" t="shared" si="228"/>
        <v>0</v>
      </c>
      <c r="AE203" s="153">
        <v>0</v>
      </c>
      <c r="AF203" s="153">
        <f ca="1">OFFSET(passive_type!$L$1,MATCH(B203,passive_type!B:B,0)-1,0)</f>
        <v>1</v>
      </c>
      <c r="AG203">
        <f ca="1">OFFSET(passive_type!$R$1,MATCH(B203,passive_type!B:B,0)-1,0)</f>
        <v>1300017</v>
      </c>
      <c r="AH203">
        <f ca="1">IF(AD203=0,0,20)</f>
        <v>0</v>
      </c>
      <c r="AI203">
        <f ca="1">IF(Z203=0,0,VLOOKUP(F203,心法辅助配置表!Q:X,AF203+1,FALSE))</f>
        <v>402</v>
      </c>
    </row>
    <row r="204" spans="1:35">
      <c r="A204">
        <f ca="1" t="shared" si="225"/>
        <v>310200</v>
      </c>
      <c r="B204" s="156" t="s">
        <v>1548</v>
      </c>
      <c r="C204">
        <f ca="1">OFFSET(passive_type!$A$1,MATCH(B204,passive_type!B:B,0)-1,0)</f>
        <v>3102</v>
      </c>
      <c r="D204" s="157"/>
      <c r="F204" s="158">
        <f ca="1">(OFFSET(passive_type!$E$1,MATCH(C204,passive_type!A:A,0)-1,0)*10+AA204)*100+Z204</f>
        <v>3200</v>
      </c>
      <c r="G204" s="22">
        <f ca="1">IF(Z204=0,0,VLOOKUP(F204,心法辅助配置表!$G$2:$O$91,AF204+2,FALSE))</f>
        <v>0</v>
      </c>
      <c r="I204" s="161"/>
      <c r="J204" s="161"/>
      <c r="K204" s="161"/>
      <c r="L204" s="161"/>
      <c r="P204" s="78" t="str">
        <f t="shared" si="206"/>
        <v>11||;</v>
      </c>
      <c r="Q204" s="78" t="str">
        <f t="shared" si="207"/>
        <v>21||;</v>
      </c>
      <c r="R204" s="78" t="str">
        <f t="shared" si="208"/>
        <v>12||;</v>
      </c>
      <c r="S204" s="78"/>
      <c r="T204" s="165" t="str">
        <f ca="1">OFFSET(buff!$C$1,MATCH(W204,buff!A:A,0)-1,0)</f>
        <v>增加法术伤害10%</v>
      </c>
      <c r="U204" s="166"/>
      <c r="V204" s="166">
        <v>10000</v>
      </c>
      <c r="W204">
        <f ca="1" t="shared" si="227"/>
        <v>310200</v>
      </c>
      <c r="Z204" s="153">
        <f t="shared" si="210"/>
        <v>0</v>
      </c>
      <c r="AA204" s="153">
        <f ca="1">OFFSET(passive_type!$I$1,MATCH(C204,passive_type!A:A,0)-1,0)</f>
        <v>2</v>
      </c>
      <c r="AB204" s="153">
        <v>400015</v>
      </c>
      <c r="AC204" s="78">
        <v>400</v>
      </c>
      <c r="AD204" s="153">
        <f ca="1" t="shared" si="228"/>
        <v>310201</v>
      </c>
      <c r="AE204" s="153">
        <v>0</v>
      </c>
      <c r="AF204" s="153">
        <f ca="1">OFFSET(passive_type!$L$1,MATCH(B204,passive_type!B:B,0)-1,0)</f>
        <v>1</v>
      </c>
      <c r="AG204">
        <f ca="1">OFFSET(passive_type!$R$1,MATCH(B204,passive_type!B:B,0)-1,0)</f>
        <v>1300018</v>
      </c>
      <c r="AH204" s="78">
        <v>6</v>
      </c>
      <c r="AI204">
        <f ca="1">IF(Z204=0,0,VLOOKUP(F204,心法辅助配置表!Q:X,AF204+1,FALSE))</f>
        <v>0</v>
      </c>
    </row>
    <row r="205" spans="1:35">
      <c r="A205">
        <f ca="1" t="shared" si="225"/>
        <v>310201</v>
      </c>
      <c r="B205" s="156" t="s">
        <v>1548</v>
      </c>
      <c r="C205">
        <f ca="1">OFFSET(passive_type!$A$1,MATCH(B205,passive_type!B:B,0)-1,0)</f>
        <v>3102</v>
      </c>
      <c r="D205" s="157" t="s">
        <v>2928</v>
      </c>
      <c r="E205">
        <v>12</v>
      </c>
      <c r="F205" s="158">
        <f ca="1">(OFFSET(passive_type!$E$1,MATCH(C205,passive_type!A:A,0)-1,0)*10+AA205)*100+Z205</f>
        <v>3201</v>
      </c>
      <c r="G205" s="22">
        <f ca="1">IF(Z205=0,0,VLOOKUP(F205,心法辅助配置表!$G$2:$O$91,AF205+2,FALSE))</f>
        <v>209</v>
      </c>
      <c r="I205" s="78"/>
      <c r="J205" s="78"/>
      <c r="K205" s="78"/>
      <c r="L205" s="78">
        <f ca="1" t="shared" si="230"/>
        <v>209</v>
      </c>
      <c r="M205" s="78">
        <f>J205</f>
        <v>0</v>
      </c>
      <c r="N205" s="78">
        <f>K205</f>
        <v>0</v>
      </c>
      <c r="O205" s="78">
        <f ca="1">G205</f>
        <v>209</v>
      </c>
      <c r="P205" s="78" t="str">
        <f t="shared" si="206"/>
        <v>11|0|;</v>
      </c>
      <c r="Q205" s="78" t="str">
        <f t="shared" si="207"/>
        <v>21|0|;</v>
      </c>
      <c r="R205" s="78" t="str">
        <f ca="1" t="shared" si="208"/>
        <v>12|209|;</v>
      </c>
      <c r="S205" s="78" t="str">
        <f ca="1" t="shared" ref="S205:S214" si="235">P205&amp;Q205&amp;R205</f>
        <v>11|0|;21|0|;12|209|;</v>
      </c>
      <c r="T205" s="165" t="str">
        <f ca="1">OFFSET(buff!$C$1,MATCH(W205,buff!A:A,0)-1,0)</f>
        <v>增加法术伤害12%</v>
      </c>
      <c r="U205" s="166"/>
      <c r="V205" s="166">
        <v>10000</v>
      </c>
      <c r="W205">
        <f ca="1" t="shared" si="227"/>
        <v>310201</v>
      </c>
      <c r="Z205" s="153">
        <f t="shared" si="210"/>
        <v>1</v>
      </c>
      <c r="AA205" s="153">
        <f ca="1">OFFSET(passive_type!$I$1,MATCH(C205,passive_type!A:A,0)-1,0)</f>
        <v>2</v>
      </c>
      <c r="AB205" s="153">
        <v>400015</v>
      </c>
      <c r="AC205" s="78">
        <v>800</v>
      </c>
      <c r="AD205" s="153">
        <f ca="1" t="shared" si="228"/>
        <v>310202</v>
      </c>
      <c r="AE205" s="153">
        <v>0</v>
      </c>
      <c r="AF205" s="153">
        <f ca="1">OFFSET(passive_type!$L$1,MATCH(B205,passive_type!B:B,0)-1,0)</f>
        <v>1</v>
      </c>
      <c r="AG205">
        <f ca="1">OFFSET(passive_type!$R$1,MATCH(B205,passive_type!B:B,0)-1,0)</f>
        <v>1300018</v>
      </c>
      <c r="AH205" s="78">
        <v>12</v>
      </c>
      <c r="AI205">
        <f ca="1">IF(Z205=0,0,VLOOKUP(F205,心法辅助配置表!Q:X,AF205+1,FALSE))</f>
        <v>144</v>
      </c>
    </row>
    <row r="206" spans="1:35">
      <c r="A206">
        <f ca="1" t="shared" si="225"/>
        <v>310202</v>
      </c>
      <c r="B206" s="156" t="s">
        <v>1548</v>
      </c>
      <c r="C206">
        <f ca="1">OFFSET(passive_type!$A$1,MATCH(B206,passive_type!B:B,0)-1,0)</f>
        <v>3102</v>
      </c>
      <c r="D206" s="157" t="s">
        <v>2929</v>
      </c>
      <c r="E206">
        <v>11</v>
      </c>
      <c r="F206" s="158">
        <f ca="1">(OFFSET(passive_type!$E$1,MATCH(C206,passive_type!A:A,0)-1,0)*10+AA206)*100+Z206</f>
        <v>3202</v>
      </c>
      <c r="G206" s="22">
        <f ca="1">IF(Z206=0,0,VLOOKUP(F206,心法辅助配置表!$G$2:$O$91,AF206+2,FALSE))</f>
        <v>34</v>
      </c>
      <c r="I206" s="78"/>
      <c r="J206" s="78">
        <f ca="1">G206</f>
        <v>34</v>
      </c>
      <c r="K206" s="78"/>
      <c r="L206" s="78"/>
      <c r="M206" s="78">
        <f ca="1" t="shared" ref="M206:O206" si="236">J206+M205</f>
        <v>34</v>
      </c>
      <c r="N206" s="78">
        <f t="shared" si="236"/>
        <v>0</v>
      </c>
      <c r="O206" s="78">
        <f ca="1" t="shared" si="236"/>
        <v>209</v>
      </c>
      <c r="P206" s="78" t="str">
        <f ca="1" t="shared" si="206"/>
        <v>11|34|;</v>
      </c>
      <c r="Q206" s="78" t="str">
        <f t="shared" si="207"/>
        <v>21|0|;</v>
      </c>
      <c r="R206" s="78" t="str">
        <f ca="1" t="shared" si="208"/>
        <v>12|209|;</v>
      </c>
      <c r="S206" s="78" t="str">
        <f ca="1" t="shared" si="235"/>
        <v>11|34|;21|0|;12|209|;</v>
      </c>
      <c r="T206" s="165" t="str">
        <f ca="1">OFFSET(buff!$C$1,MATCH(W206,buff!A:A,0)-1,0)</f>
        <v>增加法术伤害14%</v>
      </c>
      <c r="U206" s="166"/>
      <c r="V206" s="166">
        <v>10000</v>
      </c>
      <c r="W206">
        <f ca="1" t="shared" si="227"/>
        <v>310202</v>
      </c>
      <c r="Z206" s="153">
        <f t="shared" si="210"/>
        <v>2</v>
      </c>
      <c r="AA206" s="153">
        <f ca="1">OFFSET(passive_type!$I$1,MATCH(C206,passive_type!A:A,0)-1,0)</f>
        <v>2</v>
      </c>
      <c r="AB206" s="153">
        <v>400015</v>
      </c>
      <c r="AC206" s="78">
        <v>1600</v>
      </c>
      <c r="AD206" s="153">
        <f ca="1" t="shared" si="228"/>
        <v>310203</v>
      </c>
      <c r="AE206" s="153">
        <v>0</v>
      </c>
      <c r="AF206" s="153">
        <f ca="1">OFFSET(passive_type!$L$1,MATCH(B206,passive_type!B:B,0)-1,0)</f>
        <v>1</v>
      </c>
      <c r="AG206">
        <f ca="1">OFFSET(passive_type!$R$1,MATCH(B206,passive_type!B:B,0)-1,0)</f>
        <v>1300018</v>
      </c>
      <c r="AH206" s="78">
        <v>24</v>
      </c>
      <c r="AI206">
        <f ca="1">IF(Z206=0,0,VLOOKUP(F206,心法辅助配置表!Q:X,AF206+1,FALSE))</f>
        <v>172</v>
      </c>
    </row>
    <row r="207" spans="1:35">
      <c r="A207">
        <f ca="1" t="shared" si="225"/>
        <v>310203</v>
      </c>
      <c r="B207" s="156" t="s">
        <v>1548</v>
      </c>
      <c r="C207">
        <f ca="1">OFFSET(passive_type!$A$1,MATCH(B207,passive_type!B:B,0)-1,0)</f>
        <v>3102</v>
      </c>
      <c r="D207" s="157" t="s">
        <v>2930</v>
      </c>
      <c r="E207">
        <v>21</v>
      </c>
      <c r="F207" s="158">
        <f ca="1">(OFFSET(passive_type!$E$1,MATCH(C207,passive_type!A:A,0)-1,0)*10+AA207)*100+Z207</f>
        <v>3203</v>
      </c>
      <c r="G207" s="22">
        <f ca="1">IF(Z207=0,0,VLOOKUP(F207,心法辅助配置表!$G$2:$O$91,AF207+2,FALSE))</f>
        <v>15</v>
      </c>
      <c r="I207" s="78"/>
      <c r="J207" s="78"/>
      <c r="K207" s="78">
        <f ca="1">G207</f>
        <v>15</v>
      </c>
      <c r="L207" s="78"/>
      <c r="M207" s="78">
        <f ca="1" t="shared" ref="M207:O207" si="237">J207+M206</f>
        <v>34</v>
      </c>
      <c r="N207" s="78">
        <f ca="1" t="shared" si="237"/>
        <v>15</v>
      </c>
      <c r="O207" s="78">
        <f ca="1" t="shared" si="237"/>
        <v>209</v>
      </c>
      <c r="P207" s="78" t="str">
        <f ca="1" t="shared" si="206"/>
        <v>11|34|;</v>
      </c>
      <c r="Q207" s="78" t="str">
        <f ca="1" t="shared" si="207"/>
        <v>21|15|;</v>
      </c>
      <c r="R207" s="78" t="str">
        <f ca="1" t="shared" si="208"/>
        <v>12|209|;</v>
      </c>
      <c r="S207" s="78" t="str">
        <f ca="1" t="shared" si="235"/>
        <v>11|34|;21|15|;12|209|;</v>
      </c>
      <c r="T207" s="165" t="str">
        <f ca="1">OFFSET(buff!$C$1,MATCH(W207,buff!A:A,0)-1,0)</f>
        <v>增加法术伤害16%</v>
      </c>
      <c r="U207" s="166"/>
      <c r="V207" s="166">
        <v>10000</v>
      </c>
      <c r="W207">
        <f ca="1" t="shared" si="227"/>
        <v>310203</v>
      </c>
      <c r="Z207" s="153">
        <f t="shared" si="210"/>
        <v>3</v>
      </c>
      <c r="AA207" s="153">
        <f ca="1">OFFSET(passive_type!$I$1,MATCH(C207,passive_type!A:A,0)-1,0)</f>
        <v>2</v>
      </c>
      <c r="AB207" s="153">
        <v>400015</v>
      </c>
      <c r="AC207" s="78">
        <v>3200</v>
      </c>
      <c r="AD207" s="153">
        <f ca="1" t="shared" si="228"/>
        <v>310204</v>
      </c>
      <c r="AE207" s="153">
        <v>0</v>
      </c>
      <c r="AF207" s="153">
        <f ca="1">OFFSET(passive_type!$L$1,MATCH(B207,passive_type!B:B,0)-1,0)</f>
        <v>1</v>
      </c>
      <c r="AG207">
        <f ca="1">OFFSET(passive_type!$R$1,MATCH(B207,passive_type!B:B,0)-1,0)</f>
        <v>1300018</v>
      </c>
      <c r="AH207" s="78">
        <v>48</v>
      </c>
      <c r="AI207">
        <f ca="1">IF(Z207=0,0,VLOOKUP(F207,心法辅助配置表!Q:X,AF207+1,FALSE))</f>
        <v>201</v>
      </c>
    </row>
    <row r="208" spans="1:35">
      <c r="A208">
        <f ca="1" t="shared" si="225"/>
        <v>310204</v>
      </c>
      <c r="B208" s="156" t="s">
        <v>1548</v>
      </c>
      <c r="C208">
        <f ca="1">OFFSET(passive_type!$A$1,MATCH(B208,passive_type!B:B,0)-1,0)</f>
        <v>3102</v>
      </c>
      <c r="D208" s="157" t="s">
        <v>2928</v>
      </c>
      <c r="E208">
        <v>12</v>
      </c>
      <c r="F208" s="158">
        <f ca="1">(OFFSET(passive_type!$E$1,MATCH(C208,passive_type!A:A,0)-1,0)*10+AA208)*100+Z208</f>
        <v>3204</v>
      </c>
      <c r="G208" s="22">
        <f ca="1">IF(Z208=0,0,VLOOKUP(F208,心法辅助配置表!$G$2:$O$91,AF208+2,FALSE))</f>
        <v>313</v>
      </c>
      <c r="I208" s="78"/>
      <c r="J208" s="78"/>
      <c r="K208" s="78"/>
      <c r="L208" s="78">
        <f ca="1">G208</f>
        <v>313</v>
      </c>
      <c r="M208" s="78">
        <f ca="1" t="shared" ref="M208:O208" si="238">J208+M207</f>
        <v>34</v>
      </c>
      <c r="N208" s="78">
        <f ca="1" t="shared" si="238"/>
        <v>15</v>
      </c>
      <c r="O208" s="78">
        <f ca="1" t="shared" si="238"/>
        <v>522</v>
      </c>
      <c r="P208" s="78" t="str">
        <f ca="1" t="shared" si="206"/>
        <v>11|34|;</v>
      </c>
      <c r="Q208" s="78" t="str">
        <f ca="1" t="shared" si="207"/>
        <v>21|15|;</v>
      </c>
      <c r="R208" s="78" t="str">
        <f ca="1" t="shared" si="208"/>
        <v>12|522|;</v>
      </c>
      <c r="S208" s="78" t="str">
        <f ca="1" t="shared" si="235"/>
        <v>11|34|;21|15|;12|522|;</v>
      </c>
      <c r="T208" s="165" t="str">
        <f ca="1">OFFSET(buff!$C$1,MATCH(W208,buff!A:A,0)-1,0)</f>
        <v>增加法术伤害18%</v>
      </c>
      <c r="U208" s="166"/>
      <c r="V208" s="166">
        <v>10000</v>
      </c>
      <c r="W208">
        <f ca="1" t="shared" si="227"/>
        <v>310204</v>
      </c>
      <c r="Z208" s="153">
        <f t="shared" si="210"/>
        <v>4</v>
      </c>
      <c r="AA208" s="153">
        <f ca="1">OFFSET(passive_type!$I$1,MATCH(C208,passive_type!A:A,0)-1,0)</f>
        <v>2</v>
      </c>
      <c r="AB208" s="153">
        <v>400015</v>
      </c>
      <c r="AC208" s="78">
        <v>4000</v>
      </c>
      <c r="AD208" s="153">
        <f ca="1" t="shared" si="228"/>
        <v>310205</v>
      </c>
      <c r="AE208" s="153">
        <v>0</v>
      </c>
      <c r="AF208" s="153">
        <f ca="1">OFFSET(passive_type!$L$1,MATCH(B208,passive_type!B:B,0)-1,0)</f>
        <v>1</v>
      </c>
      <c r="AG208">
        <f ca="1">OFFSET(passive_type!$R$1,MATCH(B208,passive_type!B:B,0)-1,0)</f>
        <v>1300018</v>
      </c>
      <c r="AH208" s="78">
        <v>60</v>
      </c>
      <c r="AI208">
        <f ca="1">IF(Z208=0,0,VLOOKUP(F208,心法辅助配置表!Q:X,AF208+1,FALSE))</f>
        <v>230</v>
      </c>
    </row>
    <row r="209" spans="1:35">
      <c r="A209">
        <f ca="1" t="shared" si="225"/>
        <v>310205</v>
      </c>
      <c r="B209" s="156" t="s">
        <v>1548</v>
      </c>
      <c r="C209">
        <f ca="1">OFFSET(passive_type!$A$1,MATCH(B209,passive_type!B:B,0)-1,0)</f>
        <v>3102</v>
      </c>
      <c r="D209" s="157" t="s">
        <v>2929</v>
      </c>
      <c r="E209">
        <v>11</v>
      </c>
      <c r="F209" s="158">
        <f ca="1">(OFFSET(passive_type!$E$1,MATCH(C209,passive_type!A:A,0)-1,0)*10+AA209)*100+Z209</f>
        <v>3205</v>
      </c>
      <c r="G209" s="22">
        <f ca="1">IF(Z209=0,0,VLOOKUP(F209,心法辅助配置表!$G$2:$O$91,AF209+2,FALSE))</f>
        <v>51</v>
      </c>
      <c r="I209" s="78"/>
      <c r="J209" s="78">
        <f ca="1">G209</f>
        <v>51</v>
      </c>
      <c r="K209" s="78"/>
      <c r="L209" s="78"/>
      <c r="M209" s="78">
        <f ca="1" t="shared" ref="M209:O209" si="239">J209+M208</f>
        <v>85</v>
      </c>
      <c r="N209" s="78">
        <f ca="1" t="shared" si="239"/>
        <v>15</v>
      </c>
      <c r="O209" s="78">
        <f ca="1" t="shared" si="239"/>
        <v>522</v>
      </c>
      <c r="P209" s="78" t="str">
        <f ca="1" t="shared" si="206"/>
        <v>11|85|;</v>
      </c>
      <c r="Q209" s="78" t="str">
        <f ca="1" t="shared" si="207"/>
        <v>21|15|;</v>
      </c>
      <c r="R209" s="78" t="str">
        <f ca="1" t="shared" si="208"/>
        <v>12|522|;</v>
      </c>
      <c r="S209" s="78" t="str">
        <f ca="1" t="shared" si="235"/>
        <v>11|85|;21|15|;12|522|;</v>
      </c>
      <c r="T209" s="165" t="str">
        <f ca="1">OFFSET(buff!$C$1,MATCH(W209,buff!A:A,0)-1,0)</f>
        <v>增加法术伤害20%</v>
      </c>
      <c r="U209" s="166"/>
      <c r="V209" s="166">
        <v>10000</v>
      </c>
      <c r="W209">
        <f ca="1" t="shared" si="227"/>
        <v>310205</v>
      </c>
      <c r="Z209" s="153">
        <f t="shared" si="210"/>
        <v>5</v>
      </c>
      <c r="AA209" s="153">
        <f ca="1">OFFSET(passive_type!$I$1,MATCH(C209,passive_type!A:A,0)-1,0)</f>
        <v>2</v>
      </c>
      <c r="AB209" s="153">
        <v>400015</v>
      </c>
      <c r="AC209" s="78">
        <v>5600</v>
      </c>
      <c r="AD209" s="153">
        <f ca="1" t="shared" si="228"/>
        <v>310206</v>
      </c>
      <c r="AE209" s="153">
        <v>0</v>
      </c>
      <c r="AF209" s="153">
        <f ca="1">OFFSET(passive_type!$L$1,MATCH(B209,passive_type!B:B,0)-1,0)</f>
        <v>1</v>
      </c>
      <c r="AG209">
        <f ca="1">OFFSET(passive_type!$R$1,MATCH(B209,passive_type!B:B,0)-1,0)</f>
        <v>1300018</v>
      </c>
      <c r="AH209" s="78">
        <v>84</v>
      </c>
      <c r="AI209">
        <f ca="1">IF(Z209=0,0,VLOOKUP(F209,心法辅助配置表!Q:X,AF209+1,FALSE))</f>
        <v>259</v>
      </c>
    </row>
    <row r="210" spans="1:35">
      <c r="A210">
        <f ca="1" t="shared" si="225"/>
        <v>310206</v>
      </c>
      <c r="B210" s="156" t="s">
        <v>1548</v>
      </c>
      <c r="C210">
        <f ca="1">OFFSET(passive_type!$A$1,MATCH(B210,passive_type!B:B,0)-1,0)</f>
        <v>3102</v>
      </c>
      <c r="D210" s="157" t="s">
        <v>2930</v>
      </c>
      <c r="E210">
        <v>21</v>
      </c>
      <c r="F210" s="158">
        <f ca="1">(OFFSET(passive_type!$E$1,MATCH(C210,passive_type!A:A,0)-1,0)*10+AA210)*100+Z210</f>
        <v>3206</v>
      </c>
      <c r="G210" s="22">
        <f ca="1">IF(Z210=0,0,VLOOKUP(F210,心法辅助配置表!$G$2:$O$91,AF210+2,FALSE))</f>
        <v>23</v>
      </c>
      <c r="I210" s="78"/>
      <c r="J210" s="78"/>
      <c r="K210" s="78">
        <f ca="1">G210</f>
        <v>23</v>
      </c>
      <c r="L210" s="78"/>
      <c r="M210" s="78">
        <f ca="1" t="shared" ref="M210:O210" si="240">J210+M209</f>
        <v>85</v>
      </c>
      <c r="N210" s="78">
        <f ca="1" t="shared" si="240"/>
        <v>38</v>
      </c>
      <c r="O210" s="78">
        <f ca="1" t="shared" si="240"/>
        <v>522</v>
      </c>
      <c r="P210" s="78" t="str">
        <f ca="1" t="shared" si="206"/>
        <v>11|85|;</v>
      </c>
      <c r="Q210" s="78" t="str">
        <f ca="1" t="shared" si="207"/>
        <v>21|38|;</v>
      </c>
      <c r="R210" s="78" t="str">
        <f ca="1" t="shared" si="208"/>
        <v>12|522|;</v>
      </c>
      <c r="S210" s="78" t="str">
        <f ca="1" t="shared" si="235"/>
        <v>11|85|;21|38|;12|522|;</v>
      </c>
      <c r="T210" s="165" t="str">
        <f ca="1">OFFSET(buff!$C$1,MATCH(W210,buff!A:A,0)-1,0)</f>
        <v>增加法术伤害22%</v>
      </c>
      <c r="U210" s="166"/>
      <c r="V210" s="166">
        <v>10000</v>
      </c>
      <c r="W210">
        <f ca="1" t="shared" si="227"/>
        <v>310206</v>
      </c>
      <c r="Z210" s="153">
        <f t="shared" si="210"/>
        <v>6</v>
      </c>
      <c r="AA210" s="153">
        <f ca="1">OFFSET(passive_type!$I$1,MATCH(C210,passive_type!A:A,0)-1,0)</f>
        <v>2</v>
      </c>
      <c r="AB210" s="153">
        <v>400015</v>
      </c>
      <c r="AC210" s="78">
        <v>8800</v>
      </c>
      <c r="AD210" s="153">
        <f ca="1" t="shared" si="228"/>
        <v>310207</v>
      </c>
      <c r="AE210" s="153">
        <v>0</v>
      </c>
      <c r="AF210" s="153">
        <f ca="1">OFFSET(passive_type!$L$1,MATCH(B210,passive_type!B:B,0)-1,0)</f>
        <v>1</v>
      </c>
      <c r="AG210">
        <f ca="1">OFFSET(passive_type!$R$1,MATCH(B210,passive_type!B:B,0)-1,0)</f>
        <v>1300018</v>
      </c>
      <c r="AH210" s="78">
        <v>108</v>
      </c>
      <c r="AI210">
        <f ca="1">IF(Z210=0,0,VLOOKUP(F210,心法辅助配置表!Q:X,AF210+1,FALSE))</f>
        <v>287</v>
      </c>
    </row>
    <row r="211" spans="1:35">
      <c r="A211">
        <f ca="1" t="shared" si="225"/>
        <v>310207</v>
      </c>
      <c r="B211" s="156" t="s">
        <v>1548</v>
      </c>
      <c r="C211">
        <f ca="1">OFFSET(passive_type!$A$1,MATCH(B211,passive_type!B:B,0)-1,0)</f>
        <v>3102</v>
      </c>
      <c r="D211" s="157" t="s">
        <v>2928</v>
      </c>
      <c r="E211">
        <v>12</v>
      </c>
      <c r="F211" s="158">
        <f ca="1">(OFFSET(passive_type!$E$1,MATCH(C211,passive_type!A:A,0)-1,0)*10+AA211)*100+Z211</f>
        <v>3207</v>
      </c>
      <c r="G211" s="22">
        <f ca="1">IF(Z211=0,0,VLOOKUP(F211,心法辅助配置表!$G$2:$O$91,AF211+2,FALSE))</f>
        <v>418</v>
      </c>
      <c r="I211" s="78"/>
      <c r="J211" s="78"/>
      <c r="K211" s="78"/>
      <c r="L211" s="78">
        <f ca="1" t="shared" ref="L211:L216" si="241">G211</f>
        <v>418</v>
      </c>
      <c r="M211" s="78">
        <f ca="1" t="shared" ref="M211:O211" si="242">J211+M210</f>
        <v>85</v>
      </c>
      <c r="N211" s="78">
        <f ca="1" t="shared" si="242"/>
        <v>38</v>
      </c>
      <c r="O211" s="78">
        <f ca="1" t="shared" si="242"/>
        <v>940</v>
      </c>
      <c r="P211" s="78" t="str">
        <f ca="1" t="shared" si="206"/>
        <v>11|85|;</v>
      </c>
      <c r="Q211" s="78" t="str">
        <f ca="1" t="shared" si="207"/>
        <v>21|38|;</v>
      </c>
      <c r="R211" s="78" t="str">
        <f ca="1" t="shared" si="208"/>
        <v>12|940|;</v>
      </c>
      <c r="S211" s="78" t="str">
        <f ca="1" t="shared" si="235"/>
        <v>11|85|;21|38|;12|940|;</v>
      </c>
      <c r="T211" s="165" t="str">
        <f ca="1">OFFSET(buff!$C$1,MATCH(W211,buff!A:A,0)-1,0)</f>
        <v>增加法术伤害24%</v>
      </c>
      <c r="U211" s="166"/>
      <c r="V211" s="166">
        <v>10000</v>
      </c>
      <c r="W211">
        <f ca="1" t="shared" si="227"/>
        <v>310207</v>
      </c>
      <c r="Z211" s="153">
        <f t="shared" si="210"/>
        <v>7</v>
      </c>
      <c r="AA211" s="153">
        <f ca="1">OFFSET(passive_type!$I$1,MATCH(C211,passive_type!A:A,0)-1,0)</f>
        <v>2</v>
      </c>
      <c r="AB211" s="153">
        <v>400015</v>
      </c>
      <c r="AC211" s="78">
        <v>12800</v>
      </c>
      <c r="AD211" s="153">
        <f ca="1" t="shared" si="228"/>
        <v>310208</v>
      </c>
      <c r="AE211" s="153">
        <v>0</v>
      </c>
      <c r="AF211" s="153">
        <f ca="1">OFFSET(passive_type!$L$1,MATCH(B211,passive_type!B:B,0)-1,0)</f>
        <v>1</v>
      </c>
      <c r="AG211">
        <f ca="1">OFFSET(passive_type!$R$1,MATCH(B211,passive_type!B:B,0)-1,0)</f>
        <v>1300018</v>
      </c>
      <c r="AH211" s="78">
        <v>156</v>
      </c>
      <c r="AI211">
        <f ca="1">IF(Z211=0,0,VLOOKUP(F211,心法辅助配置表!Q:X,AF211+1,FALSE))</f>
        <v>316</v>
      </c>
    </row>
    <row r="212" spans="1:35">
      <c r="A212">
        <f ca="1" t="shared" si="225"/>
        <v>310208</v>
      </c>
      <c r="B212" s="156" t="s">
        <v>1548</v>
      </c>
      <c r="C212">
        <f ca="1">OFFSET(passive_type!$A$1,MATCH(B212,passive_type!B:B,0)-1,0)</f>
        <v>3102</v>
      </c>
      <c r="D212" s="157" t="s">
        <v>2929</v>
      </c>
      <c r="E212">
        <v>11</v>
      </c>
      <c r="F212" s="158">
        <f ca="1">(OFFSET(passive_type!$E$1,MATCH(C212,passive_type!A:A,0)-1,0)*10+AA212)*100+Z212</f>
        <v>3208</v>
      </c>
      <c r="G212" s="22">
        <f ca="1">IF(Z212=0,0,VLOOKUP(F212,心法辅助配置表!$G$2:$O$91,AF212+2,FALSE))</f>
        <v>68</v>
      </c>
      <c r="I212" s="78"/>
      <c r="J212" s="78">
        <f ca="1">G212</f>
        <v>68</v>
      </c>
      <c r="K212" s="78"/>
      <c r="L212" s="78"/>
      <c r="M212" s="78">
        <f ca="1" t="shared" ref="M212:O212" si="243">J212+M211</f>
        <v>153</v>
      </c>
      <c r="N212" s="78">
        <f ca="1" t="shared" si="243"/>
        <v>38</v>
      </c>
      <c r="O212" s="78">
        <f ca="1" t="shared" si="243"/>
        <v>940</v>
      </c>
      <c r="P212" s="78" t="str">
        <f ca="1" t="shared" si="206"/>
        <v>11|153|;</v>
      </c>
      <c r="Q212" s="78" t="str">
        <f ca="1" t="shared" si="207"/>
        <v>21|38|;</v>
      </c>
      <c r="R212" s="78" t="str">
        <f ca="1" t="shared" si="208"/>
        <v>12|940|;</v>
      </c>
      <c r="S212" s="78" t="str">
        <f ca="1" t="shared" si="235"/>
        <v>11|153|;21|38|;12|940|;</v>
      </c>
      <c r="T212" s="165" t="str">
        <f ca="1">OFFSET(buff!$C$1,MATCH(W212,buff!A:A,0)-1,0)</f>
        <v>增加法术伤害26%</v>
      </c>
      <c r="U212" s="166"/>
      <c r="V212" s="166">
        <v>10000</v>
      </c>
      <c r="W212">
        <f ca="1" t="shared" si="227"/>
        <v>310208</v>
      </c>
      <c r="Z212" s="153">
        <f t="shared" si="210"/>
        <v>8</v>
      </c>
      <c r="AA212" s="153">
        <f ca="1">OFFSET(passive_type!$I$1,MATCH(C212,passive_type!A:A,0)-1,0)</f>
        <v>2</v>
      </c>
      <c r="AB212" s="153">
        <v>400015</v>
      </c>
      <c r="AC212" s="78">
        <v>18400</v>
      </c>
      <c r="AD212" s="153">
        <f ca="1" t="shared" si="228"/>
        <v>310209</v>
      </c>
      <c r="AE212" s="153">
        <v>0</v>
      </c>
      <c r="AF212" s="153">
        <f ca="1">OFFSET(passive_type!$L$1,MATCH(B212,passive_type!B:B,0)-1,0)</f>
        <v>1</v>
      </c>
      <c r="AG212">
        <f ca="1">OFFSET(passive_type!$R$1,MATCH(B212,passive_type!B:B,0)-1,0)</f>
        <v>1300018</v>
      </c>
      <c r="AH212" s="78">
        <v>216</v>
      </c>
      <c r="AI212">
        <f ca="1">IF(Z212=0,0,VLOOKUP(F212,心法辅助配置表!Q:X,AF212+1,FALSE))</f>
        <v>345</v>
      </c>
    </row>
    <row r="213" spans="1:35">
      <c r="A213">
        <f ca="1" t="shared" si="225"/>
        <v>310209</v>
      </c>
      <c r="B213" s="156" t="s">
        <v>1548</v>
      </c>
      <c r="C213">
        <f ca="1">OFFSET(passive_type!$A$1,MATCH(B213,passive_type!B:B,0)-1,0)</f>
        <v>3102</v>
      </c>
      <c r="D213" s="157" t="s">
        <v>2930</v>
      </c>
      <c r="E213">
        <v>21</v>
      </c>
      <c r="F213" s="158">
        <f ca="1">(OFFSET(passive_type!$E$1,MATCH(C213,passive_type!A:A,0)-1,0)*10+AA213)*100+Z213</f>
        <v>3209</v>
      </c>
      <c r="G213" s="22">
        <f ca="1">IF(Z213=0,0,VLOOKUP(F213,心法辅助配置表!$G$2:$O$91,AF213+2,FALSE))</f>
        <v>31</v>
      </c>
      <c r="I213" s="78"/>
      <c r="J213" s="78"/>
      <c r="K213" s="78">
        <f ca="1">G213</f>
        <v>31</v>
      </c>
      <c r="L213" s="78"/>
      <c r="M213" s="78">
        <f ca="1" t="shared" ref="M213:O213" si="244">J213+M212</f>
        <v>153</v>
      </c>
      <c r="N213" s="78">
        <f ca="1" t="shared" si="244"/>
        <v>69</v>
      </c>
      <c r="O213" s="78">
        <f ca="1" t="shared" si="244"/>
        <v>940</v>
      </c>
      <c r="P213" s="78" t="str">
        <f ca="1" t="shared" ref="P213:P244" si="245">11&amp;$I$1&amp;M213&amp;$I$1&amp;$P$1</f>
        <v>11|153|;</v>
      </c>
      <c r="Q213" s="78" t="str">
        <f ca="1" t="shared" ref="Q213:Q244" si="246">21&amp;$I$1&amp;N213&amp;$I$1&amp;$P$1</f>
        <v>21|69|;</v>
      </c>
      <c r="R213" s="78" t="str">
        <f ca="1" t="shared" ref="R213:R244" si="247">12&amp;$I$1&amp;O213&amp;$I$1&amp;$P$1</f>
        <v>12|940|;</v>
      </c>
      <c r="S213" s="78" t="str">
        <f ca="1" t="shared" si="235"/>
        <v>11|153|;21|69|;12|940|;</v>
      </c>
      <c r="T213" s="165" t="str">
        <f ca="1">OFFSET(buff!$C$1,MATCH(W213,buff!A:A,0)-1,0)</f>
        <v>增加法术伤害28%</v>
      </c>
      <c r="U213" s="166"/>
      <c r="V213" s="166">
        <v>10000</v>
      </c>
      <c r="W213">
        <f ca="1" t="shared" si="227"/>
        <v>310209</v>
      </c>
      <c r="Z213" s="153">
        <f t="shared" si="210"/>
        <v>9</v>
      </c>
      <c r="AA213" s="153">
        <f ca="1">OFFSET(passive_type!$I$1,MATCH(C213,passive_type!A:A,0)-1,0)</f>
        <v>2</v>
      </c>
      <c r="AB213" s="153">
        <v>400015</v>
      </c>
      <c r="AC213" s="78">
        <v>27200</v>
      </c>
      <c r="AD213" s="153">
        <f ca="1" t="shared" si="228"/>
        <v>310210</v>
      </c>
      <c r="AE213" s="153">
        <v>0</v>
      </c>
      <c r="AF213" s="153">
        <f ca="1">OFFSET(passive_type!$L$1,MATCH(B213,passive_type!B:B,0)-1,0)</f>
        <v>1</v>
      </c>
      <c r="AG213">
        <f ca="1">OFFSET(passive_type!$R$1,MATCH(B213,passive_type!B:B,0)-1,0)</f>
        <v>1300018</v>
      </c>
      <c r="AH213">
        <v>300</v>
      </c>
      <c r="AI213">
        <f ca="1">IF(Z213=0,0,VLOOKUP(F213,心法辅助配置表!Q:X,AF213+1,FALSE))</f>
        <v>374</v>
      </c>
    </row>
    <row r="214" spans="1:35">
      <c r="A214">
        <f ca="1" t="shared" si="225"/>
        <v>310210</v>
      </c>
      <c r="B214" s="156" t="s">
        <v>1548</v>
      </c>
      <c r="C214">
        <f ca="1">OFFSET(passive_type!$A$1,MATCH(B214,passive_type!B:B,0)-1,0)</f>
        <v>3102</v>
      </c>
      <c r="D214" s="157" t="s">
        <v>2928</v>
      </c>
      <c r="E214">
        <v>12</v>
      </c>
      <c r="F214" s="158">
        <f ca="1">(OFFSET(passive_type!$E$1,MATCH(C214,passive_type!A:A,0)-1,0)*10+AA214)*100+Z214</f>
        <v>3210</v>
      </c>
      <c r="G214" s="22">
        <f ca="1">IF(Z214=0,0,VLOOKUP(F214,心法辅助配置表!$G$2:$O$91,AF214+2,FALSE))</f>
        <v>522</v>
      </c>
      <c r="I214" s="78"/>
      <c r="J214" s="78"/>
      <c r="K214" s="78"/>
      <c r="L214" s="78">
        <f ca="1" t="shared" si="241"/>
        <v>522</v>
      </c>
      <c r="M214" s="78">
        <f ca="1" t="shared" ref="M214:O214" si="248">J214+M213</f>
        <v>153</v>
      </c>
      <c r="N214" s="78">
        <f ca="1" t="shared" si="248"/>
        <v>69</v>
      </c>
      <c r="O214" s="78">
        <f ca="1" t="shared" si="248"/>
        <v>1462</v>
      </c>
      <c r="P214" s="78" t="str">
        <f ca="1" t="shared" si="245"/>
        <v>11|153|;</v>
      </c>
      <c r="Q214" s="78" t="str">
        <f ca="1" t="shared" si="246"/>
        <v>21|69|;</v>
      </c>
      <c r="R214" s="78" t="str">
        <f ca="1" t="shared" si="247"/>
        <v>12|1462|;</v>
      </c>
      <c r="S214" s="78" t="str">
        <f ca="1" t="shared" si="235"/>
        <v>11|153|;21|69|;12|1462|;</v>
      </c>
      <c r="T214" s="165" t="str">
        <f ca="1">OFFSET(buff!$C$1,MATCH(W214,buff!A:A,0)-1,0)</f>
        <v>增加法术伤害30%</v>
      </c>
      <c r="U214" s="166"/>
      <c r="V214" s="166">
        <v>10000</v>
      </c>
      <c r="W214">
        <f ca="1" t="shared" si="227"/>
        <v>310210</v>
      </c>
      <c r="Z214" s="153">
        <f t="shared" si="210"/>
        <v>10</v>
      </c>
      <c r="AA214" s="153">
        <f ca="1">OFFSET(passive_type!$I$1,MATCH(C214,passive_type!A:A,0)-1,0)</f>
        <v>2</v>
      </c>
      <c r="AB214" s="153">
        <v>400015</v>
      </c>
      <c r="AC214" s="78"/>
      <c r="AD214" s="153">
        <f ca="1" t="shared" si="228"/>
        <v>0</v>
      </c>
      <c r="AE214" s="153">
        <v>0</v>
      </c>
      <c r="AF214" s="153">
        <f ca="1">OFFSET(passive_type!$L$1,MATCH(B214,passive_type!B:B,0)-1,0)</f>
        <v>1</v>
      </c>
      <c r="AG214">
        <f ca="1">OFFSET(passive_type!$R$1,MATCH(B214,passive_type!B:B,0)-1,0)</f>
        <v>1300018</v>
      </c>
      <c r="AH214">
        <f ca="1">IF(AD214=0,0,20)</f>
        <v>0</v>
      </c>
      <c r="AI214">
        <f ca="1">IF(Z214=0,0,VLOOKUP(F214,心法辅助配置表!Q:X,AF214+1,FALSE))</f>
        <v>402</v>
      </c>
    </row>
    <row r="215" spans="1:35">
      <c r="A215">
        <f ca="1" t="shared" si="225"/>
        <v>310300</v>
      </c>
      <c r="B215" s="156" t="s">
        <v>1951</v>
      </c>
      <c r="C215">
        <f ca="1">OFFSET(passive_type!$A$1,MATCH(B215,passive_type!B:B,0)-1,0)</f>
        <v>3103</v>
      </c>
      <c r="D215" s="157"/>
      <c r="F215" s="158">
        <f ca="1">(OFFSET(passive_type!$E$1,MATCH(C215,passive_type!A:A,0)-1,0)*10+AA215)*100+Z215</f>
        <v>3300</v>
      </c>
      <c r="G215" s="22">
        <f ca="1">IF(Z215=0,0,VLOOKUP(F215,心法辅助配置表!$G$2:$O$91,AF215+2,FALSE))</f>
        <v>0</v>
      </c>
      <c r="P215" s="78" t="str">
        <f t="shared" si="245"/>
        <v>11||;</v>
      </c>
      <c r="Q215" s="78" t="str">
        <f t="shared" si="246"/>
        <v>21||;</v>
      </c>
      <c r="R215" s="78" t="str">
        <f t="shared" si="247"/>
        <v>12||;</v>
      </c>
      <c r="S215" s="78"/>
      <c r="T215" s="165" t="str">
        <f ca="1">OFFSET(buff!$C$1,MATCH(W215,buff!A:A,0)-1,0)</f>
        <v>每回合有30%概率，使前1张打出的法术招式消耗减少1点</v>
      </c>
      <c r="U215" s="166">
        <v>1</v>
      </c>
      <c r="V215" s="3">
        <v>3000</v>
      </c>
      <c r="W215">
        <f ca="1" t="shared" si="227"/>
        <v>310300</v>
      </c>
      <c r="Z215" s="153">
        <f t="shared" si="210"/>
        <v>0</v>
      </c>
      <c r="AA215" s="153">
        <f ca="1">OFFSET(passive_type!$I$1,MATCH(C215,passive_type!A:A,0)-1,0)</f>
        <v>3</v>
      </c>
      <c r="AB215" s="153">
        <v>400015</v>
      </c>
      <c r="AC215" s="153">
        <v>800</v>
      </c>
      <c r="AD215" s="153">
        <f ca="1" t="shared" si="228"/>
        <v>310301</v>
      </c>
      <c r="AE215" s="153">
        <v>0</v>
      </c>
      <c r="AF215" s="153">
        <f ca="1">OFFSET(passive_type!$L$1,MATCH(B215,passive_type!B:B,0)-1,0)</f>
        <v>4</v>
      </c>
      <c r="AG215">
        <f ca="1">OFFSET(passive_type!$R$1,MATCH(B215,passive_type!B:B,0)-1,0)</f>
        <v>1300019</v>
      </c>
      <c r="AH215" s="78">
        <v>6</v>
      </c>
      <c r="AI215">
        <f ca="1">IF(Z215=0,0,VLOOKUP(F215,心法辅助配置表!Q:X,AF215+1,FALSE))</f>
        <v>0</v>
      </c>
    </row>
    <row r="216" spans="1:35">
      <c r="A216">
        <f ca="1" t="shared" si="225"/>
        <v>310301</v>
      </c>
      <c r="B216" s="156" t="s">
        <v>1951</v>
      </c>
      <c r="C216">
        <f ca="1">OFFSET(passive_type!$A$1,MATCH(B216,passive_type!B:B,0)-1,0)</f>
        <v>3103</v>
      </c>
      <c r="D216" s="157" t="s">
        <v>2928</v>
      </c>
      <c r="E216">
        <v>12</v>
      </c>
      <c r="F216" s="158">
        <f ca="1">(OFFSET(passive_type!$E$1,MATCH(C216,passive_type!A:A,0)-1,0)*10+AA216)*100+Z216</f>
        <v>3301</v>
      </c>
      <c r="G216" s="22">
        <f ca="1">IF(Z216=0,0,VLOOKUP(F216,心法辅助配置表!$G$2:$O$91,AF216+2,FALSE))</f>
        <v>4868</v>
      </c>
      <c r="L216" s="78">
        <f ca="1" t="shared" si="241"/>
        <v>4868</v>
      </c>
      <c r="M216" s="78">
        <f>J216</f>
        <v>0</v>
      </c>
      <c r="N216" s="78">
        <f>K216</f>
        <v>0</v>
      </c>
      <c r="O216" s="78">
        <f ca="1">G216</f>
        <v>4868</v>
      </c>
      <c r="P216" s="78" t="str">
        <f t="shared" si="245"/>
        <v>11|0|;</v>
      </c>
      <c r="Q216" s="78" t="str">
        <f t="shared" si="246"/>
        <v>21|0|;</v>
      </c>
      <c r="R216" s="78" t="str">
        <f ca="1" t="shared" si="247"/>
        <v>12|4868|;</v>
      </c>
      <c r="S216" s="78" t="str">
        <f ca="1" t="shared" ref="S216:S225" si="249">P216&amp;Q216&amp;R216</f>
        <v>11|0|;21|0|;12|4868|;</v>
      </c>
      <c r="T216" s="165" t="str">
        <f ca="1">OFFSET(buff!$C$1,MATCH(W216,buff!A:A,0)-1,0)</f>
        <v>每回合有32%概率，使前1张打出的法术招式消耗减少1点</v>
      </c>
      <c r="U216" s="166">
        <v>1</v>
      </c>
      <c r="V216" s="3">
        <v>3200</v>
      </c>
      <c r="W216">
        <f ca="1" t="shared" si="227"/>
        <v>310301</v>
      </c>
      <c r="Z216" s="153">
        <f t="shared" si="210"/>
        <v>1</v>
      </c>
      <c r="AA216" s="153">
        <f ca="1">OFFSET(passive_type!$I$1,MATCH(C216,passive_type!A:A,0)-1,0)</f>
        <v>3</v>
      </c>
      <c r="AB216" s="153">
        <v>400015</v>
      </c>
      <c r="AC216" s="153">
        <v>1600</v>
      </c>
      <c r="AD216" s="153">
        <f ca="1" t="shared" si="228"/>
        <v>310302</v>
      </c>
      <c r="AE216" s="153">
        <v>0</v>
      </c>
      <c r="AF216" s="153">
        <f ca="1">OFFSET(passive_type!$L$1,MATCH(B216,passive_type!B:B,0)-1,0)</f>
        <v>4</v>
      </c>
      <c r="AG216">
        <f ca="1">OFFSET(passive_type!$R$1,MATCH(B216,passive_type!B:B,0)-1,0)</f>
        <v>1300019</v>
      </c>
      <c r="AH216" s="78">
        <v>12</v>
      </c>
      <c r="AI216">
        <f ca="1">IF(Z216=0,0,VLOOKUP(F216,心法辅助配置表!Q:X,AF216+1,FALSE))</f>
        <v>1729</v>
      </c>
    </row>
    <row r="217" spans="1:35">
      <c r="A217">
        <f ca="1" t="shared" si="225"/>
        <v>310302</v>
      </c>
      <c r="B217" s="156" t="s">
        <v>1951</v>
      </c>
      <c r="C217">
        <f ca="1">OFFSET(passive_type!$A$1,MATCH(B217,passive_type!B:B,0)-1,0)</f>
        <v>3103</v>
      </c>
      <c r="D217" s="157" t="s">
        <v>2929</v>
      </c>
      <c r="E217">
        <v>11</v>
      </c>
      <c r="F217" s="158">
        <f ca="1">(OFFSET(passive_type!$E$1,MATCH(C217,passive_type!A:A,0)-1,0)*10+AA217)*100+Z217</f>
        <v>3302</v>
      </c>
      <c r="G217" s="22">
        <f ca="1">IF(Z217=0,0,VLOOKUP(F217,心法辅助配置表!$G$2:$O$91,AF217+2,FALSE))</f>
        <v>635</v>
      </c>
      <c r="J217" s="78">
        <f ca="1">G217</f>
        <v>635</v>
      </c>
      <c r="M217" s="78">
        <f ca="1" t="shared" ref="M217:O217" si="250">J217+M216</f>
        <v>635</v>
      </c>
      <c r="N217" s="78">
        <f t="shared" si="250"/>
        <v>0</v>
      </c>
      <c r="O217" s="78">
        <f ca="1" t="shared" si="250"/>
        <v>4868</v>
      </c>
      <c r="P217" s="78" t="str">
        <f ca="1" t="shared" si="245"/>
        <v>11|635|;</v>
      </c>
      <c r="Q217" s="78" t="str">
        <f t="shared" si="246"/>
        <v>21|0|;</v>
      </c>
      <c r="R217" s="78" t="str">
        <f ca="1" t="shared" si="247"/>
        <v>12|4868|;</v>
      </c>
      <c r="S217" s="78" t="str">
        <f ca="1" t="shared" si="249"/>
        <v>11|635|;21|0|;12|4868|;</v>
      </c>
      <c r="T217" s="165" t="str">
        <f ca="1">OFFSET(buff!$C$1,MATCH(W217,buff!A:A,0)-1,0)</f>
        <v>每回合有34%概率，使前1张打出的法术招式消耗减少1点</v>
      </c>
      <c r="U217" s="166">
        <v>1</v>
      </c>
      <c r="V217" s="3">
        <v>3400</v>
      </c>
      <c r="W217">
        <f ca="1" t="shared" si="227"/>
        <v>310302</v>
      </c>
      <c r="Z217" s="153">
        <f t="shared" si="210"/>
        <v>2</v>
      </c>
      <c r="AA217" s="153">
        <f ca="1">OFFSET(passive_type!$I$1,MATCH(C217,passive_type!A:A,0)-1,0)</f>
        <v>3</v>
      </c>
      <c r="AB217" s="153">
        <v>400015</v>
      </c>
      <c r="AC217" s="153">
        <v>3200</v>
      </c>
      <c r="AD217" s="153">
        <f ca="1" t="shared" si="228"/>
        <v>310303</v>
      </c>
      <c r="AE217" s="153">
        <v>0</v>
      </c>
      <c r="AF217" s="153">
        <f ca="1">OFFSET(passive_type!$L$1,MATCH(B217,passive_type!B:B,0)-1,0)</f>
        <v>4</v>
      </c>
      <c r="AG217">
        <f ca="1">OFFSET(passive_type!$R$1,MATCH(B217,passive_type!B:B,0)-1,0)</f>
        <v>1300019</v>
      </c>
      <c r="AH217" s="78">
        <v>24</v>
      </c>
      <c r="AI217">
        <f ca="1">IF(Z217=0,0,VLOOKUP(F217,心法辅助配置表!Q:X,AF217+1,FALSE))</f>
        <v>2075</v>
      </c>
    </row>
    <row r="218" spans="1:35">
      <c r="A218">
        <f ca="1" t="shared" si="225"/>
        <v>310303</v>
      </c>
      <c r="B218" s="156" t="s">
        <v>1951</v>
      </c>
      <c r="C218">
        <f ca="1">OFFSET(passive_type!$A$1,MATCH(B218,passive_type!B:B,0)-1,0)</f>
        <v>3103</v>
      </c>
      <c r="D218" s="157" t="s">
        <v>2930</v>
      </c>
      <c r="E218">
        <v>21</v>
      </c>
      <c r="F218" s="158">
        <f ca="1">(OFFSET(passive_type!$E$1,MATCH(C218,passive_type!A:A,0)-1,0)*10+AA218)*100+Z218</f>
        <v>3303</v>
      </c>
      <c r="G218" s="22">
        <f ca="1">IF(Z218=0,0,VLOOKUP(F218,心法辅助配置表!$G$2:$O$91,AF218+2,FALSE))</f>
        <v>285</v>
      </c>
      <c r="K218" s="78">
        <f ca="1">G218</f>
        <v>285</v>
      </c>
      <c r="M218" s="78">
        <f ca="1" t="shared" ref="M218:O218" si="251">J218+M217</f>
        <v>635</v>
      </c>
      <c r="N218" s="78">
        <f ca="1" t="shared" si="251"/>
        <v>285</v>
      </c>
      <c r="O218" s="78">
        <f ca="1" t="shared" si="251"/>
        <v>4868</v>
      </c>
      <c r="P218" s="78" t="str">
        <f ca="1" t="shared" si="245"/>
        <v>11|635|;</v>
      </c>
      <c r="Q218" s="78" t="str">
        <f ca="1" t="shared" si="246"/>
        <v>21|285|;</v>
      </c>
      <c r="R218" s="78" t="str">
        <f ca="1" t="shared" si="247"/>
        <v>12|4868|;</v>
      </c>
      <c r="S218" s="78" t="str">
        <f ca="1" t="shared" si="249"/>
        <v>11|635|;21|285|;12|4868|;</v>
      </c>
      <c r="T218" s="165" t="str">
        <f ca="1">OFFSET(buff!$C$1,MATCH(W218,buff!A:A,0)-1,0)</f>
        <v>每回合有36%概率，使前1张打出的法术招式消耗减少1点</v>
      </c>
      <c r="U218" s="166">
        <v>1</v>
      </c>
      <c r="V218" s="3">
        <v>3600</v>
      </c>
      <c r="W218">
        <f ca="1" t="shared" si="227"/>
        <v>310303</v>
      </c>
      <c r="Z218" s="153">
        <f t="shared" si="210"/>
        <v>3</v>
      </c>
      <c r="AA218" s="153">
        <f ca="1">OFFSET(passive_type!$I$1,MATCH(C218,passive_type!A:A,0)-1,0)</f>
        <v>3</v>
      </c>
      <c r="AB218" s="153">
        <v>400015</v>
      </c>
      <c r="AC218" s="153">
        <v>6400</v>
      </c>
      <c r="AD218" s="153">
        <f ca="1" t="shared" si="228"/>
        <v>310304</v>
      </c>
      <c r="AE218" s="153">
        <v>0</v>
      </c>
      <c r="AF218" s="153">
        <f ca="1">OFFSET(passive_type!$L$1,MATCH(B218,passive_type!B:B,0)-1,0)</f>
        <v>4</v>
      </c>
      <c r="AG218">
        <f ca="1">OFFSET(passive_type!$R$1,MATCH(B218,passive_type!B:B,0)-1,0)</f>
        <v>1300019</v>
      </c>
      <c r="AH218" s="78">
        <v>48</v>
      </c>
      <c r="AI218">
        <f ca="1">IF(Z218=0,0,VLOOKUP(F218,心法辅助配置表!Q:X,AF218+1,FALSE))</f>
        <v>2421</v>
      </c>
    </row>
    <row r="219" spans="1:35">
      <c r="A219">
        <f ca="1" t="shared" si="225"/>
        <v>310304</v>
      </c>
      <c r="B219" s="156" t="s">
        <v>1951</v>
      </c>
      <c r="C219">
        <f ca="1">OFFSET(passive_type!$A$1,MATCH(B219,passive_type!B:B,0)-1,0)</f>
        <v>3103</v>
      </c>
      <c r="D219" s="157" t="s">
        <v>2928</v>
      </c>
      <c r="E219">
        <v>12</v>
      </c>
      <c r="F219" s="158">
        <f ca="1">(OFFSET(passive_type!$E$1,MATCH(C219,passive_type!A:A,0)-1,0)*10+AA219)*100+Z219</f>
        <v>3304</v>
      </c>
      <c r="G219" s="22">
        <f ca="1">IF(Z219=0,0,VLOOKUP(F219,心法辅助配置表!$G$2:$O$91,AF219+2,FALSE))</f>
        <v>7302</v>
      </c>
      <c r="L219" s="78">
        <f ca="1">G219</f>
        <v>7302</v>
      </c>
      <c r="M219" s="78">
        <f ca="1" t="shared" ref="M219:O219" si="252">J219+M218</f>
        <v>635</v>
      </c>
      <c r="N219" s="78">
        <f ca="1" t="shared" si="252"/>
        <v>285</v>
      </c>
      <c r="O219" s="78">
        <f ca="1" t="shared" si="252"/>
        <v>12170</v>
      </c>
      <c r="P219" s="78" t="str">
        <f ca="1" t="shared" si="245"/>
        <v>11|635|;</v>
      </c>
      <c r="Q219" s="78" t="str">
        <f ca="1" t="shared" si="246"/>
        <v>21|285|;</v>
      </c>
      <c r="R219" s="78" t="str">
        <f ca="1" t="shared" si="247"/>
        <v>12|12170|;</v>
      </c>
      <c r="S219" s="78" t="str">
        <f ca="1" t="shared" si="249"/>
        <v>11|635|;21|285|;12|12170|;</v>
      </c>
      <c r="T219" s="165" t="str">
        <f ca="1">OFFSET(buff!$C$1,MATCH(W219,buff!A:A,0)-1,0)</f>
        <v>每回合有38%概率，使前1张打出的法术招式消耗减少1点</v>
      </c>
      <c r="U219" s="166">
        <v>1</v>
      </c>
      <c r="V219" s="3">
        <v>3800</v>
      </c>
      <c r="W219">
        <f ca="1" t="shared" si="227"/>
        <v>310304</v>
      </c>
      <c r="Z219" s="153">
        <f t="shared" si="210"/>
        <v>4</v>
      </c>
      <c r="AA219" s="153">
        <f ca="1">OFFSET(passive_type!$I$1,MATCH(C219,passive_type!A:A,0)-1,0)</f>
        <v>3</v>
      </c>
      <c r="AB219" s="153">
        <v>400015</v>
      </c>
      <c r="AC219" s="153">
        <v>8000</v>
      </c>
      <c r="AD219" s="153">
        <f ca="1" t="shared" si="228"/>
        <v>310305</v>
      </c>
      <c r="AE219" s="153">
        <v>0</v>
      </c>
      <c r="AF219" s="153">
        <f ca="1">OFFSET(passive_type!$L$1,MATCH(B219,passive_type!B:B,0)-1,0)</f>
        <v>4</v>
      </c>
      <c r="AG219">
        <f ca="1">OFFSET(passive_type!$R$1,MATCH(B219,passive_type!B:B,0)-1,0)</f>
        <v>1300019</v>
      </c>
      <c r="AH219" s="78">
        <v>60</v>
      </c>
      <c r="AI219">
        <f ca="1">IF(Z219=0,0,VLOOKUP(F219,心法辅助配置表!Q:X,AF219+1,FALSE))</f>
        <v>2767</v>
      </c>
    </row>
    <row r="220" spans="1:35">
      <c r="A220">
        <f ca="1" t="shared" si="225"/>
        <v>310305</v>
      </c>
      <c r="B220" s="156" t="s">
        <v>1951</v>
      </c>
      <c r="C220">
        <f ca="1">OFFSET(passive_type!$A$1,MATCH(B220,passive_type!B:B,0)-1,0)</f>
        <v>3103</v>
      </c>
      <c r="D220" s="157" t="s">
        <v>2929</v>
      </c>
      <c r="E220">
        <v>11</v>
      </c>
      <c r="F220" s="158">
        <f ca="1">(OFFSET(passive_type!$E$1,MATCH(C220,passive_type!A:A,0)-1,0)*10+AA220)*100+Z220</f>
        <v>3305</v>
      </c>
      <c r="G220" s="22">
        <f ca="1">IF(Z220=0,0,VLOOKUP(F220,心法辅助配置表!$G$2:$O$91,AF220+2,FALSE))</f>
        <v>952</v>
      </c>
      <c r="J220" s="78">
        <f ca="1">G220</f>
        <v>952</v>
      </c>
      <c r="M220" s="78">
        <f ca="1" t="shared" ref="M220:O220" si="253">J220+M219</f>
        <v>1587</v>
      </c>
      <c r="N220" s="78">
        <f ca="1" t="shared" si="253"/>
        <v>285</v>
      </c>
      <c r="O220" s="78">
        <f ca="1" t="shared" si="253"/>
        <v>12170</v>
      </c>
      <c r="P220" s="78" t="str">
        <f ca="1" t="shared" si="245"/>
        <v>11|1587|;</v>
      </c>
      <c r="Q220" s="78" t="str">
        <f ca="1" t="shared" si="246"/>
        <v>21|285|;</v>
      </c>
      <c r="R220" s="78" t="str">
        <f ca="1" t="shared" si="247"/>
        <v>12|12170|;</v>
      </c>
      <c r="S220" s="78" t="str">
        <f ca="1" t="shared" si="249"/>
        <v>11|1587|;21|285|;12|12170|;</v>
      </c>
      <c r="T220" s="165" t="str">
        <f ca="1">OFFSET(buff!$C$1,MATCH(W220,buff!A:A,0)-1,0)</f>
        <v>每回合有40%概率，使前2张打出的法术招式消耗减少1点</v>
      </c>
      <c r="U220" s="166">
        <v>1</v>
      </c>
      <c r="V220" s="3">
        <v>4000</v>
      </c>
      <c r="W220">
        <f ca="1" t="shared" si="227"/>
        <v>310305</v>
      </c>
      <c r="Z220" s="153">
        <f t="shared" si="210"/>
        <v>5</v>
      </c>
      <c r="AA220" s="153">
        <f ca="1">OFFSET(passive_type!$I$1,MATCH(C220,passive_type!A:A,0)-1,0)</f>
        <v>3</v>
      </c>
      <c r="AB220" s="153">
        <v>400015</v>
      </c>
      <c r="AC220" s="153">
        <v>11200</v>
      </c>
      <c r="AD220" s="153">
        <f ca="1" t="shared" si="228"/>
        <v>310306</v>
      </c>
      <c r="AE220" s="153">
        <v>0</v>
      </c>
      <c r="AF220" s="153">
        <f ca="1">OFFSET(passive_type!$L$1,MATCH(B220,passive_type!B:B,0)-1,0)</f>
        <v>4</v>
      </c>
      <c r="AG220">
        <f ca="1">OFFSET(passive_type!$R$1,MATCH(B220,passive_type!B:B,0)-1,0)</f>
        <v>1300019</v>
      </c>
      <c r="AH220" s="78">
        <v>84</v>
      </c>
      <c r="AI220">
        <f ca="1">IF(Z220=0,0,VLOOKUP(F220,心法辅助配置表!Q:X,AF220+1,FALSE))</f>
        <v>3113</v>
      </c>
    </row>
    <row r="221" spans="1:35">
      <c r="A221">
        <f ca="1" t="shared" si="225"/>
        <v>310306</v>
      </c>
      <c r="B221" s="156" t="s">
        <v>1951</v>
      </c>
      <c r="C221">
        <f ca="1">OFFSET(passive_type!$A$1,MATCH(B221,passive_type!B:B,0)-1,0)</f>
        <v>3103</v>
      </c>
      <c r="D221" s="157" t="s">
        <v>2930</v>
      </c>
      <c r="E221">
        <v>21</v>
      </c>
      <c r="F221" s="158">
        <f ca="1">(OFFSET(passive_type!$E$1,MATCH(C221,passive_type!A:A,0)-1,0)*10+AA221)*100+Z221</f>
        <v>3306</v>
      </c>
      <c r="G221" s="22">
        <f ca="1">IF(Z221=0,0,VLOOKUP(F221,心法辅助配置表!$G$2:$O$91,AF221+2,FALSE))</f>
        <v>428</v>
      </c>
      <c r="K221" s="78">
        <f ca="1">G221</f>
        <v>428</v>
      </c>
      <c r="M221" s="78">
        <f ca="1" t="shared" ref="M221:O221" si="254">J221+M220</f>
        <v>1587</v>
      </c>
      <c r="N221" s="78">
        <f ca="1" t="shared" si="254"/>
        <v>713</v>
      </c>
      <c r="O221" s="78">
        <f ca="1" t="shared" si="254"/>
        <v>12170</v>
      </c>
      <c r="P221" s="78" t="str">
        <f ca="1" t="shared" si="245"/>
        <v>11|1587|;</v>
      </c>
      <c r="Q221" s="78" t="str">
        <f ca="1" t="shared" si="246"/>
        <v>21|713|;</v>
      </c>
      <c r="R221" s="78" t="str">
        <f ca="1" t="shared" si="247"/>
        <v>12|12170|;</v>
      </c>
      <c r="S221" s="78" t="str">
        <f ca="1" t="shared" si="249"/>
        <v>11|1587|;21|713|;12|12170|;</v>
      </c>
      <c r="T221" s="165" t="str">
        <f ca="1">OFFSET(buff!$C$1,MATCH(W221,buff!A:A,0)-1,0)</f>
        <v>每回合有42%概率，使前2张打出的法术招式消耗减少1点</v>
      </c>
      <c r="U221" s="166">
        <v>1</v>
      </c>
      <c r="V221" s="3">
        <v>4200</v>
      </c>
      <c r="W221">
        <f ca="1" t="shared" si="227"/>
        <v>310306</v>
      </c>
      <c r="Z221" s="153">
        <f t="shared" si="210"/>
        <v>6</v>
      </c>
      <c r="AA221" s="153">
        <f ca="1">OFFSET(passive_type!$I$1,MATCH(C221,passive_type!A:A,0)-1,0)</f>
        <v>3</v>
      </c>
      <c r="AB221" s="153">
        <v>400015</v>
      </c>
      <c r="AC221" s="153">
        <v>17600</v>
      </c>
      <c r="AD221" s="153">
        <f ca="1" t="shared" si="228"/>
        <v>310307</v>
      </c>
      <c r="AE221" s="153">
        <v>0</v>
      </c>
      <c r="AF221" s="153">
        <f ca="1">OFFSET(passive_type!$L$1,MATCH(B221,passive_type!B:B,0)-1,0)</f>
        <v>4</v>
      </c>
      <c r="AG221">
        <f ca="1">OFFSET(passive_type!$R$1,MATCH(B221,passive_type!B:B,0)-1,0)</f>
        <v>1300019</v>
      </c>
      <c r="AH221" s="78">
        <v>108</v>
      </c>
      <c r="AI221">
        <f ca="1">IF(Z221=0,0,VLOOKUP(F221,心法辅助配置表!Q:X,AF221+1,FALSE))</f>
        <v>3459</v>
      </c>
    </row>
    <row r="222" spans="1:35">
      <c r="A222">
        <f ca="1" t="shared" si="225"/>
        <v>310307</v>
      </c>
      <c r="B222" s="156" t="s">
        <v>1951</v>
      </c>
      <c r="C222">
        <f ca="1">OFFSET(passive_type!$A$1,MATCH(B222,passive_type!B:B,0)-1,0)</f>
        <v>3103</v>
      </c>
      <c r="D222" s="157" t="s">
        <v>2928</v>
      </c>
      <c r="E222">
        <v>12</v>
      </c>
      <c r="F222" s="158">
        <f ca="1">(OFFSET(passive_type!$E$1,MATCH(C222,passive_type!A:A,0)-1,0)*10+AA222)*100+Z222</f>
        <v>3307</v>
      </c>
      <c r="G222" s="22">
        <f ca="1">IF(Z222=0,0,VLOOKUP(F222,心法辅助配置表!$G$2:$O$91,AF222+2,FALSE))</f>
        <v>9735</v>
      </c>
      <c r="L222" s="78">
        <f ca="1" t="shared" ref="L222:L227" si="255">G222</f>
        <v>9735</v>
      </c>
      <c r="M222" s="78">
        <f ca="1" t="shared" ref="M222:O222" si="256">J222+M221</f>
        <v>1587</v>
      </c>
      <c r="N222" s="78">
        <f ca="1" t="shared" si="256"/>
        <v>713</v>
      </c>
      <c r="O222" s="78">
        <f ca="1" t="shared" si="256"/>
        <v>21905</v>
      </c>
      <c r="P222" s="78" t="str">
        <f ca="1" t="shared" si="245"/>
        <v>11|1587|;</v>
      </c>
      <c r="Q222" s="78" t="str">
        <f ca="1" t="shared" si="246"/>
        <v>21|713|;</v>
      </c>
      <c r="R222" s="78" t="str">
        <f ca="1" t="shared" si="247"/>
        <v>12|21905|;</v>
      </c>
      <c r="S222" s="78" t="str">
        <f ca="1" t="shared" si="249"/>
        <v>11|1587|;21|713|;12|21905|;</v>
      </c>
      <c r="T222" s="165" t="str">
        <f ca="1">OFFSET(buff!$C$1,MATCH(W222,buff!A:A,0)-1,0)</f>
        <v>每回合有44%概率，使前2张打出的法术招式消耗减少1点</v>
      </c>
      <c r="U222" s="166">
        <v>1</v>
      </c>
      <c r="V222" s="3">
        <v>4400</v>
      </c>
      <c r="W222">
        <f ca="1" t="shared" si="227"/>
        <v>310307</v>
      </c>
      <c r="Z222" s="153">
        <f t="shared" si="210"/>
        <v>7</v>
      </c>
      <c r="AA222" s="153">
        <f ca="1">OFFSET(passive_type!$I$1,MATCH(C222,passive_type!A:A,0)-1,0)</f>
        <v>3</v>
      </c>
      <c r="AB222" s="153">
        <v>400015</v>
      </c>
      <c r="AC222" s="153">
        <v>25600</v>
      </c>
      <c r="AD222" s="153">
        <f ca="1" t="shared" si="228"/>
        <v>310308</v>
      </c>
      <c r="AE222" s="153">
        <v>0</v>
      </c>
      <c r="AF222" s="153">
        <f ca="1">OFFSET(passive_type!$L$1,MATCH(B222,passive_type!B:B,0)-1,0)</f>
        <v>4</v>
      </c>
      <c r="AG222">
        <f ca="1">OFFSET(passive_type!$R$1,MATCH(B222,passive_type!B:B,0)-1,0)</f>
        <v>1300019</v>
      </c>
      <c r="AH222" s="78">
        <v>156</v>
      </c>
      <c r="AI222">
        <f ca="1">IF(Z222=0,0,VLOOKUP(F222,心法辅助配置表!Q:X,AF222+1,FALSE))</f>
        <v>3805</v>
      </c>
    </row>
    <row r="223" spans="1:35">
      <c r="A223">
        <f ca="1" t="shared" si="225"/>
        <v>310308</v>
      </c>
      <c r="B223" s="156" t="s">
        <v>1951</v>
      </c>
      <c r="C223">
        <f ca="1">OFFSET(passive_type!$A$1,MATCH(B223,passive_type!B:B,0)-1,0)</f>
        <v>3103</v>
      </c>
      <c r="D223" s="157" t="s">
        <v>2929</v>
      </c>
      <c r="E223">
        <v>11</v>
      </c>
      <c r="F223" s="158">
        <f ca="1">(OFFSET(passive_type!$E$1,MATCH(C223,passive_type!A:A,0)-1,0)*10+AA223)*100+Z223</f>
        <v>3308</v>
      </c>
      <c r="G223" s="22">
        <f ca="1">IF(Z223=0,0,VLOOKUP(F223,心法辅助配置表!$G$2:$O$91,AF223+2,FALSE))</f>
        <v>1268</v>
      </c>
      <c r="J223" s="78">
        <f ca="1">G223</f>
        <v>1268</v>
      </c>
      <c r="M223" s="78">
        <f ca="1" t="shared" ref="M223:O223" si="257">J223+M222</f>
        <v>2855</v>
      </c>
      <c r="N223" s="78">
        <f ca="1" t="shared" si="257"/>
        <v>713</v>
      </c>
      <c r="O223" s="78">
        <f ca="1" t="shared" si="257"/>
        <v>21905</v>
      </c>
      <c r="P223" s="78" t="str">
        <f ca="1" t="shared" si="245"/>
        <v>11|2855|;</v>
      </c>
      <c r="Q223" s="78" t="str">
        <f ca="1" t="shared" si="246"/>
        <v>21|713|;</v>
      </c>
      <c r="R223" s="78" t="str">
        <f ca="1" t="shared" si="247"/>
        <v>12|21905|;</v>
      </c>
      <c r="S223" s="78" t="str">
        <f ca="1" t="shared" si="249"/>
        <v>11|2855|;21|713|;12|21905|;</v>
      </c>
      <c r="T223" s="165" t="str">
        <f ca="1">OFFSET(buff!$C$1,MATCH(W223,buff!A:A,0)-1,0)</f>
        <v>每回合有46%概率，使前2张打出的法术招式消耗减少1点</v>
      </c>
      <c r="U223" s="166">
        <v>1</v>
      </c>
      <c r="V223" s="3">
        <v>4600</v>
      </c>
      <c r="W223">
        <f ca="1" t="shared" si="227"/>
        <v>310308</v>
      </c>
      <c r="Z223" s="153">
        <f t="shared" si="210"/>
        <v>8</v>
      </c>
      <c r="AA223" s="153">
        <f ca="1">OFFSET(passive_type!$I$1,MATCH(C223,passive_type!A:A,0)-1,0)</f>
        <v>3</v>
      </c>
      <c r="AB223" s="153">
        <v>400015</v>
      </c>
      <c r="AC223" s="153">
        <v>36800</v>
      </c>
      <c r="AD223" s="153">
        <f ca="1" t="shared" si="228"/>
        <v>310309</v>
      </c>
      <c r="AE223" s="153">
        <v>0</v>
      </c>
      <c r="AF223" s="153">
        <f ca="1">OFFSET(passive_type!$L$1,MATCH(B223,passive_type!B:B,0)-1,0)</f>
        <v>4</v>
      </c>
      <c r="AG223">
        <f ca="1">OFFSET(passive_type!$R$1,MATCH(B223,passive_type!B:B,0)-1,0)</f>
        <v>1300019</v>
      </c>
      <c r="AH223" s="78">
        <v>216</v>
      </c>
      <c r="AI223">
        <f ca="1">IF(Z223=0,0,VLOOKUP(F223,心法辅助配置表!Q:X,AF223+1,FALSE))</f>
        <v>4151</v>
      </c>
    </row>
    <row r="224" spans="1:35">
      <c r="A224">
        <f ca="1" t="shared" si="225"/>
        <v>310309</v>
      </c>
      <c r="B224" s="156" t="s">
        <v>1951</v>
      </c>
      <c r="C224">
        <f ca="1">OFFSET(passive_type!$A$1,MATCH(B224,passive_type!B:B,0)-1,0)</f>
        <v>3103</v>
      </c>
      <c r="D224" s="157" t="s">
        <v>2930</v>
      </c>
      <c r="E224">
        <v>21</v>
      </c>
      <c r="F224" s="158">
        <f ca="1">(OFFSET(passive_type!$E$1,MATCH(C224,passive_type!A:A,0)-1,0)*10+AA224)*100+Z224</f>
        <v>3309</v>
      </c>
      <c r="G224" s="22">
        <f ca="1">IF(Z224=0,0,VLOOKUP(F224,心法辅助配置表!$G$2:$O$91,AF224+2,FALSE))</f>
        <v>570</v>
      </c>
      <c r="K224" s="78">
        <f ca="1">G224</f>
        <v>570</v>
      </c>
      <c r="M224" s="78">
        <f ca="1" t="shared" ref="M224:O224" si="258">J224+M223</f>
        <v>2855</v>
      </c>
      <c r="N224" s="78">
        <f ca="1" t="shared" si="258"/>
        <v>1283</v>
      </c>
      <c r="O224" s="78">
        <f ca="1" t="shared" si="258"/>
        <v>21905</v>
      </c>
      <c r="P224" s="78" t="str">
        <f ca="1" t="shared" si="245"/>
        <v>11|2855|;</v>
      </c>
      <c r="Q224" s="78" t="str">
        <f ca="1" t="shared" si="246"/>
        <v>21|1283|;</v>
      </c>
      <c r="R224" s="78" t="str">
        <f ca="1" t="shared" si="247"/>
        <v>12|21905|;</v>
      </c>
      <c r="S224" s="78" t="str">
        <f ca="1" t="shared" si="249"/>
        <v>11|2855|;21|1283|;12|21905|;</v>
      </c>
      <c r="T224" s="165" t="str">
        <f ca="1">OFFSET(buff!$C$1,MATCH(W224,buff!A:A,0)-1,0)</f>
        <v>每回合有48%概率，使前2张打出的法术招式消耗减少1点</v>
      </c>
      <c r="U224" s="166">
        <v>1</v>
      </c>
      <c r="V224" s="3">
        <v>4800</v>
      </c>
      <c r="W224">
        <f ca="1" t="shared" si="227"/>
        <v>310309</v>
      </c>
      <c r="Z224" s="153">
        <f t="shared" si="210"/>
        <v>9</v>
      </c>
      <c r="AA224" s="153">
        <f ca="1">OFFSET(passive_type!$I$1,MATCH(C224,passive_type!A:A,0)-1,0)</f>
        <v>3</v>
      </c>
      <c r="AB224" s="153">
        <v>400015</v>
      </c>
      <c r="AC224" s="153">
        <v>54400</v>
      </c>
      <c r="AD224" s="153">
        <f ca="1" t="shared" si="228"/>
        <v>310310</v>
      </c>
      <c r="AE224" s="153">
        <v>0</v>
      </c>
      <c r="AF224" s="153">
        <f ca="1">OFFSET(passive_type!$L$1,MATCH(B224,passive_type!B:B,0)-1,0)</f>
        <v>4</v>
      </c>
      <c r="AG224">
        <f ca="1">OFFSET(passive_type!$R$1,MATCH(B224,passive_type!B:B,0)-1,0)</f>
        <v>1300019</v>
      </c>
      <c r="AH224">
        <v>300</v>
      </c>
      <c r="AI224">
        <f ca="1">IF(Z224=0,0,VLOOKUP(F224,心法辅助配置表!Q:X,AF224+1,FALSE))</f>
        <v>4497</v>
      </c>
    </row>
    <row r="225" spans="1:35">
      <c r="A225">
        <f ca="1" t="shared" si="225"/>
        <v>310310</v>
      </c>
      <c r="B225" s="156" t="s">
        <v>1951</v>
      </c>
      <c r="C225">
        <f ca="1">OFFSET(passive_type!$A$1,MATCH(B225,passive_type!B:B,0)-1,0)</f>
        <v>3103</v>
      </c>
      <c r="D225" s="157" t="s">
        <v>2928</v>
      </c>
      <c r="E225">
        <v>12</v>
      </c>
      <c r="F225" s="158">
        <f ca="1">(OFFSET(passive_type!$E$1,MATCH(C225,passive_type!A:A,0)-1,0)*10+AA225)*100+Z225</f>
        <v>3310</v>
      </c>
      <c r="G225" s="22">
        <f ca="1">IF(Z225=0,0,VLOOKUP(F225,心法辅助配置表!$G$2:$O$91,AF225+2,FALSE))</f>
        <v>12170</v>
      </c>
      <c r="L225" s="78">
        <f ca="1" t="shared" si="255"/>
        <v>12170</v>
      </c>
      <c r="M225" s="78">
        <f ca="1" t="shared" ref="M225:O225" si="259">J225+M224</f>
        <v>2855</v>
      </c>
      <c r="N225" s="78">
        <f ca="1" t="shared" si="259"/>
        <v>1283</v>
      </c>
      <c r="O225" s="78">
        <f ca="1" t="shared" si="259"/>
        <v>34075</v>
      </c>
      <c r="P225" s="78" t="str">
        <f ca="1" t="shared" si="245"/>
        <v>11|2855|;</v>
      </c>
      <c r="Q225" s="78" t="str">
        <f ca="1" t="shared" si="246"/>
        <v>21|1283|;</v>
      </c>
      <c r="R225" s="78" t="str">
        <f ca="1" t="shared" si="247"/>
        <v>12|34075|;</v>
      </c>
      <c r="S225" s="78" t="str">
        <f ca="1" t="shared" si="249"/>
        <v>11|2855|;21|1283|;12|34075|;</v>
      </c>
      <c r="T225" s="165" t="str">
        <f ca="1">OFFSET(buff!$C$1,MATCH(W225,buff!A:A,0)-1,0)</f>
        <v>每回合有50%概率，使前3张打出的法术招式消耗减少1点</v>
      </c>
      <c r="U225" s="166">
        <v>1</v>
      </c>
      <c r="V225" s="3">
        <v>5000</v>
      </c>
      <c r="W225">
        <f ca="1" t="shared" si="227"/>
        <v>310310</v>
      </c>
      <c r="Z225" s="153">
        <f t="shared" si="210"/>
        <v>10</v>
      </c>
      <c r="AA225" s="153">
        <f ca="1">OFFSET(passive_type!$I$1,MATCH(C225,passive_type!A:A,0)-1,0)</f>
        <v>3</v>
      </c>
      <c r="AB225" s="153">
        <v>400015</v>
      </c>
      <c r="AC225" s="153">
        <f ca="1">IF(AD225=0,0,100)</f>
        <v>0</v>
      </c>
      <c r="AD225" s="153">
        <f ca="1" t="shared" si="228"/>
        <v>0</v>
      </c>
      <c r="AE225" s="153">
        <v>0</v>
      </c>
      <c r="AF225" s="153">
        <f ca="1">OFFSET(passive_type!$L$1,MATCH(B225,passive_type!B:B,0)-1,0)</f>
        <v>4</v>
      </c>
      <c r="AG225">
        <f ca="1">OFFSET(passive_type!$R$1,MATCH(B225,passive_type!B:B,0)-1,0)</f>
        <v>1300019</v>
      </c>
      <c r="AH225">
        <f ca="1">IF(AD225=0,0,20)</f>
        <v>0</v>
      </c>
      <c r="AI225">
        <f ca="1">IF(Z225=0,0,VLOOKUP(F225,心法辅助配置表!Q:X,AF225+1,FALSE))</f>
        <v>4843</v>
      </c>
    </row>
    <row r="226" spans="1:35">
      <c r="A226">
        <f ca="1" t="shared" si="225"/>
        <v>310400</v>
      </c>
      <c r="B226" s="156" t="s">
        <v>1567</v>
      </c>
      <c r="C226">
        <f ca="1">OFFSET(passive_type!$A$1,MATCH(B226,passive_type!B:B,0)-1,0)</f>
        <v>3104</v>
      </c>
      <c r="D226" s="157"/>
      <c r="F226" s="158">
        <f ca="1">(OFFSET(passive_type!$E$1,MATCH(C226,passive_type!A:A,0)-1,0)*10+AA226)*100+Z226</f>
        <v>3300</v>
      </c>
      <c r="G226" s="22">
        <f ca="1">IF(Z226=0,0,VLOOKUP(F226,心法辅助配置表!$G$2:$O$91,AF226+2,FALSE))</f>
        <v>0</v>
      </c>
      <c r="P226" s="78" t="str">
        <f t="shared" si="245"/>
        <v>11||;</v>
      </c>
      <c r="Q226" s="78" t="str">
        <f t="shared" si="246"/>
        <v>21||;</v>
      </c>
      <c r="R226" s="78" t="str">
        <f t="shared" si="247"/>
        <v>12||;</v>
      </c>
      <c r="S226" s="78"/>
      <c r="T226" s="165" t="str">
        <f ca="1">OFFSET(buff!$C$1,MATCH(W226,buff!A:A,0)-1,0)</f>
        <v>每回合有30%概率叠加1层冰冻</v>
      </c>
      <c r="U226" s="166"/>
      <c r="V226" s="166">
        <v>10000</v>
      </c>
      <c r="W226">
        <f ca="1" t="shared" si="227"/>
        <v>310400</v>
      </c>
      <c r="Z226" s="153">
        <f t="shared" si="210"/>
        <v>0</v>
      </c>
      <c r="AA226" s="153">
        <f ca="1">OFFSET(passive_type!$I$1,MATCH(C226,passive_type!A:A,0)-1,0)</f>
        <v>3</v>
      </c>
      <c r="AB226" s="153">
        <v>400015</v>
      </c>
      <c r="AC226" s="153">
        <v>400</v>
      </c>
      <c r="AD226" s="153">
        <f ca="1" t="shared" si="228"/>
        <v>310401</v>
      </c>
      <c r="AE226" s="153">
        <v>0</v>
      </c>
      <c r="AF226" s="153">
        <f ca="1">OFFSET(passive_type!$L$1,MATCH(B226,passive_type!B:B,0)-1,0)</f>
        <v>3</v>
      </c>
      <c r="AG226">
        <f ca="1">OFFSET(passive_type!$R$1,MATCH(B226,passive_type!B:B,0)-1,0)</f>
        <v>1300020</v>
      </c>
      <c r="AH226" s="78">
        <v>6</v>
      </c>
      <c r="AI226">
        <f ca="1">IF(Z226=0,0,VLOOKUP(F226,心法辅助配置表!Q:X,AF226+1,FALSE))</f>
        <v>0</v>
      </c>
    </row>
    <row r="227" spans="1:35">
      <c r="A227">
        <f ca="1" t="shared" si="225"/>
        <v>310401</v>
      </c>
      <c r="B227" s="156" t="s">
        <v>1567</v>
      </c>
      <c r="C227">
        <f ca="1">OFFSET(passive_type!$A$1,MATCH(B227,passive_type!B:B,0)-1,0)</f>
        <v>3104</v>
      </c>
      <c r="D227" s="157" t="s">
        <v>2928</v>
      </c>
      <c r="E227">
        <v>12</v>
      </c>
      <c r="F227" s="158">
        <f ca="1">(OFFSET(passive_type!$E$1,MATCH(C227,passive_type!A:A,0)-1,0)*10+AA227)*100+Z227</f>
        <v>3301</v>
      </c>
      <c r="G227" s="22">
        <f ca="1">IF(Z227=0,0,VLOOKUP(F227,心法辅助配置表!$G$2:$O$91,AF227+2,FALSE))</f>
        <v>2027</v>
      </c>
      <c r="L227" s="78">
        <f ca="1" t="shared" si="255"/>
        <v>2027</v>
      </c>
      <c r="M227" s="78">
        <f>J227</f>
        <v>0</v>
      </c>
      <c r="N227" s="78">
        <f>K227</f>
        <v>0</v>
      </c>
      <c r="O227" s="78">
        <f ca="1">G227</f>
        <v>2027</v>
      </c>
      <c r="P227" s="78" t="str">
        <f t="shared" si="245"/>
        <v>11|0|;</v>
      </c>
      <c r="Q227" s="78" t="str">
        <f t="shared" si="246"/>
        <v>21|0|;</v>
      </c>
      <c r="R227" s="78" t="str">
        <f ca="1" t="shared" si="247"/>
        <v>12|2027|;</v>
      </c>
      <c r="S227" s="78" t="str">
        <f ca="1" t="shared" ref="S227:S236" si="260">P227&amp;Q227&amp;R227</f>
        <v>11|0|;21|0|;12|2027|;</v>
      </c>
      <c r="T227" s="165" t="str">
        <f ca="1">OFFSET(buff!$C$1,MATCH(W227,buff!A:A,0)-1,0)</f>
        <v>每回合有35%概率叠加1层冰冻</v>
      </c>
      <c r="U227" s="166"/>
      <c r="V227" s="166">
        <v>10000</v>
      </c>
      <c r="W227">
        <f ca="1" t="shared" si="227"/>
        <v>310401</v>
      </c>
      <c r="Z227" s="153">
        <f t="shared" si="210"/>
        <v>1</v>
      </c>
      <c r="AA227" s="153">
        <f ca="1">OFFSET(passive_type!$I$1,MATCH(C227,passive_type!A:A,0)-1,0)</f>
        <v>3</v>
      </c>
      <c r="AB227" s="153">
        <v>400015</v>
      </c>
      <c r="AC227" s="153">
        <v>800</v>
      </c>
      <c r="AD227" s="153">
        <f ca="1" t="shared" si="228"/>
        <v>310402</v>
      </c>
      <c r="AE227" s="153">
        <v>0</v>
      </c>
      <c r="AF227" s="153">
        <f ca="1">OFFSET(passive_type!$L$1,MATCH(B227,passive_type!B:B,0)-1,0)</f>
        <v>3</v>
      </c>
      <c r="AG227">
        <f ca="1">OFFSET(passive_type!$R$1,MATCH(B227,passive_type!B:B,0)-1,0)</f>
        <v>1300020</v>
      </c>
      <c r="AH227" s="78">
        <v>12</v>
      </c>
      <c r="AI227">
        <f ca="1">IF(Z227=0,0,VLOOKUP(F227,心法辅助配置表!Q:X,AF227+1,FALSE))</f>
        <v>1572</v>
      </c>
    </row>
    <row r="228" spans="1:35">
      <c r="A228">
        <f ca="1" t="shared" si="225"/>
        <v>310402</v>
      </c>
      <c r="B228" s="156" t="s">
        <v>1567</v>
      </c>
      <c r="C228">
        <f ca="1">OFFSET(passive_type!$A$1,MATCH(B228,passive_type!B:B,0)-1,0)</f>
        <v>3104</v>
      </c>
      <c r="D228" s="157" t="s">
        <v>2929</v>
      </c>
      <c r="E228">
        <v>11</v>
      </c>
      <c r="F228" s="158">
        <f ca="1">(OFFSET(passive_type!$E$1,MATCH(C228,passive_type!A:A,0)-1,0)*10+AA228)*100+Z228</f>
        <v>3302</v>
      </c>
      <c r="G228" s="22">
        <f ca="1">IF(Z228=0,0,VLOOKUP(F228,心法辅助配置表!$G$2:$O$91,AF228+2,FALSE))</f>
        <v>287</v>
      </c>
      <c r="J228" s="78">
        <f ca="1">G228</f>
        <v>287</v>
      </c>
      <c r="M228" s="78">
        <f ca="1" t="shared" ref="M228:O228" si="261">J228+M227</f>
        <v>287</v>
      </c>
      <c r="N228" s="78">
        <f t="shared" si="261"/>
        <v>0</v>
      </c>
      <c r="O228" s="78">
        <f ca="1" t="shared" si="261"/>
        <v>2027</v>
      </c>
      <c r="P228" s="78" t="str">
        <f ca="1" t="shared" si="245"/>
        <v>11|287|;</v>
      </c>
      <c r="Q228" s="78" t="str">
        <f t="shared" si="246"/>
        <v>21|0|;</v>
      </c>
      <c r="R228" s="78" t="str">
        <f ca="1" t="shared" si="247"/>
        <v>12|2027|;</v>
      </c>
      <c r="S228" s="78" t="str">
        <f ca="1" t="shared" si="260"/>
        <v>11|287|;21|0|;12|2027|;</v>
      </c>
      <c r="T228" s="165" t="str">
        <f ca="1">OFFSET(buff!$C$1,MATCH(W228,buff!A:A,0)-1,0)</f>
        <v>每回合有40%概率叠加1层冰冻</v>
      </c>
      <c r="U228" s="166"/>
      <c r="V228" s="166">
        <v>10000</v>
      </c>
      <c r="W228">
        <f ca="1" t="shared" si="227"/>
        <v>310402</v>
      </c>
      <c r="Z228" s="153">
        <f t="shared" si="210"/>
        <v>2</v>
      </c>
      <c r="AA228" s="153">
        <f ca="1">OFFSET(passive_type!$I$1,MATCH(C228,passive_type!A:A,0)-1,0)</f>
        <v>3</v>
      </c>
      <c r="AB228" s="153">
        <v>400015</v>
      </c>
      <c r="AC228" s="153">
        <v>1600</v>
      </c>
      <c r="AD228" s="153">
        <f ca="1" t="shared" si="228"/>
        <v>310403</v>
      </c>
      <c r="AE228" s="153">
        <v>0</v>
      </c>
      <c r="AF228" s="153">
        <f ca="1">OFFSET(passive_type!$L$1,MATCH(B228,passive_type!B:B,0)-1,0)</f>
        <v>3</v>
      </c>
      <c r="AG228">
        <f ca="1">OFFSET(passive_type!$R$1,MATCH(B228,passive_type!B:B,0)-1,0)</f>
        <v>1300020</v>
      </c>
      <c r="AH228" s="78">
        <v>24</v>
      </c>
      <c r="AI228">
        <f ca="1">IF(Z228=0,0,VLOOKUP(F228,心法辅助配置表!Q:X,AF228+1,FALSE))</f>
        <v>1887</v>
      </c>
    </row>
    <row r="229" spans="1:35">
      <c r="A229">
        <f ca="1" t="shared" si="225"/>
        <v>310403</v>
      </c>
      <c r="B229" s="156" t="s">
        <v>1567</v>
      </c>
      <c r="C229">
        <f ca="1">OFFSET(passive_type!$A$1,MATCH(B229,passive_type!B:B,0)-1,0)</f>
        <v>3104</v>
      </c>
      <c r="D229" s="157" t="s">
        <v>2930</v>
      </c>
      <c r="E229">
        <v>21</v>
      </c>
      <c r="F229" s="158">
        <f ca="1">(OFFSET(passive_type!$E$1,MATCH(C229,passive_type!A:A,0)-1,0)*10+AA229)*100+Z229</f>
        <v>3303</v>
      </c>
      <c r="G229" s="22">
        <f ca="1">IF(Z229=0,0,VLOOKUP(F229,心法辅助配置表!$G$2:$O$91,AF229+2,FALSE))</f>
        <v>128</v>
      </c>
      <c r="K229" s="78">
        <f ca="1">G229</f>
        <v>128</v>
      </c>
      <c r="M229" s="78">
        <f ca="1" t="shared" ref="M229:O229" si="262">J229+M228</f>
        <v>287</v>
      </c>
      <c r="N229" s="78">
        <f ca="1" t="shared" si="262"/>
        <v>128</v>
      </c>
      <c r="O229" s="78">
        <f ca="1" t="shared" si="262"/>
        <v>2027</v>
      </c>
      <c r="P229" s="78" t="str">
        <f ca="1" t="shared" si="245"/>
        <v>11|287|;</v>
      </c>
      <c r="Q229" s="78" t="str">
        <f ca="1" t="shared" si="246"/>
        <v>21|128|;</v>
      </c>
      <c r="R229" s="78" t="str">
        <f ca="1" t="shared" si="247"/>
        <v>12|2027|;</v>
      </c>
      <c r="S229" s="78" t="str">
        <f ca="1" t="shared" si="260"/>
        <v>11|287|;21|128|;12|2027|;</v>
      </c>
      <c r="T229" s="165" t="str">
        <f ca="1">OFFSET(buff!$C$1,MATCH(W229,buff!A:A,0)-1,0)</f>
        <v>每回合有45%概率叠加1层冰冻</v>
      </c>
      <c r="U229" s="166"/>
      <c r="V229" s="166">
        <v>10000</v>
      </c>
      <c r="W229">
        <f ca="1" t="shared" si="227"/>
        <v>310403</v>
      </c>
      <c r="Z229" s="153">
        <f t="shared" si="210"/>
        <v>3</v>
      </c>
      <c r="AA229" s="153">
        <f ca="1">OFFSET(passive_type!$I$1,MATCH(C229,passive_type!A:A,0)-1,0)</f>
        <v>3</v>
      </c>
      <c r="AB229" s="153">
        <v>400015</v>
      </c>
      <c r="AC229" s="153">
        <v>3200</v>
      </c>
      <c r="AD229" s="153">
        <f ca="1" t="shared" si="228"/>
        <v>310404</v>
      </c>
      <c r="AE229" s="153">
        <v>0</v>
      </c>
      <c r="AF229" s="153">
        <f ca="1">OFFSET(passive_type!$L$1,MATCH(B229,passive_type!B:B,0)-1,0)</f>
        <v>3</v>
      </c>
      <c r="AG229">
        <f ca="1">OFFSET(passive_type!$R$1,MATCH(B229,passive_type!B:B,0)-1,0)</f>
        <v>1300020</v>
      </c>
      <c r="AH229" s="78">
        <v>48</v>
      </c>
      <c r="AI229">
        <f ca="1">IF(Z229=0,0,VLOOKUP(F229,心法辅助配置表!Q:X,AF229+1,FALSE))</f>
        <v>2201</v>
      </c>
    </row>
    <row r="230" spans="1:35">
      <c r="A230">
        <f ca="1" t="shared" si="225"/>
        <v>310404</v>
      </c>
      <c r="B230" s="156" t="s">
        <v>1567</v>
      </c>
      <c r="C230">
        <f ca="1">OFFSET(passive_type!$A$1,MATCH(B230,passive_type!B:B,0)-1,0)</f>
        <v>3104</v>
      </c>
      <c r="D230" s="157" t="s">
        <v>2928</v>
      </c>
      <c r="E230">
        <v>12</v>
      </c>
      <c r="F230" s="158">
        <f ca="1">(OFFSET(passive_type!$E$1,MATCH(C230,passive_type!A:A,0)-1,0)*10+AA230)*100+Z230</f>
        <v>3304</v>
      </c>
      <c r="G230" s="22">
        <f ca="1">IF(Z230=0,0,VLOOKUP(F230,心法辅助配置表!$G$2:$O$91,AF230+2,FALSE))</f>
        <v>3040</v>
      </c>
      <c r="L230" s="78">
        <f ca="1">G230</f>
        <v>3040</v>
      </c>
      <c r="M230" s="78">
        <f ca="1" t="shared" ref="M230:O230" si="263">J230+M229</f>
        <v>287</v>
      </c>
      <c r="N230" s="78">
        <f ca="1" t="shared" si="263"/>
        <v>128</v>
      </c>
      <c r="O230" s="78">
        <f ca="1" t="shared" si="263"/>
        <v>5067</v>
      </c>
      <c r="P230" s="78" t="str">
        <f ca="1" t="shared" si="245"/>
        <v>11|287|;</v>
      </c>
      <c r="Q230" s="78" t="str">
        <f ca="1" t="shared" si="246"/>
        <v>21|128|;</v>
      </c>
      <c r="R230" s="78" t="str">
        <f ca="1" t="shared" si="247"/>
        <v>12|5067|;</v>
      </c>
      <c r="S230" s="78" t="str">
        <f ca="1" t="shared" si="260"/>
        <v>11|287|;21|128|;12|5067|;</v>
      </c>
      <c r="T230" s="165" t="str">
        <f ca="1">OFFSET(buff!$C$1,MATCH(W230,buff!A:A,0)-1,0)</f>
        <v>每回合有50%概率叠加1层冰冻</v>
      </c>
      <c r="U230" s="166"/>
      <c r="V230" s="166">
        <v>10000</v>
      </c>
      <c r="W230">
        <f ca="1" t="shared" si="227"/>
        <v>310404</v>
      </c>
      <c r="Z230" s="153">
        <f t="shared" si="210"/>
        <v>4</v>
      </c>
      <c r="AA230" s="153">
        <f ca="1">OFFSET(passive_type!$I$1,MATCH(C230,passive_type!A:A,0)-1,0)</f>
        <v>3</v>
      </c>
      <c r="AB230" s="153">
        <v>400015</v>
      </c>
      <c r="AC230" s="153">
        <v>4000</v>
      </c>
      <c r="AD230" s="153">
        <f ca="1" t="shared" si="228"/>
        <v>310405</v>
      </c>
      <c r="AE230" s="153">
        <v>0</v>
      </c>
      <c r="AF230" s="153">
        <f ca="1">OFFSET(passive_type!$L$1,MATCH(B230,passive_type!B:B,0)-1,0)</f>
        <v>3</v>
      </c>
      <c r="AG230">
        <f ca="1">OFFSET(passive_type!$R$1,MATCH(B230,passive_type!B:B,0)-1,0)</f>
        <v>1300020</v>
      </c>
      <c r="AH230" s="78">
        <v>60</v>
      </c>
      <c r="AI230">
        <f ca="1">IF(Z230=0,0,VLOOKUP(F230,心法辅助配置表!Q:X,AF230+1,FALSE))</f>
        <v>2516</v>
      </c>
    </row>
    <row r="231" spans="1:35">
      <c r="A231">
        <f ca="1" t="shared" si="225"/>
        <v>310405</v>
      </c>
      <c r="B231" s="156" t="s">
        <v>1567</v>
      </c>
      <c r="C231">
        <f ca="1">OFFSET(passive_type!$A$1,MATCH(B231,passive_type!B:B,0)-1,0)</f>
        <v>3104</v>
      </c>
      <c r="D231" s="157" t="s">
        <v>2929</v>
      </c>
      <c r="E231">
        <v>11</v>
      </c>
      <c r="F231" s="158">
        <f ca="1">(OFFSET(passive_type!$E$1,MATCH(C231,passive_type!A:A,0)-1,0)*10+AA231)*100+Z231</f>
        <v>3305</v>
      </c>
      <c r="G231" s="22">
        <f ca="1">IF(Z231=0,0,VLOOKUP(F231,心法辅助配置表!$G$2:$O$91,AF231+2,FALSE))</f>
        <v>430</v>
      </c>
      <c r="J231" s="78">
        <f ca="1">G231</f>
        <v>430</v>
      </c>
      <c r="M231" s="78">
        <f ca="1" t="shared" ref="M231:O231" si="264">J231+M230</f>
        <v>717</v>
      </c>
      <c r="N231" s="78">
        <f ca="1" t="shared" si="264"/>
        <v>128</v>
      </c>
      <c r="O231" s="78">
        <f ca="1" t="shared" si="264"/>
        <v>5067</v>
      </c>
      <c r="P231" s="78" t="str">
        <f ca="1" t="shared" si="245"/>
        <v>11|717|;</v>
      </c>
      <c r="Q231" s="78" t="str">
        <f ca="1" t="shared" si="246"/>
        <v>21|128|;</v>
      </c>
      <c r="R231" s="78" t="str">
        <f ca="1" t="shared" si="247"/>
        <v>12|5067|;</v>
      </c>
      <c r="S231" s="78" t="str">
        <f ca="1" t="shared" si="260"/>
        <v>11|717|;21|128|;12|5067|;</v>
      </c>
      <c r="T231" s="165" t="str">
        <f ca="1">OFFSET(buff!$C$1,MATCH(W231,buff!A:A,0)-1,0)</f>
        <v>每回合有55%概率叠加2层冰冻</v>
      </c>
      <c r="U231" s="166"/>
      <c r="V231" s="166">
        <v>10000</v>
      </c>
      <c r="W231">
        <f ca="1" t="shared" si="227"/>
        <v>310405</v>
      </c>
      <c r="Z231" s="153">
        <f t="shared" si="210"/>
        <v>5</v>
      </c>
      <c r="AA231" s="153">
        <f ca="1">OFFSET(passive_type!$I$1,MATCH(C231,passive_type!A:A,0)-1,0)</f>
        <v>3</v>
      </c>
      <c r="AB231" s="153">
        <v>400015</v>
      </c>
      <c r="AC231" s="153">
        <v>5600</v>
      </c>
      <c r="AD231" s="153">
        <f ca="1" t="shared" si="228"/>
        <v>310406</v>
      </c>
      <c r="AE231" s="153">
        <v>0</v>
      </c>
      <c r="AF231" s="153">
        <f ca="1">OFFSET(passive_type!$L$1,MATCH(B231,passive_type!B:B,0)-1,0)</f>
        <v>3</v>
      </c>
      <c r="AG231">
        <f ca="1">OFFSET(passive_type!$R$1,MATCH(B231,passive_type!B:B,0)-1,0)</f>
        <v>1300020</v>
      </c>
      <c r="AH231" s="78">
        <v>84</v>
      </c>
      <c r="AI231">
        <f ca="1">IF(Z231=0,0,VLOOKUP(F231,心法辅助配置表!Q:X,AF231+1,FALSE))</f>
        <v>2830</v>
      </c>
    </row>
    <row r="232" spans="1:35">
      <c r="A232">
        <f ca="1" t="shared" si="225"/>
        <v>310406</v>
      </c>
      <c r="B232" s="156" t="s">
        <v>1567</v>
      </c>
      <c r="C232">
        <f ca="1">OFFSET(passive_type!$A$1,MATCH(B232,passive_type!B:B,0)-1,0)</f>
        <v>3104</v>
      </c>
      <c r="D232" s="157" t="s">
        <v>2930</v>
      </c>
      <c r="E232">
        <v>21</v>
      </c>
      <c r="F232" s="158">
        <f ca="1">(OFFSET(passive_type!$E$1,MATCH(C232,passive_type!A:A,0)-1,0)*10+AA232)*100+Z232</f>
        <v>3306</v>
      </c>
      <c r="G232" s="22">
        <f ca="1">IF(Z232=0,0,VLOOKUP(F232,心法辅助配置表!$G$2:$O$91,AF232+2,FALSE))</f>
        <v>193</v>
      </c>
      <c r="K232" s="78">
        <f ca="1">G232</f>
        <v>193</v>
      </c>
      <c r="M232" s="78">
        <f ca="1" t="shared" ref="M232:O232" si="265">J232+M231</f>
        <v>717</v>
      </c>
      <c r="N232" s="78">
        <f ca="1" t="shared" si="265"/>
        <v>321</v>
      </c>
      <c r="O232" s="78">
        <f ca="1" t="shared" si="265"/>
        <v>5067</v>
      </c>
      <c r="P232" s="78" t="str">
        <f ca="1" t="shared" si="245"/>
        <v>11|717|;</v>
      </c>
      <c r="Q232" s="78" t="str">
        <f ca="1" t="shared" si="246"/>
        <v>21|321|;</v>
      </c>
      <c r="R232" s="78" t="str">
        <f ca="1" t="shared" si="247"/>
        <v>12|5067|;</v>
      </c>
      <c r="S232" s="78" t="str">
        <f ca="1" t="shared" si="260"/>
        <v>11|717|;21|321|;12|5067|;</v>
      </c>
      <c r="T232" s="165" t="str">
        <f ca="1">OFFSET(buff!$C$1,MATCH(W232,buff!A:A,0)-1,0)</f>
        <v>每回合有60%概率叠加2层冰冻</v>
      </c>
      <c r="U232" s="166"/>
      <c r="V232" s="166">
        <v>10000</v>
      </c>
      <c r="W232">
        <f ca="1" t="shared" si="227"/>
        <v>310406</v>
      </c>
      <c r="Z232" s="153">
        <f t="shared" si="210"/>
        <v>6</v>
      </c>
      <c r="AA232" s="153">
        <f ca="1">OFFSET(passive_type!$I$1,MATCH(C232,passive_type!A:A,0)-1,0)</f>
        <v>3</v>
      </c>
      <c r="AB232" s="153">
        <v>400015</v>
      </c>
      <c r="AC232" s="153">
        <v>8800</v>
      </c>
      <c r="AD232" s="153">
        <f ca="1" t="shared" si="228"/>
        <v>310407</v>
      </c>
      <c r="AE232" s="153">
        <v>0</v>
      </c>
      <c r="AF232" s="153">
        <f ca="1">OFFSET(passive_type!$L$1,MATCH(B232,passive_type!B:B,0)-1,0)</f>
        <v>3</v>
      </c>
      <c r="AG232">
        <f ca="1">OFFSET(passive_type!$R$1,MATCH(B232,passive_type!B:B,0)-1,0)</f>
        <v>1300020</v>
      </c>
      <c r="AH232" s="78">
        <v>108</v>
      </c>
      <c r="AI232">
        <f ca="1">IF(Z232=0,0,VLOOKUP(F232,心法辅助配置表!Q:X,AF232+1,FALSE))</f>
        <v>3145</v>
      </c>
    </row>
    <row r="233" spans="1:35">
      <c r="A233">
        <f ca="1" t="shared" si="225"/>
        <v>310407</v>
      </c>
      <c r="B233" s="156" t="s">
        <v>1567</v>
      </c>
      <c r="C233">
        <f ca="1">OFFSET(passive_type!$A$1,MATCH(B233,passive_type!B:B,0)-1,0)</f>
        <v>3104</v>
      </c>
      <c r="D233" s="157" t="s">
        <v>2928</v>
      </c>
      <c r="E233">
        <v>12</v>
      </c>
      <c r="F233" s="158">
        <f ca="1">(OFFSET(passive_type!$E$1,MATCH(C233,passive_type!A:A,0)-1,0)*10+AA233)*100+Z233</f>
        <v>3307</v>
      </c>
      <c r="G233" s="22">
        <f ca="1">IF(Z233=0,0,VLOOKUP(F233,心法辅助配置表!$G$2:$O$91,AF233+2,FALSE))</f>
        <v>4052</v>
      </c>
      <c r="L233" s="78">
        <f ca="1" t="shared" ref="L233:L238" si="266">G233</f>
        <v>4052</v>
      </c>
      <c r="M233" s="78">
        <f ca="1" t="shared" ref="M233:O233" si="267">J233+M232</f>
        <v>717</v>
      </c>
      <c r="N233" s="78">
        <f ca="1" t="shared" si="267"/>
        <v>321</v>
      </c>
      <c r="O233" s="78">
        <f ca="1" t="shared" si="267"/>
        <v>9119</v>
      </c>
      <c r="P233" s="78" t="str">
        <f ca="1" t="shared" si="245"/>
        <v>11|717|;</v>
      </c>
      <c r="Q233" s="78" t="str">
        <f ca="1" t="shared" si="246"/>
        <v>21|321|;</v>
      </c>
      <c r="R233" s="78" t="str">
        <f ca="1" t="shared" si="247"/>
        <v>12|9119|;</v>
      </c>
      <c r="S233" s="78" t="str">
        <f ca="1" t="shared" si="260"/>
        <v>11|717|;21|321|;12|9119|;</v>
      </c>
      <c r="T233" s="165" t="str">
        <f ca="1">OFFSET(buff!$C$1,MATCH(W233,buff!A:A,0)-1,0)</f>
        <v>每回合有65%概率叠加2层冰冻</v>
      </c>
      <c r="U233" s="166"/>
      <c r="V233" s="166">
        <v>10000</v>
      </c>
      <c r="W233">
        <f ca="1" t="shared" si="227"/>
        <v>310407</v>
      </c>
      <c r="Z233" s="153">
        <f t="shared" si="210"/>
        <v>7</v>
      </c>
      <c r="AA233" s="153">
        <f ca="1">OFFSET(passive_type!$I$1,MATCH(C233,passive_type!A:A,0)-1,0)</f>
        <v>3</v>
      </c>
      <c r="AB233" s="153">
        <v>400015</v>
      </c>
      <c r="AC233" s="153">
        <v>12800</v>
      </c>
      <c r="AD233" s="153">
        <f ca="1" t="shared" si="228"/>
        <v>310408</v>
      </c>
      <c r="AE233" s="153">
        <v>0</v>
      </c>
      <c r="AF233" s="153">
        <f ca="1">OFFSET(passive_type!$L$1,MATCH(B233,passive_type!B:B,0)-1,0)</f>
        <v>3</v>
      </c>
      <c r="AG233">
        <f ca="1">OFFSET(passive_type!$R$1,MATCH(B233,passive_type!B:B,0)-1,0)</f>
        <v>1300020</v>
      </c>
      <c r="AH233" s="78">
        <v>156</v>
      </c>
      <c r="AI233">
        <f ca="1">IF(Z233=0,0,VLOOKUP(F233,心法辅助配置表!Q:X,AF233+1,FALSE))</f>
        <v>3459</v>
      </c>
    </row>
    <row r="234" spans="1:35">
      <c r="A234">
        <f ca="1" t="shared" si="225"/>
        <v>310408</v>
      </c>
      <c r="B234" s="156" t="s">
        <v>1567</v>
      </c>
      <c r="C234">
        <f ca="1">OFFSET(passive_type!$A$1,MATCH(B234,passive_type!B:B,0)-1,0)</f>
        <v>3104</v>
      </c>
      <c r="D234" s="157" t="s">
        <v>2929</v>
      </c>
      <c r="E234">
        <v>11</v>
      </c>
      <c r="F234" s="158">
        <f ca="1">(OFFSET(passive_type!$E$1,MATCH(C234,passive_type!A:A,0)-1,0)*10+AA234)*100+Z234</f>
        <v>3308</v>
      </c>
      <c r="G234" s="22">
        <f ca="1">IF(Z234=0,0,VLOOKUP(F234,心法辅助配置表!$G$2:$O$91,AF234+2,FALSE))</f>
        <v>573</v>
      </c>
      <c r="J234" s="78">
        <f ca="1">G234</f>
        <v>573</v>
      </c>
      <c r="M234" s="78">
        <f ca="1" t="shared" ref="M234:O234" si="268">J234+M233</f>
        <v>1290</v>
      </c>
      <c r="N234" s="78">
        <f ca="1" t="shared" si="268"/>
        <v>321</v>
      </c>
      <c r="O234" s="78">
        <f ca="1" t="shared" si="268"/>
        <v>9119</v>
      </c>
      <c r="P234" s="78" t="str">
        <f ca="1" t="shared" si="245"/>
        <v>11|1290|;</v>
      </c>
      <c r="Q234" s="78" t="str">
        <f ca="1" t="shared" si="246"/>
        <v>21|321|;</v>
      </c>
      <c r="R234" s="78" t="str">
        <f ca="1" t="shared" si="247"/>
        <v>12|9119|;</v>
      </c>
      <c r="S234" s="78" t="str">
        <f ca="1" t="shared" si="260"/>
        <v>11|1290|;21|321|;12|9119|;</v>
      </c>
      <c r="T234" s="165" t="str">
        <f ca="1">OFFSET(buff!$C$1,MATCH(W234,buff!A:A,0)-1,0)</f>
        <v>每回合有70%概率叠加2层冰冻</v>
      </c>
      <c r="U234" s="166"/>
      <c r="V234" s="166">
        <v>10000</v>
      </c>
      <c r="W234">
        <f ca="1" t="shared" si="227"/>
        <v>310408</v>
      </c>
      <c r="Z234" s="153">
        <f t="shared" si="210"/>
        <v>8</v>
      </c>
      <c r="AA234" s="153">
        <f ca="1">OFFSET(passive_type!$I$1,MATCH(C234,passive_type!A:A,0)-1,0)</f>
        <v>3</v>
      </c>
      <c r="AB234" s="153">
        <v>400015</v>
      </c>
      <c r="AC234" s="153">
        <v>18400</v>
      </c>
      <c r="AD234" s="153">
        <f ca="1" t="shared" si="228"/>
        <v>310409</v>
      </c>
      <c r="AE234" s="153">
        <v>0</v>
      </c>
      <c r="AF234" s="153">
        <f ca="1">OFFSET(passive_type!$L$1,MATCH(B234,passive_type!B:B,0)-1,0)</f>
        <v>3</v>
      </c>
      <c r="AG234">
        <f ca="1">OFFSET(passive_type!$R$1,MATCH(B234,passive_type!B:B,0)-1,0)</f>
        <v>1300020</v>
      </c>
      <c r="AH234" s="78">
        <v>216</v>
      </c>
      <c r="AI234">
        <f ca="1">IF(Z234=0,0,VLOOKUP(F234,心法辅助配置表!Q:X,AF234+1,FALSE))</f>
        <v>3773</v>
      </c>
    </row>
    <row r="235" spans="1:35">
      <c r="A235">
        <f ca="1" t="shared" si="225"/>
        <v>310409</v>
      </c>
      <c r="B235" s="156" t="s">
        <v>1567</v>
      </c>
      <c r="C235">
        <f ca="1">OFFSET(passive_type!$A$1,MATCH(B235,passive_type!B:B,0)-1,0)</f>
        <v>3104</v>
      </c>
      <c r="D235" s="157" t="s">
        <v>2930</v>
      </c>
      <c r="E235">
        <v>21</v>
      </c>
      <c r="F235" s="158">
        <f ca="1">(OFFSET(passive_type!$E$1,MATCH(C235,passive_type!A:A,0)-1,0)*10+AA235)*100+Z235</f>
        <v>3309</v>
      </c>
      <c r="G235" s="22">
        <f ca="1">IF(Z235=0,0,VLOOKUP(F235,心法辅助配置表!$G$2:$O$91,AF235+2,FALSE))</f>
        <v>258</v>
      </c>
      <c r="K235" s="78">
        <f ca="1">G235</f>
        <v>258</v>
      </c>
      <c r="M235" s="78">
        <f ca="1" t="shared" ref="M235:O235" si="269">J235+M234</f>
        <v>1290</v>
      </c>
      <c r="N235" s="78">
        <f ca="1" t="shared" si="269"/>
        <v>579</v>
      </c>
      <c r="O235" s="78">
        <f ca="1" t="shared" si="269"/>
        <v>9119</v>
      </c>
      <c r="P235" s="78" t="str">
        <f ca="1" t="shared" si="245"/>
        <v>11|1290|;</v>
      </c>
      <c r="Q235" s="78" t="str">
        <f ca="1" t="shared" si="246"/>
        <v>21|579|;</v>
      </c>
      <c r="R235" s="78" t="str">
        <f ca="1" t="shared" si="247"/>
        <v>12|9119|;</v>
      </c>
      <c r="S235" s="78" t="str">
        <f ca="1" t="shared" si="260"/>
        <v>11|1290|;21|579|;12|9119|;</v>
      </c>
      <c r="T235" s="165" t="str">
        <f ca="1">OFFSET(buff!$C$1,MATCH(W235,buff!A:A,0)-1,0)</f>
        <v>每回合有75%概率叠加2层冰冻</v>
      </c>
      <c r="U235" s="166"/>
      <c r="V235" s="166">
        <v>10000</v>
      </c>
      <c r="W235">
        <f ca="1" t="shared" si="227"/>
        <v>310409</v>
      </c>
      <c r="Z235" s="153">
        <f t="shared" si="210"/>
        <v>9</v>
      </c>
      <c r="AA235" s="153">
        <f ca="1">OFFSET(passive_type!$I$1,MATCH(C235,passive_type!A:A,0)-1,0)</f>
        <v>3</v>
      </c>
      <c r="AB235" s="153">
        <v>400015</v>
      </c>
      <c r="AC235" s="153">
        <v>27200</v>
      </c>
      <c r="AD235" s="153">
        <f ca="1" t="shared" si="228"/>
        <v>310410</v>
      </c>
      <c r="AE235" s="153">
        <v>0</v>
      </c>
      <c r="AF235" s="153">
        <f ca="1">OFFSET(passive_type!$L$1,MATCH(B235,passive_type!B:B,0)-1,0)</f>
        <v>3</v>
      </c>
      <c r="AG235">
        <f ca="1">OFFSET(passive_type!$R$1,MATCH(B235,passive_type!B:B,0)-1,0)</f>
        <v>1300020</v>
      </c>
      <c r="AH235">
        <v>300</v>
      </c>
      <c r="AI235">
        <f ca="1">IF(Z235=0,0,VLOOKUP(F235,心法辅助配置表!Q:X,AF235+1,FALSE))</f>
        <v>4088</v>
      </c>
    </row>
    <row r="236" spans="1:35">
      <c r="A236">
        <f ca="1" t="shared" si="225"/>
        <v>310410</v>
      </c>
      <c r="B236" s="156" t="s">
        <v>1567</v>
      </c>
      <c r="C236">
        <f ca="1">OFFSET(passive_type!$A$1,MATCH(B236,passive_type!B:B,0)-1,0)</f>
        <v>3104</v>
      </c>
      <c r="D236" s="157" t="s">
        <v>2928</v>
      </c>
      <c r="E236">
        <v>12</v>
      </c>
      <c r="F236" s="158">
        <f ca="1">(OFFSET(passive_type!$E$1,MATCH(C236,passive_type!A:A,0)-1,0)*10+AA236)*100+Z236</f>
        <v>3310</v>
      </c>
      <c r="G236" s="22">
        <f ca="1">IF(Z236=0,0,VLOOKUP(F236,心法辅助配置表!$G$2:$O$91,AF236+2,FALSE))</f>
        <v>5065</v>
      </c>
      <c r="L236" s="78">
        <f ca="1" t="shared" si="266"/>
        <v>5065</v>
      </c>
      <c r="M236" s="78">
        <f ca="1" t="shared" ref="M236:O236" si="270">J236+M235</f>
        <v>1290</v>
      </c>
      <c r="N236" s="78">
        <f ca="1" t="shared" si="270"/>
        <v>579</v>
      </c>
      <c r="O236" s="78">
        <f ca="1" t="shared" si="270"/>
        <v>14184</v>
      </c>
      <c r="P236" s="78" t="str">
        <f ca="1" t="shared" si="245"/>
        <v>11|1290|;</v>
      </c>
      <c r="Q236" s="78" t="str">
        <f ca="1" t="shared" si="246"/>
        <v>21|579|;</v>
      </c>
      <c r="R236" s="78" t="str">
        <f ca="1" t="shared" si="247"/>
        <v>12|14184|;</v>
      </c>
      <c r="S236" s="78" t="str">
        <f ca="1" t="shared" si="260"/>
        <v>11|1290|;21|579|;12|14184|;</v>
      </c>
      <c r="T236" s="165" t="str">
        <f ca="1">OFFSET(buff!$C$1,MATCH(W236,buff!A:A,0)-1,0)</f>
        <v>每回合有80%概率叠加3层冰冻</v>
      </c>
      <c r="U236" s="166"/>
      <c r="V236" s="166">
        <v>10000</v>
      </c>
      <c r="W236">
        <f ca="1" t="shared" si="227"/>
        <v>310410</v>
      </c>
      <c r="Z236" s="153">
        <f t="shared" si="210"/>
        <v>10</v>
      </c>
      <c r="AA236" s="153">
        <f ca="1">OFFSET(passive_type!$I$1,MATCH(C236,passive_type!A:A,0)-1,0)</f>
        <v>3</v>
      </c>
      <c r="AB236" s="153">
        <v>400015</v>
      </c>
      <c r="AC236" s="153">
        <f ca="1">IF(AD236=0,0,100)</f>
        <v>0</v>
      </c>
      <c r="AD236" s="153">
        <f ca="1" t="shared" si="228"/>
        <v>0</v>
      </c>
      <c r="AE236" s="153">
        <v>0</v>
      </c>
      <c r="AF236" s="153">
        <f ca="1">OFFSET(passive_type!$L$1,MATCH(B236,passive_type!B:B,0)-1,0)</f>
        <v>3</v>
      </c>
      <c r="AG236">
        <f ca="1">OFFSET(passive_type!$R$1,MATCH(B236,passive_type!B:B,0)-1,0)</f>
        <v>1300020</v>
      </c>
      <c r="AH236">
        <f ca="1">IF(AD236=0,0,20)</f>
        <v>0</v>
      </c>
      <c r="AI236">
        <f ca="1">IF(Z236=0,0,VLOOKUP(F236,心法辅助配置表!Q:X,AF236+1,FALSE))</f>
        <v>4402</v>
      </c>
    </row>
    <row r="237" spans="1:35">
      <c r="A237">
        <f ca="1" t="shared" si="225"/>
        <v>310500</v>
      </c>
      <c r="B237" s="178" t="s">
        <v>1962</v>
      </c>
      <c r="C237">
        <f ca="1">OFFSET(passive_type!$A$1,MATCH(B237,passive_type!B:B,0)-1,0)</f>
        <v>3105</v>
      </c>
      <c r="D237" s="157"/>
      <c r="F237" s="158">
        <f ca="1">(OFFSET(passive_type!$E$1,MATCH(C237,passive_type!A:A,0)-1,0)*10+AA237)*100+Z237</f>
        <v>3400</v>
      </c>
      <c r="G237" s="22">
        <f ca="1">IF(Z237=0,0,VLOOKUP(F237,心法辅助配置表!$G$2:$O$91,AF237+2,FALSE))</f>
        <v>0</v>
      </c>
      <c r="P237" s="78" t="str">
        <f t="shared" si="245"/>
        <v>11||;</v>
      </c>
      <c r="Q237" s="78" t="str">
        <f t="shared" si="246"/>
        <v>21||;</v>
      </c>
      <c r="R237" s="78" t="str">
        <f t="shared" si="247"/>
        <v>12||;</v>
      </c>
      <c r="S237" s="78"/>
      <c r="T237" s="165" t="str">
        <f ca="1">OFFSET(buff!$C$1,MATCH(W237,buff!A:A,0)-1,0)</f>
        <v>每使用2招，有30%概率给自身叠加1层炎息</v>
      </c>
      <c r="U237" s="166"/>
      <c r="V237" s="166">
        <v>10000</v>
      </c>
      <c r="W237">
        <f ca="1" t="shared" si="227"/>
        <v>310500</v>
      </c>
      <c r="Z237" s="153">
        <f t="shared" si="210"/>
        <v>0</v>
      </c>
      <c r="AA237" s="153">
        <f ca="1">OFFSET(passive_type!$I$1,MATCH(C237,passive_type!A:A,0)-1,0)</f>
        <v>4</v>
      </c>
      <c r="AB237" s="153">
        <v>400015</v>
      </c>
      <c r="AC237" s="153">
        <v>800</v>
      </c>
      <c r="AD237" s="153">
        <f ca="1" t="shared" si="228"/>
        <v>310501</v>
      </c>
      <c r="AE237" s="153">
        <v>0</v>
      </c>
      <c r="AF237" s="153">
        <f ca="1">OFFSET(passive_type!$L$1,MATCH(B237,passive_type!B:B,0)-1,0)</f>
        <v>2</v>
      </c>
      <c r="AG237">
        <f ca="1">OFFSET(passive_type!$R$1,MATCH(B237,passive_type!B:B,0)-1,0)</f>
        <v>1300021</v>
      </c>
      <c r="AH237" s="78">
        <v>6</v>
      </c>
      <c r="AI237">
        <f ca="1">IF(Z237=0,0,VLOOKUP(F237,心法辅助配置表!Q:X,AF237+1,FALSE))</f>
        <v>0</v>
      </c>
    </row>
    <row r="238" spans="1:35">
      <c r="A238">
        <f ca="1" t="shared" si="225"/>
        <v>310501</v>
      </c>
      <c r="B238" s="178" t="s">
        <v>1962</v>
      </c>
      <c r="C238">
        <f ca="1">OFFSET(passive_type!$A$1,MATCH(B238,passive_type!B:B,0)-1,0)</f>
        <v>3105</v>
      </c>
      <c r="D238" s="157" t="s">
        <v>2928</v>
      </c>
      <c r="E238">
        <v>12</v>
      </c>
      <c r="F238" s="158">
        <f ca="1">(OFFSET(passive_type!$E$1,MATCH(C238,passive_type!A:A,0)-1,0)*10+AA238)*100+Z238</f>
        <v>3401</v>
      </c>
      <c r="G238" s="22">
        <f ca="1">IF(Z238=0,0,VLOOKUP(F238,心法辅助配置表!$G$2:$O$91,AF238+2,FALSE))</f>
        <v>1150</v>
      </c>
      <c r="L238" s="78">
        <f ca="1" t="shared" si="266"/>
        <v>1150</v>
      </c>
      <c r="M238" s="78">
        <f>J238</f>
        <v>0</v>
      </c>
      <c r="N238" s="78">
        <f>K238</f>
        <v>0</v>
      </c>
      <c r="O238" s="78">
        <f ca="1">G238</f>
        <v>1150</v>
      </c>
      <c r="P238" s="78" t="str">
        <f t="shared" si="245"/>
        <v>11|0|;</v>
      </c>
      <c r="Q238" s="78" t="str">
        <f t="shared" si="246"/>
        <v>21|0|;</v>
      </c>
      <c r="R238" s="78" t="str">
        <f ca="1" t="shared" si="247"/>
        <v>12|1150|;</v>
      </c>
      <c r="S238" s="78" t="str">
        <f ca="1" t="shared" ref="S238:S247" si="271">P238&amp;Q238&amp;R238</f>
        <v>11|0|;21|0|;12|1150|;</v>
      </c>
      <c r="T238" s="165" t="str">
        <f ca="1">OFFSET(buff!$C$1,MATCH(W238,buff!A:A,0)-1,0)</f>
        <v>每使用2招，有32%概率给自身叠加1层炎息</v>
      </c>
      <c r="U238" s="166"/>
      <c r="V238" s="166">
        <v>10000</v>
      </c>
      <c r="W238">
        <f ca="1" t="shared" si="227"/>
        <v>310501</v>
      </c>
      <c r="Z238" s="153">
        <f t="shared" si="210"/>
        <v>1</v>
      </c>
      <c r="AA238" s="153">
        <f ca="1">OFFSET(passive_type!$I$1,MATCH(C238,passive_type!A:A,0)-1,0)</f>
        <v>4</v>
      </c>
      <c r="AB238" s="153">
        <v>400015</v>
      </c>
      <c r="AC238" s="153">
        <v>1600</v>
      </c>
      <c r="AD238" s="153">
        <f ca="1" t="shared" si="228"/>
        <v>310502</v>
      </c>
      <c r="AE238" s="153">
        <v>0</v>
      </c>
      <c r="AF238" s="153">
        <f ca="1">OFFSET(passive_type!$L$1,MATCH(B238,passive_type!B:B,0)-1,0)</f>
        <v>2</v>
      </c>
      <c r="AG238">
        <f ca="1">OFFSET(passive_type!$R$1,MATCH(B238,passive_type!B:B,0)-1,0)</f>
        <v>1300021</v>
      </c>
      <c r="AH238" s="78">
        <v>12</v>
      </c>
      <c r="AI238">
        <f ca="1">IF(Z238=0,0,VLOOKUP(F238,心法辅助配置表!Q:X,AF238+1,FALSE))</f>
        <v>1002</v>
      </c>
    </row>
    <row r="239" spans="1:35">
      <c r="A239">
        <f ca="1" t="shared" si="225"/>
        <v>310502</v>
      </c>
      <c r="B239" s="178" t="s">
        <v>1962</v>
      </c>
      <c r="C239">
        <f ca="1">OFFSET(passive_type!$A$1,MATCH(B239,passive_type!B:B,0)-1,0)</f>
        <v>3105</v>
      </c>
      <c r="D239" s="157" t="s">
        <v>2929</v>
      </c>
      <c r="E239">
        <v>11</v>
      </c>
      <c r="F239" s="158">
        <f ca="1">(OFFSET(passive_type!$E$1,MATCH(C239,passive_type!A:A,0)-1,0)*10+AA239)*100+Z239</f>
        <v>3402</v>
      </c>
      <c r="G239" s="22">
        <f ca="1">IF(Z239=0,0,VLOOKUP(F239,心法辅助配置表!$G$2:$O$91,AF239+2,FALSE))</f>
        <v>180</v>
      </c>
      <c r="J239" s="78">
        <f ca="1">G239</f>
        <v>180</v>
      </c>
      <c r="M239" s="78">
        <f ca="1" t="shared" ref="M239:O239" si="272">J239+M238</f>
        <v>180</v>
      </c>
      <c r="N239" s="78">
        <f t="shared" si="272"/>
        <v>0</v>
      </c>
      <c r="O239" s="78">
        <f ca="1" t="shared" si="272"/>
        <v>1150</v>
      </c>
      <c r="P239" s="78" t="str">
        <f ca="1" t="shared" si="245"/>
        <v>11|180|;</v>
      </c>
      <c r="Q239" s="78" t="str">
        <f t="shared" si="246"/>
        <v>21|0|;</v>
      </c>
      <c r="R239" s="78" t="str">
        <f ca="1" t="shared" si="247"/>
        <v>12|1150|;</v>
      </c>
      <c r="S239" s="78" t="str">
        <f ca="1" t="shared" si="271"/>
        <v>11|180|;21|0|;12|1150|;</v>
      </c>
      <c r="T239" s="165" t="str">
        <f ca="1">OFFSET(buff!$C$1,MATCH(W239,buff!A:A,0)-1,0)</f>
        <v>每使用2招，有34%概率给自身叠加1层炎息</v>
      </c>
      <c r="U239" s="166"/>
      <c r="V239" s="166">
        <v>10000</v>
      </c>
      <c r="W239">
        <f ca="1" t="shared" si="227"/>
        <v>310502</v>
      </c>
      <c r="Z239" s="153">
        <f t="shared" si="210"/>
        <v>2</v>
      </c>
      <c r="AA239" s="153">
        <f ca="1">OFFSET(passive_type!$I$1,MATCH(C239,passive_type!A:A,0)-1,0)</f>
        <v>4</v>
      </c>
      <c r="AB239" s="153">
        <v>400015</v>
      </c>
      <c r="AC239" s="153">
        <v>3200</v>
      </c>
      <c r="AD239" s="153">
        <f ca="1" t="shared" si="228"/>
        <v>310503</v>
      </c>
      <c r="AE239" s="153">
        <v>0</v>
      </c>
      <c r="AF239" s="153">
        <f ca="1">OFFSET(passive_type!$L$1,MATCH(B239,passive_type!B:B,0)-1,0)</f>
        <v>2</v>
      </c>
      <c r="AG239">
        <f ca="1">OFFSET(passive_type!$R$1,MATCH(B239,passive_type!B:B,0)-1,0)</f>
        <v>1300021</v>
      </c>
      <c r="AH239" s="78">
        <v>24</v>
      </c>
      <c r="AI239">
        <f ca="1">IF(Z239=0,0,VLOOKUP(F239,心法辅助配置表!Q:X,AF239+1,FALSE))</f>
        <v>1202</v>
      </c>
    </row>
    <row r="240" spans="1:35">
      <c r="A240">
        <f ca="1" t="shared" si="225"/>
        <v>310503</v>
      </c>
      <c r="B240" s="178" t="s">
        <v>1962</v>
      </c>
      <c r="C240">
        <f ca="1">OFFSET(passive_type!$A$1,MATCH(B240,passive_type!B:B,0)-1,0)</f>
        <v>3105</v>
      </c>
      <c r="D240" s="157" t="s">
        <v>2930</v>
      </c>
      <c r="E240">
        <v>21</v>
      </c>
      <c r="F240" s="158">
        <f ca="1">(OFFSET(passive_type!$E$1,MATCH(C240,passive_type!A:A,0)-1,0)*10+AA240)*100+Z240</f>
        <v>3403</v>
      </c>
      <c r="G240" s="22">
        <f ca="1">IF(Z240=0,0,VLOOKUP(F240,心法辅助配置表!$G$2:$O$91,AF240+2,FALSE))</f>
        <v>82</v>
      </c>
      <c r="K240" s="78">
        <f ca="1">G240</f>
        <v>82</v>
      </c>
      <c r="M240" s="78">
        <f ca="1" t="shared" ref="M240:O240" si="273">J240+M239</f>
        <v>180</v>
      </c>
      <c r="N240" s="78">
        <f ca="1" t="shared" si="273"/>
        <v>82</v>
      </c>
      <c r="O240" s="78">
        <f ca="1" t="shared" si="273"/>
        <v>1150</v>
      </c>
      <c r="P240" s="78" t="str">
        <f ca="1" t="shared" si="245"/>
        <v>11|180|;</v>
      </c>
      <c r="Q240" s="78" t="str">
        <f ca="1" t="shared" si="246"/>
        <v>21|82|;</v>
      </c>
      <c r="R240" s="78" t="str">
        <f ca="1" t="shared" si="247"/>
        <v>12|1150|;</v>
      </c>
      <c r="S240" s="78" t="str">
        <f ca="1" t="shared" si="271"/>
        <v>11|180|;21|82|;12|1150|;</v>
      </c>
      <c r="T240" s="165" t="str">
        <f ca="1">OFFSET(buff!$C$1,MATCH(W240,buff!A:A,0)-1,0)</f>
        <v>每使用2招，有36%概率给自身叠加1层炎息</v>
      </c>
      <c r="U240" s="166"/>
      <c r="V240" s="166">
        <v>10000</v>
      </c>
      <c r="W240">
        <f ca="1" t="shared" si="227"/>
        <v>310503</v>
      </c>
      <c r="Z240" s="153">
        <f t="shared" si="210"/>
        <v>3</v>
      </c>
      <c r="AA240" s="153">
        <f ca="1">OFFSET(passive_type!$I$1,MATCH(C240,passive_type!A:A,0)-1,0)</f>
        <v>4</v>
      </c>
      <c r="AB240" s="153">
        <v>400015</v>
      </c>
      <c r="AC240" s="153">
        <v>6400</v>
      </c>
      <c r="AD240" s="153">
        <f ca="1" t="shared" si="228"/>
        <v>310504</v>
      </c>
      <c r="AE240" s="153">
        <v>0</v>
      </c>
      <c r="AF240" s="153">
        <f ca="1">OFFSET(passive_type!$L$1,MATCH(B240,passive_type!B:B,0)-1,0)</f>
        <v>2</v>
      </c>
      <c r="AG240">
        <f ca="1">OFFSET(passive_type!$R$1,MATCH(B240,passive_type!B:B,0)-1,0)</f>
        <v>1300021</v>
      </c>
      <c r="AH240" s="78">
        <v>48</v>
      </c>
      <c r="AI240">
        <f ca="1">IF(Z240=0,0,VLOOKUP(F240,心法辅助配置表!Q:X,AF240+1,FALSE))</f>
        <v>1402</v>
      </c>
    </row>
    <row r="241" spans="1:35">
      <c r="A241">
        <f ca="1" t="shared" si="225"/>
        <v>310504</v>
      </c>
      <c r="B241" s="178" t="s">
        <v>1962</v>
      </c>
      <c r="C241">
        <f ca="1">OFFSET(passive_type!$A$1,MATCH(B241,passive_type!B:B,0)-1,0)</f>
        <v>3105</v>
      </c>
      <c r="D241" s="157" t="s">
        <v>2928</v>
      </c>
      <c r="E241">
        <v>12</v>
      </c>
      <c r="F241" s="158">
        <f ca="1">(OFFSET(passive_type!$E$1,MATCH(C241,passive_type!A:A,0)-1,0)*10+AA241)*100+Z241</f>
        <v>3404</v>
      </c>
      <c r="G241" s="22">
        <f ca="1">IF(Z241=0,0,VLOOKUP(F241,心法辅助配置表!$G$2:$O$91,AF241+2,FALSE))</f>
        <v>1724</v>
      </c>
      <c r="L241" s="78">
        <f ca="1">G241</f>
        <v>1724</v>
      </c>
      <c r="M241" s="78">
        <f ca="1" t="shared" ref="M241:O241" si="274">J241+M240</f>
        <v>180</v>
      </c>
      <c r="N241" s="78">
        <f ca="1" t="shared" si="274"/>
        <v>82</v>
      </c>
      <c r="O241" s="78">
        <f ca="1" t="shared" si="274"/>
        <v>2874</v>
      </c>
      <c r="P241" s="78" t="str">
        <f ca="1" t="shared" si="245"/>
        <v>11|180|;</v>
      </c>
      <c r="Q241" s="78" t="str">
        <f ca="1" t="shared" si="246"/>
        <v>21|82|;</v>
      </c>
      <c r="R241" s="78" t="str">
        <f ca="1" t="shared" si="247"/>
        <v>12|2874|;</v>
      </c>
      <c r="S241" s="78" t="str">
        <f ca="1" t="shared" si="271"/>
        <v>11|180|;21|82|;12|2874|;</v>
      </c>
      <c r="T241" s="165" t="str">
        <f ca="1">OFFSET(buff!$C$1,MATCH(W241,buff!A:A,0)-1,0)</f>
        <v>每使用2招，有38%概率给自身叠加1层炎息</v>
      </c>
      <c r="U241" s="166"/>
      <c r="V241" s="166">
        <v>10000</v>
      </c>
      <c r="W241">
        <f ca="1" t="shared" si="227"/>
        <v>310504</v>
      </c>
      <c r="Z241" s="153">
        <f t="shared" si="210"/>
        <v>4</v>
      </c>
      <c r="AA241" s="153">
        <f ca="1">OFFSET(passive_type!$I$1,MATCH(C241,passive_type!A:A,0)-1,0)</f>
        <v>4</v>
      </c>
      <c r="AB241" s="153">
        <v>400015</v>
      </c>
      <c r="AC241" s="153">
        <v>8000</v>
      </c>
      <c r="AD241" s="153">
        <f ca="1" t="shared" si="228"/>
        <v>310505</v>
      </c>
      <c r="AE241" s="153">
        <v>0</v>
      </c>
      <c r="AF241" s="153">
        <f ca="1">OFFSET(passive_type!$L$1,MATCH(B241,passive_type!B:B,0)-1,0)</f>
        <v>2</v>
      </c>
      <c r="AG241">
        <f ca="1">OFFSET(passive_type!$R$1,MATCH(B241,passive_type!B:B,0)-1,0)</f>
        <v>1300021</v>
      </c>
      <c r="AH241" s="78">
        <v>60</v>
      </c>
      <c r="AI241">
        <f ca="1">IF(Z241=0,0,VLOOKUP(F241,心法辅助配置表!Q:X,AF241+1,FALSE))</f>
        <v>1603</v>
      </c>
    </row>
    <row r="242" spans="1:35">
      <c r="A242">
        <f ca="1" t="shared" si="225"/>
        <v>310505</v>
      </c>
      <c r="B242" s="178" t="s">
        <v>1962</v>
      </c>
      <c r="C242">
        <f ca="1">OFFSET(passive_type!$A$1,MATCH(B242,passive_type!B:B,0)-1,0)</f>
        <v>3105</v>
      </c>
      <c r="D242" s="157" t="s">
        <v>2929</v>
      </c>
      <c r="E242">
        <v>11</v>
      </c>
      <c r="F242" s="158">
        <f ca="1">(OFFSET(passive_type!$E$1,MATCH(C242,passive_type!A:A,0)-1,0)*10+AA242)*100+Z242</f>
        <v>3405</v>
      </c>
      <c r="G242" s="22">
        <f ca="1">IF(Z242=0,0,VLOOKUP(F242,心法辅助配置表!$G$2:$O$91,AF242+2,FALSE))</f>
        <v>271</v>
      </c>
      <c r="J242" s="78">
        <f ca="1">G242</f>
        <v>271</v>
      </c>
      <c r="M242" s="78">
        <f ca="1" t="shared" ref="M242:O242" si="275">J242+M241</f>
        <v>451</v>
      </c>
      <c r="N242" s="78">
        <f ca="1" t="shared" si="275"/>
        <v>82</v>
      </c>
      <c r="O242" s="78">
        <f ca="1" t="shared" si="275"/>
        <v>2874</v>
      </c>
      <c r="P242" s="78" t="str">
        <f ca="1" t="shared" si="245"/>
        <v>11|451|;</v>
      </c>
      <c r="Q242" s="78" t="str">
        <f ca="1" t="shared" si="246"/>
        <v>21|82|;</v>
      </c>
      <c r="R242" s="78" t="str">
        <f ca="1" t="shared" si="247"/>
        <v>12|2874|;</v>
      </c>
      <c r="S242" s="78" t="str">
        <f ca="1" t="shared" si="271"/>
        <v>11|451|;21|82|;12|2874|;</v>
      </c>
      <c r="T242" s="165" t="str">
        <f ca="1">OFFSET(buff!$C$1,MATCH(W242,buff!A:A,0)-1,0)</f>
        <v>每使用2招，有40%概率给自身叠加2层炎息</v>
      </c>
      <c r="U242" s="166"/>
      <c r="V242" s="166">
        <v>10000</v>
      </c>
      <c r="W242">
        <f ca="1" t="shared" si="227"/>
        <v>310505</v>
      </c>
      <c r="Z242" s="153">
        <f t="shared" si="210"/>
        <v>5</v>
      </c>
      <c r="AA242" s="153">
        <f ca="1">OFFSET(passive_type!$I$1,MATCH(C242,passive_type!A:A,0)-1,0)</f>
        <v>4</v>
      </c>
      <c r="AB242" s="153">
        <v>400015</v>
      </c>
      <c r="AC242" s="153">
        <v>11200</v>
      </c>
      <c r="AD242" s="153">
        <f ca="1" t="shared" si="228"/>
        <v>310506</v>
      </c>
      <c r="AE242" s="153">
        <v>0</v>
      </c>
      <c r="AF242" s="153">
        <f ca="1">OFFSET(passive_type!$L$1,MATCH(B242,passive_type!B:B,0)-1,0)</f>
        <v>2</v>
      </c>
      <c r="AG242">
        <f ca="1">OFFSET(passive_type!$R$1,MATCH(B242,passive_type!B:B,0)-1,0)</f>
        <v>1300021</v>
      </c>
      <c r="AH242" s="78">
        <v>84</v>
      </c>
      <c r="AI242">
        <f ca="1">IF(Z242=0,0,VLOOKUP(F242,心法辅助配置表!Q:X,AF242+1,FALSE))</f>
        <v>1803</v>
      </c>
    </row>
    <row r="243" spans="1:35">
      <c r="A243">
        <f ca="1" t="shared" si="225"/>
        <v>310506</v>
      </c>
      <c r="B243" s="178" t="s">
        <v>1962</v>
      </c>
      <c r="C243">
        <f ca="1">OFFSET(passive_type!$A$1,MATCH(B243,passive_type!B:B,0)-1,0)</f>
        <v>3105</v>
      </c>
      <c r="D243" s="157" t="s">
        <v>2930</v>
      </c>
      <c r="E243">
        <v>21</v>
      </c>
      <c r="F243" s="158">
        <f ca="1">(OFFSET(passive_type!$E$1,MATCH(C243,passive_type!A:A,0)-1,0)*10+AA243)*100+Z243</f>
        <v>3406</v>
      </c>
      <c r="G243" s="22">
        <f ca="1">IF(Z243=0,0,VLOOKUP(F243,心法辅助配置表!$G$2:$O$91,AF243+2,FALSE))</f>
        <v>121</v>
      </c>
      <c r="K243" s="78">
        <f ca="1">G243</f>
        <v>121</v>
      </c>
      <c r="M243" s="78">
        <f ca="1" t="shared" ref="M243:O243" si="276">J243+M242</f>
        <v>451</v>
      </c>
      <c r="N243" s="78">
        <f ca="1" t="shared" si="276"/>
        <v>203</v>
      </c>
      <c r="O243" s="78">
        <f ca="1" t="shared" si="276"/>
        <v>2874</v>
      </c>
      <c r="P243" s="78" t="str">
        <f ca="1" t="shared" si="245"/>
        <v>11|451|;</v>
      </c>
      <c r="Q243" s="78" t="str">
        <f ca="1" t="shared" si="246"/>
        <v>21|203|;</v>
      </c>
      <c r="R243" s="78" t="str">
        <f ca="1" t="shared" si="247"/>
        <v>12|2874|;</v>
      </c>
      <c r="S243" s="78" t="str">
        <f ca="1" t="shared" si="271"/>
        <v>11|451|;21|203|;12|2874|;</v>
      </c>
      <c r="T243" s="165" t="str">
        <f ca="1">OFFSET(buff!$C$1,MATCH(W243,buff!A:A,0)-1,0)</f>
        <v>每使用2招，有42%概率给自身叠加2层炎息</v>
      </c>
      <c r="U243" s="166"/>
      <c r="V243" s="166">
        <v>10000</v>
      </c>
      <c r="W243">
        <f ca="1" t="shared" si="227"/>
        <v>310506</v>
      </c>
      <c r="Z243" s="153">
        <f t="shared" si="210"/>
        <v>6</v>
      </c>
      <c r="AA243" s="153">
        <f ca="1">OFFSET(passive_type!$I$1,MATCH(C243,passive_type!A:A,0)-1,0)</f>
        <v>4</v>
      </c>
      <c r="AB243" s="153">
        <v>400015</v>
      </c>
      <c r="AC243" s="153">
        <v>17600</v>
      </c>
      <c r="AD243" s="153">
        <f ca="1" t="shared" si="228"/>
        <v>310507</v>
      </c>
      <c r="AE243" s="153">
        <v>0</v>
      </c>
      <c r="AF243" s="153">
        <f ca="1">OFFSET(passive_type!$L$1,MATCH(B243,passive_type!B:B,0)-1,0)</f>
        <v>2</v>
      </c>
      <c r="AG243">
        <f ca="1">OFFSET(passive_type!$R$1,MATCH(B243,passive_type!B:B,0)-1,0)</f>
        <v>1300021</v>
      </c>
      <c r="AH243" s="78">
        <v>108</v>
      </c>
      <c r="AI243">
        <f ca="1">IF(Z243=0,0,VLOOKUP(F243,心法辅助配置表!Q:X,AF243+1,FALSE))</f>
        <v>2003</v>
      </c>
    </row>
    <row r="244" spans="1:35">
      <c r="A244">
        <f ca="1" t="shared" si="225"/>
        <v>310507</v>
      </c>
      <c r="B244" s="178" t="s">
        <v>1962</v>
      </c>
      <c r="C244">
        <f ca="1">OFFSET(passive_type!$A$1,MATCH(B244,passive_type!B:B,0)-1,0)</f>
        <v>3105</v>
      </c>
      <c r="D244" s="157" t="s">
        <v>2928</v>
      </c>
      <c r="E244">
        <v>12</v>
      </c>
      <c r="F244" s="158">
        <f ca="1">(OFFSET(passive_type!$E$1,MATCH(C244,passive_type!A:A,0)-1,0)*10+AA244)*100+Z244</f>
        <v>3407</v>
      </c>
      <c r="G244" s="22">
        <f ca="1">IF(Z244=0,0,VLOOKUP(F244,心法辅助配置表!$G$2:$O$91,AF244+2,FALSE))</f>
        <v>2301</v>
      </c>
      <c r="L244" s="78">
        <f ca="1" t="shared" ref="L244:L249" si="277">G244</f>
        <v>2301</v>
      </c>
      <c r="M244" s="78">
        <f ca="1" t="shared" ref="M244:O244" si="278">J244+M243</f>
        <v>451</v>
      </c>
      <c r="N244" s="78">
        <f ca="1" t="shared" si="278"/>
        <v>203</v>
      </c>
      <c r="O244" s="78">
        <f ca="1" t="shared" si="278"/>
        <v>5175</v>
      </c>
      <c r="P244" s="78" t="str">
        <f ca="1" t="shared" si="245"/>
        <v>11|451|;</v>
      </c>
      <c r="Q244" s="78" t="str">
        <f ca="1" t="shared" si="246"/>
        <v>21|203|;</v>
      </c>
      <c r="R244" s="78" t="str">
        <f ca="1" t="shared" si="247"/>
        <v>12|5175|;</v>
      </c>
      <c r="S244" s="78" t="str">
        <f ca="1" t="shared" si="271"/>
        <v>11|451|;21|203|;12|5175|;</v>
      </c>
      <c r="T244" s="165" t="str">
        <f ca="1">OFFSET(buff!$C$1,MATCH(W244,buff!A:A,0)-1,0)</f>
        <v>每使用2招，有44%概率给自身叠加2层炎息</v>
      </c>
      <c r="U244" s="166"/>
      <c r="V244" s="166">
        <v>10000</v>
      </c>
      <c r="W244">
        <f ca="1" t="shared" si="227"/>
        <v>310507</v>
      </c>
      <c r="Z244" s="153">
        <f t="shared" si="210"/>
        <v>7</v>
      </c>
      <c r="AA244" s="153">
        <f ca="1">OFFSET(passive_type!$I$1,MATCH(C244,passive_type!A:A,0)-1,0)</f>
        <v>4</v>
      </c>
      <c r="AB244" s="153">
        <v>400015</v>
      </c>
      <c r="AC244" s="153">
        <v>25600</v>
      </c>
      <c r="AD244" s="153">
        <f ca="1" t="shared" si="228"/>
        <v>310508</v>
      </c>
      <c r="AE244" s="153">
        <v>0</v>
      </c>
      <c r="AF244" s="153">
        <f ca="1">OFFSET(passive_type!$L$1,MATCH(B244,passive_type!B:B,0)-1,0)</f>
        <v>2</v>
      </c>
      <c r="AG244">
        <f ca="1">OFFSET(passive_type!$R$1,MATCH(B244,passive_type!B:B,0)-1,0)</f>
        <v>1300021</v>
      </c>
      <c r="AH244" s="78">
        <v>156</v>
      </c>
      <c r="AI244">
        <f ca="1">IF(Z244=0,0,VLOOKUP(F244,心法辅助配置表!Q:X,AF244+1,FALSE))</f>
        <v>2204</v>
      </c>
    </row>
    <row r="245" spans="1:35">
      <c r="A245">
        <f ca="1" t="shared" si="225"/>
        <v>310508</v>
      </c>
      <c r="B245" s="178" t="s">
        <v>1962</v>
      </c>
      <c r="C245">
        <f ca="1">OFFSET(passive_type!$A$1,MATCH(B245,passive_type!B:B,0)-1,0)</f>
        <v>3105</v>
      </c>
      <c r="D245" s="157" t="s">
        <v>2929</v>
      </c>
      <c r="E245">
        <v>11</v>
      </c>
      <c r="F245" s="158">
        <f ca="1">(OFFSET(passive_type!$E$1,MATCH(C245,passive_type!A:A,0)-1,0)*10+AA245)*100+Z245</f>
        <v>3408</v>
      </c>
      <c r="G245" s="22">
        <f ca="1">IF(Z245=0,0,VLOOKUP(F245,心法辅助配置表!$G$2:$O$91,AF245+2,FALSE))</f>
        <v>359</v>
      </c>
      <c r="J245" s="78">
        <f ca="1">G245</f>
        <v>359</v>
      </c>
      <c r="M245" s="78">
        <f ca="1" t="shared" ref="M245:O245" si="279">J245+M244</f>
        <v>810</v>
      </c>
      <c r="N245" s="78">
        <f ca="1" t="shared" si="279"/>
        <v>203</v>
      </c>
      <c r="O245" s="78">
        <f ca="1" t="shared" si="279"/>
        <v>5175</v>
      </c>
      <c r="P245" s="78" t="str">
        <f ca="1" t="shared" ref="P245:P280" si="280">11&amp;$I$1&amp;M245&amp;$I$1&amp;$P$1</f>
        <v>11|810|;</v>
      </c>
      <c r="Q245" s="78" t="str">
        <f ca="1" t="shared" ref="Q245:Q280" si="281">21&amp;$I$1&amp;N245&amp;$I$1&amp;$P$1</f>
        <v>21|203|;</v>
      </c>
      <c r="R245" s="78" t="str">
        <f ca="1" t="shared" ref="R245:R280" si="282">12&amp;$I$1&amp;O245&amp;$I$1&amp;$P$1</f>
        <v>12|5175|;</v>
      </c>
      <c r="S245" s="78" t="str">
        <f ca="1" t="shared" si="271"/>
        <v>11|810|;21|203|;12|5175|;</v>
      </c>
      <c r="T245" s="165" t="str">
        <f ca="1">OFFSET(buff!$C$1,MATCH(W245,buff!A:A,0)-1,0)</f>
        <v>每使用2招，有46%概率给自身叠加2层炎息</v>
      </c>
      <c r="U245" s="166"/>
      <c r="V245" s="166">
        <v>10000</v>
      </c>
      <c r="W245">
        <f ca="1" t="shared" si="227"/>
        <v>310508</v>
      </c>
      <c r="Z245" s="153">
        <f t="shared" si="210"/>
        <v>8</v>
      </c>
      <c r="AA245" s="153">
        <f ca="1">OFFSET(passive_type!$I$1,MATCH(C245,passive_type!A:A,0)-1,0)</f>
        <v>4</v>
      </c>
      <c r="AB245" s="153">
        <v>400015</v>
      </c>
      <c r="AC245" s="153">
        <v>36800</v>
      </c>
      <c r="AD245" s="153">
        <f ca="1" t="shared" si="228"/>
        <v>310509</v>
      </c>
      <c r="AE245" s="153">
        <v>0</v>
      </c>
      <c r="AF245" s="153">
        <f ca="1">OFFSET(passive_type!$L$1,MATCH(B245,passive_type!B:B,0)-1,0)</f>
        <v>2</v>
      </c>
      <c r="AG245">
        <f ca="1">OFFSET(passive_type!$R$1,MATCH(B245,passive_type!B:B,0)-1,0)</f>
        <v>1300021</v>
      </c>
      <c r="AH245" s="78">
        <v>216</v>
      </c>
      <c r="AI245">
        <f ca="1">IF(Z245=0,0,VLOOKUP(F245,心法辅助配置表!Q:X,AF245+1,FALSE))</f>
        <v>2404</v>
      </c>
    </row>
    <row r="246" spans="1:35">
      <c r="A246">
        <f ca="1" t="shared" si="225"/>
        <v>310509</v>
      </c>
      <c r="B246" s="178" t="s">
        <v>1962</v>
      </c>
      <c r="C246">
        <f ca="1">OFFSET(passive_type!$A$1,MATCH(B246,passive_type!B:B,0)-1,0)</f>
        <v>3105</v>
      </c>
      <c r="D246" s="157" t="s">
        <v>2930</v>
      </c>
      <c r="E246">
        <v>21</v>
      </c>
      <c r="F246" s="158">
        <f ca="1">(OFFSET(passive_type!$E$1,MATCH(C246,passive_type!A:A,0)-1,0)*10+AA246)*100+Z246</f>
        <v>3409</v>
      </c>
      <c r="G246" s="22">
        <f ca="1">IF(Z246=0,0,VLOOKUP(F246,心法辅助配置表!$G$2:$O$91,AF246+2,FALSE))</f>
        <v>161</v>
      </c>
      <c r="K246" s="78">
        <f ca="1">G246</f>
        <v>161</v>
      </c>
      <c r="M246" s="78">
        <f ca="1" t="shared" ref="M246:O246" si="283">J246+M245</f>
        <v>810</v>
      </c>
      <c r="N246" s="78">
        <f ca="1" t="shared" si="283"/>
        <v>364</v>
      </c>
      <c r="O246" s="78">
        <f ca="1" t="shared" si="283"/>
        <v>5175</v>
      </c>
      <c r="P246" s="78" t="str">
        <f ca="1" t="shared" si="280"/>
        <v>11|810|;</v>
      </c>
      <c r="Q246" s="78" t="str">
        <f ca="1" t="shared" si="281"/>
        <v>21|364|;</v>
      </c>
      <c r="R246" s="78" t="str">
        <f ca="1" t="shared" si="282"/>
        <v>12|5175|;</v>
      </c>
      <c r="S246" s="78" t="str">
        <f ca="1" t="shared" si="271"/>
        <v>11|810|;21|364|;12|5175|;</v>
      </c>
      <c r="T246" s="165" t="str">
        <f ca="1">OFFSET(buff!$C$1,MATCH(W246,buff!A:A,0)-1,0)</f>
        <v>每使用2招，有48%概率给自身叠加2层炎息</v>
      </c>
      <c r="U246" s="166"/>
      <c r="V246" s="166">
        <v>10000</v>
      </c>
      <c r="W246">
        <f ca="1" t="shared" si="227"/>
        <v>310509</v>
      </c>
      <c r="Z246" s="153">
        <f t="shared" si="210"/>
        <v>9</v>
      </c>
      <c r="AA246" s="153">
        <f ca="1">OFFSET(passive_type!$I$1,MATCH(C246,passive_type!A:A,0)-1,0)</f>
        <v>4</v>
      </c>
      <c r="AB246" s="153">
        <v>400015</v>
      </c>
      <c r="AC246" s="153">
        <v>54400</v>
      </c>
      <c r="AD246" s="153">
        <f ca="1" t="shared" si="228"/>
        <v>310510</v>
      </c>
      <c r="AE246" s="153">
        <v>0</v>
      </c>
      <c r="AF246" s="153">
        <f ca="1">OFFSET(passive_type!$L$1,MATCH(B246,passive_type!B:B,0)-1,0)</f>
        <v>2</v>
      </c>
      <c r="AG246">
        <f ca="1">OFFSET(passive_type!$R$1,MATCH(B246,passive_type!B:B,0)-1,0)</f>
        <v>1300021</v>
      </c>
      <c r="AH246">
        <v>300</v>
      </c>
      <c r="AI246">
        <f ca="1">IF(Z246=0,0,VLOOKUP(F246,心法辅助配置表!Q:X,AF246+1,FALSE))</f>
        <v>2604</v>
      </c>
    </row>
    <row r="247" spans="1:35">
      <c r="A247">
        <f ca="1" t="shared" si="225"/>
        <v>310510</v>
      </c>
      <c r="B247" s="178" t="s">
        <v>1962</v>
      </c>
      <c r="C247">
        <f ca="1">OFFSET(passive_type!$A$1,MATCH(B247,passive_type!B:B,0)-1,0)</f>
        <v>3105</v>
      </c>
      <c r="D247" s="157" t="s">
        <v>2928</v>
      </c>
      <c r="E247">
        <v>12</v>
      </c>
      <c r="F247" s="158">
        <f ca="1">(OFFSET(passive_type!$E$1,MATCH(C247,passive_type!A:A,0)-1,0)*10+AA247)*100+Z247</f>
        <v>3410</v>
      </c>
      <c r="G247" s="22">
        <f ca="1">IF(Z247=0,0,VLOOKUP(F247,心法辅助配置表!$G$2:$O$91,AF247+2,FALSE))</f>
        <v>2875</v>
      </c>
      <c r="L247" s="78">
        <f ca="1" t="shared" si="277"/>
        <v>2875</v>
      </c>
      <c r="M247" s="78">
        <f ca="1" t="shared" ref="M247:O247" si="284">J247+M246</f>
        <v>810</v>
      </c>
      <c r="N247" s="78">
        <f ca="1" t="shared" si="284"/>
        <v>364</v>
      </c>
      <c r="O247" s="78">
        <f ca="1" t="shared" si="284"/>
        <v>8050</v>
      </c>
      <c r="P247" s="78" t="str">
        <f ca="1" t="shared" si="280"/>
        <v>11|810|;</v>
      </c>
      <c r="Q247" s="78" t="str">
        <f ca="1" t="shared" si="281"/>
        <v>21|364|;</v>
      </c>
      <c r="R247" s="78" t="str">
        <f ca="1" t="shared" si="282"/>
        <v>12|8050|;</v>
      </c>
      <c r="S247" s="78" t="str">
        <f ca="1" t="shared" si="271"/>
        <v>11|810|;21|364|;12|8050|;</v>
      </c>
      <c r="T247" s="165" t="str">
        <f ca="1">OFFSET(buff!$C$1,MATCH(W247,buff!A:A,0)-1,0)</f>
        <v>每使用2招，有50%概率给自身叠加3层炎息</v>
      </c>
      <c r="U247" s="166"/>
      <c r="V247" s="166">
        <v>10000</v>
      </c>
      <c r="W247">
        <f ca="1" t="shared" si="227"/>
        <v>310510</v>
      </c>
      <c r="Z247" s="153">
        <f t="shared" ref="Z247:Z280" si="285">IF(B247=B246,Z246+1,0)</f>
        <v>10</v>
      </c>
      <c r="AA247" s="153">
        <f ca="1">OFFSET(passive_type!$I$1,MATCH(C247,passive_type!A:A,0)-1,0)</f>
        <v>4</v>
      </c>
      <c r="AB247" s="153">
        <v>400015</v>
      </c>
      <c r="AC247" s="153">
        <f ca="1">IF(AD247=0,0,100)</f>
        <v>0</v>
      </c>
      <c r="AD247" s="153">
        <f ca="1" t="shared" si="228"/>
        <v>0</v>
      </c>
      <c r="AE247" s="153">
        <v>0</v>
      </c>
      <c r="AF247" s="153">
        <f ca="1">OFFSET(passive_type!$L$1,MATCH(B247,passive_type!B:B,0)-1,0)</f>
        <v>2</v>
      </c>
      <c r="AG247">
        <f ca="1">OFFSET(passive_type!$R$1,MATCH(B247,passive_type!B:B,0)-1,0)</f>
        <v>1300021</v>
      </c>
      <c r="AH247">
        <f ca="1">IF(AD247=0,0,20)</f>
        <v>0</v>
      </c>
      <c r="AI247">
        <f ca="1">IF(Z247=0,0,VLOOKUP(F247,心法辅助配置表!Q:X,AF247+1,FALSE))</f>
        <v>2804</v>
      </c>
    </row>
    <row r="248" spans="1:35">
      <c r="A248">
        <f ca="1" t="shared" si="225"/>
        <v>320100</v>
      </c>
      <c r="B248" s="160" t="s">
        <v>2876</v>
      </c>
      <c r="C248">
        <f ca="1">OFFSET(passive_type!$A$1,MATCH(B248,passive_type!B:B,0)-1,0)</f>
        <v>3201</v>
      </c>
      <c r="D248" s="157"/>
      <c r="F248" s="158">
        <f ca="1">(OFFSET(passive_type!$E$1,MATCH(C248,passive_type!A:A,0)-1,0)*10+AA248)*100+Z248</f>
        <v>3400</v>
      </c>
      <c r="G248" s="22">
        <f ca="1">IF(Z248=0,0,VLOOKUP(F248,心法辅助配置表!$G$2:$O$91,AF248+2,FALSE))</f>
        <v>0</v>
      </c>
      <c r="P248" s="78" t="str">
        <f t="shared" si="280"/>
        <v>11||;</v>
      </c>
      <c r="Q248" s="78" t="str">
        <f t="shared" si="281"/>
        <v>21||;</v>
      </c>
      <c r="R248" s="78" t="str">
        <f t="shared" si="282"/>
        <v>12||;</v>
      </c>
      <c r="S248" s="78"/>
      <c r="T248" s="165" t="str">
        <f ca="1">OFFSET(buff!$C$1,MATCH(W248,buff!A:A,0)-1,0)</f>
        <v>敌我双方每损失40%血量,产生1个能造成真实伤害的灵魂</v>
      </c>
      <c r="U248" s="166"/>
      <c r="V248" s="166">
        <v>10000</v>
      </c>
      <c r="W248">
        <f ca="1" t="shared" si="227"/>
        <v>320100</v>
      </c>
      <c r="Z248" s="153">
        <f t="shared" si="285"/>
        <v>0</v>
      </c>
      <c r="AA248" s="153">
        <f ca="1">OFFSET(passive_type!$I$1,MATCH(C248,passive_type!A:A,0)-1,0)</f>
        <v>4</v>
      </c>
      <c r="AB248" s="153">
        <v>400015</v>
      </c>
      <c r="AC248" s="153">
        <v>1600</v>
      </c>
      <c r="AD248" s="153">
        <f ca="1" t="shared" si="228"/>
        <v>320101</v>
      </c>
      <c r="AE248" s="153">
        <v>0</v>
      </c>
      <c r="AF248" s="153">
        <f ca="1">OFFSET(passive_type!$L$1,MATCH(B248,passive_type!B:B,0)-1,0)</f>
        <v>1</v>
      </c>
      <c r="AG248">
        <f ca="1">OFFSET(passive_type!$R$1,MATCH(B248,passive_type!B:B,0)-1,0)</f>
        <v>1300022</v>
      </c>
      <c r="AH248" s="78">
        <v>6</v>
      </c>
      <c r="AI248">
        <f ca="1">IF(Z248=0,0,VLOOKUP(F248,心法辅助配置表!Q:X,AF248+1,FALSE))</f>
        <v>0</v>
      </c>
    </row>
    <row r="249" spans="1:35">
      <c r="A249">
        <f ca="1" t="shared" si="225"/>
        <v>320101</v>
      </c>
      <c r="B249" s="160" t="s">
        <v>2876</v>
      </c>
      <c r="C249">
        <f ca="1">OFFSET(passive_type!$A$1,MATCH(B249,passive_type!B:B,0)-1,0)</f>
        <v>3201</v>
      </c>
      <c r="D249" s="157" t="s">
        <v>2928</v>
      </c>
      <c r="E249">
        <v>12</v>
      </c>
      <c r="F249" s="158">
        <f ca="1">(OFFSET(passive_type!$E$1,MATCH(C249,passive_type!A:A,0)-1,0)*10+AA249)*100+Z249</f>
        <v>3401</v>
      </c>
      <c r="G249" s="22">
        <f ca="1">IF(Z249=0,0,VLOOKUP(F249,心法辅助配置表!$G$2:$O$91,AF249+2,FALSE))</f>
        <v>488</v>
      </c>
      <c r="L249" s="78">
        <f ca="1" t="shared" si="277"/>
        <v>488</v>
      </c>
      <c r="M249" s="78">
        <f>J249</f>
        <v>0</v>
      </c>
      <c r="N249" s="78">
        <f>K249</f>
        <v>0</v>
      </c>
      <c r="O249" s="78">
        <f ca="1">G249</f>
        <v>488</v>
      </c>
      <c r="P249" s="78" t="str">
        <f t="shared" si="280"/>
        <v>11|0|;</v>
      </c>
      <c r="Q249" s="78" t="str">
        <f t="shared" si="281"/>
        <v>21|0|;</v>
      </c>
      <c r="R249" s="78" t="str">
        <f ca="1" t="shared" si="282"/>
        <v>12|488|;</v>
      </c>
      <c r="S249" s="78" t="str">
        <f ca="1" t="shared" ref="S249:S258" si="286">P249&amp;Q249&amp;R249</f>
        <v>11|0|;21|0|;12|488|;</v>
      </c>
      <c r="T249" s="165" t="str">
        <f ca="1">OFFSET(buff!$C$1,MATCH(W249,buff!A:A,0)-1,0)</f>
        <v>敌我双方每损失37%血量,产生1个能造成真实伤害的灵魂</v>
      </c>
      <c r="U249" s="166"/>
      <c r="V249" s="166">
        <v>10000</v>
      </c>
      <c r="W249">
        <f ca="1" t="shared" si="227"/>
        <v>320101</v>
      </c>
      <c r="Z249" s="153">
        <f t="shared" si="285"/>
        <v>1</v>
      </c>
      <c r="AA249" s="153">
        <f ca="1">OFFSET(passive_type!$I$1,MATCH(C249,passive_type!A:A,0)-1,0)</f>
        <v>4</v>
      </c>
      <c r="AB249" s="153">
        <v>400015</v>
      </c>
      <c r="AC249" s="153">
        <v>3200</v>
      </c>
      <c r="AD249" s="153">
        <f ca="1" t="shared" si="228"/>
        <v>320102</v>
      </c>
      <c r="AE249" s="153">
        <v>0</v>
      </c>
      <c r="AF249" s="153">
        <f ca="1">OFFSET(passive_type!$L$1,MATCH(B249,passive_type!B:B,0)-1,0)</f>
        <v>1</v>
      </c>
      <c r="AG249">
        <f ca="1">OFFSET(passive_type!$R$1,MATCH(B249,passive_type!B:B,0)-1,0)</f>
        <v>1300022</v>
      </c>
      <c r="AH249" s="78">
        <v>12</v>
      </c>
      <c r="AI249">
        <f ca="1">IF(Z249=0,0,VLOOKUP(F249,心法辅助配置表!Q:X,AF249+1,FALSE))</f>
        <v>431</v>
      </c>
    </row>
    <row r="250" spans="1:35">
      <c r="A250">
        <f ca="1" t="shared" si="225"/>
        <v>320102</v>
      </c>
      <c r="B250" s="160" t="s">
        <v>2876</v>
      </c>
      <c r="C250">
        <f ca="1">OFFSET(passive_type!$A$1,MATCH(B250,passive_type!B:B,0)-1,0)</f>
        <v>3201</v>
      </c>
      <c r="D250" s="157" t="s">
        <v>2929</v>
      </c>
      <c r="E250">
        <v>11</v>
      </c>
      <c r="F250" s="158">
        <f ca="1">(OFFSET(passive_type!$E$1,MATCH(C250,passive_type!A:A,0)-1,0)*10+AA250)*100+Z250</f>
        <v>3402</v>
      </c>
      <c r="G250" s="22">
        <f ca="1">IF(Z250=0,0,VLOOKUP(F250,心法辅助配置表!$G$2:$O$91,AF250+2,FALSE))</f>
        <v>79</v>
      </c>
      <c r="J250" s="78">
        <f ca="1">G250</f>
        <v>79</v>
      </c>
      <c r="M250" s="78">
        <f ca="1" t="shared" ref="M250:O250" si="287">J250+M249</f>
        <v>79</v>
      </c>
      <c r="N250" s="78">
        <f t="shared" si="287"/>
        <v>0</v>
      </c>
      <c r="O250" s="78">
        <f ca="1" t="shared" si="287"/>
        <v>488</v>
      </c>
      <c r="P250" s="78" t="str">
        <f ca="1" t="shared" si="280"/>
        <v>11|79|;</v>
      </c>
      <c r="Q250" s="78" t="str">
        <f t="shared" si="281"/>
        <v>21|0|;</v>
      </c>
      <c r="R250" s="78" t="str">
        <f ca="1" t="shared" si="282"/>
        <v>12|488|;</v>
      </c>
      <c r="S250" s="78" t="str">
        <f ca="1" t="shared" si="286"/>
        <v>11|79|;21|0|;12|488|;</v>
      </c>
      <c r="T250" s="165" t="str">
        <f ca="1">OFFSET(buff!$C$1,MATCH(W250,buff!A:A,0)-1,0)</f>
        <v>敌我双方每损失34%血量,产生1个能造成真实伤害的灵魂</v>
      </c>
      <c r="U250" s="166"/>
      <c r="V250" s="166">
        <v>10000</v>
      </c>
      <c r="W250">
        <f ca="1" t="shared" si="227"/>
        <v>320102</v>
      </c>
      <c r="Z250" s="153">
        <f t="shared" si="285"/>
        <v>2</v>
      </c>
      <c r="AA250" s="153">
        <f ca="1">OFFSET(passive_type!$I$1,MATCH(C250,passive_type!A:A,0)-1,0)</f>
        <v>4</v>
      </c>
      <c r="AB250" s="153">
        <v>400015</v>
      </c>
      <c r="AC250" s="153">
        <v>6400</v>
      </c>
      <c r="AD250" s="153">
        <f ca="1" t="shared" si="228"/>
        <v>320103</v>
      </c>
      <c r="AE250" s="153">
        <v>0</v>
      </c>
      <c r="AF250" s="153">
        <f ca="1">OFFSET(passive_type!$L$1,MATCH(B250,passive_type!B:B,0)-1,0)</f>
        <v>1</v>
      </c>
      <c r="AG250">
        <f ca="1">OFFSET(passive_type!$R$1,MATCH(B250,passive_type!B:B,0)-1,0)</f>
        <v>1300022</v>
      </c>
      <c r="AH250" s="78">
        <v>24</v>
      </c>
      <c r="AI250">
        <f ca="1">IF(Z250=0,0,VLOOKUP(F250,心法辅助配置表!Q:X,AF250+1,FALSE))</f>
        <v>517</v>
      </c>
    </row>
    <row r="251" spans="1:35">
      <c r="A251">
        <f ca="1" t="shared" si="225"/>
        <v>320103</v>
      </c>
      <c r="B251" s="160" t="s">
        <v>2876</v>
      </c>
      <c r="C251">
        <f ca="1">OFFSET(passive_type!$A$1,MATCH(B251,passive_type!B:B,0)-1,0)</f>
        <v>3201</v>
      </c>
      <c r="D251" s="157" t="s">
        <v>2930</v>
      </c>
      <c r="E251">
        <v>21</v>
      </c>
      <c r="F251" s="158">
        <f ca="1">(OFFSET(passive_type!$E$1,MATCH(C251,passive_type!A:A,0)-1,0)*10+AA251)*100+Z251</f>
        <v>3403</v>
      </c>
      <c r="G251" s="22">
        <f ca="1">IF(Z251=0,0,VLOOKUP(F251,心法辅助配置表!$G$2:$O$91,AF251+2,FALSE))</f>
        <v>35</v>
      </c>
      <c r="K251" s="78">
        <f ca="1">G251</f>
        <v>35</v>
      </c>
      <c r="M251" s="78">
        <f ca="1" t="shared" ref="M251:O251" si="288">J251+M250</f>
        <v>79</v>
      </c>
      <c r="N251" s="78">
        <f ca="1" t="shared" si="288"/>
        <v>35</v>
      </c>
      <c r="O251" s="78">
        <f ca="1" t="shared" si="288"/>
        <v>488</v>
      </c>
      <c r="P251" s="78" t="str">
        <f ca="1" t="shared" si="280"/>
        <v>11|79|;</v>
      </c>
      <c r="Q251" s="78" t="str">
        <f ca="1" t="shared" si="281"/>
        <v>21|35|;</v>
      </c>
      <c r="R251" s="78" t="str">
        <f ca="1" t="shared" si="282"/>
        <v>12|488|;</v>
      </c>
      <c r="S251" s="78" t="str">
        <f ca="1" t="shared" si="286"/>
        <v>11|79|;21|35|;12|488|;</v>
      </c>
      <c r="T251" s="165" t="str">
        <f ca="1">OFFSET(buff!$C$1,MATCH(W251,buff!A:A,0)-1,0)</f>
        <v>敌我双方每损失31%血量,产生1个能造成真实伤害的灵魂</v>
      </c>
      <c r="U251" s="166"/>
      <c r="V251" s="166">
        <v>10000</v>
      </c>
      <c r="W251">
        <f ca="1" t="shared" si="227"/>
        <v>320103</v>
      </c>
      <c r="Z251" s="153">
        <f t="shared" si="285"/>
        <v>3</v>
      </c>
      <c r="AA251" s="153">
        <f ca="1">OFFSET(passive_type!$I$1,MATCH(C251,passive_type!A:A,0)-1,0)</f>
        <v>4</v>
      </c>
      <c r="AB251" s="153">
        <v>400015</v>
      </c>
      <c r="AC251" s="153">
        <v>12800</v>
      </c>
      <c r="AD251" s="153">
        <f ca="1" t="shared" si="228"/>
        <v>320104</v>
      </c>
      <c r="AE251" s="153">
        <v>0</v>
      </c>
      <c r="AF251" s="153">
        <f ca="1">OFFSET(passive_type!$L$1,MATCH(B251,passive_type!B:B,0)-1,0)</f>
        <v>1</v>
      </c>
      <c r="AG251">
        <f ca="1">OFFSET(passive_type!$R$1,MATCH(B251,passive_type!B:B,0)-1,0)</f>
        <v>1300022</v>
      </c>
      <c r="AH251" s="78">
        <v>48</v>
      </c>
      <c r="AI251">
        <f ca="1">IF(Z251=0,0,VLOOKUP(F251,心法辅助配置表!Q:X,AF251+1,FALSE))</f>
        <v>603</v>
      </c>
    </row>
    <row r="252" spans="1:35">
      <c r="A252">
        <f ca="1" t="shared" si="225"/>
        <v>320104</v>
      </c>
      <c r="B252" s="160" t="s">
        <v>2876</v>
      </c>
      <c r="C252">
        <f ca="1">OFFSET(passive_type!$A$1,MATCH(B252,passive_type!B:B,0)-1,0)</f>
        <v>3201</v>
      </c>
      <c r="D252" s="157" t="s">
        <v>2928</v>
      </c>
      <c r="E252">
        <v>12</v>
      </c>
      <c r="F252" s="158">
        <f ca="1">(OFFSET(passive_type!$E$1,MATCH(C252,passive_type!A:A,0)-1,0)*10+AA252)*100+Z252</f>
        <v>3404</v>
      </c>
      <c r="G252" s="22">
        <f ca="1">IF(Z252=0,0,VLOOKUP(F252,心法辅助配置表!$G$2:$O$91,AF252+2,FALSE))</f>
        <v>730</v>
      </c>
      <c r="L252" s="78">
        <f ca="1">G252</f>
        <v>730</v>
      </c>
      <c r="M252" s="78">
        <f ca="1" t="shared" ref="M252:O252" si="289">J252+M251</f>
        <v>79</v>
      </c>
      <c r="N252" s="78">
        <f ca="1" t="shared" si="289"/>
        <v>35</v>
      </c>
      <c r="O252" s="78">
        <f ca="1" t="shared" si="289"/>
        <v>1218</v>
      </c>
      <c r="P252" s="78" t="str">
        <f ca="1" t="shared" si="280"/>
        <v>11|79|;</v>
      </c>
      <c r="Q252" s="78" t="str">
        <f ca="1" t="shared" si="281"/>
        <v>21|35|;</v>
      </c>
      <c r="R252" s="78" t="str">
        <f ca="1" t="shared" si="282"/>
        <v>12|1218|;</v>
      </c>
      <c r="S252" s="78" t="str">
        <f ca="1" t="shared" si="286"/>
        <v>11|79|;21|35|;12|1218|;</v>
      </c>
      <c r="T252" s="165" t="str">
        <f ca="1">OFFSET(buff!$C$1,MATCH(W252,buff!A:A,0)-1,0)</f>
        <v>敌我双方每损失28%血量,产生1个能造成真实伤害的灵魂</v>
      </c>
      <c r="U252" s="166"/>
      <c r="V252" s="166">
        <v>10000</v>
      </c>
      <c r="W252">
        <f ca="1" t="shared" si="227"/>
        <v>320104</v>
      </c>
      <c r="Z252" s="153">
        <f t="shared" si="285"/>
        <v>4</v>
      </c>
      <c r="AA252" s="153">
        <f ca="1">OFFSET(passive_type!$I$1,MATCH(C252,passive_type!A:A,0)-1,0)</f>
        <v>4</v>
      </c>
      <c r="AB252" s="153">
        <v>400015</v>
      </c>
      <c r="AC252" s="153">
        <v>16000</v>
      </c>
      <c r="AD252" s="153">
        <f ca="1" t="shared" si="228"/>
        <v>320105</v>
      </c>
      <c r="AE252" s="153">
        <v>0</v>
      </c>
      <c r="AF252" s="153">
        <f ca="1">OFFSET(passive_type!$L$1,MATCH(B252,passive_type!B:B,0)-1,0)</f>
        <v>1</v>
      </c>
      <c r="AG252">
        <f ca="1">OFFSET(passive_type!$R$1,MATCH(B252,passive_type!B:B,0)-1,0)</f>
        <v>1300022</v>
      </c>
      <c r="AH252" s="78">
        <v>60</v>
      </c>
      <c r="AI252">
        <f ca="1">IF(Z252=0,0,VLOOKUP(F252,心法辅助配置表!Q:X,AF252+1,FALSE))</f>
        <v>690</v>
      </c>
    </row>
    <row r="253" spans="1:35">
      <c r="A253">
        <f ca="1" t="shared" si="225"/>
        <v>320105</v>
      </c>
      <c r="B253" s="160" t="s">
        <v>2876</v>
      </c>
      <c r="C253">
        <f ca="1">OFFSET(passive_type!$A$1,MATCH(B253,passive_type!B:B,0)-1,0)</f>
        <v>3201</v>
      </c>
      <c r="D253" s="157" t="s">
        <v>2929</v>
      </c>
      <c r="E253">
        <v>11</v>
      </c>
      <c r="F253" s="158">
        <f ca="1">(OFFSET(passive_type!$E$1,MATCH(C253,passive_type!A:A,0)-1,0)*10+AA253)*100+Z253</f>
        <v>3405</v>
      </c>
      <c r="G253" s="22">
        <f ca="1">IF(Z253=0,0,VLOOKUP(F253,心法辅助配置表!$G$2:$O$91,AF253+2,FALSE))</f>
        <v>119</v>
      </c>
      <c r="J253" s="78">
        <f ca="1">G253</f>
        <v>119</v>
      </c>
      <c r="M253" s="78">
        <f ca="1" t="shared" ref="M253:O253" si="290">J253+M252</f>
        <v>198</v>
      </c>
      <c r="N253" s="78">
        <f ca="1" t="shared" si="290"/>
        <v>35</v>
      </c>
      <c r="O253" s="78">
        <f ca="1" t="shared" si="290"/>
        <v>1218</v>
      </c>
      <c r="P253" s="78" t="str">
        <f ca="1" t="shared" si="280"/>
        <v>11|198|;</v>
      </c>
      <c r="Q253" s="78" t="str">
        <f ca="1" t="shared" si="281"/>
        <v>21|35|;</v>
      </c>
      <c r="R253" s="78" t="str">
        <f ca="1" t="shared" si="282"/>
        <v>12|1218|;</v>
      </c>
      <c r="S253" s="78" t="str">
        <f ca="1" t="shared" si="286"/>
        <v>11|198|;21|35|;12|1218|;</v>
      </c>
      <c r="T253" s="165" t="str">
        <f ca="1">OFFSET(buff!$C$1,MATCH(W253,buff!A:A,0)-1,0)</f>
        <v>敌我双方每损失25%血量,产生1个能造成真实伤害的灵魂</v>
      </c>
      <c r="U253" s="166"/>
      <c r="V253" s="166">
        <v>10000</v>
      </c>
      <c r="W253">
        <f ca="1" t="shared" si="227"/>
        <v>320105</v>
      </c>
      <c r="Z253" s="153">
        <f t="shared" si="285"/>
        <v>5</v>
      </c>
      <c r="AA253" s="153">
        <f ca="1">OFFSET(passive_type!$I$1,MATCH(C253,passive_type!A:A,0)-1,0)</f>
        <v>4</v>
      </c>
      <c r="AB253" s="153">
        <v>400015</v>
      </c>
      <c r="AC253" s="153">
        <v>22400</v>
      </c>
      <c r="AD253" s="153">
        <f ca="1" t="shared" si="228"/>
        <v>320106</v>
      </c>
      <c r="AE253" s="153">
        <v>0</v>
      </c>
      <c r="AF253" s="153">
        <f ca="1">OFFSET(passive_type!$L$1,MATCH(B253,passive_type!B:B,0)-1,0)</f>
        <v>1</v>
      </c>
      <c r="AG253">
        <f ca="1">OFFSET(passive_type!$R$1,MATCH(B253,passive_type!B:B,0)-1,0)</f>
        <v>1300022</v>
      </c>
      <c r="AH253" s="78">
        <v>84</v>
      </c>
      <c r="AI253">
        <f ca="1">IF(Z253=0,0,VLOOKUP(F253,心法辅助配置表!Q:X,AF253+1,FALSE))</f>
        <v>776</v>
      </c>
    </row>
    <row r="254" spans="1:35">
      <c r="A254">
        <f ca="1" t="shared" si="225"/>
        <v>320106</v>
      </c>
      <c r="B254" s="160" t="s">
        <v>2876</v>
      </c>
      <c r="C254">
        <f ca="1">OFFSET(passive_type!$A$1,MATCH(B254,passive_type!B:B,0)-1,0)</f>
        <v>3201</v>
      </c>
      <c r="D254" s="157" t="s">
        <v>2930</v>
      </c>
      <c r="E254">
        <v>21</v>
      </c>
      <c r="F254" s="158">
        <f ca="1">(OFFSET(passive_type!$E$1,MATCH(C254,passive_type!A:A,0)-1,0)*10+AA254)*100+Z254</f>
        <v>3406</v>
      </c>
      <c r="G254" s="22">
        <f ca="1">IF(Z254=0,0,VLOOKUP(F254,心法辅助配置表!$G$2:$O$91,AF254+2,FALSE))</f>
        <v>54</v>
      </c>
      <c r="K254" s="78">
        <f ca="1">G254</f>
        <v>54</v>
      </c>
      <c r="M254" s="78">
        <f ca="1" t="shared" ref="M254:O254" si="291">J254+M253</f>
        <v>198</v>
      </c>
      <c r="N254" s="78">
        <f ca="1" t="shared" si="291"/>
        <v>89</v>
      </c>
      <c r="O254" s="78">
        <f ca="1" t="shared" si="291"/>
        <v>1218</v>
      </c>
      <c r="P254" s="78" t="str">
        <f ca="1" t="shared" si="280"/>
        <v>11|198|;</v>
      </c>
      <c r="Q254" s="78" t="str">
        <f ca="1" t="shared" si="281"/>
        <v>21|89|;</v>
      </c>
      <c r="R254" s="78" t="str">
        <f ca="1" t="shared" si="282"/>
        <v>12|1218|;</v>
      </c>
      <c r="S254" s="78" t="str">
        <f ca="1" t="shared" si="286"/>
        <v>11|198|;21|89|;12|1218|;</v>
      </c>
      <c r="T254" s="165" t="str">
        <f ca="1">OFFSET(buff!$C$1,MATCH(W254,buff!A:A,0)-1,0)</f>
        <v>敌我双方每损失22%血量,产生1个能造成真实伤害的灵魂</v>
      </c>
      <c r="U254" s="166"/>
      <c r="V254" s="166">
        <v>10000</v>
      </c>
      <c r="W254">
        <f ca="1" t="shared" si="227"/>
        <v>320106</v>
      </c>
      <c r="Z254" s="153">
        <f t="shared" si="285"/>
        <v>6</v>
      </c>
      <c r="AA254" s="153">
        <f ca="1">OFFSET(passive_type!$I$1,MATCH(C254,passive_type!A:A,0)-1,0)</f>
        <v>4</v>
      </c>
      <c r="AB254" s="153">
        <v>400015</v>
      </c>
      <c r="AC254" s="153">
        <v>35200</v>
      </c>
      <c r="AD254" s="153">
        <f ca="1" t="shared" si="228"/>
        <v>320107</v>
      </c>
      <c r="AE254" s="153">
        <v>0</v>
      </c>
      <c r="AF254" s="153">
        <f ca="1">OFFSET(passive_type!$L$1,MATCH(B254,passive_type!B:B,0)-1,0)</f>
        <v>1</v>
      </c>
      <c r="AG254">
        <f ca="1">OFFSET(passive_type!$R$1,MATCH(B254,passive_type!B:B,0)-1,0)</f>
        <v>1300022</v>
      </c>
      <c r="AH254" s="78">
        <v>108</v>
      </c>
      <c r="AI254">
        <f ca="1">IF(Z254=0,0,VLOOKUP(F254,心法辅助配置表!Q:X,AF254+1,FALSE))</f>
        <v>862</v>
      </c>
    </row>
    <row r="255" spans="1:35">
      <c r="A255">
        <f ca="1" t="shared" si="225"/>
        <v>320107</v>
      </c>
      <c r="B255" s="160" t="s">
        <v>2876</v>
      </c>
      <c r="C255">
        <f ca="1">OFFSET(passive_type!$A$1,MATCH(B255,passive_type!B:B,0)-1,0)</f>
        <v>3201</v>
      </c>
      <c r="D255" s="157" t="s">
        <v>2928</v>
      </c>
      <c r="E255">
        <v>12</v>
      </c>
      <c r="F255" s="158">
        <f ca="1">(OFFSET(passive_type!$E$1,MATCH(C255,passive_type!A:A,0)-1,0)*10+AA255)*100+Z255</f>
        <v>3407</v>
      </c>
      <c r="G255" s="22">
        <f ca="1">IF(Z255=0,0,VLOOKUP(F255,心法辅助配置表!$G$2:$O$91,AF255+2,FALSE))</f>
        <v>975</v>
      </c>
      <c r="L255" s="78">
        <f ca="1" t="shared" ref="L255:L260" si="292">G255</f>
        <v>975</v>
      </c>
      <c r="M255" s="78">
        <f ca="1" t="shared" ref="M255:O255" si="293">J255+M254</f>
        <v>198</v>
      </c>
      <c r="N255" s="78">
        <f ca="1" t="shared" si="293"/>
        <v>89</v>
      </c>
      <c r="O255" s="78">
        <f ca="1" t="shared" si="293"/>
        <v>2193</v>
      </c>
      <c r="P255" s="78" t="str">
        <f ca="1" t="shared" si="280"/>
        <v>11|198|;</v>
      </c>
      <c r="Q255" s="78" t="str">
        <f ca="1" t="shared" si="281"/>
        <v>21|89|;</v>
      </c>
      <c r="R255" s="78" t="str">
        <f ca="1" t="shared" si="282"/>
        <v>12|2193|;</v>
      </c>
      <c r="S255" s="78" t="str">
        <f ca="1" t="shared" si="286"/>
        <v>11|198|;21|89|;12|2193|;</v>
      </c>
      <c r="T255" s="165" t="str">
        <f ca="1">OFFSET(buff!$C$1,MATCH(W255,buff!A:A,0)-1,0)</f>
        <v>敌我双方每损失19%血量,产生1个能造成真实伤害的灵魂</v>
      </c>
      <c r="U255" s="166"/>
      <c r="V255" s="166">
        <v>10000</v>
      </c>
      <c r="W255">
        <f ca="1" t="shared" si="227"/>
        <v>320107</v>
      </c>
      <c r="Z255" s="153">
        <f t="shared" si="285"/>
        <v>7</v>
      </c>
      <c r="AA255" s="153">
        <f ca="1">OFFSET(passive_type!$I$1,MATCH(C255,passive_type!A:A,0)-1,0)</f>
        <v>4</v>
      </c>
      <c r="AB255" s="153">
        <v>400015</v>
      </c>
      <c r="AC255" s="153">
        <v>51200</v>
      </c>
      <c r="AD255" s="153">
        <f ca="1" t="shared" si="228"/>
        <v>320108</v>
      </c>
      <c r="AE255" s="153">
        <v>0</v>
      </c>
      <c r="AF255" s="153">
        <f ca="1">OFFSET(passive_type!$L$1,MATCH(B255,passive_type!B:B,0)-1,0)</f>
        <v>1</v>
      </c>
      <c r="AG255">
        <f ca="1">OFFSET(passive_type!$R$1,MATCH(B255,passive_type!B:B,0)-1,0)</f>
        <v>1300022</v>
      </c>
      <c r="AH255" s="78">
        <v>156</v>
      </c>
      <c r="AI255">
        <f ca="1">IF(Z255=0,0,VLOOKUP(F255,心法辅助配置表!Q:X,AF255+1,FALSE))</f>
        <v>948</v>
      </c>
    </row>
    <row r="256" spans="1:35">
      <c r="A256">
        <f ca="1" t="shared" si="225"/>
        <v>320108</v>
      </c>
      <c r="B256" s="160" t="s">
        <v>2876</v>
      </c>
      <c r="C256">
        <f ca="1">OFFSET(passive_type!$A$1,MATCH(B256,passive_type!B:B,0)-1,0)</f>
        <v>3201</v>
      </c>
      <c r="D256" s="157" t="s">
        <v>2929</v>
      </c>
      <c r="E256">
        <v>11</v>
      </c>
      <c r="F256" s="158">
        <f ca="1">(OFFSET(passive_type!$E$1,MATCH(C256,passive_type!A:A,0)-1,0)*10+AA256)*100+Z256</f>
        <v>3408</v>
      </c>
      <c r="G256" s="22">
        <f ca="1">IF(Z256=0,0,VLOOKUP(F256,心法辅助配置表!$G$2:$O$91,AF256+2,FALSE))</f>
        <v>159</v>
      </c>
      <c r="J256" s="78">
        <f ca="1">G256</f>
        <v>159</v>
      </c>
      <c r="M256" s="78">
        <f ca="1" t="shared" ref="M256:O256" si="294">J256+M255</f>
        <v>357</v>
      </c>
      <c r="N256" s="78">
        <f ca="1" t="shared" si="294"/>
        <v>89</v>
      </c>
      <c r="O256" s="78">
        <f ca="1" t="shared" si="294"/>
        <v>2193</v>
      </c>
      <c r="P256" s="78" t="str">
        <f ca="1" t="shared" si="280"/>
        <v>11|357|;</v>
      </c>
      <c r="Q256" s="78" t="str">
        <f ca="1" t="shared" si="281"/>
        <v>21|89|;</v>
      </c>
      <c r="R256" s="78" t="str">
        <f ca="1" t="shared" si="282"/>
        <v>12|2193|;</v>
      </c>
      <c r="S256" s="78" t="str">
        <f ca="1" t="shared" si="286"/>
        <v>11|357|;21|89|;12|2193|;</v>
      </c>
      <c r="T256" s="165" t="str">
        <f ca="1">OFFSET(buff!$C$1,MATCH(W256,buff!A:A,0)-1,0)</f>
        <v>敌我双方每损失16%血量,产生1个能造成真实伤害的灵魂</v>
      </c>
      <c r="U256" s="166"/>
      <c r="V256" s="166">
        <v>10000</v>
      </c>
      <c r="W256">
        <f ca="1" t="shared" si="227"/>
        <v>320108</v>
      </c>
      <c r="Z256" s="153">
        <f t="shared" si="285"/>
        <v>8</v>
      </c>
      <c r="AA256" s="153">
        <f ca="1">OFFSET(passive_type!$I$1,MATCH(C256,passive_type!A:A,0)-1,0)</f>
        <v>4</v>
      </c>
      <c r="AB256" s="153">
        <v>400015</v>
      </c>
      <c r="AC256" s="153">
        <v>73600</v>
      </c>
      <c r="AD256" s="153">
        <f ca="1" t="shared" si="228"/>
        <v>320109</v>
      </c>
      <c r="AE256" s="153">
        <v>0</v>
      </c>
      <c r="AF256" s="153">
        <f ca="1">OFFSET(passive_type!$L$1,MATCH(B256,passive_type!B:B,0)-1,0)</f>
        <v>1</v>
      </c>
      <c r="AG256">
        <f ca="1">OFFSET(passive_type!$R$1,MATCH(B256,passive_type!B:B,0)-1,0)</f>
        <v>1300022</v>
      </c>
      <c r="AH256" s="78">
        <v>216</v>
      </c>
      <c r="AI256">
        <f ca="1">IF(Z256=0,0,VLOOKUP(F256,心法辅助配置表!Q:X,AF256+1,FALSE))</f>
        <v>1035</v>
      </c>
    </row>
    <row r="257" spans="1:35">
      <c r="A257">
        <f ca="1" t="shared" si="225"/>
        <v>320109</v>
      </c>
      <c r="B257" s="160" t="s">
        <v>2876</v>
      </c>
      <c r="C257">
        <f ca="1">OFFSET(passive_type!$A$1,MATCH(B257,passive_type!B:B,0)-1,0)</f>
        <v>3201</v>
      </c>
      <c r="D257" s="157" t="s">
        <v>2930</v>
      </c>
      <c r="E257">
        <v>21</v>
      </c>
      <c r="F257" s="158">
        <f ca="1">(OFFSET(passive_type!$E$1,MATCH(C257,passive_type!A:A,0)-1,0)*10+AA257)*100+Z257</f>
        <v>3409</v>
      </c>
      <c r="G257" s="22">
        <f ca="1">IF(Z257=0,0,VLOOKUP(F257,心法辅助配置表!$G$2:$O$91,AF257+2,FALSE))</f>
        <v>72</v>
      </c>
      <c r="K257" s="78">
        <f ca="1">G257</f>
        <v>72</v>
      </c>
      <c r="M257" s="78">
        <f ca="1" t="shared" ref="M257:O257" si="295">J257+M256</f>
        <v>357</v>
      </c>
      <c r="N257" s="78">
        <f ca="1" t="shared" si="295"/>
        <v>161</v>
      </c>
      <c r="O257" s="78">
        <f ca="1" t="shared" si="295"/>
        <v>2193</v>
      </c>
      <c r="P257" s="78" t="str">
        <f ca="1" t="shared" si="280"/>
        <v>11|357|;</v>
      </c>
      <c r="Q257" s="78" t="str">
        <f ca="1" t="shared" si="281"/>
        <v>21|161|;</v>
      </c>
      <c r="R257" s="78" t="str">
        <f ca="1" t="shared" si="282"/>
        <v>12|2193|;</v>
      </c>
      <c r="S257" s="78" t="str">
        <f ca="1" t="shared" si="286"/>
        <v>11|357|;21|161|;12|2193|;</v>
      </c>
      <c r="T257" s="165" t="str">
        <f ca="1">OFFSET(buff!$C$1,MATCH(W257,buff!A:A,0)-1,0)</f>
        <v>敌我双方每损失13%血量,产生1个能造成真实伤害的灵魂</v>
      </c>
      <c r="U257" s="166"/>
      <c r="V257" s="166">
        <v>10000</v>
      </c>
      <c r="W257">
        <f ca="1" t="shared" si="227"/>
        <v>320109</v>
      </c>
      <c r="Z257" s="153">
        <f t="shared" si="285"/>
        <v>9</v>
      </c>
      <c r="AA257" s="153">
        <f ca="1">OFFSET(passive_type!$I$1,MATCH(C257,passive_type!A:A,0)-1,0)</f>
        <v>4</v>
      </c>
      <c r="AB257" s="153">
        <v>400015</v>
      </c>
      <c r="AC257" s="153">
        <v>108800</v>
      </c>
      <c r="AD257" s="153">
        <f ca="1" t="shared" si="228"/>
        <v>320110</v>
      </c>
      <c r="AE257" s="153">
        <v>0</v>
      </c>
      <c r="AF257" s="153">
        <f ca="1">OFFSET(passive_type!$L$1,MATCH(B257,passive_type!B:B,0)-1,0)</f>
        <v>1</v>
      </c>
      <c r="AG257">
        <f ca="1">OFFSET(passive_type!$R$1,MATCH(B257,passive_type!B:B,0)-1,0)</f>
        <v>1300022</v>
      </c>
      <c r="AH257">
        <v>300</v>
      </c>
      <c r="AI257">
        <f ca="1">IF(Z257=0,0,VLOOKUP(F257,心法辅助配置表!Q:X,AF257+1,FALSE))</f>
        <v>1121</v>
      </c>
    </row>
    <row r="258" spans="1:35">
      <c r="A258">
        <f ca="1" t="shared" si="225"/>
        <v>320110</v>
      </c>
      <c r="B258" s="160" t="s">
        <v>2876</v>
      </c>
      <c r="C258">
        <f ca="1">OFFSET(passive_type!$A$1,MATCH(B258,passive_type!B:B,0)-1,0)</f>
        <v>3201</v>
      </c>
      <c r="D258" s="157" t="s">
        <v>2928</v>
      </c>
      <c r="E258">
        <v>12</v>
      </c>
      <c r="F258" s="158">
        <f ca="1">(OFFSET(passive_type!$E$1,MATCH(C258,passive_type!A:A,0)-1,0)*10+AA258)*100+Z258</f>
        <v>3410</v>
      </c>
      <c r="G258" s="22">
        <f ca="1">IF(Z258=0,0,VLOOKUP(F258,心法辅助配置表!$G$2:$O$91,AF258+2,FALSE))</f>
        <v>1218</v>
      </c>
      <c r="L258" s="78">
        <f ca="1" t="shared" si="292"/>
        <v>1218</v>
      </c>
      <c r="M258" s="78">
        <f ca="1" t="shared" ref="M258:O258" si="296">J258+M257</f>
        <v>357</v>
      </c>
      <c r="N258" s="78">
        <f ca="1" t="shared" si="296"/>
        <v>161</v>
      </c>
      <c r="O258" s="78">
        <f ca="1" t="shared" si="296"/>
        <v>3411</v>
      </c>
      <c r="P258" s="78" t="str">
        <f ca="1" t="shared" si="280"/>
        <v>11|357|;</v>
      </c>
      <c r="Q258" s="78" t="str">
        <f ca="1" t="shared" si="281"/>
        <v>21|161|;</v>
      </c>
      <c r="R258" s="78" t="str">
        <f ca="1" t="shared" si="282"/>
        <v>12|3411|;</v>
      </c>
      <c r="S258" s="78" t="str">
        <f ca="1" t="shared" si="286"/>
        <v>11|357|;21|161|;12|3411|;</v>
      </c>
      <c r="T258" s="165" t="str">
        <f ca="1">OFFSET(buff!$C$1,MATCH(W258,buff!A:A,0)-1,0)</f>
        <v>敌我双方每损失10%血量,产生1个能造成真实伤害的灵魂</v>
      </c>
      <c r="U258" s="166"/>
      <c r="V258" s="166">
        <v>10000</v>
      </c>
      <c r="W258">
        <f ca="1" t="shared" si="227"/>
        <v>320110</v>
      </c>
      <c r="Z258" s="153">
        <f t="shared" si="285"/>
        <v>10</v>
      </c>
      <c r="AA258" s="153">
        <f ca="1">OFFSET(passive_type!$I$1,MATCH(C258,passive_type!A:A,0)-1,0)</f>
        <v>4</v>
      </c>
      <c r="AB258" s="153">
        <v>400015</v>
      </c>
      <c r="AC258" s="153">
        <f ca="1">IF(AD258=0,0,100)</f>
        <v>0</v>
      </c>
      <c r="AD258" s="153">
        <f ca="1" t="shared" si="228"/>
        <v>0</v>
      </c>
      <c r="AE258" s="153">
        <v>0</v>
      </c>
      <c r="AF258" s="153">
        <f ca="1">OFFSET(passive_type!$L$1,MATCH(B258,passive_type!B:B,0)-1,0)</f>
        <v>1</v>
      </c>
      <c r="AG258">
        <f ca="1">OFFSET(passive_type!$R$1,MATCH(B258,passive_type!B:B,0)-1,0)</f>
        <v>1300022</v>
      </c>
      <c r="AH258">
        <f ca="1">IF(AD258=0,0,20)</f>
        <v>0</v>
      </c>
      <c r="AI258">
        <f ca="1">IF(Z258=0,0,VLOOKUP(F258,心法辅助配置表!Q:X,AF258+1,FALSE))</f>
        <v>1207</v>
      </c>
    </row>
    <row r="259" spans="1:35">
      <c r="A259">
        <f ca="1" t="shared" si="225"/>
        <v>320200</v>
      </c>
      <c r="B259" s="175" t="s">
        <v>2878</v>
      </c>
      <c r="C259">
        <f ca="1">OFFSET(passive_type!$A$1,MATCH(B259,passive_type!B:B,0)-1,0)</f>
        <v>3202</v>
      </c>
      <c r="D259" s="157"/>
      <c r="F259" s="158">
        <f ca="1">(OFFSET(passive_type!$E$1,MATCH(C259,passive_type!A:A,0)-1,0)*10+AA259)*100+Z259</f>
        <v>3400</v>
      </c>
      <c r="G259" s="22">
        <f ca="1">IF(Z259=0,0,VLOOKUP(F259,心法辅助配置表!$G$2:$O$91,AF259+2,FALSE))</f>
        <v>0</v>
      </c>
      <c r="I259" s="152"/>
      <c r="J259" s="152"/>
      <c r="K259" s="152"/>
      <c r="L259" s="152"/>
      <c r="P259" s="78" t="str">
        <f t="shared" si="280"/>
        <v>11||;</v>
      </c>
      <c r="Q259" s="78" t="str">
        <f t="shared" si="281"/>
        <v>21||;</v>
      </c>
      <c r="R259" s="78" t="str">
        <f t="shared" si="282"/>
        <v>12||;</v>
      </c>
      <c r="S259" s="78"/>
      <c r="T259" s="165" t="str">
        <f ca="1">OFFSET(buff!$C$1,MATCH(W259,buff!A:A,0)-1,0)</f>
        <v>每使用2招，有30%概率给敌人叠加1层冰冻</v>
      </c>
      <c r="U259" s="166"/>
      <c r="V259" s="166">
        <v>10000</v>
      </c>
      <c r="W259">
        <f ca="1" t="shared" si="227"/>
        <v>320200</v>
      </c>
      <c r="Z259" s="153">
        <f t="shared" si="285"/>
        <v>0</v>
      </c>
      <c r="AA259" s="153">
        <f ca="1">OFFSET(passive_type!$I$1,MATCH(C259,passive_type!A:A,0)-1,0)</f>
        <v>4</v>
      </c>
      <c r="AB259" s="153">
        <v>400015</v>
      </c>
      <c r="AC259" s="78">
        <v>800</v>
      </c>
      <c r="AD259" s="153">
        <f ca="1" t="shared" si="228"/>
        <v>320201</v>
      </c>
      <c r="AE259" s="153">
        <v>0</v>
      </c>
      <c r="AF259" s="153">
        <f ca="1">OFFSET(passive_type!$L$1,MATCH(B259,passive_type!B:B,0)-1,0)</f>
        <v>2</v>
      </c>
      <c r="AG259">
        <f ca="1">OFFSET(passive_type!$R$1,MATCH(B259,passive_type!B:B,0)-1,0)</f>
        <v>1300023</v>
      </c>
      <c r="AH259" s="78">
        <v>6</v>
      </c>
      <c r="AI259">
        <f ca="1">IF(Z259=0,0,VLOOKUP(F259,心法辅助配置表!Q:X,AF259+1,FALSE))</f>
        <v>0</v>
      </c>
    </row>
    <row r="260" spans="1:35">
      <c r="A260">
        <f ca="1" t="shared" si="225"/>
        <v>320201</v>
      </c>
      <c r="B260" s="175" t="s">
        <v>2878</v>
      </c>
      <c r="C260">
        <f ca="1">OFFSET(passive_type!$A$1,MATCH(B260,passive_type!B:B,0)-1,0)</f>
        <v>3202</v>
      </c>
      <c r="D260" s="157" t="s">
        <v>2928</v>
      </c>
      <c r="E260">
        <v>12</v>
      </c>
      <c r="F260" s="158">
        <f ca="1">(OFFSET(passive_type!$E$1,MATCH(C260,passive_type!A:A,0)-1,0)*10+AA260)*100+Z260</f>
        <v>3401</v>
      </c>
      <c r="G260" s="22">
        <f ca="1">IF(Z260=0,0,VLOOKUP(F260,心法辅助配置表!$G$2:$O$91,AF260+2,FALSE))</f>
        <v>1150</v>
      </c>
      <c r="I260" s="78"/>
      <c r="J260" s="78"/>
      <c r="K260" s="78"/>
      <c r="L260" s="78">
        <f ca="1" t="shared" si="292"/>
        <v>1150</v>
      </c>
      <c r="M260" s="78">
        <f>J260</f>
        <v>0</v>
      </c>
      <c r="N260" s="78">
        <f>K260</f>
        <v>0</v>
      </c>
      <c r="O260" s="78">
        <f ca="1">G260</f>
        <v>1150</v>
      </c>
      <c r="P260" s="78" t="str">
        <f t="shared" si="280"/>
        <v>11|0|;</v>
      </c>
      <c r="Q260" s="78" t="str">
        <f t="shared" si="281"/>
        <v>21|0|;</v>
      </c>
      <c r="R260" s="78" t="str">
        <f ca="1" t="shared" si="282"/>
        <v>12|1150|;</v>
      </c>
      <c r="S260" s="78" t="str">
        <f ca="1" t="shared" ref="S260:S269" si="297">P260&amp;Q260&amp;R260</f>
        <v>11|0|;21|0|;12|1150|;</v>
      </c>
      <c r="T260" s="165" t="str">
        <f ca="1">OFFSET(buff!$C$1,MATCH(W260,buff!A:A,0)-1,0)</f>
        <v>每使用2招，有32%概率给敌人叠加1层冰冻</v>
      </c>
      <c r="U260" s="166"/>
      <c r="V260" s="166">
        <v>10000</v>
      </c>
      <c r="W260">
        <f ca="1" t="shared" si="227"/>
        <v>320201</v>
      </c>
      <c r="Z260" s="153">
        <f t="shared" si="285"/>
        <v>1</v>
      </c>
      <c r="AA260" s="153">
        <f ca="1">OFFSET(passive_type!$I$1,MATCH(C260,passive_type!A:A,0)-1,0)</f>
        <v>4</v>
      </c>
      <c r="AB260" s="153">
        <v>400015</v>
      </c>
      <c r="AC260" s="78">
        <v>1600</v>
      </c>
      <c r="AD260" s="153">
        <f ca="1" t="shared" si="228"/>
        <v>320202</v>
      </c>
      <c r="AE260" s="153">
        <v>0</v>
      </c>
      <c r="AF260" s="153">
        <f ca="1">OFFSET(passive_type!$L$1,MATCH(B260,passive_type!B:B,0)-1,0)</f>
        <v>2</v>
      </c>
      <c r="AG260">
        <f ca="1">OFFSET(passive_type!$R$1,MATCH(B260,passive_type!B:B,0)-1,0)</f>
        <v>1300023</v>
      </c>
      <c r="AH260" s="78">
        <v>12</v>
      </c>
      <c r="AI260">
        <f ca="1">IF(Z260=0,0,VLOOKUP(F260,心法辅助配置表!Q:X,AF260+1,FALSE))</f>
        <v>1002</v>
      </c>
    </row>
    <row r="261" spans="1:35">
      <c r="A261">
        <f ca="1" t="shared" si="225"/>
        <v>320202</v>
      </c>
      <c r="B261" s="175" t="s">
        <v>2878</v>
      </c>
      <c r="C261">
        <f ca="1">OFFSET(passive_type!$A$1,MATCH(B261,passive_type!B:B,0)-1,0)</f>
        <v>3202</v>
      </c>
      <c r="D261" s="157" t="s">
        <v>2929</v>
      </c>
      <c r="E261">
        <v>11</v>
      </c>
      <c r="F261" s="158">
        <f ca="1">(OFFSET(passive_type!$E$1,MATCH(C261,passive_type!A:A,0)-1,0)*10+AA261)*100+Z261</f>
        <v>3402</v>
      </c>
      <c r="G261" s="22">
        <f ca="1">IF(Z261=0,0,VLOOKUP(F261,心法辅助配置表!$G$2:$O$91,AF261+2,FALSE))</f>
        <v>180</v>
      </c>
      <c r="I261" s="152"/>
      <c r="J261" s="78">
        <f ca="1">G261</f>
        <v>180</v>
      </c>
      <c r="K261" s="152"/>
      <c r="L261" s="152"/>
      <c r="M261" s="78">
        <f ca="1" t="shared" ref="M261:O261" si="298">J261+M260</f>
        <v>180</v>
      </c>
      <c r="N261" s="78">
        <f t="shared" si="298"/>
        <v>0</v>
      </c>
      <c r="O261" s="78">
        <f ca="1" t="shared" si="298"/>
        <v>1150</v>
      </c>
      <c r="P261" s="78" t="str">
        <f ca="1" t="shared" si="280"/>
        <v>11|180|;</v>
      </c>
      <c r="Q261" s="78" t="str">
        <f t="shared" si="281"/>
        <v>21|0|;</v>
      </c>
      <c r="R261" s="78" t="str">
        <f ca="1" t="shared" si="282"/>
        <v>12|1150|;</v>
      </c>
      <c r="S261" s="78" t="str">
        <f ca="1" t="shared" si="297"/>
        <v>11|180|;21|0|;12|1150|;</v>
      </c>
      <c r="T261" s="165" t="str">
        <f ca="1">OFFSET(buff!$C$1,MATCH(W261,buff!A:A,0)-1,0)</f>
        <v>每使用2招，有34%概率给敌人叠加1层冰冻</v>
      </c>
      <c r="U261" s="166"/>
      <c r="V261" s="166">
        <v>10000</v>
      </c>
      <c r="W261">
        <f ca="1" t="shared" si="227"/>
        <v>320202</v>
      </c>
      <c r="Z261" s="153">
        <f t="shared" si="285"/>
        <v>2</v>
      </c>
      <c r="AA261" s="153">
        <f ca="1">OFFSET(passive_type!$I$1,MATCH(C261,passive_type!A:A,0)-1,0)</f>
        <v>4</v>
      </c>
      <c r="AB261" s="153">
        <v>400015</v>
      </c>
      <c r="AC261" s="78">
        <v>3200</v>
      </c>
      <c r="AD261" s="153">
        <f ca="1" t="shared" si="228"/>
        <v>320203</v>
      </c>
      <c r="AE261" s="153">
        <v>0</v>
      </c>
      <c r="AF261" s="153">
        <f ca="1">OFFSET(passive_type!$L$1,MATCH(B261,passive_type!B:B,0)-1,0)</f>
        <v>2</v>
      </c>
      <c r="AG261">
        <f ca="1">OFFSET(passive_type!$R$1,MATCH(B261,passive_type!B:B,0)-1,0)</f>
        <v>1300023</v>
      </c>
      <c r="AH261" s="78">
        <v>24</v>
      </c>
      <c r="AI261">
        <f ca="1">IF(Z261=0,0,VLOOKUP(F261,心法辅助配置表!Q:X,AF261+1,FALSE))</f>
        <v>1202</v>
      </c>
    </row>
    <row r="262" spans="1:35">
      <c r="A262">
        <f ca="1" t="shared" ref="A262:A280" si="299">C262*100+Z262</f>
        <v>320203</v>
      </c>
      <c r="B262" s="175" t="s">
        <v>2878</v>
      </c>
      <c r="C262">
        <f ca="1">OFFSET(passive_type!$A$1,MATCH(B262,passive_type!B:B,0)-1,0)</f>
        <v>3202</v>
      </c>
      <c r="D262" s="157" t="s">
        <v>2930</v>
      </c>
      <c r="E262">
        <v>21</v>
      </c>
      <c r="F262" s="158">
        <f ca="1">(OFFSET(passive_type!$E$1,MATCH(C262,passive_type!A:A,0)-1,0)*10+AA262)*100+Z262</f>
        <v>3403</v>
      </c>
      <c r="G262" s="22">
        <f ca="1">IF(Z262=0,0,VLOOKUP(F262,心法辅助配置表!$G$2:$O$91,AF262+2,FALSE))</f>
        <v>82</v>
      </c>
      <c r="I262" s="152"/>
      <c r="J262" s="152"/>
      <c r="K262" s="78">
        <f ca="1">G262</f>
        <v>82</v>
      </c>
      <c r="L262" s="152"/>
      <c r="M262" s="78">
        <f ca="1" t="shared" ref="M262:O262" si="300">J262+M261</f>
        <v>180</v>
      </c>
      <c r="N262" s="78">
        <f ca="1" t="shared" si="300"/>
        <v>82</v>
      </c>
      <c r="O262" s="78">
        <f ca="1" t="shared" si="300"/>
        <v>1150</v>
      </c>
      <c r="P262" s="78" t="str">
        <f ca="1" t="shared" si="280"/>
        <v>11|180|;</v>
      </c>
      <c r="Q262" s="78" t="str">
        <f ca="1" t="shared" si="281"/>
        <v>21|82|;</v>
      </c>
      <c r="R262" s="78" t="str">
        <f ca="1" t="shared" si="282"/>
        <v>12|1150|;</v>
      </c>
      <c r="S262" s="78" t="str">
        <f ca="1" t="shared" si="297"/>
        <v>11|180|;21|82|;12|1150|;</v>
      </c>
      <c r="T262" s="165" t="str">
        <f ca="1">OFFSET(buff!$C$1,MATCH(W262,buff!A:A,0)-1,0)</f>
        <v>每使用2招，有36%概率给敌人叠加1层冰冻</v>
      </c>
      <c r="U262" s="166"/>
      <c r="V262" s="166">
        <v>10000</v>
      </c>
      <c r="W262">
        <f ca="1" t="shared" ref="W262:W283" si="301">A262</f>
        <v>320203</v>
      </c>
      <c r="Z262" s="153">
        <f t="shared" si="285"/>
        <v>3</v>
      </c>
      <c r="AA262" s="153">
        <f ca="1">OFFSET(passive_type!$I$1,MATCH(C262,passive_type!A:A,0)-1,0)</f>
        <v>4</v>
      </c>
      <c r="AB262" s="153">
        <v>400015</v>
      </c>
      <c r="AC262" s="78">
        <v>6400</v>
      </c>
      <c r="AD262" s="153">
        <f ca="1" t="shared" ref="AD262:AD280" si="302">IF(B262=B263,A263,0)</f>
        <v>320204</v>
      </c>
      <c r="AE262" s="153">
        <v>0</v>
      </c>
      <c r="AF262" s="153">
        <f ca="1">OFFSET(passive_type!$L$1,MATCH(B262,passive_type!B:B,0)-1,0)</f>
        <v>2</v>
      </c>
      <c r="AG262">
        <f ca="1">OFFSET(passive_type!$R$1,MATCH(B262,passive_type!B:B,0)-1,0)</f>
        <v>1300023</v>
      </c>
      <c r="AH262" s="78">
        <v>48</v>
      </c>
      <c r="AI262">
        <f ca="1">IF(Z262=0,0,VLOOKUP(F262,心法辅助配置表!Q:X,AF262+1,FALSE))</f>
        <v>1402</v>
      </c>
    </row>
    <row r="263" spans="1:35">
      <c r="A263">
        <f ca="1" t="shared" si="299"/>
        <v>320204</v>
      </c>
      <c r="B263" s="175" t="s">
        <v>2878</v>
      </c>
      <c r="C263">
        <f ca="1">OFFSET(passive_type!$A$1,MATCH(B263,passive_type!B:B,0)-1,0)</f>
        <v>3202</v>
      </c>
      <c r="D263" s="157" t="s">
        <v>2928</v>
      </c>
      <c r="E263">
        <v>12</v>
      </c>
      <c r="F263" s="158">
        <f ca="1">(OFFSET(passive_type!$E$1,MATCH(C263,passive_type!A:A,0)-1,0)*10+AA263)*100+Z263</f>
        <v>3404</v>
      </c>
      <c r="G263" s="22">
        <f ca="1">IF(Z263=0,0,VLOOKUP(F263,心法辅助配置表!$G$2:$O$91,AF263+2,FALSE))</f>
        <v>1724</v>
      </c>
      <c r="I263" s="152"/>
      <c r="J263" s="152"/>
      <c r="K263" s="152"/>
      <c r="L263" s="78">
        <f ca="1">G263</f>
        <v>1724</v>
      </c>
      <c r="M263" s="78">
        <f ca="1" t="shared" ref="M263:O263" si="303">J263+M262</f>
        <v>180</v>
      </c>
      <c r="N263" s="78">
        <f ca="1" t="shared" si="303"/>
        <v>82</v>
      </c>
      <c r="O263" s="78">
        <f ca="1" t="shared" si="303"/>
        <v>2874</v>
      </c>
      <c r="P263" s="78" t="str">
        <f ca="1" t="shared" si="280"/>
        <v>11|180|;</v>
      </c>
      <c r="Q263" s="78" t="str">
        <f ca="1" t="shared" si="281"/>
        <v>21|82|;</v>
      </c>
      <c r="R263" s="78" t="str">
        <f ca="1" t="shared" si="282"/>
        <v>12|2874|;</v>
      </c>
      <c r="S263" s="78" t="str">
        <f ca="1" t="shared" si="297"/>
        <v>11|180|;21|82|;12|2874|;</v>
      </c>
      <c r="T263" s="165" t="str">
        <f ca="1">OFFSET(buff!$C$1,MATCH(W263,buff!A:A,0)-1,0)</f>
        <v>每使用2招，有38%概率给敌人叠加1层冰冻</v>
      </c>
      <c r="U263" s="166"/>
      <c r="V263" s="166">
        <v>10000</v>
      </c>
      <c r="W263">
        <f ca="1" t="shared" si="301"/>
        <v>320204</v>
      </c>
      <c r="Z263" s="153">
        <f t="shared" si="285"/>
        <v>4</v>
      </c>
      <c r="AA263" s="153">
        <f ca="1">OFFSET(passive_type!$I$1,MATCH(C263,passive_type!A:A,0)-1,0)</f>
        <v>4</v>
      </c>
      <c r="AB263" s="153">
        <v>400015</v>
      </c>
      <c r="AC263" s="78">
        <v>8000</v>
      </c>
      <c r="AD263" s="153">
        <f ca="1" t="shared" si="302"/>
        <v>320205</v>
      </c>
      <c r="AE263" s="153">
        <v>0</v>
      </c>
      <c r="AF263" s="153">
        <f ca="1">OFFSET(passive_type!$L$1,MATCH(B263,passive_type!B:B,0)-1,0)</f>
        <v>2</v>
      </c>
      <c r="AG263">
        <f ca="1">OFFSET(passive_type!$R$1,MATCH(B263,passive_type!B:B,0)-1,0)</f>
        <v>1300023</v>
      </c>
      <c r="AH263" s="78">
        <v>60</v>
      </c>
      <c r="AI263">
        <f ca="1">IF(Z263=0,0,VLOOKUP(F263,心法辅助配置表!Q:X,AF263+1,FALSE))</f>
        <v>1603</v>
      </c>
    </row>
    <row r="264" spans="1:35">
      <c r="A264">
        <f ca="1" t="shared" si="299"/>
        <v>320205</v>
      </c>
      <c r="B264" s="175" t="s">
        <v>2878</v>
      </c>
      <c r="C264">
        <f ca="1">OFFSET(passive_type!$A$1,MATCH(B264,passive_type!B:B,0)-1,0)</f>
        <v>3202</v>
      </c>
      <c r="D264" s="157" t="s">
        <v>2929</v>
      </c>
      <c r="E264">
        <v>11</v>
      </c>
      <c r="F264" s="158">
        <f ca="1">(OFFSET(passive_type!$E$1,MATCH(C264,passive_type!A:A,0)-1,0)*10+AA264)*100+Z264</f>
        <v>3405</v>
      </c>
      <c r="G264" s="22">
        <f ca="1">IF(Z264=0,0,VLOOKUP(F264,心法辅助配置表!$G$2:$O$91,AF264+2,FALSE))</f>
        <v>271</v>
      </c>
      <c r="I264" s="152"/>
      <c r="J264" s="78">
        <f ca="1">G264</f>
        <v>271</v>
      </c>
      <c r="K264" s="152"/>
      <c r="L264" s="152"/>
      <c r="M264" s="78">
        <f ca="1" t="shared" ref="M264:O264" si="304">J264+M263</f>
        <v>451</v>
      </c>
      <c r="N264" s="78">
        <f ca="1" t="shared" si="304"/>
        <v>82</v>
      </c>
      <c r="O264" s="78">
        <f ca="1" t="shared" si="304"/>
        <v>2874</v>
      </c>
      <c r="P264" s="78" t="str">
        <f ca="1" t="shared" si="280"/>
        <v>11|451|;</v>
      </c>
      <c r="Q264" s="78" t="str">
        <f ca="1" t="shared" si="281"/>
        <v>21|82|;</v>
      </c>
      <c r="R264" s="78" t="str">
        <f ca="1" t="shared" si="282"/>
        <v>12|2874|;</v>
      </c>
      <c r="S264" s="78" t="str">
        <f ca="1" t="shared" si="297"/>
        <v>11|451|;21|82|;12|2874|;</v>
      </c>
      <c r="T264" s="165" t="str">
        <f ca="1">OFFSET(buff!$C$1,MATCH(W264,buff!A:A,0)-1,0)</f>
        <v>每使用2招，有40%概率给敌人叠加2层冰冻</v>
      </c>
      <c r="U264" s="166"/>
      <c r="V264" s="166">
        <v>10000</v>
      </c>
      <c r="W264">
        <f ca="1" t="shared" si="301"/>
        <v>320205</v>
      </c>
      <c r="Z264" s="153">
        <f t="shared" si="285"/>
        <v>5</v>
      </c>
      <c r="AA264" s="153">
        <f ca="1">OFFSET(passive_type!$I$1,MATCH(C264,passive_type!A:A,0)-1,0)</f>
        <v>4</v>
      </c>
      <c r="AB264" s="153">
        <v>400015</v>
      </c>
      <c r="AC264" s="78">
        <v>11200</v>
      </c>
      <c r="AD264" s="153">
        <f ca="1" t="shared" si="302"/>
        <v>320206</v>
      </c>
      <c r="AE264" s="153">
        <v>0</v>
      </c>
      <c r="AF264" s="153">
        <f ca="1">OFFSET(passive_type!$L$1,MATCH(B264,passive_type!B:B,0)-1,0)</f>
        <v>2</v>
      </c>
      <c r="AG264">
        <f ca="1">OFFSET(passive_type!$R$1,MATCH(B264,passive_type!B:B,0)-1,0)</f>
        <v>1300023</v>
      </c>
      <c r="AH264" s="78">
        <v>84</v>
      </c>
      <c r="AI264">
        <f ca="1">IF(Z264=0,0,VLOOKUP(F264,心法辅助配置表!Q:X,AF264+1,FALSE))</f>
        <v>1803</v>
      </c>
    </row>
    <row r="265" spans="1:35">
      <c r="A265">
        <f ca="1" t="shared" si="299"/>
        <v>320206</v>
      </c>
      <c r="B265" s="175" t="s">
        <v>2878</v>
      </c>
      <c r="C265">
        <f ca="1">OFFSET(passive_type!$A$1,MATCH(B265,passive_type!B:B,0)-1,0)</f>
        <v>3202</v>
      </c>
      <c r="D265" s="157" t="s">
        <v>2930</v>
      </c>
      <c r="E265">
        <v>21</v>
      </c>
      <c r="F265" s="158">
        <f ca="1">(OFFSET(passive_type!$E$1,MATCH(C265,passive_type!A:A,0)-1,0)*10+AA265)*100+Z265</f>
        <v>3406</v>
      </c>
      <c r="G265" s="22">
        <f ca="1">IF(Z265=0,0,VLOOKUP(F265,心法辅助配置表!$G$2:$O$91,AF265+2,FALSE))</f>
        <v>121</v>
      </c>
      <c r="I265" s="152"/>
      <c r="J265" s="152"/>
      <c r="K265" s="78">
        <f ca="1">G265</f>
        <v>121</v>
      </c>
      <c r="L265" s="152"/>
      <c r="M265" s="78">
        <f ca="1" t="shared" ref="M265:O265" si="305">J265+M264</f>
        <v>451</v>
      </c>
      <c r="N265" s="78">
        <f ca="1" t="shared" si="305"/>
        <v>203</v>
      </c>
      <c r="O265" s="78">
        <f ca="1" t="shared" si="305"/>
        <v>2874</v>
      </c>
      <c r="P265" s="78" t="str">
        <f ca="1" t="shared" si="280"/>
        <v>11|451|;</v>
      </c>
      <c r="Q265" s="78" t="str">
        <f ca="1" t="shared" si="281"/>
        <v>21|203|;</v>
      </c>
      <c r="R265" s="78" t="str">
        <f ca="1" t="shared" si="282"/>
        <v>12|2874|;</v>
      </c>
      <c r="S265" s="78" t="str">
        <f ca="1" t="shared" si="297"/>
        <v>11|451|;21|203|;12|2874|;</v>
      </c>
      <c r="T265" s="165" t="str">
        <f ca="1">OFFSET(buff!$C$1,MATCH(W265,buff!A:A,0)-1,0)</f>
        <v>每使用2招，有42%概率给敌人叠加2层冰冻</v>
      </c>
      <c r="U265" s="166"/>
      <c r="V265" s="166">
        <v>10000</v>
      </c>
      <c r="W265">
        <f ca="1" t="shared" si="301"/>
        <v>320206</v>
      </c>
      <c r="Z265" s="153">
        <f t="shared" si="285"/>
        <v>6</v>
      </c>
      <c r="AA265" s="153">
        <f ca="1">OFFSET(passive_type!$I$1,MATCH(C265,passive_type!A:A,0)-1,0)</f>
        <v>4</v>
      </c>
      <c r="AB265" s="153">
        <v>400015</v>
      </c>
      <c r="AC265" s="78">
        <v>17600</v>
      </c>
      <c r="AD265" s="153">
        <f ca="1" t="shared" si="302"/>
        <v>320207</v>
      </c>
      <c r="AE265" s="153">
        <v>0</v>
      </c>
      <c r="AF265" s="153">
        <f ca="1">OFFSET(passive_type!$L$1,MATCH(B265,passive_type!B:B,0)-1,0)</f>
        <v>2</v>
      </c>
      <c r="AG265">
        <f ca="1">OFFSET(passive_type!$R$1,MATCH(B265,passive_type!B:B,0)-1,0)</f>
        <v>1300023</v>
      </c>
      <c r="AH265" s="78">
        <v>108</v>
      </c>
      <c r="AI265">
        <f ca="1">IF(Z265=0,0,VLOOKUP(F265,心法辅助配置表!Q:X,AF265+1,FALSE))</f>
        <v>2003</v>
      </c>
    </row>
    <row r="266" spans="1:35">
      <c r="A266">
        <f ca="1" t="shared" si="299"/>
        <v>320207</v>
      </c>
      <c r="B266" s="175" t="s">
        <v>2878</v>
      </c>
      <c r="C266">
        <f ca="1">OFFSET(passive_type!$A$1,MATCH(B266,passive_type!B:B,0)-1,0)</f>
        <v>3202</v>
      </c>
      <c r="D266" s="157" t="s">
        <v>2928</v>
      </c>
      <c r="E266">
        <v>12</v>
      </c>
      <c r="F266" s="158">
        <f ca="1">(OFFSET(passive_type!$E$1,MATCH(C266,passive_type!A:A,0)-1,0)*10+AA266)*100+Z266</f>
        <v>3407</v>
      </c>
      <c r="G266" s="22">
        <f ca="1">IF(Z266=0,0,VLOOKUP(F266,心法辅助配置表!$G$2:$O$91,AF266+2,FALSE))</f>
        <v>2301</v>
      </c>
      <c r="I266" s="152"/>
      <c r="J266" s="152"/>
      <c r="K266" s="152"/>
      <c r="L266" s="78">
        <f ca="1" t="shared" ref="L266:L271" si="306">G266</f>
        <v>2301</v>
      </c>
      <c r="M266" s="78">
        <f ca="1" t="shared" ref="M266:O266" si="307">J266+M265</f>
        <v>451</v>
      </c>
      <c r="N266" s="78">
        <f ca="1" t="shared" si="307"/>
        <v>203</v>
      </c>
      <c r="O266" s="78">
        <f ca="1" t="shared" si="307"/>
        <v>5175</v>
      </c>
      <c r="P266" s="78" t="str">
        <f ca="1" t="shared" si="280"/>
        <v>11|451|;</v>
      </c>
      <c r="Q266" s="78" t="str">
        <f ca="1" t="shared" si="281"/>
        <v>21|203|;</v>
      </c>
      <c r="R266" s="78" t="str">
        <f ca="1" t="shared" si="282"/>
        <v>12|5175|;</v>
      </c>
      <c r="S266" s="78" t="str">
        <f ca="1" t="shared" si="297"/>
        <v>11|451|;21|203|;12|5175|;</v>
      </c>
      <c r="T266" s="165" t="str">
        <f ca="1">OFFSET(buff!$C$1,MATCH(W266,buff!A:A,0)-1,0)</f>
        <v>每使用2招，有44%概率给敌人叠加2层冰冻</v>
      </c>
      <c r="U266" s="166"/>
      <c r="V266" s="166">
        <v>10000</v>
      </c>
      <c r="W266">
        <f ca="1" t="shared" si="301"/>
        <v>320207</v>
      </c>
      <c r="Z266" s="153">
        <f t="shared" si="285"/>
        <v>7</v>
      </c>
      <c r="AA266" s="153">
        <f ca="1">OFFSET(passive_type!$I$1,MATCH(C266,passive_type!A:A,0)-1,0)</f>
        <v>4</v>
      </c>
      <c r="AB266" s="153">
        <v>400015</v>
      </c>
      <c r="AC266" s="78">
        <v>25600</v>
      </c>
      <c r="AD266" s="153">
        <f ca="1" t="shared" si="302"/>
        <v>320208</v>
      </c>
      <c r="AE266" s="153">
        <v>0</v>
      </c>
      <c r="AF266" s="153">
        <f ca="1">OFFSET(passive_type!$L$1,MATCH(B266,passive_type!B:B,0)-1,0)</f>
        <v>2</v>
      </c>
      <c r="AG266">
        <f ca="1">OFFSET(passive_type!$R$1,MATCH(B266,passive_type!B:B,0)-1,0)</f>
        <v>1300023</v>
      </c>
      <c r="AH266" s="78">
        <v>156</v>
      </c>
      <c r="AI266">
        <f ca="1">IF(Z266=0,0,VLOOKUP(F266,心法辅助配置表!Q:X,AF266+1,FALSE))</f>
        <v>2204</v>
      </c>
    </row>
    <row r="267" spans="1:35">
      <c r="A267">
        <f ca="1" t="shared" si="299"/>
        <v>320208</v>
      </c>
      <c r="B267" s="175" t="s">
        <v>2878</v>
      </c>
      <c r="C267">
        <f ca="1">OFFSET(passive_type!$A$1,MATCH(B267,passive_type!B:B,0)-1,0)</f>
        <v>3202</v>
      </c>
      <c r="D267" s="157" t="s">
        <v>2929</v>
      </c>
      <c r="E267">
        <v>11</v>
      </c>
      <c r="F267" s="158">
        <f ca="1">(OFFSET(passive_type!$E$1,MATCH(C267,passive_type!A:A,0)-1,0)*10+AA267)*100+Z267</f>
        <v>3408</v>
      </c>
      <c r="G267" s="22">
        <f ca="1">IF(Z267=0,0,VLOOKUP(F267,心法辅助配置表!$G$2:$O$91,AF267+2,FALSE))</f>
        <v>359</v>
      </c>
      <c r="I267" s="152"/>
      <c r="J267" s="78">
        <f ca="1">G267</f>
        <v>359</v>
      </c>
      <c r="K267" s="152"/>
      <c r="L267" s="152"/>
      <c r="M267" s="78">
        <f ca="1" t="shared" ref="M267:O267" si="308">J267+M266</f>
        <v>810</v>
      </c>
      <c r="N267" s="78">
        <f ca="1" t="shared" si="308"/>
        <v>203</v>
      </c>
      <c r="O267" s="78">
        <f ca="1" t="shared" si="308"/>
        <v>5175</v>
      </c>
      <c r="P267" s="78" t="str">
        <f ca="1" t="shared" si="280"/>
        <v>11|810|;</v>
      </c>
      <c r="Q267" s="78" t="str">
        <f ca="1" t="shared" si="281"/>
        <v>21|203|;</v>
      </c>
      <c r="R267" s="78" t="str">
        <f ca="1" t="shared" si="282"/>
        <v>12|5175|;</v>
      </c>
      <c r="S267" s="78" t="str">
        <f ca="1" t="shared" si="297"/>
        <v>11|810|;21|203|;12|5175|;</v>
      </c>
      <c r="T267" s="165" t="str">
        <f ca="1">OFFSET(buff!$C$1,MATCH(W267,buff!A:A,0)-1,0)</f>
        <v>每使用2招，有46%概率给敌人叠加2层冰冻</v>
      </c>
      <c r="U267" s="166"/>
      <c r="V267" s="166">
        <v>10000</v>
      </c>
      <c r="W267">
        <f ca="1" t="shared" si="301"/>
        <v>320208</v>
      </c>
      <c r="Z267" s="153">
        <f t="shared" si="285"/>
        <v>8</v>
      </c>
      <c r="AA267" s="153">
        <f ca="1">OFFSET(passive_type!$I$1,MATCH(C267,passive_type!A:A,0)-1,0)</f>
        <v>4</v>
      </c>
      <c r="AB267" s="153">
        <v>400015</v>
      </c>
      <c r="AC267" s="78">
        <v>36800</v>
      </c>
      <c r="AD267" s="153">
        <f ca="1" t="shared" si="302"/>
        <v>320209</v>
      </c>
      <c r="AE267" s="153">
        <v>0</v>
      </c>
      <c r="AF267" s="153">
        <f ca="1">OFFSET(passive_type!$L$1,MATCH(B267,passive_type!B:B,0)-1,0)</f>
        <v>2</v>
      </c>
      <c r="AG267">
        <f ca="1">OFFSET(passive_type!$R$1,MATCH(B267,passive_type!B:B,0)-1,0)</f>
        <v>1300023</v>
      </c>
      <c r="AH267" s="78">
        <v>216</v>
      </c>
      <c r="AI267">
        <f ca="1">IF(Z267=0,0,VLOOKUP(F267,心法辅助配置表!Q:X,AF267+1,FALSE))</f>
        <v>2404</v>
      </c>
    </row>
    <row r="268" spans="1:35">
      <c r="A268">
        <f ca="1" t="shared" si="299"/>
        <v>320209</v>
      </c>
      <c r="B268" s="175" t="s">
        <v>2878</v>
      </c>
      <c r="C268">
        <f ca="1">OFFSET(passive_type!$A$1,MATCH(B268,passive_type!B:B,0)-1,0)</f>
        <v>3202</v>
      </c>
      <c r="D268" s="157" t="s">
        <v>2930</v>
      </c>
      <c r="E268">
        <v>21</v>
      </c>
      <c r="F268" s="158">
        <f ca="1">(OFFSET(passive_type!$E$1,MATCH(C268,passive_type!A:A,0)-1,0)*10+AA268)*100+Z268</f>
        <v>3409</v>
      </c>
      <c r="G268" s="22">
        <f ca="1">IF(Z268=0,0,VLOOKUP(F268,心法辅助配置表!$G$2:$O$91,AF268+2,FALSE))</f>
        <v>161</v>
      </c>
      <c r="I268" s="152"/>
      <c r="J268" s="152"/>
      <c r="K268" s="78">
        <f ca="1">G268</f>
        <v>161</v>
      </c>
      <c r="L268" s="152"/>
      <c r="M268" s="78">
        <f ca="1" t="shared" ref="M268:O268" si="309">J268+M267</f>
        <v>810</v>
      </c>
      <c r="N268" s="78">
        <f ca="1" t="shared" si="309"/>
        <v>364</v>
      </c>
      <c r="O268" s="78">
        <f ca="1" t="shared" si="309"/>
        <v>5175</v>
      </c>
      <c r="P268" s="78" t="str">
        <f ca="1" t="shared" si="280"/>
        <v>11|810|;</v>
      </c>
      <c r="Q268" s="78" t="str">
        <f ca="1" t="shared" si="281"/>
        <v>21|364|;</v>
      </c>
      <c r="R268" s="78" t="str">
        <f ca="1" t="shared" si="282"/>
        <v>12|5175|;</v>
      </c>
      <c r="S268" s="78" t="str">
        <f ca="1" t="shared" si="297"/>
        <v>11|810|;21|364|;12|5175|;</v>
      </c>
      <c r="T268" s="165" t="str">
        <f ca="1">OFFSET(buff!$C$1,MATCH(W268,buff!A:A,0)-1,0)</f>
        <v>每使用2招，有48%概率给敌人叠加2层冰冻</v>
      </c>
      <c r="U268" s="166"/>
      <c r="V268" s="166">
        <v>10000</v>
      </c>
      <c r="W268">
        <f ca="1" t="shared" si="301"/>
        <v>320209</v>
      </c>
      <c r="Z268" s="153">
        <f t="shared" si="285"/>
        <v>9</v>
      </c>
      <c r="AA268" s="153">
        <f ca="1">OFFSET(passive_type!$I$1,MATCH(C268,passive_type!A:A,0)-1,0)</f>
        <v>4</v>
      </c>
      <c r="AB268" s="153">
        <v>400015</v>
      </c>
      <c r="AC268" s="78">
        <v>54400</v>
      </c>
      <c r="AD268" s="153">
        <f ca="1" t="shared" si="302"/>
        <v>320210</v>
      </c>
      <c r="AE268" s="153">
        <v>0</v>
      </c>
      <c r="AF268" s="153">
        <f ca="1">OFFSET(passive_type!$L$1,MATCH(B268,passive_type!B:B,0)-1,0)</f>
        <v>2</v>
      </c>
      <c r="AG268">
        <f ca="1">OFFSET(passive_type!$R$1,MATCH(B268,passive_type!B:B,0)-1,0)</f>
        <v>1300023</v>
      </c>
      <c r="AH268">
        <v>300</v>
      </c>
      <c r="AI268">
        <f ca="1">IF(Z268=0,0,VLOOKUP(F268,心法辅助配置表!Q:X,AF268+1,FALSE))</f>
        <v>2604</v>
      </c>
    </row>
    <row r="269" spans="1:35">
      <c r="A269">
        <f ca="1" t="shared" si="299"/>
        <v>320210</v>
      </c>
      <c r="B269" s="175" t="s">
        <v>2878</v>
      </c>
      <c r="C269">
        <f ca="1">OFFSET(passive_type!$A$1,MATCH(B269,passive_type!B:B,0)-1,0)</f>
        <v>3202</v>
      </c>
      <c r="D269" s="157" t="s">
        <v>2928</v>
      </c>
      <c r="E269">
        <v>12</v>
      </c>
      <c r="F269" s="158">
        <f ca="1">(OFFSET(passive_type!$E$1,MATCH(C269,passive_type!A:A,0)-1,0)*10+AA269)*100+Z269</f>
        <v>3410</v>
      </c>
      <c r="G269" s="22">
        <f ca="1">IF(Z269=0,0,VLOOKUP(F269,心法辅助配置表!$G$2:$O$91,AF269+2,FALSE))</f>
        <v>2875</v>
      </c>
      <c r="I269" s="152"/>
      <c r="J269" s="152"/>
      <c r="K269" s="152"/>
      <c r="L269" s="78">
        <f ca="1" t="shared" si="306"/>
        <v>2875</v>
      </c>
      <c r="M269" s="78">
        <f ca="1" t="shared" ref="M269:O269" si="310">J269+M268</f>
        <v>810</v>
      </c>
      <c r="N269" s="78">
        <f ca="1" t="shared" si="310"/>
        <v>364</v>
      </c>
      <c r="O269" s="78">
        <f ca="1" t="shared" si="310"/>
        <v>8050</v>
      </c>
      <c r="P269" s="78" t="str">
        <f ca="1" t="shared" si="280"/>
        <v>11|810|;</v>
      </c>
      <c r="Q269" s="78" t="str">
        <f ca="1" t="shared" si="281"/>
        <v>21|364|;</v>
      </c>
      <c r="R269" s="78" t="str">
        <f ca="1" t="shared" si="282"/>
        <v>12|8050|;</v>
      </c>
      <c r="S269" s="78" t="str">
        <f ca="1" t="shared" si="297"/>
        <v>11|810|;21|364|;12|8050|;</v>
      </c>
      <c r="T269" s="165" t="str">
        <f ca="1">OFFSET(buff!$C$1,MATCH(W269,buff!A:A,0)-1,0)</f>
        <v>每使用2招，有50%概率给敌人叠加3层冰冻</v>
      </c>
      <c r="U269" s="166"/>
      <c r="V269" s="166">
        <v>10000</v>
      </c>
      <c r="W269">
        <f ca="1" t="shared" si="301"/>
        <v>320210</v>
      </c>
      <c r="Z269" s="153">
        <f t="shared" si="285"/>
        <v>10</v>
      </c>
      <c r="AA269" s="153">
        <f ca="1">OFFSET(passive_type!$I$1,MATCH(C269,passive_type!A:A,0)-1,0)</f>
        <v>4</v>
      </c>
      <c r="AB269" s="153">
        <v>400015</v>
      </c>
      <c r="AC269" s="78"/>
      <c r="AD269" s="153">
        <f ca="1" t="shared" si="302"/>
        <v>0</v>
      </c>
      <c r="AE269" s="153">
        <v>0</v>
      </c>
      <c r="AF269" s="153">
        <f ca="1">OFFSET(passive_type!$L$1,MATCH(B269,passive_type!B:B,0)-1,0)</f>
        <v>2</v>
      </c>
      <c r="AG269">
        <f ca="1">OFFSET(passive_type!$R$1,MATCH(B269,passive_type!B:B,0)-1,0)</f>
        <v>1300023</v>
      </c>
      <c r="AH269">
        <f ca="1">IF(AD269=0,0,20)</f>
        <v>0</v>
      </c>
      <c r="AI269">
        <f ca="1">IF(Z269=0,0,VLOOKUP(F269,心法辅助配置表!Q:X,AF269+1,FALSE))</f>
        <v>2804</v>
      </c>
    </row>
    <row r="270" spans="1:35">
      <c r="A270">
        <f ca="1" t="shared" si="299"/>
        <v>320300</v>
      </c>
      <c r="B270" s="160" t="s">
        <v>2880</v>
      </c>
      <c r="C270">
        <f ca="1">OFFSET(passive_type!$A$1,MATCH(B270,passive_type!B:B,0)-1,0)</f>
        <v>3203</v>
      </c>
      <c r="D270" s="157"/>
      <c r="F270" s="158">
        <f ca="1">(OFFSET(passive_type!$E$1,MATCH(C270,passive_type!A:A,0)-1,0)*10+AA270)*100+Z270</f>
        <v>3200</v>
      </c>
      <c r="G270" s="22">
        <f ca="1">IF(Z270=0,0,VLOOKUP(F270,心法辅助配置表!$G$2:$O$91,AF270+2,FALSE))</f>
        <v>0</v>
      </c>
      <c r="I270" s="152"/>
      <c r="J270" s="152"/>
      <c r="K270" s="152"/>
      <c r="L270" s="152"/>
      <c r="P270" s="78" t="str">
        <f t="shared" si="280"/>
        <v>11||;</v>
      </c>
      <c r="Q270" s="78" t="str">
        <f t="shared" si="281"/>
        <v>21||;</v>
      </c>
      <c r="R270" s="78" t="str">
        <f t="shared" si="282"/>
        <v>12||;</v>
      </c>
      <c r="S270" s="78"/>
      <c r="T270" s="165" t="str">
        <f ca="1">OFFSET(buff!$C$1,MATCH(W270,buff!A:A,0)-1,0)</f>
        <v>每回合有30%概率叠加1层炎息</v>
      </c>
      <c r="U270" s="166"/>
      <c r="V270" s="166">
        <v>10000</v>
      </c>
      <c r="W270">
        <f ca="1" t="shared" si="301"/>
        <v>320300</v>
      </c>
      <c r="Z270" s="153">
        <f t="shared" si="285"/>
        <v>0</v>
      </c>
      <c r="AA270" s="153">
        <f ca="1">OFFSET(passive_type!$I$1,MATCH(C270,passive_type!A:A,0)-1,0)</f>
        <v>2</v>
      </c>
      <c r="AB270" s="153">
        <v>400015</v>
      </c>
      <c r="AC270" s="78">
        <v>400</v>
      </c>
      <c r="AD270" s="153">
        <f ca="1" t="shared" si="302"/>
        <v>320301</v>
      </c>
      <c r="AE270" s="153">
        <v>0</v>
      </c>
      <c r="AF270" s="153">
        <f ca="1">OFFSET(passive_type!$L$1,MATCH(B270,passive_type!B:B,0)-1,0)</f>
        <v>2</v>
      </c>
      <c r="AG270">
        <f ca="1">OFFSET(passive_type!$R$1,MATCH(B270,passive_type!B:B,0)-1,0)</f>
        <v>1300024</v>
      </c>
      <c r="AH270" s="78">
        <v>6</v>
      </c>
      <c r="AI270">
        <f ca="1">IF(Z270=0,0,VLOOKUP(F270,心法辅助配置表!Q:X,AF270+1,FALSE))</f>
        <v>0</v>
      </c>
    </row>
    <row r="271" spans="1:35">
      <c r="A271">
        <f ca="1" t="shared" si="299"/>
        <v>320301</v>
      </c>
      <c r="B271" s="160" t="s">
        <v>2880</v>
      </c>
      <c r="C271">
        <f ca="1">OFFSET(passive_type!$A$1,MATCH(B271,passive_type!B:B,0)-1,0)</f>
        <v>3203</v>
      </c>
      <c r="D271" s="157" t="s">
        <v>2928</v>
      </c>
      <c r="E271">
        <v>12</v>
      </c>
      <c r="F271" s="158">
        <f ca="1">(OFFSET(passive_type!$E$1,MATCH(C271,passive_type!A:A,0)-1,0)*10+AA271)*100+Z271</f>
        <v>3201</v>
      </c>
      <c r="G271" s="22">
        <f ca="1">IF(Z271=0,0,VLOOKUP(F271,心法辅助配置表!$G$2:$O$91,AF271+2,FALSE))</f>
        <v>493</v>
      </c>
      <c r="I271" s="153"/>
      <c r="J271" s="153"/>
      <c r="K271" s="153"/>
      <c r="L271" s="78">
        <f ca="1" t="shared" si="306"/>
        <v>493</v>
      </c>
      <c r="M271" s="78">
        <f>J271</f>
        <v>0</v>
      </c>
      <c r="N271" s="78">
        <f>K271</f>
        <v>0</v>
      </c>
      <c r="O271" s="78">
        <f ca="1">G271</f>
        <v>493</v>
      </c>
      <c r="P271" s="78" t="str">
        <f t="shared" si="280"/>
        <v>11|0|;</v>
      </c>
      <c r="Q271" s="78" t="str">
        <f t="shared" si="281"/>
        <v>21|0|;</v>
      </c>
      <c r="R271" s="78" t="str">
        <f ca="1" t="shared" si="282"/>
        <v>12|493|;</v>
      </c>
      <c r="S271" s="78" t="str">
        <f ca="1" t="shared" ref="S271:S283" si="311">P271&amp;Q271&amp;R271</f>
        <v>11|0|;21|0|;12|493|;</v>
      </c>
      <c r="T271" s="165" t="str">
        <f ca="1">OFFSET(buff!$C$1,MATCH(W271,buff!A:A,0)-1,0)</f>
        <v>每回合有35%概率叠加1层炎息</v>
      </c>
      <c r="U271" s="166"/>
      <c r="V271" s="166">
        <v>10000</v>
      </c>
      <c r="W271">
        <f ca="1" t="shared" si="301"/>
        <v>320301</v>
      </c>
      <c r="Z271" s="153">
        <f t="shared" si="285"/>
        <v>1</v>
      </c>
      <c r="AA271" s="153">
        <f ca="1">OFFSET(passive_type!$I$1,MATCH(C271,passive_type!A:A,0)-1,0)</f>
        <v>2</v>
      </c>
      <c r="AB271" s="153">
        <v>400015</v>
      </c>
      <c r="AC271" s="78">
        <v>800</v>
      </c>
      <c r="AD271" s="153">
        <f ca="1" t="shared" si="302"/>
        <v>320302</v>
      </c>
      <c r="AE271" s="153">
        <v>0</v>
      </c>
      <c r="AF271" s="153">
        <f ca="1">OFFSET(passive_type!$L$1,MATCH(B271,passive_type!B:B,0)-1,0)</f>
        <v>2</v>
      </c>
      <c r="AG271">
        <f ca="1">OFFSET(passive_type!$R$1,MATCH(B271,passive_type!B:B,0)-1,0)</f>
        <v>1300024</v>
      </c>
      <c r="AH271" s="78">
        <v>12</v>
      </c>
      <c r="AI271">
        <f ca="1">IF(Z271=0,0,VLOOKUP(F271,心法辅助配置表!Q:X,AF271+1,FALSE))</f>
        <v>334</v>
      </c>
    </row>
    <row r="272" spans="1:35">
      <c r="A272">
        <f ca="1" t="shared" si="299"/>
        <v>320302</v>
      </c>
      <c r="B272" s="160" t="s">
        <v>2880</v>
      </c>
      <c r="C272">
        <f ca="1">OFFSET(passive_type!$A$1,MATCH(B272,passive_type!B:B,0)-1,0)</f>
        <v>3203</v>
      </c>
      <c r="D272" s="157" t="s">
        <v>2929</v>
      </c>
      <c r="E272">
        <v>11</v>
      </c>
      <c r="F272" s="158">
        <f ca="1">(OFFSET(passive_type!$E$1,MATCH(C272,passive_type!A:A,0)-1,0)*10+AA272)*100+Z272</f>
        <v>3202</v>
      </c>
      <c r="G272" s="22">
        <f ca="1">IF(Z272=0,0,VLOOKUP(F272,心法辅助配置表!$G$2:$O$91,AF272+2,FALSE))</f>
        <v>77</v>
      </c>
      <c r="I272" s="152"/>
      <c r="J272" s="78">
        <f ca="1">G272</f>
        <v>77</v>
      </c>
      <c r="K272" s="152"/>
      <c r="L272" s="152"/>
      <c r="M272" s="78">
        <f ca="1" t="shared" ref="M272:O272" si="312">J272+M271</f>
        <v>77</v>
      </c>
      <c r="N272" s="78">
        <f t="shared" si="312"/>
        <v>0</v>
      </c>
      <c r="O272" s="78">
        <f ca="1" t="shared" si="312"/>
        <v>493</v>
      </c>
      <c r="P272" s="78" t="str">
        <f ca="1" t="shared" si="280"/>
        <v>11|77|;</v>
      </c>
      <c r="Q272" s="78" t="str">
        <f t="shared" si="281"/>
        <v>21|0|;</v>
      </c>
      <c r="R272" s="78" t="str">
        <f ca="1" t="shared" si="282"/>
        <v>12|493|;</v>
      </c>
      <c r="S272" s="78" t="str">
        <f ca="1" t="shared" si="311"/>
        <v>11|77|;21|0|;12|493|;</v>
      </c>
      <c r="T272" s="165" t="str">
        <f ca="1">OFFSET(buff!$C$1,MATCH(W272,buff!A:A,0)-1,0)</f>
        <v>每回合有40%概率叠加1层炎息</v>
      </c>
      <c r="U272" s="166"/>
      <c r="V272" s="166">
        <v>10000</v>
      </c>
      <c r="W272">
        <f ca="1" t="shared" si="301"/>
        <v>320302</v>
      </c>
      <c r="Z272" s="153">
        <f t="shared" si="285"/>
        <v>2</v>
      </c>
      <c r="AA272" s="153">
        <f ca="1">OFFSET(passive_type!$I$1,MATCH(C272,passive_type!A:A,0)-1,0)</f>
        <v>2</v>
      </c>
      <c r="AB272" s="153">
        <v>400015</v>
      </c>
      <c r="AC272" s="78">
        <v>1600</v>
      </c>
      <c r="AD272" s="153">
        <f ca="1" t="shared" si="302"/>
        <v>320303</v>
      </c>
      <c r="AE272" s="153">
        <v>0</v>
      </c>
      <c r="AF272" s="153">
        <f ca="1">OFFSET(passive_type!$L$1,MATCH(B272,passive_type!B:B,0)-1,0)</f>
        <v>2</v>
      </c>
      <c r="AG272">
        <f ca="1">OFFSET(passive_type!$R$1,MATCH(B272,passive_type!B:B,0)-1,0)</f>
        <v>1300024</v>
      </c>
      <c r="AH272" s="78">
        <v>24</v>
      </c>
      <c r="AI272">
        <f ca="1">IF(Z272=0,0,VLOOKUP(F272,心法辅助配置表!Q:X,AF272+1,FALSE))</f>
        <v>401</v>
      </c>
    </row>
    <row r="273" spans="1:35">
      <c r="A273">
        <f ca="1" t="shared" si="299"/>
        <v>320303</v>
      </c>
      <c r="B273" s="160" t="s">
        <v>2880</v>
      </c>
      <c r="C273">
        <f ca="1">OFFSET(passive_type!$A$1,MATCH(B273,passive_type!B:B,0)-1,0)</f>
        <v>3203</v>
      </c>
      <c r="D273" s="157" t="s">
        <v>2930</v>
      </c>
      <c r="E273">
        <v>21</v>
      </c>
      <c r="F273" s="158">
        <f ca="1">(OFFSET(passive_type!$E$1,MATCH(C273,passive_type!A:A,0)-1,0)*10+AA273)*100+Z273</f>
        <v>3203</v>
      </c>
      <c r="G273" s="22">
        <f ca="1">IF(Z273=0,0,VLOOKUP(F273,心法辅助配置表!$G$2:$O$91,AF273+2,FALSE))</f>
        <v>35</v>
      </c>
      <c r="I273" s="152"/>
      <c r="J273" s="152"/>
      <c r="K273" s="78">
        <f ca="1">G273</f>
        <v>35</v>
      </c>
      <c r="L273" s="152"/>
      <c r="M273" s="78">
        <f ca="1" t="shared" ref="M273:O273" si="313">J273+M272</f>
        <v>77</v>
      </c>
      <c r="N273" s="78">
        <f ca="1" t="shared" si="313"/>
        <v>35</v>
      </c>
      <c r="O273" s="78">
        <f ca="1" t="shared" si="313"/>
        <v>493</v>
      </c>
      <c r="P273" s="78" t="str">
        <f ca="1" t="shared" si="280"/>
        <v>11|77|;</v>
      </c>
      <c r="Q273" s="78" t="str">
        <f ca="1" t="shared" si="281"/>
        <v>21|35|;</v>
      </c>
      <c r="R273" s="78" t="str">
        <f ca="1" t="shared" si="282"/>
        <v>12|493|;</v>
      </c>
      <c r="S273" s="78" t="str">
        <f ca="1" t="shared" si="311"/>
        <v>11|77|;21|35|;12|493|;</v>
      </c>
      <c r="T273" s="165" t="str">
        <f ca="1">OFFSET(buff!$C$1,MATCH(W273,buff!A:A,0)-1,0)</f>
        <v>每回合有45%概率叠加1层炎息</v>
      </c>
      <c r="U273" s="166"/>
      <c r="V273" s="166">
        <v>10000</v>
      </c>
      <c r="W273">
        <f ca="1" t="shared" si="301"/>
        <v>320303</v>
      </c>
      <c r="Z273" s="153">
        <f t="shared" si="285"/>
        <v>3</v>
      </c>
      <c r="AA273" s="153">
        <f ca="1">OFFSET(passive_type!$I$1,MATCH(C273,passive_type!A:A,0)-1,0)</f>
        <v>2</v>
      </c>
      <c r="AB273" s="153">
        <v>400015</v>
      </c>
      <c r="AC273" s="78">
        <v>3200</v>
      </c>
      <c r="AD273" s="153">
        <f ca="1" t="shared" si="302"/>
        <v>320304</v>
      </c>
      <c r="AE273" s="153">
        <v>0</v>
      </c>
      <c r="AF273" s="153">
        <f ca="1">OFFSET(passive_type!$L$1,MATCH(B273,passive_type!B:B,0)-1,0)</f>
        <v>2</v>
      </c>
      <c r="AG273">
        <f ca="1">OFFSET(passive_type!$R$1,MATCH(B273,passive_type!B:B,0)-1,0)</f>
        <v>1300024</v>
      </c>
      <c r="AH273" s="78">
        <v>48</v>
      </c>
      <c r="AI273">
        <f ca="1">IF(Z273=0,0,VLOOKUP(F273,心法辅助配置表!Q:X,AF273+1,FALSE))</f>
        <v>467</v>
      </c>
    </row>
    <row r="274" spans="1:35">
      <c r="A274">
        <f ca="1" t="shared" si="299"/>
        <v>320304</v>
      </c>
      <c r="B274" s="160" t="s">
        <v>2880</v>
      </c>
      <c r="C274">
        <f ca="1">OFFSET(passive_type!$A$1,MATCH(B274,passive_type!B:B,0)-1,0)</f>
        <v>3203</v>
      </c>
      <c r="D274" s="157" t="s">
        <v>2928</v>
      </c>
      <c r="E274">
        <v>12</v>
      </c>
      <c r="F274" s="158">
        <f ca="1">(OFFSET(passive_type!$E$1,MATCH(C274,passive_type!A:A,0)-1,0)*10+AA274)*100+Z274</f>
        <v>3204</v>
      </c>
      <c r="G274" s="22">
        <f ca="1">IF(Z274=0,0,VLOOKUP(F274,心法辅助配置表!$G$2:$O$91,AF274+2,FALSE))</f>
        <v>739</v>
      </c>
      <c r="I274" s="152"/>
      <c r="J274" s="152"/>
      <c r="K274" s="152"/>
      <c r="L274" s="78">
        <f ca="1">G274</f>
        <v>739</v>
      </c>
      <c r="M274" s="78">
        <f ca="1" t="shared" ref="M274:O274" si="314">J274+M273</f>
        <v>77</v>
      </c>
      <c r="N274" s="78">
        <f ca="1" t="shared" si="314"/>
        <v>35</v>
      </c>
      <c r="O274" s="78">
        <f ca="1" t="shared" si="314"/>
        <v>1232</v>
      </c>
      <c r="P274" s="78" t="str">
        <f ca="1" t="shared" si="280"/>
        <v>11|77|;</v>
      </c>
      <c r="Q274" s="78" t="str">
        <f ca="1" t="shared" si="281"/>
        <v>21|35|;</v>
      </c>
      <c r="R274" s="78" t="str">
        <f ca="1" t="shared" si="282"/>
        <v>12|1232|;</v>
      </c>
      <c r="S274" s="78" t="str">
        <f ca="1" t="shared" si="311"/>
        <v>11|77|;21|35|;12|1232|;</v>
      </c>
      <c r="T274" s="165" t="str">
        <f ca="1">OFFSET(buff!$C$1,MATCH(W274,buff!A:A,0)-1,0)</f>
        <v>每回合有50%概率叠加1层炎息</v>
      </c>
      <c r="U274" s="166"/>
      <c r="V274" s="166">
        <v>10000</v>
      </c>
      <c r="W274">
        <f ca="1" t="shared" si="301"/>
        <v>320304</v>
      </c>
      <c r="Z274" s="153">
        <f t="shared" si="285"/>
        <v>4</v>
      </c>
      <c r="AA274" s="153">
        <f ca="1">OFFSET(passive_type!$I$1,MATCH(C274,passive_type!A:A,0)-1,0)</f>
        <v>2</v>
      </c>
      <c r="AB274" s="153">
        <v>400015</v>
      </c>
      <c r="AC274" s="78">
        <v>4000</v>
      </c>
      <c r="AD274" s="153">
        <f ca="1" t="shared" si="302"/>
        <v>320305</v>
      </c>
      <c r="AE274" s="153">
        <v>0</v>
      </c>
      <c r="AF274" s="153">
        <f ca="1">OFFSET(passive_type!$L$1,MATCH(B274,passive_type!B:B,0)-1,0)</f>
        <v>2</v>
      </c>
      <c r="AG274">
        <f ca="1">OFFSET(passive_type!$R$1,MATCH(B274,passive_type!B:B,0)-1,0)</f>
        <v>1300024</v>
      </c>
      <c r="AH274" s="78">
        <v>60</v>
      </c>
      <c r="AI274">
        <f ca="1">IF(Z274=0,0,VLOOKUP(F274,心法辅助配置表!Q:X,AF274+1,FALSE))</f>
        <v>534</v>
      </c>
    </row>
    <row r="275" spans="1:35">
      <c r="A275">
        <f ca="1" t="shared" si="299"/>
        <v>320305</v>
      </c>
      <c r="B275" s="160" t="s">
        <v>2880</v>
      </c>
      <c r="C275">
        <f ca="1">OFFSET(passive_type!$A$1,MATCH(B275,passive_type!B:B,0)-1,0)</f>
        <v>3203</v>
      </c>
      <c r="D275" s="157" t="s">
        <v>2929</v>
      </c>
      <c r="E275">
        <v>11</v>
      </c>
      <c r="F275" s="158">
        <f ca="1">(OFFSET(passive_type!$E$1,MATCH(C275,passive_type!A:A,0)-1,0)*10+AA275)*100+Z275</f>
        <v>3205</v>
      </c>
      <c r="G275" s="22">
        <f ca="1">IF(Z275=0,0,VLOOKUP(F275,心法辅助配置表!$G$2:$O$91,AF275+2,FALSE))</f>
        <v>116</v>
      </c>
      <c r="I275" s="152"/>
      <c r="J275" s="78">
        <f ca="1">G275</f>
        <v>116</v>
      </c>
      <c r="K275" s="152"/>
      <c r="L275" s="152"/>
      <c r="M275" s="78">
        <f ca="1" t="shared" ref="M275:O275" si="315">J275+M274</f>
        <v>193</v>
      </c>
      <c r="N275" s="78">
        <f ca="1" t="shared" si="315"/>
        <v>35</v>
      </c>
      <c r="O275" s="78">
        <f ca="1" t="shared" si="315"/>
        <v>1232</v>
      </c>
      <c r="P275" s="78" t="str">
        <f ca="1" t="shared" si="280"/>
        <v>11|193|;</v>
      </c>
      <c r="Q275" s="78" t="str">
        <f ca="1" t="shared" si="281"/>
        <v>21|35|;</v>
      </c>
      <c r="R275" s="78" t="str">
        <f ca="1" t="shared" si="282"/>
        <v>12|1232|;</v>
      </c>
      <c r="S275" s="78" t="str">
        <f ca="1" t="shared" si="311"/>
        <v>11|193|;21|35|;12|1232|;</v>
      </c>
      <c r="T275" s="165" t="str">
        <f ca="1">OFFSET(buff!$C$1,MATCH(W275,buff!A:A,0)-1,0)</f>
        <v>每回合有55%概率叠加2层炎息</v>
      </c>
      <c r="U275" s="166"/>
      <c r="V275" s="166">
        <v>10000</v>
      </c>
      <c r="W275">
        <f ca="1" t="shared" si="301"/>
        <v>320305</v>
      </c>
      <c r="Z275" s="153">
        <f t="shared" si="285"/>
        <v>5</v>
      </c>
      <c r="AA275" s="153">
        <f ca="1">OFFSET(passive_type!$I$1,MATCH(C275,passive_type!A:A,0)-1,0)</f>
        <v>2</v>
      </c>
      <c r="AB275" s="153">
        <v>400015</v>
      </c>
      <c r="AC275" s="78">
        <v>5600</v>
      </c>
      <c r="AD275" s="153">
        <f ca="1" t="shared" si="302"/>
        <v>320306</v>
      </c>
      <c r="AE275" s="153">
        <v>0</v>
      </c>
      <c r="AF275" s="153">
        <f ca="1">OFFSET(passive_type!$L$1,MATCH(B275,passive_type!B:B,0)-1,0)</f>
        <v>2</v>
      </c>
      <c r="AG275">
        <f ca="1">OFFSET(passive_type!$R$1,MATCH(B275,passive_type!B:B,0)-1,0)</f>
        <v>1300024</v>
      </c>
      <c r="AH275" s="78">
        <v>84</v>
      </c>
      <c r="AI275">
        <f ca="1">IF(Z275=0,0,VLOOKUP(F275,心法辅助配置表!Q:X,AF275+1,FALSE))</f>
        <v>601</v>
      </c>
    </row>
    <row r="276" spans="1:35">
      <c r="A276">
        <f ca="1" t="shared" si="299"/>
        <v>320306</v>
      </c>
      <c r="B276" s="160" t="s">
        <v>2880</v>
      </c>
      <c r="C276">
        <f ca="1">OFFSET(passive_type!$A$1,MATCH(B276,passive_type!B:B,0)-1,0)</f>
        <v>3203</v>
      </c>
      <c r="D276" s="157" t="s">
        <v>2930</v>
      </c>
      <c r="E276">
        <v>21</v>
      </c>
      <c r="F276" s="158">
        <f ca="1">(OFFSET(passive_type!$E$1,MATCH(C276,passive_type!A:A,0)-1,0)*10+AA276)*100+Z276</f>
        <v>3206</v>
      </c>
      <c r="G276" s="22">
        <f ca="1">IF(Z276=0,0,VLOOKUP(F276,心法辅助配置表!$G$2:$O$91,AF276+2,FALSE))</f>
        <v>52</v>
      </c>
      <c r="I276" s="152"/>
      <c r="J276" s="152"/>
      <c r="K276" s="78">
        <f ca="1">G276</f>
        <v>52</v>
      </c>
      <c r="L276" s="152"/>
      <c r="M276" s="78">
        <f ca="1" t="shared" ref="M276:O276" si="316">J276+M275</f>
        <v>193</v>
      </c>
      <c r="N276" s="78">
        <f ca="1" t="shared" si="316"/>
        <v>87</v>
      </c>
      <c r="O276" s="78">
        <f ca="1" t="shared" si="316"/>
        <v>1232</v>
      </c>
      <c r="P276" s="78" t="str">
        <f ca="1" t="shared" si="280"/>
        <v>11|193|;</v>
      </c>
      <c r="Q276" s="78" t="str">
        <f ca="1" t="shared" si="281"/>
        <v>21|87|;</v>
      </c>
      <c r="R276" s="78" t="str">
        <f ca="1" t="shared" si="282"/>
        <v>12|1232|;</v>
      </c>
      <c r="S276" s="78" t="str">
        <f ca="1" t="shared" si="311"/>
        <v>11|193|;21|87|;12|1232|;</v>
      </c>
      <c r="T276" s="165" t="str">
        <f ca="1">OFFSET(buff!$C$1,MATCH(W276,buff!A:A,0)-1,0)</f>
        <v>每回合有60%概率叠加2层炎息</v>
      </c>
      <c r="U276" s="166"/>
      <c r="V276" s="166">
        <v>10000</v>
      </c>
      <c r="W276">
        <f ca="1" t="shared" si="301"/>
        <v>320306</v>
      </c>
      <c r="Z276" s="153">
        <f t="shared" si="285"/>
        <v>6</v>
      </c>
      <c r="AA276" s="153">
        <f ca="1">OFFSET(passive_type!$I$1,MATCH(C276,passive_type!A:A,0)-1,0)</f>
        <v>2</v>
      </c>
      <c r="AB276" s="153">
        <v>400015</v>
      </c>
      <c r="AC276" s="78">
        <v>8800</v>
      </c>
      <c r="AD276" s="153">
        <f ca="1" t="shared" si="302"/>
        <v>320307</v>
      </c>
      <c r="AE276" s="153">
        <v>0</v>
      </c>
      <c r="AF276" s="153">
        <f ca="1">OFFSET(passive_type!$L$1,MATCH(B276,passive_type!B:B,0)-1,0)</f>
        <v>2</v>
      </c>
      <c r="AG276">
        <f ca="1">OFFSET(passive_type!$R$1,MATCH(B276,passive_type!B:B,0)-1,0)</f>
        <v>1300024</v>
      </c>
      <c r="AH276" s="78">
        <v>108</v>
      </c>
      <c r="AI276">
        <f ca="1">IF(Z276=0,0,VLOOKUP(F276,心法辅助配置表!Q:X,AF276+1,FALSE))</f>
        <v>668</v>
      </c>
    </row>
    <row r="277" spans="1:35">
      <c r="A277">
        <f ca="1" t="shared" si="299"/>
        <v>320307</v>
      </c>
      <c r="B277" s="160" t="s">
        <v>2880</v>
      </c>
      <c r="C277">
        <f ca="1">OFFSET(passive_type!$A$1,MATCH(B277,passive_type!B:B,0)-1,0)</f>
        <v>3203</v>
      </c>
      <c r="D277" s="157" t="s">
        <v>2928</v>
      </c>
      <c r="E277">
        <v>12</v>
      </c>
      <c r="F277" s="158">
        <f ca="1">(OFFSET(passive_type!$E$1,MATCH(C277,passive_type!A:A,0)-1,0)*10+AA277)*100+Z277</f>
        <v>3207</v>
      </c>
      <c r="G277" s="22">
        <f ca="1">IF(Z277=0,0,VLOOKUP(F277,心法辅助配置表!$G$2:$O$91,AF277+2,FALSE))</f>
        <v>986</v>
      </c>
      <c r="I277" s="152"/>
      <c r="J277" s="152"/>
      <c r="K277" s="152"/>
      <c r="L277" s="78">
        <f ca="1">G277</f>
        <v>986</v>
      </c>
      <c r="M277" s="78">
        <f ca="1" t="shared" ref="M277:O277" si="317">J277+M276</f>
        <v>193</v>
      </c>
      <c r="N277" s="78">
        <f ca="1" t="shared" si="317"/>
        <v>87</v>
      </c>
      <c r="O277" s="78">
        <f ca="1" t="shared" si="317"/>
        <v>2218</v>
      </c>
      <c r="P277" s="78" t="str">
        <f ca="1" t="shared" si="280"/>
        <v>11|193|;</v>
      </c>
      <c r="Q277" s="78" t="str">
        <f ca="1" t="shared" si="281"/>
        <v>21|87|;</v>
      </c>
      <c r="R277" s="78" t="str">
        <f ca="1" t="shared" si="282"/>
        <v>12|2218|;</v>
      </c>
      <c r="S277" s="78" t="str">
        <f ca="1" t="shared" si="311"/>
        <v>11|193|;21|87|;12|2218|;</v>
      </c>
      <c r="T277" s="165" t="str">
        <f ca="1">OFFSET(buff!$C$1,MATCH(W277,buff!A:A,0)-1,0)</f>
        <v>每回合有65%概率叠加2层炎息</v>
      </c>
      <c r="U277" s="166"/>
      <c r="V277" s="166">
        <v>10000</v>
      </c>
      <c r="W277">
        <f ca="1" t="shared" si="301"/>
        <v>320307</v>
      </c>
      <c r="Z277" s="153">
        <f t="shared" si="285"/>
        <v>7</v>
      </c>
      <c r="AA277" s="153">
        <f ca="1">OFFSET(passive_type!$I$1,MATCH(C277,passive_type!A:A,0)-1,0)</f>
        <v>2</v>
      </c>
      <c r="AB277" s="153">
        <v>400015</v>
      </c>
      <c r="AC277" s="78">
        <v>12800</v>
      </c>
      <c r="AD277" s="153">
        <f ca="1" t="shared" si="302"/>
        <v>320308</v>
      </c>
      <c r="AE277" s="153">
        <v>0</v>
      </c>
      <c r="AF277" s="153">
        <f ca="1">OFFSET(passive_type!$L$1,MATCH(B277,passive_type!B:B,0)-1,0)</f>
        <v>2</v>
      </c>
      <c r="AG277">
        <f ca="1">OFFSET(passive_type!$R$1,MATCH(B277,passive_type!B:B,0)-1,0)</f>
        <v>1300024</v>
      </c>
      <c r="AH277" s="78">
        <v>156</v>
      </c>
      <c r="AI277">
        <f ca="1">IF(Z277=0,0,VLOOKUP(F277,心法辅助配置表!Q:X,AF277+1,FALSE))</f>
        <v>735</v>
      </c>
    </row>
    <row r="278" spans="1:35">
      <c r="A278">
        <f ca="1" t="shared" si="299"/>
        <v>320308</v>
      </c>
      <c r="B278" s="160" t="s">
        <v>2880</v>
      </c>
      <c r="C278">
        <f ca="1">OFFSET(passive_type!$A$1,MATCH(B278,passive_type!B:B,0)-1,0)</f>
        <v>3203</v>
      </c>
      <c r="D278" s="157" t="s">
        <v>2929</v>
      </c>
      <c r="E278">
        <v>11</v>
      </c>
      <c r="F278" s="158">
        <f ca="1">(OFFSET(passive_type!$E$1,MATCH(C278,passive_type!A:A,0)-1,0)*10+AA278)*100+Z278</f>
        <v>3208</v>
      </c>
      <c r="G278" s="22">
        <f ca="1">IF(Z278=0,0,VLOOKUP(F278,心法辅助配置表!$G$2:$O$91,AF278+2,FALSE))</f>
        <v>154</v>
      </c>
      <c r="I278" s="152"/>
      <c r="J278" s="78">
        <f ca="1">G278</f>
        <v>154</v>
      </c>
      <c r="K278" s="152"/>
      <c r="L278" s="152"/>
      <c r="M278" s="78">
        <f ca="1" t="shared" ref="M278:O278" si="318">J278+M277</f>
        <v>347</v>
      </c>
      <c r="N278" s="78">
        <f ca="1" t="shared" si="318"/>
        <v>87</v>
      </c>
      <c r="O278" s="78">
        <f ca="1" t="shared" si="318"/>
        <v>2218</v>
      </c>
      <c r="P278" s="78" t="str">
        <f ca="1" t="shared" si="280"/>
        <v>11|347|;</v>
      </c>
      <c r="Q278" s="78" t="str">
        <f ca="1" t="shared" si="281"/>
        <v>21|87|;</v>
      </c>
      <c r="R278" s="78" t="str">
        <f ca="1" t="shared" si="282"/>
        <v>12|2218|;</v>
      </c>
      <c r="S278" s="78" t="str">
        <f ca="1" t="shared" si="311"/>
        <v>11|347|;21|87|;12|2218|;</v>
      </c>
      <c r="T278" s="165" t="str">
        <f ca="1">OFFSET(buff!$C$1,MATCH(W278,buff!A:A,0)-1,0)</f>
        <v>每回合有70%概率叠加2层炎息</v>
      </c>
      <c r="U278" s="166"/>
      <c r="V278" s="166">
        <v>10000</v>
      </c>
      <c r="W278">
        <f ca="1" t="shared" si="301"/>
        <v>320308</v>
      </c>
      <c r="Z278" s="153">
        <f t="shared" si="285"/>
        <v>8</v>
      </c>
      <c r="AA278" s="153">
        <f ca="1">OFFSET(passive_type!$I$1,MATCH(C278,passive_type!A:A,0)-1,0)</f>
        <v>2</v>
      </c>
      <c r="AB278" s="153">
        <v>400015</v>
      </c>
      <c r="AC278" s="78">
        <v>18400</v>
      </c>
      <c r="AD278" s="153">
        <f ca="1" t="shared" si="302"/>
        <v>320309</v>
      </c>
      <c r="AE278" s="153">
        <v>0</v>
      </c>
      <c r="AF278" s="153">
        <f ca="1">OFFSET(passive_type!$L$1,MATCH(B278,passive_type!B:B,0)-1,0)</f>
        <v>2</v>
      </c>
      <c r="AG278">
        <f ca="1">OFFSET(passive_type!$R$1,MATCH(B278,passive_type!B:B,0)-1,0)</f>
        <v>1300024</v>
      </c>
      <c r="AH278" s="78">
        <v>216</v>
      </c>
      <c r="AI278">
        <f ca="1">IF(Z278=0,0,VLOOKUP(F278,心法辅助配置表!Q:X,AF278+1,FALSE))</f>
        <v>801</v>
      </c>
    </row>
    <row r="279" spans="1:35">
      <c r="A279">
        <f ca="1" t="shared" si="299"/>
        <v>320309</v>
      </c>
      <c r="B279" s="160" t="s">
        <v>2880</v>
      </c>
      <c r="C279">
        <f ca="1">OFFSET(passive_type!$A$1,MATCH(B279,passive_type!B:B,0)-1,0)</f>
        <v>3203</v>
      </c>
      <c r="D279" s="157" t="s">
        <v>2930</v>
      </c>
      <c r="E279">
        <v>21</v>
      </c>
      <c r="F279" s="158">
        <f ca="1">(OFFSET(passive_type!$E$1,MATCH(C279,passive_type!A:A,0)-1,0)*10+AA279)*100+Z279</f>
        <v>3209</v>
      </c>
      <c r="G279" s="22">
        <f ca="1">IF(Z279=0,0,VLOOKUP(F279,心法辅助配置表!$G$2:$O$91,AF279+2,FALSE))</f>
        <v>69</v>
      </c>
      <c r="I279" s="152"/>
      <c r="J279" s="152"/>
      <c r="K279" s="78">
        <f ca="1">G279</f>
        <v>69</v>
      </c>
      <c r="L279" s="152"/>
      <c r="M279" s="78">
        <f ca="1" t="shared" ref="M279:O279" si="319">J279+M278</f>
        <v>347</v>
      </c>
      <c r="N279" s="78">
        <f ca="1" t="shared" si="319"/>
        <v>156</v>
      </c>
      <c r="O279" s="78">
        <f ca="1" t="shared" si="319"/>
        <v>2218</v>
      </c>
      <c r="P279" s="78" t="str">
        <f ca="1" t="shared" si="280"/>
        <v>11|347|;</v>
      </c>
      <c r="Q279" s="78" t="str">
        <f ca="1" t="shared" si="281"/>
        <v>21|156|;</v>
      </c>
      <c r="R279" s="78" t="str">
        <f ca="1" t="shared" si="282"/>
        <v>12|2218|;</v>
      </c>
      <c r="S279" s="78" t="str">
        <f ca="1" t="shared" si="311"/>
        <v>11|347|;21|156|;12|2218|;</v>
      </c>
      <c r="T279" s="165" t="str">
        <f ca="1">OFFSET(buff!$C$1,MATCH(W279,buff!A:A,0)-1,0)</f>
        <v>每回合有75%概率叠加2层炎息</v>
      </c>
      <c r="U279" s="166"/>
      <c r="V279" s="166">
        <v>10000</v>
      </c>
      <c r="W279">
        <f ca="1" t="shared" si="301"/>
        <v>320309</v>
      </c>
      <c r="Z279" s="153">
        <f t="shared" si="285"/>
        <v>9</v>
      </c>
      <c r="AA279" s="153">
        <f ca="1">OFFSET(passive_type!$I$1,MATCH(C279,passive_type!A:A,0)-1,0)</f>
        <v>2</v>
      </c>
      <c r="AB279" s="153">
        <v>400015</v>
      </c>
      <c r="AC279" s="78">
        <v>27200</v>
      </c>
      <c r="AD279" s="153">
        <f ca="1" t="shared" si="302"/>
        <v>320310</v>
      </c>
      <c r="AE279" s="153">
        <v>0</v>
      </c>
      <c r="AF279" s="153">
        <f ca="1">OFFSET(passive_type!$L$1,MATCH(B279,passive_type!B:B,0)-1,0)</f>
        <v>2</v>
      </c>
      <c r="AG279">
        <f ca="1">OFFSET(passive_type!$R$1,MATCH(B279,passive_type!B:B,0)-1,0)</f>
        <v>1300024</v>
      </c>
      <c r="AH279">
        <v>300</v>
      </c>
      <c r="AI279">
        <f ca="1">IF(Z279=0,0,VLOOKUP(F279,心法辅助配置表!Q:X,AF279+1,FALSE))</f>
        <v>868</v>
      </c>
    </row>
    <row r="280" spans="1:35">
      <c r="A280">
        <f ca="1" t="shared" si="299"/>
        <v>320310</v>
      </c>
      <c r="B280" s="160" t="s">
        <v>2880</v>
      </c>
      <c r="C280">
        <f ca="1">OFFSET(passive_type!$A$1,MATCH(B280,passive_type!B:B,0)-1,0)</f>
        <v>3203</v>
      </c>
      <c r="D280" s="157" t="s">
        <v>2928</v>
      </c>
      <c r="E280">
        <v>12</v>
      </c>
      <c r="F280" s="158">
        <f ca="1">(OFFSET(passive_type!$E$1,MATCH(C280,passive_type!A:A,0)-1,0)*10+AA280)*100+Z280</f>
        <v>3210</v>
      </c>
      <c r="G280" s="22">
        <f ca="1">IF(Z280=0,0,VLOOKUP(F280,心法辅助配置表!$G$2:$O$91,AF280+2,FALSE))</f>
        <v>1232</v>
      </c>
      <c r="I280" s="152"/>
      <c r="J280" s="152"/>
      <c r="K280" s="152"/>
      <c r="L280" s="78">
        <f ca="1">G280</f>
        <v>1232</v>
      </c>
      <c r="M280" s="78">
        <f ca="1" t="shared" ref="M280:O280" si="320">J280+M279</f>
        <v>347</v>
      </c>
      <c r="N280" s="78">
        <f ca="1" t="shared" si="320"/>
        <v>156</v>
      </c>
      <c r="O280" s="78">
        <f ca="1" t="shared" si="320"/>
        <v>3450</v>
      </c>
      <c r="P280" s="78" t="str">
        <f ca="1" t="shared" si="280"/>
        <v>11|347|;</v>
      </c>
      <c r="Q280" s="78" t="str">
        <f ca="1" t="shared" si="281"/>
        <v>21|156|;</v>
      </c>
      <c r="R280" s="78" t="str">
        <f ca="1" t="shared" si="282"/>
        <v>12|3450|;</v>
      </c>
      <c r="S280" s="78" t="str">
        <f ca="1" t="shared" si="311"/>
        <v>11|347|;21|156|;12|3450|;</v>
      </c>
      <c r="T280" s="165" t="str">
        <f ca="1">OFFSET(buff!$C$1,MATCH(W280,buff!A:A,0)-1,0)</f>
        <v>每回合有80%概率叠加3层炎息</v>
      </c>
      <c r="U280" s="166"/>
      <c r="V280" s="166">
        <v>10000</v>
      </c>
      <c r="W280">
        <f ca="1" t="shared" si="301"/>
        <v>320310</v>
      </c>
      <c r="Z280" s="153">
        <f t="shared" si="285"/>
        <v>10</v>
      </c>
      <c r="AA280" s="153">
        <f ca="1">OFFSET(passive_type!$I$1,MATCH(C280,passive_type!A:A,0)-1,0)</f>
        <v>2</v>
      </c>
      <c r="AB280" s="153">
        <v>400015</v>
      </c>
      <c r="AD280" s="153">
        <f t="shared" si="302"/>
        <v>0</v>
      </c>
      <c r="AE280" s="153">
        <v>0</v>
      </c>
      <c r="AF280" s="153">
        <f ca="1">OFFSET(passive_type!$L$1,MATCH(B280,passive_type!B:B,0)-1,0)</f>
        <v>2</v>
      </c>
      <c r="AG280">
        <f ca="1">OFFSET(passive_type!$R$1,MATCH(B280,passive_type!B:B,0)-1,0)</f>
        <v>1300024</v>
      </c>
      <c r="AH280">
        <f>IF(AD280=0,0,20)</f>
        <v>0</v>
      </c>
      <c r="AI280">
        <f ca="1">IF(Z280=0,0,VLOOKUP(F280,心法辅助配置表!Q:X,AF280+1,FALSE))</f>
        <v>935</v>
      </c>
    </row>
    <row r="281" spans="2:27">
      <c r="B281" s="165" t="s">
        <v>1597</v>
      </c>
      <c r="C281" t="e">
        <f ca="1">OFFSET(passive_type!$A$1,MATCH(B281,passive_type!B:B,0)-1,0)</f>
        <v>#N/A</v>
      </c>
      <c r="D281" t="s">
        <v>2931</v>
      </c>
      <c r="F281" s="158" t="e">
        <f ca="1">(OFFSET(passive_type!$E$1,MATCH(C281,passive_type!A:A,0)-1,0)*10+AA281)*100+Z281</f>
        <v>#N/A</v>
      </c>
      <c r="S281" s="78" t="str">
        <f t="shared" si="311"/>
        <v/>
      </c>
      <c r="T281" s="91"/>
      <c r="U281" s="91"/>
      <c r="V281" s="166"/>
      <c r="W281">
        <f t="shared" si="301"/>
        <v>0</v>
      </c>
      <c r="AA281" s="153" t="e">
        <f ca="1">OFFSET(passive_type!$I$1,MATCH(C281,passive_type!A:A,0)-1,0)</f>
        <v>#N/A</v>
      </c>
    </row>
    <row r="282" spans="2:27">
      <c r="B282" s="1" t="s">
        <v>1605</v>
      </c>
      <c r="C282" t="e">
        <f ca="1">OFFSET(passive_type!$A$1,MATCH(B282,passive_type!B:B,0)-1,0)</f>
        <v>#N/A</v>
      </c>
      <c r="D282" t="s">
        <v>2931</v>
      </c>
      <c r="F282" s="158" t="e">
        <f ca="1">(OFFSET(passive_type!$E$1,MATCH(C282,passive_type!A:A,0)-1,0)*10+AA282)*100+Z282</f>
        <v>#N/A</v>
      </c>
      <c r="S282" s="78" t="str">
        <f t="shared" si="311"/>
        <v/>
      </c>
      <c r="T282" s="91"/>
      <c r="U282" s="91"/>
      <c r="V282" s="166"/>
      <c r="W282">
        <f t="shared" si="301"/>
        <v>0</v>
      </c>
      <c r="AA282" s="153" t="e">
        <f ca="1">OFFSET(passive_type!$I$1,MATCH(C282,passive_type!A:A,0)-1,0)</f>
        <v>#N/A</v>
      </c>
    </row>
    <row r="283" spans="2:27">
      <c r="B283" s="91" t="s">
        <v>2932</v>
      </c>
      <c r="C283" t="e">
        <f ca="1">OFFSET(passive_type!$A$1,MATCH(B283,passive_type!B:B,0)-1,0)</f>
        <v>#N/A</v>
      </c>
      <c r="D283" t="s">
        <v>2931</v>
      </c>
      <c r="F283" s="158" t="e">
        <f ca="1">(OFFSET(passive_type!$E$1,MATCH(C283,passive_type!A:A,0)-1,0)*10+AA283)*100+Z283</f>
        <v>#N/A</v>
      </c>
      <c r="S283" s="78" t="str">
        <f t="shared" si="311"/>
        <v/>
      </c>
      <c r="T283" s="91"/>
      <c r="U283" s="91"/>
      <c r="V283" s="166"/>
      <c r="W283">
        <f t="shared" si="301"/>
        <v>0</v>
      </c>
      <c r="AA283" s="153" t="e">
        <f ca="1">OFFSET(passive_type!$I$1,MATCH(C283,passive_type!A:A,0)-1,0)</f>
        <v>#N/A</v>
      </c>
    </row>
  </sheetData>
  <autoFilter xmlns:etc="http://www.wps.cn/officeDocument/2017/etCustomData" ref="A5:AE283" etc:filterBottomFollowUsedRange="0">
    <extLst/>
  </autoFilter>
  <conditionalFormatting sqref="A1:A5">
    <cfRule type="duplicateValues" dxfId="9" priority="21"/>
  </conditionalFormatting>
  <conditionalFormatting sqref="B39:B49">
    <cfRule type="duplicateValues" dxfId="9" priority="20"/>
  </conditionalFormatting>
  <conditionalFormatting sqref="B61:B71">
    <cfRule type="duplicateValues" dxfId="9" priority="19"/>
  </conditionalFormatting>
  <conditionalFormatting sqref="B72:B82">
    <cfRule type="duplicateValues" dxfId="9" priority="18"/>
  </conditionalFormatting>
  <conditionalFormatting sqref="B83:B93">
    <cfRule type="duplicateValues" dxfId="9" priority="17"/>
  </conditionalFormatting>
  <conditionalFormatting sqref="B94:B104">
    <cfRule type="duplicateValues" dxfId="9" priority="16"/>
  </conditionalFormatting>
  <conditionalFormatting sqref="B105:B115">
    <cfRule type="duplicateValues" dxfId="9" priority="15"/>
  </conditionalFormatting>
  <conditionalFormatting sqref="B116:B126">
    <cfRule type="duplicateValues" dxfId="9" priority="14"/>
  </conditionalFormatting>
  <conditionalFormatting sqref="B127:B148">
    <cfRule type="duplicateValues" dxfId="9" priority="13"/>
  </conditionalFormatting>
  <conditionalFormatting sqref="B149:B159">
    <cfRule type="duplicateValues" dxfId="9" priority="12"/>
  </conditionalFormatting>
  <conditionalFormatting sqref="B160:B170">
    <cfRule type="duplicateValues" dxfId="9" priority="11"/>
  </conditionalFormatting>
  <conditionalFormatting sqref="B171:B181">
    <cfRule type="duplicateValues" dxfId="9" priority="1"/>
  </conditionalFormatting>
  <conditionalFormatting sqref="B182:B192">
    <cfRule type="duplicateValues" dxfId="9" priority="10"/>
  </conditionalFormatting>
  <conditionalFormatting sqref="B193:B203">
    <cfRule type="duplicateValues" dxfId="9" priority="9"/>
  </conditionalFormatting>
  <conditionalFormatting sqref="B204:B214">
    <cfRule type="duplicateValues" dxfId="9" priority="8"/>
  </conditionalFormatting>
  <conditionalFormatting sqref="B215:B225">
    <cfRule type="duplicateValues" dxfId="9" priority="7"/>
  </conditionalFormatting>
  <conditionalFormatting sqref="B226:B236">
    <cfRule type="duplicateValues" dxfId="9" priority="6"/>
  </conditionalFormatting>
  <conditionalFormatting sqref="B237:B247">
    <cfRule type="duplicateValues" dxfId="9" priority="5"/>
  </conditionalFormatting>
  <conditionalFormatting sqref="B248:B258">
    <cfRule type="duplicateValues" dxfId="9" priority="4"/>
  </conditionalFormatting>
  <conditionalFormatting sqref="B259:B269">
    <cfRule type="duplicateValues" dxfId="9" priority="3"/>
  </conditionalFormatting>
  <conditionalFormatting sqref="B270:B280">
    <cfRule type="duplicateValues" dxfId="9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C91"/>
  <sheetViews>
    <sheetView topLeftCell="J1" workbookViewId="0">
      <selection activeCell="Z1" sqref="Z1"/>
    </sheetView>
  </sheetViews>
  <sheetFormatPr defaultColWidth="9" defaultRowHeight="13.85"/>
  <cols>
    <col min="26" max="26" width="12.8761061946903" customWidth="1"/>
  </cols>
  <sheetData>
    <row r="1" spans="7:29">
      <c r="G1" t="s">
        <v>2933</v>
      </c>
      <c r="H1" t="s">
        <v>1093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Q1" t="s">
        <v>2913</v>
      </c>
      <c r="R1">
        <v>1</v>
      </c>
      <c r="S1">
        <v>2</v>
      </c>
      <c r="T1">
        <v>3</v>
      </c>
      <c r="U1">
        <v>4</v>
      </c>
      <c r="V1">
        <v>5</v>
      </c>
      <c r="W1">
        <v>6</v>
      </c>
      <c r="X1">
        <v>7</v>
      </c>
      <c r="Z1" t="s">
        <v>2934</v>
      </c>
      <c r="AA1" t="s">
        <v>1099</v>
      </c>
      <c r="AB1" t="s">
        <v>1100</v>
      </c>
      <c r="AC1" t="s">
        <v>1101</v>
      </c>
    </row>
    <row r="2" ht="15" spans="3:21">
      <c r="C2">
        <v>1</v>
      </c>
      <c r="D2" s="150" t="s">
        <v>2935</v>
      </c>
      <c r="E2" t="s">
        <v>2936</v>
      </c>
      <c r="F2">
        <v>1</v>
      </c>
      <c r="G2" s="150">
        <f t="shared" ref="G2:G11" si="0">(F2*10+2)*100+H2</f>
        <v>1201</v>
      </c>
      <c r="H2">
        <v>1</v>
      </c>
      <c r="I2" s="22">
        <v>188</v>
      </c>
      <c r="J2" s="22">
        <v>444</v>
      </c>
      <c r="K2" s="22">
        <v>1094</v>
      </c>
      <c r="L2" s="22">
        <v>2629</v>
      </c>
      <c r="M2" s="22">
        <v>5994</v>
      </c>
      <c r="N2" s="22">
        <v>10388</v>
      </c>
      <c r="O2" s="22">
        <v>16528</v>
      </c>
      <c r="P2" s="22"/>
      <c r="Q2">
        <f>G2</f>
        <v>1201</v>
      </c>
      <c r="R2">
        <f>AA4</f>
        <v>144</v>
      </c>
      <c r="S2">
        <f>AA14</f>
        <v>334</v>
      </c>
      <c r="T2">
        <f>AA24</f>
        <v>786</v>
      </c>
      <c r="U2">
        <f>AA34</f>
        <v>865</v>
      </c>
    </row>
    <row r="3" ht="15" spans="5:29">
      <c r="E3" t="s">
        <v>2937</v>
      </c>
      <c r="F3">
        <v>1</v>
      </c>
      <c r="G3" s="150">
        <f t="shared" si="0"/>
        <v>1202</v>
      </c>
      <c r="H3">
        <v>2</v>
      </c>
      <c r="I3" s="22">
        <v>31</v>
      </c>
      <c r="J3" s="22">
        <v>69</v>
      </c>
      <c r="K3" s="22">
        <v>155</v>
      </c>
      <c r="L3" s="22">
        <v>343</v>
      </c>
      <c r="M3" s="22">
        <v>756</v>
      </c>
      <c r="N3" s="22">
        <v>1141</v>
      </c>
      <c r="O3" s="22">
        <v>1595</v>
      </c>
      <c r="P3" s="22"/>
      <c r="Q3">
        <f t="shared" ref="Q3:Q34" si="1">G3</f>
        <v>1202</v>
      </c>
      <c r="R3">
        <f t="shared" ref="R3:R11" si="2">AA5</f>
        <v>172</v>
      </c>
      <c r="S3">
        <f t="shared" ref="S3:S11" si="3">AA15</f>
        <v>401</v>
      </c>
      <c r="T3">
        <f t="shared" ref="T3:T11" si="4">AA25</f>
        <v>943</v>
      </c>
      <c r="U3">
        <f t="shared" ref="U3:U11" si="5">AA35</f>
        <v>1038</v>
      </c>
      <c r="AA3" t="s">
        <v>1105</v>
      </c>
      <c r="AB3" t="s">
        <v>1105</v>
      </c>
      <c r="AC3" t="s">
        <v>1105</v>
      </c>
    </row>
    <row r="4" ht="15" spans="5:29">
      <c r="E4" t="s">
        <v>2938</v>
      </c>
      <c r="F4">
        <v>1</v>
      </c>
      <c r="G4" s="150">
        <f t="shared" si="0"/>
        <v>1203</v>
      </c>
      <c r="H4">
        <v>3</v>
      </c>
      <c r="I4" s="22">
        <v>19</v>
      </c>
      <c r="J4" s="22">
        <v>43</v>
      </c>
      <c r="K4" s="22">
        <v>96</v>
      </c>
      <c r="L4" s="22">
        <v>211</v>
      </c>
      <c r="M4" s="22">
        <v>467</v>
      </c>
      <c r="N4" s="22">
        <v>704</v>
      </c>
      <c r="O4" s="22">
        <v>985</v>
      </c>
      <c r="P4" s="22"/>
      <c r="Q4">
        <f t="shared" si="1"/>
        <v>1203</v>
      </c>
      <c r="R4">
        <f t="shared" si="2"/>
        <v>201</v>
      </c>
      <c r="S4">
        <f t="shared" si="3"/>
        <v>467</v>
      </c>
      <c r="T4">
        <f t="shared" si="4"/>
        <v>1101</v>
      </c>
      <c r="U4">
        <f t="shared" si="5"/>
        <v>1211</v>
      </c>
      <c r="Z4">
        <v>1</v>
      </c>
      <c r="AA4">
        <v>144</v>
      </c>
      <c r="AB4">
        <v>287</v>
      </c>
      <c r="AC4">
        <v>431</v>
      </c>
    </row>
    <row r="5" ht="15" spans="5:29">
      <c r="E5" t="s">
        <v>2936</v>
      </c>
      <c r="F5">
        <v>1</v>
      </c>
      <c r="G5" s="150">
        <f t="shared" si="0"/>
        <v>1204</v>
      </c>
      <c r="H5">
        <v>4</v>
      </c>
      <c r="I5" s="22">
        <v>282</v>
      </c>
      <c r="J5" s="22">
        <v>665</v>
      </c>
      <c r="K5" s="22">
        <v>1641</v>
      </c>
      <c r="L5" s="22">
        <v>3943</v>
      </c>
      <c r="M5" s="22">
        <v>8991</v>
      </c>
      <c r="N5" s="22">
        <v>15583</v>
      </c>
      <c r="O5" s="22">
        <v>24791</v>
      </c>
      <c r="P5" s="22"/>
      <c r="Q5">
        <f t="shared" si="1"/>
        <v>1204</v>
      </c>
      <c r="R5">
        <f t="shared" si="2"/>
        <v>230</v>
      </c>
      <c r="S5">
        <f t="shared" si="3"/>
        <v>534</v>
      </c>
      <c r="T5">
        <f t="shared" si="4"/>
        <v>1258</v>
      </c>
      <c r="U5">
        <f t="shared" si="5"/>
        <v>1384</v>
      </c>
      <c r="Z5">
        <v>2</v>
      </c>
      <c r="AA5">
        <v>172</v>
      </c>
      <c r="AB5">
        <v>345</v>
      </c>
      <c r="AC5">
        <v>517</v>
      </c>
    </row>
    <row r="6" ht="15" spans="5:29">
      <c r="E6" t="s">
        <v>2937</v>
      </c>
      <c r="F6">
        <v>1</v>
      </c>
      <c r="G6" s="150">
        <f t="shared" si="0"/>
        <v>1205</v>
      </c>
      <c r="H6">
        <v>5</v>
      </c>
      <c r="I6" s="22">
        <v>46</v>
      </c>
      <c r="J6" s="22">
        <v>104</v>
      </c>
      <c r="K6" s="22">
        <v>232</v>
      </c>
      <c r="L6" s="22">
        <v>514</v>
      </c>
      <c r="M6" s="22">
        <v>1135</v>
      </c>
      <c r="N6" s="22">
        <v>1712</v>
      </c>
      <c r="O6" s="22">
        <v>2393</v>
      </c>
      <c r="P6" s="22"/>
      <c r="Q6">
        <f t="shared" si="1"/>
        <v>1205</v>
      </c>
      <c r="R6">
        <f t="shared" si="2"/>
        <v>259</v>
      </c>
      <c r="S6">
        <f t="shared" si="3"/>
        <v>601</v>
      </c>
      <c r="T6">
        <f t="shared" si="4"/>
        <v>1415</v>
      </c>
      <c r="U6">
        <f t="shared" si="5"/>
        <v>1557</v>
      </c>
      <c r="Z6">
        <v>3</v>
      </c>
      <c r="AA6">
        <v>201</v>
      </c>
      <c r="AB6">
        <v>402</v>
      </c>
      <c r="AC6">
        <v>603</v>
      </c>
    </row>
    <row r="7" ht="15" spans="5:29">
      <c r="E7" t="s">
        <v>2938</v>
      </c>
      <c r="F7">
        <v>1</v>
      </c>
      <c r="G7" s="150">
        <f t="shared" si="0"/>
        <v>1206</v>
      </c>
      <c r="H7">
        <v>6</v>
      </c>
      <c r="I7" s="22">
        <v>29</v>
      </c>
      <c r="J7" s="22">
        <v>64</v>
      </c>
      <c r="K7" s="22">
        <v>143</v>
      </c>
      <c r="L7" s="22">
        <v>317</v>
      </c>
      <c r="M7" s="22">
        <v>700</v>
      </c>
      <c r="N7" s="22">
        <v>1057</v>
      </c>
      <c r="O7" s="22">
        <v>1477</v>
      </c>
      <c r="P7" s="22"/>
      <c r="Q7">
        <f t="shared" si="1"/>
        <v>1206</v>
      </c>
      <c r="R7">
        <f t="shared" si="2"/>
        <v>287</v>
      </c>
      <c r="S7">
        <f t="shared" si="3"/>
        <v>668</v>
      </c>
      <c r="T7">
        <f t="shared" si="4"/>
        <v>1572</v>
      </c>
      <c r="U7">
        <f t="shared" si="5"/>
        <v>1729</v>
      </c>
      <c r="Z7">
        <v>4</v>
      </c>
      <c r="AA7">
        <v>230</v>
      </c>
      <c r="AB7">
        <v>460</v>
      </c>
      <c r="AC7">
        <v>690</v>
      </c>
    </row>
    <row r="8" ht="15" spans="5:29">
      <c r="E8" t="s">
        <v>2936</v>
      </c>
      <c r="F8">
        <v>1</v>
      </c>
      <c r="G8" s="150">
        <f t="shared" si="0"/>
        <v>1207</v>
      </c>
      <c r="H8">
        <v>7</v>
      </c>
      <c r="I8" s="22">
        <v>376</v>
      </c>
      <c r="J8" s="22">
        <v>887</v>
      </c>
      <c r="K8" s="22">
        <v>2188</v>
      </c>
      <c r="L8" s="22">
        <v>5257</v>
      </c>
      <c r="M8" s="22">
        <v>11989</v>
      </c>
      <c r="N8" s="22">
        <v>20777</v>
      </c>
      <c r="O8" s="22">
        <v>33055</v>
      </c>
      <c r="P8" s="22"/>
      <c r="Q8">
        <f t="shared" si="1"/>
        <v>1207</v>
      </c>
      <c r="R8">
        <f t="shared" si="2"/>
        <v>316</v>
      </c>
      <c r="S8">
        <f t="shared" si="3"/>
        <v>735</v>
      </c>
      <c r="T8">
        <f t="shared" si="4"/>
        <v>1729</v>
      </c>
      <c r="U8">
        <f t="shared" si="5"/>
        <v>1902</v>
      </c>
      <c r="Z8">
        <v>5</v>
      </c>
      <c r="AA8">
        <v>259</v>
      </c>
      <c r="AB8">
        <v>517</v>
      </c>
      <c r="AC8">
        <v>776</v>
      </c>
    </row>
    <row r="9" ht="15" spans="5:29">
      <c r="E9" t="s">
        <v>2937</v>
      </c>
      <c r="F9">
        <v>1</v>
      </c>
      <c r="G9" s="150">
        <f t="shared" si="0"/>
        <v>1208</v>
      </c>
      <c r="H9">
        <v>8</v>
      </c>
      <c r="I9" s="22">
        <v>61</v>
      </c>
      <c r="J9" s="22">
        <v>139</v>
      </c>
      <c r="K9" s="22">
        <v>309</v>
      </c>
      <c r="L9" s="22">
        <v>685</v>
      </c>
      <c r="M9" s="22">
        <v>1513</v>
      </c>
      <c r="N9" s="22">
        <v>2282</v>
      </c>
      <c r="O9" s="22">
        <v>3191</v>
      </c>
      <c r="P9" s="22"/>
      <c r="Q9">
        <f t="shared" si="1"/>
        <v>1208</v>
      </c>
      <c r="R9">
        <f t="shared" si="2"/>
        <v>345</v>
      </c>
      <c r="S9">
        <f t="shared" si="3"/>
        <v>801</v>
      </c>
      <c r="T9">
        <f t="shared" si="4"/>
        <v>1887</v>
      </c>
      <c r="U9">
        <f t="shared" si="5"/>
        <v>2075</v>
      </c>
      <c r="Z9">
        <v>6</v>
      </c>
      <c r="AA9">
        <v>287</v>
      </c>
      <c r="AB9">
        <v>575</v>
      </c>
      <c r="AC9">
        <v>862</v>
      </c>
    </row>
    <row r="10" ht="15" spans="5:29">
      <c r="E10" t="s">
        <v>2938</v>
      </c>
      <c r="F10">
        <v>1</v>
      </c>
      <c r="G10" s="150">
        <f t="shared" si="0"/>
        <v>1209</v>
      </c>
      <c r="H10">
        <v>9</v>
      </c>
      <c r="I10" s="22">
        <v>38</v>
      </c>
      <c r="J10" s="22">
        <v>85</v>
      </c>
      <c r="K10" s="22">
        <v>191</v>
      </c>
      <c r="L10" s="22">
        <v>423</v>
      </c>
      <c r="M10" s="22">
        <v>934</v>
      </c>
      <c r="N10" s="22">
        <v>1409</v>
      </c>
      <c r="O10" s="22">
        <v>1970</v>
      </c>
      <c r="P10" s="22"/>
      <c r="Q10">
        <f t="shared" si="1"/>
        <v>1209</v>
      </c>
      <c r="R10">
        <f t="shared" si="2"/>
        <v>374</v>
      </c>
      <c r="S10">
        <f t="shared" si="3"/>
        <v>868</v>
      </c>
      <c r="T10">
        <f t="shared" si="4"/>
        <v>2044</v>
      </c>
      <c r="U10">
        <f t="shared" si="5"/>
        <v>2248</v>
      </c>
      <c r="Z10">
        <v>7</v>
      </c>
      <c r="AA10">
        <v>316</v>
      </c>
      <c r="AB10">
        <v>632</v>
      </c>
      <c r="AC10">
        <v>948</v>
      </c>
    </row>
    <row r="11" ht="15" spans="5:29">
      <c r="E11" t="s">
        <v>2936</v>
      </c>
      <c r="F11">
        <v>1</v>
      </c>
      <c r="G11" s="150">
        <f t="shared" si="0"/>
        <v>1210</v>
      </c>
      <c r="H11">
        <v>10</v>
      </c>
      <c r="I11" s="22">
        <v>470</v>
      </c>
      <c r="J11" s="22">
        <v>1109</v>
      </c>
      <c r="K11" s="22">
        <v>2735</v>
      </c>
      <c r="L11" s="22">
        <v>6571</v>
      </c>
      <c r="M11" s="22">
        <v>14986</v>
      </c>
      <c r="N11" s="22">
        <v>25971</v>
      </c>
      <c r="O11" s="22">
        <v>41319</v>
      </c>
      <c r="P11" s="22"/>
      <c r="Q11">
        <f t="shared" si="1"/>
        <v>1210</v>
      </c>
      <c r="R11">
        <f t="shared" si="2"/>
        <v>402</v>
      </c>
      <c r="S11">
        <f t="shared" si="3"/>
        <v>935</v>
      </c>
      <c r="T11">
        <f t="shared" si="4"/>
        <v>2201</v>
      </c>
      <c r="U11">
        <f t="shared" si="5"/>
        <v>2421</v>
      </c>
      <c r="Z11">
        <v>8</v>
      </c>
      <c r="AA11">
        <v>345</v>
      </c>
      <c r="AB11">
        <v>690</v>
      </c>
      <c r="AC11">
        <v>1035</v>
      </c>
    </row>
    <row r="12" ht="15" spans="5:29">
      <c r="E12" s="151" t="s">
        <v>2936</v>
      </c>
      <c r="F12">
        <v>1</v>
      </c>
      <c r="G12" s="150">
        <f t="shared" ref="G12:G21" si="6">(F12*10+3)*100+H12</f>
        <v>1301</v>
      </c>
      <c r="H12" s="151">
        <v>1</v>
      </c>
      <c r="I12" s="151">
        <v>313</v>
      </c>
      <c r="J12" s="151">
        <v>740</v>
      </c>
      <c r="K12" s="151">
        <v>1823</v>
      </c>
      <c r="L12" s="151">
        <v>4382</v>
      </c>
      <c r="M12" s="151">
        <v>9990</v>
      </c>
      <c r="N12" s="151">
        <v>17313</v>
      </c>
      <c r="O12" s="151">
        <v>27547</v>
      </c>
      <c r="P12" s="151"/>
      <c r="Q12">
        <f t="shared" si="1"/>
        <v>1301</v>
      </c>
      <c r="R12">
        <f>AB4</f>
        <v>287</v>
      </c>
      <c r="S12">
        <f>AB14</f>
        <v>668</v>
      </c>
      <c r="T12">
        <f>AB24</f>
        <v>1572</v>
      </c>
      <c r="U12">
        <f>AB34</f>
        <v>1729</v>
      </c>
      <c r="Z12">
        <v>9</v>
      </c>
      <c r="AA12">
        <v>374</v>
      </c>
      <c r="AB12">
        <v>747</v>
      </c>
      <c r="AC12">
        <v>1121</v>
      </c>
    </row>
    <row r="13" ht="15" spans="5:29">
      <c r="E13" s="151" t="s">
        <v>2937</v>
      </c>
      <c r="F13">
        <v>1</v>
      </c>
      <c r="G13" s="150">
        <f t="shared" si="6"/>
        <v>1302</v>
      </c>
      <c r="H13" s="151">
        <v>2</v>
      </c>
      <c r="I13" s="151">
        <v>52</v>
      </c>
      <c r="J13" s="151">
        <v>115</v>
      </c>
      <c r="K13" s="151">
        <v>258</v>
      </c>
      <c r="L13" s="151">
        <v>572</v>
      </c>
      <c r="M13" s="151">
        <v>1260</v>
      </c>
      <c r="N13" s="151">
        <v>1902</v>
      </c>
      <c r="O13" s="151">
        <v>2658</v>
      </c>
      <c r="P13" s="151"/>
      <c r="Q13">
        <f t="shared" si="1"/>
        <v>1302</v>
      </c>
      <c r="R13">
        <f t="shared" ref="R13:R21" si="7">AB5</f>
        <v>345</v>
      </c>
      <c r="S13">
        <f t="shared" ref="S13:S21" si="8">AB15</f>
        <v>801</v>
      </c>
      <c r="T13">
        <f t="shared" ref="T13:T21" si="9">AB25</f>
        <v>1887</v>
      </c>
      <c r="U13">
        <f t="shared" ref="U13:U21" si="10">AB35</f>
        <v>2075</v>
      </c>
      <c r="Z13">
        <v>10</v>
      </c>
      <c r="AA13">
        <v>402</v>
      </c>
      <c r="AB13">
        <v>805</v>
      </c>
      <c r="AC13">
        <v>1207</v>
      </c>
    </row>
    <row r="14" ht="15" spans="5:29">
      <c r="E14" s="151" t="s">
        <v>2938</v>
      </c>
      <c r="F14">
        <v>1</v>
      </c>
      <c r="G14" s="150">
        <f t="shared" si="6"/>
        <v>1303</v>
      </c>
      <c r="H14" s="151">
        <v>3</v>
      </c>
      <c r="I14" s="151">
        <v>32</v>
      </c>
      <c r="J14" s="151">
        <v>72</v>
      </c>
      <c r="K14" s="151">
        <v>160</v>
      </c>
      <c r="L14" s="151">
        <v>352</v>
      </c>
      <c r="M14" s="151">
        <v>778</v>
      </c>
      <c r="N14" s="151">
        <v>1173</v>
      </c>
      <c r="O14" s="151">
        <v>1642</v>
      </c>
      <c r="P14" s="151"/>
      <c r="Q14">
        <f t="shared" si="1"/>
        <v>1303</v>
      </c>
      <c r="R14">
        <f t="shared" si="7"/>
        <v>402</v>
      </c>
      <c r="S14">
        <f t="shared" si="8"/>
        <v>935</v>
      </c>
      <c r="T14">
        <f t="shared" si="9"/>
        <v>2201</v>
      </c>
      <c r="U14">
        <f t="shared" si="10"/>
        <v>2421</v>
      </c>
      <c r="Z14">
        <v>1</v>
      </c>
      <c r="AA14">
        <v>334</v>
      </c>
      <c r="AB14">
        <v>668</v>
      </c>
      <c r="AC14">
        <v>1002</v>
      </c>
    </row>
    <row r="15" ht="15" spans="5:29">
      <c r="E15" s="151" t="s">
        <v>2936</v>
      </c>
      <c r="F15">
        <v>1</v>
      </c>
      <c r="G15" s="150">
        <f t="shared" si="6"/>
        <v>1304</v>
      </c>
      <c r="H15" s="151">
        <v>4</v>
      </c>
      <c r="I15" s="151">
        <v>470</v>
      </c>
      <c r="J15" s="151">
        <v>1108</v>
      </c>
      <c r="K15" s="151">
        <v>2735</v>
      </c>
      <c r="L15" s="151">
        <v>6572</v>
      </c>
      <c r="M15" s="151">
        <v>14985</v>
      </c>
      <c r="N15" s="151">
        <v>25972</v>
      </c>
      <c r="O15" s="151">
        <v>41318</v>
      </c>
      <c r="P15" s="151"/>
      <c r="Q15">
        <f t="shared" si="1"/>
        <v>1304</v>
      </c>
      <c r="R15">
        <f t="shared" si="7"/>
        <v>460</v>
      </c>
      <c r="S15">
        <f t="shared" si="8"/>
        <v>1068</v>
      </c>
      <c r="T15">
        <f t="shared" si="9"/>
        <v>2516</v>
      </c>
      <c r="U15">
        <f t="shared" si="10"/>
        <v>2767</v>
      </c>
      <c r="Z15">
        <v>2</v>
      </c>
      <c r="AA15">
        <v>401</v>
      </c>
      <c r="AB15">
        <v>801</v>
      </c>
      <c r="AC15">
        <v>1202</v>
      </c>
    </row>
    <row r="16" ht="15" spans="5:29">
      <c r="E16" s="151" t="s">
        <v>2937</v>
      </c>
      <c r="F16">
        <v>1</v>
      </c>
      <c r="G16" s="150">
        <f t="shared" si="6"/>
        <v>1305</v>
      </c>
      <c r="H16" s="151">
        <v>5</v>
      </c>
      <c r="I16" s="151">
        <v>77</v>
      </c>
      <c r="J16" s="151">
        <v>173</v>
      </c>
      <c r="K16" s="151">
        <v>387</v>
      </c>
      <c r="L16" s="151">
        <v>857</v>
      </c>
      <c r="M16" s="151">
        <v>1892</v>
      </c>
      <c r="N16" s="151">
        <v>2853</v>
      </c>
      <c r="O16" s="151">
        <v>3988</v>
      </c>
      <c r="P16" s="151"/>
      <c r="Q16">
        <f t="shared" si="1"/>
        <v>1305</v>
      </c>
      <c r="R16">
        <f t="shared" si="7"/>
        <v>517</v>
      </c>
      <c r="S16">
        <f t="shared" si="8"/>
        <v>1202</v>
      </c>
      <c r="T16">
        <f t="shared" si="9"/>
        <v>2830</v>
      </c>
      <c r="U16">
        <f t="shared" si="10"/>
        <v>3113</v>
      </c>
      <c r="Z16">
        <v>3</v>
      </c>
      <c r="AA16">
        <v>467</v>
      </c>
      <c r="AB16">
        <v>935</v>
      </c>
      <c r="AC16">
        <v>1402</v>
      </c>
    </row>
    <row r="17" ht="15" spans="5:29">
      <c r="E17" s="151" t="s">
        <v>2938</v>
      </c>
      <c r="F17">
        <v>1</v>
      </c>
      <c r="G17" s="150">
        <f t="shared" si="6"/>
        <v>1306</v>
      </c>
      <c r="H17" s="151">
        <v>6</v>
      </c>
      <c r="I17" s="151">
        <v>48</v>
      </c>
      <c r="J17" s="151">
        <v>107</v>
      </c>
      <c r="K17" s="151">
        <v>238</v>
      </c>
      <c r="L17" s="151">
        <v>528</v>
      </c>
      <c r="M17" s="151">
        <v>1167</v>
      </c>
      <c r="N17" s="151">
        <v>1762</v>
      </c>
      <c r="O17" s="151">
        <v>2462</v>
      </c>
      <c r="P17" s="151"/>
      <c r="Q17">
        <f t="shared" si="1"/>
        <v>1306</v>
      </c>
      <c r="R17">
        <f t="shared" si="7"/>
        <v>575</v>
      </c>
      <c r="S17">
        <f t="shared" si="8"/>
        <v>1335</v>
      </c>
      <c r="T17">
        <f t="shared" si="9"/>
        <v>3145</v>
      </c>
      <c r="U17">
        <f t="shared" si="10"/>
        <v>3459</v>
      </c>
      <c r="Z17">
        <v>4</v>
      </c>
      <c r="AA17">
        <v>534</v>
      </c>
      <c r="AB17">
        <v>1068</v>
      </c>
      <c r="AC17">
        <v>1603</v>
      </c>
    </row>
    <row r="18" ht="15" spans="5:29">
      <c r="E18" s="151" t="s">
        <v>2936</v>
      </c>
      <c r="F18">
        <v>1</v>
      </c>
      <c r="G18" s="150">
        <f t="shared" si="6"/>
        <v>1307</v>
      </c>
      <c r="H18" s="151">
        <v>7</v>
      </c>
      <c r="I18" s="151">
        <v>627</v>
      </c>
      <c r="J18" s="151">
        <v>1478</v>
      </c>
      <c r="K18" s="151">
        <v>3647</v>
      </c>
      <c r="L18" s="151">
        <v>8762</v>
      </c>
      <c r="M18" s="151">
        <v>19982</v>
      </c>
      <c r="N18" s="151">
        <v>34628</v>
      </c>
      <c r="O18" s="151">
        <v>55092</v>
      </c>
      <c r="P18" s="151"/>
      <c r="Q18">
        <f t="shared" si="1"/>
        <v>1307</v>
      </c>
      <c r="R18">
        <f t="shared" si="7"/>
        <v>632</v>
      </c>
      <c r="S18">
        <f t="shared" si="8"/>
        <v>1469</v>
      </c>
      <c r="T18">
        <f t="shared" si="9"/>
        <v>3459</v>
      </c>
      <c r="U18">
        <f t="shared" si="10"/>
        <v>3805</v>
      </c>
      <c r="Z18">
        <v>5</v>
      </c>
      <c r="AA18">
        <v>601</v>
      </c>
      <c r="AB18">
        <v>1202</v>
      </c>
      <c r="AC18">
        <v>1803</v>
      </c>
    </row>
    <row r="19" ht="15" spans="5:29">
      <c r="E19" s="151" t="s">
        <v>2937</v>
      </c>
      <c r="F19">
        <v>1</v>
      </c>
      <c r="G19" s="150">
        <f t="shared" si="6"/>
        <v>1308</v>
      </c>
      <c r="H19" s="151">
        <v>8</v>
      </c>
      <c r="I19" s="151">
        <v>102</v>
      </c>
      <c r="J19" s="151">
        <v>232</v>
      </c>
      <c r="K19" s="151">
        <v>515</v>
      </c>
      <c r="L19" s="151">
        <v>1142</v>
      </c>
      <c r="M19" s="151">
        <v>2522</v>
      </c>
      <c r="N19" s="151">
        <v>3803</v>
      </c>
      <c r="O19" s="151">
        <v>5318</v>
      </c>
      <c r="P19" s="151"/>
      <c r="Q19">
        <f t="shared" si="1"/>
        <v>1308</v>
      </c>
      <c r="R19">
        <f t="shared" si="7"/>
        <v>690</v>
      </c>
      <c r="S19">
        <f t="shared" si="8"/>
        <v>1603</v>
      </c>
      <c r="T19">
        <f t="shared" si="9"/>
        <v>3773</v>
      </c>
      <c r="U19">
        <f t="shared" si="10"/>
        <v>4151</v>
      </c>
      <c r="Z19">
        <v>6</v>
      </c>
      <c r="AA19">
        <v>668</v>
      </c>
      <c r="AB19">
        <v>1335</v>
      </c>
      <c r="AC19">
        <v>2003</v>
      </c>
    </row>
    <row r="20" ht="15" spans="5:29">
      <c r="E20" s="151" t="s">
        <v>2938</v>
      </c>
      <c r="F20">
        <v>1</v>
      </c>
      <c r="G20" s="150">
        <f t="shared" si="6"/>
        <v>1309</v>
      </c>
      <c r="H20" s="151">
        <v>9</v>
      </c>
      <c r="I20" s="151">
        <v>63</v>
      </c>
      <c r="J20" s="151">
        <v>142</v>
      </c>
      <c r="K20" s="151">
        <v>318</v>
      </c>
      <c r="L20" s="151">
        <v>705</v>
      </c>
      <c r="M20" s="151">
        <v>1557</v>
      </c>
      <c r="N20" s="151">
        <v>2348</v>
      </c>
      <c r="O20" s="151">
        <v>3283</v>
      </c>
      <c r="P20" s="151"/>
      <c r="Q20">
        <f t="shared" si="1"/>
        <v>1309</v>
      </c>
      <c r="R20">
        <f t="shared" si="7"/>
        <v>747</v>
      </c>
      <c r="S20">
        <f t="shared" si="8"/>
        <v>1736</v>
      </c>
      <c r="T20">
        <f t="shared" si="9"/>
        <v>4088</v>
      </c>
      <c r="U20">
        <f t="shared" si="10"/>
        <v>4497</v>
      </c>
      <c r="Z20">
        <v>7</v>
      </c>
      <c r="AA20">
        <v>735</v>
      </c>
      <c r="AB20">
        <v>1469</v>
      </c>
      <c r="AC20">
        <v>2204</v>
      </c>
    </row>
    <row r="21" ht="15" spans="5:29">
      <c r="E21" s="151" t="s">
        <v>2936</v>
      </c>
      <c r="F21">
        <v>1</v>
      </c>
      <c r="G21" s="150">
        <f t="shared" si="6"/>
        <v>1310</v>
      </c>
      <c r="H21" s="151">
        <v>10</v>
      </c>
      <c r="I21" s="151">
        <v>783</v>
      </c>
      <c r="J21" s="151">
        <v>1848</v>
      </c>
      <c r="K21" s="151">
        <v>4558</v>
      </c>
      <c r="L21" s="151">
        <v>10952</v>
      </c>
      <c r="M21" s="151">
        <v>24977</v>
      </c>
      <c r="N21" s="151">
        <v>43285</v>
      </c>
      <c r="O21" s="151">
        <v>68865</v>
      </c>
      <c r="P21" s="151"/>
      <c r="Q21">
        <f t="shared" si="1"/>
        <v>1310</v>
      </c>
      <c r="R21">
        <f t="shared" si="7"/>
        <v>805</v>
      </c>
      <c r="S21">
        <f t="shared" si="8"/>
        <v>1870</v>
      </c>
      <c r="T21">
        <f t="shared" si="9"/>
        <v>4402</v>
      </c>
      <c r="U21">
        <f t="shared" si="10"/>
        <v>4843</v>
      </c>
      <c r="Z21">
        <v>8</v>
      </c>
      <c r="AA21">
        <v>801</v>
      </c>
      <c r="AB21">
        <v>1603</v>
      </c>
      <c r="AC21">
        <v>2404</v>
      </c>
    </row>
    <row r="22" ht="15" spans="5:29">
      <c r="E22" s="152" t="s">
        <v>2936</v>
      </c>
      <c r="F22">
        <v>1</v>
      </c>
      <c r="G22" s="150">
        <f t="shared" ref="G22:G31" si="11">(F22*10+4)*100+H22</f>
        <v>1401</v>
      </c>
      <c r="H22" s="152">
        <v>1</v>
      </c>
      <c r="I22" s="152">
        <v>439</v>
      </c>
      <c r="J22" s="152">
        <v>1036</v>
      </c>
      <c r="K22" s="152">
        <v>2553</v>
      </c>
      <c r="L22" s="152">
        <v>6134</v>
      </c>
      <c r="M22" s="152">
        <v>13986</v>
      </c>
      <c r="N22" s="152">
        <v>24239</v>
      </c>
      <c r="O22" s="152">
        <v>38565</v>
      </c>
      <c r="P22" s="152"/>
      <c r="Q22">
        <f t="shared" si="1"/>
        <v>1401</v>
      </c>
      <c r="R22">
        <f>AC4</f>
        <v>431</v>
      </c>
      <c r="S22">
        <f>AC14</f>
        <v>1002</v>
      </c>
      <c r="T22">
        <f>AC24</f>
        <v>2358</v>
      </c>
      <c r="U22">
        <f>AC34</f>
        <v>2594</v>
      </c>
      <c r="Z22">
        <v>9</v>
      </c>
      <c r="AA22">
        <v>868</v>
      </c>
      <c r="AB22">
        <v>1736</v>
      </c>
      <c r="AC22">
        <v>2604</v>
      </c>
    </row>
    <row r="23" ht="15" spans="5:29">
      <c r="E23" s="152" t="s">
        <v>2937</v>
      </c>
      <c r="F23">
        <v>1</v>
      </c>
      <c r="G23" s="150">
        <f t="shared" si="11"/>
        <v>1402</v>
      </c>
      <c r="H23" s="152">
        <v>2</v>
      </c>
      <c r="I23" s="152">
        <v>72</v>
      </c>
      <c r="J23" s="152">
        <v>161</v>
      </c>
      <c r="K23" s="152">
        <v>362</v>
      </c>
      <c r="L23" s="152">
        <v>800</v>
      </c>
      <c r="M23" s="152">
        <v>1764</v>
      </c>
      <c r="N23" s="152">
        <v>2662</v>
      </c>
      <c r="O23" s="152">
        <v>3722</v>
      </c>
      <c r="P23" s="152"/>
      <c r="Q23">
        <f t="shared" si="1"/>
        <v>1402</v>
      </c>
      <c r="R23">
        <f t="shared" ref="R23:R31" si="12">AC5</f>
        <v>517</v>
      </c>
      <c r="S23">
        <f t="shared" ref="S23:S31" si="13">AC15</f>
        <v>1202</v>
      </c>
      <c r="T23">
        <f t="shared" ref="T23:T31" si="14">AC25</f>
        <v>2830</v>
      </c>
      <c r="U23">
        <f t="shared" ref="U23:U31" si="15">AC35</f>
        <v>3113</v>
      </c>
      <c r="Z23">
        <v>10</v>
      </c>
      <c r="AA23">
        <v>935</v>
      </c>
      <c r="AB23">
        <v>1870</v>
      </c>
      <c r="AC23">
        <v>2804</v>
      </c>
    </row>
    <row r="24" ht="15" spans="5:29">
      <c r="E24" s="152" t="s">
        <v>2938</v>
      </c>
      <c r="F24">
        <v>1</v>
      </c>
      <c r="G24" s="150">
        <f t="shared" si="11"/>
        <v>1403</v>
      </c>
      <c r="H24" s="152">
        <v>3</v>
      </c>
      <c r="I24" s="152">
        <v>44</v>
      </c>
      <c r="J24" s="152">
        <v>100</v>
      </c>
      <c r="K24" s="152">
        <v>224</v>
      </c>
      <c r="L24" s="152">
        <v>492</v>
      </c>
      <c r="M24" s="152">
        <v>1090</v>
      </c>
      <c r="N24" s="152">
        <v>1643</v>
      </c>
      <c r="O24" s="152">
        <v>2298</v>
      </c>
      <c r="P24" s="152"/>
      <c r="Q24">
        <f t="shared" si="1"/>
        <v>1403</v>
      </c>
      <c r="R24">
        <f t="shared" si="12"/>
        <v>603</v>
      </c>
      <c r="S24">
        <f t="shared" si="13"/>
        <v>1402</v>
      </c>
      <c r="T24">
        <f t="shared" si="14"/>
        <v>3302</v>
      </c>
      <c r="U24">
        <f t="shared" si="15"/>
        <v>3632</v>
      </c>
      <c r="Z24">
        <v>1</v>
      </c>
      <c r="AA24">
        <v>786</v>
      </c>
      <c r="AB24">
        <v>1572</v>
      </c>
      <c r="AC24">
        <v>2358</v>
      </c>
    </row>
    <row r="25" ht="15" spans="5:29">
      <c r="E25" s="152" t="s">
        <v>2936</v>
      </c>
      <c r="F25">
        <v>1</v>
      </c>
      <c r="G25" s="150">
        <f t="shared" si="11"/>
        <v>1404</v>
      </c>
      <c r="H25" s="152">
        <v>4</v>
      </c>
      <c r="I25" s="152">
        <v>658</v>
      </c>
      <c r="J25" s="152">
        <v>1552</v>
      </c>
      <c r="K25" s="152">
        <v>3829</v>
      </c>
      <c r="L25" s="152">
        <v>9200</v>
      </c>
      <c r="M25" s="152">
        <v>20979</v>
      </c>
      <c r="N25" s="152">
        <v>36360</v>
      </c>
      <c r="O25" s="152">
        <v>57846</v>
      </c>
      <c r="P25" s="152"/>
      <c r="Q25">
        <f t="shared" si="1"/>
        <v>1404</v>
      </c>
      <c r="R25">
        <f t="shared" si="12"/>
        <v>690</v>
      </c>
      <c r="S25">
        <f t="shared" si="13"/>
        <v>1603</v>
      </c>
      <c r="T25">
        <f t="shared" si="14"/>
        <v>3773</v>
      </c>
      <c r="U25">
        <f t="shared" si="15"/>
        <v>4151</v>
      </c>
      <c r="Z25">
        <v>2</v>
      </c>
      <c r="AA25">
        <v>943</v>
      </c>
      <c r="AB25">
        <v>1887</v>
      </c>
      <c r="AC25">
        <v>2830</v>
      </c>
    </row>
    <row r="26" ht="15" spans="5:29">
      <c r="E26" s="152" t="s">
        <v>2937</v>
      </c>
      <c r="F26">
        <v>1</v>
      </c>
      <c r="G26" s="150">
        <f t="shared" si="11"/>
        <v>1405</v>
      </c>
      <c r="H26" s="152">
        <v>5</v>
      </c>
      <c r="I26" s="152">
        <v>107</v>
      </c>
      <c r="J26" s="152">
        <v>243</v>
      </c>
      <c r="K26" s="152">
        <v>541</v>
      </c>
      <c r="L26" s="152">
        <v>1199</v>
      </c>
      <c r="M26" s="152">
        <v>2648</v>
      </c>
      <c r="N26" s="152">
        <v>3995</v>
      </c>
      <c r="O26" s="152">
        <v>5584</v>
      </c>
      <c r="P26" s="152"/>
      <c r="Q26">
        <f t="shared" si="1"/>
        <v>1405</v>
      </c>
      <c r="R26">
        <f t="shared" si="12"/>
        <v>776</v>
      </c>
      <c r="S26">
        <f t="shared" si="13"/>
        <v>1803</v>
      </c>
      <c r="T26">
        <f t="shared" si="14"/>
        <v>4245</v>
      </c>
      <c r="U26">
        <f t="shared" si="15"/>
        <v>4670</v>
      </c>
      <c r="Z26">
        <v>3</v>
      </c>
      <c r="AA26">
        <v>1101</v>
      </c>
      <c r="AB26">
        <v>2201</v>
      </c>
      <c r="AC26">
        <v>3302</v>
      </c>
    </row>
    <row r="27" ht="15" spans="5:29">
      <c r="E27" s="152" t="s">
        <v>2938</v>
      </c>
      <c r="F27">
        <v>1</v>
      </c>
      <c r="G27" s="150">
        <f t="shared" si="11"/>
        <v>1406</v>
      </c>
      <c r="H27" s="152">
        <v>6</v>
      </c>
      <c r="I27" s="152">
        <v>68</v>
      </c>
      <c r="J27" s="152">
        <v>149</v>
      </c>
      <c r="K27" s="152">
        <v>334</v>
      </c>
      <c r="L27" s="152">
        <v>740</v>
      </c>
      <c r="M27" s="152">
        <v>1633</v>
      </c>
      <c r="N27" s="152">
        <v>2466</v>
      </c>
      <c r="O27" s="152">
        <v>3446</v>
      </c>
      <c r="P27" s="152"/>
      <c r="Q27">
        <f t="shared" si="1"/>
        <v>1406</v>
      </c>
      <c r="R27">
        <f t="shared" si="12"/>
        <v>862</v>
      </c>
      <c r="S27">
        <f t="shared" si="13"/>
        <v>2003</v>
      </c>
      <c r="T27">
        <f t="shared" si="14"/>
        <v>4717</v>
      </c>
      <c r="U27">
        <f t="shared" si="15"/>
        <v>5188</v>
      </c>
      <c r="Z27">
        <v>4</v>
      </c>
      <c r="AA27">
        <v>1258</v>
      </c>
      <c r="AB27">
        <v>2516</v>
      </c>
      <c r="AC27">
        <v>3773</v>
      </c>
    </row>
    <row r="28" ht="15" spans="5:29">
      <c r="E28" s="152" t="s">
        <v>2936</v>
      </c>
      <c r="F28">
        <v>1</v>
      </c>
      <c r="G28" s="150">
        <f t="shared" si="11"/>
        <v>1407</v>
      </c>
      <c r="H28" s="152">
        <v>7</v>
      </c>
      <c r="I28" s="152">
        <v>877</v>
      </c>
      <c r="J28" s="152">
        <v>2070</v>
      </c>
      <c r="K28" s="152">
        <v>5105</v>
      </c>
      <c r="L28" s="152">
        <v>12266</v>
      </c>
      <c r="M28" s="152">
        <v>27974</v>
      </c>
      <c r="N28" s="152">
        <v>48480</v>
      </c>
      <c r="O28" s="152">
        <v>77128</v>
      </c>
      <c r="P28" s="152"/>
      <c r="Q28">
        <f t="shared" si="1"/>
        <v>1407</v>
      </c>
      <c r="R28">
        <f t="shared" si="12"/>
        <v>948</v>
      </c>
      <c r="S28">
        <f t="shared" si="13"/>
        <v>2204</v>
      </c>
      <c r="T28">
        <f t="shared" si="14"/>
        <v>5188</v>
      </c>
      <c r="U28">
        <f t="shared" si="15"/>
        <v>5707</v>
      </c>
      <c r="Z28">
        <v>5</v>
      </c>
      <c r="AA28">
        <v>1415</v>
      </c>
      <c r="AB28">
        <v>2830</v>
      </c>
      <c r="AC28">
        <v>4245</v>
      </c>
    </row>
    <row r="29" ht="15" spans="5:29">
      <c r="E29" s="152" t="s">
        <v>2937</v>
      </c>
      <c r="F29">
        <v>1</v>
      </c>
      <c r="G29" s="150">
        <f t="shared" si="11"/>
        <v>1408</v>
      </c>
      <c r="H29" s="152">
        <v>8</v>
      </c>
      <c r="I29" s="152">
        <v>142</v>
      </c>
      <c r="J29" s="152">
        <v>324</v>
      </c>
      <c r="K29" s="152">
        <v>721</v>
      </c>
      <c r="L29" s="152">
        <v>1598</v>
      </c>
      <c r="M29" s="152">
        <v>3530</v>
      </c>
      <c r="N29" s="152">
        <v>5325</v>
      </c>
      <c r="O29" s="152">
        <v>7446</v>
      </c>
      <c r="P29" s="152"/>
      <c r="Q29">
        <f t="shared" si="1"/>
        <v>1408</v>
      </c>
      <c r="R29">
        <f t="shared" si="12"/>
        <v>1035</v>
      </c>
      <c r="S29">
        <f t="shared" si="13"/>
        <v>2404</v>
      </c>
      <c r="T29">
        <f t="shared" si="14"/>
        <v>5660</v>
      </c>
      <c r="U29">
        <f t="shared" si="15"/>
        <v>6226</v>
      </c>
      <c r="Z29">
        <v>6</v>
      </c>
      <c r="AA29">
        <v>1572</v>
      </c>
      <c r="AB29">
        <v>3145</v>
      </c>
      <c r="AC29">
        <v>4717</v>
      </c>
    </row>
    <row r="30" ht="15" spans="5:29">
      <c r="E30" s="152" t="s">
        <v>2938</v>
      </c>
      <c r="F30">
        <v>1</v>
      </c>
      <c r="G30" s="150">
        <f t="shared" si="11"/>
        <v>1409</v>
      </c>
      <c r="H30" s="152">
        <v>9</v>
      </c>
      <c r="I30" s="152">
        <v>89</v>
      </c>
      <c r="J30" s="152">
        <v>198</v>
      </c>
      <c r="K30" s="152">
        <v>446</v>
      </c>
      <c r="L30" s="152">
        <v>987</v>
      </c>
      <c r="M30" s="152">
        <v>2179</v>
      </c>
      <c r="N30" s="152">
        <v>3288</v>
      </c>
      <c r="O30" s="152">
        <v>4597</v>
      </c>
      <c r="P30" s="152"/>
      <c r="Q30">
        <f t="shared" si="1"/>
        <v>1409</v>
      </c>
      <c r="R30">
        <f t="shared" si="12"/>
        <v>1121</v>
      </c>
      <c r="S30">
        <f t="shared" si="13"/>
        <v>2604</v>
      </c>
      <c r="T30">
        <f t="shared" si="14"/>
        <v>6132</v>
      </c>
      <c r="U30">
        <f t="shared" si="15"/>
        <v>6745</v>
      </c>
      <c r="Z30">
        <v>7</v>
      </c>
      <c r="AA30">
        <v>1729</v>
      </c>
      <c r="AB30">
        <v>3459</v>
      </c>
      <c r="AC30">
        <v>5188</v>
      </c>
    </row>
    <row r="31" ht="15" spans="5:29">
      <c r="E31" s="152" t="s">
        <v>2936</v>
      </c>
      <c r="F31">
        <v>1</v>
      </c>
      <c r="G31" s="150">
        <f t="shared" si="11"/>
        <v>1410</v>
      </c>
      <c r="H31" s="152">
        <v>10</v>
      </c>
      <c r="I31" s="152">
        <v>1097</v>
      </c>
      <c r="J31" s="152">
        <v>2588</v>
      </c>
      <c r="K31" s="152">
        <v>6382</v>
      </c>
      <c r="L31" s="152">
        <v>15332</v>
      </c>
      <c r="M31" s="152">
        <v>34967</v>
      </c>
      <c r="N31" s="152">
        <v>60599</v>
      </c>
      <c r="O31" s="152">
        <v>96411</v>
      </c>
      <c r="P31" s="152"/>
      <c r="Q31">
        <f t="shared" si="1"/>
        <v>1410</v>
      </c>
      <c r="R31">
        <f t="shared" si="12"/>
        <v>1207</v>
      </c>
      <c r="S31">
        <f t="shared" si="13"/>
        <v>2804</v>
      </c>
      <c r="T31">
        <f t="shared" si="14"/>
        <v>6603</v>
      </c>
      <c r="U31">
        <f t="shared" si="15"/>
        <v>7264</v>
      </c>
      <c r="Z31">
        <v>8</v>
      </c>
      <c r="AA31">
        <v>1887</v>
      </c>
      <c r="AB31">
        <v>3773</v>
      </c>
      <c r="AC31">
        <v>5660</v>
      </c>
    </row>
    <row r="32" ht="15" spans="4:29">
      <c r="D32" t="s">
        <v>2939</v>
      </c>
      <c r="E32" t="s">
        <v>2936</v>
      </c>
      <c r="F32">
        <v>2</v>
      </c>
      <c r="G32" s="150">
        <f t="shared" ref="G32:G41" si="16">(F32*10+2)*100+H32</f>
        <v>2201</v>
      </c>
      <c r="H32">
        <v>1</v>
      </c>
      <c r="I32" s="22">
        <v>169</v>
      </c>
      <c r="J32" s="22">
        <v>399</v>
      </c>
      <c r="K32" s="22">
        <v>985</v>
      </c>
      <c r="L32" s="22">
        <v>2366</v>
      </c>
      <c r="M32" s="22">
        <v>5395</v>
      </c>
      <c r="N32" s="22">
        <v>9350</v>
      </c>
      <c r="O32" s="22">
        <v>14875</v>
      </c>
      <c r="P32" s="22"/>
      <c r="Q32">
        <f t="shared" si="1"/>
        <v>2201</v>
      </c>
      <c r="R32">
        <f>R2</f>
        <v>144</v>
      </c>
      <c r="S32">
        <f t="shared" ref="S32:X32" si="17">S2</f>
        <v>334</v>
      </c>
      <c r="T32">
        <f t="shared" si="17"/>
        <v>786</v>
      </c>
      <c r="U32">
        <f t="shared" si="17"/>
        <v>865</v>
      </c>
      <c r="V32">
        <f t="shared" si="17"/>
        <v>0</v>
      </c>
      <c r="W32">
        <f t="shared" si="17"/>
        <v>0</v>
      </c>
      <c r="X32">
        <f t="shared" si="17"/>
        <v>0</v>
      </c>
      <c r="Z32">
        <v>9</v>
      </c>
      <c r="AA32">
        <v>2044</v>
      </c>
      <c r="AB32">
        <v>4088</v>
      </c>
      <c r="AC32">
        <v>6132</v>
      </c>
    </row>
    <row r="33" ht="15" spans="5:29">
      <c r="E33" t="s">
        <v>2937</v>
      </c>
      <c r="F33">
        <v>2</v>
      </c>
      <c r="G33" s="150">
        <f t="shared" si="16"/>
        <v>2202</v>
      </c>
      <c r="H33">
        <v>2</v>
      </c>
      <c r="I33" s="22">
        <v>38</v>
      </c>
      <c r="J33" s="22">
        <v>86</v>
      </c>
      <c r="K33" s="22">
        <v>191</v>
      </c>
      <c r="L33" s="22">
        <v>423</v>
      </c>
      <c r="M33" s="22">
        <v>934</v>
      </c>
      <c r="N33" s="22">
        <v>1409</v>
      </c>
      <c r="O33" s="22">
        <v>1970</v>
      </c>
      <c r="P33" s="22"/>
      <c r="Q33">
        <f t="shared" si="1"/>
        <v>2202</v>
      </c>
      <c r="R33">
        <f t="shared" ref="R33:R43" si="18">R3</f>
        <v>172</v>
      </c>
      <c r="S33">
        <f t="shared" ref="S33:X33" si="19">S3</f>
        <v>401</v>
      </c>
      <c r="T33">
        <f t="shared" si="19"/>
        <v>943</v>
      </c>
      <c r="U33">
        <f t="shared" si="19"/>
        <v>1038</v>
      </c>
      <c r="V33">
        <f t="shared" si="19"/>
        <v>0</v>
      </c>
      <c r="W33">
        <f t="shared" si="19"/>
        <v>0</v>
      </c>
      <c r="X33">
        <f t="shared" si="19"/>
        <v>0</v>
      </c>
      <c r="Z33">
        <v>10</v>
      </c>
      <c r="AA33">
        <v>2201</v>
      </c>
      <c r="AB33">
        <v>4402</v>
      </c>
      <c r="AC33">
        <v>6603</v>
      </c>
    </row>
    <row r="34" ht="15" spans="5:29">
      <c r="E34" t="s">
        <v>2938</v>
      </c>
      <c r="F34">
        <v>2</v>
      </c>
      <c r="G34" s="150">
        <f t="shared" si="16"/>
        <v>2203</v>
      </c>
      <c r="H34">
        <v>3</v>
      </c>
      <c r="I34" s="22">
        <v>17</v>
      </c>
      <c r="J34" s="22">
        <v>38</v>
      </c>
      <c r="K34" s="22">
        <v>86</v>
      </c>
      <c r="L34" s="22">
        <v>190</v>
      </c>
      <c r="M34" s="22">
        <v>420</v>
      </c>
      <c r="N34" s="22">
        <v>634</v>
      </c>
      <c r="O34" s="22">
        <v>886</v>
      </c>
      <c r="P34" s="22"/>
      <c r="Q34">
        <f t="shared" si="1"/>
        <v>2203</v>
      </c>
      <c r="R34">
        <f t="shared" si="18"/>
        <v>201</v>
      </c>
      <c r="S34">
        <f t="shared" ref="S34:X34" si="20">S4</f>
        <v>467</v>
      </c>
      <c r="T34">
        <f t="shared" si="20"/>
        <v>1101</v>
      </c>
      <c r="U34">
        <f t="shared" si="20"/>
        <v>1211</v>
      </c>
      <c r="V34">
        <f t="shared" si="20"/>
        <v>0</v>
      </c>
      <c r="W34">
        <f t="shared" si="20"/>
        <v>0</v>
      </c>
      <c r="X34">
        <f t="shared" si="20"/>
        <v>0</v>
      </c>
      <c r="Z34">
        <v>1</v>
      </c>
      <c r="AA34">
        <v>865</v>
      </c>
      <c r="AB34">
        <v>1729</v>
      </c>
      <c r="AC34">
        <v>2594</v>
      </c>
    </row>
    <row r="35" ht="15" spans="5:29">
      <c r="E35" t="s">
        <v>2936</v>
      </c>
      <c r="F35">
        <v>2</v>
      </c>
      <c r="G35" s="150">
        <f t="shared" si="16"/>
        <v>2204</v>
      </c>
      <c r="H35">
        <v>4</v>
      </c>
      <c r="I35" s="22">
        <v>254</v>
      </c>
      <c r="J35" s="22">
        <v>599</v>
      </c>
      <c r="K35" s="22">
        <v>1477</v>
      </c>
      <c r="L35" s="22">
        <v>3549</v>
      </c>
      <c r="M35" s="22">
        <v>8092</v>
      </c>
      <c r="N35" s="22">
        <v>14024</v>
      </c>
      <c r="O35" s="22">
        <v>22312</v>
      </c>
      <c r="P35" s="22"/>
      <c r="Q35">
        <f t="shared" ref="Q35:Q66" si="21">G35</f>
        <v>2204</v>
      </c>
      <c r="R35">
        <f t="shared" si="18"/>
        <v>230</v>
      </c>
      <c r="S35">
        <f t="shared" ref="S35:X35" si="22">S5</f>
        <v>534</v>
      </c>
      <c r="T35">
        <f t="shared" si="22"/>
        <v>1258</v>
      </c>
      <c r="U35">
        <f t="shared" si="22"/>
        <v>1384</v>
      </c>
      <c r="V35">
        <f t="shared" si="22"/>
        <v>0</v>
      </c>
      <c r="W35">
        <f t="shared" si="22"/>
        <v>0</v>
      </c>
      <c r="X35">
        <f t="shared" si="22"/>
        <v>0</v>
      </c>
      <c r="Z35">
        <v>2</v>
      </c>
      <c r="AA35">
        <v>1038</v>
      </c>
      <c r="AB35">
        <v>2075</v>
      </c>
      <c r="AC35">
        <v>3113</v>
      </c>
    </row>
    <row r="36" ht="15" spans="5:29">
      <c r="E36" t="s">
        <v>2937</v>
      </c>
      <c r="F36">
        <v>2</v>
      </c>
      <c r="G36" s="150">
        <f t="shared" si="16"/>
        <v>2205</v>
      </c>
      <c r="H36">
        <v>5</v>
      </c>
      <c r="I36" s="22">
        <v>57</v>
      </c>
      <c r="J36" s="22">
        <v>129</v>
      </c>
      <c r="K36" s="22">
        <v>286</v>
      </c>
      <c r="L36" s="22">
        <v>634</v>
      </c>
      <c r="M36" s="22">
        <v>1401</v>
      </c>
      <c r="N36" s="22">
        <v>2113</v>
      </c>
      <c r="O36" s="22">
        <v>2954</v>
      </c>
      <c r="P36" s="22"/>
      <c r="Q36">
        <f t="shared" si="21"/>
        <v>2205</v>
      </c>
      <c r="R36">
        <f t="shared" si="18"/>
        <v>259</v>
      </c>
      <c r="S36">
        <f t="shared" ref="S36:X36" si="23">S6</f>
        <v>601</v>
      </c>
      <c r="T36">
        <f t="shared" si="23"/>
        <v>1415</v>
      </c>
      <c r="U36">
        <f t="shared" si="23"/>
        <v>1557</v>
      </c>
      <c r="V36">
        <f t="shared" si="23"/>
        <v>0</v>
      </c>
      <c r="W36">
        <f t="shared" si="23"/>
        <v>0</v>
      </c>
      <c r="X36">
        <f t="shared" si="23"/>
        <v>0</v>
      </c>
      <c r="Z36">
        <v>3</v>
      </c>
      <c r="AA36">
        <v>1211</v>
      </c>
      <c r="AB36">
        <v>2421</v>
      </c>
      <c r="AC36">
        <v>3632</v>
      </c>
    </row>
    <row r="37" ht="15" spans="5:29">
      <c r="E37" t="s">
        <v>2938</v>
      </c>
      <c r="F37">
        <v>2</v>
      </c>
      <c r="G37" s="150">
        <f t="shared" si="16"/>
        <v>2206</v>
      </c>
      <c r="H37">
        <v>6</v>
      </c>
      <c r="I37" s="22">
        <v>26</v>
      </c>
      <c r="J37" s="22">
        <v>58</v>
      </c>
      <c r="K37" s="22">
        <v>129</v>
      </c>
      <c r="L37" s="22">
        <v>285</v>
      </c>
      <c r="M37" s="22">
        <v>630</v>
      </c>
      <c r="N37" s="22">
        <v>951</v>
      </c>
      <c r="O37" s="22">
        <v>1330</v>
      </c>
      <c r="P37" s="22"/>
      <c r="Q37">
        <f t="shared" si="21"/>
        <v>2206</v>
      </c>
      <c r="R37">
        <f t="shared" si="18"/>
        <v>287</v>
      </c>
      <c r="S37">
        <f t="shared" ref="S37:X37" si="24">S7</f>
        <v>668</v>
      </c>
      <c r="T37">
        <f t="shared" si="24"/>
        <v>1572</v>
      </c>
      <c r="U37">
        <f t="shared" si="24"/>
        <v>1729</v>
      </c>
      <c r="V37">
        <f t="shared" si="24"/>
        <v>0</v>
      </c>
      <c r="W37">
        <f t="shared" si="24"/>
        <v>0</v>
      </c>
      <c r="X37">
        <f t="shared" si="24"/>
        <v>0</v>
      </c>
      <c r="Z37">
        <v>4</v>
      </c>
      <c r="AA37">
        <v>1384</v>
      </c>
      <c r="AB37">
        <v>2767</v>
      </c>
      <c r="AC37">
        <v>4151</v>
      </c>
    </row>
    <row r="38" ht="15" spans="5:29">
      <c r="E38" t="s">
        <v>2936</v>
      </c>
      <c r="F38">
        <v>2</v>
      </c>
      <c r="G38" s="150">
        <f t="shared" si="16"/>
        <v>2207</v>
      </c>
      <c r="H38">
        <v>7</v>
      </c>
      <c r="I38" s="22">
        <v>338</v>
      </c>
      <c r="J38" s="22">
        <v>798</v>
      </c>
      <c r="K38" s="22">
        <v>1969</v>
      </c>
      <c r="L38" s="22">
        <v>4731</v>
      </c>
      <c r="M38" s="22">
        <v>10790</v>
      </c>
      <c r="N38" s="22">
        <v>18699</v>
      </c>
      <c r="O38" s="22">
        <v>29750</v>
      </c>
      <c r="P38" s="22"/>
      <c r="Q38">
        <f t="shared" si="21"/>
        <v>2207</v>
      </c>
      <c r="R38">
        <f t="shared" si="18"/>
        <v>316</v>
      </c>
      <c r="S38">
        <f t="shared" ref="S38:X38" si="25">S8</f>
        <v>735</v>
      </c>
      <c r="T38">
        <f t="shared" si="25"/>
        <v>1729</v>
      </c>
      <c r="U38">
        <f t="shared" si="25"/>
        <v>1902</v>
      </c>
      <c r="V38">
        <f t="shared" si="25"/>
        <v>0</v>
      </c>
      <c r="W38">
        <f t="shared" si="25"/>
        <v>0</v>
      </c>
      <c r="X38">
        <f t="shared" si="25"/>
        <v>0</v>
      </c>
      <c r="Z38">
        <v>5</v>
      </c>
      <c r="AA38">
        <v>1557</v>
      </c>
      <c r="AB38">
        <v>3113</v>
      </c>
      <c r="AC38">
        <v>4670</v>
      </c>
    </row>
    <row r="39" ht="15" spans="5:29">
      <c r="E39" t="s">
        <v>2937</v>
      </c>
      <c r="F39">
        <v>2</v>
      </c>
      <c r="G39" s="150">
        <f t="shared" si="16"/>
        <v>2208</v>
      </c>
      <c r="H39">
        <v>8</v>
      </c>
      <c r="I39" s="22">
        <v>76</v>
      </c>
      <c r="J39" s="22">
        <v>171</v>
      </c>
      <c r="K39" s="22">
        <v>382</v>
      </c>
      <c r="L39" s="22">
        <v>846</v>
      </c>
      <c r="M39" s="22">
        <v>1868</v>
      </c>
      <c r="N39" s="22">
        <v>2818</v>
      </c>
      <c r="O39" s="22">
        <v>3939</v>
      </c>
      <c r="P39" s="22"/>
      <c r="Q39">
        <f t="shared" si="21"/>
        <v>2208</v>
      </c>
      <c r="R39">
        <f t="shared" si="18"/>
        <v>345</v>
      </c>
      <c r="S39">
        <f t="shared" ref="S39:X39" si="26">S9</f>
        <v>801</v>
      </c>
      <c r="T39">
        <f t="shared" si="26"/>
        <v>1887</v>
      </c>
      <c r="U39">
        <f t="shared" si="26"/>
        <v>2075</v>
      </c>
      <c r="V39">
        <f t="shared" si="26"/>
        <v>0</v>
      </c>
      <c r="W39">
        <f t="shared" si="26"/>
        <v>0</v>
      </c>
      <c r="X39">
        <f t="shared" si="26"/>
        <v>0</v>
      </c>
      <c r="Z39">
        <v>6</v>
      </c>
      <c r="AA39">
        <v>1729</v>
      </c>
      <c r="AB39">
        <v>3459</v>
      </c>
      <c r="AC39">
        <v>5188</v>
      </c>
    </row>
    <row r="40" ht="15" spans="5:29">
      <c r="E40" t="s">
        <v>2938</v>
      </c>
      <c r="F40">
        <v>2</v>
      </c>
      <c r="G40" s="150">
        <f t="shared" si="16"/>
        <v>2209</v>
      </c>
      <c r="H40">
        <v>9</v>
      </c>
      <c r="I40" s="22">
        <v>34</v>
      </c>
      <c r="J40" s="22">
        <v>77</v>
      </c>
      <c r="K40" s="22">
        <v>172</v>
      </c>
      <c r="L40" s="22">
        <v>380</v>
      </c>
      <c r="M40" s="22">
        <v>840</v>
      </c>
      <c r="N40" s="22">
        <v>1268</v>
      </c>
      <c r="O40" s="22">
        <v>1773</v>
      </c>
      <c r="P40" s="22"/>
      <c r="Q40">
        <f t="shared" si="21"/>
        <v>2209</v>
      </c>
      <c r="R40">
        <f t="shared" si="18"/>
        <v>374</v>
      </c>
      <c r="S40">
        <f t="shared" ref="S40:X40" si="27">S10</f>
        <v>868</v>
      </c>
      <c r="T40">
        <f t="shared" si="27"/>
        <v>2044</v>
      </c>
      <c r="U40">
        <f t="shared" si="27"/>
        <v>2248</v>
      </c>
      <c r="V40">
        <f t="shared" si="27"/>
        <v>0</v>
      </c>
      <c r="W40">
        <f t="shared" si="27"/>
        <v>0</v>
      </c>
      <c r="X40">
        <f t="shared" si="27"/>
        <v>0</v>
      </c>
      <c r="Z40">
        <v>7</v>
      </c>
      <c r="AA40">
        <v>1902</v>
      </c>
      <c r="AB40">
        <v>3805</v>
      </c>
      <c r="AC40">
        <v>5707</v>
      </c>
    </row>
    <row r="41" ht="15" spans="5:29">
      <c r="E41" t="s">
        <v>2936</v>
      </c>
      <c r="F41">
        <v>2</v>
      </c>
      <c r="G41" s="150">
        <f t="shared" si="16"/>
        <v>2210</v>
      </c>
      <c r="H41">
        <v>10</v>
      </c>
      <c r="I41" s="22">
        <v>423</v>
      </c>
      <c r="J41" s="22">
        <v>998</v>
      </c>
      <c r="K41" s="22">
        <v>2462</v>
      </c>
      <c r="L41" s="22">
        <v>5914</v>
      </c>
      <c r="M41" s="22">
        <v>13487</v>
      </c>
      <c r="N41" s="22">
        <v>23374</v>
      </c>
      <c r="O41" s="22">
        <v>37187</v>
      </c>
      <c r="P41" s="22"/>
      <c r="Q41">
        <f t="shared" si="21"/>
        <v>2210</v>
      </c>
      <c r="R41">
        <f t="shared" si="18"/>
        <v>402</v>
      </c>
      <c r="S41">
        <f t="shared" ref="S41:X41" si="28">S11</f>
        <v>935</v>
      </c>
      <c r="T41">
        <f t="shared" si="28"/>
        <v>2201</v>
      </c>
      <c r="U41">
        <f t="shared" si="28"/>
        <v>2421</v>
      </c>
      <c r="V41">
        <f t="shared" si="28"/>
        <v>0</v>
      </c>
      <c r="W41">
        <f t="shared" si="28"/>
        <v>0</v>
      </c>
      <c r="X41">
        <f t="shared" si="28"/>
        <v>0</v>
      </c>
      <c r="Z41">
        <v>8</v>
      </c>
      <c r="AA41">
        <v>2075</v>
      </c>
      <c r="AB41">
        <v>4151</v>
      </c>
      <c r="AC41">
        <v>6226</v>
      </c>
    </row>
    <row r="42" ht="15" spans="5:29">
      <c r="E42" s="151" t="s">
        <v>2936</v>
      </c>
      <c r="F42">
        <v>2</v>
      </c>
      <c r="G42" s="150">
        <f t="shared" ref="G42:G51" si="29">(F42*10+3)*100+H42</f>
        <v>2301</v>
      </c>
      <c r="H42" s="151">
        <v>1</v>
      </c>
      <c r="I42" s="151">
        <v>282</v>
      </c>
      <c r="J42" s="151">
        <v>665</v>
      </c>
      <c r="K42" s="151">
        <v>1642</v>
      </c>
      <c r="L42" s="151">
        <v>3943</v>
      </c>
      <c r="M42" s="151">
        <v>8992</v>
      </c>
      <c r="N42" s="151">
        <v>15583</v>
      </c>
      <c r="O42" s="151">
        <v>24792</v>
      </c>
      <c r="P42" s="151"/>
      <c r="Q42">
        <f t="shared" si="21"/>
        <v>2301</v>
      </c>
      <c r="R42">
        <f t="shared" si="18"/>
        <v>287</v>
      </c>
      <c r="S42">
        <f t="shared" ref="S42:X42" si="30">S12</f>
        <v>668</v>
      </c>
      <c r="T42">
        <f t="shared" si="30"/>
        <v>1572</v>
      </c>
      <c r="U42">
        <f t="shared" si="30"/>
        <v>1729</v>
      </c>
      <c r="V42">
        <f t="shared" si="30"/>
        <v>0</v>
      </c>
      <c r="W42">
        <f t="shared" si="30"/>
        <v>0</v>
      </c>
      <c r="X42">
        <f t="shared" si="30"/>
        <v>0</v>
      </c>
      <c r="Z42">
        <v>9</v>
      </c>
      <c r="AA42">
        <v>2248</v>
      </c>
      <c r="AB42">
        <v>4497</v>
      </c>
      <c r="AC42">
        <v>6745</v>
      </c>
    </row>
    <row r="43" ht="15" spans="5:29">
      <c r="E43" s="151" t="s">
        <v>2937</v>
      </c>
      <c r="F43">
        <v>2</v>
      </c>
      <c r="G43" s="150">
        <f t="shared" si="29"/>
        <v>2302</v>
      </c>
      <c r="H43" s="151">
        <v>2</v>
      </c>
      <c r="I43" s="151">
        <v>63</v>
      </c>
      <c r="J43" s="151">
        <v>143</v>
      </c>
      <c r="K43" s="151">
        <v>318</v>
      </c>
      <c r="L43" s="151">
        <v>705</v>
      </c>
      <c r="M43" s="151">
        <v>1557</v>
      </c>
      <c r="N43" s="151">
        <v>2348</v>
      </c>
      <c r="O43" s="151">
        <v>3283</v>
      </c>
      <c r="P43" s="151"/>
      <c r="Q43">
        <f t="shared" si="21"/>
        <v>2302</v>
      </c>
      <c r="R43">
        <f t="shared" si="18"/>
        <v>345</v>
      </c>
      <c r="S43">
        <f t="shared" ref="S43:X43" si="31">S13</f>
        <v>801</v>
      </c>
      <c r="T43">
        <f t="shared" si="31"/>
        <v>1887</v>
      </c>
      <c r="U43">
        <f t="shared" si="31"/>
        <v>2075</v>
      </c>
      <c r="V43">
        <f t="shared" si="31"/>
        <v>0</v>
      </c>
      <c r="W43">
        <f t="shared" si="31"/>
        <v>0</v>
      </c>
      <c r="X43">
        <f t="shared" si="31"/>
        <v>0</v>
      </c>
      <c r="Z43">
        <v>10</v>
      </c>
      <c r="AA43">
        <v>2421</v>
      </c>
      <c r="AB43">
        <v>4843</v>
      </c>
      <c r="AC43">
        <v>7264</v>
      </c>
    </row>
    <row r="44" ht="15" spans="5:24">
      <c r="E44" s="151" t="s">
        <v>2938</v>
      </c>
      <c r="F44">
        <v>2</v>
      </c>
      <c r="G44" s="150">
        <f t="shared" si="29"/>
        <v>2303</v>
      </c>
      <c r="H44" s="151">
        <v>3</v>
      </c>
      <c r="I44" s="151">
        <v>28</v>
      </c>
      <c r="J44" s="151">
        <v>63</v>
      </c>
      <c r="K44" s="151">
        <v>143</v>
      </c>
      <c r="L44" s="151">
        <v>317</v>
      </c>
      <c r="M44" s="151">
        <v>700</v>
      </c>
      <c r="N44" s="151">
        <v>1057</v>
      </c>
      <c r="O44" s="151">
        <v>1477</v>
      </c>
      <c r="P44" s="151"/>
      <c r="Q44">
        <f t="shared" si="21"/>
        <v>2303</v>
      </c>
      <c r="R44">
        <f t="shared" ref="R44:R91" si="32">R14</f>
        <v>402</v>
      </c>
      <c r="S44">
        <f t="shared" ref="S44:X44" si="33">S14</f>
        <v>935</v>
      </c>
      <c r="T44">
        <f t="shared" si="33"/>
        <v>2201</v>
      </c>
      <c r="U44">
        <f t="shared" si="33"/>
        <v>2421</v>
      </c>
      <c r="V44">
        <f t="shared" si="33"/>
        <v>0</v>
      </c>
      <c r="W44">
        <f t="shared" si="33"/>
        <v>0</v>
      </c>
      <c r="X44">
        <f t="shared" si="33"/>
        <v>0</v>
      </c>
    </row>
    <row r="45" ht="15" spans="5:24">
      <c r="E45" s="151" t="s">
        <v>2936</v>
      </c>
      <c r="F45">
        <v>2</v>
      </c>
      <c r="G45" s="150">
        <f t="shared" si="29"/>
        <v>2304</v>
      </c>
      <c r="H45" s="151">
        <v>4</v>
      </c>
      <c r="I45" s="151">
        <v>423</v>
      </c>
      <c r="J45" s="151">
        <v>998</v>
      </c>
      <c r="K45" s="151">
        <v>2462</v>
      </c>
      <c r="L45" s="151">
        <v>5915</v>
      </c>
      <c r="M45" s="151">
        <v>13487</v>
      </c>
      <c r="N45" s="151">
        <v>23373</v>
      </c>
      <c r="O45" s="151">
        <v>37187</v>
      </c>
      <c r="P45" s="151"/>
      <c r="Q45">
        <f t="shared" si="21"/>
        <v>2304</v>
      </c>
      <c r="R45">
        <f t="shared" si="32"/>
        <v>460</v>
      </c>
      <c r="S45">
        <f t="shared" ref="S45:X45" si="34">S15</f>
        <v>1068</v>
      </c>
      <c r="T45">
        <f t="shared" si="34"/>
        <v>2516</v>
      </c>
      <c r="U45">
        <f t="shared" si="34"/>
        <v>2767</v>
      </c>
      <c r="V45">
        <f t="shared" si="34"/>
        <v>0</v>
      </c>
      <c r="W45">
        <f t="shared" si="34"/>
        <v>0</v>
      </c>
      <c r="X45">
        <f t="shared" si="34"/>
        <v>0</v>
      </c>
    </row>
    <row r="46" ht="15" spans="5:24">
      <c r="E46" s="151" t="s">
        <v>2937</v>
      </c>
      <c r="F46">
        <v>2</v>
      </c>
      <c r="G46" s="150">
        <f t="shared" si="29"/>
        <v>2305</v>
      </c>
      <c r="H46" s="151">
        <v>5</v>
      </c>
      <c r="I46" s="151">
        <v>95</v>
      </c>
      <c r="J46" s="151">
        <v>215</v>
      </c>
      <c r="K46" s="151">
        <v>477</v>
      </c>
      <c r="L46" s="151">
        <v>1057</v>
      </c>
      <c r="M46" s="151">
        <v>2335</v>
      </c>
      <c r="N46" s="151">
        <v>3522</v>
      </c>
      <c r="O46" s="151">
        <v>4923</v>
      </c>
      <c r="P46" s="151"/>
      <c r="Q46">
        <f t="shared" si="21"/>
        <v>2305</v>
      </c>
      <c r="R46">
        <f t="shared" si="32"/>
        <v>517</v>
      </c>
      <c r="S46">
        <f t="shared" ref="S46:X46" si="35">S16</f>
        <v>1202</v>
      </c>
      <c r="T46">
        <f t="shared" si="35"/>
        <v>2830</v>
      </c>
      <c r="U46">
        <f t="shared" si="35"/>
        <v>3113</v>
      </c>
      <c r="V46">
        <f t="shared" si="35"/>
        <v>0</v>
      </c>
      <c r="W46">
        <f t="shared" si="35"/>
        <v>0</v>
      </c>
      <c r="X46">
        <f t="shared" si="35"/>
        <v>0</v>
      </c>
    </row>
    <row r="47" ht="15" spans="5:24">
      <c r="E47" s="151" t="s">
        <v>2938</v>
      </c>
      <c r="F47">
        <v>2</v>
      </c>
      <c r="G47" s="150">
        <f t="shared" si="29"/>
        <v>2306</v>
      </c>
      <c r="H47" s="151">
        <v>6</v>
      </c>
      <c r="I47" s="151">
        <v>43</v>
      </c>
      <c r="J47" s="151">
        <v>97</v>
      </c>
      <c r="K47" s="151">
        <v>215</v>
      </c>
      <c r="L47" s="151">
        <v>475</v>
      </c>
      <c r="M47" s="151">
        <v>1050</v>
      </c>
      <c r="N47" s="151">
        <v>1585</v>
      </c>
      <c r="O47" s="151">
        <v>2217</v>
      </c>
      <c r="P47" s="151"/>
      <c r="Q47">
        <f t="shared" si="21"/>
        <v>2306</v>
      </c>
      <c r="R47">
        <f t="shared" si="32"/>
        <v>575</v>
      </c>
      <c r="S47">
        <f t="shared" ref="S47:X47" si="36">S17</f>
        <v>1335</v>
      </c>
      <c r="T47">
        <f t="shared" si="36"/>
        <v>3145</v>
      </c>
      <c r="U47">
        <f t="shared" si="36"/>
        <v>3459</v>
      </c>
      <c r="V47">
        <f t="shared" si="36"/>
        <v>0</v>
      </c>
      <c r="W47">
        <f t="shared" si="36"/>
        <v>0</v>
      </c>
      <c r="X47">
        <f t="shared" si="36"/>
        <v>0</v>
      </c>
    </row>
    <row r="48" ht="15" spans="5:24">
      <c r="E48" s="151" t="s">
        <v>2936</v>
      </c>
      <c r="F48">
        <v>2</v>
      </c>
      <c r="G48" s="150">
        <f t="shared" si="29"/>
        <v>2307</v>
      </c>
      <c r="H48" s="151">
        <v>7</v>
      </c>
      <c r="I48" s="151">
        <v>563</v>
      </c>
      <c r="J48" s="151">
        <v>1330</v>
      </c>
      <c r="K48" s="151">
        <v>3282</v>
      </c>
      <c r="L48" s="151">
        <v>7885</v>
      </c>
      <c r="M48" s="151">
        <v>17983</v>
      </c>
      <c r="N48" s="151">
        <v>31165</v>
      </c>
      <c r="O48" s="151">
        <v>49583</v>
      </c>
      <c r="P48" s="151"/>
      <c r="Q48">
        <f t="shared" si="21"/>
        <v>2307</v>
      </c>
      <c r="R48">
        <f t="shared" si="32"/>
        <v>632</v>
      </c>
      <c r="S48">
        <f t="shared" ref="S48:X48" si="37">S18</f>
        <v>1469</v>
      </c>
      <c r="T48">
        <f t="shared" si="37"/>
        <v>3459</v>
      </c>
      <c r="U48">
        <f t="shared" si="37"/>
        <v>3805</v>
      </c>
      <c r="V48">
        <f t="shared" si="37"/>
        <v>0</v>
      </c>
      <c r="W48">
        <f t="shared" si="37"/>
        <v>0</v>
      </c>
      <c r="X48">
        <f t="shared" si="37"/>
        <v>0</v>
      </c>
    </row>
    <row r="49" ht="15" spans="5:24">
      <c r="E49" s="151" t="s">
        <v>2937</v>
      </c>
      <c r="F49">
        <v>2</v>
      </c>
      <c r="G49" s="150">
        <f t="shared" si="29"/>
        <v>2308</v>
      </c>
      <c r="H49" s="151">
        <v>8</v>
      </c>
      <c r="I49" s="151">
        <v>127</v>
      </c>
      <c r="J49" s="151">
        <v>285</v>
      </c>
      <c r="K49" s="151">
        <v>637</v>
      </c>
      <c r="L49" s="151">
        <v>1410</v>
      </c>
      <c r="M49" s="151">
        <v>3113</v>
      </c>
      <c r="N49" s="151">
        <v>4697</v>
      </c>
      <c r="O49" s="151">
        <v>6565</v>
      </c>
      <c r="P49" s="151"/>
      <c r="Q49">
        <f t="shared" si="21"/>
        <v>2308</v>
      </c>
      <c r="R49">
        <f t="shared" si="32"/>
        <v>690</v>
      </c>
      <c r="S49">
        <f t="shared" ref="S49:X49" si="38">S19</f>
        <v>1603</v>
      </c>
      <c r="T49">
        <f t="shared" si="38"/>
        <v>3773</v>
      </c>
      <c r="U49">
        <f t="shared" si="38"/>
        <v>4151</v>
      </c>
      <c r="V49">
        <f t="shared" si="38"/>
        <v>0</v>
      </c>
      <c r="W49">
        <f t="shared" si="38"/>
        <v>0</v>
      </c>
      <c r="X49">
        <f t="shared" si="38"/>
        <v>0</v>
      </c>
    </row>
    <row r="50" ht="15" spans="5:24">
      <c r="E50" s="151" t="s">
        <v>2938</v>
      </c>
      <c r="F50">
        <v>2</v>
      </c>
      <c r="G50" s="150">
        <f t="shared" si="29"/>
        <v>2309</v>
      </c>
      <c r="H50" s="151">
        <v>9</v>
      </c>
      <c r="I50" s="151">
        <v>57</v>
      </c>
      <c r="J50" s="151">
        <v>128</v>
      </c>
      <c r="K50" s="151">
        <v>287</v>
      </c>
      <c r="L50" s="151">
        <v>633</v>
      </c>
      <c r="M50" s="151">
        <v>1400</v>
      </c>
      <c r="N50" s="151">
        <v>2113</v>
      </c>
      <c r="O50" s="151">
        <v>2955</v>
      </c>
      <c r="P50" s="151"/>
      <c r="Q50">
        <f t="shared" si="21"/>
        <v>2309</v>
      </c>
      <c r="R50">
        <f t="shared" si="32"/>
        <v>747</v>
      </c>
      <c r="S50">
        <f t="shared" ref="S50:X50" si="39">S20</f>
        <v>1736</v>
      </c>
      <c r="T50">
        <f t="shared" si="39"/>
        <v>4088</v>
      </c>
      <c r="U50">
        <f t="shared" si="39"/>
        <v>4497</v>
      </c>
      <c r="V50">
        <f t="shared" si="39"/>
        <v>0</v>
      </c>
      <c r="W50">
        <f t="shared" si="39"/>
        <v>0</v>
      </c>
      <c r="X50">
        <f t="shared" si="39"/>
        <v>0</v>
      </c>
    </row>
    <row r="51" ht="15" spans="5:24">
      <c r="E51" s="151" t="s">
        <v>2936</v>
      </c>
      <c r="F51">
        <v>2</v>
      </c>
      <c r="G51" s="150">
        <f t="shared" si="29"/>
        <v>2310</v>
      </c>
      <c r="H51" s="151">
        <v>10</v>
      </c>
      <c r="I51" s="151">
        <v>705</v>
      </c>
      <c r="J51" s="151">
        <v>1663</v>
      </c>
      <c r="K51" s="151">
        <v>4103</v>
      </c>
      <c r="L51" s="151">
        <v>9857</v>
      </c>
      <c r="M51" s="151">
        <v>22478</v>
      </c>
      <c r="N51" s="151">
        <v>38957</v>
      </c>
      <c r="O51" s="151">
        <v>61978</v>
      </c>
      <c r="P51" s="151"/>
      <c r="Q51">
        <f t="shared" si="21"/>
        <v>2310</v>
      </c>
      <c r="R51">
        <f t="shared" si="32"/>
        <v>805</v>
      </c>
      <c r="S51">
        <f t="shared" ref="S51:X51" si="40">S21</f>
        <v>1870</v>
      </c>
      <c r="T51">
        <f t="shared" si="40"/>
        <v>4402</v>
      </c>
      <c r="U51">
        <f t="shared" si="40"/>
        <v>4843</v>
      </c>
      <c r="V51">
        <f t="shared" si="40"/>
        <v>0</v>
      </c>
      <c r="W51">
        <f t="shared" si="40"/>
        <v>0</v>
      </c>
      <c r="X51">
        <f t="shared" si="40"/>
        <v>0</v>
      </c>
    </row>
    <row r="52" ht="15" spans="5:24">
      <c r="E52" s="152" t="s">
        <v>2936</v>
      </c>
      <c r="F52">
        <v>2</v>
      </c>
      <c r="G52" s="150">
        <f t="shared" ref="G52:G61" si="41">(F52*10+4)*100+H52</f>
        <v>2401</v>
      </c>
      <c r="H52" s="152">
        <v>1</v>
      </c>
      <c r="I52" s="152">
        <v>394</v>
      </c>
      <c r="J52" s="152">
        <v>931</v>
      </c>
      <c r="K52" s="152">
        <v>2298</v>
      </c>
      <c r="L52" s="152">
        <v>5521</v>
      </c>
      <c r="M52" s="152">
        <v>12588</v>
      </c>
      <c r="N52" s="152">
        <v>21817</v>
      </c>
      <c r="O52" s="152">
        <v>34708</v>
      </c>
      <c r="P52" s="152"/>
      <c r="Q52">
        <f t="shared" si="21"/>
        <v>2401</v>
      </c>
      <c r="R52">
        <f t="shared" si="32"/>
        <v>431</v>
      </c>
      <c r="S52">
        <f t="shared" ref="S52:X52" si="42">S22</f>
        <v>1002</v>
      </c>
      <c r="T52">
        <f t="shared" si="42"/>
        <v>2358</v>
      </c>
      <c r="U52">
        <f t="shared" si="42"/>
        <v>2594</v>
      </c>
      <c r="V52">
        <f t="shared" si="42"/>
        <v>0</v>
      </c>
      <c r="W52">
        <f t="shared" si="42"/>
        <v>0</v>
      </c>
      <c r="X52">
        <f t="shared" si="42"/>
        <v>0</v>
      </c>
    </row>
    <row r="53" ht="15" spans="5:24">
      <c r="E53" s="152" t="s">
        <v>2937</v>
      </c>
      <c r="F53">
        <v>2</v>
      </c>
      <c r="G53" s="150">
        <f t="shared" si="41"/>
        <v>2402</v>
      </c>
      <c r="H53" s="152">
        <v>2</v>
      </c>
      <c r="I53" s="152">
        <v>89</v>
      </c>
      <c r="J53" s="152">
        <v>201</v>
      </c>
      <c r="K53" s="152">
        <v>446</v>
      </c>
      <c r="L53" s="152">
        <v>987</v>
      </c>
      <c r="M53" s="152">
        <v>2179</v>
      </c>
      <c r="N53" s="152">
        <v>3288</v>
      </c>
      <c r="O53" s="152">
        <v>4597</v>
      </c>
      <c r="P53" s="152"/>
      <c r="Q53">
        <f t="shared" si="21"/>
        <v>2402</v>
      </c>
      <c r="R53">
        <f t="shared" si="32"/>
        <v>517</v>
      </c>
      <c r="S53">
        <f t="shared" ref="S53:X53" si="43">S23</f>
        <v>1202</v>
      </c>
      <c r="T53">
        <f t="shared" si="43"/>
        <v>2830</v>
      </c>
      <c r="U53">
        <f t="shared" si="43"/>
        <v>3113</v>
      </c>
      <c r="V53">
        <f t="shared" si="43"/>
        <v>0</v>
      </c>
      <c r="W53">
        <f t="shared" si="43"/>
        <v>0</v>
      </c>
      <c r="X53">
        <f t="shared" si="43"/>
        <v>0</v>
      </c>
    </row>
    <row r="54" ht="15" spans="5:24">
      <c r="E54" s="152" t="s">
        <v>2938</v>
      </c>
      <c r="F54">
        <v>2</v>
      </c>
      <c r="G54" s="150">
        <f t="shared" si="41"/>
        <v>2403</v>
      </c>
      <c r="H54" s="152">
        <v>3</v>
      </c>
      <c r="I54" s="152">
        <v>40</v>
      </c>
      <c r="J54" s="152">
        <v>89</v>
      </c>
      <c r="K54" s="152">
        <v>201</v>
      </c>
      <c r="L54" s="152">
        <v>443</v>
      </c>
      <c r="M54" s="152">
        <v>980</v>
      </c>
      <c r="N54" s="152">
        <v>1479</v>
      </c>
      <c r="O54" s="152">
        <v>2067</v>
      </c>
      <c r="P54" s="152"/>
      <c r="Q54">
        <f t="shared" si="21"/>
        <v>2403</v>
      </c>
      <c r="R54">
        <f t="shared" si="32"/>
        <v>603</v>
      </c>
      <c r="S54">
        <f t="shared" ref="S54:X54" si="44">S24</f>
        <v>1402</v>
      </c>
      <c r="T54">
        <f t="shared" si="44"/>
        <v>3302</v>
      </c>
      <c r="U54">
        <f t="shared" si="44"/>
        <v>3632</v>
      </c>
      <c r="V54">
        <f t="shared" si="44"/>
        <v>0</v>
      </c>
      <c r="W54">
        <f t="shared" si="44"/>
        <v>0</v>
      </c>
      <c r="X54">
        <f t="shared" si="44"/>
        <v>0</v>
      </c>
    </row>
    <row r="55" ht="15" spans="5:24">
      <c r="E55" s="152" t="s">
        <v>2936</v>
      </c>
      <c r="F55">
        <v>2</v>
      </c>
      <c r="G55" s="150">
        <f t="shared" si="41"/>
        <v>2404</v>
      </c>
      <c r="H55" s="152">
        <v>4</v>
      </c>
      <c r="I55" s="152">
        <v>593</v>
      </c>
      <c r="J55" s="152">
        <v>1398</v>
      </c>
      <c r="K55" s="152">
        <v>3446</v>
      </c>
      <c r="L55" s="152">
        <v>8281</v>
      </c>
      <c r="M55" s="152">
        <v>18881</v>
      </c>
      <c r="N55" s="152">
        <v>32723</v>
      </c>
      <c r="O55" s="152">
        <v>52061</v>
      </c>
      <c r="P55" s="152"/>
      <c r="Q55">
        <f t="shared" si="21"/>
        <v>2404</v>
      </c>
      <c r="R55">
        <f t="shared" si="32"/>
        <v>690</v>
      </c>
      <c r="S55">
        <f t="shared" ref="S55:X55" si="45">S25</f>
        <v>1603</v>
      </c>
      <c r="T55">
        <f t="shared" si="45"/>
        <v>3773</v>
      </c>
      <c r="U55">
        <f t="shared" si="45"/>
        <v>4151</v>
      </c>
      <c r="V55">
        <f t="shared" si="45"/>
        <v>0</v>
      </c>
      <c r="W55">
        <f t="shared" si="45"/>
        <v>0</v>
      </c>
      <c r="X55">
        <f t="shared" si="45"/>
        <v>0</v>
      </c>
    </row>
    <row r="56" ht="15" spans="5:24">
      <c r="E56" s="152" t="s">
        <v>2937</v>
      </c>
      <c r="F56">
        <v>2</v>
      </c>
      <c r="G56" s="150">
        <f t="shared" si="41"/>
        <v>2405</v>
      </c>
      <c r="H56" s="152">
        <v>5</v>
      </c>
      <c r="I56" s="152">
        <v>133</v>
      </c>
      <c r="J56" s="152">
        <v>301</v>
      </c>
      <c r="K56" s="152">
        <v>667</v>
      </c>
      <c r="L56" s="152">
        <v>1479</v>
      </c>
      <c r="M56" s="152">
        <v>3269</v>
      </c>
      <c r="N56" s="152">
        <v>4930</v>
      </c>
      <c r="O56" s="152">
        <v>6893</v>
      </c>
      <c r="P56" s="152"/>
      <c r="Q56">
        <f t="shared" si="21"/>
        <v>2405</v>
      </c>
      <c r="R56">
        <f t="shared" si="32"/>
        <v>776</v>
      </c>
      <c r="S56">
        <f t="shared" ref="S56:X56" si="46">S26</f>
        <v>1803</v>
      </c>
      <c r="T56">
        <f t="shared" si="46"/>
        <v>4245</v>
      </c>
      <c r="U56">
        <f t="shared" si="46"/>
        <v>4670</v>
      </c>
      <c r="V56">
        <f t="shared" si="46"/>
        <v>0</v>
      </c>
      <c r="W56">
        <f t="shared" si="46"/>
        <v>0</v>
      </c>
      <c r="X56">
        <f t="shared" si="46"/>
        <v>0</v>
      </c>
    </row>
    <row r="57" ht="15" spans="5:24">
      <c r="E57" s="152" t="s">
        <v>2938</v>
      </c>
      <c r="F57">
        <v>2</v>
      </c>
      <c r="G57" s="150">
        <f t="shared" si="41"/>
        <v>2406</v>
      </c>
      <c r="H57" s="152">
        <v>6</v>
      </c>
      <c r="I57" s="152">
        <v>61</v>
      </c>
      <c r="J57" s="152">
        <v>135</v>
      </c>
      <c r="K57" s="152">
        <v>301</v>
      </c>
      <c r="L57" s="152">
        <v>665</v>
      </c>
      <c r="M57" s="152">
        <v>1470</v>
      </c>
      <c r="N57" s="152">
        <v>2219</v>
      </c>
      <c r="O57" s="152">
        <v>3103</v>
      </c>
      <c r="P57" s="152"/>
      <c r="Q57">
        <f t="shared" si="21"/>
        <v>2406</v>
      </c>
      <c r="R57">
        <f t="shared" si="32"/>
        <v>862</v>
      </c>
      <c r="S57">
        <f t="shared" ref="S57:X57" si="47">S27</f>
        <v>2003</v>
      </c>
      <c r="T57">
        <f t="shared" si="47"/>
        <v>4717</v>
      </c>
      <c r="U57">
        <f t="shared" si="47"/>
        <v>5188</v>
      </c>
      <c r="V57">
        <f t="shared" si="47"/>
        <v>0</v>
      </c>
      <c r="W57">
        <f t="shared" si="47"/>
        <v>0</v>
      </c>
      <c r="X57">
        <f t="shared" si="47"/>
        <v>0</v>
      </c>
    </row>
    <row r="58" ht="15" spans="5:24">
      <c r="E58" s="152" t="s">
        <v>2936</v>
      </c>
      <c r="F58">
        <v>2</v>
      </c>
      <c r="G58" s="150">
        <f t="shared" si="41"/>
        <v>2407</v>
      </c>
      <c r="H58" s="152">
        <v>7</v>
      </c>
      <c r="I58" s="152">
        <v>789</v>
      </c>
      <c r="J58" s="152">
        <v>1862</v>
      </c>
      <c r="K58" s="152">
        <v>4594</v>
      </c>
      <c r="L58" s="152">
        <v>11039</v>
      </c>
      <c r="M58" s="152">
        <v>25177</v>
      </c>
      <c r="N58" s="152">
        <v>43631</v>
      </c>
      <c r="O58" s="152">
        <v>69417</v>
      </c>
      <c r="P58" s="152"/>
      <c r="Q58">
        <f t="shared" si="21"/>
        <v>2407</v>
      </c>
      <c r="R58">
        <f t="shared" si="32"/>
        <v>948</v>
      </c>
      <c r="S58">
        <f t="shared" ref="S58:X58" si="48">S28</f>
        <v>2204</v>
      </c>
      <c r="T58">
        <f t="shared" si="48"/>
        <v>5188</v>
      </c>
      <c r="U58">
        <f t="shared" si="48"/>
        <v>5707</v>
      </c>
      <c r="V58">
        <f t="shared" si="48"/>
        <v>0</v>
      </c>
      <c r="W58">
        <f t="shared" si="48"/>
        <v>0</v>
      </c>
      <c r="X58">
        <f t="shared" si="48"/>
        <v>0</v>
      </c>
    </row>
    <row r="59" ht="15" spans="5:24">
      <c r="E59" s="152" t="s">
        <v>2937</v>
      </c>
      <c r="F59">
        <v>2</v>
      </c>
      <c r="G59" s="150">
        <f t="shared" si="41"/>
        <v>2408</v>
      </c>
      <c r="H59" s="152">
        <v>8</v>
      </c>
      <c r="I59" s="152">
        <v>177</v>
      </c>
      <c r="J59" s="152">
        <v>399</v>
      </c>
      <c r="K59" s="152">
        <v>891</v>
      </c>
      <c r="L59" s="152">
        <v>1974</v>
      </c>
      <c r="M59" s="152">
        <v>4359</v>
      </c>
      <c r="N59" s="152">
        <v>6575</v>
      </c>
      <c r="O59" s="152">
        <v>9191</v>
      </c>
      <c r="P59" s="152"/>
      <c r="Q59">
        <f t="shared" si="21"/>
        <v>2408</v>
      </c>
      <c r="R59">
        <f t="shared" si="32"/>
        <v>1035</v>
      </c>
      <c r="S59">
        <f t="shared" ref="S59:X59" si="49">S29</f>
        <v>2404</v>
      </c>
      <c r="T59">
        <f t="shared" si="49"/>
        <v>5660</v>
      </c>
      <c r="U59">
        <f t="shared" si="49"/>
        <v>6226</v>
      </c>
      <c r="V59">
        <f t="shared" si="49"/>
        <v>0</v>
      </c>
      <c r="W59">
        <f t="shared" si="49"/>
        <v>0</v>
      </c>
      <c r="X59">
        <f t="shared" si="49"/>
        <v>0</v>
      </c>
    </row>
    <row r="60" ht="15" spans="5:24">
      <c r="E60" s="152" t="s">
        <v>2938</v>
      </c>
      <c r="F60">
        <v>2</v>
      </c>
      <c r="G60" s="150">
        <f t="shared" si="41"/>
        <v>2409</v>
      </c>
      <c r="H60" s="152">
        <v>9</v>
      </c>
      <c r="I60" s="152">
        <v>79</v>
      </c>
      <c r="J60" s="152">
        <v>180</v>
      </c>
      <c r="K60" s="152">
        <v>401</v>
      </c>
      <c r="L60" s="152">
        <v>887</v>
      </c>
      <c r="M60" s="152">
        <v>1960</v>
      </c>
      <c r="N60" s="152">
        <v>2959</v>
      </c>
      <c r="O60" s="152">
        <v>4137</v>
      </c>
      <c r="P60" s="152"/>
      <c r="Q60">
        <f t="shared" si="21"/>
        <v>2409</v>
      </c>
      <c r="R60">
        <f t="shared" si="32"/>
        <v>1121</v>
      </c>
      <c r="S60">
        <f t="shared" ref="S60:X60" si="50">S30</f>
        <v>2604</v>
      </c>
      <c r="T60">
        <f t="shared" si="50"/>
        <v>6132</v>
      </c>
      <c r="U60">
        <f t="shared" si="50"/>
        <v>6745</v>
      </c>
      <c r="V60">
        <f t="shared" si="50"/>
        <v>0</v>
      </c>
      <c r="W60">
        <f t="shared" si="50"/>
        <v>0</v>
      </c>
      <c r="X60">
        <f t="shared" si="50"/>
        <v>0</v>
      </c>
    </row>
    <row r="61" ht="15" spans="5:24">
      <c r="E61" s="152" t="s">
        <v>2936</v>
      </c>
      <c r="F61">
        <v>2</v>
      </c>
      <c r="G61" s="150">
        <f t="shared" si="41"/>
        <v>2410</v>
      </c>
      <c r="H61" s="152">
        <v>10</v>
      </c>
      <c r="I61" s="152">
        <v>987</v>
      </c>
      <c r="J61" s="152">
        <v>2329</v>
      </c>
      <c r="K61" s="152">
        <v>5745</v>
      </c>
      <c r="L61" s="152">
        <v>13799</v>
      </c>
      <c r="M61" s="152">
        <v>31470</v>
      </c>
      <c r="N61" s="152">
        <v>54539</v>
      </c>
      <c r="O61" s="152">
        <v>86770</v>
      </c>
      <c r="P61" s="152"/>
      <c r="Q61">
        <f t="shared" si="21"/>
        <v>2410</v>
      </c>
      <c r="R61">
        <f t="shared" si="32"/>
        <v>1207</v>
      </c>
      <c r="S61">
        <f t="shared" ref="S61:X61" si="51">S31</f>
        <v>2804</v>
      </c>
      <c r="T61">
        <f t="shared" si="51"/>
        <v>6603</v>
      </c>
      <c r="U61">
        <f t="shared" si="51"/>
        <v>7264</v>
      </c>
      <c r="V61">
        <f t="shared" si="51"/>
        <v>0</v>
      </c>
      <c r="W61">
        <f t="shared" si="51"/>
        <v>0</v>
      </c>
      <c r="X61">
        <f t="shared" si="51"/>
        <v>0</v>
      </c>
    </row>
    <row r="62" ht="15" spans="4:24">
      <c r="D62" t="s">
        <v>2940</v>
      </c>
      <c r="E62" t="s">
        <v>2936</v>
      </c>
      <c r="F62">
        <v>3</v>
      </c>
      <c r="G62" s="150">
        <f t="shared" ref="G62:G71" si="52">(F62*10+2)*100+H62</f>
        <v>3201</v>
      </c>
      <c r="H62">
        <v>1</v>
      </c>
      <c r="I62" s="22">
        <v>209</v>
      </c>
      <c r="J62" s="22">
        <v>493</v>
      </c>
      <c r="K62" s="22">
        <v>1216</v>
      </c>
      <c r="L62" s="22">
        <v>2921</v>
      </c>
      <c r="M62" s="22">
        <v>6660</v>
      </c>
      <c r="N62" s="22">
        <v>11543</v>
      </c>
      <c r="O62" s="22">
        <v>18364</v>
      </c>
      <c r="P62" s="22"/>
      <c r="Q62">
        <f t="shared" si="21"/>
        <v>3201</v>
      </c>
      <c r="R62">
        <f t="shared" si="32"/>
        <v>144</v>
      </c>
      <c r="S62">
        <f t="shared" ref="S62:X62" si="53">S32</f>
        <v>334</v>
      </c>
      <c r="T62">
        <f t="shared" si="53"/>
        <v>786</v>
      </c>
      <c r="U62">
        <f t="shared" si="53"/>
        <v>865</v>
      </c>
      <c r="V62">
        <f t="shared" si="53"/>
        <v>0</v>
      </c>
      <c r="W62">
        <f t="shared" si="53"/>
        <v>0</v>
      </c>
      <c r="X62">
        <f t="shared" si="53"/>
        <v>0</v>
      </c>
    </row>
    <row r="63" ht="15" spans="5:24">
      <c r="E63" t="s">
        <v>2937</v>
      </c>
      <c r="F63">
        <v>3</v>
      </c>
      <c r="G63" s="150">
        <f t="shared" si="52"/>
        <v>3202</v>
      </c>
      <c r="H63">
        <v>2</v>
      </c>
      <c r="I63" s="22">
        <v>34</v>
      </c>
      <c r="J63" s="22">
        <v>77</v>
      </c>
      <c r="K63" s="22">
        <v>172</v>
      </c>
      <c r="L63" s="22">
        <v>381</v>
      </c>
      <c r="M63" s="22">
        <v>840</v>
      </c>
      <c r="N63" s="22">
        <v>1268</v>
      </c>
      <c r="O63" s="22">
        <v>1773</v>
      </c>
      <c r="P63" s="22"/>
      <c r="Q63">
        <f t="shared" si="21"/>
        <v>3202</v>
      </c>
      <c r="R63">
        <f t="shared" si="32"/>
        <v>172</v>
      </c>
      <c r="S63">
        <f t="shared" ref="S63:X63" si="54">S33</f>
        <v>401</v>
      </c>
      <c r="T63">
        <f t="shared" si="54"/>
        <v>943</v>
      </c>
      <c r="U63">
        <f t="shared" si="54"/>
        <v>1038</v>
      </c>
      <c r="V63">
        <f t="shared" si="54"/>
        <v>0</v>
      </c>
      <c r="W63">
        <f t="shared" si="54"/>
        <v>0</v>
      </c>
      <c r="X63">
        <f t="shared" si="54"/>
        <v>0</v>
      </c>
    </row>
    <row r="64" ht="15" spans="5:24">
      <c r="E64" t="s">
        <v>2938</v>
      </c>
      <c r="F64">
        <v>3</v>
      </c>
      <c r="G64" s="150">
        <f t="shared" si="52"/>
        <v>3203</v>
      </c>
      <c r="H64">
        <v>3</v>
      </c>
      <c r="I64" s="22">
        <v>15</v>
      </c>
      <c r="J64" s="22">
        <v>35</v>
      </c>
      <c r="K64" s="22">
        <v>77</v>
      </c>
      <c r="L64" s="22">
        <v>171</v>
      </c>
      <c r="M64" s="22">
        <v>378</v>
      </c>
      <c r="N64" s="22">
        <v>571</v>
      </c>
      <c r="O64" s="22">
        <v>798</v>
      </c>
      <c r="P64" s="22"/>
      <c r="Q64">
        <f t="shared" si="21"/>
        <v>3203</v>
      </c>
      <c r="R64">
        <f t="shared" si="32"/>
        <v>201</v>
      </c>
      <c r="S64">
        <f t="shared" ref="S64:X64" si="55">S34</f>
        <v>467</v>
      </c>
      <c r="T64">
        <f t="shared" si="55"/>
        <v>1101</v>
      </c>
      <c r="U64">
        <f t="shared" si="55"/>
        <v>1211</v>
      </c>
      <c r="V64">
        <f t="shared" si="55"/>
        <v>0</v>
      </c>
      <c r="W64">
        <f t="shared" si="55"/>
        <v>0</v>
      </c>
      <c r="X64">
        <f t="shared" si="55"/>
        <v>0</v>
      </c>
    </row>
    <row r="65" ht="15" spans="5:24">
      <c r="E65" t="s">
        <v>2936</v>
      </c>
      <c r="F65">
        <v>3</v>
      </c>
      <c r="G65" s="150">
        <f t="shared" si="52"/>
        <v>3204</v>
      </c>
      <c r="H65">
        <v>4</v>
      </c>
      <c r="I65" s="22">
        <v>313</v>
      </c>
      <c r="J65" s="22">
        <v>739</v>
      </c>
      <c r="K65" s="22">
        <v>1824</v>
      </c>
      <c r="L65" s="22">
        <v>4381</v>
      </c>
      <c r="M65" s="22">
        <v>9990</v>
      </c>
      <c r="N65" s="22">
        <v>17314</v>
      </c>
      <c r="O65" s="22">
        <v>27546</v>
      </c>
      <c r="P65" s="22"/>
      <c r="Q65">
        <f t="shared" si="21"/>
        <v>3204</v>
      </c>
      <c r="R65">
        <f t="shared" si="32"/>
        <v>230</v>
      </c>
      <c r="S65">
        <f t="shared" ref="S65:X65" si="56">S35</f>
        <v>534</v>
      </c>
      <c r="T65">
        <f t="shared" si="56"/>
        <v>1258</v>
      </c>
      <c r="U65">
        <f t="shared" si="56"/>
        <v>1384</v>
      </c>
      <c r="V65">
        <f t="shared" si="56"/>
        <v>0</v>
      </c>
      <c r="W65">
        <f t="shared" si="56"/>
        <v>0</v>
      </c>
      <c r="X65">
        <f t="shared" si="56"/>
        <v>0</v>
      </c>
    </row>
    <row r="66" ht="15" spans="5:24">
      <c r="E66" t="s">
        <v>2937</v>
      </c>
      <c r="F66">
        <v>3</v>
      </c>
      <c r="G66" s="150">
        <f t="shared" si="52"/>
        <v>3205</v>
      </c>
      <c r="H66">
        <v>5</v>
      </c>
      <c r="I66" s="22">
        <v>51</v>
      </c>
      <c r="J66" s="22">
        <v>116</v>
      </c>
      <c r="K66" s="22">
        <v>258</v>
      </c>
      <c r="L66" s="22">
        <v>571</v>
      </c>
      <c r="M66" s="22">
        <v>1261</v>
      </c>
      <c r="N66" s="22">
        <v>1902</v>
      </c>
      <c r="O66" s="22">
        <v>2659</v>
      </c>
      <c r="P66" s="22"/>
      <c r="Q66">
        <f t="shared" si="21"/>
        <v>3205</v>
      </c>
      <c r="R66">
        <f t="shared" si="32"/>
        <v>259</v>
      </c>
      <c r="S66">
        <f t="shared" ref="S66:X66" si="57">S36</f>
        <v>601</v>
      </c>
      <c r="T66">
        <f t="shared" si="57"/>
        <v>1415</v>
      </c>
      <c r="U66">
        <f t="shared" si="57"/>
        <v>1557</v>
      </c>
      <c r="V66">
        <f t="shared" si="57"/>
        <v>0</v>
      </c>
      <c r="W66">
        <f t="shared" si="57"/>
        <v>0</v>
      </c>
      <c r="X66">
        <f t="shared" si="57"/>
        <v>0</v>
      </c>
    </row>
    <row r="67" ht="15" spans="5:24">
      <c r="E67" t="s">
        <v>2938</v>
      </c>
      <c r="F67">
        <v>3</v>
      </c>
      <c r="G67" s="150">
        <f t="shared" si="52"/>
        <v>3206</v>
      </c>
      <c r="H67">
        <v>6</v>
      </c>
      <c r="I67" s="22">
        <v>23</v>
      </c>
      <c r="J67" s="22">
        <v>52</v>
      </c>
      <c r="K67" s="22">
        <v>116</v>
      </c>
      <c r="L67" s="22">
        <v>257</v>
      </c>
      <c r="M67" s="22">
        <v>567</v>
      </c>
      <c r="N67" s="22">
        <v>856</v>
      </c>
      <c r="O67" s="22">
        <v>1197</v>
      </c>
      <c r="P67" s="22"/>
      <c r="Q67">
        <f t="shared" ref="Q67:Q91" si="58">G67</f>
        <v>3206</v>
      </c>
      <c r="R67">
        <f t="shared" si="32"/>
        <v>287</v>
      </c>
      <c r="S67">
        <f t="shared" ref="S67:X67" si="59">S37</f>
        <v>668</v>
      </c>
      <c r="T67">
        <f t="shared" si="59"/>
        <v>1572</v>
      </c>
      <c r="U67">
        <f t="shared" si="59"/>
        <v>1729</v>
      </c>
      <c r="V67">
        <f t="shared" si="59"/>
        <v>0</v>
      </c>
      <c r="W67">
        <f t="shared" si="59"/>
        <v>0</v>
      </c>
      <c r="X67">
        <f t="shared" si="59"/>
        <v>0</v>
      </c>
    </row>
    <row r="68" ht="15" spans="5:24">
      <c r="E68" t="s">
        <v>2936</v>
      </c>
      <c r="F68">
        <v>3</v>
      </c>
      <c r="G68" s="150">
        <f t="shared" si="52"/>
        <v>3207</v>
      </c>
      <c r="H68">
        <v>7</v>
      </c>
      <c r="I68" s="22">
        <v>418</v>
      </c>
      <c r="J68" s="22">
        <v>986</v>
      </c>
      <c r="K68" s="22">
        <v>2431</v>
      </c>
      <c r="L68" s="22">
        <v>5841</v>
      </c>
      <c r="M68" s="22">
        <v>13321</v>
      </c>
      <c r="N68" s="22">
        <v>23085</v>
      </c>
      <c r="O68" s="22">
        <v>36728</v>
      </c>
      <c r="P68" s="22"/>
      <c r="Q68">
        <f t="shared" si="58"/>
        <v>3207</v>
      </c>
      <c r="R68">
        <f t="shared" si="32"/>
        <v>316</v>
      </c>
      <c r="S68">
        <f t="shared" ref="S68:X68" si="60">S38</f>
        <v>735</v>
      </c>
      <c r="T68">
        <f t="shared" si="60"/>
        <v>1729</v>
      </c>
      <c r="U68">
        <f t="shared" si="60"/>
        <v>1902</v>
      </c>
      <c r="V68">
        <f t="shared" si="60"/>
        <v>0</v>
      </c>
      <c r="W68">
        <f t="shared" si="60"/>
        <v>0</v>
      </c>
      <c r="X68">
        <f t="shared" si="60"/>
        <v>0</v>
      </c>
    </row>
    <row r="69" ht="15" spans="5:24">
      <c r="E69" t="s">
        <v>2937</v>
      </c>
      <c r="F69">
        <v>3</v>
      </c>
      <c r="G69" s="150">
        <f t="shared" si="52"/>
        <v>3208</v>
      </c>
      <c r="H69">
        <v>8</v>
      </c>
      <c r="I69" s="22">
        <v>68</v>
      </c>
      <c r="J69" s="22">
        <v>154</v>
      </c>
      <c r="K69" s="22">
        <v>344</v>
      </c>
      <c r="L69" s="22">
        <v>761</v>
      </c>
      <c r="M69" s="22">
        <v>1681</v>
      </c>
      <c r="N69" s="22">
        <v>2536</v>
      </c>
      <c r="O69" s="22">
        <v>3545</v>
      </c>
      <c r="P69" s="22"/>
      <c r="Q69">
        <f t="shared" si="58"/>
        <v>3208</v>
      </c>
      <c r="R69">
        <f t="shared" si="32"/>
        <v>345</v>
      </c>
      <c r="S69">
        <f t="shared" ref="S69:X69" si="61">S39</f>
        <v>801</v>
      </c>
      <c r="T69">
        <f t="shared" si="61"/>
        <v>1887</v>
      </c>
      <c r="U69">
        <f t="shared" si="61"/>
        <v>2075</v>
      </c>
      <c r="V69">
        <f t="shared" si="61"/>
        <v>0</v>
      </c>
      <c r="W69">
        <f t="shared" si="61"/>
        <v>0</v>
      </c>
      <c r="X69">
        <f t="shared" si="61"/>
        <v>0</v>
      </c>
    </row>
    <row r="70" ht="15" spans="5:24">
      <c r="E70" t="s">
        <v>2938</v>
      </c>
      <c r="F70">
        <v>3</v>
      </c>
      <c r="G70" s="150">
        <f t="shared" si="52"/>
        <v>3209</v>
      </c>
      <c r="H70">
        <v>9</v>
      </c>
      <c r="I70" s="22">
        <v>31</v>
      </c>
      <c r="J70" s="22">
        <v>69</v>
      </c>
      <c r="K70" s="22">
        <v>155</v>
      </c>
      <c r="L70" s="22">
        <v>342</v>
      </c>
      <c r="M70" s="22">
        <v>756</v>
      </c>
      <c r="N70" s="22">
        <v>1141</v>
      </c>
      <c r="O70" s="22">
        <v>1596</v>
      </c>
      <c r="P70" s="22"/>
      <c r="Q70">
        <f t="shared" si="58"/>
        <v>3209</v>
      </c>
      <c r="R70">
        <f t="shared" si="32"/>
        <v>374</v>
      </c>
      <c r="S70">
        <f t="shared" ref="S70:X70" si="62">S40</f>
        <v>868</v>
      </c>
      <c r="T70">
        <f t="shared" si="62"/>
        <v>2044</v>
      </c>
      <c r="U70">
        <f t="shared" si="62"/>
        <v>2248</v>
      </c>
      <c r="V70">
        <f t="shared" si="62"/>
        <v>0</v>
      </c>
      <c r="W70">
        <f t="shared" si="62"/>
        <v>0</v>
      </c>
      <c r="X70">
        <f t="shared" si="62"/>
        <v>0</v>
      </c>
    </row>
    <row r="71" ht="15" spans="5:24">
      <c r="E71" t="s">
        <v>2936</v>
      </c>
      <c r="F71">
        <v>3</v>
      </c>
      <c r="G71" s="150">
        <f t="shared" si="52"/>
        <v>3210</v>
      </c>
      <c r="H71">
        <v>10</v>
      </c>
      <c r="I71" s="22">
        <v>522</v>
      </c>
      <c r="J71" s="22">
        <v>1232</v>
      </c>
      <c r="K71" s="22">
        <v>3039</v>
      </c>
      <c r="L71" s="22">
        <v>7302</v>
      </c>
      <c r="M71" s="22">
        <v>16651</v>
      </c>
      <c r="N71" s="22">
        <v>28857</v>
      </c>
      <c r="O71" s="22">
        <v>45910</v>
      </c>
      <c r="P71" s="22"/>
      <c r="Q71">
        <f t="shared" si="58"/>
        <v>3210</v>
      </c>
      <c r="R71">
        <f t="shared" si="32"/>
        <v>402</v>
      </c>
      <c r="S71">
        <f t="shared" ref="S71:X71" si="63">S41</f>
        <v>935</v>
      </c>
      <c r="T71">
        <f t="shared" si="63"/>
        <v>2201</v>
      </c>
      <c r="U71">
        <f t="shared" si="63"/>
        <v>2421</v>
      </c>
      <c r="V71">
        <f t="shared" si="63"/>
        <v>0</v>
      </c>
      <c r="W71">
        <f t="shared" si="63"/>
        <v>0</v>
      </c>
      <c r="X71">
        <f t="shared" si="63"/>
        <v>0</v>
      </c>
    </row>
    <row r="72" ht="15" spans="5:24">
      <c r="E72" s="151" t="s">
        <v>2936</v>
      </c>
      <c r="F72">
        <v>3</v>
      </c>
      <c r="G72" s="150">
        <f t="shared" ref="G72:G81" si="64">(F72*10+3)*100+H72</f>
        <v>3301</v>
      </c>
      <c r="H72" s="151">
        <v>1</v>
      </c>
      <c r="I72" s="151">
        <v>348</v>
      </c>
      <c r="J72" s="151">
        <v>822</v>
      </c>
      <c r="K72" s="151">
        <v>2027</v>
      </c>
      <c r="L72" s="151">
        <v>4868</v>
      </c>
      <c r="M72" s="151">
        <v>11100</v>
      </c>
      <c r="N72" s="151">
        <v>19238</v>
      </c>
      <c r="O72" s="151">
        <v>30607</v>
      </c>
      <c r="P72" s="151"/>
      <c r="Q72">
        <f t="shared" si="58"/>
        <v>3301</v>
      </c>
      <c r="R72">
        <f t="shared" si="32"/>
        <v>287</v>
      </c>
      <c r="S72">
        <f t="shared" ref="S72:X72" si="65">S42</f>
        <v>668</v>
      </c>
      <c r="T72">
        <f t="shared" si="65"/>
        <v>1572</v>
      </c>
      <c r="U72">
        <f t="shared" si="65"/>
        <v>1729</v>
      </c>
      <c r="V72">
        <f t="shared" si="65"/>
        <v>0</v>
      </c>
      <c r="W72">
        <f t="shared" si="65"/>
        <v>0</v>
      </c>
      <c r="X72">
        <f t="shared" si="65"/>
        <v>0</v>
      </c>
    </row>
    <row r="73" ht="15" spans="5:24">
      <c r="E73" s="151" t="s">
        <v>2937</v>
      </c>
      <c r="F73">
        <v>3</v>
      </c>
      <c r="G73" s="150">
        <f t="shared" si="64"/>
        <v>3302</v>
      </c>
      <c r="H73" s="151">
        <v>2</v>
      </c>
      <c r="I73" s="151">
        <v>57</v>
      </c>
      <c r="J73" s="151">
        <v>128</v>
      </c>
      <c r="K73" s="151">
        <v>287</v>
      </c>
      <c r="L73" s="151">
        <v>635</v>
      </c>
      <c r="M73" s="151">
        <v>1400</v>
      </c>
      <c r="N73" s="151">
        <v>2113</v>
      </c>
      <c r="O73" s="151">
        <v>2955</v>
      </c>
      <c r="P73" s="151"/>
      <c r="Q73">
        <f t="shared" si="58"/>
        <v>3302</v>
      </c>
      <c r="R73">
        <f t="shared" si="32"/>
        <v>345</v>
      </c>
      <c r="S73">
        <f t="shared" ref="S73:X73" si="66">S43</f>
        <v>801</v>
      </c>
      <c r="T73">
        <f t="shared" si="66"/>
        <v>1887</v>
      </c>
      <c r="U73">
        <f t="shared" si="66"/>
        <v>2075</v>
      </c>
      <c r="V73">
        <f t="shared" si="66"/>
        <v>0</v>
      </c>
      <c r="W73">
        <f t="shared" si="66"/>
        <v>0</v>
      </c>
      <c r="X73">
        <f t="shared" si="66"/>
        <v>0</v>
      </c>
    </row>
    <row r="74" ht="15" spans="5:24">
      <c r="E74" s="151" t="s">
        <v>2938</v>
      </c>
      <c r="F74">
        <v>3</v>
      </c>
      <c r="G74" s="150">
        <f t="shared" si="64"/>
        <v>3303</v>
      </c>
      <c r="H74" s="151">
        <v>3</v>
      </c>
      <c r="I74" s="151">
        <v>25</v>
      </c>
      <c r="J74" s="151">
        <v>58</v>
      </c>
      <c r="K74" s="151">
        <v>128</v>
      </c>
      <c r="L74" s="151">
        <v>285</v>
      </c>
      <c r="M74" s="151">
        <v>630</v>
      </c>
      <c r="N74" s="151">
        <v>952</v>
      </c>
      <c r="O74" s="151">
        <v>1330</v>
      </c>
      <c r="P74" s="151"/>
      <c r="Q74">
        <f t="shared" si="58"/>
        <v>3303</v>
      </c>
      <c r="R74">
        <f t="shared" si="32"/>
        <v>402</v>
      </c>
      <c r="S74">
        <f t="shared" ref="S74:X74" si="67">S44</f>
        <v>935</v>
      </c>
      <c r="T74">
        <f t="shared" si="67"/>
        <v>2201</v>
      </c>
      <c r="U74">
        <f t="shared" si="67"/>
        <v>2421</v>
      </c>
      <c r="V74">
        <f t="shared" si="67"/>
        <v>0</v>
      </c>
      <c r="W74">
        <f t="shared" si="67"/>
        <v>0</v>
      </c>
      <c r="X74">
        <f t="shared" si="67"/>
        <v>0</v>
      </c>
    </row>
    <row r="75" ht="15" spans="5:24">
      <c r="E75" s="151" t="s">
        <v>2936</v>
      </c>
      <c r="F75">
        <v>3</v>
      </c>
      <c r="G75" s="150">
        <f t="shared" si="64"/>
        <v>3304</v>
      </c>
      <c r="H75" s="151">
        <v>4</v>
      </c>
      <c r="I75" s="151">
        <v>522</v>
      </c>
      <c r="J75" s="151">
        <v>1232</v>
      </c>
      <c r="K75" s="151">
        <v>3040</v>
      </c>
      <c r="L75" s="151">
        <v>7302</v>
      </c>
      <c r="M75" s="151">
        <v>16650</v>
      </c>
      <c r="N75" s="151">
        <v>28857</v>
      </c>
      <c r="O75" s="151">
        <v>45910</v>
      </c>
      <c r="P75" s="151"/>
      <c r="Q75">
        <f t="shared" si="58"/>
        <v>3304</v>
      </c>
      <c r="R75">
        <f t="shared" si="32"/>
        <v>460</v>
      </c>
      <c r="S75">
        <f t="shared" ref="S75:X75" si="68">S45</f>
        <v>1068</v>
      </c>
      <c r="T75">
        <f t="shared" si="68"/>
        <v>2516</v>
      </c>
      <c r="U75">
        <f t="shared" si="68"/>
        <v>2767</v>
      </c>
      <c r="V75">
        <f t="shared" si="68"/>
        <v>0</v>
      </c>
      <c r="W75">
        <f t="shared" si="68"/>
        <v>0</v>
      </c>
      <c r="X75">
        <f t="shared" si="68"/>
        <v>0</v>
      </c>
    </row>
    <row r="76" ht="15" spans="5:24">
      <c r="E76" s="151" t="s">
        <v>2937</v>
      </c>
      <c r="F76">
        <v>3</v>
      </c>
      <c r="G76" s="150">
        <f t="shared" si="64"/>
        <v>3305</v>
      </c>
      <c r="H76" s="151">
        <v>5</v>
      </c>
      <c r="I76" s="151">
        <v>85</v>
      </c>
      <c r="J76" s="151">
        <v>193</v>
      </c>
      <c r="K76" s="151">
        <v>430</v>
      </c>
      <c r="L76" s="151">
        <v>952</v>
      </c>
      <c r="M76" s="151">
        <v>2102</v>
      </c>
      <c r="N76" s="151">
        <v>3170</v>
      </c>
      <c r="O76" s="151">
        <v>4432</v>
      </c>
      <c r="P76" s="151"/>
      <c r="Q76">
        <f t="shared" si="58"/>
        <v>3305</v>
      </c>
      <c r="R76">
        <f t="shared" si="32"/>
        <v>517</v>
      </c>
      <c r="S76">
        <f t="shared" ref="S76:X76" si="69">S46</f>
        <v>1202</v>
      </c>
      <c r="T76">
        <f t="shared" si="69"/>
        <v>2830</v>
      </c>
      <c r="U76">
        <f t="shared" si="69"/>
        <v>3113</v>
      </c>
      <c r="V76">
        <f t="shared" si="69"/>
        <v>0</v>
      </c>
      <c r="W76">
        <f t="shared" si="69"/>
        <v>0</v>
      </c>
      <c r="X76">
        <f t="shared" si="69"/>
        <v>0</v>
      </c>
    </row>
    <row r="77" ht="15" spans="5:24">
      <c r="E77" s="151" t="s">
        <v>2938</v>
      </c>
      <c r="F77">
        <v>3</v>
      </c>
      <c r="G77" s="150">
        <f t="shared" si="64"/>
        <v>3306</v>
      </c>
      <c r="H77" s="151">
        <v>6</v>
      </c>
      <c r="I77" s="151">
        <v>38</v>
      </c>
      <c r="J77" s="151">
        <v>87</v>
      </c>
      <c r="K77" s="151">
        <v>193</v>
      </c>
      <c r="L77" s="151">
        <v>428</v>
      </c>
      <c r="M77" s="151">
        <v>945</v>
      </c>
      <c r="N77" s="151">
        <v>1427</v>
      </c>
      <c r="O77" s="151">
        <v>1995</v>
      </c>
      <c r="P77" s="151"/>
      <c r="Q77">
        <f t="shared" si="58"/>
        <v>3306</v>
      </c>
      <c r="R77">
        <f t="shared" si="32"/>
        <v>575</v>
      </c>
      <c r="S77">
        <f t="shared" ref="S77:X77" si="70">S47</f>
        <v>1335</v>
      </c>
      <c r="T77">
        <f t="shared" si="70"/>
        <v>3145</v>
      </c>
      <c r="U77">
        <f t="shared" si="70"/>
        <v>3459</v>
      </c>
      <c r="V77">
        <f t="shared" si="70"/>
        <v>0</v>
      </c>
      <c r="W77">
        <f t="shared" si="70"/>
        <v>0</v>
      </c>
      <c r="X77">
        <f t="shared" si="70"/>
        <v>0</v>
      </c>
    </row>
    <row r="78" ht="15" spans="5:24">
      <c r="E78" s="151" t="s">
        <v>2936</v>
      </c>
      <c r="F78">
        <v>3</v>
      </c>
      <c r="G78" s="150">
        <f t="shared" si="64"/>
        <v>3307</v>
      </c>
      <c r="H78" s="151">
        <v>7</v>
      </c>
      <c r="I78" s="151">
        <v>697</v>
      </c>
      <c r="J78" s="151">
        <v>1643</v>
      </c>
      <c r="K78" s="151">
        <v>4052</v>
      </c>
      <c r="L78" s="151">
        <v>9735</v>
      </c>
      <c r="M78" s="151">
        <v>22202</v>
      </c>
      <c r="N78" s="151">
        <v>38475</v>
      </c>
      <c r="O78" s="151">
        <v>61213</v>
      </c>
      <c r="P78" s="151"/>
      <c r="Q78">
        <f t="shared" si="58"/>
        <v>3307</v>
      </c>
      <c r="R78">
        <f t="shared" si="32"/>
        <v>632</v>
      </c>
      <c r="S78">
        <f t="shared" ref="S78:X78" si="71">S48</f>
        <v>1469</v>
      </c>
      <c r="T78">
        <f t="shared" si="71"/>
        <v>3459</v>
      </c>
      <c r="U78">
        <f t="shared" si="71"/>
        <v>3805</v>
      </c>
      <c r="V78">
        <f t="shared" si="71"/>
        <v>0</v>
      </c>
      <c r="W78">
        <f t="shared" si="71"/>
        <v>0</v>
      </c>
      <c r="X78">
        <f t="shared" si="71"/>
        <v>0</v>
      </c>
    </row>
    <row r="79" ht="15" spans="5:24">
      <c r="E79" s="151" t="s">
        <v>2937</v>
      </c>
      <c r="F79">
        <v>3</v>
      </c>
      <c r="G79" s="150">
        <f t="shared" si="64"/>
        <v>3308</v>
      </c>
      <c r="H79" s="151">
        <v>8</v>
      </c>
      <c r="I79" s="151">
        <v>113</v>
      </c>
      <c r="J79" s="151">
        <v>257</v>
      </c>
      <c r="K79" s="151">
        <v>573</v>
      </c>
      <c r="L79" s="151">
        <v>1268</v>
      </c>
      <c r="M79" s="151">
        <v>2802</v>
      </c>
      <c r="N79" s="151">
        <v>4227</v>
      </c>
      <c r="O79" s="151">
        <v>5908</v>
      </c>
      <c r="P79" s="151"/>
      <c r="Q79">
        <f t="shared" si="58"/>
        <v>3308</v>
      </c>
      <c r="R79">
        <f t="shared" si="32"/>
        <v>690</v>
      </c>
      <c r="S79">
        <f t="shared" ref="S79:X79" si="72">S49</f>
        <v>1603</v>
      </c>
      <c r="T79">
        <f t="shared" si="72"/>
        <v>3773</v>
      </c>
      <c r="U79">
        <f t="shared" si="72"/>
        <v>4151</v>
      </c>
      <c r="V79">
        <f t="shared" si="72"/>
        <v>0</v>
      </c>
      <c r="W79">
        <f t="shared" si="72"/>
        <v>0</v>
      </c>
      <c r="X79">
        <f t="shared" si="72"/>
        <v>0</v>
      </c>
    </row>
    <row r="80" ht="15" spans="5:24">
      <c r="E80" s="151" t="s">
        <v>2938</v>
      </c>
      <c r="F80">
        <v>3</v>
      </c>
      <c r="G80" s="150">
        <f t="shared" si="64"/>
        <v>3309</v>
      </c>
      <c r="H80" s="151">
        <v>9</v>
      </c>
      <c r="I80" s="151">
        <v>52</v>
      </c>
      <c r="J80" s="151">
        <v>115</v>
      </c>
      <c r="K80" s="151">
        <v>258</v>
      </c>
      <c r="L80" s="151">
        <v>570</v>
      </c>
      <c r="M80" s="151">
        <v>1260</v>
      </c>
      <c r="N80" s="151">
        <v>1902</v>
      </c>
      <c r="O80" s="151">
        <v>2660</v>
      </c>
      <c r="P80" s="151"/>
      <c r="Q80">
        <f t="shared" si="58"/>
        <v>3309</v>
      </c>
      <c r="R80">
        <f t="shared" si="32"/>
        <v>747</v>
      </c>
      <c r="S80">
        <f t="shared" ref="S80:X80" si="73">S50</f>
        <v>1736</v>
      </c>
      <c r="T80">
        <f t="shared" si="73"/>
        <v>4088</v>
      </c>
      <c r="U80">
        <f t="shared" si="73"/>
        <v>4497</v>
      </c>
      <c r="V80">
        <f t="shared" si="73"/>
        <v>0</v>
      </c>
      <c r="W80">
        <f t="shared" si="73"/>
        <v>0</v>
      </c>
      <c r="X80">
        <f t="shared" si="73"/>
        <v>0</v>
      </c>
    </row>
    <row r="81" ht="15" spans="5:24">
      <c r="E81" s="151" t="s">
        <v>2936</v>
      </c>
      <c r="F81">
        <v>3</v>
      </c>
      <c r="G81" s="150">
        <f t="shared" si="64"/>
        <v>3310</v>
      </c>
      <c r="H81" s="151">
        <v>10</v>
      </c>
      <c r="I81" s="151">
        <v>870</v>
      </c>
      <c r="J81" s="151">
        <v>2053</v>
      </c>
      <c r="K81" s="151">
        <v>5065</v>
      </c>
      <c r="L81" s="151">
        <v>12170</v>
      </c>
      <c r="M81" s="151">
        <v>27752</v>
      </c>
      <c r="N81" s="151">
        <v>48095</v>
      </c>
      <c r="O81" s="151">
        <v>76517</v>
      </c>
      <c r="P81" s="151"/>
      <c r="Q81">
        <f t="shared" si="58"/>
        <v>3310</v>
      </c>
      <c r="R81">
        <f t="shared" si="32"/>
        <v>805</v>
      </c>
      <c r="S81">
        <f t="shared" ref="S81:X81" si="74">S51</f>
        <v>1870</v>
      </c>
      <c r="T81">
        <f t="shared" si="74"/>
        <v>4402</v>
      </c>
      <c r="U81">
        <f t="shared" si="74"/>
        <v>4843</v>
      </c>
      <c r="V81">
        <f t="shared" si="74"/>
        <v>0</v>
      </c>
      <c r="W81">
        <f t="shared" si="74"/>
        <v>0</v>
      </c>
      <c r="X81">
        <f t="shared" si="74"/>
        <v>0</v>
      </c>
    </row>
    <row r="82" ht="15" spans="5:24">
      <c r="E82" s="152" t="s">
        <v>2936</v>
      </c>
      <c r="F82">
        <v>3</v>
      </c>
      <c r="G82" s="150">
        <f t="shared" ref="G82:G91" si="75">(F82*10+4)*100+H82</f>
        <v>3401</v>
      </c>
      <c r="H82" s="152">
        <v>1</v>
      </c>
      <c r="I82" s="152">
        <v>488</v>
      </c>
      <c r="J82" s="152">
        <v>1150</v>
      </c>
      <c r="K82" s="152">
        <v>2837</v>
      </c>
      <c r="L82" s="152">
        <v>6816</v>
      </c>
      <c r="M82" s="152">
        <v>15540</v>
      </c>
      <c r="N82" s="152">
        <v>26934</v>
      </c>
      <c r="O82" s="152">
        <v>42849</v>
      </c>
      <c r="P82" s="152"/>
      <c r="Q82">
        <f t="shared" si="58"/>
        <v>3401</v>
      </c>
      <c r="R82">
        <f t="shared" si="32"/>
        <v>431</v>
      </c>
      <c r="S82">
        <f t="shared" ref="S82:X82" si="76">S52</f>
        <v>1002</v>
      </c>
      <c r="T82">
        <f t="shared" si="76"/>
        <v>2358</v>
      </c>
      <c r="U82">
        <f t="shared" si="76"/>
        <v>2594</v>
      </c>
      <c r="V82">
        <f t="shared" si="76"/>
        <v>0</v>
      </c>
      <c r="W82">
        <f t="shared" si="76"/>
        <v>0</v>
      </c>
      <c r="X82">
        <f t="shared" si="76"/>
        <v>0</v>
      </c>
    </row>
    <row r="83" ht="15" spans="5:24">
      <c r="E83" s="152" t="s">
        <v>2937</v>
      </c>
      <c r="F83">
        <v>3</v>
      </c>
      <c r="G83" s="150">
        <f t="shared" si="75"/>
        <v>3402</v>
      </c>
      <c r="H83" s="152">
        <v>2</v>
      </c>
      <c r="I83" s="152">
        <v>79</v>
      </c>
      <c r="J83" s="152">
        <v>180</v>
      </c>
      <c r="K83" s="152">
        <v>401</v>
      </c>
      <c r="L83" s="152">
        <v>889</v>
      </c>
      <c r="M83" s="152">
        <v>1960</v>
      </c>
      <c r="N83" s="152">
        <v>2959</v>
      </c>
      <c r="O83" s="152">
        <v>4137</v>
      </c>
      <c r="P83" s="152"/>
      <c r="Q83">
        <f t="shared" si="58"/>
        <v>3402</v>
      </c>
      <c r="R83">
        <f t="shared" si="32"/>
        <v>517</v>
      </c>
      <c r="S83">
        <f t="shared" ref="S83:X83" si="77">S53</f>
        <v>1202</v>
      </c>
      <c r="T83">
        <f t="shared" si="77"/>
        <v>2830</v>
      </c>
      <c r="U83">
        <f t="shared" si="77"/>
        <v>3113</v>
      </c>
      <c r="V83">
        <f t="shared" si="77"/>
        <v>0</v>
      </c>
      <c r="W83">
        <f t="shared" si="77"/>
        <v>0</v>
      </c>
      <c r="X83">
        <f t="shared" si="77"/>
        <v>0</v>
      </c>
    </row>
    <row r="84" ht="15" spans="5:24">
      <c r="E84" s="152" t="s">
        <v>2938</v>
      </c>
      <c r="F84">
        <v>3</v>
      </c>
      <c r="G84" s="150">
        <f t="shared" si="75"/>
        <v>3403</v>
      </c>
      <c r="H84" s="152">
        <v>3</v>
      </c>
      <c r="I84" s="152">
        <v>35</v>
      </c>
      <c r="J84" s="152">
        <v>82</v>
      </c>
      <c r="K84" s="152">
        <v>180</v>
      </c>
      <c r="L84" s="152">
        <v>399</v>
      </c>
      <c r="M84" s="152">
        <v>882</v>
      </c>
      <c r="N84" s="152">
        <v>1332</v>
      </c>
      <c r="O84" s="152">
        <v>1862</v>
      </c>
      <c r="P84" s="152"/>
      <c r="Q84">
        <f t="shared" si="58"/>
        <v>3403</v>
      </c>
      <c r="R84">
        <f t="shared" si="32"/>
        <v>603</v>
      </c>
      <c r="S84">
        <f t="shared" ref="S84:X84" si="78">S54</f>
        <v>1402</v>
      </c>
      <c r="T84">
        <f t="shared" si="78"/>
        <v>3302</v>
      </c>
      <c r="U84">
        <f t="shared" si="78"/>
        <v>3632</v>
      </c>
      <c r="V84">
        <f t="shared" si="78"/>
        <v>0</v>
      </c>
      <c r="W84">
        <f t="shared" si="78"/>
        <v>0</v>
      </c>
      <c r="X84">
        <f t="shared" si="78"/>
        <v>0</v>
      </c>
    </row>
    <row r="85" ht="15" spans="5:24">
      <c r="E85" s="152" t="s">
        <v>2936</v>
      </c>
      <c r="F85">
        <v>3</v>
      </c>
      <c r="G85" s="150">
        <f t="shared" si="75"/>
        <v>3404</v>
      </c>
      <c r="H85" s="152">
        <v>4</v>
      </c>
      <c r="I85" s="152">
        <v>730</v>
      </c>
      <c r="J85" s="152">
        <v>1724</v>
      </c>
      <c r="K85" s="152">
        <v>4256</v>
      </c>
      <c r="L85" s="152">
        <v>10222</v>
      </c>
      <c r="M85" s="152">
        <v>23310</v>
      </c>
      <c r="N85" s="152">
        <v>40399</v>
      </c>
      <c r="O85" s="152">
        <v>64274</v>
      </c>
      <c r="P85" s="152"/>
      <c r="Q85">
        <f t="shared" si="58"/>
        <v>3404</v>
      </c>
      <c r="R85">
        <f t="shared" si="32"/>
        <v>690</v>
      </c>
      <c r="S85">
        <f t="shared" ref="S85:X85" si="79">S55</f>
        <v>1603</v>
      </c>
      <c r="T85">
        <f t="shared" si="79"/>
        <v>3773</v>
      </c>
      <c r="U85">
        <f t="shared" si="79"/>
        <v>4151</v>
      </c>
      <c r="V85">
        <f t="shared" si="79"/>
        <v>0</v>
      </c>
      <c r="W85">
        <f t="shared" si="79"/>
        <v>0</v>
      </c>
      <c r="X85">
        <f t="shared" si="79"/>
        <v>0</v>
      </c>
    </row>
    <row r="86" ht="15" spans="5:24">
      <c r="E86" s="152" t="s">
        <v>2937</v>
      </c>
      <c r="F86">
        <v>3</v>
      </c>
      <c r="G86" s="150">
        <f t="shared" si="75"/>
        <v>3405</v>
      </c>
      <c r="H86" s="152">
        <v>5</v>
      </c>
      <c r="I86" s="152">
        <v>119</v>
      </c>
      <c r="J86" s="152">
        <v>271</v>
      </c>
      <c r="K86" s="152">
        <v>602</v>
      </c>
      <c r="L86" s="152">
        <v>1332</v>
      </c>
      <c r="M86" s="152">
        <v>2942</v>
      </c>
      <c r="N86" s="152">
        <v>4438</v>
      </c>
      <c r="O86" s="152">
        <v>6204</v>
      </c>
      <c r="P86" s="152"/>
      <c r="Q86">
        <f t="shared" si="58"/>
        <v>3405</v>
      </c>
      <c r="R86">
        <f t="shared" si="32"/>
        <v>776</v>
      </c>
      <c r="S86">
        <f t="shared" ref="S86:X86" si="80">S56</f>
        <v>1803</v>
      </c>
      <c r="T86">
        <f t="shared" si="80"/>
        <v>4245</v>
      </c>
      <c r="U86">
        <f t="shared" si="80"/>
        <v>4670</v>
      </c>
      <c r="V86">
        <f t="shared" si="80"/>
        <v>0</v>
      </c>
      <c r="W86">
        <f t="shared" si="80"/>
        <v>0</v>
      </c>
      <c r="X86">
        <f t="shared" si="80"/>
        <v>0</v>
      </c>
    </row>
    <row r="87" ht="15" spans="5:24">
      <c r="E87" s="152" t="s">
        <v>2938</v>
      </c>
      <c r="F87">
        <v>3</v>
      </c>
      <c r="G87" s="150">
        <f t="shared" si="75"/>
        <v>3406</v>
      </c>
      <c r="H87" s="152">
        <v>6</v>
      </c>
      <c r="I87" s="152">
        <v>54</v>
      </c>
      <c r="J87" s="152">
        <v>121</v>
      </c>
      <c r="K87" s="152">
        <v>271</v>
      </c>
      <c r="L87" s="152">
        <v>600</v>
      </c>
      <c r="M87" s="152">
        <v>1323</v>
      </c>
      <c r="N87" s="152">
        <v>1997</v>
      </c>
      <c r="O87" s="152">
        <v>2793</v>
      </c>
      <c r="P87" s="152"/>
      <c r="Q87">
        <f t="shared" si="58"/>
        <v>3406</v>
      </c>
      <c r="R87">
        <f t="shared" si="32"/>
        <v>862</v>
      </c>
      <c r="S87">
        <f t="shared" ref="S87:X87" si="81">S57</f>
        <v>2003</v>
      </c>
      <c r="T87">
        <f t="shared" si="81"/>
        <v>4717</v>
      </c>
      <c r="U87">
        <f t="shared" si="81"/>
        <v>5188</v>
      </c>
      <c r="V87">
        <f t="shared" si="81"/>
        <v>0</v>
      </c>
      <c r="W87">
        <f t="shared" si="81"/>
        <v>0</v>
      </c>
      <c r="X87">
        <f t="shared" si="81"/>
        <v>0</v>
      </c>
    </row>
    <row r="88" ht="15" spans="5:24">
      <c r="E88" s="152" t="s">
        <v>2936</v>
      </c>
      <c r="F88">
        <v>3</v>
      </c>
      <c r="G88" s="150">
        <f t="shared" si="75"/>
        <v>3407</v>
      </c>
      <c r="H88" s="152">
        <v>7</v>
      </c>
      <c r="I88" s="152">
        <v>975</v>
      </c>
      <c r="J88" s="152">
        <v>2301</v>
      </c>
      <c r="K88" s="152">
        <v>5672</v>
      </c>
      <c r="L88" s="152">
        <v>13629</v>
      </c>
      <c r="M88" s="152">
        <v>31082</v>
      </c>
      <c r="N88" s="152">
        <v>53865</v>
      </c>
      <c r="O88" s="152">
        <v>85699</v>
      </c>
      <c r="P88" s="152"/>
      <c r="Q88">
        <f t="shared" si="58"/>
        <v>3407</v>
      </c>
      <c r="R88">
        <f t="shared" si="32"/>
        <v>948</v>
      </c>
      <c r="S88">
        <f t="shared" ref="S88:X88" si="82">S58</f>
        <v>2204</v>
      </c>
      <c r="T88">
        <f t="shared" si="82"/>
        <v>5188</v>
      </c>
      <c r="U88">
        <f t="shared" si="82"/>
        <v>5707</v>
      </c>
      <c r="V88">
        <f t="shared" si="82"/>
        <v>0</v>
      </c>
      <c r="W88">
        <f t="shared" si="82"/>
        <v>0</v>
      </c>
      <c r="X88">
        <f t="shared" si="82"/>
        <v>0</v>
      </c>
    </row>
    <row r="89" ht="15" spans="5:24">
      <c r="E89" s="152" t="s">
        <v>2937</v>
      </c>
      <c r="F89">
        <v>3</v>
      </c>
      <c r="G89" s="150">
        <f t="shared" si="75"/>
        <v>3408</v>
      </c>
      <c r="H89" s="152">
        <v>8</v>
      </c>
      <c r="I89" s="152">
        <v>159</v>
      </c>
      <c r="J89" s="152">
        <v>359</v>
      </c>
      <c r="K89" s="152">
        <v>803</v>
      </c>
      <c r="L89" s="152">
        <v>1776</v>
      </c>
      <c r="M89" s="152">
        <v>3922</v>
      </c>
      <c r="N89" s="152">
        <v>5917</v>
      </c>
      <c r="O89" s="152">
        <v>8272</v>
      </c>
      <c r="P89" s="152"/>
      <c r="Q89">
        <f t="shared" si="58"/>
        <v>3408</v>
      </c>
      <c r="R89">
        <f t="shared" si="32"/>
        <v>1035</v>
      </c>
      <c r="S89">
        <f t="shared" ref="S89:X89" si="83">S59</f>
        <v>2404</v>
      </c>
      <c r="T89">
        <f t="shared" si="83"/>
        <v>5660</v>
      </c>
      <c r="U89">
        <f t="shared" si="83"/>
        <v>6226</v>
      </c>
      <c r="V89">
        <f t="shared" si="83"/>
        <v>0</v>
      </c>
      <c r="W89">
        <f t="shared" si="83"/>
        <v>0</v>
      </c>
      <c r="X89">
        <f t="shared" si="83"/>
        <v>0</v>
      </c>
    </row>
    <row r="90" ht="15" spans="5:24">
      <c r="E90" s="152" t="s">
        <v>2938</v>
      </c>
      <c r="F90">
        <v>3</v>
      </c>
      <c r="G90" s="150">
        <f t="shared" si="75"/>
        <v>3409</v>
      </c>
      <c r="H90" s="152">
        <v>9</v>
      </c>
      <c r="I90" s="152">
        <v>72</v>
      </c>
      <c r="J90" s="152">
        <v>161</v>
      </c>
      <c r="K90" s="152">
        <v>362</v>
      </c>
      <c r="L90" s="152">
        <v>798</v>
      </c>
      <c r="M90" s="152">
        <v>1764</v>
      </c>
      <c r="N90" s="152">
        <v>2662</v>
      </c>
      <c r="O90" s="152">
        <v>3724</v>
      </c>
      <c r="P90" s="152"/>
      <c r="Q90">
        <f t="shared" si="58"/>
        <v>3409</v>
      </c>
      <c r="R90">
        <f t="shared" si="32"/>
        <v>1121</v>
      </c>
      <c r="S90">
        <f t="shared" ref="S90:X90" si="84">S60</f>
        <v>2604</v>
      </c>
      <c r="T90">
        <f t="shared" si="84"/>
        <v>6132</v>
      </c>
      <c r="U90">
        <f t="shared" si="84"/>
        <v>6745</v>
      </c>
      <c r="V90">
        <f t="shared" si="84"/>
        <v>0</v>
      </c>
      <c r="W90">
        <f t="shared" si="84"/>
        <v>0</v>
      </c>
      <c r="X90">
        <f t="shared" si="84"/>
        <v>0</v>
      </c>
    </row>
    <row r="91" ht="15" spans="5:24">
      <c r="E91" s="152" t="s">
        <v>2936</v>
      </c>
      <c r="F91">
        <v>3</v>
      </c>
      <c r="G91" s="150">
        <f t="shared" si="75"/>
        <v>3410</v>
      </c>
      <c r="H91" s="152">
        <v>10</v>
      </c>
      <c r="I91" s="152">
        <v>1218</v>
      </c>
      <c r="J91" s="152">
        <v>2875</v>
      </c>
      <c r="K91" s="152">
        <v>7091</v>
      </c>
      <c r="L91" s="152">
        <v>17038</v>
      </c>
      <c r="M91" s="152">
        <v>38852</v>
      </c>
      <c r="N91" s="152">
        <v>67333</v>
      </c>
      <c r="O91" s="152">
        <v>107123</v>
      </c>
      <c r="P91" s="152"/>
      <c r="Q91">
        <f t="shared" si="58"/>
        <v>3410</v>
      </c>
      <c r="R91">
        <f t="shared" si="32"/>
        <v>1207</v>
      </c>
      <c r="S91">
        <f t="shared" ref="S91:X91" si="85">S61</f>
        <v>2804</v>
      </c>
      <c r="T91">
        <f t="shared" si="85"/>
        <v>6603</v>
      </c>
      <c r="U91">
        <f t="shared" si="85"/>
        <v>7264</v>
      </c>
      <c r="V91">
        <f t="shared" si="85"/>
        <v>0</v>
      </c>
      <c r="W91">
        <f t="shared" si="85"/>
        <v>0</v>
      </c>
      <c r="X91">
        <f t="shared" si="85"/>
        <v>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C84"/>
  <sheetViews>
    <sheetView zoomScale="85" zoomScaleNormal="85" workbookViewId="0">
      <pane xSplit="8" ySplit="5" topLeftCell="AL47" activePane="bottomRight" state="frozen"/>
      <selection/>
      <selection pane="topRight"/>
      <selection pane="bottomLeft"/>
      <selection pane="bottomRight" activeCell="AQ81" sqref="AQ81:AQ84"/>
    </sheetView>
  </sheetViews>
  <sheetFormatPr defaultColWidth="9" defaultRowHeight="15"/>
  <cols>
    <col min="1" max="1" width="11.2477876106195" style="91" customWidth="1"/>
    <col min="2" max="2" width="13" style="91" customWidth="1"/>
    <col min="3" max="3" width="11.2477876106195" style="91" customWidth="1"/>
    <col min="4" max="4" width="9.3716814159292" style="91" customWidth="1"/>
    <col min="5" max="7" width="11.2477876106195" style="91" customWidth="1"/>
    <col min="8" max="8" width="14.6283185840708" style="91" customWidth="1"/>
    <col min="9" max="9" width="34" style="91" customWidth="1"/>
    <col min="10" max="10" width="22.2477876106195" style="91" customWidth="1"/>
    <col min="11" max="11" width="9.24778761061947" style="91" customWidth="1"/>
    <col min="12" max="12" width="19" style="106" customWidth="1"/>
    <col min="13" max="15" width="13.2477876106195" style="106" customWidth="1"/>
    <col min="16" max="17" width="28.2477876106195" style="91" customWidth="1"/>
    <col min="18" max="21" width="9" style="107"/>
    <col min="22" max="22" width="15.8761061946903" style="107" customWidth="1"/>
    <col min="23" max="23" width="13.7522123893805" style="107" customWidth="1"/>
    <col min="24" max="26" width="9" style="107"/>
    <col min="27" max="27" width="10.7522123893805" style="107" customWidth="1"/>
    <col min="28" max="28" width="15.2477876106195" style="107" customWidth="1"/>
    <col min="29" max="29" width="16.3716814159292" style="107" customWidth="1"/>
    <col min="30" max="30" width="11.6283185840708" style="107" customWidth="1"/>
    <col min="31" max="35" width="11.5044247787611" style="107" customWidth="1"/>
    <col min="36" max="37" width="16.3716814159292" style="107" customWidth="1"/>
    <col min="38" max="38" width="15.5044247787611" style="107" customWidth="1"/>
    <col min="39" max="39" width="10.6283185840708" style="107" customWidth="1"/>
    <col min="40" max="40" width="13.8761061946903" style="91" customWidth="1"/>
    <col min="41" max="41" width="34.8761061946903" style="106" customWidth="1"/>
    <col min="42" max="42" width="21.6283185840708" style="91" customWidth="1"/>
    <col min="43" max="43" width="22" style="106" customWidth="1"/>
    <col min="44" max="44" width="23.8761061946903" style="91" customWidth="1"/>
    <col min="45" max="47" width="9" style="91"/>
    <col min="48" max="48" width="11.2477876106195" style="91" customWidth="1"/>
    <col min="49" max="49" width="9" style="91"/>
    <col min="50" max="50" width="9" style="107"/>
    <col min="51" max="16384" width="9" style="91"/>
  </cols>
  <sheetData>
    <row r="1" spans="1:48">
      <c r="A1" s="86" t="s">
        <v>37</v>
      </c>
      <c r="B1" s="57"/>
      <c r="C1" s="86"/>
      <c r="D1" s="82"/>
      <c r="E1" s="86"/>
      <c r="F1" s="86"/>
      <c r="G1" s="86"/>
      <c r="H1" s="86"/>
      <c r="I1" s="86"/>
      <c r="J1" s="87"/>
      <c r="K1" s="87"/>
      <c r="L1" s="56"/>
      <c r="M1" s="56"/>
      <c r="N1" s="56"/>
      <c r="O1" s="56"/>
      <c r="P1" s="57"/>
      <c r="Q1" s="133"/>
      <c r="AV1" s="86"/>
    </row>
    <row r="2" s="103" customFormat="1" ht="51.75" customHeight="1" spans="1:50">
      <c r="A2" s="108" t="s">
        <v>2815</v>
      </c>
      <c r="B2" s="55"/>
      <c r="C2" s="108" t="s">
        <v>2941</v>
      </c>
      <c r="D2" s="108" t="s">
        <v>997</v>
      </c>
      <c r="E2" s="86" t="s">
        <v>2942</v>
      </c>
      <c r="F2" s="86" t="s">
        <v>2943</v>
      </c>
      <c r="G2" s="86"/>
      <c r="H2" s="108" t="s">
        <v>2944</v>
      </c>
      <c r="I2" s="108" t="s">
        <v>2945</v>
      </c>
      <c r="J2" s="108" t="s">
        <v>2946</v>
      </c>
      <c r="K2" s="108" t="s">
        <v>2947</v>
      </c>
      <c r="L2" s="54" t="s">
        <v>2948</v>
      </c>
      <c r="M2" s="54" t="s">
        <v>2949</v>
      </c>
      <c r="N2" s="54" t="s">
        <v>2950</v>
      </c>
      <c r="O2" s="54"/>
      <c r="P2" s="55" t="s">
        <v>2951</v>
      </c>
      <c r="Q2" s="55" t="s">
        <v>2952</v>
      </c>
      <c r="R2" s="134" t="s">
        <v>2953</v>
      </c>
      <c r="S2" s="134"/>
      <c r="T2" s="134" t="s">
        <v>2954</v>
      </c>
      <c r="U2" s="134" t="s">
        <v>2955</v>
      </c>
      <c r="V2" s="134"/>
      <c r="W2" s="134" t="s">
        <v>2956</v>
      </c>
      <c r="X2" s="134"/>
      <c r="Y2" s="134" t="s">
        <v>2957</v>
      </c>
      <c r="Z2" s="134"/>
      <c r="AA2" s="134" t="s">
        <v>2958</v>
      </c>
      <c r="AB2" s="134" t="s">
        <v>2959</v>
      </c>
      <c r="AC2" s="134" t="s">
        <v>2960</v>
      </c>
      <c r="AD2" s="134" t="s">
        <v>2961</v>
      </c>
      <c r="AE2" s="138" t="s">
        <v>2962</v>
      </c>
      <c r="AF2" s="134"/>
      <c r="AG2" s="93" t="s">
        <v>2963</v>
      </c>
      <c r="AH2" s="134"/>
      <c r="AI2" s="134"/>
      <c r="AJ2" s="134" t="s">
        <v>2964</v>
      </c>
      <c r="AK2" s="134"/>
      <c r="AL2" s="134" t="s">
        <v>2965</v>
      </c>
      <c r="AM2" s="134" t="s">
        <v>2966</v>
      </c>
      <c r="AN2" s="103" t="s">
        <v>2967</v>
      </c>
      <c r="AO2" s="106" t="s">
        <v>2968</v>
      </c>
      <c r="AP2" s="106" t="s">
        <v>2969</v>
      </c>
      <c r="AQ2" s="106" t="s">
        <v>2970</v>
      </c>
      <c r="AR2" s="106" t="s">
        <v>2971</v>
      </c>
      <c r="AV2" s="108"/>
      <c r="AX2" s="134"/>
    </row>
    <row r="3" spans="1:48">
      <c r="A3" s="86" t="s">
        <v>109</v>
      </c>
      <c r="B3" s="57"/>
      <c r="C3" s="86" t="s">
        <v>110</v>
      </c>
      <c r="D3" s="86" t="s">
        <v>109</v>
      </c>
      <c r="E3" s="86" t="s">
        <v>109</v>
      </c>
      <c r="F3" s="86" t="s">
        <v>109</v>
      </c>
      <c r="G3" s="86"/>
      <c r="H3" s="86" t="s">
        <v>110</v>
      </c>
      <c r="I3" s="86" t="s">
        <v>110</v>
      </c>
      <c r="J3" s="86" t="s">
        <v>110</v>
      </c>
      <c r="K3" s="86"/>
      <c r="L3" s="56" t="s">
        <v>109</v>
      </c>
      <c r="M3" s="56" t="s">
        <v>109</v>
      </c>
      <c r="N3" s="56" t="s">
        <v>109</v>
      </c>
      <c r="O3" s="56"/>
      <c r="P3" s="57" t="s">
        <v>110</v>
      </c>
      <c r="Q3" s="57" t="s">
        <v>110</v>
      </c>
      <c r="R3" s="107" t="s">
        <v>109</v>
      </c>
      <c r="T3" s="107" t="s">
        <v>109</v>
      </c>
      <c r="U3" s="107" t="s">
        <v>109</v>
      </c>
      <c r="W3" s="107" t="s">
        <v>109</v>
      </c>
      <c r="Y3" s="107" t="s">
        <v>109</v>
      </c>
      <c r="AA3" s="107" t="s">
        <v>110</v>
      </c>
      <c r="AB3" s="107" t="s">
        <v>110</v>
      </c>
      <c r="AC3" s="107" t="s">
        <v>110</v>
      </c>
      <c r="AD3" s="107" t="s">
        <v>109</v>
      </c>
      <c r="AE3" s="139" t="s">
        <v>109</v>
      </c>
      <c r="AG3" s="95" t="s">
        <v>109</v>
      </c>
      <c r="AJ3" s="107" t="s">
        <v>109</v>
      </c>
      <c r="AL3" s="107" t="s">
        <v>109</v>
      </c>
      <c r="AM3" s="107" t="s">
        <v>110</v>
      </c>
      <c r="AN3" s="91" t="s">
        <v>110</v>
      </c>
      <c r="AO3" s="106" t="s">
        <v>110</v>
      </c>
      <c r="AP3" s="106" t="s">
        <v>110</v>
      </c>
      <c r="AQ3" s="132" t="s">
        <v>2972</v>
      </c>
      <c r="AR3" s="106" t="s">
        <v>109</v>
      </c>
      <c r="AV3" s="86"/>
    </row>
    <row r="4" spans="1:48">
      <c r="A4" s="82" t="s">
        <v>62</v>
      </c>
      <c r="B4" s="61"/>
      <c r="C4" s="82" t="s">
        <v>571</v>
      </c>
      <c r="D4" s="82" t="s">
        <v>2973</v>
      </c>
      <c r="E4" s="86" t="s">
        <v>67</v>
      </c>
      <c r="F4" s="86" t="s">
        <v>2974</v>
      </c>
      <c r="G4" s="86"/>
      <c r="H4" s="82" t="s">
        <v>64</v>
      </c>
      <c r="I4" s="82" t="s">
        <v>2975</v>
      </c>
      <c r="J4" s="116" t="s">
        <v>2976</v>
      </c>
      <c r="K4" s="116"/>
      <c r="L4" s="60" t="s">
        <v>2977</v>
      </c>
      <c r="M4" s="60" t="s">
        <v>2978</v>
      </c>
      <c r="N4" s="60" t="s">
        <v>2979</v>
      </c>
      <c r="O4" s="60"/>
      <c r="P4" s="61" t="s">
        <v>2980</v>
      </c>
      <c r="Q4" s="61" t="s">
        <v>2981</v>
      </c>
      <c r="R4" s="107" t="s">
        <v>2982</v>
      </c>
      <c r="T4" s="107" t="s">
        <v>2983</v>
      </c>
      <c r="U4" s="107" t="s">
        <v>2984</v>
      </c>
      <c r="W4" s="107" t="s">
        <v>2985</v>
      </c>
      <c r="Y4" s="107" t="s">
        <v>2986</v>
      </c>
      <c r="AA4" s="107" t="s">
        <v>2987</v>
      </c>
      <c r="AB4" s="107" t="s">
        <v>2988</v>
      </c>
      <c r="AC4" s="107" t="s">
        <v>2989</v>
      </c>
      <c r="AD4" s="107" t="s">
        <v>2990</v>
      </c>
      <c r="AE4" s="139" t="s">
        <v>2991</v>
      </c>
      <c r="AG4" s="95" t="s">
        <v>2992</v>
      </c>
      <c r="AJ4" s="107" t="s">
        <v>2993</v>
      </c>
      <c r="AL4" s="107" t="s">
        <v>2994</v>
      </c>
      <c r="AM4" s="107" t="s">
        <v>2995</v>
      </c>
      <c r="AN4" s="91" t="s">
        <v>2996</v>
      </c>
      <c r="AO4" s="106" t="s">
        <v>2997</v>
      </c>
      <c r="AP4" s="106" t="s">
        <v>2998</v>
      </c>
      <c r="AQ4" s="132" t="s">
        <v>2999</v>
      </c>
      <c r="AR4" s="106" t="s">
        <v>44</v>
      </c>
      <c r="AV4" s="82"/>
    </row>
    <row r="5" spans="1:48">
      <c r="A5" s="82" t="s">
        <v>62</v>
      </c>
      <c r="B5" s="61"/>
      <c r="C5" s="82"/>
      <c r="D5" s="82" t="s">
        <v>2973</v>
      </c>
      <c r="E5" s="86"/>
      <c r="F5" s="86"/>
      <c r="G5" s="86"/>
      <c r="H5" s="82"/>
      <c r="I5" s="82"/>
      <c r="J5" s="82"/>
      <c r="K5" s="82"/>
      <c r="L5" s="60" t="s">
        <v>2977</v>
      </c>
      <c r="M5" s="60" t="s">
        <v>2978</v>
      </c>
      <c r="N5" s="60" t="s">
        <v>2979</v>
      </c>
      <c r="O5" s="60"/>
      <c r="P5" s="61"/>
      <c r="Q5" s="61"/>
      <c r="R5" s="107" t="s">
        <v>2982</v>
      </c>
      <c r="T5" s="107" t="s">
        <v>2983</v>
      </c>
      <c r="U5" s="107" t="s">
        <v>2984</v>
      </c>
      <c r="W5" s="107" t="s">
        <v>2985</v>
      </c>
      <c r="Y5" s="107" t="s">
        <v>2986</v>
      </c>
      <c r="AE5" s="139" t="s">
        <v>2991</v>
      </c>
      <c r="AG5" s="95" t="s">
        <v>2992</v>
      </c>
      <c r="AJ5" s="107" t="s">
        <v>2993</v>
      </c>
      <c r="AP5" s="106"/>
      <c r="AR5" s="106"/>
      <c r="AV5" s="82"/>
    </row>
    <row r="6" spans="1:55">
      <c r="A6" s="96">
        <f t="shared" ref="A6:A57" si="0">900000+D6*10000+K6*1000+B6</f>
        <v>911001</v>
      </c>
      <c r="B6" s="96">
        <v>1</v>
      </c>
      <c r="C6" s="96" t="s">
        <v>3000</v>
      </c>
      <c r="D6" s="96">
        <v>1</v>
      </c>
      <c r="E6" s="109">
        <v>1001</v>
      </c>
      <c r="F6" s="109">
        <v>1001</v>
      </c>
      <c r="G6" s="109" t="s">
        <v>3001</v>
      </c>
      <c r="H6" s="96" t="s">
        <v>584</v>
      </c>
      <c r="I6" s="117" t="s">
        <v>3002</v>
      </c>
      <c r="J6" s="96" t="s">
        <v>3003</v>
      </c>
      <c r="K6" s="96">
        <f t="shared" ref="K6:K57" si="1">L6-400006</f>
        <v>1</v>
      </c>
      <c r="L6" s="118">
        <v>400007</v>
      </c>
      <c r="M6" s="119">
        <v>50</v>
      </c>
      <c r="N6" s="119">
        <v>1000</v>
      </c>
      <c r="O6" s="119">
        <v>100</v>
      </c>
      <c r="P6" s="64" t="s">
        <v>3004</v>
      </c>
      <c r="Q6" s="64" t="s">
        <v>3005</v>
      </c>
      <c r="R6" s="17">
        <v>3</v>
      </c>
      <c r="S6" s="135">
        <v>4</v>
      </c>
      <c r="T6" s="17">
        <v>2</v>
      </c>
      <c r="U6" s="78">
        <v>20</v>
      </c>
      <c r="V6" s="78">
        <v>26</v>
      </c>
      <c r="W6" s="78">
        <v>1400</v>
      </c>
      <c r="X6" s="96">
        <f>[4]消耗v2.0!$D31</f>
        <v>3000</v>
      </c>
      <c r="Y6" s="96">
        <v>5000</v>
      </c>
      <c r="Z6" s="96"/>
      <c r="AA6" s="96" t="s">
        <v>3006</v>
      </c>
      <c r="AB6" s="96"/>
      <c r="AC6" s="96"/>
      <c r="AD6" s="96">
        <v>1</v>
      </c>
      <c r="AE6" s="78"/>
      <c r="AF6" s="78">
        <v>210000</v>
      </c>
      <c r="AG6" s="78">
        <f t="shared" ref="AG6:AG57" si="2">D6*1000+AH6-1</f>
        <v>1000</v>
      </c>
      <c r="AH6" s="78">
        <v>1</v>
      </c>
      <c r="AI6" s="78">
        <v>1</v>
      </c>
      <c r="AJ6" s="78">
        <v>5</v>
      </c>
      <c r="AK6" s="96"/>
      <c r="AL6" s="96">
        <v>2</v>
      </c>
      <c r="AM6" s="96" t="s">
        <v>3007</v>
      </c>
      <c r="AN6" s="113" t="s">
        <v>3008</v>
      </c>
      <c r="AO6" s="141" t="s">
        <v>3009</v>
      </c>
      <c r="AP6" s="142" t="s">
        <v>3010</v>
      </c>
      <c r="AQ6" s="141" t="str">
        <f t="shared" ref="AQ6:AQ37" si="3">AM6</f>
        <v>1072|783|</v>
      </c>
      <c r="AR6" s="143">
        <v>13</v>
      </c>
      <c r="AS6" s="91" t="s">
        <v>528</v>
      </c>
      <c r="AV6" s="107" t="s">
        <v>3000</v>
      </c>
      <c r="AX6" s="107">
        <v>20</v>
      </c>
      <c r="AY6" s="113">
        <v>1027</v>
      </c>
      <c r="AZ6" s="91">
        <v>736</v>
      </c>
      <c r="BA6" s="91">
        <f t="shared" ref="BA6:BA61" si="4">AZ6+15</f>
        <v>751</v>
      </c>
      <c r="BB6" s="91" t="str">
        <f t="shared" ref="BB6:BB61" si="5">AY6&amp;BC6&amp;BA6&amp;BC6</f>
        <v>1027|751|</v>
      </c>
      <c r="BC6" s="91" t="s">
        <v>90</v>
      </c>
    </row>
    <row r="7" spans="1:55">
      <c r="A7" s="96">
        <f t="shared" si="0"/>
        <v>911002</v>
      </c>
      <c r="B7" s="96">
        <v>2</v>
      </c>
      <c r="C7" s="96" t="s">
        <v>3011</v>
      </c>
      <c r="D7" s="96">
        <v>1</v>
      </c>
      <c r="E7" s="109">
        <v>1002</v>
      </c>
      <c r="F7" s="109">
        <v>1002</v>
      </c>
      <c r="G7" s="109" t="s">
        <v>3012</v>
      </c>
      <c r="H7" s="96" t="s">
        <v>594</v>
      </c>
      <c r="I7" s="117" t="s">
        <v>3013</v>
      </c>
      <c r="J7" s="96" t="s">
        <v>3003</v>
      </c>
      <c r="K7" s="96">
        <f t="shared" si="1"/>
        <v>1</v>
      </c>
      <c r="L7" s="118">
        <v>400007</v>
      </c>
      <c r="M7" s="119">
        <v>60</v>
      </c>
      <c r="N7" s="119">
        <v>2400</v>
      </c>
      <c r="O7" s="119">
        <v>240</v>
      </c>
      <c r="P7" s="64" t="s">
        <v>3004</v>
      </c>
      <c r="Q7" s="64" t="s">
        <v>3005</v>
      </c>
      <c r="R7" s="78">
        <f t="shared" ref="R7:R57" si="6">R6</f>
        <v>3</v>
      </c>
      <c r="S7" s="135">
        <v>4</v>
      </c>
      <c r="T7" s="78">
        <f t="shared" ref="T7:T17" si="7">T6</f>
        <v>2</v>
      </c>
      <c r="U7" s="78">
        <v>50</v>
      </c>
      <c r="V7" s="78">
        <v>43</v>
      </c>
      <c r="W7" s="78">
        <v>25400</v>
      </c>
      <c r="X7" s="96">
        <f>[4]消耗v2.0!$D32</f>
        <v>20000</v>
      </c>
      <c r="Y7" s="96">
        <v>5000</v>
      </c>
      <c r="Z7" s="96"/>
      <c r="AA7" s="96" t="s">
        <v>3014</v>
      </c>
      <c r="AB7" s="96" t="s">
        <v>3015</v>
      </c>
      <c r="AC7" s="96" t="s">
        <v>3016</v>
      </c>
      <c r="AD7" s="96">
        <v>0</v>
      </c>
      <c r="AE7" s="78"/>
      <c r="AF7" s="78">
        <v>410000</v>
      </c>
      <c r="AG7" s="78">
        <f t="shared" si="2"/>
        <v>1003</v>
      </c>
      <c r="AH7" s="78">
        <v>4</v>
      </c>
      <c r="AI7" s="78">
        <v>3</v>
      </c>
      <c r="AJ7" s="78">
        <v>10</v>
      </c>
      <c r="AK7" s="96"/>
      <c r="AL7" s="96">
        <v>1</v>
      </c>
      <c r="AM7" s="96" t="s">
        <v>3017</v>
      </c>
      <c r="AN7" s="113" t="s">
        <v>3018</v>
      </c>
      <c r="AO7" s="141" t="s">
        <v>3019</v>
      </c>
      <c r="AP7" s="144" t="s">
        <v>3020</v>
      </c>
      <c r="AQ7" s="141" t="str">
        <f t="shared" si="3"/>
        <v>841|641|</v>
      </c>
      <c r="AR7" s="118">
        <v>13</v>
      </c>
      <c r="AV7" s="107" t="s">
        <v>3011</v>
      </c>
      <c r="AX7" s="107">
        <v>40</v>
      </c>
      <c r="AY7" s="113">
        <v>835</v>
      </c>
      <c r="AZ7" s="91">
        <v>602</v>
      </c>
      <c r="BA7" s="91">
        <f t="shared" si="4"/>
        <v>617</v>
      </c>
      <c r="BB7" s="91" t="str">
        <f t="shared" si="5"/>
        <v>835|617|</v>
      </c>
      <c r="BC7" s="91" t="s">
        <v>90</v>
      </c>
    </row>
    <row r="8" spans="1:55">
      <c r="A8" s="96">
        <f t="shared" si="0"/>
        <v>911003</v>
      </c>
      <c r="B8" s="96">
        <v>3</v>
      </c>
      <c r="C8" s="96" t="s">
        <v>3021</v>
      </c>
      <c r="D8" s="96">
        <v>1</v>
      </c>
      <c r="E8" s="109">
        <v>1003</v>
      </c>
      <c r="F8" s="109">
        <v>1003</v>
      </c>
      <c r="G8" s="109" t="s">
        <v>3022</v>
      </c>
      <c r="H8" s="96" t="s">
        <v>588</v>
      </c>
      <c r="I8" s="117" t="s">
        <v>3023</v>
      </c>
      <c r="J8" s="96" t="s">
        <v>3003</v>
      </c>
      <c r="K8" s="96">
        <f t="shared" si="1"/>
        <v>1</v>
      </c>
      <c r="L8" s="118">
        <v>400007</v>
      </c>
      <c r="M8" s="119">
        <v>70</v>
      </c>
      <c r="N8" s="119">
        <v>4200</v>
      </c>
      <c r="O8" s="119">
        <v>420</v>
      </c>
      <c r="P8" s="64" t="s">
        <v>3004</v>
      </c>
      <c r="Q8" s="64" t="s">
        <v>3005</v>
      </c>
      <c r="R8" s="78">
        <f t="shared" si="6"/>
        <v>3</v>
      </c>
      <c r="S8" s="135">
        <v>3</v>
      </c>
      <c r="T8" s="78">
        <f t="shared" si="7"/>
        <v>2</v>
      </c>
      <c r="U8" s="78">
        <v>90</v>
      </c>
      <c r="V8" s="78">
        <v>81</v>
      </c>
      <c r="W8" s="78">
        <v>158000</v>
      </c>
      <c r="X8" s="96">
        <f>[4]消耗v2.0!$D33</f>
        <v>50000</v>
      </c>
      <c r="Y8" s="96">
        <v>5000</v>
      </c>
      <c r="Z8" s="96"/>
      <c r="AA8" s="96" t="s">
        <v>3024</v>
      </c>
      <c r="AB8" s="96"/>
      <c r="AC8" s="96"/>
      <c r="AD8" s="96">
        <v>1</v>
      </c>
      <c r="AE8" s="78"/>
      <c r="AF8" s="78">
        <v>510000</v>
      </c>
      <c r="AG8" s="78">
        <f t="shared" si="2"/>
        <v>1006</v>
      </c>
      <c r="AH8" s="78">
        <v>7</v>
      </c>
      <c r="AI8" s="78">
        <v>5</v>
      </c>
      <c r="AJ8" s="78">
        <v>15</v>
      </c>
      <c r="AK8" s="96"/>
      <c r="AL8" s="96">
        <v>1</v>
      </c>
      <c r="AM8" s="96" t="s">
        <v>3025</v>
      </c>
      <c r="AN8" s="113" t="s">
        <v>3026</v>
      </c>
      <c r="AO8" s="144" t="s">
        <v>3027</v>
      </c>
      <c r="AP8" s="144" t="s">
        <v>3028</v>
      </c>
      <c r="AQ8" s="141" t="str">
        <f t="shared" si="3"/>
        <v>567|779|</v>
      </c>
      <c r="AR8" s="118">
        <v>12</v>
      </c>
      <c r="AV8" s="107" t="s">
        <v>3021</v>
      </c>
      <c r="AX8" s="107">
        <v>60</v>
      </c>
      <c r="AY8" s="113">
        <v>551</v>
      </c>
      <c r="AZ8" s="91">
        <v>746</v>
      </c>
      <c r="BA8" s="91">
        <f t="shared" si="4"/>
        <v>761</v>
      </c>
      <c r="BB8" s="91" t="str">
        <f t="shared" si="5"/>
        <v>551|761|</v>
      </c>
      <c r="BC8" s="91" t="s">
        <v>90</v>
      </c>
    </row>
    <row r="9" spans="1:55">
      <c r="A9" s="96">
        <f t="shared" si="0"/>
        <v>911004</v>
      </c>
      <c r="B9" s="96">
        <v>4</v>
      </c>
      <c r="C9" s="96" t="s">
        <v>3029</v>
      </c>
      <c r="D9" s="96">
        <v>1</v>
      </c>
      <c r="E9" s="109">
        <v>1004</v>
      </c>
      <c r="F9" s="109">
        <v>1004</v>
      </c>
      <c r="G9" s="109" t="s">
        <v>3030</v>
      </c>
      <c r="H9" s="96" t="s">
        <v>600</v>
      </c>
      <c r="I9" s="117" t="s">
        <v>3031</v>
      </c>
      <c r="J9" s="96" t="s">
        <v>3003</v>
      </c>
      <c r="K9" s="96">
        <f t="shared" si="1"/>
        <v>1</v>
      </c>
      <c r="L9" s="118">
        <v>400007</v>
      </c>
      <c r="M9" s="119">
        <v>80</v>
      </c>
      <c r="N9" s="119">
        <v>6400</v>
      </c>
      <c r="O9" s="119">
        <v>640</v>
      </c>
      <c r="P9" s="64" t="s">
        <v>3004</v>
      </c>
      <c r="Q9" s="64" t="s">
        <v>3005</v>
      </c>
      <c r="R9" s="78">
        <f t="shared" si="6"/>
        <v>3</v>
      </c>
      <c r="S9" s="135">
        <v>3</v>
      </c>
      <c r="T9" s="78">
        <f t="shared" si="7"/>
        <v>2</v>
      </c>
      <c r="U9" s="78">
        <v>140</v>
      </c>
      <c r="V9" s="78">
        <v>115</v>
      </c>
      <c r="W9" s="78">
        <v>323000</v>
      </c>
      <c r="X9" s="96">
        <f>[4]消耗v2.0!$D34</f>
        <v>120000</v>
      </c>
      <c r="Y9" s="96">
        <v>5000</v>
      </c>
      <c r="Z9" s="96"/>
      <c r="AA9" s="96" t="s">
        <v>3032</v>
      </c>
      <c r="AB9" s="96"/>
      <c r="AC9" s="96"/>
      <c r="AD9" s="96">
        <v>1</v>
      </c>
      <c r="AE9" s="78"/>
      <c r="AF9" s="78">
        <v>610000</v>
      </c>
      <c r="AG9" s="78">
        <f t="shared" si="2"/>
        <v>1008</v>
      </c>
      <c r="AH9" s="78">
        <v>9</v>
      </c>
      <c r="AI9" s="78">
        <v>6</v>
      </c>
      <c r="AJ9" s="78">
        <v>20</v>
      </c>
      <c r="AK9" s="96"/>
      <c r="AL9" s="96">
        <v>1</v>
      </c>
      <c r="AM9" s="96" t="s">
        <v>3033</v>
      </c>
      <c r="AN9" s="113" t="s">
        <v>3034</v>
      </c>
      <c r="AO9" s="141" t="s">
        <v>3035</v>
      </c>
      <c r="AP9" s="144" t="s">
        <v>3036</v>
      </c>
      <c r="AQ9" s="141" t="str">
        <f t="shared" si="3"/>
        <v>772|902|</v>
      </c>
      <c r="AR9" s="118">
        <v>14</v>
      </c>
      <c r="AV9" s="107" t="s">
        <v>3029</v>
      </c>
      <c r="AX9" s="107">
        <v>100</v>
      </c>
      <c r="AY9" s="113">
        <v>782</v>
      </c>
      <c r="AZ9" s="91">
        <v>872</v>
      </c>
      <c r="BA9" s="91">
        <f t="shared" si="4"/>
        <v>887</v>
      </c>
      <c r="BB9" s="91" t="str">
        <f t="shared" si="5"/>
        <v>782|887|</v>
      </c>
      <c r="BC9" s="91" t="s">
        <v>90</v>
      </c>
    </row>
    <row r="10" spans="1:55">
      <c r="A10" s="96">
        <f t="shared" si="0"/>
        <v>912005</v>
      </c>
      <c r="B10" s="96">
        <v>5</v>
      </c>
      <c r="C10" s="96" t="s">
        <v>3037</v>
      </c>
      <c r="D10" s="96">
        <v>1</v>
      </c>
      <c r="E10" s="109">
        <v>1005</v>
      </c>
      <c r="F10" s="109">
        <v>1005</v>
      </c>
      <c r="G10" s="109" t="s">
        <v>3038</v>
      </c>
      <c r="H10" s="96" t="s">
        <v>3039</v>
      </c>
      <c r="I10" s="117" t="s">
        <v>3040</v>
      </c>
      <c r="J10" s="96" t="s">
        <v>3003</v>
      </c>
      <c r="K10" s="96">
        <f t="shared" si="1"/>
        <v>2</v>
      </c>
      <c r="L10" s="118">
        <v>400008</v>
      </c>
      <c r="M10" s="119">
        <v>50</v>
      </c>
      <c r="N10" s="119">
        <v>1000</v>
      </c>
      <c r="O10" s="119">
        <v>100</v>
      </c>
      <c r="P10" s="64" t="s">
        <v>3004</v>
      </c>
      <c r="Q10" s="64" t="s">
        <v>3005</v>
      </c>
      <c r="R10" s="78">
        <f t="shared" si="6"/>
        <v>3</v>
      </c>
      <c r="S10" s="135">
        <v>4</v>
      </c>
      <c r="T10" s="78">
        <f t="shared" si="7"/>
        <v>2</v>
      </c>
      <c r="U10" s="78">
        <v>20</v>
      </c>
      <c r="V10" s="136">
        <f t="shared" ref="V10:V17" si="8">V6</f>
        <v>26</v>
      </c>
      <c r="W10" s="78">
        <v>1400</v>
      </c>
      <c r="X10" s="96" t="s">
        <v>3041</v>
      </c>
      <c r="Y10" s="96">
        <v>5000</v>
      </c>
      <c r="Z10" s="96" t="s">
        <v>3042</v>
      </c>
      <c r="AA10" s="96" t="s">
        <v>3043</v>
      </c>
      <c r="AB10" s="96" t="s">
        <v>3044</v>
      </c>
      <c r="AC10" s="96" t="s">
        <v>3045</v>
      </c>
      <c r="AD10" s="96">
        <v>0</v>
      </c>
      <c r="AE10" s="78">
        <f t="shared" ref="AE10:AE14" si="9">AF10+AI10+1</f>
        <v>510002</v>
      </c>
      <c r="AF10" s="78">
        <v>510000</v>
      </c>
      <c r="AG10" s="78">
        <f t="shared" si="2"/>
        <v>1002</v>
      </c>
      <c r="AH10" s="78">
        <v>3</v>
      </c>
      <c r="AI10" s="78">
        <v>1</v>
      </c>
      <c r="AJ10" s="78">
        <v>5</v>
      </c>
      <c r="AK10" s="96"/>
      <c r="AL10" s="96">
        <v>2</v>
      </c>
      <c r="AM10" s="96" t="s">
        <v>3046</v>
      </c>
      <c r="AN10" s="96" t="s">
        <v>3047</v>
      </c>
      <c r="AO10" s="141" t="s">
        <v>3048</v>
      </c>
      <c r="AP10" s="144" t="s">
        <v>3049</v>
      </c>
      <c r="AQ10" s="141" t="str">
        <f t="shared" si="3"/>
        <v>543|352|</v>
      </c>
      <c r="AR10" s="113"/>
      <c r="AV10" s="107" t="s">
        <v>3037</v>
      </c>
      <c r="AX10" s="107">
        <v>20</v>
      </c>
      <c r="AY10" s="96">
        <v>543</v>
      </c>
      <c r="AZ10" s="91">
        <v>358</v>
      </c>
      <c r="BA10" s="91">
        <f t="shared" si="4"/>
        <v>373</v>
      </c>
      <c r="BB10" s="91" t="str">
        <f t="shared" si="5"/>
        <v>543|373|</v>
      </c>
      <c r="BC10" s="91" t="s">
        <v>90</v>
      </c>
    </row>
    <row r="11" spans="1:55">
      <c r="A11" s="96">
        <f t="shared" si="0"/>
        <v>912006</v>
      </c>
      <c r="B11" s="96">
        <v>6</v>
      </c>
      <c r="C11" s="96" t="s">
        <v>3050</v>
      </c>
      <c r="D11" s="96">
        <v>1</v>
      </c>
      <c r="E11" s="109">
        <v>1005</v>
      </c>
      <c r="F11" s="109">
        <v>1005</v>
      </c>
      <c r="G11" s="109" t="s">
        <v>3051</v>
      </c>
      <c r="H11" s="96" t="s">
        <v>3052</v>
      </c>
      <c r="I11" s="117" t="s">
        <v>3053</v>
      </c>
      <c r="J11" s="96" t="s">
        <v>3003</v>
      </c>
      <c r="K11" s="96">
        <f t="shared" si="1"/>
        <v>2</v>
      </c>
      <c r="L11" s="118">
        <v>400008</v>
      </c>
      <c r="M11" s="119">
        <v>60</v>
      </c>
      <c r="N11" s="119">
        <v>2400</v>
      </c>
      <c r="O11" s="119">
        <v>240</v>
      </c>
      <c r="P11" s="64" t="s">
        <v>3004</v>
      </c>
      <c r="Q11" s="64" t="s">
        <v>3005</v>
      </c>
      <c r="R11" s="78">
        <f t="shared" si="6"/>
        <v>3</v>
      </c>
      <c r="S11" s="135">
        <v>4</v>
      </c>
      <c r="T11" s="78">
        <f t="shared" si="7"/>
        <v>2</v>
      </c>
      <c r="U11" s="78">
        <v>50</v>
      </c>
      <c r="V11" s="136">
        <f t="shared" si="8"/>
        <v>43</v>
      </c>
      <c r="W11" s="78">
        <v>25400</v>
      </c>
      <c r="X11" s="96"/>
      <c r="Y11" s="96">
        <v>5000</v>
      </c>
      <c r="Z11" s="96"/>
      <c r="AA11" s="96" t="s">
        <v>3043</v>
      </c>
      <c r="AB11" s="96" t="s">
        <v>3044</v>
      </c>
      <c r="AC11" s="96" t="s">
        <v>3045</v>
      </c>
      <c r="AD11" s="96">
        <v>0</v>
      </c>
      <c r="AE11" s="78">
        <f t="shared" si="9"/>
        <v>510004</v>
      </c>
      <c r="AF11" s="78">
        <v>510000</v>
      </c>
      <c r="AG11" s="78">
        <f t="shared" si="2"/>
        <v>1005</v>
      </c>
      <c r="AH11" s="78">
        <v>6</v>
      </c>
      <c r="AI11" s="78">
        <v>3</v>
      </c>
      <c r="AJ11" s="78">
        <v>10</v>
      </c>
      <c r="AK11" s="96"/>
      <c r="AL11" s="96">
        <v>2</v>
      </c>
      <c r="AM11" s="96" t="s">
        <v>3046</v>
      </c>
      <c r="AN11" s="96" t="s">
        <v>3047</v>
      </c>
      <c r="AO11" s="141" t="s">
        <v>3048</v>
      </c>
      <c r="AP11" s="144" t="s">
        <v>3049</v>
      </c>
      <c r="AQ11" s="141" t="str">
        <f t="shared" si="3"/>
        <v>543|352|</v>
      </c>
      <c r="AR11" s="141"/>
      <c r="AV11" s="107" t="s">
        <v>3050</v>
      </c>
      <c r="AX11" s="107">
        <v>60</v>
      </c>
      <c r="AY11" s="96">
        <v>543</v>
      </c>
      <c r="AZ11" s="91">
        <v>358</v>
      </c>
      <c r="BA11" s="91">
        <f t="shared" si="4"/>
        <v>373</v>
      </c>
      <c r="BB11" s="91" t="str">
        <f t="shared" si="5"/>
        <v>543|373|</v>
      </c>
      <c r="BC11" s="91" t="s">
        <v>90</v>
      </c>
    </row>
    <row r="12" spans="1:55">
      <c r="A12" s="96">
        <f t="shared" si="0"/>
        <v>912007</v>
      </c>
      <c r="B12" s="96">
        <v>7</v>
      </c>
      <c r="C12" s="96" t="s">
        <v>3054</v>
      </c>
      <c r="D12" s="96">
        <v>1</v>
      </c>
      <c r="E12" s="109">
        <v>1005</v>
      </c>
      <c r="F12" s="109">
        <v>1005</v>
      </c>
      <c r="G12" s="109" t="s">
        <v>3055</v>
      </c>
      <c r="H12" s="96" t="s">
        <v>3056</v>
      </c>
      <c r="I12" s="117" t="s">
        <v>3057</v>
      </c>
      <c r="J12" s="96" t="s">
        <v>3003</v>
      </c>
      <c r="K12" s="96">
        <f t="shared" si="1"/>
        <v>2</v>
      </c>
      <c r="L12" s="118">
        <v>400008</v>
      </c>
      <c r="M12" s="119">
        <v>70</v>
      </c>
      <c r="N12" s="119">
        <v>4200</v>
      </c>
      <c r="O12" s="119">
        <v>420</v>
      </c>
      <c r="P12" s="64" t="s">
        <v>3004</v>
      </c>
      <c r="Q12" s="64" t="s">
        <v>3005</v>
      </c>
      <c r="R12" s="78">
        <f t="shared" si="6"/>
        <v>3</v>
      </c>
      <c r="S12" s="135">
        <v>3</v>
      </c>
      <c r="T12" s="78">
        <f t="shared" si="7"/>
        <v>2</v>
      </c>
      <c r="U12" s="78">
        <v>90</v>
      </c>
      <c r="V12" s="136">
        <f t="shared" si="8"/>
        <v>81</v>
      </c>
      <c r="W12" s="78">
        <v>158000</v>
      </c>
      <c r="X12" s="96"/>
      <c r="Y12" s="96">
        <v>5000</v>
      </c>
      <c r="Z12" s="96"/>
      <c r="AA12" s="96" t="s">
        <v>3043</v>
      </c>
      <c r="AB12" s="96" t="s">
        <v>3044</v>
      </c>
      <c r="AC12" s="96" t="s">
        <v>3045</v>
      </c>
      <c r="AD12" s="96">
        <v>0</v>
      </c>
      <c r="AE12" s="78">
        <f t="shared" si="9"/>
        <v>510007</v>
      </c>
      <c r="AF12" s="78">
        <v>510000</v>
      </c>
      <c r="AG12" s="78">
        <f t="shared" si="2"/>
        <v>1007</v>
      </c>
      <c r="AH12" s="78">
        <v>8</v>
      </c>
      <c r="AI12" s="78">
        <v>6</v>
      </c>
      <c r="AJ12" s="78">
        <v>15</v>
      </c>
      <c r="AK12" s="96"/>
      <c r="AL12" s="96">
        <v>2</v>
      </c>
      <c r="AM12" s="96" t="s">
        <v>3046</v>
      </c>
      <c r="AN12" s="96" t="s">
        <v>3047</v>
      </c>
      <c r="AO12" s="141" t="s">
        <v>3048</v>
      </c>
      <c r="AP12" s="144" t="s">
        <v>3049</v>
      </c>
      <c r="AQ12" s="141" t="str">
        <f t="shared" si="3"/>
        <v>543|352|</v>
      </c>
      <c r="AR12" s="141"/>
      <c r="AV12" s="107" t="s">
        <v>3054</v>
      </c>
      <c r="AX12" s="107">
        <v>100</v>
      </c>
      <c r="AY12" s="96">
        <v>543</v>
      </c>
      <c r="AZ12" s="91">
        <v>358</v>
      </c>
      <c r="BA12" s="91">
        <f t="shared" si="4"/>
        <v>373</v>
      </c>
      <c r="BB12" s="91" t="str">
        <f t="shared" si="5"/>
        <v>543|373|</v>
      </c>
      <c r="BC12" s="91" t="s">
        <v>90</v>
      </c>
    </row>
    <row r="13" spans="1:55">
      <c r="A13" s="96">
        <f t="shared" si="0"/>
        <v>912008</v>
      </c>
      <c r="B13" s="96">
        <v>8</v>
      </c>
      <c r="C13" s="96" t="s">
        <v>3058</v>
      </c>
      <c r="D13" s="96">
        <v>1</v>
      </c>
      <c r="E13" s="109">
        <v>1005</v>
      </c>
      <c r="F13" s="109">
        <v>1005</v>
      </c>
      <c r="G13" s="109" t="s">
        <v>3059</v>
      </c>
      <c r="H13" s="96" t="s">
        <v>3060</v>
      </c>
      <c r="I13" s="117" t="s">
        <v>3061</v>
      </c>
      <c r="J13" s="96" t="s">
        <v>3003</v>
      </c>
      <c r="K13" s="96">
        <f t="shared" si="1"/>
        <v>2</v>
      </c>
      <c r="L13" s="118">
        <v>400008</v>
      </c>
      <c r="M13" s="119">
        <v>80</v>
      </c>
      <c r="N13" s="119">
        <v>6400</v>
      </c>
      <c r="O13" s="119">
        <v>640</v>
      </c>
      <c r="P13" s="64" t="s">
        <v>3004</v>
      </c>
      <c r="Q13" s="64" t="s">
        <v>3005</v>
      </c>
      <c r="R13" s="78">
        <f t="shared" si="6"/>
        <v>3</v>
      </c>
      <c r="S13" s="135">
        <v>3</v>
      </c>
      <c r="T13" s="78">
        <f t="shared" si="7"/>
        <v>2</v>
      </c>
      <c r="U13" s="78">
        <v>140</v>
      </c>
      <c r="V13" s="136">
        <f t="shared" si="8"/>
        <v>115</v>
      </c>
      <c r="W13" s="78">
        <v>323000</v>
      </c>
      <c r="X13" s="96"/>
      <c r="Y13" s="96">
        <v>5000</v>
      </c>
      <c r="Z13" s="96"/>
      <c r="AA13" s="96" t="s">
        <v>3043</v>
      </c>
      <c r="AB13" s="96" t="s">
        <v>3044</v>
      </c>
      <c r="AC13" s="96" t="s">
        <v>3045</v>
      </c>
      <c r="AD13" s="96">
        <v>0</v>
      </c>
      <c r="AE13" s="78">
        <f t="shared" si="9"/>
        <v>510010</v>
      </c>
      <c r="AF13" s="78">
        <v>510000</v>
      </c>
      <c r="AG13" s="78">
        <f t="shared" si="2"/>
        <v>1009</v>
      </c>
      <c r="AH13" s="78">
        <v>10</v>
      </c>
      <c r="AI13" s="78">
        <v>9</v>
      </c>
      <c r="AJ13" s="78">
        <v>20</v>
      </c>
      <c r="AK13" s="96"/>
      <c r="AL13" s="96">
        <v>2</v>
      </c>
      <c r="AM13" s="96" t="s">
        <v>3046</v>
      </c>
      <c r="AN13" s="96" t="s">
        <v>3047</v>
      </c>
      <c r="AO13" s="141" t="s">
        <v>3048</v>
      </c>
      <c r="AP13" s="144" t="s">
        <v>3049</v>
      </c>
      <c r="AQ13" s="141" t="str">
        <f t="shared" si="3"/>
        <v>543|352|</v>
      </c>
      <c r="AR13" s="113"/>
      <c r="AV13" s="107" t="s">
        <v>3058</v>
      </c>
      <c r="AX13" s="107">
        <v>40</v>
      </c>
      <c r="AY13" s="96">
        <v>543</v>
      </c>
      <c r="AZ13" s="91">
        <v>358</v>
      </c>
      <c r="BA13" s="91">
        <f t="shared" si="4"/>
        <v>373</v>
      </c>
      <c r="BB13" s="91" t="str">
        <f t="shared" si="5"/>
        <v>543|373|</v>
      </c>
      <c r="BC13" s="91" t="s">
        <v>90</v>
      </c>
    </row>
    <row r="14" spans="1:55">
      <c r="A14" s="96">
        <f t="shared" si="0"/>
        <v>913009</v>
      </c>
      <c r="B14" s="96">
        <v>9</v>
      </c>
      <c r="C14" s="96" t="s">
        <v>3062</v>
      </c>
      <c r="D14" s="96">
        <v>1</v>
      </c>
      <c r="E14" s="109">
        <v>1006</v>
      </c>
      <c r="F14" s="109">
        <v>1006</v>
      </c>
      <c r="G14" s="109" t="s">
        <v>3063</v>
      </c>
      <c r="H14" s="96" t="s">
        <v>3064</v>
      </c>
      <c r="I14" s="117" t="s">
        <v>3065</v>
      </c>
      <c r="J14" s="96" t="s">
        <v>3003</v>
      </c>
      <c r="K14" s="96">
        <f t="shared" si="1"/>
        <v>3</v>
      </c>
      <c r="L14" s="118">
        <v>400009</v>
      </c>
      <c r="M14" s="119">
        <v>50</v>
      </c>
      <c r="N14" s="119">
        <v>1000</v>
      </c>
      <c r="O14" s="119">
        <v>100</v>
      </c>
      <c r="P14" s="64" t="s">
        <v>3004</v>
      </c>
      <c r="Q14" s="64" t="s">
        <v>3005</v>
      </c>
      <c r="R14" s="78">
        <f t="shared" si="6"/>
        <v>3</v>
      </c>
      <c r="S14" s="135">
        <v>4</v>
      </c>
      <c r="T14" s="78">
        <f t="shared" si="7"/>
        <v>2</v>
      </c>
      <c r="U14" s="78">
        <v>20</v>
      </c>
      <c r="V14" s="136">
        <f t="shared" si="8"/>
        <v>26</v>
      </c>
      <c r="W14" s="78">
        <v>1400</v>
      </c>
      <c r="X14" s="96"/>
      <c r="Y14" s="96">
        <v>5000</v>
      </c>
      <c r="Z14" s="96"/>
      <c r="AA14" s="96" t="s">
        <v>3066</v>
      </c>
      <c r="AB14" s="96" t="s">
        <v>3067</v>
      </c>
      <c r="AC14" s="96" t="s">
        <v>3068</v>
      </c>
      <c r="AD14" s="96">
        <v>0</v>
      </c>
      <c r="AE14" s="78">
        <f t="shared" si="9"/>
        <v>110002</v>
      </c>
      <c r="AF14" s="78">
        <v>110000</v>
      </c>
      <c r="AG14" s="78">
        <f t="shared" si="2"/>
        <v>1001</v>
      </c>
      <c r="AH14" s="78">
        <v>2</v>
      </c>
      <c r="AI14" s="78">
        <v>1</v>
      </c>
      <c r="AJ14" s="78">
        <v>5</v>
      </c>
      <c r="AK14" s="96"/>
      <c r="AL14" s="96">
        <v>2</v>
      </c>
      <c r="AM14" s="96" t="s">
        <v>3069</v>
      </c>
      <c r="AN14" s="96" t="s">
        <v>3070</v>
      </c>
      <c r="AO14" s="141" t="s">
        <v>3071</v>
      </c>
      <c r="AP14" s="144" t="s">
        <v>3072</v>
      </c>
      <c r="AQ14" s="141" t="str">
        <f t="shared" si="3"/>
        <v>611|477|</v>
      </c>
      <c r="AR14" s="141"/>
      <c r="AV14" s="107" t="s">
        <v>3062</v>
      </c>
      <c r="AX14" s="107">
        <v>20</v>
      </c>
      <c r="AY14" s="96">
        <v>614</v>
      </c>
      <c r="AZ14" s="91">
        <v>441</v>
      </c>
      <c r="BA14" s="91">
        <f t="shared" si="4"/>
        <v>456</v>
      </c>
      <c r="BB14" s="91" t="str">
        <f t="shared" si="5"/>
        <v>614|456|</v>
      </c>
      <c r="BC14" s="91" t="s">
        <v>90</v>
      </c>
    </row>
    <row r="15" spans="1:55">
      <c r="A15" s="96">
        <f t="shared" si="0"/>
        <v>913010</v>
      </c>
      <c r="B15" s="96">
        <v>10</v>
      </c>
      <c r="C15" s="96" t="s">
        <v>3073</v>
      </c>
      <c r="D15" s="96">
        <v>1</v>
      </c>
      <c r="E15" s="110">
        <v>1007</v>
      </c>
      <c r="F15" s="110">
        <v>1007</v>
      </c>
      <c r="G15" s="109" t="s">
        <v>3074</v>
      </c>
      <c r="H15" s="96" t="s">
        <v>3075</v>
      </c>
      <c r="I15" s="117" t="s">
        <v>3076</v>
      </c>
      <c r="J15" s="96" t="s">
        <v>3003</v>
      </c>
      <c r="K15" s="96">
        <f t="shared" si="1"/>
        <v>3</v>
      </c>
      <c r="L15" s="118">
        <v>400009</v>
      </c>
      <c r="M15" s="119">
        <v>60</v>
      </c>
      <c r="N15" s="119">
        <v>2400</v>
      </c>
      <c r="O15" s="119">
        <v>240</v>
      </c>
      <c r="P15" s="64" t="s">
        <v>3004</v>
      </c>
      <c r="Q15" s="64" t="s">
        <v>3005</v>
      </c>
      <c r="R15" s="78">
        <f t="shared" si="6"/>
        <v>3</v>
      </c>
      <c r="S15" s="135">
        <v>4</v>
      </c>
      <c r="T15" s="78">
        <f t="shared" si="7"/>
        <v>2</v>
      </c>
      <c r="U15" s="78">
        <v>50</v>
      </c>
      <c r="V15" s="136">
        <f t="shared" si="8"/>
        <v>43</v>
      </c>
      <c r="W15" s="78">
        <v>25400</v>
      </c>
      <c r="X15" s="96"/>
      <c r="Y15" s="96">
        <v>5000</v>
      </c>
      <c r="Z15" s="96"/>
      <c r="AA15" s="96" t="s">
        <v>3077</v>
      </c>
      <c r="AB15" s="96"/>
      <c r="AC15" s="96"/>
      <c r="AD15" s="96">
        <v>1</v>
      </c>
      <c r="AE15" s="78"/>
      <c r="AF15" s="78">
        <v>310000</v>
      </c>
      <c r="AG15" s="78">
        <f t="shared" si="2"/>
        <v>1004</v>
      </c>
      <c r="AH15" s="78">
        <v>5</v>
      </c>
      <c r="AI15" s="78">
        <v>2</v>
      </c>
      <c r="AJ15" s="78">
        <v>10</v>
      </c>
      <c r="AK15" s="96"/>
      <c r="AL15" s="96">
        <v>1</v>
      </c>
      <c r="AM15" s="96" t="s">
        <v>3078</v>
      </c>
      <c r="AN15" s="113" t="s">
        <v>3079</v>
      </c>
      <c r="AO15" s="141" t="s">
        <v>3080</v>
      </c>
      <c r="AP15" s="144" t="s">
        <v>3081</v>
      </c>
      <c r="AQ15" s="141" t="str">
        <f t="shared" si="3"/>
        <v>1024|411|</v>
      </c>
      <c r="AR15" s="141">
        <v>50</v>
      </c>
      <c r="AS15" s="11" t="s">
        <v>3082</v>
      </c>
      <c r="AT15" s="11" t="s">
        <v>3083</v>
      </c>
      <c r="AU15" s="11" t="s">
        <v>3084</v>
      </c>
      <c r="AV15" s="107" t="s">
        <v>3073</v>
      </c>
      <c r="AX15" s="107">
        <v>100</v>
      </c>
      <c r="AY15" s="113">
        <v>1026</v>
      </c>
      <c r="AZ15" s="91">
        <v>399</v>
      </c>
      <c r="BA15" s="91">
        <f t="shared" si="4"/>
        <v>414</v>
      </c>
      <c r="BB15" s="91" t="str">
        <f t="shared" si="5"/>
        <v>1026|414|</v>
      </c>
      <c r="BC15" s="91" t="s">
        <v>90</v>
      </c>
    </row>
    <row r="16" s="104" customFormat="1" spans="1:55">
      <c r="A16" s="96">
        <f t="shared" si="0"/>
        <v>913011</v>
      </c>
      <c r="B16" s="96">
        <v>11</v>
      </c>
      <c r="C16" s="96" t="s">
        <v>3085</v>
      </c>
      <c r="D16" s="96">
        <v>1</v>
      </c>
      <c r="E16" s="109">
        <v>1010</v>
      </c>
      <c r="F16" s="109">
        <v>1010</v>
      </c>
      <c r="G16" s="109" t="s">
        <v>3086</v>
      </c>
      <c r="H16" s="96" t="s">
        <v>3087</v>
      </c>
      <c r="I16" s="117" t="s">
        <v>3088</v>
      </c>
      <c r="J16" s="96" t="s">
        <v>3003</v>
      </c>
      <c r="K16" s="96">
        <f t="shared" si="1"/>
        <v>3</v>
      </c>
      <c r="L16" s="118">
        <v>400009</v>
      </c>
      <c r="M16" s="119">
        <v>70</v>
      </c>
      <c r="N16" s="119">
        <v>4200</v>
      </c>
      <c r="O16" s="119">
        <v>420</v>
      </c>
      <c r="P16" s="64" t="s">
        <v>3004</v>
      </c>
      <c r="Q16" s="64" t="s">
        <v>3005</v>
      </c>
      <c r="R16" s="78">
        <f t="shared" si="6"/>
        <v>3</v>
      </c>
      <c r="S16" s="135">
        <v>3</v>
      </c>
      <c r="T16" s="78">
        <f t="shared" si="7"/>
        <v>2</v>
      </c>
      <c r="U16" s="78">
        <v>90</v>
      </c>
      <c r="V16" s="136">
        <f t="shared" si="8"/>
        <v>81</v>
      </c>
      <c r="W16" s="78">
        <v>158000</v>
      </c>
      <c r="X16" s="96"/>
      <c r="Y16" s="96">
        <v>5000</v>
      </c>
      <c r="Z16" s="96"/>
      <c r="AA16" s="96" t="s">
        <v>3089</v>
      </c>
      <c r="AB16" s="140" t="s">
        <v>3067</v>
      </c>
      <c r="AC16" s="96" t="s">
        <v>3068</v>
      </c>
      <c r="AD16" s="96">
        <v>0</v>
      </c>
      <c r="AE16" s="78">
        <f>AF16+AI16+1</f>
        <v>110009</v>
      </c>
      <c r="AF16" s="78">
        <v>110000</v>
      </c>
      <c r="AG16" s="78">
        <f t="shared" si="2"/>
        <v>1008</v>
      </c>
      <c r="AH16" s="78">
        <v>9</v>
      </c>
      <c r="AI16" s="78">
        <v>8</v>
      </c>
      <c r="AJ16" s="78">
        <v>15</v>
      </c>
      <c r="AK16" s="96"/>
      <c r="AL16" s="96">
        <v>2</v>
      </c>
      <c r="AM16" s="96" t="s">
        <v>3069</v>
      </c>
      <c r="AN16" s="96" t="s">
        <v>3070</v>
      </c>
      <c r="AO16" s="114" t="s">
        <v>3071</v>
      </c>
      <c r="AP16" s="144" t="s">
        <v>3090</v>
      </c>
      <c r="AQ16" s="141" t="str">
        <f t="shared" si="3"/>
        <v>611|477|</v>
      </c>
      <c r="AR16" s="114"/>
      <c r="AS16" s="145" t="s">
        <v>3091</v>
      </c>
      <c r="AT16" s="145">
        <v>835</v>
      </c>
      <c r="AU16" s="145">
        <v>631</v>
      </c>
      <c r="AV16" s="107" t="s">
        <v>3085</v>
      </c>
      <c r="AX16" s="107">
        <v>40</v>
      </c>
      <c r="AY16" s="96">
        <v>614</v>
      </c>
      <c r="AZ16" s="91">
        <v>441</v>
      </c>
      <c r="BA16" s="91">
        <f t="shared" si="4"/>
        <v>456</v>
      </c>
      <c r="BB16" s="91" t="str">
        <f t="shared" si="5"/>
        <v>614|456|</v>
      </c>
      <c r="BC16" s="91" t="s">
        <v>90</v>
      </c>
    </row>
    <row r="17" spans="1:55">
      <c r="A17" s="96">
        <f t="shared" si="0"/>
        <v>913012</v>
      </c>
      <c r="B17" s="96">
        <v>12</v>
      </c>
      <c r="C17" s="96" t="s">
        <v>3092</v>
      </c>
      <c r="D17" s="96">
        <v>1</v>
      </c>
      <c r="E17" s="109">
        <v>1011</v>
      </c>
      <c r="F17" s="109">
        <v>1011</v>
      </c>
      <c r="G17" s="109" t="s">
        <v>3093</v>
      </c>
      <c r="H17" s="96" t="s">
        <v>3094</v>
      </c>
      <c r="I17" s="117" t="s">
        <v>3095</v>
      </c>
      <c r="J17" s="96" t="s">
        <v>3003</v>
      </c>
      <c r="K17" s="96">
        <f t="shared" si="1"/>
        <v>3</v>
      </c>
      <c r="L17" s="118">
        <v>400009</v>
      </c>
      <c r="M17" s="119">
        <v>80</v>
      </c>
      <c r="N17" s="119">
        <v>6400</v>
      </c>
      <c r="O17" s="119">
        <v>640</v>
      </c>
      <c r="P17" s="64" t="s">
        <v>3004</v>
      </c>
      <c r="Q17" s="64" t="s">
        <v>3005</v>
      </c>
      <c r="R17" s="78">
        <f t="shared" si="6"/>
        <v>3</v>
      </c>
      <c r="S17" s="135">
        <v>3</v>
      </c>
      <c r="T17" s="78">
        <f t="shared" si="7"/>
        <v>2</v>
      </c>
      <c r="U17" s="78">
        <v>140</v>
      </c>
      <c r="V17" s="136">
        <f t="shared" si="8"/>
        <v>115</v>
      </c>
      <c r="W17" s="78">
        <v>323000</v>
      </c>
      <c r="X17" s="96"/>
      <c r="Y17" s="96">
        <v>5000</v>
      </c>
      <c r="Z17" s="96"/>
      <c r="AA17" s="96" t="s">
        <v>3096</v>
      </c>
      <c r="AB17" s="96"/>
      <c r="AC17" s="96"/>
      <c r="AD17" s="96">
        <v>1</v>
      </c>
      <c r="AE17" s="78"/>
      <c r="AF17" s="78">
        <v>610000</v>
      </c>
      <c r="AG17" s="78">
        <f t="shared" si="2"/>
        <v>1009</v>
      </c>
      <c r="AH17" s="78">
        <v>10</v>
      </c>
      <c r="AI17" s="78">
        <v>7</v>
      </c>
      <c r="AJ17" s="78">
        <v>20</v>
      </c>
      <c r="AK17" s="96"/>
      <c r="AL17" s="96">
        <v>2</v>
      </c>
      <c r="AM17" s="96" t="s">
        <v>3097</v>
      </c>
      <c r="AN17" s="113" t="s">
        <v>3098</v>
      </c>
      <c r="AO17" s="141"/>
      <c r="AP17" s="144"/>
      <c r="AQ17" s="141" t="str">
        <f t="shared" si="3"/>
        <v>1061|612|</v>
      </c>
      <c r="AR17" s="141"/>
      <c r="AS17" s="11" t="s">
        <v>3099</v>
      </c>
      <c r="AT17" s="11" t="s">
        <v>3100</v>
      </c>
      <c r="AU17" s="11" t="s">
        <v>3101</v>
      </c>
      <c r="AV17" s="107" t="s">
        <v>3092</v>
      </c>
      <c r="AX17" s="107">
        <v>60</v>
      </c>
      <c r="AY17" s="113">
        <v>1066</v>
      </c>
      <c r="AZ17" s="91">
        <v>566</v>
      </c>
      <c r="BA17" s="91">
        <f t="shared" si="4"/>
        <v>581</v>
      </c>
      <c r="BB17" s="91" t="str">
        <f t="shared" si="5"/>
        <v>1066|581|</v>
      </c>
      <c r="BC17" s="91" t="s">
        <v>90</v>
      </c>
    </row>
    <row r="18" spans="1:55">
      <c r="A18" s="96">
        <f t="shared" si="0"/>
        <v>921001</v>
      </c>
      <c r="B18" s="96">
        <v>1</v>
      </c>
      <c r="C18" s="96" t="s">
        <v>3102</v>
      </c>
      <c r="D18" s="96">
        <v>2</v>
      </c>
      <c r="E18" s="110">
        <f t="shared" ref="E18:E21" si="10">F18</f>
        <v>1017</v>
      </c>
      <c r="F18" s="110">
        <v>1017</v>
      </c>
      <c r="G18" s="109" t="s">
        <v>3102</v>
      </c>
      <c r="H18" s="111" t="s">
        <v>3103</v>
      </c>
      <c r="I18" s="117" t="s">
        <v>3104</v>
      </c>
      <c r="J18" s="96" t="s">
        <v>3003</v>
      </c>
      <c r="K18" s="96">
        <f t="shared" si="1"/>
        <v>1</v>
      </c>
      <c r="L18" s="118">
        <v>400007</v>
      </c>
      <c r="M18" s="119">
        <v>100</v>
      </c>
      <c r="N18" s="119">
        <v>10000</v>
      </c>
      <c r="O18" s="120">
        <v>1000</v>
      </c>
      <c r="P18" s="64" t="s">
        <v>3004</v>
      </c>
      <c r="Q18" s="64" t="s">
        <v>3005</v>
      </c>
      <c r="R18" s="78">
        <f t="shared" si="6"/>
        <v>3</v>
      </c>
      <c r="S18" s="135">
        <v>4</v>
      </c>
      <c r="T18" s="17">
        <v>2</v>
      </c>
      <c r="U18" s="78">
        <v>30</v>
      </c>
      <c r="V18" s="137">
        <v>29</v>
      </c>
      <c r="W18" s="78">
        <v>195000</v>
      </c>
      <c r="X18" s="96"/>
      <c r="Y18" s="96">
        <v>5000</v>
      </c>
      <c r="Z18" s="96"/>
      <c r="AA18" s="96" t="s">
        <v>3105</v>
      </c>
      <c r="AB18" s="96"/>
      <c r="AC18" s="96"/>
      <c r="AD18" s="96">
        <v>1</v>
      </c>
      <c r="AE18" s="78"/>
      <c r="AF18" s="78">
        <v>220000</v>
      </c>
      <c r="AG18" s="78">
        <f t="shared" si="2"/>
        <v>2000</v>
      </c>
      <c r="AH18" s="78">
        <v>1</v>
      </c>
      <c r="AI18" s="78">
        <v>1</v>
      </c>
      <c r="AJ18" s="78">
        <v>5</v>
      </c>
      <c r="AK18" s="96"/>
      <c r="AL18" s="96">
        <v>1</v>
      </c>
      <c r="AM18" s="96" t="s">
        <v>3106</v>
      </c>
      <c r="AN18" s="96" t="s">
        <v>3107</v>
      </c>
      <c r="AO18" s="114" t="s">
        <v>3108</v>
      </c>
      <c r="AP18" s="144" t="s">
        <v>3109</v>
      </c>
      <c r="AQ18" s="141" t="str">
        <f t="shared" si="3"/>
        <v>798|694|</v>
      </c>
      <c r="AR18" s="113">
        <v>13</v>
      </c>
      <c r="AS18" s="11" t="s">
        <v>3110</v>
      </c>
      <c r="AT18" s="11" t="s">
        <v>3111</v>
      </c>
      <c r="AU18" s="11" t="s">
        <v>3112</v>
      </c>
      <c r="AV18" s="107" t="s">
        <v>3113</v>
      </c>
      <c r="AX18" s="107">
        <v>60</v>
      </c>
      <c r="AY18" s="96">
        <v>798</v>
      </c>
      <c r="AZ18" s="91">
        <v>665</v>
      </c>
      <c r="BA18" s="91">
        <f t="shared" si="4"/>
        <v>680</v>
      </c>
      <c r="BB18" s="91" t="str">
        <f t="shared" si="5"/>
        <v>798|680|</v>
      </c>
      <c r="BC18" s="91" t="s">
        <v>90</v>
      </c>
    </row>
    <row r="19" spans="1:55">
      <c r="A19" s="96">
        <f t="shared" si="0"/>
        <v>921002</v>
      </c>
      <c r="B19" s="96">
        <v>2</v>
      </c>
      <c r="C19" s="96" t="s">
        <v>3114</v>
      </c>
      <c r="D19" s="96">
        <v>2</v>
      </c>
      <c r="E19" s="110">
        <f t="shared" si="10"/>
        <v>1015</v>
      </c>
      <c r="F19" s="110">
        <v>1015</v>
      </c>
      <c r="G19" s="109" t="s">
        <v>3115</v>
      </c>
      <c r="H19" s="111" t="s">
        <v>3116</v>
      </c>
      <c r="I19" s="121" t="s">
        <v>3117</v>
      </c>
      <c r="J19" s="96" t="s">
        <v>3003</v>
      </c>
      <c r="K19" s="96">
        <f t="shared" si="1"/>
        <v>1</v>
      </c>
      <c r="L19" s="118">
        <v>400007</v>
      </c>
      <c r="M19" s="119">
        <v>120</v>
      </c>
      <c r="N19" s="119">
        <v>18000</v>
      </c>
      <c r="O19" s="122">
        <v>1800</v>
      </c>
      <c r="P19" s="64" t="s">
        <v>3004</v>
      </c>
      <c r="Q19" s="64" t="s">
        <v>3005</v>
      </c>
      <c r="R19" s="78">
        <f t="shared" si="6"/>
        <v>3</v>
      </c>
      <c r="S19" s="135">
        <v>4</v>
      </c>
      <c r="T19" s="78">
        <f t="shared" ref="T19:T29" si="11">T18</f>
        <v>2</v>
      </c>
      <c r="U19" s="78">
        <v>60</v>
      </c>
      <c r="V19" s="137">
        <v>48</v>
      </c>
      <c r="W19" s="78">
        <v>3531000</v>
      </c>
      <c r="X19" s="96"/>
      <c r="Y19" s="96">
        <v>5000</v>
      </c>
      <c r="Z19" s="96"/>
      <c r="AA19" s="96" t="s">
        <v>3118</v>
      </c>
      <c r="AB19" s="96" t="s">
        <v>3119</v>
      </c>
      <c r="AC19" s="96" t="s">
        <v>3120</v>
      </c>
      <c r="AD19" s="96">
        <v>0</v>
      </c>
      <c r="AE19" s="78"/>
      <c r="AF19" s="78">
        <v>220000</v>
      </c>
      <c r="AG19" s="78">
        <f t="shared" si="2"/>
        <v>2002</v>
      </c>
      <c r="AH19" s="78">
        <v>3</v>
      </c>
      <c r="AI19" s="78">
        <v>7</v>
      </c>
      <c r="AJ19" s="78">
        <v>10</v>
      </c>
      <c r="AK19" s="96"/>
      <c r="AL19" s="96">
        <v>2</v>
      </c>
      <c r="AM19" s="96" t="s">
        <v>3121</v>
      </c>
      <c r="AN19" s="96" t="s">
        <v>3122</v>
      </c>
      <c r="AO19" s="141" t="s">
        <v>3019</v>
      </c>
      <c r="AP19" s="144" t="s">
        <v>3123</v>
      </c>
      <c r="AQ19" s="141" t="str">
        <f t="shared" si="3"/>
        <v>1180|737|</v>
      </c>
      <c r="AR19" s="113"/>
      <c r="AS19" s="11" t="s">
        <v>3124</v>
      </c>
      <c r="AT19" s="11">
        <v>1026</v>
      </c>
      <c r="AU19" s="11" t="s">
        <v>3125</v>
      </c>
      <c r="AV19" s="107" t="s">
        <v>3114</v>
      </c>
      <c r="AX19" s="107">
        <v>20</v>
      </c>
      <c r="AY19" s="96">
        <v>1180</v>
      </c>
      <c r="AZ19" s="91">
        <v>708</v>
      </c>
      <c r="BA19" s="91">
        <f t="shared" si="4"/>
        <v>723</v>
      </c>
      <c r="BB19" s="91" t="str">
        <f t="shared" si="5"/>
        <v>1180|723|</v>
      </c>
      <c r="BC19" s="91" t="s">
        <v>90</v>
      </c>
    </row>
    <row r="20" spans="1:55">
      <c r="A20" s="96">
        <f t="shared" si="0"/>
        <v>921003</v>
      </c>
      <c r="B20" s="96">
        <v>3</v>
      </c>
      <c r="C20" s="96" t="s">
        <v>3126</v>
      </c>
      <c r="D20" s="96">
        <v>2</v>
      </c>
      <c r="E20" s="110">
        <f t="shared" si="10"/>
        <v>1016</v>
      </c>
      <c r="F20" s="110">
        <v>1016</v>
      </c>
      <c r="G20" s="109" t="s">
        <v>3127</v>
      </c>
      <c r="H20" s="111" t="s">
        <v>3128</v>
      </c>
      <c r="I20" s="117" t="s">
        <v>3129</v>
      </c>
      <c r="J20" s="96" t="s">
        <v>3003</v>
      </c>
      <c r="K20" s="96">
        <f t="shared" si="1"/>
        <v>1</v>
      </c>
      <c r="L20" s="118">
        <v>400007</v>
      </c>
      <c r="M20" s="119">
        <v>140</v>
      </c>
      <c r="N20" s="119">
        <v>28000</v>
      </c>
      <c r="O20" s="122">
        <v>2800</v>
      </c>
      <c r="P20" s="64" t="s">
        <v>3004</v>
      </c>
      <c r="Q20" s="64" t="s">
        <v>3005</v>
      </c>
      <c r="R20" s="78">
        <f t="shared" si="6"/>
        <v>3</v>
      </c>
      <c r="S20" s="135">
        <v>3</v>
      </c>
      <c r="T20" s="78">
        <f t="shared" si="11"/>
        <v>2</v>
      </c>
      <c r="U20" s="78">
        <v>110</v>
      </c>
      <c r="V20" s="137">
        <v>89</v>
      </c>
      <c r="W20" s="78">
        <v>21962000</v>
      </c>
      <c r="X20" s="96"/>
      <c r="Y20" s="96">
        <v>5000</v>
      </c>
      <c r="Z20" s="96"/>
      <c r="AA20" s="96" t="s">
        <v>3130</v>
      </c>
      <c r="AB20" s="96"/>
      <c r="AC20" s="96"/>
      <c r="AD20" s="96">
        <v>1</v>
      </c>
      <c r="AE20" s="78"/>
      <c r="AF20" s="78">
        <v>120000</v>
      </c>
      <c r="AG20" s="78">
        <f t="shared" si="2"/>
        <v>2005</v>
      </c>
      <c r="AH20" s="78">
        <v>6</v>
      </c>
      <c r="AI20" s="78">
        <v>7</v>
      </c>
      <c r="AJ20" s="78">
        <v>15</v>
      </c>
      <c r="AK20" s="96"/>
      <c r="AL20" s="96">
        <v>2</v>
      </c>
      <c r="AM20" s="96" t="s">
        <v>3131</v>
      </c>
      <c r="AN20" s="113" t="s">
        <v>3132</v>
      </c>
      <c r="AO20" s="141" t="s">
        <v>3035</v>
      </c>
      <c r="AP20" s="144" t="s">
        <v>3133</v>
      </c>
      <c r="AQ20" s="141" t="str">
        <f t="shared" si="3"/>
        <v>1000|600|</v>
      </c>
      <c r="AR20" s="113">
        <v>13</v>
      </c>
      <c r="AS20" s="11"/>
      <c r="AT20" s="11" t="s">
        <v>3134</v>
      </c>
      <c r="AU20" s="11" t="s">
        <v>3134</v>
      </c>
      <c r="AV20" s="107" t="s">
        <v>3126</v>
      </c>
      <c r="AX20" s="107">
        <v>40</v>
      </c>
      <c r="AY20" s="113">
        <v>1000</v>
      </c>
      <c r="AZ20" s="91">
        <v>571</v>
      </c>
      <c r="BA20" s="91">
        <f t="shared" si="4"/>
        <v>586</v>
      </c>
      <c r="BB20" s="91" t="str">
        <f t="shared" si="5"/>
        <v>1000|586|</v>
      </c>
      <c r="BC20" s="91" t="s">
        <v>90</v>
      </c>
    </row>
    <row r="21" spans="1:55">
      <c r="A21" s="96">
        <f t="shared" si="0"/>
        <v>921004</v>
      </c>
      <c r="B21" s="96">
        <v>4</v>
      </c>
      <c r="C21" s="96" t="s">
        <v>3135</v>
      </c>
      <c r="D21" s="96">
        <v>2</v>
      </c>
      <c r="E21" s="110">
        <f t="shared" si="10"/>
        <v>1017</v>
      </c>
      <c r="F21" s="110">
        <v>1017</v>
      </c>
      <c r="G21" s="109" t="s">
        <v>3135</v>
      </c>
      <c r="H21" s="111" t="s">
        <v>3136</v>
      </c>
      <c r="I21" s="117" t="s">
        <v>3137</v>
      </c>
      <c r="J21" s="96" t="s">
        <v>3003</v>
      </c>
      <c r="K21" s="96">
        <f t="shared" si="1"/>
        <v>1</v>
      </c>
      <c r="L21" s="118">
        <v>400007</v>
      </c>
      <c r="M21" s="119">
        <v>160</v>
      </c>
      <c r="N21" s="119">
        <v>40000</v>
      </c>
      <c r="O21" s="122">
        <v>4000</v>
      </c>
      <c r="P21" s="64" t="s">
        <v>3004</v>
      </c>
      <c r="Q21" s="64" t="s">
        <v>3005</v>
      </c>
      <c r="R21" s="78">
        <f t="shared" si="6"/>
        <v>3</v>
      </c>
      <c r="S21" s="135">
        <v>3</v>
      </c>
      <c r="T21" s="78">
        <f t="shared" si="11"/>
        <v>2</v>
      </c>
      <c r="U21" s="78">
        <v>170</v>
      </c>
      <c r="V21" s="137">
        <v>127</v>
      </c>
      <c r="W21" s="78">
        <v>44897000</v>
      </c>
      <c r="X21" s="96"/>
      <c r="Y21" s="96">
        <v>5000</v>
      </c>
      <c r="Z21" s="96"/>
      <c r="AA21" s="96" t="s">
        <v>3105</v>
      </c>
      <c r="AB21" s="96"/>
      <c r="AC21" s="96"/>
      <c r="AD21" s="96">
        <v>1</v>
      </c>
      <c r="AE21" s="78"/>
      <c r="AF21" s="78">
        <v>420000</v>
      </c>
      <c r="AG21" s="78">
        <f t="shared" si="2"/>
        <v>2007</v>
      </c>
      <c r="AH21" s="78">
        <v>8</v>
      </c>
      <c r="AI21" s="78">
        <v>9</v>
      </c>
      <c r="AJ21" s="78">
        <v>20</v>
      </c>
      <c r="AK21" s="96"/>
      <c r="AL21" s="96">
        <v>1</v>
      </c>
      <c r="AM21" s="96" t="s">
        <v>3106</v>
      </c>
      <c r="AN21" s="96" t="s">
        <v>3107</v>
      </c>
      <c r="AO21" s="141" t="s">
        <v>3138</v>
      </c>
      <c r="AP21" s="144" t="s">
        <v>3109</v>
      </c>
      <c r="AQ21" s="141" t="str">
        <f t="shared" si="3"/>
        <v>798|694|</v>
      </c>
      <c r="AR21" s="113"/>
      <c r="AS21" s="11" t="s">
        <v>3139</v>
      </c>
      <c r="AT21" s="11" t="s">
        <v>3140</v>
      </c>
      <c r="AU21" s="11" t="s">
        <v>3141</v>
      </c>
      <c r="AV21" s="107" t="s">
        <v>3142</v>
      </c>
      <c r="AX21" s="107">
        <v>100</v>
      </c>
      <c r="AY21" s="96">
        <v>798</v>
      </c>
      <c r="AZ21" s="91">
        <v>665</v>
      </c>
      <c r="BA21" s="91">
        <f t="shared" si="4"/>
        <v>680</v>
      </c>
      <c r="BB21" s="91" t="str">
        <f t="shared" si="5"/>
        <v>798|680|</v>
      </c>
      <c r="BC21" s="91" t="s">
        <v>90</v>
      </c>
    </row>
    <row r="22" spans="1:55">
      <c r="A22" s="96">
        <f t="shared" si="0"/>
        <v>922005</v>
      </c>
      <c r="B22" s="96">
        <v>5</v>
      </c>
      <c r="C22" s="96" t="s">
        <v>3143</v>
      </c>
      <c r="D22" s="96">
        <v>2</v>
      </c>
      <c r="E22" s="109">
        <v>1020</v>
      </c>
      <c r="F22" s="109">
        <v>1020</v>
      </c>
      <c r="G22" s="109" t="s">
        <v>3144</v>
      </c>
      <c r="H22" s="111" t="s">
        <v>3145</v>
      </c>
      <c r="I22" s="91" t="s">
        <v>3146</v>
      </c>
      <c r="J22" s="96" t="s">
        <v>3003</v>
      </c>
      <c r="K22" s="96">
        <f t="shared" si="1"/>
        <v>2</v>
      </c>
      <c r="L22" s="118">
        <v>400008</v>
      </c>
      <c r="M22" s="119">
        <v>100</v>
      </c>
      <c r="N22" s="119">
        <v>10000</v>
      </c>
      <c r="O22" s="120">
        <v>1000</v>
      </c>
      <c r="P22" s="64" t="s">
        <v>3004</v>
      </c>
      <c r="Q22" s="64" t="s">
        <v>3005</v>
      </c>
      <c r="R22" s="78">
        <f t="shared" si="6"/>
        <v>3</v>
      </c>
      <c r="S22" s="136">
        <f t="shared" ref="S22:S37" si="12">S18</f>
        <v>4</v>
      </c>
      <c r="T22" s="78">
        <f t="shared" si="11"/>
        <v>2</v>
      </c>
      <c r="U22" s="78">
        <v>30</v>
      </c>
      <c r="V22" s="136">
        <f t="shared" ref="V22:V37" si="13">V18</f>
        <v>29</v>
      </c>
      <c r="W22" s="78">
        <v>195000</v>
      </c>
      <c r="X22" s="96"/>
      <c r="Y22" s="96">
        <v>5000</v>
      </c>
      <c r="Z22" s="96"/>
      <c r="AA22" s="96" t="s">
        <v>3147</v>
      </c>
      <c r="AB22" s="96" t="s">
        <v>3044</v>
      </c>
      <c r="AC22" s="96" t="s">
        <v>3045</v>
      </c>
      <c r="AD22" s="96">
        <v>0</v>
      </c>
      <c r="AE22" s="78">
        <f t="shared" ref="AE22:AE26" si="14">AF22+AI22+1</f>
        <v>520002</v>
      </c>
      <c r="AF22" s="78">
        <v>520000</v>
      </c>
      <c r="AG22" s="78">
        <f t="shared" si="2"/>
        <v>2002</v>
      </c>
      <c r="AH22" s="78">
        <v>3</v>
      </c>
      <c r="AI22" s="78">
        <v>1</v>
      </c>
      <c r="AJ22" s="78">
        <v>5</v>
      </c>
      <c r="AK22" s="96"/>
      <c r="AL22" s="96">
        <v>2</v>
      </c>
      <c r="AM22" s="96" t="s">
        <v>3148</v>
      </c>
      <c r="AN22" s="96" t="s">
        <v>3149</v>
      </c>
      <c r="AO22" s="141" t="s">
        <v>3150</v>
      </c>
      <c r="AP22" s="144" t="s">
        <v>3151</v>
      </c>
      <c r="AQ22" s="141" t="str">
        <f t="shared" si="3"/>
        <v>413|389|</v>
      </c>
      <c r="AR22" s="113"/>
      <c r="AU22" s="11" t="s">
        <v>3152</v>
      </c>
      <c r="AV22" s="107" t="s">
        <v>3143</v>
      </c>
      <c r="AX22" s="107">
        <v>40</v>
      </c>
      <c r="AY22" s="96">
        <v>413</v>
      </c>
      <c r="AZ22" s="91">
        <v>360</v>
      </c>
      <c r="BA22" s="91">
        <f t="shared" si="4"/>
        <v>375</v>
      </c>
      <c r="BB22" s="91" t="str">
        <f t="shared" si="5"/>
        <v>413|375|</v>
      </c>
      <c r="BC22" s="91" t="s">
        <v>90</v>
      </c>
    </row>
    <row r="23" spans="1:55">
      <c r="A23" s="96">
        <f t="shared" si="0"/>
        <v>922006</v>
      </c>
      <c r="B23" s="96">
        <v>6</v>
      </c>
      <c r="C23" s="96" t="s">
        <v>3153</v>
      </c>
      <c r="D23" s="96">
        <v>2</v>
      </c>
      <c r="E23" s="109">
        <v>1020</v>
      </c>
      <c r="F23" s="109">
        <v>1020</v>
      </c>
      <c r="G23" s="109" t="s">
        <v>3154</v>
      </c>
      <c r="H23" s="111" t="s">
        <v>3155</v>
      </c>
      <c r="I23" s="117" t="s">
        <v>3156</v>
      </c>
      <c r="J23" s="96" t="s">
        <v>3003</v>
      </c>
      <c r="K23" s="96">
        <f t="shared" si="1"/>
        <v>2</v>
      </c>
      <c r="L23" s="118">
        <v>400008</v>
      </c>
      <c r="M23" s="119">
        <v>120</v>
      </c>
      <c r="N23" s="119">
        <v>18000</v>
      </c>
      <c r="O23" s="122">
        <v>1800</v>
      </c>
      <c r="P23" s="64" t="s">
        <v>3004</v>
      </c>
      <c r="Q23" s="64" t="s">
        <v>3005</v>
      </c>
      <c r="R23" s="78">
        <f t="shared" si="6"/>
        <v>3</v>
      </c>
      <c r="S23" s="136">
        <f t="shared" si="12"/>
        <v>4</v>
      </c>
      <c r="T23" s="78">
        <f t="shared" si="11"/>
        <v>2</v>
      </c>
      <c r="U23" s="78">
        <v>60</v>
      </c>
      <c r="V23" s="136">
        <f t="shared" si="13"/>
        <v>48</v>
      </c>
      <c r="W23" s="78">
        <v>3531000</v>
      </c>
      <c r="X23" s="96"/>
      <c r="Y23" s="96">
        <v>5000</v>
      </c>
      <c r="Z23" s="96"/>
      <c r="AA23" s="96" t="s">
        <v>3147</v>
      </c>
      <c r="AB23" s="96" t="s">
        <v>3044</v>
      </c>
      <c r="AC23" s="96" t="s">
        <v>3045</v>
      </c>
      <c r="AD23" s="96">
        <v>0</v>
      </c>
      <c r="AE23" s="78">
        <f t="shared" si="14"/>
        <v>520004</v>
      </c>
      <c r="AF23" s="78">
        <v>520000</v>
      </c>
      <c r="AG23" s="78">
        <f t="shared" si="2"/>
        <v>2004</v>
      </c>
      <c r="AH23" s="78">
        <v>5</v>
      </c>
      <c r="AI23" s="78">
        <v>3</v>
      </c>
      <c r="AJ23" s="78">
        <v>10</v>
      </c>
      <c r="AK23" s="96"/>
      <c r="AL23" s="96">
        <v>2</v>
      </c>
      <c r="AM23" s="96" t="s">
        <v>3148</v>
      </c>
      <c r="AN23" s="96" t="s">
        <v>3149</v>
      </c>
      <c r="AO23" s="141" t="s">
        <v>3157</v>
      </c>
      <c r="AP23" s="144" t="s">
        <v>3151</v>
      </c>
      <c r="AQ23" s="141" t="str">
        <f t="shared" si="3"/>
        <v>413|389|</v>
      </c>
      <c r="AR23" s="113"/>
      <c r="AS23" s="91" t="str">
        <f t="shared" ref="AS23:AS26" si="15">AO6&amp;$AU$22</f>
        <v>shenzhang.ani|3;.ani</v>
      </c>
      <c r="AV23" s="107" t="s">
        <v>3153</v>
      </c>
      <c r="AX23" s="107">
        <v>60</v>
      </c>
      <c r="AY23" s="96">
        <v>413</v>
      </c>
      <c r="AZ23" s="91">
        <v>360</v>
      </c>
      <c r="BA23" s="91">
        <f t="shared" si="4"/>
        <v>375</v>
      </c>
      <c r="BB23" s="91" t="str">
        <f t="shared" si="5"/>
        <v>413|375|</v>
      </c>
      <c r="BC23" s="91" t="s">
        <v>90</v>
      </c>
    </row>
    <row r="24" spans="1:55">
      <c r="A24" s="96">
        <f t="shared" si="0"/>
        <v>922007</v>
      </c>
      <c r="B24" s="96">
        <v>7</v>
      </c>
      <c r="C24" s="96" t="s">
        <v>3158</v>
      </c>
      <c r="D24" s="96">
        <v>2</v>
      </c>
      <c r="E24" s="109">
        <v>1020</v>
      </c>
      <c r="F24" s="109">
        <v>1020</v>
      </c>
      <c r="G24" s="109" t="s">
        <v>3159</v>
      </c>
      <c r="H24" s="111" t="s">
        <v>3160</v>
      </c>
      <c r="I24" s="91" t="s">
        <v>3161</v>
      </c>
      <c r="J24" s="96" t="s">
        <v>3003</v>
      </c>
      <c r="K24" s="96">
        <f t="shared" si="1"/>
        <v>2</v>
      </c>
      <c r="L24" s="118">
        <v>400008</v>
      </c>
      <c r="M24" s="119">
        <v>140</v>
      </c>
      <c r="N24" s="119">
        <v>28000</v>
      </c>
      <c r="O24" s="122">
        <v>2800</v>
      </c>
      <c r="P24" s="64" t="s">
        <v>3004</v>
      </c>
      <c r="Q24" s="64" t="s">
        <v>3005</v>
      </c>
      <c r="R24" s="78">
        <f t="shared" si="6"/>
        <v>3</v>
      </c>
      <c r="S24" s="136">
        <f t="shared" si="12"/>
        <v>3</v>
      </c>
      <c r="T24" s="78">
        <f t="shared" si="11"/>
        <v>2</v>
      </c>
      <c r="U24" s="78">
        <v>110</v>
      </c>
      <c r="V24" s="136">
        <f t="shared" si="13"/>
        <v>89</v>
      </c>
      <c r="W24" s="78">
        <v>21962000</v>
      </c>
      <c r="X24" s="96"/>
      <c r="Y24" s="96">
        <v>5000</v>
      </c>
      <c r="Z24" s="96"/>
      <c r="AA24" s="96" t="s">
        <v>3147</v>
      </c>
      <c r="AB24" s="96" t="s">
        <v>3044</v>
      </c>
      <c r="AC24" s="96" t="s">
        <v>3045</v>
      </c>
      <c r="AD24" s="96">
        <v>0</v>
      </c>
      <c r="AE24" s="78">
        <f t="shared" si="14"/>
        <v>520006</v>
      </c>
      <c r="AF24" s="78">
        <v>520000</v>
      </c>
      <c r="AG24" s="78">
        <f t="shared" si="2"/>
        <v>2007</v>
      </c>
      <c r="AH24" s="78">
        <v>8</v>
      </c>
      <c r="AI24" s="78">
        <v>5</v>
      </c>
      <c r="AJ24" s="78">
        <v>15</v>
      </c>
      <c r="AK24" s="96"/>
      <c r="AL24" s="96">
        <v>2</v>
      </c>
      <c r="AM24" s="96" t="s">
        <v>3148</v>
      </c>
      <c r="AN24" s="96" t="s">
        <v>3149</v>
      </c>
      <c r="AO24" s="141" t="s">
        <v>3162</v>
      </c>
      <c r="AP24" s="144" t="s">
        <v>3151</v>
      </c>
      <c r="AQ24" s="141" t="str">
        <f t="shared" si="3"/>
        <v>413|389|</v>
      </c>
      <c r="AR24" s="113"/>
      <c r="AS24" s="91" t="str">
        <f t="shared" si="15"/>
        <v>juzhong.ani|3;.ani</v>
      </c>
      <c r="AV24" s="107" t="s">
        <v>3158</v>
      </c>
      <c r="AX24" s="107">
        <v>100</v>
      </c>
      <c r="AY24" s="96">
        <v>413</v>
      </c>
      <c r="AZ24" s="91">
        <v>360</v>
      </c>
      <c r="BA24" s="91">
        <f t="shared" si="4"/>
        <v>375</v>
      </c>
      <c r="BB24" s="91" t="str">
        <f t="shared" si="5"/>
        <v>413|375|</v>
      </c>
      <c r="BC24" s="91" t="s">
        <v>90</v>
      </c>
    </row>
    <row r="25" ht="27.75" spans="1:55">
      <c r="A25" s="96">
        <f t="shared" si="0"/>
        <v>922008</v>
      </c>
      <c r="B25" s="96">
        <v>8</v>
      </c>
      <c r="C25" s="96" t="s">
        <v>3163</v>
      </c>
      <c r="D25" s="96">
        <v>2</v>
      </c>
      <c r="E25" s="109">
        <v>1020</v>
      </c>
      <c r="F25" s="109">
        <v>1020</v>
      </c>
      <c r="G25" s="109" t="s">
        <v>3164</v>
      </c>
      <c r="H25" s="111" t="s">
        <v>3165</v>
      </c>
      <c r="I25" s="117" t="s">
        <v>3166</v>
      </c>
      <c r="J25" s="96" t="s">
        <v>3003</v>
      </c>
      <c r="K25" s="96">
        <f t="shared" si="1"/>
        <v>2</v>
      </c>
      <c r="L25" s="118">
        <v>400008</v>
      </c>
      <c r="M25" s="119">
        <v>160</v>
      </c>
      <c r="N25" s="119">
        <v>40000</v>
      </c>
      <c r="O25" s="122">
        <v>4000</v>
      </c>
      <c r="P25" s="64" t="s">
        <v>3004</v>
      </c>
      <c r="Q25" s="64" t="s">
        <v>3005</v>
      </c>
      <c r="R25" s="78">
        <f t="shared" si="6"/>
        <v>3</v>
      </c>
      <c r="S25" s="136">
        <f t="shared" si="12"/>
        <v>3</v>
      </c>
      <c r="T25" s="78">
        <f t="shared" si="11"/>
        <v>2</v>
      </c>
      <c r="U25" s="78">
        <v>170</v>
      </c>
      <c r="V25" s="136">
        <f t="shared" si="13"/>
        <v>127</v>
      </c>
      <c r="W25" s="78">
        <v>44897000</v>
      </c>
      <c r="X25" s="96"/>
      <c r="Y25" s="96">
        <v>5000</v>
      </c>
      <c r="Z25" s="96"/>
      <c r="AA25" s="96" t="s">
        <v>3147</v>
      </c>
      <c r="AB25" s="96" t="s">
        <v>3044</v>
      </c>
      <c r="AC25" s="96" t="s">
        <v>3045</v>
      </c>
      <c r="AD25" s="96">
        <v>0</v>
      </c>
      <c r="AE25" s="78">
        <f t="shared" si="14"/>
        <v>520010</v>
      </c>
      <c r="AF25" s="78">
        <v>520000</v>
      </c>
      <c r="AG25" s="78">
        <f t="shared" si="2"/>
        <v>2009</v>
      </c>
      <c r="AH25" s="78">
        <v>10</v>
      </c>
      <c r="AI25" s="78">
        <v>9</v>
      </c>
      <c r="AJ25" s="78">
        <v>20</v>
      </c>
      <c r="AK25" s="96"/>
      <c r="AL25" s="96">
        <v>2</v>
      </c>
      <c r="AM25" s="96" t="s">
        <v>3148</v>
      </c>
      <c r="AN25" s="96" t="s">
        <v>3149</v>
      </c>
      <c r="AO25" s="141" t="s">
        <v>3167</v>
      </c>
      <c r="AP25" s="144" t="s">
        <v>3151</v>
      </c>
      <c r="AQ25" s="141" t="str">
        <f t="shared" si="3"/>
        <v>413|389|</v>
      </c>
      <c r="AR25" s="113"/>
      <c r="AV25" s="107" t="s">
        <v>3163</v>
      </c>
      <c r="AX25" s="107">
        <v>20</v>
      </c>
      <c r="AY25" s="96">
        <v>413</v>
      </c>
      <c r="AZ25" s="91">
        <v>360</v>
      </c>
      <c r="BA25" s="91">
        <f t="shared" si="4"/>
        <v>375</v>
      </c>
      <c r="BB25" s="91" t="str">
        <f t="shared" si="5"/>
        <v>413|375|</v>
      </c>
      <c r="BC25" s="91" t="s">
        <v>90</v>
      </c>
    </row>
    <row r="26" spans="1:55">
      <c r="A26" s="96">
        <f t="shared" si="0"/>
        <v>923009</v>
      </c>
      <c r="B26" s="96">
        <v>9</v>
      </c>
      <c r="C26" s="96" t="s">
        <v>3168</v>
      </c>
      <c r="D26" s="96">
        <v>2</v>
      </c>
      <c r="E26" s="110">
        <f t="shared" ref="E26:E31" si="16">F26</f>
        <v>1010</v>
      </c>
      <c r="F26" s="110">
        <v>1010</v>
      </c>
      <c r="G26" s="109" t="s">
        <v>3169</v>
      </c>
      <c r="H26" s="111" t="s">
        <v>3170</v>
      </c>
      <c r="I26" s="117" t="s">
        <v>3171</v>
      </c>
      <c r="J26" s="96" t="s">
        <v>3003</v>
      </c>
      <c r="K26" s="96">
        <f t="shared" si="1"/>
        <v>3</v>
      </c>
      <c r="L26" s="118">
        <v>400009</v>
      </c>
      <c r="M26" s="119">
        <v>100</v>
      </c>
      <c r="N26" s="119">
        <v>10000</v>
      </c>
      <c r="O26" s="120">
        <v>1000</v>
      </c>
      <c r="P26" s="64" t="s">
        <v>3004</v>
      </c>
      <c r="Q26" s="64" t="s">
        <v>3005</v>
      </c>
      <c r="R26" s="78">
        <f t="shared" si="6"/>
        <v>3</v>
      </c>
      <c r="S26" s="136">
        <f t="shared" si="12"/>
        <v>4</v>
      </c>
      <c r="T26" s="78">
        <f t="shared" si="11"/>
        <v>2</v>
      </c>
      <c r="U26" s="78">
        <v>30</v>
      </c>
      <c r="V26" s="136">
        <f t="shared" si="13"/>
        <v>29</v>
      </c>
      <c r="W26" s="78">
        <v>195000</v>
      </c>
      <c r="X26" s="96"/>
      <c r="Y26" s="96">
        <v>5000</v>
      </c>
      <c r="Z26" s="96"/>
      <c r="AA26" s="96" t="s">
        <v>3089</v>
      </c>
      <c r="AB26" s="96" t="s">
        <v>3067</v>
      </c>
      <c r="AC26" s="96" t="s">
        <v>3068</v>
      </c>
      <c r="AD26" s="96">
        <v>0</v>
      </c>
      <c r="AE26" s="78">
        <f t="shared" si="14"/>
        <v>120004</v>
      </c>
      <c r="AF26" s="78">
        <v>120000</v>
      </c>
      <c r="AG26" s="78">
        <f t="shared" si="2"/>
        <v>2001</v>
      </c>
      <c r="AH26" s="78">
        <v>2</v>
      </c>
      <c r="AI26" s="78">
        <v>3</v>
      </c>
      <c r="AJ26" s="78">
        <v>5</v>
      </c>
      <c r="AK26" s="96"/>
      <c r="AL26" s="96">
        <v>2</v>
      </c>
      <c r="AM26" s="96" t="s">
        <v>3172</v>
      </c>
      <c r="AN26" s="96" t="s">
        <v>3173</v>
      </c>
      <c r="AO26" s="141" t="s">
        <v>3071</v>
      </c>
      <c r="AP26" s="144" t="s">
        <v>3174</v>
      </c>
      <c r="AQ26" s="141" t="str">
        <f t="shared" si="3"/>
        <v>620|552|</v>
      </c>
      <c r="AR26" s="113"/>
      <c r="AS26" s="91" t="str">
        <f t="shared" si="15"/>
        <v>picai.ani|3;.ani</v>
      </c>
      <c r="AV26" s="107" t="s">
        <v>3175</v>
      </c>
      <c r="AX26" s="107">
        <v>40</v>
      </c>
      <c r="AY26" s="96">
        <v>620</v>
      </c>
      <c r="AZ26" s="91">
        <v>523</v>
      </c>
      <c r="BA26" s="91">
        <f t="shared" si="4"/>
        <v>538</v>
      </c>
      <c r="BB26" s="91" t="str">
        <f t="shared" si="5"/>
        <v>620|538|</v>
      </c>
      <c r="BC26" s="91" t="s">
        <v>90</v>
      </c>
    </row>
    <row r="27" spans="1:55">
      <c r="A27" s="96">
        <f t="shared" si="0"/>
        <v>923010</v>
      </c>
      <c r="B27" s="96">
        <v>10</v>
      </c>
      <c r="C27" s="96" t="s">
        <v>3176</v>
      </c>
      <c r="D27" s="96">
        <v>2</v>
      </c>
      <c r="E27" s="110">
        <f t="shared" si="16"/>
        <v>1007</v>
      </c>
      <c r="F27" s="110">
        <v>1007</v>
      </c>
      <c r="G27" s="109" t="s">
        <v>3177</v>
      </c>
      <c r="H27" s="111" t="s">
        <v>3178</v>
      </c>
      <c r="I27" s="123" t="s">
        <v>3179</v>
      </c>
      <c r="J27" s="96" t="s">
        <v>3003</v>
      </c>
      <c r="K27" s="96">
        <f t="shared" si="1"/>
        <v>3</v>
      </c>
      <c r="L27" s="118">
        <v>400009</v>
      </c>
      <c r="M27" s="119">
        <v>120</v>
      </c>
      <c r="N27" s="119">
        <v>18000</v>
      </c>
      <c r="O27" s="122">
        <v>1800</v>
      </c>
      <c r="P27" s="64" t="s">
        <v>3004</v>
      </c>
      <c r="Q27" s="64" t="s">
        <v>3005</v>
      </c>
      <c r="R27" s="78">
        <f t="shared" si="6"/>
        <v>3</v>
      </c>
      <c r="S27" s="136">
        <f t="shared" si="12"/>
        <v>4</v>
      </c>
      <c r="T27" s="78">
        <f t="shared" si="11"/>
        <v>2</v>
      </c>
      <c r="U27" s="78">
        <v>60</v>
      </c>
      <c r="V27" s="136">
        <f t="shared" si="13"/>
        <v>48</v>
      </c>
      <c r="W27" s="78">
        <v>3531000</v>
      </c>
      <c r="X27" s="96"/>
      <c r="Y27" s="96">
        <v>5000</v>
      </c>
      <c r="Z27" s="96"/>
      <c r="AA27" s="96" t="s">
        <v>3077</v>
      </c>
      <c r="AB27" s="96"/>
      <c r="AC27" s="96"/>
      <c r="AD27" s="96">
        <v>1</v>
      </c>
      <c r="AE27" s="78"/>
      <c r="AF27" s="78">
        <v>520000</v>
      </c>
      <c r="AG27" s="78">
        <f t="shared" si="2"/>
        <v>2003</v>
      </c>
      <c r="AH27" s="78">
        <v>4</v>
      </c>
      <c r="AI27" s="78">
        <v>5</v>
      </c>
      <c r="AJ27" s="78">
        <v>10</v>
      </c>
      <c r="AK27" s="96"/>
      <c r="AL27" s="96">
        <v>2</v>
      </c>
      <c r="AM27" s="96" t="s">
        <v>3180</v>
      </c>
      <c r="AN27" s="96" t="s">
        <v>3181</v>
      </c>
      <c r="AO27" s="141" t="s">
        <v>3080</v>
      </c>
      <c r="AP27" s="144" t="s">
        <v>3182</v>
      </c>
      <c r="AQ27" s="141" t="str">
        <f t="shared" si="3"/>
        <v>280|937|</v>
      </c>
      <c r="AR27" s="113">
        <v>50</v>
      </c>
      <c r="AS27" s="91" t="str">
        <f>AO13&amp;$AU$22</f>
        <v>dushu.ani|3;.ani</v>
      </c>
      <c r="AV27" s="107" t="s">
        <v>3176</v>
      </c>
      <c r="AX27" s="107">
        <v>100</v>
      </c>
      <c r="AY27" s="96">
        <v>280</v>
      </c>
      <c r="AZ27" s="91">
        <v>908</v>
      </c>
      <c r="BA27" s="91">
        <f t="shared" si="4"/>
        <v>923</v>
      </c>
      <c r="BB27" s="91" t="str">
        <f t="shared" si="5"/>
        <v>280|923|</v>
      </c>
      <c r="BC27" s="91" t="s">
        <v>90</v>
      </c>
    </row>
    <row r="28" spans="1:55">
      <c r="A28" s="96">
        <f t="shared" si="0"/>
        <v>923011</v>
      </c>
      <c r="B28" s="96">
        <v>11</v>
      </c>
      <c r="C28" s="96" t="s">
        <v>3183</v>
      </c>
      <c r="D28" s="96">
        <v>2</v>
      </c>
      <c r="E28" s="109">
        <v>1006</v>
      </c>
      <c r="F28" s="109">
        <v>1006</v>
      </c>
      <c r="G28" s="109" t="s">
        <v>3184</v>
      </c>
      <c r="H28" s="111" t="s">
        <v>3185</v>
      </c>
      <c r="I28" s="117" t="s">
        <v>3186</v>
      </c>
      <c r="J28" s="96" t="s">
        <v>3003</v>
      </c>
      <c r="K28" s="96">
        <f t="shared" si="1"/>
        <v>3</v>
      </c>
      <c r="L28" s="118">
        <v>400009</v>
      </c>
      <c r="M28" s="119">
        <v>140</v>
      </c>
      <c r="N28" s="119">
        <v>28000</v>
      </c>
      <c r="O28" s="122">
        <v>2800</v>
      </c>
      <c r="P28" s="64" t="s">
        <v>3004</v>
      </c>
      <c r="Q28" s="64" t="s">
        <v>3005</v>
      </c>
      <c r="R28" s="78">
        <f t="shared" si="6"/>
        <v>3</v>
      </c>
      <c r="S28" s="136">
        <f t="shared" si="12"/>
        <v>3</v>
      </c>
      <c r="T28" s="78">
        <f t="shared" si="11"/>
        <v>2</v>
      </c>
      <c r="U28" s="78">
        <v>110</v>
      </c>
      <c r="V28" s="136">
        <f t="shared" si="13"/>
        <v>89</v>
      </c>
      <c r="W28" s="78">
        <v>21962000</v>
      </c>
      <c r="X28" s="96"/>
      <c r="Y28" s="96">
        <v>5000</v>
      </c>
      <c r="Z28" s="96"/>
      <c r="AA28" s="96" t="s">
        <v>3066</v>
      </c>
      <c r="AB28" s="96" t="s">
        <v>3067</v>
      </c>
      <c r="AC28" s="96" t="s">
        <v>3068</v>
      </c>
      <c r="AD28" s="96">
        <v>0</v>
      </c>
      <c r="AE28" s="78">
        <f>AF28+AI28+1</f>
        <v>120008</v>
      </c>
      <c r="AF28" s="78">
        <v>120000</v>
      </c>
      <c r="AG28" s="78">
        <f t="shared" si="2"/>
        <v>2006</v>
      </c>
      <c r="AH28" s="78">
        <v>7</v>
      </c>
      <c r="AI28" s="78">
        <v>7</v>
      </c>
      <c r="AJ28" s="78">
        <v>15</v>
      </c>
      <c r="AK28" s="96"/>
      <c r="AL28" s="96">
        <v>2</v>
      </c>
      <c r="AM28" s="96" t="s">
        <v>3172</v>
      </c>
      <c r="AN28" s="96" t="s">
        <v>3173</v>
      </c>
      <c r="AO28" s="141" t="s">
        <v>3071</v>
      </c>
      <c r="AP28" s="144" t="s">
        <v>3187</v>
      </c>
      <c r="AQ28" s="141" t="str">
        <f t="shared" si="3"/>
        <v>620|552|</v>
      </c>
      <c r="AR28" s="113"/>
      <c r="AS28" s="91" t="str">
        <f>AO8&amp;$AU$22</f>
        <v>daquan.ani|3;daquan_sj.ani|2;.ani</v>
      </c>
      <c r="AV28" s="107" t="s">
        <v>3188</v>
      </c>
      <c r="AX28" s="107">
        <v>20</v>
      </c>
      <c r="AY28" s="96">
        <v>620</v>
      </c>
      <c r="AZ28" s="91">
        <v>523</v>
      </c>
      <c r="BA28" s="91">
        <f t="shared" si="4"/>
        <v>538</v>
      </c>
      <c r="BB28" s="91" t="str">
        <f t="shared" si="5"/>
        <v>620|538|</v>
      </c>
      <c r="BC28" s="91" t="s">
        <v>90</v>
      </c>
    </row>
    <row r="29" spans="1:55">
      <c r="A29" s="96">
        <f t="shared" si="0"/>
        <v>923012</v>
      </c>
      <c r="B29" s="96">
        <v>12</v>
      </c>
      <c r="C29" s="96" t="s">
        <v>3189</v>
      </c>
      <c r="D29" s="96">
        <v>2</v>
      </c>
      <c r="E29" s="110">
        <v>1011</v>
      </c>
      <c r="F29" s="110">
        <v>1011</v>
      </c>
      <c r="G29" s="109" t="s">
        <v>3190</v>
      </c>
      <c r="H29" s="111" t="s">
        <v>3191</v>
      </c>
      <c r="I29" s="117" t="s">
        <v>3192</v>
      </c>
      <c r="J29" s="96" t="s">
        <v>3003</v>
      </c>
      <c r="K29" s="96">
        <f t="shared" si="1"/>
        <v>3</v>
      </c>
      <c r="L29" s="118">
        <v>400009</v>
      </c>
      <c r="M29" s="119">
        <v>160</v>
      </c>
      <c r="N29" s="119">
        <v>40000</v>
      </c>
      <c r="O29" s="122">
        <v>4000</v>
      </c>
      <c r="P29" s="64" t="s">
        <v>3004</v>
      </c>
      <c r="Q29" s="64" t="s">
        <v>3005</v>
      </c>
      <c r="R29" s="78">
        <f t="shared" si="6"/>
        <v>3</v>
      </c>
      <c r="S29" s="136">
        <f t="shared" si="12"/>
        <v>3</v>
      </c>
      <c r="T29" s="78">
        <f t="shared" si="11"/>
        <v>2</v>
      </c>
      <c r="U29" s="78">
        <v>170</v>
      </c>
      <c r="V29" s="136">
        <f t="shared" si="13"/>
        <v>127</v>
      </c>
      <c r="W29" s="78">
        <v>44897000</v>
      </c>
      <c r="X29" s="96"/>
      <c r="Y29" s="96">
        <v>5000</v>
      </c>
      <c r="Z29" s="96"/>
      <c r="AA29" s="96" t="s">
        <v>3096</v>
      </c>
      <c r="AB29" s="96"/>
      <c r="AC29" s="96"/>
      <c r="AD29" s="96">
        <v>1</v>
      </c>
      <c r="AE29" s="78"/>
      <c r="AF29" s="78">
        <v>320000</v>
      </c>
      <c r="AG29" s="78">
        <f t="shared" si="2"/>
        <v>2008</v>
      </c>
      <c r="AH29" s="78">
        <v>9</v>
      </c>
      <c r="AI29" s="78">
        <v>7</v>
      </c>
      <c r="AJ29" s="78">
        <v>20</v>
      </c>
      <c r="AK29" s="96"/>
      <c r="AL29" s="96">
        <v>2</v>
      </c>
      <c r="AM29" s="96" t="s">
        <v>3193</v>
      </c>
      <c r="AN29" s="96" t="s">
        <v>3194</v>
      </c>
      <c r="AO29" s="141" t="s">
        <v>3157</v>
      </c>
      <c r="AP29" s="144" t="s">
        <v>3195</v>
      </c>
      <c r="AQ29" s="141" t="str">
        <f t="shared" si="3"/>
        <v>978|405|</v>
      </c>
      <c r="AR29" s="113"/>
      <c r="AS29" s="91" t="str">
        <f>AO10&amp;$AU$22</f>
        <v>dushu.ani|3;.ani</v>
      </c>
      <c r="AV29" s="107" t="s">
        <v>3189</v>
      </c>
      <c r="AX29" s="107">
        <v>60</v>
      </c>
      <c r="AY29" s="96">
        <v>978</v>
      </c>
      <c r="AZ29" s="91">
        <v>376</v>
      </c>
      <c r="BA29" s="91">
        <f t="shared" si="4"/>
        <v>391</v>
      </c>
      <c r="BB29" s="91" t="str">
        <f t="shared" si="5"/>
        <v>978|391|</v>
      </c>
      <c r="BC29" s="91" t="s">
        <v>90</v>
      </c>
    </row>
    <row r="30" spans="1:55">
      <c r="A30" s="96">
        <f t="shared" si="0"/>
        <v>924013</v>
      </c>
      <c r="B30" s="96">
        <v>13</v>
      </c>
      <c r="C30" s="112" t="s">
        <v>3196</v>
      </c>
      <c r="D30" s="96">
        <v>2</v>
      </c>
      <c r="E30" s="110">
        <v>1019</v>
      </c>
      <c r="F30" s="110">
        <v>1019</v>
      </c>
      <c r="G30" s="109" t="s">
        <v>3196</v>
      </c>
      <c r="H30" s="111" t="s">
        <v>3197</v>
      </c>
      <c r="I30" s="117" t="s">
        <v>3198</v>
      </c>
      <c r="J30" s="96" t="s">
        <v>3003</v>
      </c>
      <c r="K30" s="96">
        <f t="shared" si="1"/>
        <v>4</v>
      </c>
      <c r="L30" s="118">
        <v>400010</v>
      </c>
      <c r="M30" s="119">
        <v>100</v>
      </c>
      <c r="N30" s="119">
        <v>10000</v>
      </c>
      <c r="O30" s="120">
        <v>1000</v>
      </c>
      <c r="P30" s="64" t="s">
        <v>3004</v>
      </c>
      <c r="Q30" s="64" t="s">
        <v>3005</v>
      </c>
      <c r="R30" s="78">
        <f t="shared" si="6"/>
        <v>3</v>
      </c>
      <c r="S30" s="136">
        <f t="shared" si="12"/>
        <v>4</v>
      </c>
      <c r="T30" s="17">
        <v>3</v>
      </c>
      <c r="U30" s="78">
        <v>30</v>
      </c>
      <c r="V30" s="136">
        <f t="shared" si="13"/>
        <v>29</v>
      </c>
      <c r="W30" s="78">
        <v>195000</v>
      </c>
      <c r="X30" s="96"/>
      <c r="Y30" s="96">
        <v>5000</v>
      </c>
      <c r="Z30" s="96"/>
      <c r="AA30" s="96" t="s">
        <v>3199</v>
      </c>
      <c r="AB30" s="96"/>
      <c r="AC30" s="96"/>
      <c r="AD30" s="96">
        <v>1</v>
      </c>
      <c r="AE30" s="78"/>
      <c r="AF30" s="78">
        <v>120000</v>
      </c>
      <c r="AG30" s="78">
        <f t="shared" si="2"/>
        <v>2000</v>
      </c>
      <c r="AH30" s="78">
        <v>1</v>
      </c>
      <c r="AI30" s="78">
        <v>3</v>
      </c>
      <c r="AJ30" s="78">
        <v>5</v>
      </c>
      <c r="AK30" s="96"/>
      <c r="AL30" s="96">
        <v>1</v>
      </c>
      <c r="AM30" s="96" t="s">
        <v>3200</v>
      </c>
      <c r="AN30" s="96" t="s">
        <v>3201</v>
      </c>
      <c r="AO30" s="141" t="s">
        <v>3202</v>
      </c>
      <c r="AP30" s="144" t="s">
        <v>3203</v>
      </c>
      <c r="AQ30" s="141" t="str">
        <f t="shared" si="3"/>
        <v>229|556|</v>
      </c>
      <c r="AR30" s="113"/>
      <c r="AS30" s="91" t="str">
        <f>AO12&amp;$AU$22</f>
        <v>dushu.ani|3;.ani</v>
      </c>
      <c r="AV30" s="107" t="s">
        <v>3204</v>
      </c>
      <c r="AX30" s="107">
        <v>40</v>
      </c>
      <c r="AY30" s="96">
        <v>272</v>
      </c>
      <c r="AZ30" s="91">
        <v>527</v>
      </c>
      <c r="BA30" s="91">
        <f t="shared" si="4"/>
        <v>542</v>
      </c>
      <c r="BB30" s="91" t="str">
        <f t="shared" si="5"/>
        <v>272|542|</v>
      </c>
      <c r="BC30" s="91" t="s">
        <v>90</v>
      </c>
    </row>
    <row r="31" ht="19.5" customHeight="1" spans="1:55">
      <c r="A31" s="96">
        <f t="shared" si="0"/>
        <v>924014</v>
      </c>
      <c r="B31" s="96">
        <v>14</v>
      </c>
      <c r="C31" s="96" t="s">
        <v>3205</v>
      </c>
      <c r="D31" s="96">
        <v>2</v>
      </c>
      <c r="E31" s="110">
        <f t="shared" si="16"/>
        <v>1017</v>
      </c>
      <c r="F31" s="110">
        <v>1017</v>
      </c>
      <c r="G31" s="109" t="s">
        <v>3205</v>
      </c>
      <c r="H31" s="111" t="s">
        <v>3206</v>
      </c>
      <c r="I31" s="117" t="s">
        <v>3207</v>
      </c>
      <c r="J31" s="96" t="s">
        <v>3003</v>
      </c>
      <c r="K31" s="96">
        <f t="shared" si="1"/>
        <v>4</v>
      </c>
      <c r="L31" s="118">
        <v>400010</v>
      </c>
      <c r="M31" s="119">
        <v>120</v>
      </c>
      <c r="N31" s="119">
        <v>18000</v>
      </c>
      <c r="O31" s="122">
        <v>1800</v>
      </c>
      <c r="P31" s="64" t="s">
        <v>3004</v>
      </c>
      <c r="Q31" s="64" t="s">
        <v>3005</v>
      </c>
      <c r="R31" s="78">
        <f t="shared" si="6"/>
        <v>3</v>
      </c>
      <c r="S31" s="136">
        <f t="shared" si="12"/>
        <v>4</v>
      </c>
      <c r="T31" s="78">
        <f t="shared" ref="T31:T37" si="17">T30</f>
        <v>3</v>
      </c>
      <c r="U31" s="78">
        <v>60</v>
      </c>
      <c r="V31" s="136">
        <f t="shared" si="13"/>
        <v>48</v>
      </c>
      <c r="W31" s="78">
        <v>3531000</v>
      </c>
      <c r="X31" s="96"/>
      <c r="Y31" s="96">
        <v>5000</v>
      </c>
      <c r="Z31" s="96"/>
      <c r="AA31" s="96" t="s">
        <v>3208</v>
      </c>
      <c r="AB31" s="96"/>
      <c r="AC31" s="96"/>
      <c r="AD31" s="96">
        <v>1</v>
      </c>
      <c r="AE31" s="78"/>
      <c r="AF31" s="78">
        <v>120000</v>
      </c>
      <c r="AG31" s="78">
        <f t="shared" si="2"/>
        <v>2003</v>
      </c>
      <c r="AH31" s="78">
        <v>4</v>
      </c>
      <c r="AI31" s="78">
        <v>7</v>
      </c>
      <c r="AJ31" s="78">
        <v>10</v>
      </c>
      <c r="AK31" s="96"/>
      <c r="AL31" s="96">
        <v>2</v>
      </c>
      <c r="AM31" s="96" t="s">
        <v>3106</v>
      </c>
      <c r="AN31" s="96" t="s">
        <v>3107</v>
      </c>
      <c r="AO31" s="114" t="s">
        <v>3209</v>
      </c>
      <c r="AP31" s="144" t="s">
        <v>3109</v>
      </c>
      <c r="AQ31" s="141" t="str">
        <f t="shared" si="3"/>
        <v>798|694|</v>
      </c>
      <c r="AR31" s="113">
        <v>13</v>
      </c>
      <c r="AS31" s="91" t="str">
        <f>AO11&amp;$AU$22</f>
        <v>dushu.ani|3;.ani</v>
      </c>
      <c r="AV31" s="107" t="s">
        <v>3210</v>
      </c>
      <c r="AX31" s="107">
        <v>20</v>
      </c>
      <c r="AY31" s="96">
        <v>798</v>
      </c>
      <c r="AZ31" s="91">
        <v>665</v>
      </c>
      <c r="BA31" s="91">
        <f t="shared" si="4"/>
        <v>680</v>
      </c>
      <c r="BB31" s="91" t="str">
        <f t="shared" si="5"/>
        <v>798|680|</v>
      </c>
      <c r="BC31" s="91" t="s">
        <v>90</v>
      </c>
    </row>
    <row r="32" spans="1:55">
      <c r="A32" s="96">
        <f t="shared" si="0"/>
        <v>924015</v>
      </c>
      <c r="B32" s="96">
        <v>15</v>
      </c>
      <c r="C32" s="96" t="s">
        <v>3211</v>
      </c>
      <c r="D32" s="96">
        <v>2</v>
      </c>
      <c r="E32" s="113">
        <v>1018</v>
      </c>
      <c r="F32" s="113">
        <v>1018</v>
      </c>
      <c r="G32" s="109" t="s">
        <v>3211</v>
      </c>
      <c r="H32" s="111" t="s">
        <v>3212</v>
      </c>
      <c r="I32" s="124" t="s">
        <v>3213</v>
      </c>
      <c r="J32" s="96" t="s">
        <v>3003</v>
      </c>
      <c r="K32" s="96">
        <f t="shared" si="1"/>
        <v>4</v>
      </c>
      <c r="L32" s="118">
        <v>400010</v>
      </c>
      <c r="M32" s="119">
        <v>140</v>
      </c>
      <c r="N32" s="119">
        <v>28000</v>
      </c>
      <c r="O32" s="122">
        <v>2800</v>
      </c>
      <c r="P32" s="64" t="s">
        <v>3004</v>
      </c>
      <c r="Q32" s="64" t="s">
        <v>3005</v>
      </c>
      <c r="R32" s="78">
        <f t="shared" si="6"/>
        <v>3</v>
      </c>
      <c r="S32" s="136">
        <f t="shared" si="12"/>
        <v>3</v>
      </c>
      <c r="T32" s="78">
        <f t="shared" si="17"/>
        <v>3</v>
      </c>
      <c r="U32" s="78">
        <v>110</v>
      </c>
      <c r="V32" s="136">
        <f t="shared" si="13"/>
        <v>89</v>
      </c>
      <c r="W32" s="78">
        <v>21962000</v>
      </c>
      <c r="X32" s="96"/>
      <c r="Y32" s="96">
        <v>5000</v>
      </c>
      <c r="Z32" s="96"/>
      <c r="AA32" s="96" t="s">
        <v>3214</v>
      </c>
      <c r="AB32" s="96"/>
      <c r="AC32" s="96"/>
      <c r="AD32" s="96">
        <v>1</v>
      </c>
      <c r="AE32" s="78"/>
      <c r="AF32" s="78">
        <v>220000</v>
      </c>
      <c r="AG32" s="78">
        <f t="shared" si="2"/>
        <v>2005</v>
      </c>
      <c r="AH32" s="78">
        <v>6</v>
      </c>
      <c r="AI32" s="78">
        <v>9</v>
      </c>
      <c r="AJ32" s="78">
        <v>15</v>
      </c>
      <c r="AK32" s="96"/>
      <c r="AL32" s="96">
        <v>1</v>
      </c>
      <c r="AM32" s="96" t="s">
        <v>3215</v>
      </c>
      <c r="AN32" s="96" t="s">
        <v>3216</v>
      </c>
      <c r="AO32" s="141" t="s">
        <v>3202</v>
      </c>
      <c r="AP32" s="144" t="s">
        <v>3217</v>
      </c>
      <c r="AQ32" s="141" t="str">
        <f t="shared" si="3"/>
        <v>993|856|</v>
      </c>
      <c r="AR32" s="113"/>
      <c r="AV32" s="107" t="s">
        <v>3218</v>
      </c>
      <c r="AX32" s="107">
        <v>60</v>
      </c>
      <c r="AY32" s="96">
        <v>993</v>
      </c>
      <c r="AZ32" s="91">
        <v>827</v>
      </c>
      <c r="BA32" s="91">
        <f t="shared" si="4"/>
        <v>842</v>
      </c>
      <c r="BB32" s="91" t="str">
        <f t="shared" si="5"/>
        <v>993|842|</v>
      </c>
      <c r="BC32" s="91" t="s">
        <v>90</v>
      </c>
    </row>
    <row r="33" spans="1:55">
      <c r="A33" s="96">
        <f t="shared" si="0"/>
        <v>924016</v>
      </c>
      <c r="B33" s="96">
        <v>16</v>
      </c>
      <c r="C33" s="96" t="s">
        <v>3219</v>
      </c>
      <c r="D33" s="96">
        <v>2</v>
      </c>
      <c r="E33" s="113">
        <v>1018</v>
      </c>
      <c r="F33" s="113">
        <v>1018</v>
      </c>
      <c r="G33" s="109" t="s">
        <v>3219</v>
      </c>
      <c r="H33" s="111" t="s">
        <v>3220</v>
      </c>
      <c r="I33" s="124" t="s">
        <v>3221</v>
      </c>
      <c r="J33" s="96" t="s">
        <v>3003</v>
      </c>
      <c r="K33" s="96">
        <f t="shared" si="1"/>
        <v>4</v>
      </c>
      <c r="L33" s="118">
        <v>400010</v>
      </c>
      <c r="M33" s="119">
        <v>160</v>
      </c>
      <c r="N33" s="119">
        <v>40000</v>
      </c>
      <c r="O33" s="122">
        <v>4000</v>
      </c>
      <c r="P33" s="64" t="s">
        <v>3004</v>
      </c>
      <c r="Q33" s="64" t="s">
        <v>3005</v>
      </c>
      <c r="R33" s="78">
        <f t="shared" si="6"/>
        <v>3</v>
      </c>
      <c r="S33" s="136">
        <f t="shared" si="12"/>
        <v>3</v>
      </c>
      <c r="T33" s="78">
        <f t="shared" si="17"/>
        <v>3</v>
      </c>
      <c r="U33" s="78">
        <v>170</v>
      </c>
      <c r="V33" s="136">
        <f t="shared" si="13"/>
        <v>127</v>
      </c>
      <c r="W33" s="78">
        <v>44897000</v>
      </c>
      <c r="X33" s="96"/>
      <c r="Y33" s="96">
        <v>5000</v>
      </c>
      <c r="Z33" s="96"/>
      <c r="AA33" s="96" t="s">
        <v>3214</v>
      </c>
      <c r="AB33" s="96"/>
      <c r="AC33" s="96"/>
      <c r="AD33" s="96">
        <v>1</v>
      </c>
      <c r="AE33" s="78"/>
      <c r="AF33" s="78">
        <v>120000</v>
      </c>
      <c r="AG33" s="78">
        <f t="shared" si="2"/>
        <v>2008</v>
      </c>
      <c r="AH33" s="78">
        <v>9</v>
      </c>
      <c r="AI33" s="78">
        <v>9</v>
      </c>
      <c r="AJ33" s="78">
        <v>20</v>
      </c>
      <c r="AK33" s="96"/>
      <c r="AL33" s="96">
        <v>1</v>
      </c>
      <c r="AM33" s="96" t="s">
        <v>3215</v>
      </c>
      <c r="AN33" s="96" t="s">
        <v>3216</v>
      </c>
      <c r="AO33" s="141" t="s">
        <v>3222</v>
      </c>
      <c r="AP33" s="144" t="s">
        <v>3217</v>
      </c>
      <c r="AQ33" s="141" t="str">
        <f t="shared" si="3"/>
        <v>993|856|</v>
      </c>
      <c r="AR33" s="113"/>
      <c r="AV33" s="107" t="s">
        <v>3223</v>
      </c>
      <c r="AX33" s="107">
        <v>100</v>
      </c>
      <c r="AY33" s="96">
        <v>993</v>
      </c>
      <c r="AZ33" s="91">
        <v>827</v>
      </c>
      <c r="BA33" s="91">
        <f t="shared" si="4"/>
        <v>842</v>
      </c>
      <c r="BB33" s="91" t="str">
        <f t="shared" si="5"/>
        <v>993|842|</v>
      </c>
      <c r="BC33" s="91" t="s">
        <v>90</v>
      </c>
    </row>
    <row r="34" spans="1:55">
      <c r="A34" s="96">
        <f t="shared" si="0"/>
        <v>925017</v>
      </c>
      <c r="B34" s="96">
        <v>17</v>
      </c>
      <c r="C34" s="96" t="s">
        <v>3224</v>
      </c>
      <c r="D34" s="96">
        <v>2</v>
      </c>
      <c r="E34" s="113">
        <v>1018</v>
      </c>
      <c r="F34" s="113">
        <v>1018</v>
      </c>
      <c r="G34" s="109" t="s">
        <v>3224</v>
      </c>
      <c r="H34" s="111" t="s">
        <v>3225</v>
      </c>
      <c r="I34" s="125" t="s">
        <v>3226</v>
      </c>
      <c r="J34" s="96" t="s">
        <v>3003</v>
      </c>
      <c r="K34" s="96">
        <f t="shared" si="1"/>
        <v>5</v>
      </c>
      <c r="L34" s="118">
        <v>400011</v>
      </c>
      <c r="M34" s="119">
        <v>100</v>
      </c>
      <c r="N34" s="119">
        <v>10000</v>
      </c>
      <c r="O34" s="120">
        <v>1000</v>
      </c>
      <c r="P34" s="64" t="s">
        <v>3004</v>
      </c>
      <c r="Q34" s="64" t="s">
        <v>3005</v>
      </c>
      <c r="R34" s="78">
        <f t="shared" si="6"/>
        <v>3</v>
      </c>
      <c r="S34" s="136">
        <f t="shared" si="12"/>
        <v>4</v>
      </c>
      <c r="T34" s="78">
        <f t="shared" si="17"/>
        <v>3</v>
      </c>
      <c r="U34" s="78">
        <v>30</v>
      </c>
      <c r="V34" s="136">
        <f t="shared" si="13"/>
        <v>29</v>
      </c>
      <c r="W34" s="78">
        <v>195000</v>
      </c>
      <c r="X34" s="96"/>
      <c r="Y34" s="96">
        <v>5000</v>
      </c>
      <c r="Z34" s="96"/>
      <c r="AA34" s="96" t="s">
        <v>3214</v>
      </c>
      <c r="AB34" s="96"/>
      <c r="AC34" s="96"/>
      <c r="AD34" s="96">
        <v>1</v>
      </c>
      <c r="AE34" s="78"/>
      <c r="AF34" s="78">
        <v>420000</v>
      </c>
      <c r="AG34" s="78">
        <f t="shared" si="2"/>
        <v>2001</v>
      </c>
      <c r="AH34" s="78">
        <v>2</v>
      </c>
      <c r="AI34" s="78">
        <v>1</v>
      </c>
      <c r="AJ34" s="78">
        <v>5</v>
      </c>
      <c r="AK34" s="96"/>
      <c r="AL34" s="96">
        <v>1</v>
      </c>
      <c r="AM34" s="96" t="s">
        <v>3215</v>
      </c>
      <c r="AN34" s="96" t="s">
        <v>3216</v>
      </c>
      <c r="AO34" s="141" t="s">
        <v>3157</v>
      </c>
      <c r="AP34" s="144" t="s">
        <v>3217</v>
      </c>
      <c r="AQ34" s="141" t="str">
        <f t="shared" si="3"/>
        <v>993|856|</v>
      </c>
      <c r="AR34" s="113"/>
      <c r="AV34" s="107" t="s">
        <v>3227</v>
      </c>
      <c r="AX34" s="107">
        <v>100</v>
      </c>
      <c r="AY34" s="96">
        <v>993</v>
      </c>
      <c r="AZ34" s="91">
        <v>827</v>
      </c>
      <c r="BA34" s="91">
        <f t="shared" si="4"/>
        <v>842</v>
      </c>
      <c r="BB34" s="91" t="str">
        <f t="shared" si="5"/>
        <v>993|842|</v>
      </c>
      <c r="BC34" s="91" t="s">
        <v>90</v>
      </c>
    </row>
    <row r="35" spans="1:55">
      <c r="A35" s="96">
        <f t="shared" si="0"/>
        <v>925018</v>
      </c>
      <c r="B35" s="96">
        <v>18</v>
      </c>
      <c r="C35" s="96" t="s">
        <v>3228</v>
      </c>
      <c r="D35" s="96">
        <v>2</v>
      </c>
      <c r="E35" s="109">
        <v>1020</v>
      </c>
      <c r="F35" s="109">
        <v>1020</v>
      </c>
      <c r="G35" s="109" t="s">
        <v>3228</v>
      </c>
      <c r="H35" s="111" t="s">
        <v>3229</v>
      </c>
      <c r="I35" s="125" t="s">
        <v>3230</v>
      </c>
      <c r="J35" s="96" t="s">
        <v>3003</v>
      </c>
      <c r="K35" s="96">
        <f t="shared" si="1"/>
        <v>5</v>
      </c>
      <c r="L35" s="118">
        <v>400011</v>
      </c>
      <c r="M35" s="119">
        <v>120</v>
      </c>
      <c r="N35" s="119">
        <v>18000</v>
      </c>
      <c r="O35" s="122">
        <v>1800</v>
      </c>
      <c r="P35" s="64" t="s">
        <v>3004</v>
      </c>
      <c r="Q35" s="64" t="s">
        <v>3005</v>
      </c>
      <c r="R35" s="78">
        <f t="shared" si="6"/>
        <v>3</v>
      </c>
      <c r="S35" s="136">
        <f t="shared" si="12"/>
        <v>4</v>
      </c>
      <c r="T35" s="78">
        <f t="shared" si="17"/>
        <v>3</v>
      </c>
      <c r="U35" s="78">
        <v>60</v>
      </c>
      <c r="V35" s="136">
        <f t="shared" si="13"/>
        <v>48</v>
      </c>
      <c r="W35" s="78">
        <v>3531000</v>
      </c>
      <c r="X35" s="96"/>
      <c r="Y35" s="96">
        <v>5000</v>
      </c>
      <c r="Z35" s="96"/>
      <c r="AA35" s="96" t="s">
        <v>3199</v>
      </c>
      <c r="AB35" s="96"/>
      <c r="AC35" s="96"/>
      <c r="AD35" s="96">
        <v>1</v>
      </c>
      <c r="AE35" s="78"/>
      <c r="AF35" s="78">
        <v>520000</v>
      </c>
      <c r="AG35" s="78">
        <f t="shared" si="2"/>
        <v>2004</v>
      </c>
      <c r="AH35" s="78">
        <v>5</v>
      </c>
      <c r="AI35" s="78">
        <v>5</v>
      </c>
      <c r="AJ35" s="78">
        <v>10</v>
      </c>
      <c r="AK35" s="96"/>
      <c r="AL35" s="96">
        <v>1</v>
      </c>
      <c r="AM35" s="96" t="s">
        <v>3148</v>
      </c>
      <c r="AN35" s="96" t="s">
        <v>3149</v>
      </c>
      <c r="AO35" s="141" t="s">
        <v>3048</v>
      </c>
      <c r="AP35" s="144" t="s">
        <v>3231</v>
      </c>
      <c r="AQ35" s="141" t="str">
        <f t="shared" si="3"/>
        <v>413|389|</v>
      </c>
      <c r="AR35" s="113"/>
      <c r="AV35" s="107" t="s">
        <v>3158</v>
      </c>
      <c r="AX35" s="107">
        <v>20</v>
      </c>
      <c r="AY35" s="96">
        <v>413</v>
      </c>
      <c r="AZ35" s="91">
        <v>360</v>
      </c>
      <c r="BA35" s="91">
        <f t="shared" si="4"/>
        <v>375</v>
      </c>
      <c r="BB35" s="91" t="str">
        <f t="shared" si="5"/>
        <v>413|375|</v>
      </c>
      <c r="BC35" s="91" t="s">
        <v>90</v>
      </c>
    </row>
    <row r="36" spans="1:55">
      <c r="A36" s="96">
        <f t="shared" si="0"/>
        <v>925019</v>
      </c>
      <c r="B36" s="96">
        <v>19</v>
      </c>
      <c r="C36" s="96" t="s">
        <v>3232</v>
      </c>
      <c r="D36" s="96">
        <v>2</v>
      </c>
      <c r="E36" s="109">
        <v>1017</v>
      </c>
      <c r="F36" s="109">
        <v>1017</v>
      </c>
      <c r="G36" s="109" t="s">
        <v>3232</v>
      </c>
      <c r="H36" s="111" t="s">
        <v>3233</v>
      </c>
      <c r="I36" s="125" t="s">
        <v>3234</v>
      </c>
      <c r="J36" s="96" t="s">
        <v>3003</v>
      </c>
      <c r="K36" s="96">
        <f t="shared" si="1"/>
        <v>5</v>
      </c>
      <c r="L36" s="118">
        <v>400011</v>
      </c>
      <c r="M36" s="119">
        <v>140</v>
      </c>
      <c r="N36" s="119">
        <v>28000</v>
      </c>
      <c r="O36" s="122">
        <v>2800</v>
      </c>
      <c r="P36" s="64" t="s">
        <v>3004</v>
      </c>
      <c r="Q36" s="64" t="s">
        <v>3005</v>
      </c>
      <c r="R36" s="78">
        <f t="shared" si="6"/>
        <v>3</v>
      </c>
      <c r="S36" s="136">
        <f t="shared" si="12"/>
        <v>3</v>
      </c>
      <c r="T36" s="78">
        <f t="shared" si="17"/>
        <v>3</v>
      </c>
      <c r="U36" s="78">
        <v>110</v>
      </c>
      <c r="V36" s="136">
        <f t="shared" si="13"/>
        <v>89</v>
      </c>
      <c r="W36" s="78">
        <v>21962000</v>
      </c>
      <c r="X36" s="96"/>
      <c r="Y36" s="96">
        <v>5000</v>
      </c>
      <c r="Z36" s="96"/>
      <c r="AA36" s="96" t="s">
        <v>3208</v>
      </c>
      <c r="AB36" s="96"/>
      <c r="AC36" s="96"/>
      <c r="AD36" s="96">
        <v>1</v>
      </c>
      <c r="AE36" s="78"/>
      <c r="AF36" s="78">
        <v>320000</v>
      </c>
      <c r="AG36" s="78">
        <f t="shared" si="2"/>
        <v>2006</v>
      </c>
      <c r="AH36" s="78">
        <v>7</v>
      </c>
      <c r="AI36" s="78">
        <v>5</v>
      </c>
      <c r="AJ36" s="78">
        <v>15</v>
      </c>
      <c r="AK36" s="96"/>
      <c r="AL36" s="96">
        <v>1</v>
      </c>
      <c r="AM36" s="96" t="s">
        <v>3106</v>
      </c>
      <c r="AN36" s="96" t="s">
        <v>3107</v>
      </c>
      <c r="AO36" s="141" t="s">
        <v>3235</v>
      </c>
      <c r="AP36" s="144" t="s">
        <v>3109</v>
      </c>
      <c r="AQ36" s="141" t="str">
        <f t="shared" si="3"/>
        <v>798|694|</v>
      </c>
      <c r="AR36" s="113">
        <v>13</v>
      </c>
      <c r="AV36" s="107" t="s">
        <v>3210</v>
      </c>
      <c r="AX36" s="107">
        <v>60</v>
      </c>
      <c r="AY36" s="96">
        <v>798</v>
      </c>
      <c r="AZ36" s="91">
        <v>665</v>
      </c>
      <c r="BA36" s="91">
        <f t="shared" si="4"/>
        <v>680</v>
      </c>
      <c r="BB36" s="91" t="str">
        <f t="shared" si="5"/>
        <v>798|680|</v>
      </c>
      <c r="BC36" s="91" t="s">
        <v>90</v>
      </c>
    </row>
    <row r="37" spans="1:55">
      <c r="A37" s="96">
        <f t="shared" si="0"/>
        <v>925020</v>
      </c>
      <c r="B37" s="96">
        <v>20</v>
      </c>
      <c r="C37" s="96" t="s">
        <v>3236</v>
      </c>
      <c r="D37" s="96">
        <v>2</v>
      </c>
      <c r="E37" s="109">
        <v>1020</v>
      </c>
      <c r="F37" s="109">
        <v>1020</v>
      </c>
      <c r="G37" s="109" t="s">
        <v>3236</v>
      </c>
      <c r="H37" s="111" t="s">
        <v>3237</v>
      </c>
      <c r="I37" s="125" t="s">
        <v>3238</v>
      </c>
      <c r="J37" s="96" t="s">
        <v>3003</v>
      </c>
      <c r="K37" s="96">
        <f t="shared" si="1"/>
        <v>5</v>
      </c>
      <c r="L37" s="118">
        <v>400011</v>
      </c>
      <c r="M37" s="119">
        <v>160</v>
      </c>
      <c r="N37" s="119">
        <v>40000</v>
      </c>
      <c r="O37" s="122">
        <v>4000</v>
      </c>
      <c r="P37" s="64" t="s">
        <v>3004</v>
      </c>
      <c r="Q37" s="64" t="s">
        <v>3005</v>
      </c>
      <c r="R37" s="78">
        <f t="shared" si="6"/>
        <v>3</v>
      </c>
      <c r="S37" s="136">
        <f t="shared" si="12"/>
        <v>3</v>
      </c>
      <c r="T37" s="78">
        <f t="shared" si="17"/>
        <v>3</v>
      </c>
      <c r="U37" s="78">
        <v>170</v>
      </c>
      <c r="V37" s="136">
        <f t="shared" si="13"/>
        <v>127</v>
      </c>
      <c r="W37" s="78">
        <v>44897000</v>
      </c>
      <c r="X37" s="96"/>
      <c r="Y37" s="96">
        <v>5000</v>
      </c>
      <c r="Z37" s="96"/>
      <c r="AA37" s="96" t="s">
        <v>3199</v>
      </c>
      <c r="AB37" s="96"/>
      <c r="AC37" s="96"/>
      <c r="AD37" s="96">
        <v>1</v>
      </c>
      <c r="AE37" s="78"/>
      <c r="AF37" s="78">
        <v>620000</v>
      </c>
      <c r="AG37" s="78">
        <f t="shared" si="2"/>
        <v>2009</v>
      </c>
      <c r="AH37" s="78">
        <v>10</v>
      </c>
      <c r="AI37" s="78">
        <v>7</v>
      </c>
      <c r="AJ37" s="78">
        <v>20</v>
      </c>
      <c r="AK37" s="96"/>
      <c r="AL37" s="96">
        <v>1</v>
      </c>
      <c r="AM37" s="96" t="s">
        <v>3148</v>
      </c>
      <c r="AN37" s="96" t="s">
        <v>3149</v>
      </c>
      <c r="AO37" s="141" t="s">
        <v>3048</v>
      </c>
      <c r="AP37" s="144" t="s">
        <v>3231</v>
      </c>
      <c r="AQ37" s="141" t="str">
        <f t="shared" si="3"/>
        <v>413|389|</v>
      </c>
      <c r="AR37" s="113"/>
      <c r="AV37" s="107" t="s">
        <v>3158</v>
      </c>
      <c r="AX37" s="107">
        <v>40</v>
      </c>
      <c r="AY37" s="96">
        <v>413</v>
      </c>
      <c r="AZ37" s="91">
        <v>360</v>
      </c>
      <c r="BA37" s="91">
        <f t="shared" si="4"/>
        <v>375</v>
      </c>
      <c r="BB37" s="91" t="str">
        <f t="shared" si="5"/>
        <v>413|375|</v>
      </c>
      <c r="BC37" s="91" t="s">
        <v>90</v>
      </c>
    </row>
    <row r="38" ht="16.5" spans="1:55">
      <c r="A38" s="96">
        <f t="shared" si="0"/>
        <v>931001</v>
      </c>
      <c r="B38" s="96">
        <v>1</v>
      </c>
      <c r="C38" s="96" t="s">
        <v>3239</v>
      </c>
      <c r="D38" s="96">
        <v>3</v>
      </c>
      <c r="E38" s="113">
        <v>1021</v>
      </c>
      <c r="F38" s="110">
        <v>1017</v>
      </c>
      <c r="G38" s="109" t="s">
        <v>3239</v>
      </c>
      <c r="H38" s="114" t="s">
        <v>3240</v>
      </c>
      <c r="I38" s="117" t="s">
        <v>3241</v>
      </c>
      <c r="J38" s="96" t="s">
        <v>3003</v>
      </c>
      <c r="K38" s="96">
        <f t="shared" si="1"/>
        <v>1</v>
      </c>
      <c r="L38" s="118">
        <v>400007</v>
      </c>
      <c r="M38" s="119">
        <v>100</v>
      </c>
      <c r="N38" s="119">
        <v>50000</v>
      </c>
      <c r="O38" s="119">
        <v>5000</v>
      </c>
      <c r="P38" s="64" t="s">
        <v>3004</v>
      </c>
      <c r="Q38" s="64" t="s">
        <v>3005</v>
      </c>
      <c r="R38" s="78">
        <f t="shared" si="6"/>
        <v>3</v>
      </c>
      <c r="S38" s="135">
        <v>4</v>
      </c>
      <c r="T38" s="17">
        <v>2</v>
      </c>
      <c r="U38" s="78">
        <v>30</v>
      </c>
      <c r="V38" s="96">
        <v>24</v>
      </c>
      <c r="W38" s="78">
        <v>29640000</v>
      </c>
      <c r="X38" s="96"/>
      <c r="Y38" s="96">
        <v>5000</v>
      </c>
      <c r="Z38" s="96"/>
      <c r="AA38" s="96" t="s">
        <v>3242</v>
      </c>
      <c r="AB38" s="100" t="s">
        <v>3243</v>
      </c>
      <c r="AC38" s="100" t="s">
        <v>3244</v>
      </c>
      <c r="AD38" s="96">
        <v>1</v>
      </c>
      <c r="AE38" s="78"/>
      <c r="AF38" s="78">
        <v>230000</v>
      </c>
      <c r="AG38" s="78">
        <f t="shared" si="2"/>
        <v>3000</v>
      </c>
      <c r="AH38" s="78">
        <v>1</v>
      </c>
      <c r="AI38" s="78">
        <v>1</v>
      </c>
      <c r="AJ38" s="78">
        <v>5</v>
      </c>
      <c r="AK38" s="96"/>
      <c r="AL38" s="96">
        <v>2</v>
      </c>
      <c r="AM38" s="141" t="s">
        <v>3245</v>
      </c>
      <c r="AN38" s="141" t="s">
        <v>3246</v>
      </c>
      <c r="AO38" s="141"/>
      <c r="AP38" s="144"/>
      <c r="AQ38" s="141" t="s">
        <v>3245</v>
      </c>
      <c r="AR38" s="113">
        <v>13</v>
      </c>
      <c r="AS38" s="91" t="str">
        <f>AO14&amp;$AU$22</f>
        <v>xiezi.ani|3;.ani</v>
      </c>
      <c r="AV38" s="107" t="s">
        <v>3175</v>
      </c>
      <c r="AX38" s="107">
        <v>20</v>
      </c>
      <c r="AY38" s="141">
        <v>1122</v>
      </c>
      <c r="AZ38" s="91">
        <v>567</v>
      </c>
      <c r="BA38" s="91">
        <f t="shared" si="4"/>
        <v>582</v>
      </c>
      <c r="BB38" s="91" t="str">
        <f t="shared" si="5"/>
        <v>1122|582|</v>
      </c>
      <c r="BC38" s="91" t="s">
        <v>90</v>
      </c>
    </row>
    <row r="39" spans="1:55">
      <c r="A39" s="96">
        <f t="shared" si="0"/>
        <v>931002</v>
      </c>
      <c r="B39" s="96">
        <v>2</v>
      </c>
      <c r="C39" s="96" t="s">
        <v>3247</v>
      </c>
      <c r="D39" s="96">
        <v>3</v>
      </c>
      <c r="E39" s="110">
        <v>1017</v>
      </c>
      <c r="F39" s="110">
        <v>1017</v>
      </c>
      <c r="G39" s="109" t="s">
        <v>3247</v>
      </c>
      <c r="H39" s="114" t="s">
        <v>3248</v>
      </c>
      <c r="I39" s="117" t="s">
        <v>3249</v>
      </c>
      <c r="J39" s="96" t="s">
        <v>3003</v>
      </c>
      <c r="K39" s="96">
        <f t="shared" si="1"/>
        <v>1</v>
      </c>
      <c r="L39" s="118">
        <v>400007</v>
      </c>
      <c r="M39" s="119">
        <v>120</v>
      </c>
      <c r="N39" s="119">
        <v>72000</v>
      </c>
      <c r="O39" s="119">
        <v>7200</v>
      </c>
      <c r="P39" s="64" t="s">
        <v>3004</v>
      </c>
      <c r="Q39" s="64" t="s">
        <v>3005</v>
      </c>
      <c r="R39" s="78">
        <f t="shared" si="6"/>
        <v>3</v>
      </c>
      <c r="S39" s="135">
        <v>4</v>
      </c>
      <c r="T39" s="78">
        <f t="shared" ref="T39:T57" si="18">T38</f>
        <v>2</v>
      </c>
      <c r="U39" s="78">
        <v>70</v>
      </c>
      <c r="V39" s="96">
        <v>48</v>
      </c>
      <c r="W39" s="78">
        <v>536712000</v>
      </c>
      <c r="X39" s="96"/>
      <c r="Y39" s="96">
        <v>5000</v>
      </c>
      <c r="Z39" s="96"/>
      <c r="AA39" s="96" t="s">
        <v>3208</v>
      </c>
      <c r="AB39" s="96"/>
      <c r="AC39" s="96"/>
      <c r="AD39" s="96">
        <v>1</v>
      </c>
      <c r="AE39" s="78"/>
      <c r="AF39" s="78">
        <v>630000</v>
      </c>
      <c r="AG39" s="78">
        <f t="shared" si="2"/>
        <v>3002</v>
      </c>
      <c r="AH39" s="78">
        <v>3</v>
      </c>
      <c r="AI39" s="78">
        <v>1</v>
      </c>
      <c r="AJ39" s="78">
        <v>10</v>
      </c>
      <c r="AK39" s="96"/>
      <c r="AL39" s="96">
        <v>1</v>
      </c>
      <c r="AM39" s="141" t="s">
        <v>3245</v>
      </c>
      <c r="AN39" s="141" t="s">
        <v>3246</v>
      </c>
      <c r="AO39" s="111" t="s">
        <v>3250</v>
      </c>
      <c r="AP39" s="144" t="s">
        <v>3251</v>
      </c>
      <c r="AQ39" s="141" t="s">
        <v>3245</v>
      </c>
      <c r="AR39" s="113">
        <v>13</v>
      </c>
      <c r="AS39" s="91" t="str">
        <f t="shared" ref="AS39:AS43" si="19">AO16&amp;$AU$22</f>
        <v>xiezi.ani|3;.ani</v>
      </c>
      <c r="AV39" s="107" t="s">
        <v>3175</v>
      </c>
      <c r="AX39" s="107">
        <v>40</v>
      </c>
      <c r="AY39" s="141">
        <v>1122</v>
      </c>
      <c r="AZ39" s="91">
        <v>567</v>
      </c>
      <c r="BA39" s="91">
        <f t="shared" si="4"/>
        <v>582</v>
      </c>
      <c r="BB39" s="91" t="str">
        <f t="shared" si="5"/>
        <v>1122|582|</v>
      </c>
      <c r="BC39" s="91" t="s">
        <v>90</v>
      </c>
    </row>
    <row r="40" ht="16.5" spans="1:55">
      <c r="A40" s="96">
        <f t="shared" si="0"/>
        <v>931003</v>
      </c>
      <c r="B40" s="96">
        <v>3</v>
      </c>
      <c r="C40" s="96" t="s">
        <v>3252</v>
      </c>
      <c r="D40" s="96">
        <v>3</v>
      </c>
      <c r="E40" s="113">
        <v>1022</v>
      </c>
      <c r="F40" s="110">
        <v>1017</v>
      </c>
      <c r="G40" s="109" t="s">
        <v>3252</v>
      </c>
      <c r="H40" s="114" t="s">
        <v>3253</v>
      </c>
      <c r="I40" s="117" t="s">
        <v>3254</v>
      </c>
      <c r="J40" s="96" t="s">
        <v>3003</v>
      </c>
      <c r="K40" s="96">
        <f t="shared" si="1"/>
        <v>1</v>
      </c>
      <c r="L40" s="118">
        <v>400007</v>
      </c>
      <c r="M40" s="119">
        <v>140</v>
      </c>
      <c r="N40" s="119">
        <v>98000</v>
      </c>
      <c r="O40" s="119">
        <v>9800</v>
      </c>
      <c r="P40" s="64" t="s">
        <v>3004</v>
      </c>
      <c r="Q40" s="64" t="s">
        <v>3005</v>
      </c>
      <c r="R40" s="78">
        <f t="shared" si="6"/>
        <v>3</v>
      </c>
      <c r="S40" s="135">
        <v>3</v>
      </c>
      <c r="T40" s="78">
        <f t="shared" si="18"/>
        <v>2</v>
      </c>
      <c r="U40" s="78">
        <v>130</v>
      </c>
      <c r="V40" s="96">
        <v>73</v>
      </c>
      <c r="W40" s="78">
        <v>3338224000</v>
      </c>
      <c r="X40" s="96"/>
      <c r="Y40" s="96">
        <v>5000</v>
      </c>
      <c r="Z40" s="96"/>
      <c r="AA40" s="96" t="s">
        <v>3255</v>
      </c>
      <c r="AB40" s="100" t="s">
        <v>3256</v>
      </c>
      <c r="AC40" s="100" t="s">
        <v>3257</v>
      </c>
      <c r="AD40" s="96">
        <v>1</v>
      </c>
      <c r="AE40" s="78"/>
      <c r="AF40" s="78">
        <v>330000</v>
      </c>
      <c r="AG40" s="78">
        <f t="shared" si="2"/>
        <v>3005</v>
      </c>
      <c r="AH40" s="78">
        <v>6</v>
      </c>
      <c r="AI40" s="78">
        <v>5</v>
      </c>
      <c r="AJ40" s="78">
        <v>15</v>
      </c>
      <c r="AK40" s="96"/>
      <c r="AL40" s="96">
        <v>1</v>
      </c>
      <c r="AM40" s="141" t="s">
        <v>3245</v>
      </c>
      <c r="AN40" s="141" t="s">
        <v>3246</v>
      </c>
      <c r="AO40" s="141"/>
      <c r="AP40" s="144"/>
      <c r="AQ40" s="141" t="s">
        <v>3245</v>
      </c>
      <c r="AR40" s="113">
        <v>13</v>
      </c>
      <c r="AS40" s="91" t="str">
        <f t="shared" si="19"/>
        <v>.ani</v>
      </c>
      <c r="AV40" s="107" t="s">
        <v>3175</v>
      </c>
      <c r="AX40" s="107">
        <v>60</v>
      </c>
      <c r="AY40" s="141">
        <v>1122</v>
      </c>
      <c r="AZ40" s="91">
        <v>567</v>
      </c>
      <c r="BA40" s="91">
        <f t="shared" si="4"/>
        <v>582</v>
      </c>
      <c r="BB40" s="91" t="str">
        <f t="shared" si="5"/>
        <v>1122|582|</v>
      </c>
      <c r="BC40" s="91" t="s">
        <v>90</v>
      </c>
    </row>
    <row r="41" ht="15.75" customHeight="1" spans="1:55">
      <c r="A41" s="96">
        <f t="shared" si="0"/>
        <v>931004</v>
      </c>
      <c r="B41" s="96">
        <v>4</v>
      </c>
      <c r="C41" s="96" t="s">
        <v>3258</v>
      </c>
      <c r="D41" s="96">
        <v>3</v>
      </c>
      <c r="E41" s="110">
        <v>1017</v>
      </c>
      <c r="F41" s="110">
        <v>1017</v>
      </c>
      <c r="G41" s="109" t="s">
        <v>3258</v>
      </c>
      <c r="H41" s="114" t="s">
        <v>3259</v>
      </c>
      <c r="I41" s="117" t="s">
        <v>3260</v>
      </c>
      <c r="J41" s="96" t="s">
        <v>3003</v>
      </c>
      <c r="K41" s="96">
        <f t="shared" si="1"/>
        <v>1</v>
      </c>
      <c r="L41" s="118">
        <v>400007</v>
      </c>
      <c r="M41" s="119">
        <v>160</v>
      </c>
      <c r="N41" s="119">
        <v>128000</v>
      </c>
      <c r="O41" s="119">
        <v>12800</v>
      </c>
      <c r="P41" s="64" t="s">
        <v>3004</v>
      </c>
      <c r="Q41" s="64" t="s">
        <v>3005</v>
      </c>
      <c r="R41" s="78">
        <f t="shared" si="6"/>
        <v>3</v>
      </c>
      <c r="S41" s="135">
        <v>3</v>
      </c>
      <c r="T41" s="78">
        <f t="shared" si="18"/>
        <v>2</v>
      </c>
      <c r="U41" s="78">
        <v>200</v>
      </c>
      <c r="V41" s="96">
        <v>133</v>
      </c>
      <c r="W41" s="78">
        <v>6824344000</v>
      </c>
      <c r="X41" s="96"/>
      <c r="Y41" s="96">
        <v>5000</v>
      </c>
      <c r="Z41" s="96"/>
      <c r="AA41" s="96" t="s">
        <v>3208</v>
      </c>
      <c r="AB41" s="96"/>
      <c r="AC41" s="96"/>
      <c r="AD41" s="96">
        <v>1</v>
      </c>
      <c r="AE41" s="78"/>
      <c r="AF41" s="78">
        <v>530000</v>
      </c>
      <c r="AG41" s="78">
        <f t="shared" si="2"/>
        <v>3007</v>
      </c>
      <c r="AH41" s="78">
        <v>8</v>
      </c>
      <c r="AI41" s="78">
        <v>9</v>
      </c>
      <c r="AJ41" s="78">
        <v>20</v>
      </c>
      <c r="AK41" s="96"/>
      <c r="AL41" s="96">
        <v>1</v>
      </c>
      <c r="AM41" s="141" t="s">
        <v>3245</v>
      </c>
      <c r="AN41" s="141" t="s">
        <v>3246</v>
      </c>
      <c r="AO41" s="146" t="s">
        <v>3261</v>
      </c>
      <c r="AP41" s="144" t="s">
        <v>3262</v>
      </c>
      <c r="AQ41" s="141" t="s">
        <v>3245</v>
      </c>
      <c r="AR41" s="113"/>
      <c r="AS41" s="91" t="str">
        <f>AO15&amp;$AU$22</f>
        <v>yinfutexiao.ani|3;.ani</v>
      </c>
      <c r="AV41" s="107" t="s">
        <v>3175</v>
      </c>
      <c r="AX41" s="107">
        <v>100</v>
      </c>
      <c r="AY41" s="141">
        <v>1122</v>
      </c>
      <c r="AZ41" s="91">
        <v>567</v>
      </c>
      <c r="BA41" s="91">
        <f t="shared" si="4"/>
        <v>582</v>
      </c>
      <c r="BB41" s="91" t="str">
        <f t="shared" si="5"/>
        <v>1122|582|</v>
      </c>
      <c r="BC41" s="91" t="s">
        <v>90</v>
      </c>
    </row>
    <row r="42" ht="27.75" spans="1:55">
      <c r="A42" s="96">
        <f t="shared" si="0"/>
        <v>932005</v>
      </c>
      <c r="B42" s="96">
        <v>5</v>
      </c>
      <c r="C42" s="96" t="s">
        <v>3263</v>
      </c>
      <c r="D42" s="96">
        <v>3</v>
      </c>
      <c r="E42" s="113">
        <v>1005</v>
      </c>
      <c r="F42" s="113">
        <v>1005</v>
      </c>
      <c r="G42" s="109" t="s">
        <v>3263</v>
      </c>
      <c r="H42" s="111" t="s">
        <v>3264</v>
      </c>
      <c r="I42" s="117" t="s">
        <v>3265</v>
      </c>
      <c r="J42" s="96" t="s">
        <v>3003</v>
      </c>
      <c r="K42" s="96">
        <f t="shared" si="1"/>
        <v>2</v>
      </c>
      <c r="L42" s="118">
        <v>400008</v>
      </c>
      <c r="M42" s="119">
        <v>100</v>
      </c>
      <c r="N42" s="119">
        <v>50000</v>
      </c>
      <c r="O42" s="119">
        <v>5000</v>
      </c>
      <c r="P42" s="64" t="s">
        <v>3004</v>
      </c>
      <c r="Q42" s="64" t="s">
        <v>3005</v>
      </c>
      <c r="R42" s="78">
        <f t="shared" si="6"/>
        <v>3</v>
      </c>
      <c r="S42" s="135">
        <v>4</v>
      </c>
      <c r="T42" s="78">
        <f t="shared" si="18"/>
        <v>2</v>
      </c>
      <c r="U42" s="78">
        <v>30</v>
      </c>
      <c r="V42" s="96">
        <v>24</v>
      </c>
      <c r="W42" s="78">
        <v>29640000</v>
      </c>
      <c r="X42" s="96"/>
      <c r="Y42" s="96">
        <v>5000</v>
      </c>
      <c r="Z42" s="96"/>
      <c r="AA42" s="96" t="s">
        <v>3199</v>
      </c>
      <c r="AB42" s="96"/>
      <c r="AC42" s="96"/>
      <c r="AD42" s="96">
        <v>1</v>
      </c>
      <c r="AE42" s="78">
        <f>AF42+AI42+1</f>
        <v>530002</v>
      </c>
      <c r="AF42" s="78">
        <v>530000</v>
      </c>
      <c r="AG42" s="78">
        <f t="shared" si="2"/>
        <v>3000</v>
      </c>
      <c r="AH42" s="78">
        <v>1</v>
      </c>
      <c r="AI42" s="78">
        <v>1</v>
      </c>
      <c r="AJ42" s="78">
        <v>5</v>
      </c>
      <c r="AK42" s="96"/>
      <c r="AL42" s="96">
        <v>2</v>
      </c>
      <c r="AM42" s="96" t="s">
        <v>3266</v>
      </c>
      <c r="AN42" s="96" t="s">
        <v>3267</v>
      </c>
      <c r="AO42" s="111" t="s">
        <v>3268</v>
      </c>
      <c r="AP42" s="144" t="s">
        <v>3269</v>
      </c>
      <c r="AQ42" s="141" t="str">
        <f t="shared" ref="AQ42:AQ47" si="20">AN42</f>
        <v>378|389|</v>
      </c>
      <c r="AR42" s="113"/>
      <c r="AS42" s="91" t="str">
        <f t="shared" si="19"/>
        <v>juzhong.ani|3;.ani</v>
      </c>
      <c r="AV42" s="107" t="s">
        <v>3175</v>
      </c>
      <c r="AX42" s="107">
        <v>20</v>
      </c>
      <c r="AY42" s="96">
        <v>378</v>
      </c>
      <c r="AZ42" s="91">
        <v>374</v>
      </c>
      <c r="BA42" s="91">
        <f t="shared" si="4"/>
        <v>389</v>
      </c>
      <c r="BB42" s="91" t="str">
        <f t="shared" si="5"/>
        <v>378|389|</v>
      </c>
      <c r="BC42" s="91" t="s">
        <v>90</v>
      </c>
    </row>
    <row r="43" spans="1:55">
      <c r="A43" s="96">
        <f t="shared" si="0"/>
        <v>932006</v>
      </c>
      <c r="B43" s="96">
        <v>6</v>
      </c>
      <c r="C43" s="96" t="s">
        <v>3270</v>
      </c>
      <c r="D43" s="96">
        <v>3</v>
      </c>
      <c r="E43" s="113">
        <v>1005</v>
      </c>
      <c r="F43" s="113">
        <v>1005</v>
      </c>
      <c r="G43" s="109" t="s">
        <v>3270</v>
      </c>
      <c r="H43" s="111" t="s">
        <v>3271</v>
      </c>
      <c r="I43" s="117" t="s">
        <v>3272</v>
      </c>
      <c r="J43" s="96" t="s">
        <v>3003</v>
      </c>
      <c r="K43" s="96">
        <f t="shared" si="1"/>
        <v>2</v>
      </c>
      <c r="L43" s="118">
        <v>400008</v>
      </c>
      <c r="M43" s="119">
        <v>120</v>
      </c>
      <c r="N43" s="119">
        <v>72000</v>
      </c>
      <c r="O43" s="119">
        <v>7200</v>
      </c>
      <c r="P43" s="64" t="s">
        <v>3004</v>
      </c>
      <c r="Q43" s="64" t="s">
        <v>3005</v>
      </c>
      <c r="R43" s="78">
        <f t="shared" si="6"/>
        <v>3</v>
      </c>
      <c r="S43" s="135">
        <v>4</v>
      </c>
      <c r="T43" s="78">
        <f t="shared" si="18"/>
        <v>2</v>
      </c>
      <c r="U43" s="78">
        <v>70</v>
      </c>
      <c r="V43" s="96">
        <v>48</v>
      </c>
      <c r="W43" s="78">
        <v>536712000</v>
      </c>
      <c r="X43" s="96"/>
      <c r="Y43" s="96">
        <v>5000</v>
      </c>
      <c r="Z43" s="96"/>
      <c r="AA43" s="96" t="s">
        <v>3199</v>
      </c>
      <c r="AB43" s="96"/>
      <c r="AC43" s="96"/>
      <c r="AD43" s="96">
        <v>1</v>
      </c>
      <c r="AE43" s="78">
        <f t="shared" ref="AE43:AE47" si="21">AF43+AI43+1</f>
        <v>530006</v>
      </c>
      <c r="AF43" s="78">
        <v>530000</v>
      </c>
      <c r="AG43" s="78">
        <f t="shared" si="2"/>
        <v>3003</v>
      </c>
      <c r="AH43" s="78">
        <v>4</v>
      </c>
      <c r="AI43" s="78">
        <v>5</v>
      </c>
      <c r="AJ43" s="78">
        <v>10</v>
      </c>
      <c r="AK43" s="96"/>
      <c r="AL43" s="96">
        <v>2</v>
      </c>
      <c r="AM43" s="96" t="s">
        <v>3266</v>
      </c>
      <c r="AN43" s="96" t="s">
        <v>3267</v>
      </c>
      <c r="AO43" s="111" t="s">
        <v>3273</v>
      </c>
      <c r="AP43" s="144" t="s">
        <v>3269</v>
      </c>
      <c r="AQ43" s="141" t="str">
        <f t="shared" si="20"/>
        <v>378|389|</v>
      </c>
      <c r="AR43" s="113"/>
      <c r="AS43" s="91" t="str">
        <f t="shared" si="19"/>
        <v>picai.ani|3;.ani</v>
      </c>
      <c r="AV43" s="107" t="s">
        <v>3175</v>
      </c>
      <c r="AX43" s="107">
        <v>40</v>
      </c>
      <c r="AY43" s="96">
        <v>378</v>
      </c>
      <c r="AZ43" s="91">
        <v>374</v>
      </c>
      <c r="BA43" s="91">
        <f t="shared" si="4"/>
        <v>389</v>
      </c>
      <c r="BB43" s="91" t="str">
        <f t="shared" si="5"/>
        <v>378|389|</v>
      </c>
      <c r="BC43" s="91" t="s">
        <v>90</v>
      </c>
    </row>
    <row r="44" spans="1:55">
      <c r="A44" s="96">
        <f t="shared" si="0"/>
        <v>932007</v>
      </c>
      <c r="B44" s="96">
        <v>7</v>
      </c>
      <c r="C44" s="96" t="s">
        <v>3274</v>
      </c>
      <c r="D44" s="96">
        <v>3</v>
      </c>
      <c r="E44" s="113">
        <v>1005</v>
      </c>
      <c r="F44" s="113">
        <v>1005</v>
      </c>
      <c r="G44" s="109" t="s">
        <v>3274</v>
      </c>
      <c r="H44" s="114" t="s">
        <v>3275</v>
      </c>
      <c r="I44" s="126" t="s">
        <v>3276</v>
      </c>
      <c r="J44" s="96" t="s">
        <v>3003</v>
      </c>
      <c r="K44" s="96">
        <f t="shared" si="1"/>
        <v>2</v>
      </c>
      <c r="L44" s="118">
        <v>400008</v>
      </c>
      <c r="M44" s="119">
        <v>140</v>
      </c>
      <c r="N44" s="119">
        <v>98000</v>
      </c>
      <c r="O44" s="119">
        <v>9800</v>
      </c>
      <c r="P44" s="64" t="s">
        <v>3004</v>
      </c>
      <c r="Q44" s="64" t="s">
        <v>3005</v>
      </c>
      <c r="R44" s="78">
        <f t="shared" si="6"/>
        <v>3</v>
      </c>
      <c r="S44" s="135">
        <v>3</v>
      </c>
      <c r="T44" s="78">
        <f t="shared" si="18"/>
        <v>2</v>
      </c>
      <c r="U44" s="78">
        <v>130</v>
      </c>
      <c r="V44" s="96">
        <v>73</v>
      </c>
      <c r="W44" s="78">
        <v>3338224000</v>
      </c>
      <c r="X44" s="96"/>
      <c r="Y44" s="96">
        <v>5000</v>
      </c>
      <c r="Z44" s="96"/>
      <c r="AA44" s="96" t="s">
        <v>3199</v>
      </c>
      <c r="AB44" s="96"/>
      <c r="AC44" s="96"/>
      <c r="AD44" s="96">
        <v>1</v>
      </c>
      <c r="AE44" s="78">
        <f t="shared" si="21"/>
        <v>530006</v>
      </c>
      <c r="AF44" s="78">
        <v>530000</v>
      </c>
      <c r="AG44" s="78">
        <f t="shared" si="2"/>
        <v>3005</v>
      </c>
      <c r="AH44" s="78">
        <v>6</v>
      </c>
      <c r="AI44" s="78">
        <v>5</v>
      </c>
      <c r="AJ44" s="78">
        <v>15</v>
      </c>
      <c r="AK44" s="96"/>
      <c r="AL44" s="96">
        <v>1</v>
      </c>
      <c r="AM44" s="96" t="s">
        <v>3277</v>
      </c>
      <c r="AN44" s="113" t="s">
        <v>3278</v>
      </c>
      <c r="AO44" s="114" t="s">
        <v>3273</v>
      </c>
      <c r="AP44" s="144" t="s">
        <v>3269</v>
      </c>
      <c r="AQ44" s="141" t="str">
        <f t="shared" si="20"/>
        <v>341|437|</v>
      </c>
      <c r="AR44" s="113"/>
      <c r="AV44" s="107" t="s">
        <v>3175</v>
      </c>
      <c r="AX44" s="107">
        <v>60</v>
      </c>
      <c r="AY44" s="113">
        <v>341</v>
      </c>
      <c r="AZ44" s="91">
        <v>422</v>
      </c>
      <c r="BA44" s="91">
        <f t="shared" si="4"/>
        <v>437</v>
      </c>
      <c r="BB44" s="91" t="str">
        <f t="shared" si="5"/>
        <v>341|437|</v>
      </c>
      <c r="BC44" s="91" t="s">
        <v>90</v>
      </c>
    </row>
    <row r="45" spans="1:55">
      <c r="A45" s="96">
        <f t="shared" si="0"/>
        <v>932008</v>
      </c>
      <c r="B45" s="96">
        <v>8</v>
      </c>
      <c r="C45" s="96" t="s">
        <v>3279</v>
      </c>
      <c r="D45" s="96">
        <v>3</v>
      </c>
      <c r="E45" s="113">
        <v>1005</v>
      </c>
      <c r="F45" s="113">
        <v>1005</v>
      </c>
      <c r="G45" s="109" t="s">
        <v>3279</v>
      </c>
      <c r="H45" s="114" t="s">
        <v>3280</v>
      </c>
      <c r="I45" s="126" t="s">
        <v>3281</v>
      </c>
      <c r="J45" s="96" t="s">
        <v>3003</v>
      </c>
      <c r="K45" s="96">
        <f t="shared" si="1"/>
        <v>2</v>
      </c>
      <c r="L45" s="118">
        <v>400008</v>
      </c>
      <c r="M45" s="119">
        <v>160</v>
      </c>
      <c r="N45" s="119">
        <v>128000</v>
      </c>
      <c r="O45" s="119">
        <v>12800</v>
      </c>
      <c r="P45" s="64" t="s">
        <v>3004</v>
      </c>
      <c r="Q45" s="64" t="s">
        <v>3005</v>
      </c>
      <c r="R45" s="78">
        <f t="shared" si="6"/>
        <v>3</v>
      </c>
      <c r="S45" s="135">
        <v>3</v>
      </c>
      <c r="T45" s="78">
        <f t="shared" si="18"/>
        <v>2</v>
      </c>
      <c r="U45" s="78">
        <v>200</v>
      </c>
      <c r="V45" s="96">
        <v>133</v>
      </c>
      <c r="W45" s="78">
        <v>6824344000</v>
      </c>
      <c r="X45" s="96"/>
      <c r="Y45" s="96">
        <v>5000</v>
      </c>
      <c r="Z45" s="96"/>
      <c r="AA45" s="96" t="s">
        <v>3199</v>
      </c>
      <c r="AB45" s="96"/>
      <c r="AC45" s="96"/>
      <c r="AD45" s="96">
        <v>1</v>
      </c>
      <c r="AE45" s="78">
        <f t="shared" si="21"/>
        <v>530010</v>
      </c>
      <c r="AF45" s="78">
        <v>530000</v>
      </c>
      <c r="AG45" s="78">
        <f t="shared" si="2"/>
        <v>3008</v>
      </c>
      <c r="AH45" s="78">
        <v>9</v>
      </c>
      <c r="AI45" s="78">
        <v>9</v>
      </c>
      <c r="AJ45" s="78">
        <v>20</v>
      </c>
      <c r="AK45" s="96"/>
      <c r="AL45" s="96">
        <v>2</v>
      </c>
      <c r="AM45" s="96" t="s">
        <v>3282</v>
      </c>
      <c r="AN45" s="113" t="s">
        <v>3278</v>
      </c>
      <c r="AO45" s="114" t="s">
        <v>3283</v>
      </c>
      <c r="AP45" s="144" t="s">
        <v>3284</v>
      </c>
      <c r="AQ45" s="141" t="str">
        <f t="shared" si="20"/>
        <v>341|437|</v>
      </c>
      <c r="AR45" s="113"/>
      <c r="AV45" s="107" t="s">
        <v>3175</v>
      </c>
      <c r="AX45" s="107">
        <v>100</v>
      </c>
      <c r="AY45" s="113">
        <v>341</v>
      </c>
      <c r="AZ45" s="91">
        <v>422</v>
      </c>
      <c r="BA45" s="91">
        <f t="shared" si="4"/>
        <v>437</v>
      </c>
      <c r="BB45" s="91" t="str">
        <f t="shared" si="5"/>
        <v>341|437|</v>
      </c>
      <c r="BC45" s="91" t="s">
        <v>90</v>
      </c>
    </row>
    <row r="46" spans="1:55">
      <c r="A46" s="96">
        <f t="shared" si="0"/>
        <v>933009</v>
      </c>
      <c r="B46" s="96">
        <v>9</v>
      </c>
      <c r="C46" s="96" t="s">
        <v>3183</v>
      </c>
      <c r="D46" s="96">
        <v>3</v>
      </c>
      <c r="E46" s="113">
        <v>1006</v>
      </c>
      <c r="F46" s="113">
        <v>1006</v>
      </c>
      <c r="G46" s="109" t="s">
        <v>3183</v>
      </c>
      <c r="H46" s="111" t="s">
        <v>3285</v>
      </c>
      <c r="I46" s="127" t="s">
        <v>3286</v>
      </c>
      <c r="J46" s="96" t="s">
        <v>3003</v>
      </c>
      <c r="K46" s="96">
        <f t="shared" si="1"/>
        <v>3</v>
      </c>
      <c r="L46" s="118">
        <v>400009</v>
      </c>
      <c r="M46" s="119">
        <v>100</v>
      </c>
      <c r="N46" s="119">
        <v>50000</v>
      </c>
      <c r="O46" s="119">
        <v>5000</v>
      </c>
      <c r="P46" s="64" t="s">
        <v>3004</v>
      </c>
      <c r="Q46" s="64" t="s">
        <v>3005</v>
      </c>
      <c r="R46" s="78">
        <f t="shared" si="6"/>
        <v>3</v>
      </c>
      <c r="S46" s="135">
        <v>4</v>
      </c>
      <c r="T46" s="78">
        <f t="shared" si="18"/>
        <v>2</v>
      </c>
      <c r="U46" s="78">
        <v>30</v>
      </c>
      <c r="V46" s="96">
        <v>24</v>
      </c>
      <c r="W46" s="78">
        <v>29640000</v>
      </c>
      <c r="X46" s="96"/>
      <c r="Y46" s="96">
        <v>5000</v>
      </c>
      <c r="Z46" s="96"/>
      <c r="AA46" s="96" t="s">
        <v>3066</v>
      </c>
      <c r="AB46" s="96" t="s">
        <v>3067</v>
      </c>
      <c r="AC46" s="96" t="s">
        <v>3068</v>
      </c>
      <c r="AD46" s="96">
        <v>1</v>
      </c>
      <c r="AE46" s="78">
        <f t="shared" si="21"/>
        <v>130006</v>
      </c>
      <c r="AF46" s="78">
        <v>130000</v>
      </c>
      <c r="AG46" s="78">
        <f t="shared" si="2"/>
        <v>3001</v>
      </c>
      <c r="AH46" s="78">
        <v>2</v>
      </c>
      <c r="AI46" s="78">
        <v>5</v>
      </c>
      <c r="AJ46" s="78">
        <v>5</v>
      </c>
      <c r="AK46" s="96"/>
      <c r="AL46" s="96">
        <v>2</v>
      </c>
      <c r="AM46" s="113" t="s">
        <v>3287</v>
      </c>
      <c r="AN46" s="113" t="s">
        <v>3288</v>
      </c>
      <c r="AO46" s="111" t="s">
        <v>3289</v>
      </c>
      <c r="AP46" s="144" t="s">
        <v>3290</v>
      </c>
      <c r="AQ46" s="141" t="str">
        <f t="shared" si="20"/>
        <v>518|534|</v>
      </c>
      <c r="AR46" s="113"/>
      <c r="AS46" s="91" t="s">
        <v>3291</v>
      </c>
      <c r="AV46" s="107" t="s">
        <v>3175</v>
      </c>
      <c r="AX46" s="107">
        <v>20</v>
      </c>
      <c r="AY46" s="113">
        <v>518</v>
      </c>
      <c r="AZ46" s="91">
        <v>519</v>
      </c>
      <c r="BA46" s="91">
        <f t="shared" si="4"/>
        <v>534</v>
      </c>
      <c r="BB46" s="91" t="str">
        <f t="shared" si="5"/>
        <v>518|534|</v>
      </c>
      <c r="BC46" s="91" t="s">
        <v>90</v>
      </c>
    </row>
    <row r="47" spans="1:55">
      <c r="A47" s="96">
        <f t="shared" si="0"/>
        <v>933010</v>
      </c>
      <c r="B47" s="96">
        <v>10</v>
      </c>
      <c r="C47" s="96" t="s">
        <v>3168</v>
      </c>
      <c r="D47" s="96">
        <v>3</v>
      </c>
      <c r="E47" s="113">
        <v>1010</v>
      </c>
      <c r="F47" s="113">
        <v>1010</v>
      </c>
      <c r="G47" s="109" t="s">
        <v>3168</v>
      </c>
      <c r="H47" s="111" t="s">
        <v>3292</v>
      </c>
      <c r="I47" s="123" t="s">
        <v>3293</v>
      </c>
      <c r="J47" s="96" t="s">
        <v>3003</v>
      </c>
      <c r="K47" s="96">
        <f t="shared" si="1"/>
        <v>3</v>
      </c>
      <c r="L47" s="118">
        <v>400009</v>
      </c>
      <c r="M47" s="119">
        <v>120</v>
      </c>
      <c r="N47" s="119">
        <v>72000</v>
      </c>
      <c r="O47" s="119">
        <v>7200</v>
      </c>
      <c r="P47" s="64" t="s">
        <v>3004</v>
      </c>
      <c r="Q47" s="64" t="s">
        <v>3005</v>
      </c>
      <c r="R47" s="78">
        <f t="shared" si="6"/>
        <v>3</v>
      </c>
      <c r="S47" s="135">
        <v>4</v>
      </c>
      <c r="T47" s="78">
        <f t="shared" si="18"/>
        <v>2</v>
      </c>
      <c r="U47" s="78">
        <v>70</v>
      </c>
      <c r="V47" s="96">
        <v>48</v>
      </c>
      <c r="W47" s="78">
        <v>536712000</v>
      </c>
      <c r="X47" s="96"/>
      <c r="Y47" s="96">
        <v>5000</v>
      </c>
      <c r="Z47" s="96"/>
      <c r="AA47" s="96" t="s">
        <v>3089</v>
      </c>
      <c r="AB47" s="96" t="s">
        <v>3067</v>
      </c>
      <c r="AC47" s="96" t="s">
        <v>3068</v>
      </c>
      <c r="AD47" s="96">
        <v>1</v>
      </c>
      <c r="AE47" s="78">
        <f t="shared" si="21"/>
        <v>430006</v>
      </c>
      <c r="AF47" s="78">
        <v>430000</v>
      </c>
      <c r="AG47" s="78">
        <f t="shared" si="2"/>
        <v>3003</v>
      </c>
      <c r="AH47" s="78">
        <v>4</v>
      </c>
      <c r="AI47" s="78">
        <v>5</v>
      </c>
      <c r="AJ47" s="78">
        <v>10</v>
      </c>
      <c r="AK47" s="96"/>
      <c r="AL47" s="96">
        <v>2</v>
      </c>
      <c r="AM47" s="113" t="s">
        <v>3287</v>
      </c>
      <c r="AN47" s="113" t="s">
        <v>3288</v>
      </c>
      <c r="AO47" s="111" t="s">
        <v>3294</v>
      </c>
      <c r="AP47" s="144" t="s">
        <v>3295</v>
      </c>
      <c r="AQ47" s="141" t="str">
        <f t="shared" si="20"/>
        <v>518|534|</v>
      </c>
      <c r="AR47" s="113"/>
      <c r="AS47" s="91" t="e">
        <f ca="1">OFFSET(#REF!,MATCH(H6,#REF!,0)-1,0)</f>
        <v>#REF!</v>
      </c>
      <c r="AV47" s="107" t="s">
        <v>3175</v>
      </c>
      <c r="AX47" s="107">
        <v>40</v>
      </c>
      <c r="AY47" s="113">
        <v>518</v>
      </c>
      <c r="AZ47" s="91">
        <v>519</v>
      </c>
      <c r="BA47" s="91">
        <f t="shared" si="4"/>
        <v>534</v>
      </c>
      <c r="BB47" s="91" t="str">
        <f t="shared" si="5"/>
        <v>518|534|</v>
      </c>
      <c r="BC47" s="91" t="s">
        <v>90</v>
      </c>
    </row>
    <row r="48" spans="1:55">
      <c r="A48" s="96">
        <f t="shared" si="0"/>
        <v>933011</v>
      </c>
      <c r="B48" s="96">
        <v>11</v>
      </c>
      <c r="C48" s="96" t="s">
        <v>3296</v>
      </c>
      <c r="D48" s="96">
        <v>3</v>
      </c>
      <c r="E48" s="113">
        <v>1007</v>
      </c>
      <c r="F48" s="113">
        <v>1007</v>
      </c>
      <c r="G48" s="109" t="s">
        <v>3296</v>
      </c>
      <c r="H48" s="111" t="s">
        <v>3297</v>
      </c>
      <c r="I48" s="117" t="s">
        <v>3298</v>
      </c>
      <c r="J48" s="96" t="s">
        <v>3003</v>
      </c>
      <c r="K48" s="96">
        <f t="shared" si="1"/>
        <v>3</v>
      </c>
      <c r="L48" s="118">
        <v>400009</v>
      </c>
      <c r="M48" s="119">
        <v>140</v>
      </c>
      <c r="N48" s="119">
        <v>98000</v>
      </c>
      <c r="O48" s="119">
        <v>9800</v>
      </c>
      <c r="P48" s="64" t="s">
        <v>3004</v>
      </c>
      <c r="Q48" s="64" t="s">
        <v>3005</v>
      </c>
      <c r="R48" s="78">
        <f t="shared" si="6"/>
        <v>3</v>
      </c>
      <c r="S48" s="135">
        <v>3</v>
      </c>
      <c r="T48" s="78">
        <f t="shared" si="18"/>
        <v>2</v>
      </c>
      <c r="U48" s="78">
        <v>130</v>
      </c>
      <c r="V48" s="96">
        <v>73</v>
      </c>
      <c r="W48" s="78">
        <v>3338224000</v>
      </c>
      <c r="X48" s="96"/>
      <c r="Y48" s="96">
        <v>5000</v>
      </c>
      <c r="Z48" s="96"/>
      <c r="AA48" s="96" t="s">
        <v>3077</v>
      </c>
      <c r="AB48" s="96"/>
      <c r="AC48" s="96"/>
      <c r="AD48" s="96">
        <v>1</v>
      </c>
      <c r="AE48" s="78"/>
      <c r="AF48" s="78">
        <v>130000</v>
      </c>
      <c r="AG48" s="78">
        <f t="shared" si="2"/>
        <v>3006</v>
      </c>
      <c r="AH48" s="78">
        <v>7</v>
      </c>
      <c r="AI48" s="78">
        <v>9</v>
      </c>
      <c r="AJ48" s="78">
        <v>15</v>
      </c>
      <c r="AK48" s="96"/>
      <c r="AL48" s="96">
        <v>2</v>
      </c>
      <c r="AM48" s="113" t="s">
        <v>3299</v>
      </c>
      <c r="AN48" s="113" t="s">
        <v>3299</v>
      </c>
      <c r="AO48" s="111" t="s">
        <v>3300</v>
      </c>
      <c r="AP48" s="113" t="s">
        <v>3301</v>
      </c>
      <c r="AQ48" s="113" t="s">
        <v>3299</v>
      </c>
      <c r="AR48" s="113">
        <v>50</v>
      </c>
      <c r="AV48" s="107" t="s">
        <v>3175</v>
      </c>
      <c r="AX48" s="107">
        <v>100</v>
      </c>
      <c r="AY48" s="113">
        <v>909</v>
      </c>
      <c r="AZ48" s="91">
        <v>929</v>
      </c>
      <c r="BA48" s="91">
        <f t="shared" si="4"/>
        <v>944</v>
      </c>
      <c r="BB48" s="91" t="str">
        <f t="shared" si="5"/>
        <v>909|944|</v>
      </c>
      <c r="BC48" s="91" t="s">
        <v>90</v>
      </c>
    </row>
    <row r="49" spans="1:55">
      <c r="A49" s="96">
        <f t="shared" si="0"/>
        <v>933012</v>
      </c>
      <c r="B49" s="96">
        <v>12</v>
      </c>
      <c r="C49" s="96" t="s">
        <v>3302</v>
      </c>
      <c r="D49" s="96">
        <v>3</v>
      </c>
      <c r="E49" s="113">
        <v>1011</v>
      </c>
      <c r="F49" s="113">
        <v>1011</v>
      </c>
      <c r="G49" s="109" t="s">
        <v>3302</v>
      </c>
      <c r="H49" s="111" t="s">
        <v>3303</v>
      </c>
      <c r="I49" s="117" t="s">
        <v>3304</v>
      </c>
      <c r="J49" s="96" t="s">
        <v>3003</v>
      </c>
      <c r="K49" s="96">
        <f t="shared" si="1"/>
        <v>3</v>
      </c>
      <c r="L49" s="118">
        <v>400009</v>
      </c>
      <c r="M49" s="119">
        <v>160</v>
      </c>
      <c r="N49" s="119">
        <v>128000</v>
      </c>
      <c r="O49" s="119">
        <v>12800</v>
      </c>
      <c r="P49" s="64" t="s">
        <v>3004</v>
      </c>
      <c r="Q49" s="64" t="s">
        <v>3005</v>
      </c>
      <c r="R49" s="78">
        <f t="shared" si="6"/>
        <v>3</v>
      </c>
      <c r="S49" s="135">
        <v>3</v>
      </c>
      <c r="T49" s="78">
        <f t="shared" si="18"/>
        <v>2</v>
      </c>
      <c r="U49" s="78">
        <v>200</v>
      </c>
      <c r="V49" s="96">
        <v>133</v>
      </c>
      <c r="W49" s="78">
        <v>6824344000</v>
      </c>
      <c r="X49" s="96"/>
      <c r="Y49" s="96">
        <v>5000</v>
      </c>
      <c r="Z49" s="96"/>
      <c r="AA49" s="96" t="s">
        <v>3096</v>
      </c>
      <c r="AB49" s="96"/>
      <c r="AC49" s="96"/>
      <c r="AD49" s="96">
        <v>1</v>
      </c>
      <c r="AE49" s="78"/>
      <c r="AF49" s="78">
        <v>430000</v>
      </c>
      <c r="AG49" s="78">
        <f t="shared" si="2"/>
        <v>3008</v>
      </c>
      <c r="AH49" s="78">
        <v>9</v>
      </c>
      <c r="AI49" s="78">
        <v>9</v>
      </c>
      <c r="AJ49" s="78">
        <v>20</v>
      </c>
      <c r="AK49" s="96"/>
      <c r="AL49" s="96">
        <v>2</v>
      </c>
      <c r="AM49" s="113" t="s">
        <v>3305</v>
      </c>
      <c r="AN49" s="113" t="s">
        <v>3306</v>
      </c>
      <c r="AO49" s="111" t="s">
        <v>3250</v>
      </c>
      <c r="AP49" s="144" t="s">
        <v>3307</v>
      </c>
      <c r="AQ49" s="141" t="str">
        <f t="shared" ref="AQ49:AQ55" si="22">AN49</f>
        <v>641|869|</v>
      </c>
      <c r="AR49" s="113"/>
      <c r="AV49" s="107" t="s">
        <v>3175</v>
      </c>
      <c r="AX49" s="107">
        <v>60</v>
      </c>
      <c r="AY49" s="113">
        <v>641</v>
      </c>
      <c r="AZ49" s="91">
        <v>854</v>
      </c>
      <c r="BA49" s="91">
        <f t="shared" si="4"/>
        <v>869</v>
      </c>
      <c r="BB49" s="91" t="str">
        <f t="shared" si="5"/>
        <v>641|869|</v>
      </c>
      <c r="BC49" s="91" t="s">
        <v>90</v>
      </c>
    </row>
    <row r="50" spans="1:55">
      <c r="A50" s="96">
        <f t="shared" si="0"/>
        <v>934013</v>
      </c>
      <c r="B50" s="96">
        <v>13</v>
      </c>
      <c r="C50" s="96" t="s">
        <v>3308</v>
      </c>
      <c r="D50" s="96">
        <v>3</v>
      </c>
      <c r="E50" s="113">
        <v>1005</v>
      </c>
      <c r="F50" s="113">
        <v>1005</v>
      </c>
      <c r="G50" s="109" t="s">
        <v>3308</v>
      </c>
      <c r="H50" s="111" t="s">
        <v>3309</v>
      </c>
      <c r="I50" s="117" t="s">
        <v>3310</v>
      </c>
      <c r="J50" s="96" t="s">
        <v>3003</v>
      </c>
      <c r="K50" s="96">
        <f t="shared" si="1"/>
        <v>4</v>
      </c>
      <c r="L50" s="118">
        <v>400010</v>
      </c>
      <c r="M50" s="119">
        <v>100</v>
      </c>
      <c r="N50" s="119">
        <v>50000</v>
      </c>
      <c r="O50" s="119">
        <v>5000</v>
      </c>
      <c r="P50" s="64" t="s">
        <v>3004</v>
      </c>
      <c r="Q50" s="64" t="s">
        <v>3005</v>
      </c>
      <c r="R50" s="78">
        <f t="shared" si="6"/>
        <v>3</v>
      </c>
      <c r="S50" s="135">
        <v>4</v>
      </c>
      <c r="T50" s="78">
        <f t="shared" si="18"/>
        <v>2</v>
      </c>
      <c r="U50" s="78">
        <v>30</v>
      </c>
      <c r="V50" s="96">
        <v>24</v>
      </c>
      <c r="W50" s="78">
        <v>29640000</v>
      </c>
      <c r="X50" s="96"/>
      <c r="Y50" s="96">
        <v>5000</v>
      </c>
      <c r="Z50" s="96"/>
      <c r="AA50" s="96" t="s">
        <v>3199</v>
      </c>
      <c r="AB50" s="96"/>
      <c r="AC50" s="96"/>
      <c r="AD50" s="96">
        <v>1</v>
      </c>
      <c r="AE50" s="78">
        <f>AF50+AI50+1</f>
        <v>530002</v>
      </c>
      <c r="AF50" s="78">
        <v>530000</v>
      </c>
      <c r="AG50" s="78">
        <f t="shared" si="2"/>
        <v>3001</v>
      </c>
      <c r="AH50" s="78">
        <v>2</v>
      </c>
      <c r="AI50" s="78">
        <v>1</v>
      </c>
      <c r="AJ50" s="78">
        <v>5</v>
      </c>
      <c r="AK50" s="96"/>
      <c r="AL50" s="96">
        <v>2</v>
      </c>
      <c r="AM50" s="96" t="s">
        <v>3266</v>
      </c>
      <c r="AN50" s="96" t="s">
        <v>3267</v>
      </c>
      <c r="AO50" s="111" t="s">
        <v>3283</v>
      </c>
      <c r="AP50" s="144" t="s">
        <v>3269</v>
      </c>
      <c r="AQ50" s="141" t="str">
        <f t="shared" si="22"/>
        <v>378|389|</v>
      </c>
      <c r="AR50" s="113"/>
      <c r="AV50" s="107" t="s">
        <v>3175</v>
      </c>
      <c r="AX50" s="107">
        <v>100</v>
      </c>
      <c r="AY50" s="96">
        <v>378</v>
      </c>
      <c r="AZ50" s="91">
        <v>374</v>
      </c>
      <c r="BA50" s="91">
        <f t="shared" si="4"/>
        <v>389</v>
      </c>
      <c r="BB50" s="91" t="str">
        <f t="shared" si="5"/>
        <v>378|389|</v>
      </c>
      <c r="BC50" s="91" t="s">
        <v>90</v>
      </c>
    </row>
    <row r="51" ht="27.75" spans="1:55">
      <c r="A51" s="96">
        <f t="shared" si="0"/>
        <v>934014</v>
      </c>
      <c r="B51" s="96">
        <v>14</v>
      </c>
      <c r="C51" s="96" t="s">
        <v>3311</v>
      </c>
      <c r="D51" s="96">
        <v>3</v>
      </c>
      <c r="E51" s="113">
        <v>1005</v>
      </c>
      <c r="F51" s="113">
        <v>1005</v>
      </c>
      <c r="G51" s="109" t="s">
        <v>3311</v>
      </c>
      <c r="H51" s="111" t="s">
        <v>3312</v>
      </c>
      <c r="I51" s="117" t="s">
        <v>3313</v>
      </c>
      <c r="J51" s="96" t="s">
        <v>3003</v>
      </c>
      <c r="K51" s="96">
        <f t="shared" si="1"/>
        <v>4</v>
      </c>
      <c r="L51" s="118">
        <v>400010</v>
      </c>
      <c r="M51" s="119">
        <v>120</v>
      </c>
      <c r="N51" s="119">
        <v>72000</v>
      </c>
      <c r="O51" s="119">
        <v>7200</v>
      </c>
      <c r="P51" s="64" t="s">
        <v>3004</v>
      </c>
      <c r="Q51" s="64" t="s">
        <v>3005</v>
      </c>
      <c r="R51" s="78">
        <f t="shared" si="6"/>
        <v>3</v>
      </c>
      <c r="S51" s="135">
        <v>4</v>
      </c>
      <c r="T51" s="78">
        <f t="shared" si="18"/>
        <v>2</v>
      </c>
      <c r="U51" s="78">
        <v>70</v>
      </c>
      <c r="V51" s="96">
        <v>48</v>
      </c>
      <c r="W51" s="78">
        <v>536712000</v>
      </c>
      <c r="X51" s="96"/>
      <c r="Y51" s="96">
        <v>5000</v>
      </c>
      <c r="Z51" s="96"/>
      <c r="AA51" s="96" t="s">
        <v>3314</v>
      </c>
      <c r="AB51" s="96"/>
      <c r="AC51" s="96"/>
      <c r="AD51" s="96">
        <v>1</v>
      </c>
      <c r="AE51" s="78"/>
      <c r="AF51" s="78">
        <v>530000</v>
      </c>
      <c r="AG51" s="78">
        <f t="shared" si="2"/>
        <v>3004</v>
      </c>
      <c r="AH51" s="78">
        <v>5</v>
      </c>
      <c r="AI51" s="78">
        <v>5</v>
      </c>
      <c r="AJ51" s="78">
        <v>10</v>
      </c>
      <c r="AK51" s="96"/>
      <c r="AL51" s="96">
        <v>2</v>
      </c>
      <c r="AM51" s="96" t="s">
        <v>3266</v>
      </c>
      <c r="AN51" s="96" t="s">
        <v>3267</v>
      </c>
      <c r="AO51" s="111" t="s">
        <v>3162</v>
      </c>
      <c r="AP51" s="144" t="s">
        <v>3269</v>
      </c>
      <c r="AQ51" s="141" t="str">
        <f t="shared" si="22"/>
        <v>378|389|</v>
      </c>
      <c r="AR51" s="113"/>
      <c r="AS51" s="91" t="str">
        <f>AO18&amp;$AU$22</f>
        <v>putongcanyin.ani|3;.ani</v>
      </c>
      <c r="AV51" s="107" t="s">
        <v>3175</v>
      </c>
      <c r="AX51" s="107">
        <v>60</v>
      </c>
      <c r="AY51" s="96">
        <v>378</v>
      </c>
      <c r="AZ51" s="91">
        <v>374</v>
      </c>
      <c r="BA51" s="91">
        <f t="shared" si="4"/>
        <v>389</v>
      </c>
      <c r="BB51" s="91" t="str">
        <f t="shared" si="5"/>
        <v>378|389|</v>
      </c>
      <c r="BC51" s="91" t="s">
        <v>90</v>
      </c>
    </row>
    <row r="52" ht="27.75" spans="1:55">
      <c r="A52" s="96">
        <f t="shared" si="0"/>
        <v>934015</v>
      </c>
      <c r="B52" s="96">
        <v>15</v>
      </c>
      <c r="C52" s="96" t="s">
        <v>3315</v>
      </c>
      <c r="D52" s="96">
        <v>3</v>
      </c>
      <c r="E52" s="113">
        <v>1018</v>
      </c>
      <c r="F52" s="113">
        <v>1018</v>
      </c>
      <c r="G52" s="109" t="s">
        <v>3315</v>
      </c>
      <c r="H52" s="111" t="s">
        <v>3316</v>
      </c>
      <c r="I52" s="126" t="s">
        <v>3317</v>
      </c>
      <c r="J52" s="96" t="s">
        <v>3003</v>
      </c>
      <c r="K52" s="96">
        <f t="shared" si="1"/>
        <v>4</v>
      </c>
      <c r="L52" s="118">
        <v>400010</v>
      </c>
      <c r="M52" s="119">
        <v>140</v>
      </c>
      <c r="N52" s="119">
        <v>98000</v>
      </c>
      <c r="O52" s="119">
        <v>9800</v>
      </c>
      <c r="P52" s="64" t="s">
        <v>3004</v>
      </c>
      <c r="Q52" s="64" t="s">
        <v>3005</v>
      </c>
      <c r="R52" s="78">
        <f t="shared" si="6"/>
        <v>3</v>
      </c>
      <c r="S52" s="135">
        <v>3</v>
      </c>
      <c r="T52" s="78">
        <f t="shared" si="18"/>
        <v>2</v>
      </c>
      <c r="U52" s="78">
        <v>130</v>
      </c>
      <c r="V52" s="96">
        <v>73</v>
      </c>
      <c r="W52" s="78">
        <v>3338224000</v>
      </c>
      <c r="X52" s="96"/>
      <c r="Y52" s="96">
        <v>5000</v>
      </c>
      <c r="Z52" s="96"/>
      <c r="AA52" s="96" t="s">
        <v>3214</v>
      </c>
      <c r="AB52" s="96"/>
      <c r="AC52" s="96"/>
      <c r="AD52" s="96">
        <v>1</v>
      </c>
      <c r="AE52" s="78"/>
      <c r="AF52" s="78">
        <v>330000</v>
      </c>
      <c r="AG52" s="78">
        <f t="shared" si="2"/>
        <v>3006</v>
      </c>
      <c r="AH52" s="78">
        <v>7</v>
      </c>
      <c r="AI52" s="78">
        <v>5</v>
      </c>
      <c r="AJ52" s="78">
        <v>15</v>
      </c>
      <c r="AK52" s="96"/>
      <c r="AL52" s="96">
        <v>1</v>
      </c>
      <c r="AM52" s="113" t="s">
        <v>3318</v>
      </c>
      <c r="AN52" s="113" t="s">
        <v>3319</v>
      </c>
      <c r="AO52" s="111" t="s">
        <v>3300</v>
      </c>
      <c r="AP52" s="144" t="s">
        <v>3320</v>
      </c>
      <c r="AQ52" s="141" t="str">
        <f t="shared" si="22"/>
        <v>1054|339|</v>
      </c>
      <c r="AR52" s="113"/>
      <c r="AV52" s="107" t="s">
        <v>3175</v>
      </c>
      <c r="AX52" s="107">
        <v>20</v>
      </c>
      <c r="AY52" s="113">
        <v>1054</v>
      </c>
      <c r="AZ52" s="91">
        <v>324</v>
      </c>
      <c r="BA52" s="91">
        <f t="shared" si="4"/>
        <v>339</v>
      </c>
      <c r="BB52" s="91" t="str">
        <f t="shared" si="5"/>
        <v>1054|339|</v>
      </c>
      <c r="BC52" s="91" t="s">
        <v>90</v>
      </c>
    </row>
    <row r="53" spans="1:55">
      <c r="A53" s="96">
        <f t="shared" si="0"/>
        <v>934016</v>
      </c>
      <c r="B53" s="96">
        <v>16</v>
      </c>
      <c r="C53" s="96" t="s">
        <v>3321</v>
      </c>
      <c r="D53" s="96">
        <v>3</v>
      </c>
      <c r="E53" s="113">
        <v>1018</v>
      </c>
      <c r="F53" s="113">
        <v>1018</v>
      </c>
      <c r="G53" s="109" t="s">
        <v>3321</v>
      </c>
      <c r="H53" s="111" t="s">
        <v>3322</v>
      </c>
      <c r="I53" s="126" t="s">
        <v>3323</v>
      </c>
      <c r="J53" s="96" t="s">
        <v>3003</v>
      </c>
      <c r="K53" s="96">
        <f t="shared" si="1"/>
        <v>4</v>
      </c>
      <c r="L53" s="118">
        <v>400010</v>
      </c>
      <c r="M53" s="119">
        <v>160</v>
      </c>
      <c r="N53" s="119">
        <v>128000</v>
      </c>
      <c r="O53" s="119">
        <v>12800</v>
      </c>
      <c r="P53" s="64" t="s">
        <v>3004</v>
      </c>
      <c r="Q53" s="64" t="s">
        <v>3005</v>
      </c>
      <c r="R53" s="78">
        <f t="shared" si="6"/>
        <v>3</v>
      </c>
      <c r="S53" s="135">
        <v>3</v>
      </c>
      <c r="T53" s="78">
        <f t="shared" si="18"/>
        <v>2</v>
      </c>
      <c r="U53" s="78">
        <v>200</v>
      </c>
      <c r="V53" s="96">
        <v>133</v>
      </c>
      <c r="W53" s="78">
        <v>6824344000</v>
      </c>
      <c r="X53" s="96"/>
      <c r="Y53" s="96">
        <v>5000</v>
      </c>
      <c r="Z53" s="96"/>
      <c r="AA53" s="96" t="s">
        <v>3214</v>
      </c>
      <c r="AB53" s="96"/>
      <c r="AC53" s="96"/>
      <c r="AD53" s="96">
        <v>1</v>
      </c>
      <c r="AE53" s="78"/>
      <c r="AF53" s="78">
        <v>630000</v>
      </c>
      <c r="AG53" s="78">
        <f t="shared" si="2"/>
        <v>3009</v>
      </c>
      <c r="AH53" s="78">
        <v>10</v>
      </c>
      <c r="AI53" s="78">
        <v>9</v>
      </c>
      <c r="AJ53" s="78">
        <v>20</v>
      </c>
      <c r="AK53" s="96"/>
      <c r="AL53" s="96">
        <v>1</v>
      </c>
      <c r="AM53" s="113" t="s">
        <v>3318</v>
      </c>
      <c r="AN53" s="113" t="s">
        <v>3319</v>
      </c>
      <c r="AO53" s="111" t="s">
        <v>3222</v>
      </c>
      <c r="AP53" s="144" t="s">
        <v>3324</v>
      </c>
      <c r="AQ53" s="141" t="str">
        <f t="shared" si="22"/>
        <v>1054|339|</v>
      </c>
      <c r="AR53" s="113"/>
      <c r="AV53" s="107" t="s">
        <v>3175</v>
      </c>
      <c r="AX53" s="107">
        <v>40</v>
      </c>
      <c r="AY53" s="113">
        <v>1054</v>
      </c>
      <c r="AZ53" s="91">
        <v>324</v>
      </c>
      <c r="BA53" s="91">
        <f t="shared" si="4"/>
        <v>339</v>
      </c>
      <c r="BB53" s="91" t="str">
        <f t="shared" si="5"/>
        <v>1054|339|</v>
      </c>
      <c r="BC53" s="91" t="s">
        <v>90</v>
      </c>
    </row>
    <row r="54" spans="1:55">
      <c r="A54" s="96">
        <f t="shared" si="0"/>
        <v>935017</v>
      </c>
      <c r="B54" s="96">
        <v>17</v>
      </c>
      <c r="C54" s="96" t="s">
        <v>3325</v>
      </c>
      <c r="D54" s="96">
        <v>3</v>
      </c>
      <c r="E54" s="113">
        <v>1005</v>
      </c>
      <c r="F54" s="113">
        <v>1005</v>
      </c>
      <c r="G54" s="109" t="s">
        <v>3325</v>
      </c>
      <c r="H54" s="111" t="s">
        <v>3326</v>
      </c>
      <c r="I54" s="126" t="s">
        <v>3327</v>
      </c>
      <c r="J54" s="96" t="s">
        <v>3003</v>
      </c>
      <c r="K54" s="96">
        <f t="shared" si="1"/>
        <v>5</v>
      </c>
      <c r="L54" s="118">
        <v>400011</v>
      </c>
      <c r="M54" s="119">
        <v>100</v>
      </c>
      <c r="N54" s="119">
        <v>50000</v>
      </c>
      <c r="O54" s="119">
        <v>5000</v>
      </c>
      <c r="P54" s="64" t="s">
        <v>3004</v>
      </c>
      <c r="Q54" s="64" t="s">
        <v>3005</v>
      </c>
      <c r="R54" s="78">
        <f t="shared" si="6"/>
        <v>3</v>
      </c>
      <c r="S54" s="135">
        <v>4</v>
      </c>
      <c r="T54" s="78">
        <f t="shared" si="18"/>
        <v>2</v>
      </c>
      <c r="U54" s="78">
        <v>30</v>
      </c>
      <c r="V54" s="96">
        <v>24</v>
      </c>
      <c r="W54" s="78">
        <v>29640000</v>
      </c>
      <c r="X54" s="96"/>
      <c r="Y54" s="96">
        <v>5000</v>
      </c>
      <c r="Z54" s="96"/>
      <c r="AA54" s="96" t="s">
        <v>3314</v>
      </c>
      <c r="AB54" s="96"/>
      <c r="AC54" s="96"/>
      <c r="AD54" s="96">
        <v>1</v>
      </c>
      <c r="AE54" s="78"/>
      <c r="AF54" s="78">
        <v>530000</v>
      </c>
      <c r="AG54" s="78">
        <f t="shared" si="2"/>
        <v>3002</v>
      </c>
      <c r="AH54" s="78">
        <v>3</v>
      </c>
      <c r="AI54" s="78">
        <v>1</v>
      </c>
      <c r="AJ54" s="78">
        <v>5</v>
      </c>
      <c r="AK54" s="96"/>
      <c r="AL54" s="96">
        <v>1</v>
      </c>
      <c r="AM54" s="96" t="s">
        <v>3266</v>
      </c>
      <c r="AN54" s="96" t="s">
        <v>3267</v>
      </c>
      <c r="AO54" s="141"/>
      <c r="AP54" s="144"/>
      <c r="AQ54" s="141" t="str">
        <f t="shared" si="22"/>
        <v>378|389|</v>
      </c>
      <c r="AR54" s="113"/>
      <c r="AV54" s="107" t="s">
        <v>3175</v>
      </c>
      <c r="AX54" s="107">
        <v>40</v>
      </c>
      <c r="AY54" s="96">
        <v>378</v>
      </c>
      <c r="AZ54" s="91">
        <v>374</v>
      </c>
      <c r="BA54" s="91">
        <f t="shared" si="4"/>
        <v>389</v>
      </c>
      <c r="BB54" s="91" t="str">
        <f t="shared" si="5"/>
        <v>378|389|</v>
      </c>
      <c r="BC54" s="91" t="s">
        <v>90</v>
      </c>
    </row>
    <row r="55" ht="27.75" spans="1:55">
      <c r="A55" s="96">
        <f t="shared" si="0"/>
        <v>935018</v>
      </c>
      <c r="B55" s="96">
        <v>18</v>
      </c>
      <c r="C55" s="96" t="s">
        <v>3328</v>
      </c>
      <c r="D55" s="96">
        <v>3</v>
      </c>
      <c r="E55" s="113">
        <v>1024</v>
      </c>
      <c r="F55" s="113">
        <v>1005</v>
      </c>
      <c r="G55" s="109" t="s">
        <v>3328</v>
      </c>
      <c r="H55" s="111" t="s">
        <v>3329</v>
      </c>
      <c r="I55" s="126" t="s">
        <v>3330</v>
      </c>
      <c r="J55" s="96" t="s">
        <v>3003</v>
      </c>
      <c r="K55" s="96">
        <f t="shared" si="1"/>
        <v>5</v>
      </c>
      <c r="L55" s="118">
        <v>400011</v>
      </c>
      <c r="M55" s="119">
        <v>120</v>
      </c>
      <c r="N55" s="119">
        <v>72000</v>
      </c>
      <c r="O55" s="119">
        <v>7200</v>
      </c>
      <c r="P55" s="64" t="s">
        <v>3004</v>
      </c>
      <c r="Q55" s="64" t="s">
        <v>3005</v>
      </c>
      <c r="R55" s="78">
        <f t="shared" si="6"/>
        <v>3</v>
      </c>
      <c r="S55" s="135">
        <v>4</v>
      </c>
      <c r="T55" s="78">
        <f t="shared" si="18"/>
        <v>2</v>
      </c>
      <c r="U55" s="78">
        <v>70</v>
      </c>
      <c r="V55" s="96">
        <v>48</v>
      </c>
      <c r="W55" s="78">
        <v>536712000</v>
      </c>
      <c r="X55" s="96"/>
      <c r="Y55" s="96">
        <v>5000</v>
      </c>
      <c r="Z55" s="96"/>
      <c r="AA55" s="96" t="s">
        <v>3331</v>
      </c>
      <c r="AB55" s="96"/>
      <c r="AC55" s="96"/>
      <c r="AD55" s="96">
        <v>1</v>
      </c>
      <c r="AE55" s="78"/>
      <c r="AF55" s="78">
        <v>230000</v>
      </c>
      <c r="AG55" s="78">
        <f t="shared" si="2"/>
        <v>3004</v>
      </c>
      <c r="AH55" s="78">
        <v>5</v>
      </c>
      <c r="AI55" s="78">
        <v>9</v>
      </c>
      <c r="AJ55" s="78">
        <v>10</v>
      </c>
      <c r="AK55" s="96"/>
      <c r="AL55" s="96">
        <v>2</v>
      </c>
      <c r="AM55" s="96" t="s">
        <v>3332</v>
      </c>
      <c r="AN55" s="96" t="s">
        <v>3332</v>
      </c>
      <c r="AO55" s="114" t="s">
        <v>3333</v>
      </c>
      <c r="AP55" s="144" t="s">
        <v>3334</v>
      </c>
      <c r="AQ55" s="141" t="str">
        <f t="shared" si="22"/>
        <v>378|873|</v>
      </c>
      <c r="AR55" s="113"/>
      <c r="AV55" s="107" t="s">
        <v>3175</v>
      </c>
      <c r="AX55" s="107">
        <v>20</v>
      </c>
      <c r="AY55" s="96">
        <v>378</v>
      </c>
      <c r="AZ55" s="91">
        <v>374</v>
      </c>
      <c r="BA55" s="91">
        <f t="shared" si="4"/>
        <v>389</v>
      </c>
      <c r="BB55" s="91" t="str">
        <f t="shared" si="5"/>
        <v>378|389|</v>
      </c>
      <c r="BC55" s="91" t="s">
        <v>90</v>
      </c>
    </row>
    <row r="56" spans="1:55">
      <c r="A56" s="96">
        <f t="shared" si="0"/>
        <v>935019</v>
      </c>
      <c r="B56" s="96">
        <v>19</v>
      </c>
      <c r="C56" s="96" t="s">
        <v>3335</v>
      </c>
      <c r="D56" s="96">
        <v>3</v>
      </c>
      <c r="E56" s="113">
        <v>1026</v>
      </c>
      <c r="F56" s="113">
        <v>1026</v>
      </c>
      <c r="G56" s="109" t="s">
        <v>3335</v>
      </c>
      <c r="H56" s="111" t="s">
        <v>3336</v>
      </c>
      <c r="I56" s="126" t="s">
        <v>3337</v>
      </c>
      <c r="J56" s="96" t="s">
        <v>3003</v>
      </c>
      <c r="K56" s="96">
        <f t="shared" si="1"/>
        <v>5</v>
      </c>
      <c r="L56" s="118">
        <v>400011</v>
      </c>
      <c r="M56" s="119">
        <v>140</v>
      </c>
      <c r="N56" s="119">
        <v>98000</v>
      </c>
      <c r="O56" s="119">
        <v>9800</v>
      </c>
      <c r="P56" s="64" t="s">
        <v>3004</v>
      </c>
      <c r="Q56" s="64" t="s">
        <v>3005</v>
      </c>
      <c r="R56" s="78">
        <f t="shared" si="6"/>
        <v>3</v>
      </c>
      <c r="S56" s="135">
        <v>3</v>
      </c>
      <c r="T56" s="78">
        <f t="shared" si="18"/>
        <v>2</v>
      </c>
      <c r="U56" s="78">
        <v>130</v>
      </c>
      <c r="V56" s="96">
        <v>73</v>
      </c>
      <c r="W56" s="78">
        <v>3338224000</v>
      </c>
      <c r="X56" s="96"/>
      <c r="Y56" s="96">
        <v>5000</v>
      </c>
      <c r="Z56" s="96"/>
      <c r="AA56" s="96" t="s">
        <v>3338</v>
      </c>
      <c r="AB56" s="96" t="s">
        <v>124</v>
      </c>
      <c r="AC56" s="96" t="s">
        <v>3339</v>
      </c>
      <c r="AD56" s="96">
        <v>1</v>
      </c>
      <c r="AE56" s="78"/>
      <c r="AF56" s="78">
        <v>630000</v>
      </c>
      <c r="AG56" s="78">
        <f t="shared" si="2"/>
        <v>3007</v>
      </c>
      <c r="AH56" s="78">
        <v>8</v>
      </c>
      <c r="AI56" s="78">
        <v>5</v>
      </c>
      <c r="AJ56" s="78">
        <v>15</v>
      </c>
      <c r="AK56" s="96"/>
      <c r="AL56" s="96">
        <v>2</v>
      </c>
      <c r="AM56" s="113" t="s">
        <v>3340</v>
      </c>
      <c r="AN56" s="113" t="s">
        <v>3340</v>
      </c>
      <c r="AO56" s="141"/>
      <c r="AP56" s="144"/>
      <c r="AQ56" s="113" t="s">
        <v>3341</v>
      </c>
      <c r="AR56" s="113"/>
      <c r="AV56" s="107" t="s">
        <v>3175</v>
      </c>
      <c r="AX56" s="107">
        <v>60</v>
      </c>
      <c r="AY56" s="113">
        <v>162</v>
      </c>
      <c r="AZ56" s="91">
        <v>483</v>
      </c>
      <c r="BA56" s="91">
        <f t="shared" si="4"/>
        <v>498</v>
      </c>
      <c r="BB56" s="91" t="str">
        <f t="shared" si="5"/>
        <v>162|498|</v>
      </c>
      <c r="BC56" s="91" t="s">
        <v>90</v>
      </c>
    </row>
    <row r="57" ht="27.75" spans="1:55">
      <c r="A57" s="96">
        <f t="shared" si="0"/>
        <v>935020</v>
      </c>
      <c r="B57" s="96">
        <v>20</v>
      </c>
      <c r="C57" s="96" t="s">
        <v>3342</v>
      </c>
      <c r="D57" s="96">
        <v>3</v>
      </c>
      <c r="E57" s="113">
        <v>1027</v>
      </c>
      <c r="F57" s="113">
        <v>1027</v>
      </c>
      <c r="G57" s="109" t="s">
        <v>3342</v>
      </c>
      <c r="H57" s="111" t="s">
        <v>3343</v>
      </c>
      <c r="I57" s="126" t="s">
        <v>3344</v>
      </c>
      <c r="J57" s="96" t="s">
        <v>3003</v>
      </c>
      <c r="K57" s="96">
        <f t="shared" si="1"/>
        <v>5</v>
      </c>
      <c r="L57" s="118">
        <v>400011</v>
      </c>
      <c r="M57" s="119">
        <v>160</v>
      </c>
      <c r="N57" s="119">
        <v>128000</v>
      </c>
      <c r="O57" s="119">
        <v>12800</v>
      </c>
      <c r="P57" s="64" t="s">
        <v>3004</v>
      </c>
      <c r="Q57" s="64" t="s">
        <v>3005</v>
      </c>
      <c r="R57" s="78">
        <f t="shared" si="6"/>
        <v>3</v>
      </c>
      <c r="S57" s="135">
        <v>3</v>
      </c>
      <c r="T57" s="78">
        <f t="shared" si="18"/>
        <v>2</v>
      </c>
      <c r="U57" s="78">
        <v>200</v>
      </c>
      <c r="V57" s="96">
        <v>133</v>
      </c>
      <c r="W57" s="78">
        <v>6824344000</v>
      </c>
      <c r="X57" s="96"/>
      <c r="Y57" s="96">
        <v>5000</v>
      </c>
      <c r="Z57" s="96"/>
      <c r="AA57" s="96" t="s">
        <v>3345</v>
      </c>
      <c r="AB57" s="96"/>
      <c r="AC57" s="96"/>
      <c r="AD57" s="96">
        <v>1</v>
      </c>
      <c r="AE57" s="78"/>
      <c r="AF57" s="78">
        <v>330000</v>
      </c>
      <c r="AG57" s="78">
        <f t="shared" si="2"/>
        <v>3009</v>
      </c>
      <c r="AH57" s="78">
        <v>10</v>
      </c>
      <c r="AI57" s="78">
        <v>9</v>
      </c>
      <c r="AJ57" s="78">
        <v>20</v>
      </c>
      <c r="AK57" s="96"/>
      <c r="AL57" s="96">
        <v>2</v>
      </c>
      <c r="AM57" s="113" t="s">
        <v>3346</v>
      </c>
      <c r="AN57" s="113" t="s">
        <v>3347</v>
      </c>
      <c r="AO57" s="141" t="s">
        <v>3348</v>
      </c>
      <c r="AP57" s="144" t="s">
        <v>3349</v>
      </c>
      <c r="AQ57" s="141" t="str">
        <f>AN57</f>
        <v>1004|489|</v>
      </c>
      <c r="AR57" s="113"/>
      <c r="AV57" s="107" t="s">
        <v>3175</v>
      </c>
      <c r="AX57" s="107">
        <v>100</v>
      </c>
      <c r="AY57" s="113">
        <v>1032</v>
      </c>
      <c r="AZ57" s="91">
        <v>460</v>
      </c>
      <c r="BA57" s="91">
        <f t="shared" si="4"/>
        <v>475</v>
      </c>
      <c r="BB57" s="91" t="str">
        <f t="shared" si="5"/>
        <v>1032|475|</v>
      </c>
      <c r="BC57" s="91" t="s">
        <v>90</v>
      </c>
    </row>
    <row r="58" s="105" customFormat="1" spans="1:55">
      <c r="A58" s="112">
        <f t="shared" ref="A58:A64" si="23">900000+D58*10000+L58*1000+B58</f>
        <v>910021</v>
      </c>
      <c r="B58" s="96">
        <v>21</v>
      </c>
      <c r="D58" s="112">
        <v>1</v>
      </c>
      <c r="E58" s="115">
        <v>2</v>
      </c>
      <c r="F58" s="115">
        <v>2</v>
      </c>
      <c r="G58" s="115"/>
      <c r="H58" s="112" t="s">
        <v>3350</v>
      </c>
      <c r="I58" s="128" t="s">
        <v>3351</v>
      </c>
      <c r="J58" s="112"/>
      <c r="K58" s="96"/>
      <c r="L58" s="118"/>
      <c r="M58" s="119"/>
      <c r="N58" s="119"/>
      <c r="O58" s="129">
        <f>O65</f>
        <v>5000</v>
      </c>
      <c r="P58" s="130"/>
      <c r="Q58" s="64"/>
      <c r="R58" s="112"/>
      <c r="S58" s="112"/>
      <c r="T58" s="112"/>
      <c r="U58" s="96"/>
      <c r="V58" s="112"/>
      <c r="W58" s="112"/>
      <c r="X58" s="112"/>
      <c r="Y58" s="112"/>
      <c r="Z58" s="112"/>
      <c r="AA58" s="112" t="s">
        <v>3352</v>
      </c>
      <c r="AB58" s="112"/>
      <c r="AC58" s="112"/>
      <c r="AD58" s="112">
        <v>1</v>
      </c>
      <c r="AE58" s="96"/>
      <c r="AF58" s="78">
        <v>0</v>
      </c>
      <c r="AG58" s="78"/>
      <c r="AH58" s="78"/>
      <c r="AI58" s="96"/>
      <c r="AJ58" s="112"/>
      <c r="AK58" s="96"/>
      <c r="AL58" s="112"/>
      <c r="AM58" s="112" t="s">
        <v>3353</v>
      </c>
      <c r="AN58" s="112" t="s">
        <v>3354</v>
      </c>
      <c r="AO58" s="147" t="s">
        <v>3355</v>
      </c>
      <c r="AP58" s="142" t="s">
        <v>3356</v>
      </c>
      <c r="AQ58" s="147"/>
      <c r="AR58" s="148"/>
      <c r="AS58" s="11" t="s">
        <v>3357</v>
      </c>
      <c r="AT58" s="11">
        <v>1078</v>
      </c>
      <c r="AU58" s="11" t="s">
        <v>3358</v>
      </c>
      <c r="AV58" s="149"/>
      <c r="AX58" s="107"/>
      <c r="AY58" s="112">
        <v>145</v>
      </c>
      <c r="AZ58" s="91">
        <v>346</v>
      </c>
      <c r="BA58" s="91">
        <f t="shared" si="4"/>
        <v>361</v>
      </c>
      <c r="BB58" s="91" t="str">
        <f t="shared" si="5"/>
        <v>145|361|</v>
      </c>
      <c r="BC58" s="91" t="s">
        <v>90</v>
      </c>
    </row>
    <row r="59" s="105" customFormat="1" spans="1:55">
      <c r="A59" s="112">
        <f t="shared" si="23"/>
        <v>920022</v>
      </c>
      <c r="B59" s="96">
        <v>22</v>
      </c>
      <c r="C59" s="112"/>
      <c r="D59" s="112">
        <v>2</v>
      </c>
      <c r="E59" s="115">
        <v>2</v>
      </c>
      <c r="F59" s="115">
        <v>2</v>
      </c>
      <c r="G59" s="115"/>
      <c r="H59" s="112" t="s">
        <v>3350</v>
      </c>
      <c r="I59" s="128" t="s">
        <v>3351</v>
      </c>
      <c r="J59" s="112"/>
      <c r="K59" s="96"/>
      <c r="L59" s="118"/>
      <c r="M59" s="119"/>
      <c r="N59" s="119"/>
      <c r="O59" s="129">
        <f>O66</f>
        <v>7200</v>
      </c>
      <c r="P59" s="130"/>
      <c r="Q59" s="64"/>
      <c r="R59" s="112"/>
      <c r="S59" s="112"/>
      <c r="T59" s="112"/>
      <c r="U59" s="96"/>
      <c r="V59" s="112"/>
      <c r="W59" s="112"/>
      <c r="X59" s="112"/>
      <c r="Y59" s="112"/>
      <c r="Z59" s="112"/>
      <c r="AA59" s="112" t="s">
        <v>3352</v>
      </c>
      <c r="AB59" s="112"/>
      <c r="AC59" s="112"/>
      <c r="AD59" s="112">
        <v>1</v>
      </c>
      <c r="AE59" s="96"/>
      <c r="AF59" s="78">
        <v>0</v>
      </c>
      <c r="AG59" s="78"/>
      <c r="AH59" s="78"/>
      <c r="AI59" s="96"/>
      <c r="AJ59" s="112"/>
      <c r="AK59" s="96"/>
      <c r="AL59" s="112"/>
      <c r="AM59" s="79" t="s">
        <v>3359</v>
      </c>
      <c r="AN59" s="79" t="s">
        <v>3360</v>
      </c>
      <c r="AO59" s="147" t="s">
        <v>3355</v>
      </c>
      <c r="AP59" s="79" t="s">
        <v>3361</v>
      </c>
      <c r="AQ59" s="147"/>
      <c r="AR59" s="148"/>
      <c r="AV59" s="149"/>
      <c r="AX59" s="107"/>
      <c r="AY59" s="79">
        <v>311</v>
      </c>
      <c r="AZ59" s="91">
        <v>274</v>
      </c>
      <c r="BA59" s="91">
        <f t="shared" si="4"/>
        <v>289</v>
      </c>
      <c r="BB59" s="91" t="str">
        <f t="shared" si="5"/>
        <v>311|289|</v>
      </c>
      <c r="BC59" s="91" t="s">
        <v>90</v>
      </c>
    </row>
    <row r="60" s="105" customFormat="1" spans="1:55">
      <c r="A60" s="112">
        <f t="shared" si="23"/>
        <v>930023</v>
      </c>
      <c r="B60" s="96">
        <v>23</v>
      </c>
      <c r="C60" s="112"/>
      <c r="D60" s="112">
        <v>3</v>
      </c>
      <c r="E60" s="115">
        <v>2</v>
      </c>
      <c r="F60" s="115">
        <v>2</v>
      </c>
      <c r="G60" s="115"/>
      <c r="H60" s="112" t="s">
        <v>3350</v>
      </c>
      <c r="I60" s="128" t="s">
        <v>3351</v>
      </c>
      <c r="J60" s="112"/>
      <c r="K60" s="96"/>
      <c r="L60" s="118"/>
      <c r="M60" s="131"/>
      <c r="N60" s="131"/>
      <c r="O60" s="131"/>
      <c r="P60" s="130"/>
      <c r="Q60" s="64"/>
      <c r="R60" s="112"/>
      <c r="S60" s="112"/>
      <c r="T60" s="112"/>
      <c r="U60" s="96"/>
      <c r="V60" s="112"/>
      <c r="W60" s="112"/>
      <c r="X60" s="112"/>
      <c r="Y60" s="112"/>
      <c r="Z60" s="112"/>
      <c r="AA60" s="112" t="s">
        <v>3352</v>
      </c>
      <c r="AB60" s="112"/>
      <c r="AC60" s="112"/>
      <c r="AD60" s="112">
        <v>1</v>
      </c>
      <c r="AE60" s="96"/>
      <c r="AF60" s="78">
        <v>0</v>
      </c>
      <c r="AG60" s="78"/>
      <c r="AH60" s="78"/>
      <c r="AI60" s="96"/>
      <c r="AJ60" s="112"/>
      <c r="AK60" s="96"/>
      <c r="AL60" s="112"/>
      <c r="AM60" s="112" t="s">
        <v>3362</v>
      </c>
      <c r="AN60" s="112" t="s">
        <v>3362</v>
      </c>
      <c r="AO60" s="147" t="s">
        <v>3355</v>
      </c>
      <c r="AP60" s="142" t="s">
        <v>3363</v>
      </c>
      <c r="AQ60" s="147"/>
      <c r="AR60" s="148"/>
      <c r="AV60" s="149"/>
      <c r="AX60" s="107"/>
      <c r="AY60" s="112">
        <v>264</v>
      </c>
      <c r="AZ60" s="91">
        <v>240</v>
      </c>
      <c r="BA60" s="91">
        <f t="shared" si="4"/>
        <v>255</v>
      </c>
      <c r="BB60" s="91" t="str">
        <f t="shared" si="5"/>
        <v>264|255|</v>
      </c>
      <c r="BC60" s="91" t="s">
        <v>90</v>
      </c>
    </row>
    <row r="61" s="105" customFormat="1" spans="1:55">
      <c r="A61" s="112">
        <f t="shared" si="23"/>
        <v>940023</v>
      </c>
      <c r="B61" s="96">
        <v>23</v>
      </c>
      <c r="C61" s="112"/>
      <c r="D61" s="112">
        <v>4</v>
      </c>
      <c r="E61" s="115">
        <v>2</v>
      </c>
      <c r="F61" s="115">
        <v>2</v>
      </c>
      <c r="G61" s="115"/>
      <c r="H61" s="112" t="s">
        <v>3350</v>
      </c>
      <c r="I61" s="128" t="s">
        <v>3351</v>
      </c>
      <c r="J61" s="112"/>
      <c r="K61" s="96"/>
      <c r="L61" s="118"/>
      <c r="M61" s="131"/>
      <c r="N61" s="131"/>
      <c r="O61" s="131"/>
      <c r="P61" s="130"/>
      <c r="Q61" s="64"/>
      <c r="R61" s="112"/>
      <c r="S61" s="112"/>
      <c r="T61" s="112"/>
      <c r="U61" s="96"/>
      <c r="V61" s="112"/>
      <c r="W61" s="112"/>
      <c r="X61" s="112"/>
      <c r="Y61" s="112"/>
      <c r="Z61" s="112"/>
      <c r="AA61" s="112" t="s">
        <v>3352</v>
      </c>
      <c r="AB61" s="112"/>
      <c r="AC61" s="112"/>
      <c r="AD61" s="112">
        <v>1</v>
      </c>
      <c r="AE61" s="96"/>
      <c r="AF61" s="78">
        <v>0</v>
      </c>
      <c r="AG61" s="78"/>
      <c r="AH61" s="78"/>
      <c r="AI61" s="96"/>
      <c r="AJ61" s="112"/>
      <c r="AK61" s="96"/>
      <c r="AL61" s="112"/>
      <c r="AM61" s="112" t="s">
        <v>3364</v>
      </c>
      <c r="AN61" s="112" t="s">
        <v>3364</v>
      </c>
      <c r="AO61" s="147" t="s">
        <v>3355</v>
      </c>
      <c r="AP61" s="142" t="s">
        <v>3365</v>
      </c>
      <c r="AQ61" s="147"/>
      <c r="AR61" s="148"/>
      <c r="AV61" s="149"/>
      <c r="AX61" s="107"/>
      <c r="AY61" s="112">
        <v>264</v>
      </c>
      <c r="AZ61" s="91">
        <v>240</v>
      </c>
      <c r="BA61" s="91">
        <f t="shared" si="4"/>
        <v>255</v>
      </c>
      <c r="BB61" s="91" t="str">
        <f t="shared" si="5"/>
        <v>264|255|</v>
      </c>
      <c r="BC61" s="91" t="s">
        <v>90</v>
      </c>
    </row>
    <row r="62" spans="1:48">
      <c r="A62" s="112">
        <f t="shared" si="23"/>
        <v>910024</v>
      </c>
      <c r="B62" s="107">
        <v>24</v>
      </c>
      <c r="C62" s="96" t="s">
        <v>3366</v>
      </c>
      <c r="D62" s="107">
        <v>1</v>
      </c>
      <c r="E62" s="107"/>
      <c r="F62" s="107">
        <v>2</v>
      </c>
      <c r="G62" s="107"/>
      <c r="H62" s="107" t="s">
        <v>3367</v>
      </c>
      <c r="I62" s="87"/>
      <c r="J62" s="107"/>
      <c r="K62" s="107"/>
      <c r="L62" s="61"/>
      <c r="M62" s="132"/>
      <c r="N62" s="132"/>
      <c r="O62" s="132"/>
      <c r="P62" s="61"/>
      <c r="Q62" s="64"/>
      <c r="AF62" s="78">
        <v>0</v>
      </c>
      <c r="AG62" s="78"/>
      <c r="AH62" s="78"/>
      <c r="AM62" s="107" t="s">
        <v>3368</v>
      </c>
      <c r="AN62" s="107" t="s">
        <v>3368</v>
      </c>
      <c r="AV62" s="107"/>
    </row>
    <row r="63" spans="1:48">
      <c r="A63" s="112">
        <f t="shared" si="23"/>
        <v>920024</v>
      </c>
      <c r="B63" s="107">
        <v>24</v>
      </c>
      <c r="C63" s="96" t="s">
        <v>3369</v>
      </c>
      <c r="D63" s="107">
        <v>2</v>
      </c>
      <c r="E63" s="107"/>
      <c r="F63" s="107">
        <v>2</v>
      </c>
      <c r="G63" s="107"/>
      <c r="H63" s="107" t="s">
        <v>3367</v>
      </c>
      <c r="I63" s="87"/>
      <c r="J63" s="107"/>
      <c r="K63" s="107"/>
      <c r="L63" s="107"/>
      <c r="M63" s="132"/>
      <c r="N63" s="132"/>
      <c r="O63" s="132"/>
      <c r="P63" s="61"/>
      <c r="Q63" s="64"/>
      <c r="AF63" s="78">
        <v>0</v>
      </c>
      <c r="AG63" s="78"/>
      <c r="AH63" s="78"/>
      <c r="AM63" s="107" t="s">
        <v>3370</v>
      </c>
      <c r="AN63" s="107" t="s">
        <v>3370</v>
      </c>
      <c r="AV63" s="107"/>
    </row>
    <row r="64" spans="1:48">
      <c r="A64" s="112">
        <f t="shared" si="23"/>
        <v>930024</v>
      </c>
      <c r="B64" s="107">
        <v>24</v>
      </c>
      <c r="C64" s="96" t="s">
        <v>3371</v>
      </c>
      <c r="D64" s="107">
        <v>3</v>
      </c>
      <c r="E64" s="107"/>
      <c r="F64" s="107">
        <v>2</v>
      </c>
      <c r="G64" s="107"/>
      <c r="H64" s="107" t="s">
        <v>3367</v>
      </c>
      <c r="I64" s="87"/>
      <c r="J64" s="107"/>
      <c r="K64" s="107"/>
      <c r="L64" s="107"/>
      <c r="M64" s="132"/>
      <c r="N64" s="132"/>
      <c r="O64" s="132"/>
      <c r="P64" s="61"/>
      <c r="Q64" s="64"/>
      <c r="AF64" s="78">
        <v>0</v>
      </c>
      <c r="AG64" s="78"/>
      <c r="AH64" s="78"/>
      <c r="AM64" s="107" t="s">
        <v>3372</v>
      </c>
      <c r="AN64" s="107" t="s">
        <v>3372</v>
      </c>
      <c r="AV64" s="107"/>
    </row>
    <row r="65" spans="1:44">
      <c r="A65" s="96">
        <f t="shared" ref="A65:A84" si="24">900000+D65*10000+K65*1000+B65</f>
        <v>941025</v>
      </c>
      <c r="B65" s="91">
        <v>25</v>
      </c>
      <c r="C65" s="96" t="s">
        <v>3373</v>
      </c>
      <c r="D65" s="91">
        <v>4</v>
      </c>
      <c r="E65" s="91">
        <v>1017</v>
      </c>
      <c r="F65" s="91">
        <v>1017</v>
      </c>
      <c r="H65" s="67" t="s">
        <v>3374</v>
      </c>
      <c r="I65" s="67" t="s">
        <v>3374</v>
      </c>
      <c r="J65" s="96" t="s">
        <v>3375</v>
      </c>
      <c r="K65" s="96">
        <f t="shared" ref="K65:K84" si="25">L65-400006</f>
        <v>1</v>
      </c>
      <c r="L65" s="118">
        <v>400007</v>
      </c>
      <c r="M65" s="119">
        <v>100</v>
      </c>
      <c r="N65" s="119">
        <v>50000</v>
      </c>
      <c r="O65" s="119">
        <v>5000</v>
      </c>
      <c r="P65" s="64" t="s">
        <v>3004</v>
      </c>
      <c r="Q65" s="64" t="s">
        <v>3005</v>
      </c>
      <c r="R65" s="78">
        <v>3</v>
      </c>
      <c r="S65" s="135">
        <v>3</v>
      </c>
      <c r="T65" s="78">
        <v>2</v>
      </c>
      <c r="U65" s="78">
        <v>40</v>
      </c>
      <c r="W65" s="78">
        <v>4890600000</v>
      </c>
      <c r="AA65" s="107" t="s">
        <v>3376</v>
      </c>
      <c r="AB65" s="107" t="s">
        <v>3377</v>
      </c>
      <c r="AC65" s="107" t="s">
        <v>3378</v>
      </c>
      <c r="AD65" s="112">
        <v>1</v>
      </c>
      <c r="AG65" s="78">
        <f>D65*1000+AH65-1</f>
        <v>4000</v>
      </c>
      <c r="AH65" s="78">
        <v>1</v>
      </c>
      <c r="AI65" s="78">
        <v>1</v>
      </c>
      <c r="AJ65" s="78">
        <v>5</v>
      </c>
      <c r="AL65" s="96">
        <v>2</v>
      </c>
      <c r="AM65" s="107" t="s">
        <v>3379</v>
      </c>
      <c r="AN65" s="107" t="s">
        <v>3379</v>
      </c>
      <c r="AP65" s="107" t="s">
        <v>3380</v>
      </c>
      <c r="AQ65" s="107" t="s">
        <v>3379</v>
      </c>
      <c r="AR65" s="113">
        <v>13</v>
      </c>
    </row>
    <row r="66" spans="1:44">
      <c r="A66" s="96">
        <f t="shared" si="24"/>
        <v>941026</v>
      </c>
      <c r="B66" s="91">
        <v>26</v>
      </c>
      <c r="C66" s="96" t="s">
        <v>3381</v>
      </c>
      <c r="D66" s="91">
        <v>4</v>
      </c>
      <c r="E66" s="91">
        <v>1015</v>
      </c>
      <c r="F66" s="91">
        <v>1015</v>
      </c>
      <c r="H66" s="67" t="s">
        <v>3382</v>
      </c>
      <c r="I66" s="67" t="s">
        <v>3382</v>
      </c>
      <c r="J66" s="96" t="s">
        <v>3375</v>
      </c>
      <c r="K66" s="96">
        <f t="shared" si="25"/>
        <v>1</v>
      </c>
      <c r="L66" s="118">
        <v>400007</v>
      </c>
      <c r="M66" s="119">
        <v>120</v>
      </c>
      <c r="N66" s="119">
        <v>72000</v>
      </c>
      <c r="O66" s="119">
        <v>7200</v>
      </c>
      <c r="P66" s="64" t="s">
        <v>3004</v>
      </c>
      <c r="Q66" s="64" t="s">
        <v>3005</v>
      </c>
      <c r="R66" s="78">
        <f t="shared" ref="R66:R84" si="26">R65</f>
        <v>3</v>
      </c>
      <c r="S66" s="135">
        <v>3</v>
      </c>
      <c r="T66" s="78">
        <f t="shared" ref="T66:T84" si="27">T65</f>
        <v>2</v>
      </c>
      <c r="U66" s="78">
        <v>80</v>
      </c>
      <c r="W66" s="78">
        <v>88557480000</v>
      </c>
      <c r="AA66" s="107" t="s">
        <v>3383</v>
      </c>
      <c r="AD66" s="112">
        <v>1</v>
      </c>
      <c r="AG66" s="78">
        <v>4000</v>
      </c>
      <c r="AH66" s="78">
        <v>3</v>
      </c>
      <c r="AI66" s="78">
        <v>1</v>
      </c>
      <c r="AJ66" s="78">
        <v>10</v>
      </c>
      <c r="AL66" s="96">
        <v>1</v>
      </c>
      <c r="AM66" s="107" t="s">
        <v>3379</v>
      </c>
      <c r="AN66" s="107" t="s">
        <v>3379</v>
      </c>
      <c r="AO66" s="106" t="s">
        <v>3384</v>
      </c>
      <c r="AP66" s="107" t="s">
        <v>3385</v>
      </c>
      <c r="AQ66" s="107" t="s">
        <v>3379</v>
      </c>
      <c r="AR66" s="113">
        <v>13</v>
      </c>
    </row>
    <row r="67" spans="1:44">
      <c r="A67" s="96">
        <f t="shared" si="24"/>
        <v>941027</v>
      </c>
      <c r="B67" s="91">
        <v>27</v>
      </c>
      <c r="C67" s="96" t="s">
        <v>3386</v>
      </c>
      <c r="D67" s="91">
        <v>4</v>
      </c>
      <c r="E67" s="91">
        <v>1016</v>
      </c>
      <c r="F67" s="91">
        <v>1016</v>
      </c>
      <c r="H67" s="67" t="s">
        <v>3387</v>
      </c>
      <c r="I67" s="67" t="s">
        <v>3387</v>
      </c>
      <c r="J67" s="96" t="s">
        <v>3375</v>
      </c>
      <c r="K67" s="96">
        <f t="shared" si="25"/>
        <v>1</v>
      </c>
      <c r="L67" s="118">
        <v>400007</v>
      </c>
      <c r="M67" s="119">
        <v>140</v>
      </c>
      <c r="N67" s="119">
        <v>98000</v>
      </c>
      <c r="O67" s="119">
        <v>9800</v>
      </c>
      <c r="P67" s="64" t="s">
        <v>3004</v>
      </c>
      <c r="Q67" s="64" t="s">
        <v>3005</v>
      </c>
      <c r="R67" s="78">
        <f t="shared" si="26"/>
        <v>3</v>
      </c>
      <c r="S67" s="135">
        <v>3</v>
      </c>
      <c r="T67" s="78">
        <f t="shared" si="27"/>
        <v>2</v>
      </c>
      <c r="U67" s="78">
        <v>160</v>
      </c>
      <c r="W67" s="78">
        <v>550806960000</v>
      </c>
      <c r="AA67" s="107" t="s">
        <v>3388</v>
      </c>
      <c r="AD67" s="112">
        <v>1</v>
      </c>
      <c r="AG67" s="78">
        <v>4000</v>
      </c>
      <c r="AH67" s="78">
        <v>6</v>
      </c>
      <c r="AI67" s="78">
        <v>5</v>
      </c>
      <c r="AJ67" s="78">
        <v>15</v>
      </c>
      <c r="AL67" s="96">
        <v>1</v>
      </c>
      <c r="AM67" s="107" t="s">
        <v>3379</v>
      </c>
      <c r="AN67" s="107" t="s">
        <v>3379</v>
      </c>
      <c r="AO67" s="106" t="s">
        <v>3389</v>
      </c>
      <c r="AP67" s="107" t="s">
        <v>3385</v>
      </c>
      <c r="AQ67" s="107" t="s">
        <v>3379</v>
      </c>
      <c r="AR67" s="113">
        <v>13</v>
      </c>
    </row>
    <row r="68" spans="1:44">
      <c r="A68" s="96">
        <f t="shared" si="24"/>
        <v>941028</v>
      </c>
      <c r="B68" s="91">
        <v>28</v>
      </c>
      <c r="C68" s="96" t="s">
        <v>3390</v>
      </c>
      <c r="D68" s="91">
        <v>4</v>
      </c>
      <c r="E68" s="91">
        <v>4012</v>
      </c>
      <c r="F68" s="91">
        <v>4012</v>
      </c>
      <c r="H68" s="67" t="s">
        <v>3391</v>
      </c>
      <c r="I68" s="67" t="s">
        <v>3391</v>
      </c>
      <c r="J68" s="96" t="s">
        <v>3375</v>
      </c>
      <c r="K68" s="96">
        <f t="shared" si="25"/>
        <v>1</v>
      </c>
      <c r="L68" s="118">
        <v>400007</v>
      </c>
      <c r="M68" s="119">
        <v>160</v>
      </c>
      <c r="N68" s="119">
        <v>128000</v>
      </c>
      <c r="O68" s="119">
        <v>12800</v>
      </c>
      <c r="P68" s="64" t="s">
        <v>3004</v>
      </c>
      <c r="Q68" s="64" t="s">
        <v>3005</v>
      </c>
      <c r="R68" s="78">
        <f t="shared" si="26"/>
        <v>3</v>
      </c>
      <c r="S68" s="135">
        <v>3</v>
      </c>
      <c r="T68" s="78">
        <f t="shared" si="27"/>
        <v>2</v>
      </c>
      <c r="U68" s="78">
        <v>240</v>
      </c>
      <c r="W68" s="78">
        <v>1126016760000</v>
      </c>
      <c r="AA68" s="107" t="s">
        <v>3392</v>
      </c>
      <c r="AB68" s="96" t="s">
        <v>3015</v>
      </c>
      <c r="AC68" s="107" t="s">
        <v>3393</v>
      </c>
      <c r="AD68" s="112">
        <v>1</v>
      </c>
      <c r="AG68" s="78">
        <v>4000</v>
      </c>
      <c r="AH68" s="78">
        <v>8</v>
      </c>
      <c r="AI68" s="78">
        <v>9</v>
      </c>
      <c r="AJ68" s="78">
        <v>20</v>
      </c>
      <c r="AL68" s="96">
        <v>1</v>
      </c>
      <c r="AM68" s="107" t="s">
        <v>3394</v>
      </c>
      <c r="AN68" s="107" t="s">
        <v>3394</v>
      </c>
      <c r="AP68" s="107" t="s">
        <v>3394</v>
      </c>
      <c r="AQ68" s="107" t="s">
        <v>3394</v>
      </c>
      <c r="AR68" s="113">
        <v>13</v>
      </c>
    </row>
    <row r="69" spans="1:44">
      <c r="A69" s="96">
        <f t="shared" ref="A69:A76" si="28">900000+D69*10000+K73*1000+B69</f>
        <v>942029</v>
      </c>
      <c r="B69" s="91">
        <v>29</v>
      </c>
      <c r="C69" s="96" t="s">
        <v>3395</v>
      </c>
      <c r="D69" s="91">
        <v>4</v>
      </c>
      <c r="E69" s="91">
        <v>4021</v>
      </c>
      <c r="F69" s="91">
        <v>4021</v>
      </c>
      <c r="H69" s="67" t="s">
        <v>3396</v>
      </c>
      <c r="I69" s="67" t="s">
        <v>3396</v>
      </c>
      <c r="J69" s="96" t="s">
        <v>3375</v>
      </c>
      <c r="K69" s="91">
        <v>3</v>
      </c>
      <c r="L69" s="118">
        <v>400009</v>
      </c>
      <c r="M69" s="119">
        <v>100</v>
      </c>
      <c r="N69" s="119">
        <v>50000</v>
      </c>
      <c r="O69" s="119">
        <v>5000</v>
      </c>
      <c r="P69" s="64" t="s">
        <v>3004</v>
      </c>
      <c r="Q69" s="64" t="s">
        <v>3005</v>
      </c>
      <c r="R69" s="78">
        <f t="shared" si="26"/>
        <v>3</v>
      </c>
      <c r="S69" s="135">
        <v>3</v>
      </c>
      <c r="T69" s="78">
        <f t="shared" si="27"/>
        <v>2</v>
      </c>
      <c r="U69" s="78">
        <v>40</v>
      </c>
      <c r="W69" s="78">
        <v>4890600000</v>
      </c>
      <c r="AA69" s="107" t="s">
        <v>3397</v>
      </c>
      <c r="AD69" s="112">
        <v>1</v>
      </c>
      <c r="AG69" s="78">
        <v>4000</v>
      </c>
      <c r="AH69" s="78">
        <v>1</v>
      </c>
      <c r="AI69" s="78">
        <v>1</v>
      </c>
      <c r="AJ69" s="78">
        <v>5</v>
      </c>
      <c r="AL69" s="96">
        <v>2</v>
      </c>
      <c r="AM69" s="107" t="s">
        <v>3398</v>
      </c>
      <c r="AN69" s="107" t="s">
        <v>3398</v>
      </c>
      <c r="AP69" s="107" t="s">
        <v>3399</v>
      </c>
      <c r="AQ69" s="107" t="s">
        <v>3398</v>
      </c>
      <c r="AR69" s="113">
        <v>50</v>
      </c>
    </row>
    <row r="70" spans="1:44">
      <c r="A70" s="96">
        <f t="shared" si="28"/>
        <v>942030</v>
      </c>
      <c r="B70" s="91">
        <v>30</v>
      </c>
      <c r="C70" s="96" t="s">
        <v>3400</v>
      </c>
      <c r="D70" s="91">
        <v>4</v>
      </c>
      <c r="E70" s="91">
        <v>1007</v>
      </c>
      <c r="F70" s="91">
        <v>1007</v>
      </c>
      <c r="H70" s="67" t="s">
        <v>3401</v>
      </c>
      <c r="I70" s="67" t="s">
        <v>3401</v>
      </c>
      <c r="J70" s="96" t="s">
        <v>3375</v>
      </c>
      <c r="K70" s="91">
        <v>3</v>
      </c>
      <c r="L70" s="118">
        <v>400009</v>
      </c>
      <c r="M70" s="119">
        <v>120</v>
      </c>
      <c r="N70" s="119">
        <v>72000</v>
      </c>
      <c r="O70" s="119">
        <v>7200</v>
      </c>
      <c r="P70" s="64" t="s">
        <v>3004</v>
      </c>
      <c r="Q70" s="64" t="s">
        <v>3005</v>
      </c>
      <c r="R70" s="78">
        <f t="shared" si="26"/>
        <v>3</v>
      </c>
      <c r="S70" s="135">
        <v>3</v>
      </c>
      <c r="T70" s="78">
        <f t="shared" si="27"/>
        <v>2</v>
      </c>
      <c r="U70" s="78">
        <v>80</v>
      </c>
      <c r="W70" s="78">
        <v>88557480000</v>
      </c>
      <c r="AA70" s="107" t="s">
        <v>3402</v>
      </c>
      <c r="AD70" s="112">
        <v>1</v>
      </c>
      <c r="AG70" s="78">
        <v>4000</v>
      </c>
      <c r="AH70" s="78">
        <v>4</v>
      </c>
      <c r="AI70" s="78">
        <v>5</v>
      </c>
      <c r="AJ70" s="78">
        <v>10</v>
      </c>
      <c r="AL70" s="96">
        <v>2</v>
      </c>
      <c r="AM70" s="107" t="s">
        <v>3403</v>
      </c>
      <c r="AN70" s="107" t="s">
        <v>3403</v>
      </c>
      <c r="AP70" s="107" t="s">
        <v>3404</v>
      </c>
      <c r="AQ70" s="107" t="s">
        <v>3403</v>
      </c>
      <c r="AR70" s="113">
        <v>50</v>
      </c>
    </row>
    <row r="71" spans="1:44">
      <c r="A71" s="96">
        <f t="shared" si="28"/>
        <v>942031</v>
      </c>
      <c r="B71" s="91">
        <v>31</v>
      </c>
      <c r="C71" s="96" t="s">
        <v>3405</v>
      </c>
      <c r="D71" s="91">
        <v>4</v>
      </c>
      <c r="E71" s="91">
        <v>4021</v>
      </c>
      <c r="F71" s="91">
        <v>4021</v>
      </c>
      <c r="H71" s="67" t="s">
        <v>3406</v>
      </c>
      <c r="I71" s="67" t="s">
        <v>3406</v>
      </c>
      <c r="J71" s="96" t="s">
        <v>3375</v>
      </c>
      <c r="K71" s="91">
        <v>3</v>
      </c>
      <c r="L71" s="118">
        <v>400009</v>
      </c>
      <c r="M71" s="119">
        <v>140</v>
      </c>
      <c r="N71" s="119">
        <v>98000</v>
      </c>
      <c r="O71" s="119">
        <v>9800</v>
      </c>
      <c r="P71" s="64" t="s">
        <v>3004</v>
      </c>
      <c r="Q71" s="64" t="s">
        <v>3005</v>
      </c>
      <c r="R71" s="78">
        <f t="shared" si="26"/>
        <v>3</v>
      </c>
      <c r="S71" s="135">
        <v>3</v>
      </c>
      <c r="T71" s="78">
        <f t="shared" si="27"/>
        <v>2</v>
      </c>
      <c r="U71" s="78">
        <v>160</v>
      </c>
      <c r="W71" s="78">
        <v>550806960000</v>
      </c>
      <c r="AA71" s="107" t="s">
        <v>3407</v>
      </c>
      <c r="AD71" s="112">
        <v>1</v>
      </c>
      <c r="AG71" s="78">
        <v>4000</v>
      </c>
      <c r="AH71" s="78">
        <v>6</v>
      </c>
      <c r="AI71" s="78">
        <v>5</v>
      </c>
      <c r="AJ71" s="78">
        <v>15</v>
      </c>
      <c r="AL71" s="96">
        <v>1</v>
      </c>
      <c r="AM71" s="107" t="s">
        <v>3398</v>
      </c>
      <c r="AN71" s="107" t="s">
        <v>3398</v>
      </c>
      <c r="AP71" s="107" t="s">
        <v>3399</v>
      </c>
      <c r="AQ71" s="107" t="s">
        <v>3398</v>
      </c>
      <c r="AR71" s="113">
        <v>50</v>
      </c>
    </row>
    <row r="72" spans="1:43">
      <c r="A72" s="96">
        <f t="shared" si="28"/>
        <v>942032</v>
      </c>
      <c r="B72" s="91">
        <v>32</v>
      </c>
      <c r="C72" s="96" t="s">
        <v>3408</v>
      </c>
      <c r="D72" s="91">
        <v>4</v>
      </c>
      <c r="E72" s="91">
        <v>1006</v>
      </c>
      <c r="F72" s="91">
        <v>1006</v>
      </c>
      <c r="H72" s="67" t="s">
        <v>3409</v>
      </c>
      <c r="I72" s="67" t="s">
        <v>3409</v>
      </c>
      <c r="J72" s="96" t="s">
        <v>3003</v>
      </c>
      <c r="K72" s="91">
        <v>3</v>
      </c>
      <c r="L72" s="118">
        <v>400009</v>
      </c>
      <c r="M72" s="119">
        <v>160</v>
      </c>
      <c r="N72" s="119">
        <v>128000</v>
      </c>
      <c r="O72" s="119">
        <v>12800</v>
      </c>
      <c r="P72" s="64" t="s">
        <v>3004</v>
      </c>
      <c r="Q72" s="64" t="s">
        <v>3005</v>
      </c>
      <c r="R72" s="78">
        <f t="shared" si="26"/>
        <v>3</v>
      </c>
      <c r="S72" s="135">
        <v>3</v>
      </c>
      <c r="T72" s="78">
        <f t="shared" si="27"/>
        <v>2</v>
      </c>
      <c r="U72" s="78">
        <v>240</v>
      </c>
      <c r="W72" s="78">
        <v>1126016760000</v>
      </c>
      <c r="AA72" s="107" t="s">
        <v>3410</v>
      </c>
      <c r="AD72" s="112">
        <v>1</v>
      </c>
      <c r="AG72" s="78">
        <v>4000</v>
      </c>
      <c r="AH72" s="78">
        <v>9</v>
      </c>
      <c r="AI72" s="78">
        <v>9</v>
      </c>
      <c r="AJ72" s="78">
        <v>20</v>
      </c>
      <c r="AL72" s="96">
        <v>2</v>
      </c>
      <c r="AM72" s="107" t="s">
        <v>3411</v>
      </c>
      <c r="AN72" s="107" t="s">
        <v>3411</v>
      </c>
      <c r="AO72" s="106" t="s">
        <v>3412</v>
      </c>
      <c r="AP72" s="107" t="s">
        <v>3413</v>
      </c>
      <c r="AQ72" s="107" t="s">
        <v>3411</v>
      </c>
    </row>
    <row r="73" spans="1:43">
      <c r="A73" s="96">
        <f t="shared" si="28"/>
        <v>944033</v>
      </c>
      <c r="B73" s="91">
        <v>33</v>
      </c>
      <c r="C73" s="96" t="s">
        <v>3414</v>
      </c>
      <c r="D73" s="91">
        <v>4</v>
      </c>
      <c r="E73" s="91">
        <v>1005</v>
      </c>
      <c r="F73" s="91">
        <v>1005</v>
      </c>
      <c r="H73" s="67" t="s">
        <v>3415</v>
      </c>
      <c r="I73" s="67" t="s">
        <v>3415</v>
      </c>
      <c r="J73" s="96" t="s">
        <v>3003</v>
      </c>
      <c r="K73" s="96">
        <f>L73-400006</f>
        <v>2</v>
      </c>
      <c r="L73" s="118">
        <v>400008</v>
      </c>
      <c r="M73" s="119">
        <v>100</v>
      </c>
      <c r="N73" s="119">
        <v>50000</v>
      </c>
      <c r="O73" s="119">
        <v>5000</v>
      </c>
      <c r="P73" s="64" t="s">
        <v>3004</v>
      </c>
      <c r="Q73" s="64" t="s">
        <v>3005</v>
      </c>
      <c r="R73" s="78">
        <f t="shared" si="26"/>
        <v>3</v>
      </c>
      <c r="S73" s="135">
        <v>3</v>
      </c>
      <c r="T73" s="78">
        <f t="shared" si="27"/>
        <v>2</v>
      </c>
      <c r="U73" s="78">
        <v>40</v>
      </c>
      <c r="W73" s="78">
        <v>4890600000</v>
      </c>
      <c r="AA73" s="107" t="s">
        <v>3410</v>
      </c>
      <c r="AD73" s="112">
        <v>1</v>
      </c>
      <c r="AE73" s="78">
        <f t="shared" ref="AE73:AE78" si="29">AF73+AI73+1</f>
        <v>540002</v>
      </c>
      <c r="AF73" s="78">
        <v>540000</v>
      </c>
      <c r="AG73" s="78">
        <v>4000</v>
      </c>
      <c r="AH73" s="78">
        <v>2</v>
      </c>
      <c r="AI73" s="78">
        <v>1</v>
      </c>
      <c r="AJ73" s="78">
        <v>5</v>
      </c>
      <c r="AL73" s="96">
        <v>2</v>
      </c>
      <c r="AM73" s="107" t="s">
        <v>3416</v>
      </c>
      <c r="AN73" s="107" t="s">
        <v>3416</v>
      </c>
      <c r="AO73" s="106" t="s">
        <v>3417</v>
      </c>
      <c r="AP73" s="107" t="s">
        <v>3418</v>
      </c>
      <c r="AQ73" s="107" t="s">
        <v>3416</v>
      </c>
    </row>
    <row r="74" spans="1:43">
      <c r="A74" s="96">
        <f t="shared" si="28"/>
        <v>944034</v>
      </c>
      <c r="B74" s="91">
        <v>34</v>
      </c>
      <c r="C74" s="96" t="s">
        <v>3419</v>
      </c>
      <c r="D74" s="91">
        <v>4</v>
      </c>
      <c r="E74" s="91">
        <v>1005</v>
      </c>
      <c r="F74" s="91">
        <v>1005</v>
      </c>
      <c r="H74" s="67" t="s">
        <v>3420</v>
      </c>
      <c r="I74" s="67" t="s">
        <v>3420</v>
      </c>
      <c r="J74" s="96" t="s">
        <v>3003</v>
      </c>
      <c r="K74" s="96">
        <f>L74-400006</f>
        <v>2</v>
      </c>
      <c r="L74" s="118">
        <v>400008</v>
      </c>
      <c r="M74" s="119">
        <v>120</v>
      </c>
      <c r="N74" s="119">
        <v>72000</v>
      </c>
      <c r="O74" s="119">
        <v>7200</v>
      </c>
      <c r="P74" s="64" t="s">
        <v>3004</v>
      </c>
      <c r="Q74" s="64" t="s">
        <v>3005</v>
      </c>
      <c r="R74" s="78">
        <f t="shared" si="26"/>
        <v>3</v>
      </c>
      <c r="S74" s="135">
        <v>3</v>
      </c>
      <c r="T74" s="78">
        <f t="shared" si="27"/>
        <v>2</v>
      </c>
      <c r="U74" s="78">
        <v>80</v>
      </c>
      <c r="W74" s="78">
        <v>88557480000</v>
      </c>
      <c r="AA74" s="107" t="s">
        <v>3410</v>
      </c>
      <c r="AD74" s="112">
        <v>1</v>
      </c>
      <c r="AE74" s="78">
        <f t="shared" si="29"/>
        <v>540002</v>
      </c>
      <c r="AF74" s="78">
        <v>540000</v>
      </c>
      <c r="AG74" s="78">
        <v>4000</v>
      </c>
      <c r="AH74" s="78">
        <v>4</v>
      </c>
      <c r="AI74" s="78">
        <v>1</v>
      </c>
      <c r="AJ74" s="78">
        <v>10</v>
      </c>
      <c r="AL74" s="96">
        <v>2</v>
      </c>
      <c r="AM74" s="107" t="s">
        <v>3416</v>
      </c>
      <c r="AN74" s="107" t="s">
        <v>3416</v>
      </c>
      <c r="AO74" s="106" t="s">
        <v>3421</v>
      </c>
      <c r="AP74" s="107" t="s">
        <v>3418</v>
      </c>
      <c r="AQ74" s="107" t="s">
        <v>3416</v>
      </c>
    </row>
    <row r="75" spans="1:43">
      <c r="A75" s="96">
        <f t="shared" si="28"/>
        <v>944035</v>
      </c>
      <c r="B75" s="91">
        <v>35</v>
      </c>
      <c r="C75" s="96" t="s">
        <v>3422</v>
      </c>
      <c r="D75" s="91">
        <v>4</v>
      </c>
      <c r="E75" s="91">
        <v>1005</v>
      </c>
      <c r="F75" s="91">
        <v>1005</v>
      </c>
      <c r="H75" s="67" t="s">
        <v>3423</v>
      </c>
      <c r="I75" s="67" t="s">
        <v>3423</v>
      </c>
      <c r="J75" s="96" t="s">
        <v>3003</v>
      </c>
      <c r="K75" s="96">
        <f>L75-400006</f>
        <v>2</v>
      </c>
      <c r="L75" s="118">
        <v>400008</v>
      </c>
      <c r="M75" s="119">
        <v>140</v>
      </c>
      <c r="N75" s="119">
        <v>98000</v>
      </c>
      <c r="O75" s="119">
        <v>9800</v>
      </c>
      <c r="P75" s="64" t="s">
        <v>3004</v>
      </c>
      <c r="Q75" s="64" t="s">
        <v>3005</v>
      </c>
      <c r="R75" s="78">
        <f t="shared" si="26"/>
        <v>3</v>
      </c>
      <c r="S75" s="135">
        <v>3</v>
      </c>
      <c r="T75" s="78">
        <f t="shared" si="27"/>
        <v>2</v>
      </c>
      <c r="U75" s="78">
        <v>160</v>
      </c>
      <c r="W75" s="78">
        <v>550806960000</v>
      </c>
      <c r="AA75" s="107" t="s">
        <v>3410</v>
      </c>
      <c r="AD75" s="112">
        <v>1</v>
      </c>
      <c r="AE75" s="78">
        <f t="shared" si="29"/>
        <v>540002</v>
      </c>
      <c r="AF75" s="78">
        <v>540000</v>
      </c>
      <c r="AG75" s="78">
        <v>4000</v>
      </c>
      <c r="AH75" s="78">
        <v>7</v>
      </c>
      <c r="AI75" s="78">
        <v>1</v>
      </c>
      <c r="AJ75" s="78">
        <v>15</v>
      </c>
      <c r="AL75" s="96">
        <v>2</v>
      </c>
      <c r="AM75" s="107" t="s">
        <v>3416</v>
      </c>
      <c r="AN75" s="107" t="s">
        <v>3416</v>
      </c>
      <c r="AO75" s="106" t="s">
        <v>3424</v>
      </c>
      <c r="AP75" s="107" t="s">
        <v>3418</v>
      </c>
      <c r="AQ75" s="107" t="s">
        <v>3416</v>
      </c>
    </row>
    <row r="76" spans="1:43">
      <c r="A76" s="96">
        <f t="shared" si="28"/>
        <v>944036</v>
      </c>
      <c r="B76" s="91">
        <v>36</v>
      </c>
      <c r="C76" s="96" t="s">
        <v>3425</v>
      </c>
      <c r="D76" s="91">
        <v>4</v>
      </c>
      <c r="E76" s="91">
        <v>1005</v>
      </c>
      <c r="F76" s="91">
        <v>1005</v>
      </c>
      <c r="H76" s="67" t="s">
        <v>3426</v>
      </c>
      <c r="I76" s="67" t="s">
        <v>3426</v>
      </c>
      <c r="J76" s="96" t="s">
        <v>3003</v>
      </c>
      <c r="K76" s="96">
        <f>L76-400006</f>
        <v>2</v>
      </c>
      <c r="L76" s="118">
        <v>400008</v>
      </c>
      <c r="M76" s="119">
        <v>160</v>
      </c>
      <c r="N76" s="119">
        <v>128000</v>
      </c>
      <c r="O76" s="119">
        <v>12800</v>
      </c>
      <c r="P76" s="64" t="s">
        <v>3004</v>
      </c>
      <c r="Q76" s="64" t="s">
        <v>3005</v>
      </c>
      <c r="R76" s="78">
        <f t="shared" si="26"/>
        <v>3</v>
      </c>
      <c r="S76" s="135">
        <v>3</v>
      </c>
      <c r="T76" s="78">
        <f t="shared" si="27"/>
        <v>2</v>
      </c>
      <c r="U76" s="78">
        <v>240</v>
      </c>
      <c r="W76" s="78">
        <v>1126016760000</v>
      </c>
      <c r="AA76" s="107" t="s">
        <v>3410</v>
      </c>
      <c r="AD76" s="112">
        <v>1</v>
      </c>
      <c r="AE76" s="78">
        <f t="shared" si="29"/>
        <v>540002</v>
      </c>
      <c r="AF76" s="78">
        <v>540000</v>
      </c>
      <c r="AG76" s="78">
        <v>4000</v>
      </c>
      <c r="AH76" s="78">
        <v>9</v>
      </c>
      <c r="AI76" s="78">
        <v>1</v>
      </c>
      <c r="AJ76" s="78">
        <v>20</v>
      </c>
      <c r="AL76" s="96">
        <v>2</v>
      </c>
      <c r="AM76" s="107" t="s">
        <v>3416</v>
      </c>
      <c r="AN76" s="107" t="s">
        <v>3416</v>
      </c>
      <c r="AO76" s="106" t="s">
        <v>3427</v>
      </c>
      <c r="AP76" s="107" t="s">
        <v>3418</v>
      </c>
      <c r="AQ76" s="107" t="s">
        <v>3416</v>
      </c>
    </row>
    <row r="77" spans="1:43">
      <c r="A77" s="96">
        <f t="shared" si="24"/>
        <v>944037</v>
      </c>
      <c r="B77" s="91">
        <v>37</v>
      </c>
      <c r="C77" s="96" t="s">
        <v>3428</v>
      </c>
      <c r="D77" s="91">
        <v>4</v>
      </c>
      <c r="E77" s="91">
        <v>1008</v>
      </c>
      <c r="F77" s="91">
        <v>1008</v>
      </c>
      <c r="H77" s="67" t="s">
        <v>3429</v>
      </c>
      <c r="I77" s="67" t="s">
        <v>3429</v>
      </c>
      <c r="J77" s="96" t="s">
        <v>3003</v>
      </c>
      <c r="K77" s="96">
        <f t="shared" si="25"/>
        <v>4</v>
      </c>
      <c r="L77" s="118">
        <v>400010</v>
      </c>
      <c r="M77" s="119">
        <v>100</v>
      </c>
      <c r="N77" s="119">
        <v>50000</v>
      </c>
      <c r="O77" s="119">
        <v>5000</v>
      </c>
      <c r="P77" s="64" t="s">
        <v>3004</v>
      </c>
      <c r="Q77" s="64" t="s">
        <v>3005</v>
      </c>
      <c r="R77" s="78">
        <f t="shared" si="26"/>
        <v>3</v>
      </c>
      <c r="S77" s="135">
        <v>3</v>
      </c>
      <c r="T77" s="78">
        <f t="shared" si="27"/>
        <v>2</v>
      </c>
      <c r="U77" s="78">
        <v>40</v>
      </c>
      <c r="W77" s="78">
        <v>4890600000</v>
      </c>
      <c r="AA77" s="107" t="s">
        <v>3430</v>
      </c>
      <c r="AD77" s="112">
        <v>1</v>
      </c>
      <c r="AE77" s="78">
        <f t="shared" si="29"/>
        <v>140002</v>
      </c>
      <c r="AF77" s="78">
        <v>140000</v>
      </c>
      <c r="AG77" s="78">
        <v>4000</v>
      </c>
      <c r="AH77" s="78">
        <v>2</v>
      </c>
      <c r="AI77" s="78">
        <v>1</v>
      </c>
      <c r="AJ77" s="78">
        <v>5</v>
      </c>
      <c r="AL77" s="96">
        <v>2</v>
      </c>
      <c r="AM77" s="107" t="s">
        <v>3431</v>
      </c>
      <c r="AN77" s="107" t="s">
        <v>3431</v>
      </c>
      <c r="AO77" s="106" t="s">
        <v>3432</v>
      </c>
      <c r="AP77" s="107" t="s">
        <v>3433</v>
      </c>
      <c r="AQ77" s="107" t="s">
        <v>3431</v>
      </c>
    </row>
    <row r="78" spans="1:43">
      <c r="A78" s="96">
        <f t="shared" si="24"/>
        <v>944038</v>
      </c>
      <c r="B78" s="91">
        <v>38</v>
      </c>
      <c r="C78" s="96" t="s">
        <v>3434</v>
      </c>
      <c r="D78" s="91">
        <v>4</v>
      </c>
      <c r="E78" s="91">
        <v>1008</v>
      </c>
      <c r="F78" s="91">
        <v>1008</v>
      </c>
      <c r="H78" s="67" t="s">
        <v>3435</v>
      </c>
      <c r="I78" s="67" t="s">
        <v>3435</v>
      </c>
      <c r="J78" s="96" t="s">
        <v>3003</v>
      </c>
      <c r="K78" s="96">
        <f t="shared" si="25"/>
        <v>4</v>
      </c>
      <c r="L78" s="118">
        <v>400010</v>
      </c>
      <c r="M78" s="119">
        <v>120</v>
      </c>
      <c r="N78" s="119">
        <v>72000</v>
      </c>
      <c r="O78" s="119">
        <v>7200</v>
      </c>
      <c r="P78" s="64" t="s">
        <v>3004</v>
      </c>
      <c r="Q78" s="64" t="s">
        <v>3005</v>
      </c>
      <c r="R78" s="78">
        <f t="shared" si="26"/>
        <v>3</v>
      </c>
      <c r="S78" s="135">
        <v>3</v>
      </c>
      <c r="T78" s="78">
        <f t="shared" si="27"/>
        <v>2</v>
      </c>
      <c r="U78" s="78">
        <v>80</v>
      </c>
      <c r="W78" s="78">
        <v>88557480000</v>
      </c>
      <c r="AA78" s="107" t="s">
        <v>3430</v>
      </c>
      <c r="AD78" s="112">
        <v>1</v>
      </c>
      <c r="AE78" s="78">
        <f t="shared" si="29"/>
        <v>140002</v>
      </c>
      <c r="AF78" s="78">
        <v>140000</v>
      </c>
      <c r="AG78" s="78">
        <v>4000</v>
      </c>
      <c r="AH78" s="78">
        <v>5</v>
      </c>
      <c r="AI78" s="78">
        <v>1</v>
      </c>
      <c r="AJ78" s="78">
        <v>10</v>
      </c>
      <c r="AL78" s="96">
        <v>2</v>
      </c>
      <c r="AM78" s="107" t="s">
        <v>3431</v>
      </c>
      <c r="AN78" s="107" t="s">
        <v>3431</v>
      </c>
      <c r="AO78" s="106" t="s">
        <v>3432</v>
      </c>
      <c r="AP78" s="107" t="s">
        <v>3433</v>
      </c>
      <c r="AQ78" s="107" t="s">
        <v>3431</v>
      </c>
    </row>
    <row r="79" spans="1:44">
      <c r="A79" s="96">
        <f t="shared" si="24"/>
        <v>944039</v>
      </c>
      <c r="B79" s="91">
        <v>39</v>
      </c>
      <c r="C79" s="96" t="s">
        <v>3436</v>
      </c>
      <c r="D79" s="91">
        <v>4</v>
      </c>
      <c r="E79" s="91">
        <v>4043</v>
      </c>
      <c r="F79" s="91">
        <v>4043</v>
      </c>
      <c r="H79" s="67" t="s">
        <v>3437</v>
      </c>
      <c r="I79" s="67" t="s">
        <v>3437</v>
      </c>
      <c r="J79" s="96" t="s">
        <v>3375</v>
      </c>
      <c r="K79" s="96">
        <f t="shared" si="25"/>
        <v>4</v>
      </c>
      <c r="L79" s="118">
        <v>400010</v>
      </c>
      <c r="M79" s="119">
        <v>140</v>
      </c>
      <c r="N79" s="119">
        <v>98000</v>
      </c>
      <c r="O79" s="119">
        <v>9800</v>
      </c>
      <c r="P79" s="64" t="s">
        <v>3004</v>
      </c>
      <c r="Q79" s="64" t="s">
        <v>3005</v>
      </c>
      <c r="R79" s="78">
        <f t="shared" si="26"/>
        <v>3</v>
      </c>
      <c r="S79" s="135">
        <v>3</v>
      </c>
      <c r="T79" s="78">
        <f t="shared" si="27"/>
        <v>2</v>
      </c>
      <c r="U79" s="78">
        <v>160</v>
      </c>
      <c r="W79" s="78">
        <v>550806960000</v>
      </c>
      <c r="AA79" s="107" t="s">
        <v>3383</v>
      </c>
      <c r="AD79" s="112">
        <v>1</v>
      </c>
      <c r="AG79" s="78">
        <v>4000</v>
      </c>
      <c r="AH79" s="78">
        <v>7</v>
      </c>
      <c r="AI79" s="78">
        <v>5</v>
      </c>
      <c r="AJ79" s="78">
        <v>15</v>
      </c>
      <c r="AL79" s="96">
        <v>1</v>
      </c>
      <c r="AM79" s="107" t="s">
        <v>3438</v>
      </c>
      <c r="AN79" s="107" t="s">
        <v>3438</v>
      </c>
      <c r="AO79" s="106" t="s">
        <v>3439</v>
      </c>
      <c r="AP79" s="107" t="s">
        <v>3440</v>
      </c>
      <c r="AQ79" s="107" t="s">
        <v>3438</v>
      </c>
      <c r="AR79" s="113">
        <v>13</v>
      </c>
    </row>
    <row r="80" spans="1:44">
      <c r="A80" s="96">
        <f t="shared" si="24"/>
        <v>944040</v>
      </c>
      <c r="B80" s="91">
        <v>40</v>
      </c>
      <c r="C80" s="96" t="s">
        <v>3441</v>
      </c>
      <c r="D80" s="91">
        <v>4</v>
      </c>
      <c r="E80" s="91">
        <v>4043</v>
      </c>
      <c r="F80" s="91">
        <v>4043</v>
      </c>
      <c r="H80" s="67" t="s">
        <v>3442</v>
      </c>
      <c r="I80" s="67" t="s">
        <v>3442</v>
      </c>
      <c r="J80" s="96" t="s">
        <v>3375</v>
      </c>
      <c r="K80" s="96">
        <f t="shared" si="25"/>
        <v>4</v>
      </c>
      <c r="L80" s="118">
        <v>400010</v>
      </c>
      <c r="M80" s="119">
        <v>160</v>
      </c>
      <c r="N80" s="119">
        <v>128000</v>
      </c>
      <c r="O80" s="119">
        <v>12800</v>
      </c>
      <c r="P80" s="64" t="s">
        <v>3004</v>
      </c>
      <c r="Q80" s="64" t="s">
        <v>3005</v>
      </c>
      <c r="R80" s="78">
        <f t="shared" si="26"/>
        <v>3</v>
      </c>
      <c r="S80" s="135">
        <v>3</v>
      </c>
      <c r="T80" s="78">
        <f t="shared" si="27"/>
        <v>2</v>
      </c>
      <c r="U80" s="78">
        <v>240</v>
      </c>
      <c r="W80" s="78">
        <v>1126016760000</v>
      </c>
      <c r="AA80" s="107" t="s">
        <v>3388</v>
      </c>
      <c r="AD80" s="112">
        <v>1</v>
      </c>
      <c r="AG80" s="78">
        <v>4000</v>
      </c>
      <c r="AH80" s="78">
        <v>10</v>
      </c>
      <c r="AI80" s="78">
        <v>9</v>
      </c>
      <c r="AJ80" s="78">
        <v>20</v>
      </c>
      <c r="AL80" s="96">
        <v>1</v>
      </c>
      <c r="AM80" s="107" t="s">
        <v>3438</v>
      </c>
      <c r="AN80" s="107" t="s">
        <v>3438</v>
      </c>
      <c r="AO80" s="106" t="s">
        <v>3443</v>
      </c>
      <c r="AP80" s="107" t="s">
        <v>3440</v>
      </c>
      <c r="AQ80" s="107" t="s">
        <v>3438</v>
      </c>
      <c r="AR80" s="113">
        <v>13</v>
      </c>
    </row>
    <row r="81" spans="1:43">
      <c r="A81" s="96">
        <f t="shared" si="24"/>
        <v>945041</v>
      </c>
      <c r="B81" s="91">
        <v>41</v>
      </c>
      <c r="C81" s="96" t="s">
        <v>3444</v>
      </c>
      <c r="D81" s="91">
        <v>4</v>
      </c>
      <c r="E81" s="91">
        <v>4051</v>
      </c>
      <c r="F81" s="91">
        <v>4051</v>
      </c>
      <c r="H81" s="67" t="s">
        <v>3445</v>
      </c>
      <c r="I81" s="67" t="s">
        <v>3445</v>
      </c>
      <c r="J81" s="96" t="s">
        <v>3375</v>
      </c>
      <c r="K81" s="96">
        <f t="shared" si="25"/>
        <v>5</v>
      </c>
      <c r="L81" s="118">
        <v>400011</v>
      </c>
      <c r="M81" s="119">
        <v>100</v>
      </c>
      <c r="N81" s="119">
        <v>50000</v>
      </c>
      <c r="O81" s="119">
        <v>5000</v>
      </c>
      <c r="P81" s="64" t="s">
        <v>3004</v>
      </c>
      <c r="Q81" s="64" t="s">
        <v>3005</v>
      </c>
      <c r="R81" s="78">
        <f t="shared" si="26"/>
        <v>3</v>
      </c>
      <c r="S81" s="135">
        <v>3</v>
      </c>
      <c r="T81" s="78">
        <f t="shared" si="27"/>
        <v>2</v>
      </c>
      <c r="U81" s="78">
        <v>40</v>
      </c>
      <c r="W81" s="78">
        <v>4890600000</v>
      </c>
      <c r="AA81" s="107" t="s">
        <v>3446</v>
      </c>
      <c r="AD81" s="112">
        <v>1</v>
      </c>
      <c r="AG81" s="78">
        <v>4000</v>
      </c>
      <c r="AH81" s="78">
        <v>3</v>
      </c>
      <c r="AI81" s="78">
        <v>1</v>
      </c>
      <c r="AJ81" s="78">
        <v>5</v>
      </c>
      <c r="AL81" s="96">
        <v>1</v>
      </c>
      <c r="AM81" s="107" t="s">
        <v>3447</v>
      </c>
      <c r="AN81" s="107" t="s">
        <v>3448</v>
      </c>
      <c r="AO81" s="106" t="s">
        <v>3449</v>
      </c>
      <c r="AP81" s="107" t="s">
        <v>3447</v>
      </c>
      <c r="AQ81" s="107" t="s">
        <v>3447</v>
      </c>
    </row>
    <row r="82" spans="1:43">
      <c r="A82" s="96">
        <f t="shared" si="24"/>
        <v>945042</v>
      </c>
      <c r="B82" s="91">
        <v>42</v>
      </c>
      <c r="C82" s="96" t="s">
        <v>3450</v>
      </c>
      <c r="D82" s="91">
        <v>4</v>
      </c>
      <c r="E82" s="91">
        <v>4051</v>
      </c>
      <c r="F82" s="91">
        <v>4051</v>
      </c>
      <c r="H82" s="67" t="s">
        <v>3451</v>
      </c>
      <c r="I82" s="67" t="s">
        <v>3451</v>
      </c>
      <c r="J82" s="96" t="s">
        <v>3375</v>
      </c>
      <c r="K82" s="96">
        <f t="shared" si="25"/>
        <v>5</v>
      </c>
      <c r="L82" s="118">
        <v>400011</v>
      </c>
      <c r="M82" s="119">
        <v>120</v>
      </c>
      <c r="N82" s="119">
        <v>72000</v>
      </c>
      <c r="O82" s="119">
        <v>7200</v>
      </c>
      <c r="P82" s="64" t="s">
        <v>3004</v>
      </c>
      <c r="Q82" s="64" t="s">
        <v>3005</v>
      </c>
      <c r="R82" s="78">
        <f t="shared" si="26"/>
        <v>3</v>
      </c>
      <c r="S82" s="135">
        <v>3</v>
      </c>
      <c r="T82" s="78">
        <f t="shared" si="27"/>
        <v>2</v>
      </c>
      <c r="U82" s="78">
        <v>80</v>
      </c>
      <c r="W82" s="78">
        <v>88557480000</v>
      </c>
      <c r="AA82" s="107" t="s">
        <v>3446</v>
      </c>
      <c r="AD82" s="112">
        <v>1</v>
      </c>
      <c r="AG82" s="78">
        <v>4000</v>
      </c>
      <c r="AH82" s="78">
        <v>5</v>
      </c>
      <c r="AI82" s="78">
        <v>9</v>
      </c>
      <c r="AJ82" s="78">
        <v>10</v>
      </c>
      <c r="AL82" s="96">
        <v>2</v>
      </c>
      <c r="AM82" s="107" t="s">
        <v>3447</v>
      </c>
      <c r="AN82" s="107" t="s">
        <v>3448</v>
      </c>
      <c r="AO82" s="106" t="s">
        <v>3452</v>
      </c>
      <c r="AP82" s="107" t="s">
        <v>3447</v>
      </c>
      <c r="AQ82" s="107" t="s">
        <v>3447</v>
      </c>
    </row>
    <row r="83" spans="1:43">
      <c r="A83" s="96">
        <f t="shared" si="24"/>
        <v>945043</v>
      </c>
      <c r="B83" s="91">
        <v>43</v>
      </c>
      <c r="C83" s="96" t="s">
        <v>3453</v>
      </c>
      <c r="D83" s="91">
        <v>4</v>
      </c>
      <c r="E83" s="91">
        <v>4051</v>
      </c>
      <c r="F83" s="91">
        <v>4051</v>
      </c>
      <c r="H83" s="67" t="s">
        <v>3454</v>
      </c>
      <c r="I83" s="67" t="s">
        <v>3454</v>
      </c>
      <c r="J83" s="96" t="s">
        <v>3375</v>
      </c>
      <c r="K83" s="96">
        <f t="shared" si="25"/>
        <v>5</v>
      </c>
      <c r="L83" s="118">
        <v>400011</v>
      </c>
      <c r="M83" s="119">
        <v>140</v>
      </c>
      <c r="N83" s="119">
        <v>98000</v>
      </c>
      <c r="O83" s="119">
        <v>9800</v>
      </c>
      <c r="P83" s="64" t="s">
        <v>3004</v>
      </c>
      <c r="Q83" s="64" t="s">
        <v>3005</v>
      </c>
      <c r="R83" s="78">
        <f t="shared" si="26"/>
        <v>3</v>
      </c>
      <c r="S83" s="135">
        <v>3</v>
      </c>
      <c r="T83" s="78">
        <f t="shared" si="27"/>
        <v>2</v>
      </c>
      <c r="U83" s="78">
        <v>160</v>
      </c>
      <c r="W83" s="78">
        <v>550806960000</v>
      </c>
      <c r="AA83" s="107" t="s">
        <v>3446</v>
      </c>
      <c r="AD83" s="112">
        <v>1</v>
      </c>
      <c r="AG83" s="78">
        <v>4000</v>
      </c>
      <c r="AH83" s="78">
        <v>8</v>
      </c>
      <c r="AI83" s="78">
        <v>5</v>
      </c>
      <c r="AJ83" s="78">
        <v>15</v>
      </c>
      <c r="AL83" s="96">
        <v>2</v>
      </c>
      <c r="AM83" s="107" t="s">
        <v>3447</v>
      </c>
      <c r="AN83" s="107" t="s">
        <v>3448</v>
      </c>
      <c r="AO83" s="106" t="s">
        <v>3455</v>
      </c>
      <c r="AP83" s="107" t="s">
        <v>3447</v>
      </c>
      <c r="AQ83" s="107" t="s">
        <v>3447</v>
      </c>
    </row>
    <row r="84" spans="1:43">
      <c r="A84" s="96">
        <f t="shared" si="24"/>
        <v>945044</v>
      </c>
      <c r="B84" s="91">
        <v>44</v>
      </c>
      <c r="C84" s="96" t="s">
        <v>3456</v>
      </c>
      <c r="D84" s="91">
        <v>4</v>
      </c>
      <c r="E84" s="91">
        <v>4051</v>
      </c>
      <c r="F84" s="91">
        <v>4051</v>
      </c>
      <c r="H84" s="67" t="s">
        <v>3457</v>
      </c>
      <c r="I84" s="67" t="s">
        <v>3457</v>
      </c>
      <c r="J84" s="96" t="s">
        <v>3375</v>
      </c>
      <c r="K84" s="96">
        <f t="shared" si="25"/>
        <v>5</v>
      </c>
      <c r="L84" s="118">
        <v>400011</v>
      </c>
      <c r="M84" s="119">
        <v>160</v>
      </c>
      <c r="N84" s="119">
        <v>128000</v>
      </c>
      <c r="O84" s="119">
        <v>12800</v>
      </c>
      <c r="P84" s="64" t="s">
        <v>3004</v>
      </c>
      <c r="Q84" s="64" t="s">
        <v>3005</v>
      </c>
      <c r="R84" s="78">
        <f t="shared" si="26"/>
        <v>3</v>
      </c>
      <c r="S84" s="135">
        <v>3</v>
      </c>
      <c r="T84" s="78">
        <f t="shared" si="27"/>
        <v>2</v>
      </c>
      <c r="U84" s="78">
        <v>240</v>
      </c>
      <c r="W84" s="78">
        <v>1126016760000</v>
      </c>
      <c r="AA84" s="107" t="s">
        <v>3446</v>
      </c>
      <c r="AD84" s="112">
        <v>1</v>
      </c>
      <c r="AG84" s="78">
        <v>4000</v>
      </c>
      <c r="AH84" s="78">
        <v>10</v>
      </c>
      <c r="AI84" s="78">
        <v>9</v>
      </c>
      <c r="AJ84" s="78">
        <v>20</v>
      </c>
      <c r="AL84" s="96">
        <v>2</v>
      </c>
      <c r="AM84" s="107" t="s">
        <v>3447</v>
      </c>
      <c r="AN84" s="107" t="s">
        <v>3448</v>
      </c>
      <c r="AO84" s="106" t="s">
        <v>3458</v>
      </c>
      <c r="AP84" s="107" t="s">
        <v>3447</v>
      </c>
      <c r="AQ84" s="107" t="s">
        <v>3447</v>
      </c>
    </row>
  </sheetData>
  <conditionalFormatting sqref="E61">
    <cfRule type="duplicateValues" dxfId="9" priority="14"/>
  </conditionalFormatting>
  <conditionalFormatting sqref="F65">
    <cfRule type="duplicateValues" dxfId="9" priority="3"/>
  </conditionalFormatting>
  <conditionalFormatting sqref="F66">
    <cfRule type="duplicateValues" dxfId="9" priority="2"/>
  </conditionalFormatting>
  <conditionalFormatting sqref="F67">
    <cfRule type="duplicateValues" dxfId="9" priority="1"/>
  </conditionalFormatting>
  <conditionalFormatting sqref="F70">
    <cfRule type="duplicateValues" dxfId="9" priority="6"/>
  </conditionalFormatting>
  <conditionalFormatting sqref="F71">
    <cfRule type="duplicateValues" dxfId="9" priority="5"/>
  </conditionalFormatting>
  <conditionalFormatting sqref="F72">
    <cfRule type="duplicateValues" dxfId="9" priority="9"/>
  </conditionalFormatting>
  <conditionalFormatting sqref="F80">
    <cfRule type="duplicateValues" dxfId="9" priority="10"/>
  </conditionalFormatting>
  <conditionalFormatting sqref="A1:A5">
    <cfRule type="duplicateValues" dxfId="9" priority="16"/>
  </conditionalFormatting>
  <conditionalFormatting sqref="F77:F78">
    <cfRule type="duplicateValues" dxfId="9" priority="4"/>
  </conditionalFormatting>
  <conditionalFormatting sqref="E58:E60 E62:E72 E77:E1048576 E26:E31 E1:E21 E36">
    <cfRule type="duplicateValues" dxfId="9" priority="15"/>
  </conditionalFormatting>
  <pageMargins left="0.7" right="0.7" top="0.75" bottom="0.75" header="0.3" footer="0.3"/>
  <pageSetup paperSize="9" orientation="portrait"/>
  <headerFooter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Q505"/>
  <sheetViews>
    <sheetView workbookViewId="0">
      <selection activeCell="I23" sqref="I23"/>
    </sheetView>
  </sheetViews>
  <sheetFormatPr defaultColWidth="9" defaultRowHeight="15"/>
  <cols>
    <col min="1" max="1" width="11.2477876106195" style="1" customWidth="1"/>
    <col min="2" max="2" width="13" style="1" customWidth="1"/>
    <col min="3" max="3" width="9" style="1" customWidth="1"/>
    <col min="4" max="4" width="12" style="1" customWidth="1"/>
    <col min="5" max="5" width="14.6283185840708" style="1" customWidth="1"/>
    <col min="6" max="6" width="13.1238938053097" style="1" customWidth="1"/>
    <col min="7" max="7" width="13.5044247787611" style="1" customWidth="1"/>
    <col min="8" max="8" width="19" style="1" customWidth="1"/>
    <col min="9" max="9" width="9" style="1"/>
    <col min="10" max="10" width="36.1238938053097" style="1" customWidth="1"/>
    <col min="11" max="16384" width="9" style="1"/>
  </cols>
  <sheetData>
    <row r="1" spans="1:11">
      <c r="A1" s="50" t="s">
        <v>29</v>
      </c>
      <c r="B1" s="51"/>
      <c r="C1" s="50"/>
      <c r="D1" s="58"/>
      <c r="E1" s="50"/>
      <c r="F1" s="50"/>
      <c r="G1" s="2"/>
      <c r="H1" s="51"/>
      <c r="I1" s="51"/>
      <c r="J1" s="51"/>
      <c r="K1" s="51"/>
    </row>
    <row r="2" ht="30" spans="1:10">
      <c r="A2" s="52" t="s">
        <v>2760</v>
      </c>
      <c r="B2" s="53" t="s">
        <v>3459</v>
      </c>
      <c r="C2" s="52" t="s">
        <v>1093</v>
      </c>
      <c r="D2" s="52" t="s">
        <v>3460</v>
      </c>
      <c r="E2" s="52" t="s">
        <v>3461</v>
      </c>
      <c r="F2" s="98" t="s">
        <v>3462</v>
      </c>
      <c r="G2" s="52"/>
      <c r="H2" s="53"/>
      <c r="I2" s="53"/>
      <c r="J2" s="53"/>
    </row>
    <row r="3" spans="1:10">
      <c r="A3" s="50" t="s">
        <v>109</v>
      </c>
      <c r="B3" s="51" t="s">
        <v>109</v>
      </c>
      <c r="C3" s="50" t="s">
        <v>109</v>
      </c>
      <c r="D3" s="50" t="s">
        <v>109</v>
      </c>
      <c r="E3" s="50" t="s">
        <v>109</v>
      </c>
      <c r="F3" s="99" t="s">
        <v>109</v>
      </c>
      <c r="G3" s="50"/>
      <c r="H3" s="51"/>
      <c r="I3" s="50"/>
      <c r="J3" s="51"/>
    </row>
    <row r="4" spans="1:10">
      <c r="A4" s="58" t="s">
        <v>62</v>
      </c>
      <c r="B4" s="59" t="s">
        <v>67</v>
      </c>
      <c r="C4" s="58" t="s">
        <v>557</v>
      </c>
      <c r="D4" s="58" t="s">
        <v>3463</v>
      </c>
      <c r="E4" s="58" t="s">
        <v>3461</v>
      </c>
      <c r="F4" s="98" t="s">
        <v>3464</v>
      </c>
      <c r="G4" s="58"/>
      <c r="H4" s="59"/>
      <c r="I4" s="59"/>
      <c r="J4" s="59"/>
    </row>
    <row r="5" spans="1:10">
      <c r="A5" s="58" t="s">
        <v>62</v>
      </c>
      <c r="B5" s="59" t="s">
        <v>67</v>
      </c>
      <c r="C5" s="58" t="s">
        <v>557</v>
      </c>
      <c r="D5" s="58" t="s">
        <v>3463</v>
      </c>
      <c r="E5" s="58" t="s">
        <v>3461</v>
      </c>
      <c r="F5" s="98" t="s">
        <v>3464</v>
      </c>
      <c r="G5" s="58"/>
      <c r="H5" s="59"/>
      <c r="I5" s="59"/>
      <c r="J5" s="59"/>
    </row>
    <row r="6" s="97" customFormat="1" ht="16.5" spans="1:10">
      <c r="A6" s="97">
        <f>(B6-$I$6)*1000+C6</f>
        <v>1001</v>
      </c>
      <c r="B6" s="97">
        <v>400007</v>
      </c>
      <c r="C6" s="100">
        <v>1</v>
      </c>
      <c r="D6" s="78">
        <v>60</v>
      </c>
      <c r="E6" s="97">
        <f>A7</f>
        <v>1002</v>
      </c>
      <c r="F6" s="101">
        <f>D6*0.2</f>
        <v>12</v>
      </c>
      <c r="H6" s="102">
        <f>B6+$I$6</f>
        <v>800013</v>
      </c>
      <c r="I6" s="97">
        <v>400006</v>
      </c>
      <c r="J6" s="102" t="s">
        <v>3465</v>
      </c>
    </row>
    <row r="7" ht="16.5" spans="1:10">
      <c r="A7" s="1">
        <f t="shared" ref="A7:A70" si="0">(B7-$I$6)*1000+C7</f>
        <v>1002</v>
      </c>
      <c r="B7" s="1">
        <v>400007</v>
      </c>
      <c r="C7" s="100">
        <v>2</v>
      </c>
      <c r="D7" s="78">
        <v>60</v>
      </c>
      <c r="E7" s="1">
        <f t="shared" ref="E7:E70" si="1">A8</f>
        <v>1003</v>
      </c>
      <c r="F7" s="2">
        <f>D7*0.2</f>
        <v>12</v>
      </c>
      <c r="H7" s="61">
        <f t="shared" ref="H7:H70" si="2">B7+$I$6</f>
        <v>800013</v>
      </c>
      <c r="J7" s="61" t="s">
        <v>3466</v>
      </c>
    </row>
    <row r="8" ht="16.5" spans="1:13">
      <c r="A8" s="1">
        <f t="shared" si="0"/>
        <v>1003</v>
      </c>
      <c r="B8" s="1">
        <v>400007</v>
      </c>
      <c r="C8" s="100">
        <v>3</v>
      </c>
      <c r="D8" s="78">
        <v>60</v>
      </c>
      <c r="E8" s="1">
        <f t="shared" si="1"/>
        <v>1004</v>
      </c>
      <c r="F8" s="2">
        <f t="shared" ref="F8:F71" si="3">D8*0.2</f>
        <v>12</v>
      </c>
      <c r="H8" s="61">
        <f t="shared" si="2"/>
        <v>800013</v>
      </c>
      <c r="J8" s="61" t="s">
        <v>3467</v>
      </c>
      <c r="M8" s="100"/>
    </row>
    <row r="9" ht="16.5" spans="1:13">
      <c r="A9" s="1">
        <f t="shared" si="0"/>
        <v>1004</v>
      </c>
      <c r="B9" s="1">
        <v>400007</v>
      </c>
      <c r="C9" s="100">
        <v>4</v>
      </c>
      <c r="D9" s="78">
        <v>60</v>
      </c>
      <c r="E9" s="1">
        <f t="shared" si="1"/>
        <v>1005</v>
      </c>
      <c r="F9" s="2">
        <f t="shared" si="3"/>
        <v>12</v>
      </c>
      <c r="H9" s="61">
        <f t="shared" si="2"/>
        <v>800013</v>
      </c>
      <c r="J9" s="61" t="s">
        <v>3468</v>
      </c>
      <c r="M9" s="100"/>
    </row>
    <row r="10" ht="16.5" spans="1:13">
      <c r="A10" s="1">
        <f t="shared" si="0"/>
        <v>1005</v>
      </c>
      <c r="B10" s="1">
        <v>400007</v>
      </c>
      <c r="C10" s="100">
        <v>5</v>
      </c>
      <c r="D10" s="78">
        <v>60</v>
      </c>
      <c r="E10" s="1">
        <f t="shared" si="1"/>
        <v>1006</v>
      </c>
      <c r="F10" s="2">
        <f t="shared" si="3"/>
        <v>12</v>
      </c>
      <c r="H10" s="61">
        <f t="shared" si="2"/>
        <v>800013</v>
      </c>
      <c r="J10" s="61" t="s">
        <v>3469</v>
      </c>
      <c r="M10" s="100"/>
    </row>
    <row r="11" ht="16.5" spans="1:13">
      <c r="A11" s="1">
        <f t="shared" si="0"/>
        <v>1006</v>
      </c>
      <c r="B11" s="1">
        <v>400007</v>
      </c>
      <c r="C11" s="100">
        <v>6</v>
      </c>
      <c r="D11" s="78">
        <v>60</v>
      </c>
      <c r="E11" s="1">
        <f t="shared" si="1"/>
        <v>1007</v>
      </c>
      <c r="F11" s="2">
        <f t="shared" si="3"/>
        <v>12</v>
      </c>
      <c r="H11" s="61">
        <f t="shared" si="2"/>
        <v>800013</v>
      </c>
      <c r="J11" s="61"/>
      <c r="M11" s="100"/>
    </row>
    <row r="12" ht="16.5" spans="1:13">
      <c r="A12" s="1">
        <f t="shared" si="0"/>
        <v>1007</v>
      </c>
      <c r="B12" s="1">
        <v>400007</v>
      </c>
      <c r="C12" s="100">
        <v>7</v>
      </c>
      <c r="D12" s="78">
        <v>60</v>
      </c>
      <c r="E12" s="1">
        <f t="shared" si="1"/>
        <v>1008</v>
      </c>
      <c r="F12" s="2">
        <f t="shared" si="3"/>
        <v>12</v>
      </c>
      <c r="H12" s="61">
        <f t="shared" si="2"/>
        <v>800013</v>
      </c>
      <c r="J12" s="61"/>
      <c r="L12" s="1">
        <f>340*2</f>
        <v>680</v>
      </c>
      <c r="M12" s="100"/>
    </row>
    <row r="13" ht="16.5" spans="1:13">
      <c r="A13" s="1">
        <f t="shared" si="0"/>
        <v>1008</v>
      </c>
      <c r="B13" s="1">
        <v>400007</v>
      </c>
      <c r="C13" s="100">
        <v>8</v>
      </c>
      <c r="D13" s="78">
        <v>60</v>
      </c>
      <c r="E13" s="1">
        <f t="shared" si="1"/>
        <v>1009</v>
      </c>
      <c r="F13" s="2">
        <f t="shared" si="3"/>
        <v>12</v>
      </c>
      <c r="H13" s="61">
        <f t="shared" si="2"/>
        <v>800013</v>
      </c>
      <c r="J13" s="61"/>
      <c r="M13" s="100"/>
    </row>
    <row r="14" ht="16.5" spans="1:13">
      <c r="A14" s="1">
        <f t="shared" si="0"/>
        <v>1009</v>
      </c>
      <c r="B14" s="1">
        <v>400007</v>
      </c>
      <c r="C14" s="100">
        <v>9</v>
      </c>
      <c r="D14" s="78">
        <v>60</v>
      </c>
      <c r="E14" s="1">
        <f t="shared" si="1"/>
        <v>1010</v>
      </c>
      <c r="F14" s="2">
        <f t="shared" si="3"/>
        <v>12</v>
      </c>
      <c r="H14" s="61">
        <f t="shared" si="2"/>
        <v>800013</v>
      </c>
      <c r="J14" s="61"/>
      <c r="M14" s="100"/>
    </row>
    <row r="15" ht="16.5" spans="1:13">
      <c r="A15" s="1">
        <f t="shared" si="0"/>
        <v>1010</v>
      </c>
      <c r="B15" s="1">
        <v>400007</v>
      </c>
      <c r="C15" s="100">
        <v>10</v>
      </c>
      <c r="D15" s="78">
        <v>60</v>
      </c>
      <c r="E15" s="1">
        <f t="shared" si="1"/>
        <v>1011</v>
      </c>
      <c r="F15" s="2">
        <f t="shared" si="3"/>
        <v>12</v>
      </c>
      <c r="H15" s="61">
        <f t="shared" si="2"/>
        <v>800013</v>
      </c>
      <c r="J15" s="61"/>
      <c r="M15" s="100"/>
    </row>
    <row r="16" ht="16.5" spans="1:13">
      <c r="A16" s="1">
        <f t="shared" si="0"/>
        <v>1011</v>
      </c>
      <c r="B16" s="1">
        <v>400007</v>
      </c>
      <c r="C16" s="100">
        <v>11</v>
      </c>
      <c r="D16" s="78">
        <v>170</v>
      </c>
      <c r="E16" s="1">
        <f t="shared" si="1"/>
        <v>1012</v>
      </c>
      <c r="F16" s="2">
        <f t="shared" si="3"/>
        <v>34</v>
      </c>
      <c r="H16" s="61">
        <f t="shared" si="2"/>
        <v>800013</v>
      </c>
      <c r="J16" s="61"/>
      <c r="M16" s="100"/>
    </row>
    <row r="17" ht="16.5" spans="1:13">
      <c r="A17" s="1">
        <f t="shared" si="0"/>
        <v>1012</v>
      </c>
      <c r="B17" s="1">
        <v>400007</v>
      </c>
      <c r="C17" s="100">
        <v>12</v>
      </c>
      <c r="D17" s="78">
        <v>220</v>
      </c>
      <c r="E17" s="1">
        <f t="shared" si="1"/>
        <v>1013</v>
      </c>
      <c r="F17" s="2">
        <f t="shared" si="3"/>
        <v>44</v>
      </c>
      <c r="H17" s="61">
        <f t="shared" si="2"/>
        <v>800013</v>
      </c>
      <c r="J17" s="61"/>
      <c r="M17" s="100"/>
    </row>
    <row r="18" ht="16.5" spans="1:13">
      <c r="A18" s="1">
        <f t="shared" si="0"/>
        <v>1013</v>
      </c>
      <c r="B18" s="1">
        <v>400007</v>
      </c>
      <c r="C18" s="100">
        <v>13</v>
      </c>
      <c r="D18" s="78">
        <v>270</v>
      </c>
      <c r="E18" s="1">
        <f t="shared" si="1"/>
        <v>1014</v>
      </c>
      <c r="F18" s="2">
        <f t="shared" si="3"/>
        <v>54</v>
      </c>
      <c r="H18" s="61">
        <f t="shared" si="2"/>
        <v>800013</v>
      </c>
      <c r="J18" s="61"/>
      <c r="M18" s="100"/>
    </row>
    <row r="19" ht="16.5" spans="1:13">
      <c r="A19" s="1">
        <f t="shared" si="0"/>
        <v>1014</v>
      </c>
      <c r="B19" s="1">
        <v>400007</v>
      </c>
      <c r="C19" s="100">
        <v>14</v>
      </c>
      <c r="D19" s="78">
        <v>320</v>
      </c>
      <c r="E19" s="1">
        <f t="shared" si="1"/>
        <v>1015</v>
      </c>
      <c r="F19" s="2">
        <f t="shared" si="3"/>
        <v>64</v>
      </c>
      <c r="H19" s="61">
        <f t="shared" si="2"/>
        <v>800013</v>
      </c>
      <c r="J19" s="61"/>
      <c r="M19" s="100"/>
    </row>
    <row r="20" ht="16.5" spans="1:13">
      <c r="A20" s="1">
        <f t="shared" si="0"/>
        <v>1015</v>
      </c>
      <c r="B20" s="1">
        <v>400007</v>
      </c>
      <c r="C20" s="100">
        <v>15</v>
      </c>
      <c r="D20" s="78">
        <v>370</v>
      </c>
      <c r="E20" s="1">
        <f t="shared" si="1"/>
        <v>1016</v>
      </c>
      <c r="F20" s="2">
        <f t="shared" si="3"/>
        <v>74</v>
      </c>
      <c r="H20" s="61">
        <f t="shared" si="2"/>
        <v>800013</v>
      </c>
      <c r="J20" s="61"/>
      <c r="M20" s="100"/>
    </row>
    <row r="21" ht="16.5" spans="1:13">
      <c r="A21" s="1">
        <f t="shared" si="0"/>
        <v>1016</v>
      </c>
      <c r="B21" s="1">
        <v>400007</v>
      </c>
      <c r="C21" s="100">
        <v>16</v>
      </c>
      <c r="D21" s="78">
        <v>430</v>
      </c>
      <c r="E21" s="1">
        <f t="shared" si="1"/>
        <v>1017</v>
      </c>
      <c r="F21" s="2">
        <f t="shared" si="3"/>
        <v>86</v>
      </c>
      <c r="H21" s="61">
        <f t="shared" si="2"/>
        <v>800013</v>
      </c>
      <c r="J21" s="61"/>
      <c r="M21" s="100"/>
    </row>
    <row r="22" ht="16.5" spans="1:13">
      <c r="A22" s="1">
        <f t="shared" si="0"/>
        <v>1017</v>
      </c>
      <c r="B22" s="1">
        <v>400007</v>
      </c>
      <c r="C22" s="100">
        <v>17</v>
      </c>
      <c r="D22" s="78">
        <v>480</v>
      </c>
      <c r="E22" s="1">
        <f t="shared" si="1"/>
        <v>1018</v>
      </c>
      <c r="F22" s="2">
        <f t="shared" si="3"/>
        <v>96</v>
      </c>
      <c r="H22" s="61">
        <f t="shared" si="2"/>
        <v>800013</v>
      </c>
      <c r="J22" s="61"/>
      <c r="M22" s="100"/>
    </row>
    <row r="23" ht="16.5" spans="1:13">
      <c r="A23" s="1">
        <f t="shared" si="0"/>
        <v>1018</v>
      </c>
      <c r="B23" s="1">
        <v>400007</v>
      </c>
      <c r="C23" s="100">
        <v>18</v>
      </c>
      <c r="D23" s="78">
        <v>530</v>
      </c>
      <c r="E23" s="1">
        <f t="shared" si="1"/>
        <v>1019</v>
      </c>
      <c r="F23" s="2">
        <f t="shared" si="3"/>
        <v>106</v>
      </c>
      <c r="H23" s="61">
        <f t="shared" si="2"/>
        <v>800013</v>
      </c>
      <c r="J23" s="61"/>
      <c r="M23" s="100"/>
    </row>
    <row r="24" ht="16.5" spans="1:13">
      <c r="A24" s="1">
        <f t="shared" si="0"/>
        <v>1019</v>
      </c>
      <c r="B24" s="1">
        <v>400007</v>
      </c>
      <c r="C24" s="100">
        <v>19</v>
      </c>
      <c r="D24" s="78">
        <v>580</v>
      </c>
      <c r="E24" s="1">
        <f t="shared" si="1"/>
        <v>1020</v>
      </c>
      <c r="F24" s="2">
        <f t="shared" si="3"/>
        <v>116</v>
      </c>
      <c r="H24" s="61">
        <f t="shared" si="2"/>
        <v>800013</v>
      </c>
      <c r="J24" s="61"/>
      <c r="M24" s="100"/>
    </row>
    <row r="25" ht="16.5" spans="1:13">
      <c r="A25" s="1">
        <f t="shared" si="0"/>
        <v>1020</v>
      </c>
      <c r="B25" s="1">
        <v>400007</v>
      </c>
      <c r="C25" s="100">
        <v>20</v>
      </c>
      <c r="D25" s="78">
        <v>630</v>
      </c>
      <c r="E25" s="1">
        <f t="shared" si="1"/>
        <v>1021</v>
      </c>
      <c r="F25" s="2">
        <f t="shared" si="3"/>
        <v>126</v>
      </c>
      <c r="H25" s="61">
        <f t="shared" si="2"/>
        <v>800013</v>
      </c>
      <c r="J25" s="61"/>
      <c r="M25" s="100"/>
    </row>
    <row r="26" ht="16.5" spans="1:13">
      <c r="A26" s="1">
        <f t="shared" si="0"/>
        <v>1021</v>
      </c>
      <c r="B26" s="1">
        <v>400007</v>
      </c>
      <c r="C26" s="100">
        <v>21</v>
      </c>
      <c r="D26" s="78">
        <v>800</v>
      </c>
      <c r="E26" s="1">
        <f t="shared" si="1"/>
        <v>1022</v>
      </c>
      <c r="F26" s="2">
        <f t="shared" si="3"/>
        <v>160</v>
      </c>
      <c r="H26" s="61">
        <f t="shared" si="2"/>
        <v>800013</v>
      </c>
      <c r="J26" s="61"/>
      <c r="M26" s="100"/>
    </row>
    <row r="27" ht="16.5" spans="1:13">
      <c r="A27" s="1">
        <f t="shared" si="0"/>
        <v>1022</v>
      </c>
      <c r="B27" s="1">
        <v>400007</v>
      </c>
      <c r="C27" s="100">
        <v>22</v>
      </c>
      <c r="D27" s="78">
        <v>800</v>
      </c>
      <c r="E27" s="1">
        <f t="shared" si="1"/>
        <v>1023</v>
      </c>
      <c r="F27" s="2">
        <f t="shared" si="3"/>
        <v>160</v>
      </c>
      <c r="H27" s="61">
        <f t="shared" si="2"/>
        <v>800013</v>
      </c>
      <c r="J27" s="61"/>
      <c r="M27" s="100"/>
    </row>
    <row r="28" ht="16.5" spans="1:13">
      <c r="A28" s="1">
        <f t="shared" si="0"/>
        <v>1023</v>
      </c>
      <c r="B28" s="1">
        <v>400007</v>
      </c>
      <c r="C28" s="100">
        <v>23</v>
      </c>
      <c r="D28" s="78">
        <v>800</v>
      </c>
      <c r="E28" s="1">
        <f t="shared" si="1"/>
        <v>1024</v>
      </c>
      <c r="F28" s="2">
        <f t="shared" si="3"/>
        <v>160</v>
      </c>
      <c r="H28" s="61">
        <f t="shared" si="2"/>
        <v>800013</v>
      </c>
      <c r="J28" s="61"/>
      <c r="M28" s="100"/>
    </row>
    <row r="29" ht="16.5" spans="1:13">
      <c r="A29" s="1">
        <f t="shared" si="0"/>
        <v>1024</v>
      </c>
      <c r="B29" s="1">
        <v>400007</v>
      </c>
      <c r="C29" s="100">
        <v>24</v>
      </c>
      <c r="D29" s="78">
        <v>800</v>
      </c>
      <c r="E29" s="1">
        <f t="shared" si="1"/>
        <v>1025</v>
      </c>
      <c r="F29" s="2">
        <f t="shared" si="3"/>
        <v>160</v>
      </c>
      <c r="H29" s="61">
        <f t="shared" si="2"/>
        <v>800013</v>
      </c>
      <c r="J29" s="61"/>
      <c r="M29" s="100"/>
    </row>
    <row r="30" ht="16.5" spans="1:13">
      <c r="A30" s="1">
        <f t="shared" si="0"/>
        <v>1025</v>
      </c>
      <c r="B30" s="1">
        <v>400007</v>
      </c>
      <c r="C30" s="100">
        <v>25</v>
      </c>
      <c r="D30" s="78">
        <v>800</v>
      </c>
      <c r="E30" s="1">
        <f t="shared" si="1"/>
        <v>1026</v>
      </c>
      <c r="F30" s="2">
        <f t="shared" si="3"/>
        <v>160</v>
      </c>
      <c r="H30" s="61">
        <f t="shared" si="2"/>
        <v>800013</v>
      </c>
      <c r="J30" s="61"/>
      <c r="M30" s="100"/>
    </row>
    <row r="31" ht="16.5" spans="1:13">
      <c r="A31" s="1">
        <f t="shared" si="0"/>
        <v>1026</v>
      </c>
      <c r="B31" s="1">
        <v>400007</v>
      </c>
      <c r="C31" s="100">
        <v>26</v>
      </c>
      <c r="D31" s="78">
        <v>800</v>
      </c>
      <c r="E31" s="1">
        <f t="shared" si="1"/>
        <v>1027</v>
      </c>
      <c r="F31" s="2">
        <f t="shared" si="3"/>
        <v>160</v>
      </c>
      <c r="H31" s="61">
        <f t="shared" si="2"/>
        <v>800013</v>
      </c>
      <c r="J31" s="61"/>
      <c r="M31" s="100"/>
    </row>
    <row r="32" ht="16.5" spans="1:13">
      <c r="A32" s="1">
        <f t="shared" si="0"/>
        <v>1027</v>
      </c>
      <c r="B32" s="1">
        <v>400007</v>
      </c>
      <c r="C32" s="100">
        <v>27</v>
      </c>
      <c r="D32" s="78">
        <v>800</v>
      </c>
      <c r="E32" s="1">
        <f t="shared" si="1"/>
        <v>1028</v>
      </c>
      <c r="F32" s="2">
        <f t="shared" si="3"/>
        <v>160</v>
      </c>
      <c r="H32" s="61">
        <f t="shared" si="2"/>
        <v>800013</v>
      </c>
      <c r="J32" s="61"/>
      <c r="M32" s="100"/>
    </row>
    <row r="33" ht="16.5" spans="1:13">
      <c r="A33" s="1">
        <f t="shared" si="0"/>
        <v>1028</v>
      </c>
      <c r="B33" s="1">
        <v>400007</v>
      </c>
      <c r="C33" s="100">
        <v>28</v>
      </c>
      <c r="D33" s="78">
        <v>800</v>
      </c>
      <c r="E33" s="1">
        <f t="shared" si="1"/>
        <v>1029</v>
      </c>
      <c r="F33" s="2">
        <f t="shared" si="3"/>
        <v>160</v>
      </c>
      <c r="H33" s="61">
        <f t="shared" si="2"/>
        <v>800013</v>
      </c>
      <c r="J33" s="61"/>
      <c r="M33" s="100"/>
    </row>
    <row r="34" ht="16.5" spans="1:13">
      <c r="A34" s="1">
        <f t="shared" si="0"/>
        <v>1029</v>
      </c>
      <c r="B34" s="1">
        <v>400007</v>
      </c>
      <c r="C34" s="100">
        <v>29</v>
      </c>
      <c r="D34" s="78">
        <v>800</v>
      </c>
      <c r="E34" s="1">
        <f t="shared" si="1"/>
        <v>1030</v>
      </c>
      <c r="F34" s="2">
        <f t="shared" si="3"/>
        <v>160</v>
      </c>
      <c r="H34" s="61">
        <f t="shared" si="2"/>
        <v>800013</v>
      </c>
      <c r="J34" s="61"/>
      <c r="M34" s="100"/>
    </row>
    <row r="35" ht="16.5" spans="1:13">
      <c r="A35" s="1">
        <f t="shared" si="0"/>
        <v>1030</v>
      </c>
      <c r="B35" s="1">
        <v>400007</v>
      </c>
      <c r="C35" s="100">
        <v>30</v>
      </c>
      <c r="D35" s="78">
        <v>800</v>
      </c>
      <c r="E35" s="1">
        <f t="shared" si="1"/>
        <v>1031</v>
      </c>
      <c r="F35" s="2">
        <f t="shared" si="3"/>
        <v>160</v>
      </c>
      <c r="H35" s="61">
        <f t="shared" si="2"/>
        <v>800013</v>
      </c>
      <c r="J35" s="61"/>
      <c r="M35" s="100"/>
    </row>
    <row r="36" ht="16.5" spans="1:13">
      <c r="A36" s="1">
        <f t="shared" si="0"/>
        <v>1031</v>
      </c>
      <c r="B36" s="1">
        <v>400007</v>
      </c>
      <c r="C36" s="100">
        <v>31</v>
      </c>
      <c r="D36" s="78">
        <v>840</v>
      </c>
      <c r="E36" s="1">
        <f t="shared" si="1"/>
        <v>1032</v>
      </c>
      <c r="F36" s="2">
        <f t="shared" si="3"/>
        <v>168</v>
      </c>
      <c r="H36" s="61">
        <f t="shared" si="2"/>
        <v>800013</v>
      </c>
      <c r="J36" s="61"/>
      <c r="M36" s="100"/>
    </row>
    <row r="37" ht="16.5" spans="1:13">
      <c r="A37" s="1">
        <f t="shared" si="0"/>
        <v>1032</v>
      </c>
      <c r="B37" s="1">
        <v>400007</v>
      </c>
      <c r="C37" s="100">
        <v>32</v>
      </c>
      <c r="D37" s="78">
        <v>880</v>
      </c>
      <c r="E37" s="1">
        <f t="shared" si="1"/>
        <v>1033</v>
      </c>
      <c r="F37" s="2">
        <f t="shared" si="3"/>
        <v>176</v>
      </c>
      <c r="H37" s="61">
        <f t="shared" si="2"/>
        <v>800013</v>
      </c>
      <c r="J37" s="61"/>
      <c r="M37" s="100"/>
    </row>
    <row r="38" ht="16.5" spans="1:13">
      <c r="A38" s="1">
        <f t="shared" si="0"/>
        <v>1033</v>
      </c>
      <c r="B38" s="1">
        <v>400007</v>
      </c>
      <c r="C38" s="100">
        <v>33</v>
      </c>
      <c r="D38" s="78">
        <v>920</v>
      </c>
      <c r="E38" s="1">
        <f t="shared" si="1"/>
        <v>1034</v>
      </c>
      <c r="F38" s="2">
        <f t="shared" si="3"/>
        <v>184</v>
      </c>
      <c r="H38" s="61">
        <f t="shared" si="2"/>
        <v>800013</v>
      </c>
      <c r="J38" s="61"/>
      <c r="M38" s="100"/>
    </row>
    <row r="39" ht="16.5" spans="1:10">
      <c r="A39" s="1">
        <f t="shared" si="0"/>
        <v>1034</v>
      </c>
      <c r="B39" s="1">
        <v>400007</v>
      </c>
      <c r="C39" s="100">
        <v>34</v>
      </c>
      <c r="D39" s="78">
        <v>960</v>
      </c>
      <c r="E39" s="1">
        <f t="shared" si="1"/>
        <v>1035</v>
      </c>
      <c r="F39" s="2">
        <f t="shared" si="3"/>
        <v>192</v>
      </c>
      <c r="H39" s="61">
        <f t="shared" si="2"/>
        <v>800013</v>
      </c>
      <c r="J39" s="61"/>
    </row>
    <row r="40" ht="16.5" spans="1:10">
      <c r="A40" s="1">
        <f t="shared" si="0"/>
        <v>1035</v>
      </c>
      <c r="B40" s="1">
        <v>400007</v>
      </c>
      <c r="C40" s="100">
        <v>35</v>
      </c>
      <c r="D40" s="78">
        <v>1000</v>
      </c>
      <c r="E40" s="1">
        <f t="shared" si="1"/>
        <v>1036</v>
      </c>
      <c r="F40" s="2">
        <f t="shared" si="3"/>
        <v>200</v>
      </c>
      <c r="H40" s="61">
        <f t="shared" si="2"/>
        <v>800013</v>
      </c>
      <c r="J40" s="61"/>
    </row>
    <row r="41" ht="16.5" spans="1:10">
      <c r="A41" s="1">
        <f t="shared" si="0"/>
        <v>1036</v>
      </c>
      <c r="B41" s="1">
        <v>400007</v>
      </c>
      <c r="C41" s="100">
        <v>36</v>
      </c>
      <c r="D41" s="78">
        <v>1040</v>
      </c>
      <c r="E41" s="1">
        <f t="shared" si="1"/>
        <v>1037</v>
      </c>
      <c r="F41" s="2">
        <f t="shared" si="3"/>
        <v>208</v>
      </c>
      <c r="H41" s="61">
        <f t="shared" si="2"/>
        <v>800013</v>
      </c>
      <c r="J41" s="61"/>
    </row>
    <row r="42" ht="16.5" spans="1:10">
      <c r="A42" s="1">
        <f t="shared" si="0"/>
        <v>1037</v>
      </c>
      <c r="B42" s="1">
        <v>400007</v>
      </c>
      <c r="C42" s="100">
        <v>37</v>
      </c>
      <c r="D42" s="78">
        <v>1080</v>
      </c>
      <c r="E42" s="1">
        <f t="shared" si="1"/>
        <v>1038</v>
      </c>
      <c r="F42" s="2">
        <f t="shared" si="3"/>
        <v>216</v>
      </c>
      <c r="H42" s="61">
        <f t="shared" si="2"/>
        <v>800013</v>
      </c>
      <c r="J42" s="61"/>
    </row>
    <row r="43" ht="16.5" spans="1:10">
      <c r="A43" s="1">
        <f t="shared" si="0"/>
        <v>1038</v>
      </c>
      <c r="B43" s="1">
        <v>400007</v>
      </c>
      <c r="C43" s="100">
        <v>38</v>
      </c>
      <c r="D43" s="78">
        <v>1120</v>
      </c>
      <c r="E43" s="1">
        <f t="shared" si="1"/>
        <v>1039</v>
      </c>
      <c r="F43" s="2">
        <f t="shared" si="3"/>
        <v>224</v>
      </c>
      <c r="H43" s="61">
        <f t="shared" si="2"/>
        <v>800013</v>
      </c>
      <c r="J43" s="61"/>
    </row>
    <row r="44" ht="16.5" spans="1:10">
      <c r="A44" s="1">
        <f t="shared" si="0"/>
        <v>1039</v>
      </c>
      <c r="B44" s="1">
        <v>400007</v>
      </c>
      <c r="C44" s="100">
        <v>39</v>
      </c>
      <c r="D44" s="78">
        <v>1160</v>
      </c>
      <c r="E44" s="1">
        <f t="shared" si="1"/>
        <v>1040</v>
      </c>
      <c r="F44" s="2">
        <f t="shared" si="3"/>
        <v>232</v>
      </c>
      <c r="H44" s="61">
        <f t="shared" si="2"/>
        <v>800013</v>
      </c>
      <c r="J44" s="61"/>
    </row>
    <row r="45" ht="16.5" spans="1:10">
      <c r="A45" s="1">
        <f t="shared" si="0"/>
        <v>1040</v>
      </c>
      <c r="B45" s="1">
        <v>400007</v>
      </c>
      <c r="C45" s="100">
        <v>40</v>
      </c>
      <c r="D45" s="78">
        <v>1200</v>
      </c>
      <c r="E45" s="1">
        <f t="shared" si="1"/>
        <v>1041</v>
      </c>
      <c r="F45" s="2">
        <f t="shared" si="3"/>
        <v>240</v>
      </c>
      <c r="H45" s="61">
        <f t="shared" si="2"/>
        <v>800013</v>
      </c>
      <c r="J45" s="61"/>
    </row>
    <row r="46" ht="16.5" spans="1:10">
      <c r="A46" s="1">
        <f t="shared" si="0"/>
        <v>1041</v>
      </c>
      <c r="B46" s="1">
        <v>400007</v>
      </c>
      <c r="C46" s="100">
        <v>41</v>
      </c>
      <c r="D46" s="78">
        <v>1240</v>
      </c>
      <c r="E46" s="1">
        <f t="shared" si="1"/>
        <v>1042</v>
      </c>
      <c r="F46" s="2">
        <f t="shared" si="3"/>
        <v>248</v>
      </c>
      <c r="H46" s="61">
        <f t="shared" si="2"/>
        <v>800013</v>
      </c>
      <c r="J46" s="61"/>
    </row>
    <row r="47" ht="16.5" spans="1:10">
      <c r="A47" s="1">
        <f t="shared" si="0"/>
        <v>1042</v>
      </c>
      <c r="B47" s="1">
        <v>400007</v>
      </c>
      <c r="C47" s="100">
        <v>42</v>
      </c>
      <c r="D47" s="78">
        <v>1280</v>
      </c>
      <c r="E47" s="1">
        <f t="shared" si="1"/>
        <v>1043</v>
      </c>
      <c r="F47" s="2">
        <f t="shared" si="3"/>
        <v>256</v>
      </c>
      <c r="H47" s="61">
        <f t="shared" si="2"/>
        <v>800013</v>
      </c>
      <c r="J47" s="61"/>
    </row>
    <row r="48" ht="16.5" spans="1:10">
      <c r="A48" s="1">
        <f t="shared" si="0"/>
        <v>1043</v>
      </c>
      <c r="B48" s="1">
        <v>400007</v>
      </c>
      <c r="C48" s="100">
        <v>43</v>
      </c>
      <c r="D48" s="78">
        <v>1320</v>
      </c>
      <c r="E48" s="1">
        <f t="shared" si="1"/>
        <v>1044</v>
      </c>
      <c r="F48" s="2">
        <f t="shared" si="3"/>
        <v>264</v>
      </c>
      <c r="H48" s="61">
        <f t="shared" si="2"/>
        <v>800013</v>
      </c>
      <c r="J48" s="61"/>
    </row>
    <row r="49" ht="16.5" spans="1:10">
      <c r="A49" s="1">
        <f t="shared" si="0"/>
        <v>1044</v>
      </c>
      <c r="B49" s="1">
        <v>400007</v>
      </c>
      <c r="C49" s="100">
        <v>44</v>
      </c>
      <c r="D49" s="78">
        <v>1360</v>
      </c>
      <c r="E49" s="1">
        <f t="shared" si="1"/>
        <v>1045</v>
      </c>
      <c r="F49" s="2">
        <f t="shared" si="3"/>
        <v>272</v>
      </c>
      <c r="H49" s="61">
        <f t="shared" si="2"/>
        <v>800013</v>
      </c>
      <c r="J49" s="61"/>
    </row>
    <row r="50" ht="16.5" spans="1:10">
      <c r="A50" s="1">
        <f t="shared" si="0"/>
        <v>1045</v>
      </c>
      <c r="B50" s="1">
        <v>400007</v>
      </c>
      <c r="C50" s="100">
        <v>45</v>
      </c>
      <c r="D50" s="78">
        <v>1400</v>
      </c>
      <c r="E50" s="1">
        <f t="shared" si="1"/>
        <v>1046</v>
      </c>
      <c r="F50" s="2">
        <f t="shared" si="3"/>
        <v>280</v>
      </c>
      <c r="H50" s="61">
        <f t="shared" si="2"/>
        <v>800013</v>
      </c>
      <c r="J50" s="61"/>
    </row>
    <row r="51" ht="16.5" spans="1:10">
      <c r="A51" s="1">
        <f t="shared" si="0"/>
        <v>1046</v>
      </c>
      <c r="B51" s="1">
        <v>400007</v>
      </c>
      <c r="C51" s="100">
        <v>46</v>
      </c>
      <c r="D51" s="78">
        <v>1440</v>
      </c>
      <c r="E51" s="1">
        <f t="shared" si="1"/>
        <v>1047</v>
      </c>
      <c r="F51" s="2">
        <f t="shared" si="3"/>
        <v>288</v>
      </c>
      <c r="H51" s="61">
        <f t="shared" si="2"/>
        <v>800013</v>
      </c>
      <c r="J51" s="61"/>
    </row>
    <row r="52" ht="16.5" spans="1:10">
      <c r="A52" s="1">
        <f t="shared" si="0"/>
        <v>1047</v>
      </c>
      <c r="B52" s="1">
        <v>400007</v>
      </c>
      <c r="C52" s="100">
        <v>47</v>
      </c>
      <c r="D52" s="78">
        <v>1480</v>
      </c>
      <c r="E52" s="1">
        <f t="shared" si="1"/>
        <v>1048</v>
      </c>
      <c r="F52" s="2">
        <f t="shared" si="3"/>
        <v>296</v>
      </c>
      <c r="H52" s="61">
        <f t="shared" si="2"/>
        <v>800013</v>
      </c>
      <c r="J52" s="61"/>
    </row>
    <row r="53" ht="16.5" spans="1:10">
      <c r="A53" s="1">
        <f t="shared" si="0"/>
        <v>1048</v>
      </c>
      <c r="B53" s="1">
        <v>400007</v>
      </c>
      <c r="C53" s="100">
        <v>48</v>
      </c>
      <c r="D53" s="78">
        <v>1520</v>
      </c>
      <c r="E53" s="1">
        <f t="shared" si="1"/>
        <v>1049</v>
      </c>
      <c r="F53" s="2">
        <f t="shared" si="3"/>
        <v>304</v>
      </c>
      <c r="H53" s="61">
        <f t="shared" si="2"/>
        <v>800013</v>
      </c>
      <c r="J53" s="61"/>
    </row>
    <row r="54" ht="16.5" spans="1:10">
      <c r="A54" s="1">
        <f t="shared" si="0"/>
        <v>1049</v>
      </c>
      <c r="B54" s="1">
        <v>400007</v>
      </c>
      <c r="C54" s="100">
        <v>49</v>
      </c>
      <c r="D54" s="78">
        <v>1560</v>
      </c>
      <c r="E54" s="1">
        <f t="shared" si="1"/>
        <v>1050</v>
      </c>
      <c r="F54" s="2">
        <f t="shared" si="3"/>
        <v>312</v>
      </c>
      <c r="H54" s="61">
        <f t="shared" si="2"/>
        <v>800013</v>
      </c>
      <c r="J54" s="61"/>
    </row>
    <row r="55" ht="16.5" spans="1:10">
      <c r="A55" s="1">
        <f t="shared" si="0"/>
        <v>1050</v>
      </c>
      <c r="B55" s="1">
        <v>400007</v>
      </c>
      <c r="C55" s="100">
        <v>50</v>
      </c>
      <c r="D55" s="78">
        <v>1600</v>
      </c>
      <c r="E55" s="1">
        <f t="shared" si="1"/>
        <v>1051</v>
      </c>
      <c r="F55" s="2">
        <f t="shared" si="3"/>
        <v>320</v>
      </c>
      <c r="H55" s="61">
        <f t="shared" si="2"/>
        <v>800013</v>
      </c>
      <c r="J55" s="61"/>
    </row>
    <row r="56" ht="16.5" spans="1:10">
      <c r="A56" s="1">
        <f t="shared" si="0"/>
        <v>1051</v>
      </c>
      <c r="B56" s="1">
        <v>400007</v>
      </c>
      <c r="C56" s="100">
        <v>51</v>
      </c>
      <c r="D56" s="78">
        <v>1640</v>
      </c>
      <c r="E56" s="1">
        <f t="shared" si="1"/>
        <v>1052</v>
      </c>
      <c r="F56" s="2">
        <f t="shared" si="3"/>
        <v>328</v>
      </c>
      <c r="H56" s="61">
        <f t="shared" si="2"/>
        <v>800013</v>
      </c>
      <c r="J56" s="61"/>
    </row>
    <row r="57" ht="16.5" spans="1:10">
      <c r="A57" s="1">
        <f t="shared" si="0"/>
        <v>1052</v>
      </c>
      <c r="B57" s="1">
        <v>400007</v>
      </c>
      <c r="C57" s="100">
        <v>52</v>
      </c>
      <c r="D57" s="78">
        <v>1680</v>
      </c>
      <c r="E57" s="1">
        <f t="shared" si="1"/>
        <v>1053</v>
      </c>
      <c r="F57" s="2">
        <f t="shared" si="3"/>
        <v>336</v>
      </c>
      <c r="H57" s="61">
        <f t="shared" si="2"/>
        <v>800013</v>
      </c>
      <c r="J57" s="61"/>
    </row>
    <row r="58" ht="16.5" spans="1:10">
      <c r="A58" s="1">
        <f t="shared" si="0"/>
        <v>1053</v>
      </c>
      <c r="B58" s="1">
        <v>400007</v>
      </c>
      <c r="C58" s="100">
        <v>53</v>
      </c>
      <c r="D58" s="78">
        <v>1720</v>
      </c>
      <c r="E58" s="1">
        <f t="shared" si="1"/>
        <v>1054</v>
      </c>
      <c r="F58" s="2">
        <f t="shared" si="3"/>
        <v>344</v>
      </c>
      <c r="H58" s="61">
        <f t="shared" si="2"/>
        <v>800013</v>
      </c>
      <c r="J58" s="61"/>
    </row>
    <row r="59" ht="16.5" spans="1:10">
      <c r="A59" s="1">
        <f t="shared" si="0"/>
        <v>1054</v>
      </c>
      <c r="B59" s="1">
        <v>400007</v>
      </c>
      <c r="C59" s="100">
        <v>54</v>
      </c>
      <c r="D59" s="78">
        <v>1760</v>
      </c>
      <c r="E59" s="1">
        <f t="shared" si="1"/>
        <v>1055</v>
      </c>
      <c r="F59" s="2">
        <f t="shared" si="3"/>
        <v>352</v>
      </c>
      <c r="H59" s="61">
        <f t="shared" si="2"/>
        <v>800013</v>
      </c>
      <c r="J59" s="61"/>
    </row>
    <row r="60" ht="16.5" spans="1:8">
      <c r="A60" s="1">
        <f t="shared" si="0"/>
        <v>1055</v>
      </c>
      <c r="B60" s="1">
        <v>400007</v>
      </c>
      <c r="C60" s="100">
        <v>55</v>
      </c>
      <c r="D60" s="78">
        <v>1800</v>
      </c>
      <c r="E60" s="1">
        <f t="shared" si="1"/>
        <v>1056</v>
      </c>
      <c r="F60" s="2">
        <f t="shared" si="3"/>
        <v>360</v>
      </c>
      <c r="H60" s="61">
        <f t="shared" si="2"/>
        <v>800013</v>
      </c>
    </row>
    <row r="61" ht="16.5" spans="1:8">
      <c r="A61" s="1">
        <f t="shared" si="0"/>
        <v>1056</v>
      </c>
      <c r="B61" s="1">
        <v>400007</v>
      </c>
      <c r="C61" s="100">
        <v>56</v>
      </c>
      <c r="D61" s="78">
        <v>1840</v>
      </c>
      <c r="E61" s="1">
        <f t="shared" si="1"/>
        <v>1057</v>
      </c>
      <c r="F61" s="2">
        <f t="shared" si="3"/>
        <v>368</v>
      </c>
      <c r="H61" s="61">
        <f t="shared" si="2"/>
        <v>800013</v>
      </c>
    </row>
    <row r="62" ht="16.5" spans="1:8">
      <c r="A62" s="1">
        <f t="shared" si="0"/>
        <v>1057</v>
      </c>
      <c r="B62" s="1">
        <v>400007</v>
      </c>
      <c r="C62" s="100">
        <v>57</v>
      </c>
      <c r="D62" s="78">
        <v>1880</v>
      </c>
      <c r="E62" s="1">
        <f t="shared" si="1"/>
        <v>1058</v>
      </c>
      <c r="F62" s="2">
        <f t="shared" si="3"/>
        <v>376</v>
      </c>
      <c r="H62" s="61">
        <f t="shared" si="2"/>
        <v>800013</v>
      </c>
    </row>
    <row r="63" ht="16.5" spans="1:8">
      <c r="A63" s="1">
        <f t="shared" si="0"/>
        <v>1058</v>
      </c>
      <c r="B63" s="1">
        <v>400007</v>
      </c>
      <c r="C63" s="100">
        <v>58</v>
      </c>
      <c r="D63" s="78">
        <v>1920</v>
      </c>
      <c r="E63" s="1">
        <f t="shared" si="1"/>
        <v>1059</v>
      </c>
      <c r="F63" s="2">
        <f t="shared" si="3"/>
        <v>384</v>
      </c>
      <c r="H63" s="61">
        <f t="shared" si="2"/>
        <v>800013</v>
      </c>
    </row>
    <row r="64" ht="16.5" spans="1:8">
      <c r="A64" s="1">
        <f t="shared" si="0"/>
        <v>1059</v>
      </c>
      <c r="B64" s="1">
        <v>400007</v>
      </c>
      <c r="C64" s="100">
        <v>59</v>
      </c>
      <c r="D64" s="78">
        <v>1960</v>
      </c>
      <c r="E64" s="1">
        <f t="shared" si="1"/>
        <v>1060</v>
      </c>
      <c r="F64" s="2">
        <f t="shared" si="3"/>
        <v>392</v>
      </c>
      <c r="H64" s="61">
        <f t="shared" si="2"/>
        <v>800013</v>
      </c>
    </row>
    <row r="65" ht="16.5" spans="1:8">
      <c r="A65" s="1">
        <f t="shared" si="0"/>
        <v>1060</v>
      </c>
      <c r="B65" s="1">
        <v>400007</v>
      </c>
      <c r="C65" s="100">
        <v>60</v>
      </c>
      <c r="D65" s="78">
        <v>2000</v>
      </c>
      <c r="E65" s="1">
        <f t="shared" si="1"/>
        <v>1061</v>
      </c>
      <c r="F65" s="2">
        <f t="shared" si="3"/>
        <v>400</v>
      </c>
      <c r="H65" s="61">
        <f t="shared" si="2"/>
        <v>800013</v>
      </c>
    </row>
    <row r="66" ht="16.5" spans="1:8">
      <c r="A66" s="1">
        <f t="shared" si="0"/>
        <v>1061</v>
      </c>
      <c r="B66" s="1">
        <v>400007</v>
      </c>
      <c r="C66" s="100">
        <v>61</v>
      </c>
      <c r="D66" s="78">
        <v>2040</v>
      </c>
      <c r="E66" s="1">
        <f t="shared" si="1"/>
        <v>1062</v>
      </c>
      <c r="F66" s="2">
        <f t="shared" si="3"/>
        <v>408</v>
      </c>
      <c r="H66" s="61">
        <f t="shared" si="2"/>
        <v>800013</v>
      </c>
    </row>
    <row r="67" ht="16.5" spans="1:8">
      <c r="A67" s="1">
        <f t="shared" si="0"/>
        <v>1062</v>
      </c>
      <c r="B67" s="1">
        <v>400007</v>
      </c>
      <c r="C67" s="100">
        <v>62</v>
      </c>
      <c r="D67" s="78">
        <v>2080</v>
      </c>
      <c r="E67" s="1">
        <f t="shared" si="1"/>
        <v>1063</v>
      </c>
      <c r="F67" s="2">
        <f t="shared" si="3"/>
        <v>416</v>
      </c>
      <c r="H67" s="61">
        <f t="shared" si="2"/>
        <v>800013</v>
      </c>
    </row>
    <row r="68" ht="16.5" spans="1:8">
      <c r="A68" s="1">
        <f t="shared" si="0"/>
        <v>1063</v>
      </c>
      <c r="B68" s="1">
        <v>400007</v>
      </c>
      <c r="C68" s="100">
        <v>63</v>
      </c>
      <c r="D68" s="78">
        <v>2120</v>
      </c>
      <c r="E68" s="1">
        <f t="shared" si="1"/>
        <v>1064</v>
      </c>
      <c r="F68" s="2">
        <f t="shared" si="3"/>
        <v>424</v>
      </c>
      <c r="H68" s="61">
        <f t="shared" si="2"/>
        <v>800013</v>
      </c>
    </row>
    <row r="69" ht="16.5" spans="1:8">
      <c r="A69" s="1">
        <f t="shared" si="0"/>
        <v>1064</v>
      </c>
      <c r="B69" s="1">
        <v>400007</v>
      </c>
      <c r="C69" s="100">
        <v>64</v>
      </c>
      <c r="D69" s="78">
        <v>2160</v>
      </c>
      <c r="E69" s="1">
        <f t="shared" si="1"/>
        <v>1065</v>
      </c>
      <c r="F69" s="2">
        <f t="shared" si="3"/>
        <v>432</v>
      </c>
      <c r="H69" s="61">
        <f t="shared" si="2"/>
        <v>800013</v>
      </c>
    </row>
    <row r="70" ht="16.5" spans="1:8">
      <c r="A70" s="1">
        <f t="shared" si="0"/>
        <v>1065</v>
      </c>
      <c r="B70" s="1">
        <v>400007</v>
      </c>
      <c r="C70" s="100">
        <v>65</v>
      </c>
      <c r="D70" s="78">
        <v>2200</v>
      </c>
      <c r="E70" s="1">
        <f t="shared" si="1"/>
        <v>1066</v>
      </c>
      <c r="F70" s="2">
        <f t="shared" si="3"/>
        <v>440</v>
      </c>
      <c r="H70" s="61">
        <f t="shared" si="2"/>
        <v>800013</v>
      </c>
    </row>
    <row r="71" ht="16.5" spans="1:8">
      <c r="A71" s="1">
        <f t="shared" ref="A71:A134" si="4">(B71-$I$6)*1000+C71</f>
        <v>1066</v>
      </c>
      <c r="B71" s="1">
        <v>400007</v>
      </c>
      <c r="C71" s="100">
        <v>66</v>
      </c>
      <c r="D71" s="78">
        <v>2240</v>
      </c>
      <c r="E71" s="1">
        <f t="shared" ref="E71:E134" si="5">A72</f>
        <v>1067</v>
      </c>
      <c r="F71" s="2">
        <f t="shared" si="3"/>
        <v>448</v>
      </c>
      <c r="H71" s="61">
        <f t="shared" ref="H71:H134" si="6">B71+$I$6</f>
        <v>800013</v>
      </c>
    </row>
    <row r="72" ht="16.5" spans="1:8">
      <c r="A72" s="1">
        <f t="shared" si="4"/>
        <v>1067</v>
      </c>
      <c r="B72" s="1">
        <v>400007</v>
      </c>
      <c r="C72" s="100">
        <v>67</v>
      </c>
      <c r="D72" s="78">
        <v>2280</v>
      </c>
      <c r="E72" s="1">
        <f t="shared" si="5"/>
        <v>1068</v>
      </c>
      <c r="F72" s="2">
        <f t="shared" ref="F72:F135" si="7">D72*0.2</f>
        <v>456</v>
      </c>
      <c r="H72" s="61">
        <f t="shared" si="6"/>
        <v>800013</v>
      </c>
    </row>
    <row r="73" ht="16.5" spans="1:8">
      <c r="A73" s="1">
        <f t="shared" si="4"/>
        <v>1068</v>
      </c>
      <c r="B73" s="1">
        <v>400007</v>
      </c>
      <c r="C73" s="100">
        <v>68</v>
      </c>
      <c r="D73" s="78">
        <v>2320</v>
      </c>
      <c r="E73" s="1">
        <f t="shared" si="5"/>
        <v>1069</v>
      </c>
      <c r="F73" s="2">
        <f t="shared" si="7"/>
        <v>464</v>
      </c>
      <c r="H73" s="61">
        <f t="shared" si="6"/>
        <v>800013</v>
      </c>
    </row>
    <row r="74" ht="16.5" spans="1:8">
      <c r="A74" s="1">
        <f t="shared" si="4"/>
        <v>1069</v>
      </c>
      <c r="B74" s="1">
        <v>400007</v>
      </c>
      <c r="C74" s="100">
        <v>69</v>
      </c>
      <c r="D74" s="78">
        <v>2360</v>
      </c>
      <c r="E74" s="1">
        <f t="shared" si="5"/>
        <v>1070</v>
      </c>
      <c r="F74" s="2">
        <f t="shared" si="7"/>
        <v>472</v>
      </c>
      <c r="H74" s="61">
        <f t="shared" si="6"/>
        <v>800013</v>
      </c>
    </row>
    <row r="75" ht="16.5" spans="1:8">
      <c r="A75" s="1">
        <f t="shared" si="4"/>
        <v>1070</v>
      </c>
      <c r="B75" s="1">
        <v>400007</v>
      </c>
      <c r="C75" s="100">
        <v>70</v>
      </c>
      <c r="D75" s="78">
        <v>2400</v>
      </c>
      <c r="E75" s="1">
        <f t="shared" si="5"/>
        <v>1071</v>
      </c>
      <c r="F75" s="2">
        <f t="shared" si="7"/>
        <v>480</v>
      </c>
      <c r="H75" s="61">
        <f t="shared" si="6"/>
        <v>800013</v>
      </c>
    </row>
    <row r="76" ht="16.5" spans="1:8">
      <c r="A76" s="1">
        <f t="shared" si="4"/>
        <v>1071</v>
      </c>
      <c r="B76" s="1">
        <v>400007</v>
      </c>
      <c r="C76" s="100">
        <v>71</v>
      </c>
      <c r="D76" s="78">
        <v>2440</v>
      </c>
      <c r="E76" s="1">
        <f t="shared" si="5"/>
        <v>1072</v>
      </c>
      <c r="F76" s="2">
        <f t="shared" si="7"/>
        <v>488</v>
      </c>
      <c r="H76" s="61">
        <f t="shared" si="6"/>
        <v>800013</v>
      </c>
    </row>
    <row r="77" ht="16.5" spans="1:8">
      <c r="A77" s="1">
        <f t="shared" si="4"/>
        <v>1072</v>
      </c>
      <c r="B77" s="1">
        <v>400007</v>
      </c>
      <c r="C77" s="100">
        <v>72</v>
      </c>
      <c r="D77" s="78">
        <v>2480</v>
      </c>
      <c r="E77" s="1">
        <f t="shared" si="5"/>
        <v>1073</v>
      </c>
      <c r="F77" s="2">
        <f t="shared" si="7"/>
        <v>496</v>
      </c>
      <c r="H77" s="61">
        <f t="shared" si="6"/>
        <v>800013</v>
      </c>
    </row>
    <row r="78" ht="16.5" spans="1:8">
      <c r="A78" s="1">
        <f t="shared" si="4"/>
        <v>1073</v>
      </c>
      <c r="B78" s="1">
        <v>400007</v>
      </c>
      <c r="C78" s="100">
        <v>73</v>
      </c>
      <c r="D78" s="78">
        <v>2520</v>
      </c>
      <c r="E78" s="1">
        <f t="shared" si="5"/>
        <v>1074</v>
      </c>
      <c r="F78" s="2">
        <f t="shared" si="7"/>
        <v>504</v>
      </c>
      <c r="H78" s="61">
        <f t="shared" si="6"/>
        <v>800013</v>
      </c>
    </row>
    <row r="79" ht="16.5" spans="1:8">
      <c r="A79" s="1">
        <f t="shared" si="4"/>
        <v>1074</v>
      </c>
      <c r="B79" s="1">
        <v>400007</v>
      </c>
      <c r="C79" s="100">
        <v>74</v>
      </c>
      <c r="D79" s="78">
        <v>2560</v>
      </c>
      <c r="E79" s="1">
        <f t="shared" si="5"/>
        <v>1075</v>
      </c>
      <c r="F79" s="2">
        <f t="shared" si="7"/>
        <v>512</v>
      </c>
      <c r="H79" s="61">
        <f t="shared" si="6"/>
        <v>800013</v>
      </c>
    </row>
    <row r="80" ht="16.5" spans="1:8">
      <c r="A80" s="1">
        <f t="shared" si="4"/>
        <v>1075</v>
      </c>
      <c r="B80" s="1">
        <v>400007</v>
      </c>
      <c r="C80" s="100">
        <v>75</v>
      </c>
      <c r="D80" s="78">
        <v>2600</v>
      </c>
      <c r="E80" s="1">
        <f t="shared" si="5"/>
        <v>1076</v>
      </c>
      <c r="F80" s="2">
        <f t="shared" si="7"/>
        <v>520</v>
      </c>
      <c r="H80" s="61">
        <f t="shared" si="6"/>
        <v>800013</v>
      </c>
    </row>
    <row r="81" ht="16.5" spans="1:8">
      <c r="A81" s="1">
        <f t="shared" si="4"/>
        <v>1076</v>
      </c>
      <c r="B81" s="1">
        <v>400007</v>
      </c>
      <c r="C81" s="100">
        <v>76</v>
      </c>
      <c r="D81" s="78">
        <v>2640</v>
      </c>
      <c r="E81" s="1">
        <f t="shared" si="5"/>
        <v>1077</v>
      </c>
      <c r="F81" s="2">
        <f t="shared" si="7"/>
        <v>528</v>
      </c>
      <c r="H81" s="61">
        <f t="shared" si="6"/>
        <v>800013</v>
      </c>
    </row>
    <row r="82" ht="16.5" spans="1:8">
      <c r="A82" s="1">
        <f t="shared" si="4"/>
        <v>1077</v>
      </c>
      <c r="B82" s="1">
        <v>400007</v>
      </c>
      <c r="C82" s="100">
        <v>77</v>
      </c>
      <c r="D82" s="78">
        <v>2680</v>
      </c>
      <c r="E82" s="1">
        <f t="shared" si="5"/>
        <v>1078</v>
      </c>
      <c r="F82" s="2">
        <f t="shared" si="7"/>
        <v>536</v>
      </c>
      <c r="H82" s="61">
        <f t="shared" si="6"/>
        <v>800013</v>
      </c>
    </row>
    <row r="83" ht="16.5" spans="1:8">
      <c r="A83" s="1">
        <f t="shared" si="4"/>
        <v>1078</v>
      </c>
      <c r="B83" s="1">
        <v>400007</v>
      </c>
      <c r="C83" s="100">
        <v>78</v>
      </c>
      <c r="D83" s="78">
        <v>2720</v>
      </c>
      <c r="E83" s="1">
        <f t="shared" si="5"/>
        <v>1079</v>
      </c>
      <c r="F83" s="2">
        <f t="shared" si="7"/>
        <v>544</v>
      </c>
      <c r="H83" s="61">
        <f t="shared" si="6"/>
        <v>800013</v>
      </c>
    </row>
    <row r="84" ht="16.5" spans="1:8">
      <c r="A84" s="1">
        <f t="shared" si="4"/>
        <v>1079</v>
      </c>
      <c r="B84" s="1">
        <v>400007</v>
      </c>
      <c r="C84" s="100">
        <v>79</v>
      </c>
      <c r="D84" s="78">
        <v>2760</v>
      </c>
      <c r="E84" s="1">
        <f t="shared" si="5"/>
        <v>1080</v>
      </c>
      <c r="F84" s="2">
        <f t="shared" si="7"/>
        <v>552</v>
      </c>
      <c r="H84" s="61">
        <f t="shared" si="6"/>
        <v>800013</v>
      </c>
    </row>
    <row r="85" ht="16.5" spans="1:8">
      <c r="A85" s="1">
        <f t="shared" si="4"/>
        <v>1080</v>
      </c>
      <c r="B85" s="1">
        <v>400007</v>
      </c>
      <c r="C85" s="100">
        <v>80</v>
      </c>
      <c r="D85" s="78">
        <v>2800</v>
      </c>
      <c r="E85" s="1">
        <f t="shared" si="5"/>
        <v>1081</v>
      </c>
      <c r="F85" s="2">
        <f t="shared" si="7"/>
        <v>560</v>
      </c>
      <c r="H85" s="61">
        <f t="shared" si="6"/>
        <v>800013</v>
      </c>
    </row>
    <row r="86" ht="16.5" spans="1:8">
      <c r="A86" s="1">
        <f t="shared" si="4"/>
        <v>1081</v>
      </c>
      <c r="B86" s="1">
        <v>400007</v>
      </c>
      <c r="C86" s="100">
        <v>81</v>
      </c>
      <c r="D86" s="78">
        <v>2840</v>
      </c>
      <c r="E86" s="1">
        <f t="shared" si="5"/>
        <v>1082</v>
      </c>
      <c r="F86" s="2">
        <f t="shared" si="7"/>
        <v>568</v>
      </c>
      <c r="H86" s="61">
        <f t="shared" si="6"/>
        <v>800013</v>
      </c>
    </row>
    <row r="87" ht="16.5" spans="1:8">
      <c r="A87" s="1">
        <f t="shared" si="4"/>
        <v>1082</v>
      </c>
      <c r="B87" s="1">
        <v>400007</v>
      </c>
      <c r="C87" s="100">
        <v>82</v>
      </c>
      <c r="D87" s="78">
        <v>2880</v>
      </c>
      <c r="E87" s="1">
        <f t="shared" si="5"/>
        <v>1083</v>
      </c>
      <c r="F87" s="2">
        <f t="shared" si="7"/>
        <v>576</v>
      </c>
      <c r="H87" s="61">
        <f t="shared" si="6"/>
        <v>800013</v>
      </c>
    </row>
    <row r="88" ht="16.5" spans="1:8">
      <c r="A88" s="1">
        <f t="shared" si="4"/>
        <v>1083</v>
      </c>
      <c r="B88" s="1">
        <v>400007</v>
      </c>
      <c r="C88" s="100">
        <v>83</v>
      </c>
      <c r="D88" s="78">
        <v>2920</v>
      </c>
      <c r="E88" s="1">
        <f t="shared" si="5"/>
        <v>1084</v>
      </c>
      <c r="F88" s="2">
        <f t="shared" si="7"/>
        <v>584</v>
      </c>
      <c r="H88" s="61">
        <f t="shared" si="6"/>
        <v>800013</v>
      </c>
    </row>
    <row r="89" ht="16.5" spans="1:8">
      <c r="A89" s="1">
        <f t="shared" si="4"/>
        <v>1084</v>
      </c>
      <c r="B89" s="1">
        <v>400007</v>
      </c>
      <c r="C89" s="100">
        <v>84</v>
      </c>
      <c r="D89" s="78">
        <v>2960</v>
      </c>
      <c r="E89" s="1">
        <f t="shared" si="5"/>
        <v>1085</v>
      </c>
      <c r="F89" s="2">
        <f t="shared" si="7"/>
        <v>592</v>
      </c>
      <c r="H89" s="61">
        <f t="shared" si="6"/>
        <v>800013</v>
      </c>
    </row>
    <row r="90" ht="16.5" spans="1:8">
      <c r="A90" s="1">
        <f t="shared" si="4"/>
        <v>1085</v>
      </c>
      <c r="B90" s="1">
        <v>400007</v>
      </c>
      <c r="C90" s="100">
        <v>85</v>
      </c>
      <c r="D90" s="78">
        <v>3000</v>
      </c>
      <c r="E90" s="1">
        <f t="shared" si="5"/>
        <v>1086</v>
      </c>
      <c r="F90" s="2">
        <f t="shared" si="7"/>
        <v>600</v>
      </c>
      <c r="H90" s="61">
        <f t="shared" si="6"/>
        <v>800013</v>
      </c>
    </row>
    <row r="91" ht="16.5" spans="1:8">
      <c r="A91" s="1">
        <f t="shared" si="4"/>
        <v>1086</v>
      </c>
      <c r="B91" s="1">
        <v>400007</v>
      </c>
      <c r="C91" s="100">
        <v>86</v>
      </c>
      <c r="D91" s="78">
        <v>3040</v>
      </c>
      <c r="E91" s="1">
        <f t="shared" si="5"/>
        <v>1087</v>
      </c>
      <c r="F91" s="2">
        <f t="shared" si="7"/>
        <v>608</v>
      </c>
      <c r="H91" s="61">
        <f t="shared" si="6"/>
        <v>800013</v>
      </c>
    </row>
    <row r="92" ht="16.5" spans="1:8">
      <c r="A92" s="1">
        <f t="shared" si="4"/>
        <v>1087</v>
      </c>
      <c r="B92" s="1">
        <v>400007</v>
      </c>
      <c r="C92" s="100">
        <v>87</v>
      </c>
      <c r="D92" s="78">
        <v>3080</v>
      </c>
      <c r="E92" s="1">
        <f t="shared" si="5"/>
        <v>1088</v>
      </c>
      <c r="F92" s="2">
        <f t="shared" si="7"/>
        <v>616</v>
      </c>
      <c r="H92" s="61">
        <f t="shared" si="6"/>
        <v>800013</v>
      </c>
    </row>
    <row r="93" ht="16.5" spans="1:8">
      <c r="A93" s="1">
        <f t="shared" si="4"/>
        <v>1088</v>
      </c>
      <c r="B93" s="1">
        <v>400007</v>
      </c>
      <c r="C93" s="100">
        <v>88</v>
      </c>
      <c r="D93" s="78">
        <v>3120</v>
      </c>
      <c r="E93" s="1">
        <f t="shared" si="5"/>
        <v>1089</v>
      </c>
      <c r="F93" s="2">
        <f t="shared" si="7"/>
        <v>624</v>
      </c>
      <c r="H93" s="61">
        <f t="shared" si="6"/>
        <v>800013</v>
      </c>
    </row>
    <row r="94" ht="16.5" spans="1:8">
      <c r="A94" s="1">
        <f t="shared" si="4"/>
        <v>1089</v>
      </c>
      <c r="B94" s="1">
        <v>400007</v>
      </c>
      <c r="C94" s="100">
        <v>89</v>
      </c>
      <c r="D94" s="78">
        <v>3160</v>
      </c>
      <c r="E94" s="1">
        <f t="shared" si="5"/>
        <v>1090</v>
      </c>
      <c r="F94" s="2">
        <f t="shared" si="7"/>
        <v>632</v>
      </c>
      <c r="H94" s="61">
        <f t="shared" si="6"/>
        <v>800013</v>
      </c>
    </row>
    <row r="95" ht="16.5" spans="1:8">
      <c r="A95" s="1">
        <f t="shared" si="4"/>
        <v>1090</v>
      </c>
      <c r="B95" s="1">
        <v>400007</v>
      </c>
      <c r="C95" s="100">
        <v>90</v>
      </c>
      <c r="D95" s="78">
        <v>3200</v>
      </c>
      <c r="E95" s="1">
        <f t="shared" si="5"/>
        <v>1091</v>
      </c>
      <c r="F95" s="2">
        <f t="shared" si="7"/>
        <v>640</v>
      </c>
      <c r="H95" s="61">
        <f t="shared" si="6"/>
        <v>800013</v>
      </c>
    </row>
    <row r="96" ht="16.5" spans="1:8">
      <c r="A96" s="1">
        <f t="shared" si="4"/>
        <v>1091</v>
      </c>
      <c r="B96" s="1">
        <v>400007</v>
      </c>
      <c r="C96" s="100">
        <v>91</v>
      </c>
      <c r="D96" s="78">
        <v>3240</v>
      </c>
      <c r="E96" s="1">
        <f t="shared" si="5"/>
        <v>1092</v>
      </c>
      <c r="F96" s="2">
        <f t="shared" si="7"/>
        <v>648</v>
      </c>
      <c r="H96" s="61">
        <f t="shared" si="6"/>
        <v>800013</v>
      </c>
    </row>
    <row r="97" ht="16.5" spans="1:8">
      <c r="A97" s="1">
        <f t="shared" si="4"/>
        <v>1092</v>
      </c>
      <c r="B97" s="1">
        <v>400007</v>
      </c>
      <c r="C97" s="100">
        <v>92</v>
      </c>
      <c r="D97" s="78">
        <v>3280</v>
      </c>
      <c r="E97" s="1">
        <f t="shared" si="5"/>
        <v>1093</v>
      </c>
      <c r="F97" s="2">
        <f t="shared" si="7"/>
        <v>656</v>
      </c>
      <c r="H97" s="61">
        <f t="shared" si="6"/>
        <v>800013</v>
      </c>
    </row>
    <row r="98" ht="16.5" spans="1:8">
      <c r="A98" s="1">
        <f t="shared" si="4"/>
        <v>1093</v>
      </c>
      <c r="B98" s="1">
        <v>400007</v>
      </c>
      <c r="C98" s="100">
        <v>93</v>
      </c>
      <c r="D98" s="78">
        <v>3320</v>
      </c>
      <c r="E98" s="1">
        <f t="shared" si="5"/>
        <v>1094</v>
      </c>
      <c r="F98" s="2">
        <f t="shared" si="7"/>
        <v>664</v>
      </c>
      <c r="H98" s="61">
        <f t="shared" si="6"/>
        <v>800013</v>
      </c>
    </row>
    <row r="99" ht="16.5" spans="1:8">
      <c r="A99" s="1">
        <f t="shared" si="4"/>
        <v>1094</v>
      </c>
      <c r="B99" s="1">
        <v>400007</v>
      </c>
      <c r="C99" s="100">
        <v>94</v>
      </c>
      <c r="D99" s="78">
        <v>3360</v>
      </c>
      <c r="E99" s="1">
        <f t="shared" si="5"/>
        <v>1095</v>
      </c>
      <c r="F99" s="2">
        <f t="shared" si="7"/>
        <v>672</v>
      </c>
      <c r="H99" s="61">
        <f t="shared" si="6"/>
        <v>800013</v>
      </c>
    </row>
    <row r="100" ht="16.5" spans="1:8">
      <c r="A100" s="1">
        <f t="shared" si="4"/>
        <v>1095</v>
      </c>
      <c r="B100" s="1">
        <v>400007</v>
      </c>
      <c r="C100" s="100">
        <v>95</v>
      </c>
      <c r="D100" s="78">
        <v>3400</v>
      </c>
      <c r="E100" s="1">
        <f t="shared" si="5"/>
        <v>1096</v>
      </c>
      <c r="F100" s="2">
        <f t="shared" si="7"/>
        <v>680</v>
      </c>
      <c r="H100" s="61">
        <f t="shared" si="6"/>
        <v>800013</v>
      </c>
    </row>
    <row r="101" ht="16.5" spans="1:8">
      <c r="A101" s="1">
        <f t="shared" si="4"/>
        <v>1096</v>
      </c>
      <c r="B101" s="1">
        <v>400007</v>
      </c>
      <c r="C101" s="100">
        <v>96</v>
      </c>
      <c r="D101" s="78">
        <v>3440</v>
      </c>
      <c r="E101" s="1">
        <f t="shared" si="5"/>
        <v>1097</v>
      </c>
      <c r="F101" s="2">
        <f t="shared" si="7"/>
        <v>688</v>
      </c>
      <c r="H101" s="61">
        <f t="shared" si="6"/>
        <v>800013</v>
      </c>
    </row>
    <row r="102" ht="16.5" spans="1:8">
      <c r="A102" s="1">
        <f t="shared" si="4"/>
        <v>1097</v>
      </c>
      <c r="B102" s="1">
        <v>400007</v>
      </c>
      <c r="C102" s="100">
        <v>97</v>
      </c>
      <c r="D102" s="78">
        <v>3480</v>
      </c>
      <c r="E102" s="1">
        <f t="shared" si="5"/>
        <v>1098</v>
      </c>
      <c r="F102" s="2">
        <f t="shared" si="7"/>
        <v>696</v>
      </c>
      <c r="H102" s="61">
        <f t="shared" si="6"/>
        <v>800013</v>
      </c>
    </row>
    <row r="103" ht="16.5" spans="1:8">
      <c r="A103" s="1">
        <f t="shared" si="4"/>
        <v>1098</v>
      </c>
      <c r="B103" s="1">
        <v>400007</v>
      </c>
      <c r="C103" s="100">
        <v>98</v>
      </c>
      <c r="D103" s="78">
        <v>3520</v>
      </c>
      <c r="E103" s="1">
        <f t="shared" si="5"/>
        <v>1099</v>
      </c>
      <c r="F103" s="2">
        <f t="shared" si="7"/>
        <v>704</v>
      </c>
      <c r="H103" s="61">
        <f t="shared" si="6"/>
        <v>800013</v>
      </c>
    </row>
    <row r="104" ht="16.5" spans="1:8">
      <c r="A104" s="1">
        <f t="shared" si="4"/>
        <v>1099</v>
      </c>
      <c r="B104" s="1">
        <v>400007</v>
      </c>
      <c r="C104" s="100">
        <v>99</v>
      </c>
      <c r="D104" s="78">
        <v>3560</v>
      </c>
      <c r="E104" s="1">
        <f t="shared" si="5"/>
        <v>1100</v>
      </c>
      <c r="F104" s="2">
        <f t="shared" si="7"/>
        <v>712</v>
      </c>
      <c r="H104" s="61">
        <f t="shared" si="6"/>
        <v>800013</v>
      </c>
    </row>
    <row r="105" s="97" customFormat="1" ht="16.5" spans="1:8">
      <c r="A105" s="97">
        <f t="shared" si="4"/>
        <v>1100</v>
      </c>
      <c r="B105" s="97">
        <v>400007</v>
      </c>
      <c r="C105" s="100">
        <v>100</v>
      </c>
      <c r="D105" s="97">
        <v>3600</v>
      </c>
      <c r="E105" s="97">
        <v>0</v>
      </c>
      <c r="F105" s="2">
        <f t="shared" si="7"/>
        <v>720</v>
      </c>
      <c r="H105" s="102">
        <f t="shared" si="6"/>
        <v>800013</v>
      </c>
    </row>
    <row r="106" ht="16.5" spans="1:8">
      <c r="A106" s="1">
        <f t="shared" si="4"/>
        <v>2001</v>
      </c>
      <c r="B106" s="1">
        <v>400008</v>
      </c>
      <c r="C106" s="100">
        <v>1</v>
      </c>
      <c r="D106" s="78">
        <v>60</v>
      </c>
      <c r="E106" s="1">
        <f t="shared" si="5"/>
        <v>2002</v>
      </c>
      <c r="F106" s="2">
        <f t="shared" si="7"/>
        <v>12</v>
      </c>
      <c r="H106" s="61">
        <f t="shared" si="6"/>
        <v>800014</v>
      </c>
    </row>
    <row r="107" ht="16.5" spans="1:8">
      <c r="A107" s="1">
        <f t="shared" si="4"/>
        <v>2002</v>
      </c>
      <c r="B107" s="1">
        <v>400008</v>
      </c>
      <c r="C107" s="100">
        <v>2</v>
      </c>
      <c r="D107" s="78">
        <v>60</v>
      </c>
      <c r="E107" s="1">
        <f t="shared" si="5"/>
        <v>2003</v>
      </c>
      <c r="F107" s="2">
        <f t="shared" si="7"/>
        <v>12</v>
      </c>
      <c r="H107" s="61">
        <f t="shared" si="6"/>
        <v>800014</v>
      </c>
    </row>
    <row r="108" ht="16.5" spans="1:8">
      <c r="A108" s="1">
        <f t="shared" si="4"/>
        <v>2003</v>
      </c>
      <c r="B108" s="1">
        <v>400008</v>
      </c>
      <c r="C108" s="100">
        <v>3</v>
      </c>
      <c r="D108" s="78">
        <v>60</v>
      </c>
      <c r="E108" s="1">
        <f t="shared" si="5"/>
        <v>2004</v>
      </c>
      <c r="F108" s="2">
        <f t="shared" si="7"/>
        <v>12</v>
      </c>
      <c r="H108" s="61">
        <f t="shared" si="6"/>
        <v>800014</v>
      </c>
    </row>
    <row r="109" ht="16.5" spans="1:8">
      <c r="A109" s="1">
        <f t="shared" si="4"/>
        <v>2004</v>
      </c>
      <c r="B109" s="1">
        <v>400008</v>
      </c>
      <c r="C109" s="100">
        <v>4</v>
      </c>
      <c r="D109" s="78">
        <v>60</v>
      </c>
      <c r="E109" s="1">
        <f t="shared" si="5"/>
        <v>2005</v>
      </c>
      <c r="F109" s="2">
        <f t="shared" si="7"/>
        <v>12</v>
      </c>
      <c r="H109" s="61">
        <f t="shared" si="6"/>
        <v>800014</v>
      </c>
    </row>
    <row r="110" ht="16.5" spans="1:8">
      <c r="A110" s="1">
        <f t="shared" si="4"/>
        <v>2005</v>
      </c>
      <c r="B110" s="1">
        <v>400008</v>
      </c>
      <c r="C110" s="100">
        <v>5</v>
      </c>
      <c r="D110" s="78">
        <v>60</v>
      </c>
      <c r="E110" s="1">
        <f t="shared" si="5"/>
        <v>2006</v>
      </c>
      <c r="F110" s="2">
        <f t="shared" si="7"/>
        <v>12</v>
      </c>
      <c r="H110" s="61">
        <f t="shared" si="6"/>
        <v>800014</v>
      </c>
    </row>
    <row r="111" ht="16.5" spans="1:8">
      <c r="A111" s="1">
        <f t="shared" si="4"/>
        <v>2006</v>
      </c>
      <c r="B111" s="1">
        <v>400008</v>
      </c>
      <c r="C111" s="100">
        <v>6</v>
      </c>
      <c r="D111" s="78">
        <v>60</v>
      </c>
      <c r="E111" s="1">
        <f t="shared" si="5"/>
        <v>2007</v>
      </c>
      <c r="F111" s="2">
        <f t="shared" si="7"/>
        <v>12</v>
      </c>
      <c r="H111" s="61">
        <f t="shared" si="6"/>
        <v>800014</v>
      </c>
    </row>
    <row r="112" ht="16.5" spans="1:8">
      <c r="A112" s="1">
        <f t="shared" si="4"/>
        <v>2007</v>
      </c>
      <c r="B112" s="1">
        <v>400008</v>
      </c>
      <c r="C112" s="100">
        <v>7</v>
      </c>
      <c r="D112" s="78">
        <v>60</v>
      </c>
      <c r="E112" s="1">
        <f t="shared" si="5"/>
        <v>2008</v>
      </c>
      <c r="F112" s="2">
        <f t="shared" si="7"/>
        <v>12</v>
      </c>
      <c r="H112" s="61">
        <f t="shared" si="6"/>
        <v>800014</v>
      </c>
    </row>
    <row r="113" ht="16.5" spans="1:8">
      <c r="A113" s="1">
        <f t="shared" si="4"/>
        <v>2008</v>
      </c>
      <c r="B113" s="1">
        <v>400008</v>
      </c>
      <c r="C113" s="100">
        <v>8</v>
      </c>
      <c r="D113" s="78">
        <v>60</v>
      </c>
      <c r="E113" s="1">
        <f t="shared" si="5"/>
        <v>2009</v>
      </c>
      <c r="F113" s="2">
        <f t="shared" si="7"/>
        <v>12</v>
      </c>
      <c r="H113" s="61">
        <f t="shared" si="6"/>
        <v>800014</v>
      </c>
    </row>
    <row r="114" ht="16.5" spans="1:8">
      <c r="A114" s="1">
        <f t="shared" si="4"/>
        <v>2009</v>
      </c>
      <c r="B114" s="1">
        <v>400008</v>
      </c>
      <c r="C114" s="100">
        <v>9</v>
      </c>
      <c r="D114" s="78">
        <v>60</v>
      </c>
      <c r="E114" s="1">
        <f t="shared" si="5"/>
        <v>2010</v>
      </c>
      <c r="F114" s="2">
        <f t="shared" si="7"/>
        <v>12</v>
      </c>
      <c r="H114" s="61">
        <f t="shared" si="6"/>
        <v>800014</v>
      </c>
    </row>
    <row r="115" ht="16.5" spans="1:8">
      <c r="A115" s="1">
        <f t="shared" si="4"/>
        <v>2010</v>
      </c>
      <c r="B115" s="1">
        <v>400008</v>
      </c>
      <c r="C115" s="100">
        <v>10</v>
      </c>
      <c r="D115" s="78">
        <v>60</v>
      </c>
      <c r="E115" s="1">
        <f t="shared" si="5"/>
        <v>2011</v>
      </c>
      <c r="F115" s="2">
        <f t="shared" si="7"/>
        <v>12</v>
      </c>
      <c r="H115" s="61">
        <f t="shared" si="6"/>
        <v>800014</v>
      </c>
    </row>
    <row r="116" ht="16.5" spans="1:8">
      <c r="A116" s="1">
        <f t="shared" si="4"/>
        <v>2011</v>
      </c>
      <c r="B116" s="1">
        <v>400008</v>
      </c>
      <c r="C116" s="100">
        <v>11</v>
      </c>
      <c r="D116" s="78">
        <v>170</v>
      </c>
      <c r="E116" s="1">
        <f t="shared" si="5"/>
        <v>2012</v>
      </c>
      <c r="F116" s="2">
        <f t="shared" si="7"/>
        <v>34</v>
      </c>
      <c r="H116" s="61">
        <f t="shared" si="6"/>
        <v>800014</v>
      </c>
    </row>
    <row r="117" ht="16.5" spans="1:8">
      <c r="A117" s="1">
        <f t="shared" si="4"/>
        <v>2012</v>
      </c>
      <c r="B117" s="1">
        <v>400008</v>
      </c>
      <c r="C117" s="100">
        <v>12</v>
      </c>
      <c r="D117" s="78">
        <v>220</v>
      </c>
      <c r="E117" s="1">
        <f t="shared" si="5"/>
        <v>2013</v>
      </c>
      <c r="F117" s="2">
        <f t="shared" si="7"/>
        <v>44</v>
      </c>
      <c r="H117" s="61">
        <f t="shared" si="6"/>
        <v>800014</v>
      </c>
    </row>
    <row r="118" ht="16.5" spans="1:8">
      <c r="A118" s="1">
        <f t="shared" si="4"/>
        <v>2013</v>
      </c>
      <c r="B118" s="1">
        <v>400008</v>
      </c>
      <c r="C118" s="100">
        <v>13</v>
      </c>
      <c r="D118" s="78">
        <v>270</v>
      </c>
      <c r="E118" s="1">
        <f t="shared" si="5"/>
        <v>2014</v>
      </c>
      <c r="F118" s="2">
        <f t="shared" si="7"/>
        <v>54</v>
      </c>
      <c r="H118" s="61">
        <f t="shared" si="6"/>
        <v>800014</v>
      </c>
    </row>
    <row r="119" ht="16.5" spans="1:8">
      <c r="A119" s="1">
        <f t="shared" si="4"/>
        <v>2014</v>
      </c>
      <c r="B119" s="1">
        <v>400008</v>
      </c>
      <c r="C119" s="100">
        <v>14</v>
      </c>
      <c r="D119" s="78">
        <v>320</v>
      </c>
      <c r="E119" s="1">
        <f t="shared" si="5"/>
        <v>2015</v>
      </c>
      <c r="F119" s="2">
        <f t="shared" si="7"/>
        <v>64</v>
      </c>
      <c r="H119" s="61">
        <f t="shared" si="6"/>
        <v>800014</v>
      </c>
    </row>
    <row r="120" ht="16.5" spans="1:8">
      <c r="A120" s="1">
        <f t="shared" si="4"/>
        <v>2015</v>
      </c>
      <c r="B120" s="1">
        <v>400008</v>
      </c>
      <c r="C120" s="100">
        <v>15</v>
      </c>
      <c r="D120" s="78">
        <v>370</v>
      </c>
      <c r="E120" s="1">
        <f t="shared" si="5"/>
        <v>2016</v>
      </c>
      <c r="F120" s="2">
        <f t="shared" si="7"/>
        <v>74</v>
      </c>
      <c r="H120" s="61">
        <f t="shared" si="6"/>
        <v>800014</v>
      </c>
    </row>
    <row r="121" ht="16.5" spans="1:8">
      <c r="A121" s="1">
        <f t="shared" si="4"/>
        <v>2016</v>
      </c>
      <c r="B121" s="1">
        <v>400008</v>
      </c>
      <c r="C121" s="100">
        <v>16</v>
      </c>
      <c r="D121" s="78">
        <v>430</v>
      </c>
      <c r="E121" s="1">
        <f t="shared" si="5"/>
        <v>2017</v>
      </c>
      <c r="F121" s="2">
        <f t="shared" si="7"/>
        <v>86</v>
      </c>
      <c r="H121" s="61">
        <f t="shared" si="6"/>
        <v>800014</v>
      </c>
    </row>
    <row r="122" ht="16.5" spans="1:8">
      <c r="A122" s="1">
        <f t="shared" si="4"/>
        <v>2017</v>
      </c>
      <c r="B122" s="1">
        <v>400008</v>
      </c>
      <c r="C122" s="100">
        <v>17</v>
      </c>
      <c r="D122" s="78">
        <v>480</v>
      </c>
      <c r="E122" s="1">
        <f t="shared" si="5"/>
        <v>2018</v>
      </c>
      <c r="F122" s="2">
        <f t="shared" si="7"/>
        <v>96</v>
      </c>
      <c r="H122" s="61">
        <f t="shared" si="6"/>
        <v>800014</v>
      </c>
    </row>
    <row r="123" ht="16.5" spans="1:8">
      <c r="A123" s="1">
        <f t="shared" si="4"/>
        <v>2018</v>
      </c>
      <c r="B123" s="1">
        <v>400008</v>
      </c>
      <c r="C123" s="100">
        <v>18</v>
      </c>
      <c r="D123" s="78">
        <v>530</v>
      </c>
      <c r="E123" s="1">
        <f t="shared" si="5"/>
        <v>2019</v>
      </c>
      <c r="F123" s="2">
        <f t="shared" si="7"/>
        <v>106</v>
      </c>
      <c r="H123" s="61">
        <f t="shared" si="6"/>
        <v>800014</v>
      </c>
    </row>
    <row r="124" ht="16.5" spans="1:8">
      <c r="A124" s="1">
        <f t="shared" si="4"/>
        <v>2019</v>
      </c>
      <c r="B124" s="1">
        <v>400008</v>
      </c>
      <c r="C124" s="100">
        <v>19</v>
      </c>
      <c r="D124" s="78">
        <v>580</v>
      </c>
      <c r="E124" s="1">
        <f t="shared" si="5"/>
        <v>2020</v>
      </c>
      <c r="F124" s="2">
        <f t="shared" si="7"/>
        <v>116</v>
      </c>
      <c r="H124" s="61">
        <f t="shared" si="6"/>
        <v>800014</v>
      </c>
    </row>
    <row r="125" ht="16.5" spans="1:8">
      <c r="A125" s="1">
        <f t="shared" si="4"/>
        <v>2020</v>
      </c>
      <c r="B125" s="1">
        <v>400008</v>
      </c>
      <c r="C125" s="100">
        <v>20</v>
      </c>
      <c r="D125" s="78">
        <v>630</v>
      </c>
      <c r="E125" s="1">
        <f t="shared" si="5"/>
        <v>2021</v>
      </c>
      <c r="F125" s="2">
        <f t="shared" si="7"/>
        <v>126</v>
      </c>
      <c r="H125" s="61">
        <f t="shared" si="6"/>
        <v>800014</v>
      </c>
    </row>
    <row r="126" ht="16.5" spans="1:8">
      <c r="A126" s="1">
        <f t="shared" si="4"/>
        <v>2021</v>
      </c>
      <c r="B126" s="1">
        <v>400008</v>
      </c>
      <c r="C126" s="100">
        <v>21</v>
      </c>
      <c r="D126" s="78">
        <v>800</v>
      </c>
      <c r="E126" s="1">
        <f t="shared" si="5"/>
        <v>2022</v>
      </c>
      <c r="F126" s="2">
        <f t="shared" si="7"/>
        <v>160</v>
      </c>
      <c r="H126" s="61">
        <f t="shared" si="6"/>
        <v>800014</v>
      </c>
    </row>
    <row r="127" ht="16.5" spans="1:8">
      <c r="A127" s="1">
        <f t="shared" si="4"/>
        <v>2022</v>
      </c>
      <c r="B127" s="1">
        <v>400008</v>
      </c>
      <c r="C127" s="100">
        <v>22</v>
      </c>
      <c r="D127" s="78">
        <v>800</v>
      </c>
      <c r="E127" s="1">
        <f t="shared" si="5"/>
        <v>2023</v>
      </c>
      <c r="F127" s="2">
        <f t="shared" si="7"/>
        <v>160</v>
      </c>
      <c r="H127" s="61">
        <f t="shared" si="6"/>
        <v>800014</v>
      </c>
    </row>
    <row r="128" ht="16.5" spans="1:8">
      <c r="A128" s="1">
        <f t="shared" si="4"/>
        <v>2023</v>
      </c>
      <c r="B128" s="1">
        <v>400008</v>
      </c>
      <c r="C128" s="100">
        <v>23</v>
      </c>
      <c r="D128" s="78">
        <v>800</v>
      </c>
      <c r="E128" s="1">
        <f t="shared" si="5"/>
        <v>2024</v>
      </c>
      <c r="F128" s="2">
        <f t="shared" si="7"/>
        <v>160</v>
      </c>
      <c r="H128" s="61">
        <f t="shared" si="6"/>
        <v>800014</v>
      </c>
    </row>
    <row r="129" ht="16.5" spans="1:8">
      <c r="A129" s="1">
        <f t="shared" si="4"/>
        <v>2024</v>
      </c>
      <c r="B129" s="1">
        <v>400008</v>
      </c>
      <c r="C129" s="100">
        <v>24</v>
      </c>
      <c r="D129" s="78">
        <v>800</v>
      </c>
      <c r="E129" s="1">
        <f t="shared" si="5"/>
        <v>2025</v>
      </c>
      <c r="F129" s="2">
        <f t="shared" si="7"/>
        <v>160</v>
      </c>
      <c r="H129" s="61">
        <f t="shared" si="6"/>
        <v>800014</v>
      </c>
    </row>
    <row r="130" ht="16.5" spans="1:8">
      <c r="A130" s="1">
        <f t="shared" si="4"/>
        <v>2025</v>
      </c>
      <c r="B130" s="1">
        <v>400008</v>
      </c>
      <c r="C130" s="100">
        <v>25</v>
      </c>
      <c r="D130" s="78">
        <v>800</v>
      </c>
      <c r="E130" s="1">
        <f t="shared" si="5"/>
        <v>2026</v>
      </c>
      <c r="F130" s="2">
        <f t="shared" si="7"/>
        <v>160</v>
      </c>
      <c r="H130" s="61">
        <f t="shared" si="6"/>
        <v>800014</v>
      </c>
    </row>
    <row r="131" ht="16.5" spans="1:8">
      <c r="A131" s="1">
        <f t="shared" si="4"/>
        <v>2026</v>
      </c>
      <c r="B131" s="1">
        <v>400008</v>
      </c>
      <c r="C131" s="100">
        <v>26</v>
      </c>
      <c r="D131" s="78">
        <v>800</v>
      </c>
      <c r="E131" s="1">
        <f t="shared" si="5"/>
        <v>2027</v>
      </c>
      <c r="F131" s="2">
        <f t="shared" si="7"/>
        <v>160</v>
      </c>
      <c r="H131" s="61">
        <f t="shared" si="6"/>
        <v>800014</v>
      </c>
    </row>
    <row r="132" ht="16.5" spans="1:8">
      <c r="A132" s="1">
        <f t="shared" si="4"/>
        <v>2027</v>
      </c>
      <c r="B132" s="1">
        <v>400008</v>
      </c>
      <c r="C132" s="100">
        <v>27</v>
      </c>
      <c r="D132" s="78">
        <v>800</v>
      </c>
      <c r="E132" s="1">
        <f t="shared" si="5"/>
        <v>2028</v>
      </c>
      <c r="F132" s="2">
        <f t="shared" si="7"/>
        <v>160</v>
      </c>
      <c r="H132" s="61">
        <f t="shared" si="6"/>
        <v>800014</v>
      </c>
    </row>
    <row r="133" ht="16.5" spans="1:8">
      <c r="A133" s="1">
        <f t="shared" si="4"/>
        <v>2028</v>
      </c>
      <c r="B133" s="1">
        <v>400008</v>
      </c>
      <c r="C133" s="100">
        <v>28</v>
      </c>
      <c r="D133" s="78">
        <v>800</v>
      </c>
      <c r="E133" s="1">
        <f t="shared" si="5"/>
        <v>2029</v>
      </c>
      <c r="F133" s="2">
        <f t="shared" si="7"/>
        <v>160</v>
      </c>
      <c r="H133" s="61">
        <f t="shared" si="6"/>
        <v>800014</v>
      </c>
    </row>
    <row r="134" ht="16.5" spans="1:8">
      <c r="A134" s="1">
        <f t="shared" si="4"/>
        <v>2029</v>
      </c>
      <c r="B134" s="1">
        <v>400008</v>
      </c>
      <c r="C134" s="100">
        <v>29</v>
      </c>
      <c r="D134" s="78">
        <v>800</v>
      </c>
      <c r="E134" s="1">
        <f t="shared" si="5"/>
        <v>2030</v>
      </c>
      <c r="F134" s="2">
        <f t="shared" si="7"/>
        <v>160</v>
      </c>
      <c r="H134" s="61">
        <f t="shared" si="6"/>
        <v>800014</v>
      </c>
    </row>
    <row r="135" ht="16.5" spans="1:8">
      <c r="A135" s="1">
        <f t="shared" ref="A135:A198" si="8">(B135-$I$6)*1000+C135</f>
        <v>2030</v>
      </c>
      <c r="B135" s="1">
        <v>400008</v>
      </c>
      <c r="C135" s="100">
        <v>30</v>
      </c>
      <c r="D135" s="78">
        <v>800</v>
      </c>
      <c r="E135" s="1">
        <f t="shared" ref="E135:E198" si="9">A136</f>
        <v>2031</v>
      </c>
      <c r="F135" s="2">
        <f t="shared" si="7"/>
        <v>160</v>
      </c>
      <c r="H135" s="61">
        <f t="shared" ref="H135:H198" si="10">B135+$I$6</f>
        <v>800014</v>
      </c>
    </row>
    <row r="136" ht="16.5" spans="1:8">
      <c r="A136" s="1">
        <f t="shared" si="8"/>
        <v>2031</v>
      </c>
      <c r="B136" s="1">
        <v>400008</v>
      </c>
      <c r="C136" s="100">
        <v>31</v>
      </c>
      <c r="D136" s="78">
        <v>840</v>
      </c>
      <c r="E136" s="1">
        <f t="shared" si="9"/>
        <v>2032</v>
      </c>
      <c r="F136" s="2">
        <f t="shared" ref="F136:F199" si="11">D136*0.2</f>
        <v>168</v>
      </c>
      <c r="H136" s="61">
        <f t="shared" si="10"/>
        <v>800014</v>
      </c>
    </row>
    <row r="137" ht="16.5" spans="1:8">
      <c r="A137" s="1">
        <f t="shared" si="8"/>
        <v>2032</v>
      </c>
      <c r="B137" s="1">
        <v>400008</v>
      </c>
      <c r="C137" s="100">
        <v>32</v>
      </c>
      <c r="D137" s="78">
        <v>880</v>
      </c>
      <c r="E137" s="1">
        <f t="shared" si="9"/>
        <v>2033</v>
      </c>
      <c r="F137" s="2">
        <f t="shared" si="11"/>
        <v>176</v>
      </c>
      <c r="H137" s="61">
        <f t="shared" si="10"/>
        <v>800014</v>
      </c>
    </row>
    <row r="138" ht="16.5" spans="1:8">
      <c r="A138" s="1">
        <f t="shared" si="8"/>
        <v>2033</v>
      </c>
      <c r="B138" s="1">
        <v>400008</v>
      </c>
      <c r="C138" s="100">
        <v>33</v>
      </c>
      <c r="D138" s="78">
        <v>920</v>
      </c>
      <c r="E138" s="1">
        <f t="shared" si="9"/>
        <v>2034</v>
      </c>
      <c r="F138" s="2">
        <f t="shared" si="11"/>
        <v>184</v>
      </c>
      <c r="H138" s="61">
        <f t="shared" si="10"/>
        <v>800014</v>
      </c>
    </row>
    <row r="139" ht="16.5" spans="1:8">
      <c r="A139" s="1">
        <f t="shared" si="8"/>
        <v>2034</v>
      </c>
      <c r="B139" s="1">
        <v>400008</v>
      </c>
      <c r="C139" s="100">
        <v>34</v>
      </c>
      <c r="D139" s="78">
        <v>960</v>
      </c>
      <c r="E139" s="1">
        <f t="shared" si="9"/>
        <v>2035</v>
      </c>
      <c r="F139" s="2">
        <f t="shared" si="11"/>
        <v>192</v>
      </c>
      <c r="H139" s="61">
        <f t="shared" si="10"/>
        <v>800014</v>
      </c>
    </row>
    <row r="140" ht="16.5" spans="1:8">
      <c r="A140" s="1">
        <f t="shared" si="8"/>
        <v>2035</v>
      </c>
      <c r="B140" s="1">
        <v>400008</v>
      </c>
      <c r="C140" s="100">
        <v>35</v>
      </c>
      <c r="D140" s="78">
        <v>1000</v>
      </c>
      <c r="E140" s="1">
        <f t="shared" si="9"/>
        <v>2036</v>
      </c>
      <c r="F140" s="2">
        <f t="shared" si="11"/>
        <v>200</v>
      </c>
      <c r="H140" s="61">
        <f t="shared" si="10"/>
        <v>800014</v>
      </c>
    </row>
    <row r="141" ht="16.5" spans="1:8">
      <c r="A141" s="1">
        <f t="shared" si="8"/>
        <v>2036</v>
      </c>
      <c r="B141" s="1">
        <v>400008</v>
      </c>
      <c r="C141" s="100">
        <v>36</v>
      </c>
      <c r="D141" s="78">
        <v>1040</v>
      </c>
      <c r="E141" s="1">
        <f t="shared" si="9"/>
        <v>2037</v>
      </c>
      <c r="F141" s="2">
        <f t="shared" si="11"/>
        <v>208</v>
      </c>
      <c r="H141" s="61">
        <f t="shared" si="10"/>
        <v>800014</v>
      </c>
    </row>
    <row r="142" ht="16.5" spans="1:8">
      <c r="A142" s="1">
        <f t="shared" si="8"/>
        <v>2037</v>
      </c>
      <c r="B142" s="1">
        <v>400008</v>
      </c>
      <c r="C142" s="100">
        <v>37</v>
      </c>
      <c r="D142" s="78">
        <v>1080</v>
      </c>
      <c r="E142" s="1">
        <f t="shared" si="9"/>
        <v>2038</v>
      </c>
      <c r="F142" s="2">
        <f t="shared" si="11"/>
        <v>216</v>
      </c>
      <c r="H142" s="61">
        <f t="shared" si="10"/>
        <v>800014</v>
      </c>
    </row>
    <row r="143" ht="16.5" spans="1:8">
      <c r="A143" s="1">
        <f t="shared" si="8"/>
        <v>2038</v>
      </c>
      <c r="B143" s="1">
        <v>400008</v>
      </c>
      <c r="C143" s="100">
        <v>38</v>
      </c>
      <c r="D143" s="78">
        <v>1120</v>
      </c>
      <c r="E143" s="1">
        <f t="shared" si="9"/>
        <v>2039</v>
      </c>
      <c r="F143" s="2">
        <f t="shared" si="11"/>
        <v>224</v>
      </c>
      <c r="H143" s="61">
        <f t="shared" si="10"/>
        <v>800014</v>
      </c>
    </row>
    <row r="144" ht="16.5" spans="1:8">
      <c r="A144" s="1">
        <f t="shared" si="8"/>
        <v>2039</v>
      </c>
      <c r="B144" s="1">
        <v>400008</v>
      </c>
      <c r="C144" s="100">
        <v>39</v>
      </c>
      <c r="D144" s="78">
        <v>1160</v>
      </c>
      <c r="E144" s="1">
        <f t="shared" si="9"/>
        <v>2040</v>
      </c>
      <c r="F144" s="2">
        <f t="shared" si="11"/>
        <v>232</v>
      </c>
      <c r="H144" s="61">
        <f t="shared" si="10"/>
        <v>800014</v>
      </c>
    </row>
    <row r="145" ht="16.5" spans="1:8">
      <c r="A145" s="1">
        <f t="shared" si="8"/>
        <v>2040</v>
      </c>
      <c r="B145" s="1">
        <v>400008</v>
      </c>
      <c r="C145" s="100">
        <v>40</v>
      </c>
      <c r="D145" s="78">
        <v>1200</v>
      </c>
      <c r="E145" s="1">
        <f t="shared" si="9"/>
        <v>2041</v>
      </c>
      <c r="F145" s="2">
        <f t="shared" si="11"/>
        <v>240</v>
      </c>
      <c r="H145" s="61">
        <f t="shared" si="10"/>
        <v>800014</v>
      </c>
    </row>
    <row r="146" ht="16.5" spans="1:8">
      <c r="A146" s="1">
        <f t="shared" si="8"/>
        <v>2041</v>
      </c>
      <c r="B146" s="1">
        <v>400008</v>
      </c>
      <c r="C146" s="100">
        <v>41</v>
      </c>
      <c r="D146" s="78">
        <v>1240</v>
      </c>
      <c r="E146" s="1">
        <f t="shared" si="9"/>
        <v>2042</v>
      </c>
      <c r="F146" s="2">
        <f t="shared" si="11"/>
        <v>248</v>
      </c>
      <c r="H146" s="61">
        <f t="shared" si="10"/>
        <v>800014</v>
      </c>
    </row>
    <row r="147" ht="16.5" spans="1:8">
      <c r="A147" s="1">
        <f t="shared" si="8"/>
        <v>2042</v>
      </c>
      <c r="B147" s="1">
        <v>400008</v>
      </c>
      <c r="C147" s="100">
        <v>42</v>
      </c>
      <c r="D147" s="78">
        <v>1280</v>
      </c>
      <c r="E147" s="1">
        <f t="shared" si="9"/>
        <v>2043</v>
      </c>
      <c r="F147" s="2">
        <f t="shared" si="11"/>
        <v>256</v>
      </c>
      <c r="H147" s="61">
        <f t="shared" si="10"/>
        <v>800014</v>
      </c>
    </row>
    <row r="148" ht="16.5" spans="1:8">
      <c r="A148" s="1">
        <f t="shared" si="8"/>
        <v>2043</v>
      </c>
      <c r="B148" s="1">
        <v>400008</v>
      </c>
      <c r="C148" s="100">
        <v>43</v>
      </c>
      <c r="D148" s="78">
        <v>1320</v>
      </c>
      <c r="E148" s="1">
        <f t="shared" si="9"/>
        <v>2044</v>
      </c>
      <c r="F148" s="2">
        <f t="shared" si="11"/>
        <v>264</v>
      </c>
      <c r="H148" s="61">
        <f t="shared" si="10"/>
        <v>800014</v>
      </c>
    </row>
    <row r="149" ht="16.5" spans="1:8">
      <c r="A149" s="1">
        <f t="shared" si="8"/>
        <v>2044</v>
      </c>
      <c r="B149" s="1">
        <v>400008</v>
      </c>
      <c r="C149" s="100">
        <v>44</v>
      </c>
      <c r="D149" s="78">
        <v>1360</v>
      </c>
      <c r="E149" s="1">
        <f t="shared" si="9"/>
        <v>2045</v>
      </c>
      <c r="F149" s="2">
        <f t="shared" si="11"/>
        <v>272</v>
      </c>
      <c r="H149" s="61">
        <f t="shared" si="10"/>
        <v>800014</v>
      </c>
    </row>
    <row r="150" ht="16.5" spans="1:8">
      <c r="A150" s="1">
        <f t="shared" si="8"/>
        <v>2045</v>
      </c>
      <c r="B150" s="1">
        <v>400008</v>
      </c>
      <c r="C150" s="100">
        <v>45</v>
      </c>
      <c r="D150" s="78">
        <v>1400</v>
      </c>
      <c r="E150" s="1">
        <f t="shared" si="9"/>
        <v>2046</v>
      </c>
      <c r="F150" s="2">
        <f t="shared" si="11"/>
        <v>280</v>
      </c>
      <c r="H150" s="61">
        <f t="shared" si="10"/>
        <v>800014</v>
      </c>
    </row>
    <row r="151" ht="16.5" spans="1:8">
      <c r="A151" s="1">
        <f t="shared" si="8"/>
        <v>2046</v>
      </c>
      <c r="B151" s="1">
        <v>400008</v>
      </c>
      <c r="C151" s="100">
        <v>46</v>
      </c>
      <c r="D151" s="78">
        <v>1440</v>
      </c>
      <c r="E151" s="1">
        <f t="shared" si="9"/>
        <v>2047</v>
      </c>
      <c r="F151" s="2">
        <f t="shared" si="11"/>
        <v>288</v>
      </c>
      <c r="H151" s="61">
        <f t="shared" si="10"/>
        <v>800014</v>
      </c>
    </row>
    <row r="152" ht="16.5" spans="1:8">
      <c r="A152" s="1">
        <f t="shared" si="8"/>
        <v>2047</v>
      </c>
      <c r="B152" s="1">
        <v>400008</v>
      </c>
      <c r="C152" s="100">
        <v>47</v>
      </c>
      <c r="D152" s="78">
        <v>1480</v>
      </c>
      <c r="E152" s="1">
        <f t="shared" si="9"/>
        <v>2048</v>
      </c>
      <c r="F152" s="2">
        <f t="shared" si="11"/>
        <v>296</v>
      </c>
      <c r="H152" s="61">
        <f t="shared" si="10"/>
        <v>800014</v>
      </c>
    </row>
    <row r="153" ht="16.5" spans="1:8">
      <c r="A153" s="1">
        <f t="shared" si="8"/>
        <v>2048</v>
      </c>
      <c r="B153" s="1">
        <v>400008</v>
      </c>
      <c r="C153" s="100">
        <v>48</v>
      </c>
      <c r="D153" s="78">
        <v>1520</v>
      </c>
      <c r="E153" s="1">
        <f t="shared" si="9"/>
        <v>2049</v>
      </c>
      <c r="F153" s="2">
        <f t="shared" si="11"/>
        <v>304</v>
      </c>
      <c r="H153" s="61">
        <f t="shared" si="10"/>
        <v>800014</v>
      </c>
    </row>
    <row r="154" ht="16.5" spans="1:8">
      <c r="A154" s="1">
        <f t="shared" si="8"/>
        <v>2049</v>
      </c>
      <c r="B154" s="1">
        <v>400008</v>
      </c>
      <c r="C154" s="100">
        <v>49</v>
      </c>
      <c r="D154" s="78">
        <v>1560</v>
      </c>
      <c r="E154" s="1">
        <f t="shared" si="9"/>
        <v>2050</v>
      </c>
      <c r="F154" s="2">
        <f t="shared" si="11"/>
        <v>312</v>
      </c>
      <c r="H154" s="61">
        <f t="shared" si="10"/>
        <v>800014</v>
      </c>
    </row>
    <row r="155" ht="16.5" spans="1:8">
      <c r="A155" s="1">
        <f t="shared" si="8"/>
        <v>2050</v>
      </c>
      <c r="B155" s="1">
        <v>400008</v>
      </c>
      <c r="C155" s="100">
        <v>50</v>
      </c>
      <c r="D155" s="78">
        <v>1600</v>
      </c>
      <c r="E155" s="1">
        <f t="shared" si="9"/>
        <v>2051</v>
      </c>
      <c r="F155" s="2">
        <f t="shared" si="11"/>
        <v>320</v>
      </c>
      <c r="H155" s="61">
        <f t="shared" si="10"/>
        <v>800014</v>
      </c>
    </row>
    <row r="156" ht="16.5" spans="1:8">
      <c r="A156" s="1">
        <f t="shared" si="8"/>
        <v>2051</v>
      </c>
      <c r="B156" s="1">
        <v>400008</v>
      </c>
      <c r="C156" s="100">
        <v>51</v>
      </c>
      <c r="D156" s="78">
        <v>1640</v>
      </c>
      <c r="E156" s="1">
        <f t="shared" si="9"/>
        <v>2052</v>
      </c>
      <c r="F156" s="2">
        <f t="shared" si="11"/>
        <v>328</v>
      </c>
      <c r="H156" s="61">
        <f t="shared" si="10"/>
        <v>800014</v>
      </c>
    </row>
    <row r="157" ht="16.5" spans="1:8">
      <c r="A157" s="1">
        <f t="shared" si="8"/>
        <v>2052</v>
      </c>
      <c r="B157" s="1">
        <v>400008</v>
      </c>
      <c r="C157" s="100">
        <v>52</v>
      </c>
      <c r="D157" s="78">
        <v>1680</v>
      </c>
      <c r="E157" s="1">
        <f t="shared" si="9"/>
        <v>2053</v>
      </c>
      <c r="F157" s="2">
        <f t="shared" si="11"/>
        <v>336</v>
      </c>
      <c r="H157" s="61">
        <f t="shared" si="10"/>
        <v>800014</v>
      </c>
    </row>
    <row r="158" ht="16.5" spans="1:8">
      <c r="A158" s="1">
        <f t="shared" si="8"/>
        <v>2053</v>
      </c>
      <c r="B158" s="1">
        <v>400008</v>
      </c>
      <c r="C158" s="100">
        <v>53</v>
      </c>
      <c r="D158" s="78">
        <v>1720</v>
      </c>
      <c r="E158" s="1">
        <f t="shared" si="9"/>
        <v>2054</v>
      </c>
      <c r="F158" s="2">
        <f t="shared" si="11"/>
        <v>344</v>
      </c>
      <c r="H158" s="61">
        <f t="shared" si="10"/>
        <v>800014</v>
      </c>
    </row>
    <row r="159" ht="16.5" spans="1:8">
      <c r="A159" s="1">
        <f t="shared" si="8"/>
        <v>2054</v>
      </c>
      <c r="B159" s="1">
        <v>400008</v>
      </c>
      <c r="C159" s="100">
        <v>54</v>
      </c>
      <c r="D159" s="78">
        <v>1760</v>
      </c>
      <c r="E159" s="1">
        <f t="shared" si="9"/>
        <v>2055</v>
      </c>
      <c r="F159" s="2">
        <f t="shared" si="11"/>
        <v>352</v>
      </c>
      <c r="H159" s="61">
        <f t="shared" si="10"/>
        <v>800014</v>
      </c>
    </row>
    <row r="160" ht="16.5" spans="1:8">
      <c r="A160" s="1">
        <f t="shared" si="8"/>
        <v>2055</v>
      </c>
      <c r="B160" s="1">
        <v>400008</v>
      </c>
      <c r="C160" s="100">
        <v>55</v>
      </c>
      <c r="D160" s="78">
        <v>1800</v>
      </c>
      <c r="E160" s="1">
        <f t="shared" si="9"/>
        <v>2056</v>
      </c>
      <c r="F160" s="2">
        <f t="shared" si="11"/>
        <v>360</v>
      </c>
      <c r="H160" s="61">
        <f t="shared" si="10"/>
        <v>800014</v>
      </c>
    </row>
    <row r="161" ht="16.5" spans="1:8">
      <c r="A161" s="1">
        <f t="shared" si="8"/>
        <v>2056</v>
      </c>
      <c r="B161" s="1">
        <v>400008</v>
      </c>
      <c r="C161" s="100">
        <v>56</v>
      </c>
      <c r="D161" s="78">
        <v>1840</v>
      </c>
      <c r="E161" s="1">
        <f t="shared" si="9"/>
        <v>2057</v>
      </c>
      <c r="F161" s="2">
        <f t="shared" si="11"/>
        <v>368</v>
      </c>
      <c r="H161" s="61">
        <f t="shared" si="10"/>
        <v>800014</v>
      </c>
    </row>
    <row r="162" ht="16.5" spans="1:8">
      <c r="A162" s="1">
        <f t="shared" si="8"/>
        <v>2057</v>
      </c>
      <c r="B162" s="1">
        <v>400008</v>
      </c>
      <c r="C162" s="100">
        <v>57</v>
      </c>
      <c r="D162" s="78">
        <v>1880</v>
      </c>
      <c r="E162" s="1">
        <f t="shared" si="9"/>
        <v>2058</v>
      </c>
      <c r="F162" s="2">
        <f t="shared" si="11"/>
        <v>376</v>
      </c>
      <c r="H162" s="61">
        <f t="shared" si="10"/>
        <v>800014</v>
      </c>
    </row>
    <row r="163" ht="16.5" spans="1:8">
      <c r="A163" s="1">
        <f t="shared" si="8"/>
        <v>2058</v>
      </c>
      <c r="B163" s="1">
        <v>400008</v>
      </c>
      <c r="C163" s="100">
        <v>58</v>
      </c>
      <c r="D163" s="78">
        <v>1920</v>
      </c>
      <c r="E163" s="1">
        <f t="shared" si="9"/>
        <v>2059</v>
      </c>
      <c r="F163" s="2">
        <f t="shared" si="11"/>
        <v>384</v>
      </c>
      <c r="H163" s="61">
        <f t="shared" si="10"/>
        <v>800014</v>
      </c>
    </row>
    <row r="164" ht="16.5" spans="1:8">
      <c r="A164" s="1">
        <f t="shared" si="8"/>
        <v>2059</v>
      </c>
      <c r="B164" s="1">
        <v>400008</v>
      </c>
      <c r="C164" s="100">
        <v>59</v>
      </c>
      <c r="D164" s="78">
        <v>1960</v>
      </c>
      <c r="E164" s="1">
        <f t="shared" si="9"/>
        <v>2060</v>
      </c>
      <c r="F164" s="2">
        <f t="shared" si="11"/>
        <v>392</v>
      </c>
      <c r="H164" s="61">
        <f t="shared" si="10"/>
        <v>800014</v>
      </c>
    </row>
    <row r="165" ht="16.5" spans="1:8">
      <c r="A165" s="1">
        <f t="shared" si="8"/>
        <v>2060</v>
      </c>
      <c r="B165" s="1">
        <v>400008</v>
      </c>
      <c r="C165" s="100">
        <v>60</v>
      </c>
      <c r="D165" s="78">
        <v>2000</v>
      </c>
      <c r="E165" s="1">
        <f t="shared" si="9"/>
        <v>2061</v>
      </c>
      <c r="F165" s="2">
        <f t="shared" si="11"/>
        <v>400</v>
      </c>
      <c r="H165" s="61">
        <f t="shared" si="10"/>
        <v>800014</v>
      </c>
    </row>
    <row r="166" ht="16.5" spans="1:8">
      <c r="A166" s="1">
        <f t="shared" si="8"/>
        <v>2061</v>
      </c>
      <c r="B166" s="1">
        <v>400008</v>
      </c>
      <c r="C166" s="100">
        <v>61</v>
      </c>
      <c r="D166" s="78">
        <v>2040</v>
      </c>
      <c r="E166" s="1">
        <f t="shared" si="9"/>
        <v>2062</v>
      </c>
      <c r="F166" s="2">
        <f t="shared" si="11"/>
        <v>408</v>
      </c>
      <c r="H166" s="61">
        <f t="shared" si="10"/>
        <v>800014</v>
      </c>
    </row>
    <row r="167" ht="16.5" spans="1:8">
      <c r="A167" s="1">
        <f t="shared" si="8"/>
        <v>2062</v>
      </c>
      <c r="B167" s="1">
        <v>400008</v>
      </c>
      <c r="C167" s="100">
        <v>62</v>
      </c>
      <c r="D167" s="78">
        <v>2080</v>
      </c>
      <c r="E167" s="1">
        <f t="shared" si="9"/>
        <v>2063</v>
      </c>
      <c r="F167" s="2">
        <f t="shared" si="11"/>
        <v>416</v>
      </c>
      <c r="H167" s="61">
        <f t="shared" si="10"/>
        <v>800014</v>
      </c>
    </row>
    <row r="168" ht="16.5" spans="1:8">
      <c r="A168" s="1">
        <f t="shared" si="8"/>
        <v>2063</v>
      </c>
      <c r="B168" s="1">
        <v>400008</v>
      </c>
      <c r="C168" s="100">
        <v>63</v>
      </c>
      <c r="D168" s="78">
        <v>2120</v>
      </c>
      <c r="E168" s="1">
        <f t="shared" si="9"/>
        <v>2064</v>
      </c>
      <c r="F168" s="2">
        <f t="shared" si="11"/>
        <v>424</v>
      </c>
      <c r="H168" s="61">
        <f t="shared" si="10"/>
        <v>800014</v>
      </c>
    </row>
    <row r="169" ht="16.5" spans="1:8">
      <c r="A169" s="1">
        <f t="shared" si="8"/>
        <v>2064</v>
      </c>
      <c r="B169" s="1">
        <v>400008</v>
      </c>
      <c r="C169" s="100">
        <v>64</v>
      </c>
      <c r="D169" s="78">
        <v>2160</v>
      </c>
      <c r="E169" s="1">
        <f t="shared" si="9"/>
        <v>2065</v>
      </c>
      <c r="F169" s="2">
        <f t="shared" si="11"/>
        <v>432</v>
      </c>
      <c r="H169" s="61">
        <f t="shared" si="10"/>
        <v>800014</v>
      </c>
    </row>
    <row r="170" ht="16.5" spans="1:8">
      <c r="A170" s="1">
        <f t="shared" si="8"/>
        <v>2065</v>
      </c>
      <c r="B170" s="1">
        <v>400008</v>
      </c>
      <c r="C170" s="100">
        <v>65</v>
      </c>
      <c r="D170" s="78">
        <v>2200</v>
      </c>
      <c r="E170" s="1">
        <f t="shared" si="9"/>
        <v>2066</v>
      </c>
      <c r="F170" s="2">
        <f t="shared" si="11"/>
        <v>440</v>
      </c>
      <c r="H170" s="61">
        <f t="shared" si="10"/>
        <v>800014</v>
      </c>
    </row>
    <row r="171" ht="16.5" spans="1:8">
      <c r="A171" s="1">
        <f t="shared" si="8"/>
        <v>2066</v>
      </c>
      <c r="B171" s="1">
        <v>400008</v>
      </c>
      <c r="C171" s="100">
        <v>66</v>
      </c>
      <c r="D171" s="78">
        <v>2240</v>
      </c>
      <c r="E171" s="1">
        <f t="shared" si="9"/>
        <v>2067</v>
      </c>
      <c r="F171" s="2">
        <f t="shared" si="11"/>
        <v>448</v>
      </c>
      <c r="H171" s="61">
        <f t="shared" si="10"/>
        <v>800014</v>
      </c>
    </row>
    <row r="172" ht="16.5" spans="1:8">
      <c r="A172" s="1">
        <f t="shared" si="8"/>
        <v>2067</v>
      </c>
      <c r="B172" s="1">
        <v>400008</v>
      </c>
      <c r="C172" s="100">
        <v>67</v>
      </c>
      <c r="D172" s="78">
        <v>2280</v>
      </c>
      <c r="E172" s="1">
        <f t="shared" si="9"/>
        <v>2068</v>
      </c>
      <c r="F172" s="2">
        <f t="shared" si="11"/>
        <v>456</v>
      </c>
      <c r="H172" s="61">
        <f t="shared" si="10"/>
        <v>800014</v>
      </c>
    </row>
    <row r="173" ht="16.5" spans="1:8">
      <c r="A173" s="1">
        <f t="shared" si="8"/>
        <v>2068</v>
      </c>
      <c r="B173" s="1">
        <v>400008</v>
      </c>
      <c r="C173" s="100">
        <v>68</v>
      </c>
      <c r="D173" s="78">
        <v>2320</v>
      </c>
      <c r="E173" s="1">
        <f t="shared" si="9"/>
        <v>2069</v>
      </c>
      <c r="F173" s="2">
        <f t="shared" si="11"/>
        <v>464</v>
      </c>
      <c r="H173" s="61">
        <f t="shared" si="10"/>
        <v>800014</v>
      </c>
    </row>
    <row r="174" ht="16.5" spans="1:8">
      <c r="A174" s="1">
        <f t="shared" si="8"/>
        <v>2069</v>
      </c>
      <c r="B174" s="1">
        <v>400008</v>
      </c>
      <c r="C174" s="100">
        <v>69</v>
      </c>
      <c r="D174" s="78">
        <v>2360</v>
      </c>
      <c r="E174" s="1">
        <f t="shared" si="9"/>
        <v>2070</v>
      </c>
      <c r="F174" s="2">
        <f t="shared" si="11"/>
        <v>472</v>
      </c>
      <c r="H174" s="61">
        <f t="shared" si="10"/>
        <v>800014</v>
      </c>
    </row>
    <row r="175" ht="16.5" spans="1:8">
      <c r="A175" s="1">
        <f t="shared" si="8"/>
        <v>2070</v>
      </c>
      <c r="B175" s="1">
        <v>400008</v>
      </c>
      <c r="C175" s="100">
        <v>70</v>
      </c>
      <c r="D175" s="78">
        <v>2400</v>
      </c>
      <c r="E175" s="1">
        <f t="shared" si="9"/>
        <v>2071</v>
      </c>
      <c r="F175" s="2">
        <f t="shared" si="11"/>
        <v>480</v>
      </c>
      <c r="H175" s="61">
        <f t="shared" si="10"/>
        <v>800014</v>
      </c>
    </row>
    <row r="176" ht="16.5" spans="1:8">
      <c r="A176" s="1">
        <f t="shared" si="8"/>
        <v>2071</v>
      </c>
      <c r="B176" s="1">
        <v>400008</v>
      </c>
      <c r="C176" s="100">
        <v>71</v>
      </c>
      <c r="D176" s="78">
        <v>2440</v>
      </c>
      <c r="E176" s="1">
        <f t="shared" si="9"/>
        <v>2072</v>
      </c>
      <c r="F176" s="2">
        <f t="shared" si="11"/>
        <v>488</v>
      </c>
      <c r="H176" s="61">
        <f t="shared" si="10"/>
        <v>800014</v>
      </c>
    </row>
    <row r="177" ht="16.5" spans="1:8">
      <c r="A177" s="1">
        <f t="shared" si="8"/>
        <v>2072</v>
      </c>
      <c r="B177" s="1">
        <v>400008</v>
      </c>
      <c r="C177" s="100">
        <v>72</v>
      </c>
      <c r="D177" s="78">
        <v>2480</v>
      </c>
      <c r="E177" s="1">
        <f t="shared" si="9"/>
        <v>2073</v>
      </c>
      <c r="F177" s="2">
        <f t="shared" si="11"/>
        <v>496</v>
      </c>
      <c r="H177" s="61">
        <f t="shared" si="10"/>
        <v>800014</v>
      </c>
    </row>
    <row r="178" ht="16.5" spans="1:8">
      <c r="A178" s="1">
        <f t="shared" si="8"/>
        <v>2073</v>
      </c>
      <c r="B178" s="1">
        <v>400008</v>
      </c>
      <c r="C178" s="100">
        <v>73</v>
      </c>
      <c r="D178" s="78">
        <v>2520</v>
      </c>
      <c r="E178" s="1">
        <f t="shared" si="9"/>
        <v>2074</v>
      </c>
      <c r="F178" s="2">
        <f t="shared" si="11"/>
        <v>504</v>
      </c>
      <c r="H178" s="61">
        <f t="shared" si="10"/>
        <v>800014</v>
      </c>
    </row>
    <row r="179" ht="16.5" spans="1:8">
      <c r="A179" s="1">
        <f t="shared" si="8"/>
        <v>2074</v>
      </c>
      <c r="B179" s="1">
        <v>400008</v>
      </c>
      <c r="C179" s="100">
        <v>74</v>
      </c>
      <c r="D179" s="78">
        <v>2560</v>
      </c>
      <c r="E179" s="1">
        <f t="shared" si="9"/>
        <v>2075</v>
      </c>
      <c r="F179" s="2">
        <f t="shared" si="11"/>
        <v>512</v>
      </c>
      <c r="H179" s="61">
        <f t="shared" si="10"/>
        <v>800014</v>
      </c>
    </row>
    <row r="180" ht="16.5" spans="1:8">
      <c r="A180" s="1">
        <f t="shared" si="8"/>
        <v>2075</v>
      </c>
      <c r="B180" s="1">
        <v>400008</v>
      </c>
      <c r="C180" s="100">
        <v>75</v>
      </c>
      <c r="D180" s="78">
        <v>2600</v>
      </c>
      <c r="E180" s="1">
        <f t="shared" si="9"/>
        <v>2076</v>
      </c>
      <c r="F180" s="2">
        <f t="shared" si="11"/>
        <v>520</v>
      </c>
      <c r="H180" s="61">
        <f t="shared" si="10"/>
        <v>800014</v>
      </c>
    </row>
    <row r="181" ht="16.5" spans="1:8">
      <c r="A181" s="1">
        <f t="shared" si="8"/>
        <v>2076</v>
      </c>
      <c r="B181" s="1">
        <v>400008</v>
      </c>
      <c r="C181" s="100">
        <v>76</v>
      </c>
      <c r="D181" s="78">
        <v>2640</v>
      </c>
      <c r="E181" s="1">
        <f t="shared" si="9"/>
        <v>2077</v>
      </c>
      <c r="F181" s="2">
        <f t="shared" si="11"/>
        <v>528</v>
      </c>
      <c r="H181" s="61">
        <f t="shared" si="10"/>
        <v>800014</v>
      </c>
    </row>
    <row r="182" ht="16.5" spans="1:8">
      <c r="A182" s="1">
        <f t="shared" si="8"/>
        <v>2077</v>
      </c>
      <c r="B182" s="1">
        <v>400008</v>
      </c>
      <c r="C182" s="100">
        <v>77</v>
      </c>
      <c r="D182" s="78">
        <v>2680</v>
      </c>
      <c r="E182" s="1">
        <f t="shared" si="9"/>
        <v>2078</v>
      </c>
      <c r="F182" s="2">
        <f t="shared" si="11"/>
        <v>536</v>
      </c>
      <c r="H182" s="61">
        <f t="shared" si="10"/>
        <v>800014</v>
      </c>
    </row>
    <row r="183" ht="16.5" spans="1:8">
      <c r="A183" s="1">
        <f t="shared" si="8"/>
        <v>2078</v>
      </c>
      <c r="B183" s="1">
        <v>400008</v>
      </c>
      <c r="C183" s="100">
        <v>78</v>
      </c>
      <c r="D183" s="78">
        <v>2720</v>
      </c>
      <c r="E183" s="1">
        <f t="shared" si="9"/>
        <v>2079</v>
      </c>
      <c r="F183" s="2">
        <f t="shared" si="11"/>
        <v>544</v>
      </c>
      <c r="H183" s="61">
        <f t="shared" si="10"/>
        <v>800014</v>
      </c>
    </row>
    <row r="184" ht="16.5" spans="1:8">
      <c r="A184" s="1">
        <f t="shared" si="8"/>
        <v>2079</v>
      </c>
      <c r="B184" s="1">
        <v>400008</v>
      </c>
      <c r="C184" s="100">
        <v>79</v>
      </c>
      <c r="D184" s="78">
        <v>2760</v>
      </c>
      <c r="E184" s="1">
        <f t="shared" si="9"/>
        <v>2080</v>
      </c>
      <c r="F184" s="2">
        <f t="shared" si="11"/>
        <v>552</v>
      </c>
      <c r="H184" s="61">
        <f t="shared" si="10"/>
        <v>800014</v>
      </c>
    </row>
    <row r="185" ht="16.5" spans="1:8">
      <c r="A185" s="1">
        <f t="shared" si="8"/>
        <v>2080</v>
      </c>
      <c r="B185" s="1">
        <v>400008</v>
      </c>
      <c r="C185" s="100">
        <v>80</v>
      </c>
      <c r="D185" s="78">
        <v>2800</v>
      </c>
      <c r="E185" s="1">
        <f t="shared" si="9"/>
        <v>2081</v>
      </c>
      <c r="F185" s="2">
        <f t="shared" si="11"/>
        <v>560</v>
      </c>
      <c r="H185" s="61">
        <f t="shared" si="10"/>
        <v>800014</v>
      </c>
    </row>
    <row r="186" ht="16.5" spans="1:8">
      <c r="A186" s="1">
        <f t="shared" si="8"/>
        <v>2081</v>
      </c>
      <c r="B186" s="1">
        <v>400008</v>
      </c>
      <c r="C186" s="100">
        <v>81</v>
      </c>
      <c r="D186" s="78">
        <v>2840</v>
      </c>
      <c r="E186" s="1">
        <f t="shared" si="9"/>
        <v>2082</v>
      </c>
      <c r="F186" s="2">
        <f t="shared" si="11"/>
        <v>568</v>
      </c>
      <c r="H186" s="61">
        <f t="shared" si="10"/>
        <v>800014</v>
      </c>
    </row>
    <row r="187" ht="16.5" spans="1:8">
      <c r="A187" s="1">
        <f t="shared" si="8"/>
        <v>2082</v>
      </c>
      <c r="B187" s="1">
        <v>400008</v>
      </c>
      <c r="C187" s="100">
        <v>82</v>
      </c>
      <c r="D187" s="78">
        <v>2880</v>
      </c>
      <c r="E187" s="1">
        <f t="shared" si="9"/>
        <v>2083</v>
      </c>
      <c r="F187" s="2">
        <f t="shared" si="11"/>
        <v>576</v>
      </c>
      <c r="H187" s="61">
        <f t="shared" si="10"/>
        <v>800014</v>
      </c>
    </row>
    <row r="188" ht="16.5" spans="1:8">
      <c r="A188" s="1">
        <f t="shared" si="8"/>
        <v>2083</v>
      </c>
      <c r="B188" s="1">
        <v>400008</v>
      </c>
      <c r="C188" s="100">
        <v>83</v>
      </c>
      <c r="D188" s="78">
        <v>2920</v>
      </c>
      <c r="E188" s="1">
        <f t="shared" si="9"/>
        <v>2084</v>
      </c>
      <c r="F188" s="2">
        <f t="shared" si="11"/>
        <v>584</v>
      </c>
      <c r="H188" s="61">
        <f t="shared" si="10"/>
        <v>800014</v>
      </c>
    </row>
    <row r="189" ht="16.5" spans="1:8">
      <c r="A189" s="1">
        <f t="shared" si="8"/>
        <v>2084</v>
      </c>
      <c r="B189" s="1">
        <v>400008</v>
      </c>
      <c r="C189" s="100">
        <v>84</v>
      </c>
      <c r="D189" s="78">
        <v>2960</v>
      </c>
      <c r="E189" s="1">
        <f t="shared" si="9"/>
        <v>2085</v>
      </c>
      <c r="F189" s="2">
        <f t="shared" si="11"/>
        <v>592</v>
      </c>
      <c r="H189" s="61">
        <f t="shared" si="10"/>
        <v>800014</v>
      </c>
    </row>
    <row r="190" ht="16.5" spans="1:8">
      <c r="A190" s="1">
        <f t="shared" si="8"/>
        <v>2085</v>
      </c>
      <c r="B190" s="1">
        <v>400008</v>
      </c>
      <c r="C190" s="100">
        <v>85</v>
      </c>
      <c r="D190" s="78">
        <v>3000</v>
      </c>
      <c r="E190" s="1">
        <f t="shared" si="9"/>
        <v>2086</v>
      </c>
      <c r="F190" s="2">
        <f t="shared" si="11"/>
        <v>600</v>
      </c>
      <c r="H190" s="61">
        <f t="shared" si="10"/>
        <v>800014</v>
      </c>
    </row>
    <row r="191" ht="16.5" spans="1:8">
      <c r="A191" s="1">
        <f t="shared" si="8"/>
        <v>2086</v>
      </c>
      <c r="B191" s="1">
        <v>400008</v>
      </c>
      <c r="C191" s="100">
        <v>86</v>
      </c>
      <c r="D191" s="78">
        <v>3040</v>
      </c>
      <c r="E191" s="1">
        <f t="shared" si="9"/>
        <v>2087</v>
      </c>
      <c r="F191" s="2">
        <f t="shared" si="11"/>
        <v>608</v>
      </c>
      <c r="H191" s="61">
        <f t="shared" si="10"/>
        <v>800014</v>
      </c>
    </row>
    <row r="192" ht="16.5" spans="1:8">
      <c r="A192" s="1">
        <f t="shared" si="8"/>
        <v>2087</v>
      </c>
      <c r="B192" s="1">
        <v>400008</v>
      </c>
      <c r="C192" s="100">
        <v>87</v>
      </c>
      <c r="D192" s="78">
        <v>3080</v>
      </c>
      <c r="E192" s="1">
        <f t="shared" si="9"/>
        <v>2088</v>
      </c>
      <c r="F192" s="2">
        <f t="shared" si="11"/>
        <v>616</v>
      </c>
      <c r="H192" s="61">
        <f t="shared" si="10"/>
        <v>800014</v>
      </c>
    </row>
    <row r="193" ht="16.5" spans="1:8">
      <c r="A193" s="1">
        <f t="shared" si="8"/>
        <v>2088</v>
      </c>
      <c r="B193" s="1">
        <v>400008</v>
      </c>
      <c r="C193" s="100">
        <v>88</v>
      </c>
      <c r="D193" s="78">
        <v>3120</v>
      </c>
      <c r="E193" s="1">
        <f t="shared" si="9"/>
        <v>2089</v>
      </c>
      <c r="F193" s="2">
        <f t="shared" si="11"/>
        <v>624</v>
      </c>
      <c r="H193" s="61">
        <f t="shared" si="10"/>
        <v>800014</v>
      </c>
    </row>
    <row r="194" ht="16.5" spans="1:8">
      <c r="A194" s="1">
        <f t="shared" si="8"/>
        <v>2089</v>
      </c>
      <c r="B194" s="1">
        <v>400008</v>
      </c>
      <c r="C194" s="100">
        <v>89</v>
      </c>
      <c r="D194" s="78">
        <v>3160</v>
      </c>
      <c r="E194" s="1">
        <f t="shared" si="9"/>
        <v>2090</v>
      </c>
      <c r="F194" s="2">
        <f t="shared" si="11"/>
        <v>632</v>
      </c>
      <c r="H194" s="61">
        <f t="shared" si="10"/>
        <v>800014</v>
      </c>
    </row>
    <row r="195" ht="16.5" spans="1:8">
      <c r="A195" s="1">
        <f t="shared" si="8"/>
        <v>2090</v>
      </c>
      <c r="B195" s="1">
        <v>400008</v>
      </c>
      <c r="C195" s="100">
        <v>90</v>
      </c>
      <c r="D195" s="78">
        <v>3200</v>
      </c>
      <c r="E195" s="1">
        <f t="shared" si="9"/>
        <v>2091</v>
      </c>
      <c r="F195" s="2">
        <f t="shared" si="11"/>
        <v>640</v>
      </c>
      <c r="H195" s="61">
        <f t="shared" si="10"/>
        <v>800014</v>
      </c>
    </row>
    <row r="196" ht="16.5" spans="1:8">
      <c r="A196" s="1">
        <f t="shared" si="8"/>
        <v>2091</v>
      </c>
      <c r="B196" s="1">
        <v>400008</v>
      </c>
      <c r="C196" s="100">
        <v>91</v>
      </c>
      <c r="D196" s="78">
        <v>3240</v>
      </c>
      <c r="E196" s="1">
        <f t="shared" si="9"/>
        <v>2092</v>
      </c>
      <c r="F196" s="2">
        <f t="shared" si="11"/>
        <v>648</v>
      </c>
      <c r="H196" s="61">
        <f t="shared" si="10"/>
        <v>800014</v>
      </c>
    </row>
    <row r="197" ht="16.5" spans="1:8">
      <c r="A197" s="1">
        <f t="shared" si="8"/>
        <v>2092</v>
      </c>
      <c r="B197" s="1">
        <v>400008</v>
      </c>
      <c r="C197" s="100">
        <v>92</v>
      </c>
      <c r="D197" s="78">
        <v>3280</v>
      </c>
      <c r="E197" s="1">
        <f t="shared" si="9"/>
        <v>2093</v>
      </c>
      <c r="F197" s="2">
        <f t="shared" si="11"/>
        <v>656</v>
      </c>
      <c r="H197" s="61">
        <f t="shared" si="10"/>
        <v>800014</v>
      </c>
    </row>
    <row r="198" ht="16.5" spans="1:8">
      <c r="A198" s="1">
        <f t="shared" si="8"/>
        <v>2093</v>
      </c>
      <c r="B198" s="1">
        <v>400008</v>
      </c>
      <c r="C198" s="100">
        <v>93</v>
      </c>
      <c r="D198" s="78">
        <v>3320</v>
      </c>
      <c r="E198" s="1">
        <f t="shared" si="9"/>
        <v>2094</v>
      </c>
      <c r="F198" s="2">
        <f t="shared" si="11"/>
        <v>664</v>
      </c>
      <c r="H198" s="61">
        <f t="shared" si="10"/>
        <v>800014</v>
      </c>
    </row>
    <row r="199" ht="16.5" spans="1:8">
      <c r="A199" s="1">
        <f t="shared" ref="A199:A262" si="12">(B199-$I$6)*1000+C199</f>
        <v>2094</v>
      </c>
      <c r="B199" s="1">
        <v>400008</v>
      </c>
      <c r="C199" s="100">
        <v>94</v>
      </c>
      <c r="D199" s="78">
        <v>3360</v>
      </c>
      <c r="E199" s="1">
        <f t="shared" ref="E199:E262" si="13">A200</f>
        <v>2095</v>
      </c>
      <c r="F199" s="2">
        <f t="shared" si="11"/>
        <v>672</v>
      </c>
      <c r="H199" s="61">
        <f t="shared" ref="H199:H262" si="14">B199+$I$6</f>
        <v>800014</v>
      </c>
    </row>
    <row r="200" ht="16.5" spans="1:8">
      <c r="A200" s="1">
        <f t="shared" si="12"/>
        <v>2095</v>
      </c>
      <c r="B200" s="1">
        <v>400008</v>
      </c>
      <c r="C200" s="100">
        <v>95</v>
      </c>
      <c r="D200" s="78">
        <v>3400</v>
      </c>
      <c r="E200" s="1">
        <f t="shared" si="13"/>
        <v>2096</v>
      </c>
      <c r="F200" s="2">
        <f t="shared" ref="F200:F263" si="15">D200*0.2</f>
        <v>680</v>
      </c>
      <c r="H200" s="61">
        <f t="shared" si="14"/>
        <v>800014</v>
      </c>
    </row>
    <row r="201" ht="16.5" spans="1:8">
      <c r="A201" s="1">
        <f t="shared" si="12"/>
        <v>2096</v>
      </c>
      <c r="B201" s="1">
        <v>400008</v>
      </c>
      <c r="C201" s="100">
        <v>96</v>
      </c>
      <c r="D201" s="78">
        <v>3440</v>
      </c>
      <c r="E201" s="1">
        <f t="shared" si="13"/>
        <v>2097</v>
      </c>
      <c r="F201" s="2">
        <f t="shared" si="15"/>
        <v>688</v>
      </c>
      <c r="H201" s="61">
        <f t="shared" si="14"/>
        <v>800014</v>
      </c>
    </row>
    <row r="202" ht="16.5" spans="1:8">
      <c r="A202" s="1">
        <f t="shared" si="12"/>
        <v>2097</v>
      </c>
      <c r="B202" s="1">
        <v>400008</v>
      </c>
      <c r="C202" s="100">
        <v>97</v>
      </c>
      <c r="D202" s="78">
        <v>3480</v>
      </c>
      <c r="E202" s="1">
        <f t="shared" si="13"/>
        <v>2098</v>
      </c>
      <c r="F202" s="2">
        <f t="shared" si="15"/>
        <v>696</v>
      </c>
      <c r="H202" s="61">
        <f t="shared" si="14"/>
        <v>800014</v>
      </c>
    </row>
    <row r="203" ht="16.5" spans="1:8">
      <c r="A203" s="1">
        <f t="shared" si="12"/>
        <v>2098</v>
      </c>
      <c r="B203" s="1">
        <v>400008</v>
      </c>
      <c r="C203" s="100">
        <v>98</v>
      </c>
      <c r="D203" s="78">
        <v>3520</v>
      </c>
      <c r="E203" s="1">
        <f t="shared" si="13"/>
        <v>2099</v>
      </c>
      <c r="F203" s="2">
        <f t="shared" si="15"/>
        <v>704</v>
      </c>
      <c r="H203" s="61">
        <f t="shared" si="14"/>
        <v>800014</v>
      </c>
    </row>
    <row r="204" s="97" customFormat="1" ht="16.5" spans="1:8">
      <c r="A204" s="97">
        <f t="shared" si="12"/>
        <v>2099</v>
      </c>
      <c r="B204" s="97">
        <v>400008</v>
      </c>
      <c r="C204" s="100">
        <v>99</v>
      </c>
      <c r="D204" s="78">
        <v>3560</v>
      </c>
      <c r="E204" s="97">
        <f t="shared" si="13"/>
        <v>2100</v>
      </c>
      <c r="F204" s="2">
        <f t="shared" si="15"/>
        <v>712</v>
      </c>
      <c r="H204" s="102">
        <f t="shared" si="14"/>
        <v>800014</v>
      </c>
    </row>
    <row r="205" ht="16.5" spans="1:8">
      <c r="A205" s="1">
        <f t="shared" si="12"/>
        <v>2100</v>
      </c>
      <c r="B205" s="1">
        <v>400008</v>
      </c>
      <c r="C205" s="100">
        <v>100</v>
      </c>
      <c r="D205" s="97">
        <v>3600</v>
      </c>
      <c r="E205" s="1">
        <v>0</v>
      </c>
      <c r="F205" s="2">
        <f t="shared" si="15"/>
        <v>720</v>
      </c>
      <c r="H205" s="61">
        <f t="shared" si="14"/>
        <v>800014</v>
      </c>
    </row>
    <row r="206" ht="16.5" spans="1:8">
      <c r="A206" s="1">
        <f t="shared" si="12"/>
        <v>3001</v>
      </c>
      <c r="B206" s="1">
        <v>400009</v>
      </c>
      <c r="C206" s="100">
        <v>1</v>
      </c>
      <c r="D206" s="78">
        <v>60</v>
      </c>
      <c r="E206" s="1">
        <f t="shared" si="13"/>
        <v>3002</v>
      </c>
      <c r="F206" s="2">
        <f t="shared" si="15"/>
        <v>12</v>
      </c>
      <c r="H206" s="61">
        <f t="shared" si="14"/>
        <v>800015</v>
      </c>
    </row>
    <row r="207" ht="16.5" spans="1:8">
      <c r="A207" s="1">
        <f t="shared" si="12"/>
        <v>3002</v>
      </c>
      <c r="B207" s="1">
        <v>400009</v>
      </c>
      <c r="C207" s="100">
        <v>2</v>
      </c>
      <c r="D207" s="78">
        <v>60</v>
      </c>
      <c r="E207" s="1">
        <f t="shared" si="13"/>
        <v>3003</v>
      </c>
      <c r="F207" s="2">
        <f t="shared" si="15"/>
        <v>12</v>
      </c>
      <c r="H207" s="61">
        <f t="shared" si="14"/>
        <v>800015</v>
      </c>
    </row>
    <row r="208" ht="16.5" spans="1:8">
      <c r="A208" s="1">
        <f t="shared" si="12"/>
        <v>3003</v>
      </c>
      <c r="B208" s="1">
        <v>400009</v>
      </c>
      <c r="C208" s="100">
        <v>3</v>
      </c>
      <c r="D208" s="78">
        <v>60</v>
      </c>
      <c r="E208" s="1">
        <f t="shared" si="13"/>
        <v>3004</v>
      </c>
      <c r="F208" s="2">
        <f t="shared" si="15"/>
        <v>12</v>
      </c>
      <c r="H208" s="61">
        <f t="shared" si="14"/>
        <v>800015</v>
      </c>
    </row>
    <row r="209" ht="16.5" spans="1:8">
      <c r="A209" s="1">
        <f t="shared" si="12"/>
        <v>3004</v>
      </c>
      <c r="B209" s="1">
        <v>400009</v>
      </c>
      <c r="C209" s="100">
        <v>4</v>
      </c>
      <c r="D209" s="78">
        <v>60</v>
      </c>
      <c r="E209" s="1">
        <f t="shared" si="13"/>
        <v>3005</v>
      </c>
      <c r="F209" s="2">
        <f t="shared" si="15"/>
        <v>12</v>
      </c>
      <c r="H209" s="61">
        <f t="shared" si="14"/>
        <v>800015</v>
      </c>
    </row>
    <row r="210" ht="16.5" spans="1:8">
      <c r="A210" s="1">
        <f t="shared" si="12"/>
        <v>3005</v>
      </c>
      <c r="B210" s="1">
        <v>400009</v>
      </c>
      <c r="C210" s="100">
        <v>5</v>
      </c>
      <c r="D210" s="78">
        <v>60</v>
      </c>
      <c r="E210" s="1">
        <f t="shared" si="13"/>
        <v>3006</v>
      </c>
      <c r="F210" s="2">
        <f t="shared" si="15"/>
        <v>12</v>
      </c>
      <c r="H210" s="61">
        <f t="shared" si="14"/>
        <v>800015</v>
      </c>
    </row>
    <row r="211" ht="16.5" spans="1:8">
      <c r="A211" s="1">
        <f t="shared" si="12"/>
        <v>3006</v>
      </c>
      <c r="B211" s="1">
        <v>400009</v>
      </c>
      <c r="C211" s="100">
        <v>6</v>
      </c>
      <c r="D211" s="78">
        <v>60</v>
      </c>
      <c r="E211" s="1">
        <f t="shared" si="13"/>
        <v>3007</v>
      </c>
      <c r="F211" s="2">
        <f t="shared" si="15"/>
        <v>12</v>
      </c>
      <c r="H211" s="61">
        <f t="shared" si="14"/>
        <v>800015</v>
      </c>
    </row>
    <row r="212" ht="16.5" spans="1:8">
      <c r="A212" s="1">
        <f t="shared" si="12"/>
        <v>3007</v>
      </c>
      <c r="B212" s="1">
        <v>400009</v>
      </c>
      <c r="C212" s="100">
        <v>7</v>
      </c>
      <c r="D212" s="78">
        <v>60</v>
      </c>
      <c r="E212" s="1">
        <f t="shared" si="13"/>
        <v>3008</v>
      </c>
      <c r="F212" s="2">
        <f t="shared" si="15"/>
        <v>12</v>
      </c>
      <c r="H212" s="61">
        <f t="shared" si="14"/>
        <v>800015</v>
      </c>
    </row>
    <row r="213" ht="16.5" spans="1:8">
      <c r="A213" s="1">
        <f t="shared" si="12"/>
        <v>3008</v>
      </c>
      <c r="B213" s="1">
        <v>400009</v>
      </c>
      <c r="C213" s="100">
        <v>8</v>
      </c>
      <c r="D213" s="78">
        <v>60</v>
      </c>
      <c r="E213" s="1">
        <f t="shared" si="13"/>
        <v>3009</v>
      </c>
      <c r="F213" s="2">
        <f t="shared" si="15"/>
        <v>12</v>
      </c>
      <c r="H213" s="61">
        <f t="shared" si="14"/>
        <v>800015</v>
      </c>
    </row>
    <row r="214" ht="16.5" spans="1:8">
      <c r="A214" s="1">
        <f t="shared" si="12"/>
        <v>3009</v>
      </c>
      <c r="B214" s="1">
        <v>400009</v>
      </c>
      <c r="C214" s="100">
        <v>9</v>
      </c>
      <c r="D214" s="78">
        <v>60</v>
      </c>
      <c r="E214" s="1">
        <f t="shared" si="13"/>
        <v>3010</v>
      </c>
      <c r="F214" s="2">
        <f t="shared" si="15"/>
        <v>12</v>
      </c>
      <c r="H214" s="61">
        <f t="shared" si="14"/>
        <v>800015</v>
      </c>
    </row>
    <row r="215" ht="16.5" spans="1:8">
      <c r="A215" s="1">
        <f t="shared" si="12"/>
        <v>3010</v>
      </c>
      <c r="B215" s="1">
        <v>400009</v>
      </c>
      <c r="C215" s="100">
        <v>10</v>
      </c>
      <c r="D215" s="78">
        <v>60</v>
      </c>
      <c r="E215" s="1">
        <f t="shared" si="13"/>
        <v>3011</v>
      </c>
      <c r="F215" s="2">
        <f t="shared" si="15"/>
        <v>12</v>
      </c>
      <c r="H215" s="61">
        <f t="shared" si="14"/>
        <v>800015</v>
      </c>
    </row>
    <row r="216" ht="16.5" spans="1:8">
      <c r="A216" s="1">
        <f t="shared" si="12"/>
        <v>3011</v>
      </c>
      <c r="B216" s="1">
        <v>400009</v>
      </c>
      <c r="C216" s="100">
        <v>11</v>
      </c>
      <c r="D216" s="78">
        <v>170</v>
      </c>
      <c r="E216" s="1">
        <f t="shared" si="13"/>
        <v>3012</v>
      </c>
      <c r="F216" s="2">
        <f t="shared" si="15"/>
        <v>34</v>
      </c>
      <c r="H216" s="61">
        <f t="shared" si="14"/>
        <v>800015</v>
      </c>
    </row>
    <row r="217" ht="16.5" spans="1:8">
      <c r="A217" s="1">
        <f t="shared" si="12"/>
        <v>3012</v>
      </c>
      <c r="B217" s="1">
        <v>400009</v>
      </c>
      <c r="C217" s="100">
        <v>12</v>
      </c>
      <c r="D217" s="78">
        <v>220</v>
      </c>
      <c r="E217" s="1">
        <f t="shared" si="13"/>
        <v>3013</v>
      </c>
      <c r="F217" s="2">
        <f t="shared" si="15"/>
        <v>44</v>
      </c>
      <c r="H217" s="61">
        <f t="shared" si="14"/>
        <v>800015</v>
      </c>
    </row>
    <row r="218" ht="16.5" spans="1:8">
      <c r="A218" s="1">
        <f t="shared" si="12"/>
        <v>3013</v>
      </c>
      <c r="B218" s="1">
        <v>400009</v>
      </c>
      <c r="C218" s="100">
        <v>13</v>
      </c>
      <c r="D218" s="78">
        <v>270</v>
      </c>
      <c r="E218" s="1">
        <f t="shared" si="13"/>
        <v>3014</v>
      </c>
      <c r="F218" s="2">
        <f t="shared" si="15"/>
        <v>54</v>
      </c>
      <c r="H218" s="61">
        <f t="shared" si="14"/>
        <v>800015</v>
      </c>
    </row>
    <row r="219" ht="16.5" spans="1:8">
      <c r="A219" s="1">
        <f t="shared" si="12"/>
        <v>3014</v>
      </c>
      <c r="B219" s="1">
        <v>400009</v>
      </c>
      <c r="C219" s="100">
        <v>14</v>
      </c>
      <c r="D219" s="78">
        <v>320</v>
      </c>
      <c r="E219" s="1">
        <f t="shared" si="13"/>
        <v>3015</v>
      </c>
      <c r="F219" s="2">
        <f t="shared" si="15"/>
        <v>64</v>
      </c>
      <c r="H219" s="61">
        <f t="shared" si="14"/>
        <v>800015</v>
      </c>
    </row>
    <row r="220" ht="16.5" spans="1:8">
      <c r="A220" s="1">
        <f t="shared" si="12"/>
        <v>3015</v>
      </c>
      <c r="B220" s="1">
        <v>400009</v>
      </c>
      <c r="C220" s="100">
        <v>15</v>
      </c>
      <c r="D220" s="78">
        <v>370</v>
      </c>
      <c r="E220" s="1">
        <f t="shared" si="13"/>
        <v>3016</v>
      </c>
      <c r="F220" s="2">
        <f t="shared" si="15"/>
        <v>74</v>
      </c>
      <c r="H220" s="61">
        <f t="shared" si="14"/>
        <v>800015</v>
      </c>
    </row>
    <row r="221" ht="16.5" spans="1:8">
      <c r="A221" s="1">
        <f t="shared" si="12"/>
        <v>3016</v>
      </c>
      <c r="B221" s="1">
        <v>400009</v>
      </c>
      <c r="C221" s="100">
        <v>16</v>
      </c>
      <c r="D221" s="78">
        <v>430</v>
      </c>
      <c r="E221" s="1">
        <f t="shared" si="13"/>
        <v>3017</v>
      </c>
      <c r="F221" s="2">
        <f t="shared" si="15"/>
        <v>86</v>
      </c>
      <c r="H221" s="61">
        <f t="shared" si="14"/>
        <v>800015</v>
      </c>
    </row>
    <row r="222" ht="16.5" spans="1:8">
      <c r="A222" s="1">
        <f t="shared" si="12"/>
        <v>3017</v>
      </c>
      <c r="B222" s="1">
        <v>400009</v>
      </c>
      <c r="C222" s="100">
        <v>17</v>
      </c>
      <c r="D222" s="78">
        <v>480</v>
      </c>
      <c r="E222" s="1">
        <f t="shared" si="13"/>
        <v>3018</v>
      </c>
      <c r="F222" s="2">
        <f t="shared" si="15"/>
        <v>96</v>
      </c>
      <c r="H222" s="61">
        <f t="shared" si="14"/>
        <v>800015</v>
      </c>
    </row>
    <row r="223" ht="16.5" spans="1:8">
      <c r="A223" s="1">
        <f t="shared" si="12"/>
        <v>3018</v>
      </c>
      <c r="B223" s="1">
        <v>400009</v>
      </c>
      <c r="C223" s="100">
        <v>18</v>
      </c>
      <c r="D223" s="78">
        <v>530</v>
      </c>
      <c r="E223" s="1">
        <f t="shared" si="13"/>
        <v>3019</v>
      </c>
      <c r="F223" s="2">
        <f t="shared" si="15"/>
        <v>106</v>
      </c>
      <c r="H223" s="61">
        <f t="shared" si="14"/>
        <v>800015</v>
      </c>
    </row>
    <row r="224" ht="16.5" spans="1:8">
      <c r="A224" s="1">
        <f t="shared" si="12"/>
        <v>3019</v>
      </c>
      <c r="B224" s="1">
        <v>400009</v>
      </c>
      <c r="C224" s="100">
        <v>19</v>
      </c>
      <c r="D224" s="78">
        <v>580</v>
      </c>
      <c r="E224" s="1">
        <f t="shared" si="13"/>
        <v>3020</v>
      </c>
      <c r="F224" s="2">
        <f t="shared" si="15"/>
        <v>116</v>
      </c>
      <c r="H224" s="61">
        <f t="shared" si="14"/>
        <v>800015</v>
      </c>
    </row>
    <row r="225" ht="16.5" spans="1:8">
      <c r="A225" s="1">
        <f t="shared" si="12"/>
        <v>3020</v>
      </c>
      <c r="B225" s="1">
        <v>400009</v>
      </c>
      <c r="C225" s="100">
        <v>20</v>
      </c>
      <c r="D225" s="78">
        <v>630</v>
      </c>
      <c r="E225" s="1">
        <f t="shared" si="13"/>
        <v>3021</v>
      </c>
      <c r="F225" s="2">
        <f t="shared" si="15"/>
        <v>126</v>
      </c>
      <c r="H225" s="61">
        <f t="shared" si="14"/>
        <v>800015</v>
      </c>
    </row>
    <row r="226" ht="16.5" spans="1:8">
      <c r="A226" s="1">
        <f t="shared" si="12"/>
        <v>3021</v>
      </c>
      <c r="B226" s="1">
        <v>400009</v>
      </c>
      <c r="C226" s="100">
        <v>21</v>
      </c>
      <c r="D226" s="78">
        <v>800</v>
      </c>
      <c r="E226" s="1">
        <f t="shared" si="13"/>
        <v>3022</v>
      </c>
      <c r="F226" s="2">
        <f t="shared" si="15"/>
        <v>160</v>
      </c>
      <c r="H226" s="61">
        <f t="shared" si="14"/>
        <v>800015</v>
      </c>
    </row>
    <row r="227" ht="16.5" spans="1:8">
      <c r="A227" s="1">
        <f t="shared" si="12"/>
        <v>3022</v>
      </c>
      <c r="B227" s="1">
        <v>400009</v>
      </c>
      <c r="C227" s="100">
        <v>22</v>
      </c>
      <c r="D227" s="78">
        <v>800</v>
      </c>
      <c r="E227" s="1">
        <f t="shared" si="13"/>
        <v>3023</v>
      </c>
      <c r="F227" s="2">
        <f t="shared" si="15"/>
        <v>160</v>
      </c>
      <c r="H227" s="61">
        <f t="shared" si="14"/>
        <v>800015</v>
      </c>
    </row>
    <row r="228" ht="16.5" spans="1:8">
      <c r="A228" s="1">
        <f t="shared" si="12"/>
        <v>3023</v>
      </c>
      <c r="B228" s="1">
        <v>400009</v>
      </c>
      <c r="C228" s="100">
        <v>23</v>
      </c>
      <c r="D228" s="78">
        <v>800</v>
      </c>
      <c r="E228" s="1">
        <f t="shared" si="13"/>
        <v>3024</v>
      </c>
      <c r="F228" s="2">
        <f t="shared" si="15"/>
        <v>160</v>
      </c>
      <c r="H228" s="61">
        <f t="shared" si="14"/>
        <v>800015</v>
      </c>
    </row>
    <row r="229" ht="16.5" spans="1:8">
      <c r="A229" s="1">
        <f t="shared" si="12"/>
        <v>3024</v>
      </c>
      <c r="B229" s="1">
        <v>400009</v>
      </c>
      <c r="C229" s="100">
        <v>24</v>
      </c>
      <c r="D229" s="78">
        <v>800</v>
      </c>
      <c r="E229" s="1">
        <f t="shared" si="13"/>
        <v>3025</v>
      </c>
      <c r="F229" s="2">
        <f t="shared" si="15"/>
        <v>160</v>
      </c>
      <c r="H229" s="61">
        <f t="shared" si="14"/>
        <v>800015</v>
      </c>
    </row>
    <row r="230" ht="16.5" spans="1:8">
      <c r="A230" s="1">
        <f t="shared" si="12"/>
        <v>3025</v>
      </c>
      <c r="B230" s="1">
        <v>400009</v>
      </c>
      <c r="C230" s="100">
        <v>25</v>
      </c>
      <c r="D230" s="78">
        <v>800</v>
      </c>
      <c r="E230" s="1">
        <f t="shared" si="13"/>
        <v>3026</v>
      </c>
      <c r="F230" s="2">
        <f t="shared" si="15"/>
        <v>160</v>
      </c>
      <c r="H230" s="61">
        <f t="shared" si="14"/>
        <v>800015</v>
      </c>
    </row>
    <row r="231" ht="16.5" spans="1:8">
      <c r="A231" s="1">
        <f t="shared" si="12"/>
        <v>3026</v>
      </c>
      <c r="B231" s="1">
        <v>400009</v>
      </c>
      <c r="C231" s="100">
        <v>26</v>
      </c>
      <c r="D231" s="78">
        <v>800</v>
      </c>
      <c r="E231" s="1">
        <f t="shared" si="13"/>
        <v>3027</v>
      </c>
      <c r="F231" s="2">
        <f t="shared" si="15"/>
        <v>160</v>
      </c>
      <c r="H231" s="61">
        <f t="shared" si="14"/>
        <v>800015</v>
      </c>
    </row>
    <row r="232" ht="16.5" spans="1:8">
      <c r="A232" s="1">
        <f t="shared" si="12"/>
        <v>3027</v>
      </c>
      <c r="B232" s="1">
        <v>400009</v>
      </c>
      <c r="C232" s="100">
        <v>27</v>
      </c>
      <c r="D232" s="78">
        <v>800</v>
      </c>
      <c r="E232" s="1">
        <f t="shared" si="13"/>
        <v>3028</v>
      </c>
      <c r="F232" s="2">
        <f t="shared" si="15"/>
        <v>160</v>
      </c>
      <c r="H232" s="61">
        <f t="shared" si="14"/>
        <v>800015</v>
      </c>
    </row>
    <row r="233" ht="16.5" spans="1:8">
      <c r="A233" s="1">
        <f t="shared" si="12"/>
        <v>3028</v>
      </c>
      <c r="B233" s="1">
        <v>400009</v>
      </c>
      <c r="C233" s="100">
        <v>28</v>
      </c>
      <c r="D233" s="78">
        <v>800</v>
      </c>
      <c r="E233" s="1">
        <f t="shared" si="13"/>
        <v>3029</v>
      </c>
      <c r="F233" s="2">
        <f t="shared" si="15"/>
        <v>160</v>
      </c>
      <c r="H233" s="61">
        <f t="shared" si="14"/>
        <v>800015</v>
      </c>
    </row>
    <row r="234" ht="16.5" spans="1:8">
      <c r="A234" s="1">
        <f t="shared" si="12"/>
        <v>3029</v>
      </c>
      <c r="B234" s="1">
        <v>400009</v>
      </c>
      <c r="C234" s="100">
        <v>29</v>
      </c>
      <c r="D234" s="78">
        <v>800</v>
      </c>
      <c r="E234" s="1">
        <f t="shared" si="13"/>
        <v>3030</v>
      </c>
      <c r="F234" s="2">
        <f t="shared" si="15"/>
        <v>160</v>
      </c>
      <c r="H234" s="61">
        <f t="shared" si="14"/>
        <v>800015</v>
      </c>
    </row>
    <row r="235" ht="16.5" spans="1:8">
      <c r="A235" s="1">
        <f t="shared" si="12"/>
        <v>3030</v>
      </c>
      <c r="B235" s="1">
        <v>400009</v>
      </c>
      <c r="C235" s="100">
        <v>30</v>
      </c>
      <c r="D235" s="78">
        <v>800</v>
      </c>
      <c r="E235" s="1">
        <f t="shared" si="13"/>
        <v>3031</v>
      </c>
      <c r="F235" s="2">
        <f t="shared" si="15"/>
        <v>160</v>
      </c>
      <c r="H235" s="61">
        <f t="shared" si="14"/>
        <v>800015</v>
      </c>
    </row>
    <row r="236" ht="16.5" spans="1:8">
      <c r="A236" s="1">
        <f t="shared" si="12"/>
        <v>3031</v>
      </c>
      <c r="B236" s="1">
        <v>400009</v>
      </c>
      <c r="C236" s="100">
        <v>31</v>
      </c>
      <c r="D236" s="78">
        <v>840</v>
      </c>
      <c r="E236" s="1">
        <f t="shared" si="13"/>
        <v>3032</v>
      </c>
      <c r="F236" s="2">
        <f t="shared" si="15"/>
        <v>168</v>
      </c>
      <c r="H236" s="61">
        <f t="shared" si="14"/>
        <v>800015</v>
      </c>
    </row>
    <row r="237" ht="16.5" spans="1:8">
      <c r="A237" s="1">
        <f t="shared" si="12"/>
        <v>3032</v>
      </c>
      <c r="B237" s="1">
        <v>400009</v>
      </c>
      <c r="C237" s="100">
        <v>32</v>
      </c>
      <c r="D237" s="78">
        <v>880</v>
      </c>
      <c r="E237" s="1">
        <f t="shared" si="13"/>
        <v>3033</v>
      </c>
      <c r="F237" s="2">
        <f t="shared" si="15"/>
        <v>176</v>
      </c>
      <c r="H237" s="61">
        <f t="shared" si="14"/>
        <v>800015</v>
      </c>
    </row>
    <row r="238" ht="16.5" spans="1:8">
      <c r="A238" s="1">
        <f t="shared" si="12"/>
        <v>3033</v>
      </c>
      <c r="B238" s="1">
        <v>400009</v>
      </c>
      <c r="C238" s="100">
        <v>33</v>
      </c>
      <c r="D238" s="78">
        <v>920</v>
      </c>
      <c r="E238" s="1">
        <f t="shared" si="13"/>
        <v>3034</v>
      </c>
      <c r="F238" s="2">
        <f t="shared" si="15"/>
        <v>184</v>
      </c>
      <c r="H238" s="61">
        <f t="shared" si="14"/>
        <v>800015</v>
      </c>
    </row>
    <row r="239" ht="16.5" spans="1:8">
      <c r="A239" s="1">
        <f t="shared" si="12"/>
        <v>3034</v>
      </c>
      <c r="B239" s="1">
        <v>400009</v>
      </c>
      <c r="C239" s="100">
        <v>34</v>
      </c>
      <c r="D239" s="78">
        <v>960</v>
      </c>
      <c r="E239" s="1">
        <f t="shared" si="13"/>
        <v>3035</v>
      </c>
      <c r="F239" s="2">
        <f t="shared" si="15"/>
        <v>192</v>
      </c>
      <c r="H239" s="61">
        <f t="shared" si="14"/>
        <v>800015</v>
      </c>
    </row>
    <row r="240" ht="16.5" spans="1:8">
      <c r="A240" s="1">
        <f t="shared" si="12"/>
        <v>3035</v>
      </c>
      <c r="B240" s="1">
        <v>400009</v>
      </c>
      <c r="C240" s="100">
        <v>35</v>
      </c>
      <c r="D240" s="78">
        <v>1000</v>
      </c>
      <c r="E240" s="1">
        <f t="shared" si="13"/>
        <v>3036</v>
      </c>
      <c r="F240" s="2">
        <f t="shared" si="15"/>
        <v>200</v>
      </c>
      <c r="H240" s="61">
        <f t="shared" si="14"/>
        <v>800015</v>
      </c>
    </row>
    <row r="241" ht="16.5" spans="1:8">
      <c r="A241" s="1">
        <f t="shared" si="12"/>
        <v>3036</v>
      </c>
      <c r="B241" s="1">
        <v>400009</v>
      </c>
      <c r="C241" s="100">
        <v>36</v>
      </c>
      <c r="D241" s="78">
        <v>1040</v>
      </c>
      <c r="E241" s="1">
        <f t="shared" si="13"/>
        <v>3037</v>
      </c>
      <c r="F241" s="2">
        <f t="shared" si="15"/>
        <v>208</v>
      </c>
      <c r="H241" s="61">
        <f t="shared" si="14"/>
        <v>800015</v>
      </c>
    </row>
    <row r="242" ht="16.5" spans="1:8">
      <c r="A242" s="1">
        <f t="shared" si="12"/>
        <v>3037</v>
      </c>
      <c r="B242" s="1">
        <v>400009</v>
      </c>
      <c r="C242" s="100">
        <v>37</v>
      </c>
      <c r="D242" s="78">
        <v>1080</v>
      </c>
      <c r="E242" s="1">
        <f t="shared" si="13"/>
        <v>3038</v>
      </c>
      <c r="F242" s="2">
        <f t="shared" si="15"/>
        <v>216</v>
      </c>
      <c r="H242" s="61">
        <f t="shared" si="14"/>
        <v>800015</v>
      </c>
    </row>
    <row r="243" ht="16.5" spans="1:8">
      <c r="A243" s="1">
        <f t="shared" si="12"/>
        <v>3038</v>
      </c>
      <c r="B243" s="1">
        <v>400009</v>
      </c>
      <c r="C243" s="100">
        <v>38</v>
      </c>
      <c r="D243" s="78">
        <v>1120</v>
      </c>
      <c r="E243" s="1">
        <f t="shared" si="13"/>
        <v>3039</v>
      </c>
      <c r="F243" s="2">
        <f t="shared" si="15"/>
        <v>224</v>
      </c>
      <c r="H243" s="61">
        <f t="shared" si="14"/>
        <v>800015</v>
      </c>
    </row>
    <row r="244" ht="16.5" spans="1:8">
      <c r="A244" s="1">
        <f t="shared" si="12"/>
        <v>3039</v>
      </c>
      <c r="B244" s="1">
        <v>400009</v>
      </c>
      <c r="C244" s="100">
        <v>39</v>
      </c>
      <c r="D244" s="78">
        <v>1160</v>
      </c>
      <c r="E244" s="1">
        <f t="shared" si="13"/>
        <v>3040</v>
      </c>
      <c r="F244" s="2">
        <f t="shared" si="15"/>
        <v>232</v>
      </c>
      <c r="H244" s="61">
        <f t="shared" si="14"/>
        <v>800015</v>
      </c>
    </row>
    <row r="245" ht="16.5" spans="1:8">
      <c r="A245" s="1">
        <f t="shared" si="12"/>
        <v>3040</v>
      </c>
      <c r="B245" s="1">
        <v>400009</v>
      </c>
      <c r="C245" s="100">
        <v>40</v>
      </c>
      <c r="D245" s="78">
        <v>1200</v>
      </c>
      <c r="E245" s="1">
        <f t="shared" si="13"/>
        <v>3041</v>
      </c>
      <c r="F245" s="2">
        <f t="shared" si="15"/>
        <v>240</v>
      </c>
      <c r="H245" s="61">
        <f t="shared" si="14"/>
        <v>800015</v>
      </c>
    </row>
    <row r="246" ht="16.5" spans="1:8">
      <c r="A246" s="1">
        <f t="shared" si="12"/>
        <v>3041</v>
      </c>
      <c r="B246" s="1">
        <v>400009</v>
      </c>
      <c r="C246" s="100">
        <v>41</v>
      </c>
      <c r="D246" s="78">
        <v>1240</v>
      </c>
      <c r="E246" s="1">
        <f t="shared" si="13"/>
        <v>3042</v>
      </c>
      <c r="F246" s="2">
        <f t="shared" si="15"/>
        <v>248</v>
      </c>
      <c r="H246" s="61">
        <f t="shared" si="14"/>
        <v>800015</v>
      </c>
    </row>
    <row r="247" ht="16.5" spans="1:8">
      <c r="A247" s="1">
        <f t="shared" si="12"/>
        <v>3042</v>
      </c>
      <c r="B247" s="1">
        <v>400009</v>
      </c>
      <c r="C247" s="100">
        <v>42</v>
      </c>
      <c r="D247" s="78">
        <v>1280</v>
      </c>
      <c r="E247" s="1">
        <f t="shared" si="13"/>
        <v>3043</v>
      </c>
      <c r="F247" s="2">
        <f t="shared" si="15"/>
        <v>256</v>
      </c>
      <c r="H247" s="61">
        <f t="shared" si="14"/>
        <v>800015</v>
      </c>
    </row>
    <row r="248" ht="16.5" spans="1:8">
      <c r="A248" s="1">
        <f t="shared" si="12"/>
        <v>3043</v>
      </c>
      <c r="B248" s="1">
        <v>400009</v>
      </c>
      <c r="C248" s="100">
        <v>43</v>
      </c>
      <c r="D248" s="78">
        <v>1320</v>
      </c>
      <c r="E248" s="1">
        <f t="shared" si="13"/>
        <v>3044</v>
      </c>
      <c r="F248" s="2">
        <f t="shared" si="15"/>
        <v>264</v>
      </c>
      <c r="H248" s="61">
        <f t="shared" si="14"/>
        <v>800015</v>
      </c>
    </row>
    <row r="249" ht="16.5" spans="1:8">
      <c r="A249" s="1">
        <f t="shared" si="12"/>
        <v>3044</v>
      </c>
      <c r="B249" s="1">
        <v>400009</v>
      </c>
      <c r="C249" s="100">
        <v>44</v>
      </c>
      <c r="D249" s="78">
        <v>1360</v>
      </c>
      <c r="E249" s="1">
        <f t="shared" si="13"/>
        <v>3045</v>
      </c>
      <c r="F249" s="2">
        <f t="shared" si="15"/>
        <v>272</v>
      </c>
      <c r="H249" s="61">
        <f t="shared" si="14"/>
        <v>800015</v>
      </c>
    </row>
    <row r="250" ht="16.5" spans="1:8">
      <c r="A250" s="1">
        <f t="shared" si="12"/>
        <v>3045</v>
      </c>
      <c r="B250" s="1">
        <v>400009</v>
      </c>
      <c r="C250" s="100">
        <v>45</v>
      </c>
      <c r="D250" s="78">
        <v>1400</v>
      </c>
      <c r="E250" s="1">
        <f t="shared" si="13"/>
        <v>3046</v>
      </c>
      <c r="F250" s="2">
        <f t="shared" si="15"/>
        <v>280</v>
      </c>
      <c r="H250" s="61">
        <f t="shared" si="14"/>
        <v>800015</v>
      </c>
    </row>
    <row r="251" ht="16.5" spans="1:8">
      <c r="A251" s="1">
        <f t="shared" si="12"/>
        <v>3046</v>
      </c>
      <c r="B251" s="1">
        <v>400009</v>
      </c>
      <c r="C251" s="100">
        <v>46</v>
      </c>
      <c r="D251" s="78">
        <v>1440</v>
      </c>
      <c r="E251" s="1">
        <f t="shared" si="13"/>
        <v>3047</v>
      </c>
      <c r="F251" s="2">
        <f t="shared" si="15"/>
        <v>288</v>
      </c>
      <c r="H251" s="61">
        <f t="shared" si="14"/>
        <v>800015</v>
      </c>
    </row>
    <row r="252" ht="16.5" spans="1:8">
      <c r="A252" s="1">
        <f t="shared" si="12"/>
        <v>3047</v>
      </c>
      <c r="B252" s="1">
        <v>400009</v>
      </c>
      <c r="C252" s="100">
        <v>47</v>
      </c>
      <c r="D252" s="78">
        <v>1480</v>
      </c>
      <c r="E252" s="1">
        <f t="shared" si="13"/>
        <v>3048</v>
      </c>
      <c r="F252" s="2">
        <f t="shared" si="15"/>
        <v>296</v>
      </c>
      <c r="H252" s="61">
        <f t="shared" si="14"/>
        <v>800015</v>
      </c>
    </row>
    <row r="253" ht="16.5" spans="1:8">
      <c r="A253" s="1">
        <f t="shared" si="12"/>
        <v>3048</v>
      </c>
      <c r="B253" s="1">
        <v>400009</v>
      </c>
      <c r="C253" s="100">
        <v>48</v>
      </c>
      <c r="D253" s="78">
        <v>1520</v>
      </c>
      <c r="E253" s="1">
        <f t="shared" si="13"/>
        <v>3049</v>
      </c>
      <c r="F253" s="2">
        <f t="shared" si="15"/>
        <v>304</v>
      </c>
      <c r="H253" s="61">
        <f t="shared" si="14"/>
        <v>800015</v>
      </c>
    </row>
    <row r="254" ht="16.5" spans="1:8">
      <c r="A254" s="1">
        <f t="shared" si="12"/>
        <v>3049</v>
      </c>
      <c r="B254" s="1">
        <v>400009</v>
      </c>
      <c r="C254" s="100">
        <v>49</v>
      </c>
      <c r="D254" s="78">
        <v>1560</v>
      </c>
      <c r="E254" s="1">
        <f t="shared" si="13"/>
        <v>3050</v>
      </c>
      <c r="F254" s="2">
        <f t="shared" si="15"/>
        <v>312</v>
      </c>
      <c r="H254" s="61">
        <f t="shared" si="14"/>
        <v>800015</v>
      </c>
    </row>
    <row r="255" ht="16.5" spans="1:8">
      <c r="A255" s="1">
        <f t="shared" si="12"/>
        <v>3050</v>
      </c>
      <c r="B255" s="1">
        <v>400009</v>
      </c>
      <c r="C255" s="100">
        <v>50</v>
      </c>
      <c r="D255" s="78">
        <v>1600</v>
      </c>
      <c r="E255" s="1">
        <f t="shared" si="13"/>
        <v>3051</v>
      </c>
      <c r="F255" s="2">
        <f t="shared" si="15"/>
        <v>320</v>
      </c>
      <c r="H255" s="61">
        <f t="shared" si="14"/>
        <v>800015</v>
      </c>
    </row>
    <row r="256" ht="16.5" spans="1:8">
      <c r="A256" s="1">
        <f t="shared" si="12"/>
        <v>3051</v>
      </c>
      <c r="B256" s="1">
        <v>400009</v>
      </c>
      <c r="C256" s="100">
        <v>51</v>
      </c>
      <c r="D256" s="78">
        <v>1640</v>
      </c>
      <c r="E256" s="1">
        <f t="shared" si="13"/>
        <v>3052</v>
      </c>
      <c r="F256" s="2">
        <f t="shared" si="15"/>
        <v>328</v>
      </c>
      <c r="H256" s="61">
        <f t="shared" si="14"/>
        <v>800015</v>
      </c>
    </row>
    <row r="257" ht="16.5" spans="1:8">
      <c r="A257" s="1">
        <f t="shared" si="12"/>
        <v>3052</v>
      </c>
      <c r="B257" s="1">
        <v>400009</v>
      </c>
      <c r="C257" s="100">
        <v>52</v>
      </c>
      <c r="D257" s="78">
        <v>1680</v>
      </c>
      <c r="E257" s="1">
        <f t="shared" si="13"/>
        <v>3053</v>
      </c>
      <c r="F257" s="2">
        <f t="shared" si="15"/>
        <v>336</v>
      </c>
      <c r="H257" s="61">
        <f t="shared" si="14"/>
        <v>800015</v>
      </c>
    </row>
    <row r="258" ht="16.5" spans="1:8">
      <c r="A258" s="1">
        <f t="shared" si="12"/>
        <v>3053</v>
      </c>
      <c r="B258" s="1">
        <v>400009</v>
      </c>
      <c r="C258" s="100">
        <v>53</v>
      </c>
      <c r="D258" s="78">
        <v>1720</v>
      </c>
      <c r="E258" s="1">
        <f t="shared" si="13"/>
        <v>3054</v>
      </c>
      <c r="F258" s="2">
        <f t="shared" si="15"/>
        <v>344</v>
      </c>
      <c r="H258" s="61">
        <f t="shared" si="14"/>
        <v>800015</v>
      </c>
    </row>
    <row r="259" ht="16.5" spans="1:8">
      <c r="A259" s="1">
        <f t="shared" si="12"/>
        <v>3054</v>
      </c>
      <c r="B259" s="1">
        <v>400009</v>
      </c>
      <c r="C259" s="100">
        <v>54</v>
      </c>
      <c r="D259" s="78">
        <v>1760</v>
      </c>
      <c r="E259" s="1">
        <f t="shared" si="13"/>
        <v>3055</v>
      </c>
      <c r="F259" s="2">
        <f t="shared" si="15"/>
        <v>352</v>
      </c>
      <c r="H259" s="61">
        <f t="shared" si="14"/>
        <v>800015</v>
      </c>
    </row>
    <row r="260" ht="16.5" spans="1:8">
      <c r="A260" s="1">
        <f t="shared" si="12"/>
        <v>3055</v>
      </c>
      <c r="B260" s="1">
        <v>400009</v>
      </c>
      <c r="C260" s="100">
        <v>55</v>
      </c>
      <c r="D260" s="78">
        <v>1800</v>
      </c>
      <c r="E260" s="1">
        <f t="shared" si="13"/>
        <v>3056</v>
      </c>
      <c r="F260" s="2">
        <f t="shared" si="15"/>
        <v>360</v>
      </c>
      <c r="H260" s="61">
        <f t="shared" si="14"/>
        <v>800015</v>
      </c>
    </row>
    <row r="261" ht="16.5" spans="1:8">
      <c r="A261" s="1">
        <f t="shared" si="12"/>
        <v>3056</v>
      </c>
      <c r="B261" s="1">
        <v>400009</v>
      </c>
      <c r="C261" s="100">
        <v>56</v>
      </c>
      <c r="D261" s="78">
        <v>1840</v>
      </c>
      <c r="E261" s="1">
        <f t="shared" si="13"/>
        <v>3057</v>
      </c>
      <c r="F261" s="2">
        <f t="shared" si="15"/>
        <v>368</v>
      </c>
      <c r="H261" s="61">
        <f t="shared" si="14"/>
        <v>800015</v>
      </c>
    </row>
    <row r="262" ht="16.5" spans="1:8">
      <c r="A262" s="1">
        <f t="shared" si="12"/>
        <v>3057</v>
      </c>
      <c r="B262" s="1">
        <v>400009</v>
      </c>
      <c r="C262" s="100">
        <v>57</v>
      </c>
      <c r="D262" s="78">
        <v>1880</v>
      </c>
      <c r="E262" s="1">
        <f t="shared" si="13"/>
        <v>3058</v>
      </c>
      <c r="F262" s="2">
        <f t="shared" si="15"/>
        <v>376</v>
      </c>
      <c r="H262" s="61">
        <f t="shared" si="14"/>
        <v>800015</v>
      </c>
    </row>
    <row r="263" ht="16.5" spans="1:8">
      <c r="A263" s="1">
        <f t="shared" ref="A263:A326" si="16">(B263-$I$6)*1000+C263</f>
        <v>3058</v>
      </c>
      <c r="B263" s="1">
        <v>400009</v>
      </c>
      <c r="C263" s="100">
        <v>58</v>
      </c>
      <c r="D263" s="78">
        <v>1920</v>
      </c>
      <c r="E263" s="1">
        <f t="shared" ref="E263:E326" si="17">A264</f>
        <v>3059</v>
      </c>
      <c r="F263" s="2">
        <f t="shared" si="15"/>
        <v>384</v>
      </c>
      <c r="H263" s="61">
        <f t="shared" ref="H263:H326" si="18">B263+$I$6</f>
        <v>800015</v>
      </c>
    </row>
    <row r="264" ht="16.5" spans="1:8">
      <c r="A264" s="1">
        <f t="shared" si="16"/>
        <v>3059</v>
      </c>
      <c r="B264" s="1">
        <v>400009</v>
      </c>
      <c r="C264" s="100">
        <v>59</v>
      </c>
      <c r="D264" s="78">
        <v>1960</v>
      </c>
      <c r="E264" s="1">
        <f t="shared" si="17"/>
        <v>3060</v>
      </c>
      <c r="F264" s="2">
        <f t="shared" ref="F264:F327" si="19">D264*0.2</f>
        <v>392</v>
      </c>
      <c r="H264" s="61">
        <f t="shared" si="18"/>
        <v>800015</v>
      </c>
    </row>
    <row r="265" ht="16.5" spans="1:8">
      <c r="A265" s="1">
        <f t="shared" si="16"/>
        <v>3060</v>
      </c>
      <c r="B265" s="1">
        <v>400009</v>
      </c>
      <c r="C265" s="100">
        <v>60</v>
      </c>
      <c r="D265" s="78">
        <v>2000</v>
      </c>
      <c r="E265" s="1">
        <f t="shared" si="17"/>
        <v>3061</v>
      </c>
      <c r="F265" s="2">
        <f t="shared" si="19"/>
        <v>400</v>
      </c>
      <c r="H265" s="61">
        <f t="shared" si="18"/>
        <v>800015</v>
      </c>
    </row>
    <row r="266" ht="16.5" spans="1:8">
      <c r="A266" s="1">
        <f t="shared" si="16"/>
        <v>3061</v>
      </c>
      <c r="B266" s="1">
        <v>400009</v>
      </c>
      <c r="C266" s="100">
        <v>61</v>
      </c>
      <c r="D266" s="78">
        <v>2040</v>
      </c>
      <c r="E266" s="1">
        <f t="shared" si="17"/>
        <v>3062</v>
      </c>
      <c r="F266" s="2">
        <f t="shared" si="19"/>
        <v>408</v>
      </c>
      <c r="H266" s="61">
        <f t="shared" si="18"/>
        <v>800015</v>
      </c>
    </row>
    <row r="267" ht="16.5" spans="1:8">
      <c r="A267" s="1">
        <f t="shared" si="16"/>
        <v>3062</v>
      </c>
      <c r="B267" s="1">
        <v>400009</v>
      </c>
      <c r="C267" s="100">
        <v>62</v>
      </c>
      <c r="D267" s="78">
        <v>2080</v>
      </c>
      <c r="E267" s="1">
        <f t="shared" si="17"/>
        <v>3063</v>
      </c>
      <c r="F267" s="2">
        <f t="shared" si="19"/>
        <v>416</v>
      </c>
      <c r="H267" s="61">
        <f t="shared" si="18"/>
        <v>800015</v>
      </c>
    </row>
    <row r="268" ht="16.5" spans="1:8">
      <c r="A268" s="1">
        <f t="shared" si="16"/>
        <v>3063</v>
      </c>
      <c r="B268" s="1">
        <v>400009</v>
      </c>
      <c r="C268" s="100">
        <v>63</v>
      </c>
      <c r="D268" s="78">
        <v>2120</v>
      </c>
      <c r="E268" s="1">
        <f t="shared" si="17"/>
        <v>3064</v>
      </c>
      <c r="F268" s="2">
        <f t="shared" si="19"/>
        <v>424</v>
      </c>
      <c r="H268" s="61">
        <f t="shared" si="18"/>
        <v>800015</v>
      </c>
    </row>
    <row r="269" ht="16.5" spans="1:8">
      <c r="A269" s="1">
        <f t="shared" si="16"/>
        <v>3064</v>
      </c>
      <c r="B269" s="1">
        <v>400009</v>
      </c>
      <c r="C269" s="100">
        <v>64</v>
      </c>
      <c r="D269" s="78">
        <v>2160</v>
      </c>
      <c r="E269" s="1">
        <f t="shared" si="17"/>
        <v>3065</v>
      </c>
      <c r="F269" s="2">
        <f t="shared" si="19"/>
        <v>432</v>
      </c>
      <c r="H269" s="61">
        <f t="shared" si="18"/>
        <v>800015</v>
      </c>
    </row>
    <row r="270" ht="16.5" spans="1:8">
      <c r="A270" s="1">
        <f t="shared" si="16"/>
        <v>3065</v>
      </c>
      <c r="B270" s="1">
        <v>400009</v>
      </c>
      <c r="C270" s="100">
        <v>65</v>
      </c>
      <c r="D270" s="78">
        <v>2200</v>
      </c>
      <c r="E270" s="1">
        <f t="shared" si="17"/>
        <v>3066</v>
      </c>
      <c r="F270" s="2">
        <f t="shared" si="19"/>
        <v>440</v>
      </c>
      <c r="H270" s="61">
        <f t="shared" si="18"/>
        <v>800015</v>
      </c>
    </row>
    <row r="271" ht="16.5" spans="1:8">
      <c r="A271" s="1">
        <f t="shared" si="16"/>
        <v>3066</v>
      </c>
      <c r="B271" s="1">
        <v>400009</v>
      </c>
      <c r="C271" s="100">
        <v>66</v>
      </c>
      <c r="D271" s="78">
        <v>2240</v>
      </c>
      <c r="E271" s="1">
        <f t="shared" si="17"/>
        <v>3067</v>
      </c>
      <c r="F271" s="2">
        <f t="shared" si="19"/>
        <v>448</v>
      </c>
      <c r="H271" s="61">
        <f t="shared" si="18"/>
        <v>800015</v>
      </c>
    </row>
    <row r="272" ht="16.5" spans="1:8">
      <c r="A272" s="1">
        <f t="shared" si="16"/>
        <v>3067</v>
      </c>
      <c r="B272" s="1">
        <v>400009</v>
      </c>
      <c r="C272" s="100">
        <v>67</v>
      </c>
      <c r="D272" s="78">
        <v>2280</v>
      </c>
      <c r="E272" s="1">
        <f t="shared" si="17"/>
        <v>3068</v>
      </c>
      <c r="F272" s="2">
        <f t="shared" si="19"/>
        <v>456</v>
      </c>
      <c r="H272" s="61">
        <f t="shared" si="18"/>
        <v>800015</v>
      </c>
    </row>
    <row r="273" ht="16.5" spans="1:8">
      <c r="A273" s="1">
        <f t="shared" si="16"/>
        <v>3068</v>
      </c>
      <c r="B273" s="1">
        <v>400009</v>
      </c>
      <c r="C273" s="100">
        <v>68</v>
      </c>
      <c r="D273" s="78">
        <v>2320</v>
      </c>
      <c r="E273" s="1">
        <f t="shared" si="17"/>
        <v>3069</v>
      </c>
      <c r="F273" s="2">
        <f t="shared" si="19"/>
        <v>464</v>
      </c>
      <c r="H273" s="61">
        <f t="shared" si="18"/>
        <v>800015</v>
      </c>
    </row>
    <row r="274" ht="16.5" spans="1:8">
      <c r="A274" s="1">
        <f t="shared" si="16"/>
        <v>3069</v>
      </c>
      <c r="B274" s="1">
        <v>400009</v>
      </c>
      <c r="C274" s="100">
        <v>69</v>
      </c>
      <c r="D274" s="78">
        <v>2360</v>
      </c>
      <c r="E274" s="1">
        <f t="shared" si="17"/>
        <v>3070</v>
      </c>
      <c r="F274" s="2">
        <f t="shared" si="19"/>
        <v>472</v>
      </c>
      <c r="H274" s="61">
        <f t="shared" si="18"/>
        <v>800015</v>
      </c>
    </row>
    <row r="275" ht="16.5" spans="1:8">
      <c r="A275" s="1">
        <f t="shared" si="16"/>
        <v>3070</v>
      </c>
      <c r="B275" s="1">
        <v>400009</v>
      </c>
      <c r="C275" s="100">
        <v>70</v>
      </c>
      <c r="D275" s="78">
        <v>2400</v>
      </c>
      <c r="E275" s="1">
        <f t="shared" si="17"/>
        <v>3071</v>
      </c>
      <c r="F275" s="2">
        <f t="shared" si="19"/>
        <v>480</v>
      </c>
      <c r="H275" s="61">
        <f t="shared" si="18"/>
        <v>800015</v>
      </c>
    </row>
    <row r="276" ht="16.5" spans="1:8">
      <c r="A276" s="1">
        <f t="shared" si="16"/>
        <v>3071</v>
      </c>
      <c r="B276" s="1">
        <v>400009</v>
      </c>
      <c r="C276" s="100">
        <v>71</v>
      </c>
      <c r="D276" s="78">
        <v>2440</v>
      </c>
      <c r="E276" s="1">
        <f t="shared" si="17"/>
        <v>3072</v>
      </c>
      <c r="F276" s="2">
        <f t="shared" si="19"/>
        <v>488</v>
      </c>
      <c r="H276" s="61">
        <f t="shared" si="18"/>
        <v>800015</v>
      </c>
    </row>
    <row r="277" ht="16.5" spans="1:8">
      <c r="A277" s="1">
        <f t="shared" si="16"/>
        <v>3072</v>
      </c>
      <c r="B277" s="1">
        <v>400009</v>
      </c>
      <c r="C277" s="100">
        <v>72</v>
      </c>
      <c r="D277" s="78">
        <v>2480</v>
      </c>
      <c r="E277" s="1">
        <f t="shared" si="17"/>
        <v>3073</v>
      </c>
      <c r="F277" s="2">
        <f t="shared" si="19"/>
        <v>496</v>
      </c>
      <c r="H277" s="61">
        <f t="shared" si="18"/>
        <v>800015</v>
      </c>
    </row>
    <row r="278" ht="16.5" spans="1:8">
      <c r="A278" s="1">
        <f t="shared" si="16"/>
        <v>3073</v>
      </c>
      <c r="B278" s="1">
        <v>400009</v>
      </c>
      <c r="C278" s="100">
        <v>73</v>
      </c>
      <c r="D278" s="78">
        <v>2520</v>
      </c>
      <c r="E278" s="1">
        <f t="shared" si="17"/>
        <v>3074</v>
      </c>
      <c r="F278" s="2">
        <f t="shared" si="19"/>
        <v>504</v>
      </c>
      <c r="H278" s="61">
        <f t="shared" si="18"/>
        <v>800015</v>
      </c>
    </row>
    <row r="279" ht="16.5" spans="1:8">
      <c r="A279" s="1">
        <f t="shared" si="16"/>
        <v>3074</v>
      </c>
      <c r="B279" s="1">
        <v>400009</v>
      </c>
      <c r="C279" s="100">
        <v>74</v>
      </c>
      <c r="D279" s="78">
        <v>2560</v>
      </c>
      <c r="E279" s="1">
        <f t="shared" si="17"/>
        <v>3075</v>
      </c>
      <c r="F279" s="2">
        <f t="shared" si="19"/>
        <v>512</v>
      </c>
      <c r="H279" s="61">
        <f t="shared" si="18"/>
        <v>800015</v>
      </c>
    </row>
    <row r="280" ht="16.5" spans="1:8">
      <c r="A280" s="1">
        <f t="shared" si="16"/>
        <v>3075</v>
      </c>
      <c r="B280" s="1">
        <v>400009</v>
      </c>
      <c r="C280" s="100">
        <v>75</v>
      </c>
      <c r="D280" s="78">
        <v>2600</v>
      </c>
      <c r="E280" s="1">
        <f t="shared" si="17"/>
        <v>3076</v>
      </c>
      <c r="F280" s="2">
        <f t="shared" si="19"/>
        <v>520</v>
      </c>
      <c r="H280" s="61">
        <f t="shared" si="18"/>
        <v>800015</v>
      </c>
    </row>
    <row r="281" ht="16.5" spans="1:8">
      <c r="A281" s="1">
        <f t="shared" si="16"/>
        <v>3076</v>
      </c>
      <c r="B281" s="1">
        <v>400009</v>
      </c>
      <c r="C281" s="100">
        <v>76</v>
      </c>
      <c r="D281" s="78">
        <v>2640</v>
      </c>
      <c r="E281" s="1">
        <f t="shared" si="17"/>
        <v>3077</v>
      </c>
      <c r="F281" s="2">
        <f t="shared" si="19"/>
        <v>528</v>
      </c>
      <c r="H281" s="61">
        <f t="shared" si="18"/>
        <v>800015</v>
      </c>
    </row>
    <row r="282" ht="16.5" spans="1:8">
      <c r="A282" s="1">
        <f t="shared" si="16"/>
        <v>3077</v>
      </c>
      <c r="B282" s="1">
        <v>400009</v>
      </c>
      <c r="C282" s="100">
        <v>77</v>
      </c>
      <c r="D282" s="78">
        <v>2680</v>
      </c>
      <c r="E282" s="1">
        <f t="shared" si="17"/>
        <v>3078</v>
      </c>
      <c r="F282" s="2">
        <f t="shared" si="19"/>
        <v>536</v>
      </c>
      <c r="H282" s="61">
        <f t="shared" si="18"/>
        <v>800015</v>
      </c>
    </row>
    <row r="283" ht="16.5" spans="1:8">
      <c r="A283" s="1">
        <f t="shared" si="16"/>
        <v>3078</v>
      </c>
      <c r="B283" s="1">
        <v>400009</v>
      </c>
      <c r="C283" s="100">
        <v>78</v>
      </c>
      <c r="D283" s="78">
        <v>2720</v>
      </c>
      <c r="E283" s="1">
        <f t="shared" si="17"/>
        <v>3079</v>
      </c>
      <c r="F283" s="2">
        <f t="shared" si="19"/>
        <v>544</v>
      </c>
      <c r="H283" s="61">
        <f t="shared" si="18"/>
        <v>800015</v>
      </c>
    </row>
    <row r="284" ht="16.5" spans="1:8">
      <c r="A284" s="1">
        <f t="shared" si="16"/>
        <v>3079</v>
      </c>
      <c r="B284" s="1">
        <v>400009</v>
      </c>
      <c r="C284" s="100">
        <v>79</v>
      </c>
      <c r="D284" s="78">
        <v>2760</v>
      </c>
      <c r="E284" s="1">
        <f t="shared" si="17"/>
        <v>3080</v>
      </c>
      <c r="F284" s="2">
        <f t="shared" si="19"/>
        <v>552</v>
      </c>
      <c r="H284" s="61">
        <f t="shared" si="18"/>
        <v>800015</v>
      </c>
    </row>
    <row r="285" ht="16.5" spans="1:8">
      <c r="A285" s="1">
        <f t="shared" si="16"/>
        <v>3080</v>
      </c>
      <c r="B285" s="1">
        <v>400009</v>
      </c>
      <c r="C285" s="100">
        <v>80</v>
      </c>
      <c r="D285" s="78">
        <v>2800</v>
      </c>
      <c r="E285" s="1">
        <f t="shared" si="17"/>
        <v>3081</v>
      </c>
      <c r="F285" s="2">
        <f t="shared" si="19"/>
        <v>560</v>
      </c>
      <c r="H285" s="61">
        <f t="shared" si="18"/>
        <v>800015</v>
      </c>
    </row>
    <row r="286" ht="16.5" spans="1:8">
      <c r="A286" s="1">
        <f t="shared" si="16"/>
        <v>3081</v>
      </c>
      <c r="B286" s="1">
        <v>400009</v>
      </c>
      <c r="C286" s="100">
        <v>81</v>
      </c>
      <c r="D286" s="78">
        <v>2840</v>
      </c>
      <c r="E286" s="1">
        <f t="shared" si="17"/>
        <v>3082</v>
      </c>
      <c r="F286" s="2">
        <f t="shared" si="19"/>
        <v>568</v>
      </c>
      <c r="H286" s="61">
        <f t="shared" si="18"/>
        <v>800015</v>
      </c>
    </row>
    <row r="287" ht="16.5" spans="1:8">
      <c r="A287" s="1">
        <f t="shared" si="16"/>
        <v>3082</v>
      </c>
      <c r="B287" s="1">
        <v>400009</v>
      </c>
      <c r="C287" s="100">
        <v>82</v>
      </c>
      <c r="D287" s="78">
        <v>2880</v>
      </c>
      <c r="E287" s="1">
        <f t="shared" si="17"/>
        <v>3083</v>
      </c>
      <c r="F287" s="2">
        <f t="shared" si="19"/>
        <v>576</v>
      </c>
      <c r="H287" s="61">
        <f t="shared" si="18"/>
        <v>800015</v>
      </c>
    </row>
    <row r="288" ht="16.5" spans="1:8">
      <c r="A288" s="1">
        <f t="shared" si="16"/>
        <v>3083</v>
      </c>
      <c r="B288" s="1">
        <v>400009</v>
      </c>
      <c r="C288" s="100">
        <v>83</v>
      </c>
      <c r="D288" s="78">
        <v>2920</v>
      </c>
      <c r="E288" s="1">
        <f t="shared" si="17"/>
        <v>3084</v>
      </c>
      <c r="F288" s="2">
        <f t="shared" si="19"/>
        <v>584</v>
      </c>
      <c r="H288" s="61">
        <f t="shared" si="18"/>
        <v>800015</v>
      </c>
    </row>
    <row r="289" ht="16.5" spans="1:8">
      <c r="A289" s="1">
        <f t="shared" si="16"/>
        <v>3084</v>
      </c>
      <c r="B289" s="1">
        <v>400009</v>
      </c>
      <c r="C289" s="100">
        <v>84</v>
      </c>
      <c r="D289" s="78">
        <v>2960</v>
      </c>
      <c r="E289" s="1">
        <f t="shared" si="17"/>
        <v>3085</v>
      </c>
      <c r="F289" s="2">
        <f t="shared" si="19"/>
        <v>592</v>
      </c>
      <c r="H289" s="61">
        <f t="shared" si="18"/>
        <v>800015</v>
      </c>
    </row>
    <row r="290" ht="16.5" spans="1:8">
      <c r="A290" s="1">
        <f t="shared" si="16"/>
        <v>3085</v>
      </c>
      <c r="B290" s="1">
        <v>400009</v>
      </c>
      <c r="C290" s="100">
        <v>85</v>
      </c>
      <c r="D290" s="78">
        <v>3000</v>
      </c>
      <c r="E290" s="1">
        <f t="shared" si="17"/>
        <v>3086</v>
      </c>
      <c r="F290" s="2">
        <f t="shared" si="19"/>
        <v>600</v>
      </c>
      <c r="H290" s="61">
        <f t="shared" si="18"/>
        <v>800015</v>
      </c>
    </row>
    <row r="291" ht="16.5" spans="1:8">
      <c r="A291" s="1">
        <f t="shared" si="16"/>
        <v>3086</v>
      </c>
      <c r="B291" s="1">
        <v>400009</v>
      </c>
      <c r="C291" s="100">
        <v>86</v>
      </c>
      <c r="D291" s="78">
        <v>3040</v>
      </c>
      <c r="E291" s="1">
        <f t="shared" si="17"/>
        <v>3087</v>
      </c>
      <c r="F291" s="2">
        <f t="shared" si="19"/>
        <v>608</v>
      </c>
      <c r="H291" s="61">
        <f t="shared" si="18"/>
        <v>800015</v>
      </c>
    </row>
    <row r="292" ht="16.5" spans="1:8">
      <c r="A292" s="1">
        <f t="shared" si="16"/>
        <v>3087</v>
      </c>
      <c r="B292" s="1">
        <v>400009</v>
      </c>
      <c r="C292" s="100">
        <v>87</v>
      </c>
      <c r="D292" s="78">
        <v>3080</v>
      </c>
      <c r="E292" s="1">
        <f t="shared" si="17"/>
        <v>3088</v>
      </c>
      <c r="F292" s="2">
        <f t="shared" si="19"/>
        <v>616</v>
      </c>
      <c r="H292" s="61">
        <f t="shared" si="18"/>
        <v>800015</v>
      </c>
    </row>
    <row r="293" ht="16.5" spans="1:8">
      <c r="A293" s="1">
        <f t="shared" si="16"/>
        <v>3088</v>
      </c>
      <c r="B293" s="1">
        <v>400009</v>
      </c>
      <c r="C293" s="100">
        <v>88</v>
      </c>
      <c r="D293" s="78">
        <v>3120</v>
      </c>
      <c r="E293" s="1">
        <f t="shared" si="17"/>
        <v>3089</v>
      </c>
      <c r="F293" s="2">
        <f t="shared" si="19"/>
        <v>624</v>
      </c>
      <c r="H293" s="61">
        <f t="shared" si="18"/>
        <v>800015</v>
      </c>
    </row>
    <row r="294" ht="16.5" spans="1:8">
      <c r="A294" s="1">
        <f t="shared" si="16"/>
        <v>3089</v>
      </c>
      <c r="B294" s="1">
        <v>400009</v>
      </c>
      <c r="C294" s="100">
        <v>89</v>
      </c>
      <c r="D294" s="78">
        <v>3160</v>
      </c>
      <c r="E294" s="1">
        <f t="shared" si="17"/>
        <v>3090</v>
      </c>
      <c r="F294" s="2">
        <f t="shared" si="19"/>
        <v>632</v>
      </c>
      <c r="H294" s="61">
        <f t="shared" si="18"/>
        <v>800015</v>
      </c>
    </row>
    <row r="295" ht="16.5" spans="1:8">
      <c r="A295" s="1">
        <f t="shared" si="16"/>
        <v>3090</v>
      </c>
      <c r="B295" s="1">
        <v>400009</v>
      </c>
      <c r="C295" s="100">
        <v>90</v>
      </c>
      <c r="D295" s="78">
        <v>3200</v>
      </c>
      <c r="E295" s="1">
        <f t="shared" si="17"/>
        <v>3091</v>
      </c>
      <c r="F295" s="2">
        <f t="shared" si="19"/>
        <v>640</v>
      </c>
      <c r="H295" s="61">
        <f t="shared" si="18"/>
        <v>800015</v>
      </c>
    </row>
    <row r="296" ht="16.5" spans="1:8">
      <c r="A296" s="1">
        <f t="shared" si="16"/>
        <v>3091</v>
      </c>
      <c r="B296" s="1">
        <v>400009</v>
      </c>
      <c r="C296" s="100">
        <v>91</v>
      </c>
      <c r="D296" s="78">
        <v>3240</v>
      </c>
      <c r="E296" s="1">
        <f t="shared" si="17"/>
        <v>3092</v>
      </c>
      <c r="F296" s="2">
        <f t="shared" si="19"/>
        <v>648</v>
      </c>
      <c r="H296" s="61">
        <f t="shared" si="18"/>
        <v>800015</v>
      </c>
    </row>
    <row r="297" ht="16.5" spans="1:8">
      <c r="A297" s="1">
        <f t="shared" si="16"/>
        <v>3092</v>
      </c>
      <c r="B297" s="1">
        <v>400009</v>
      </c>
      <c r="C297" s="100">
        <v>92</v>
      </c>
      <c r="D297" s="78">
        <v>3280</v>
      </c>
      <c r="E297" s="1">
        <f t="shared" si="17"/>
        <v>3093</v>
      </c>
      <c r="F297" s="2">
        <f t="shared" si="19"/>
        <v>656</v>
      </c>
      <c r="H297" s="61">
        <f t="shared" si="18"/>
        <v>800015</v>
      </c>
    </row>
    <row r="298" ht="16.5" spans="1:8">
      <c r="A298" s="1">
        <f t="shared" si="16"/>
        <v>3093</v>
      </c>
      <c r="B298" s="1">
        <v>400009</v>
      </c>
      <c r="C298" s="100">
        <v>93</v>
      </c>
      <c r="D298" s="78">
        <v>3320</v>
      </c>
      <c r="E298" s="1">
        <f t="shared" si="17"/>
        <v>3094</v>
      </c>
      <c r="F298" s="2">
        <f t="shared" si="19"/>
        <v>664</v>
      </c>
      <c r="H298" s="61">
        <f t="shared" si="18"/>
        <v>800015</v>
      </c>
    </row>
    <row r="299" ht="16.5" spans="1:8">
      <c r="A299" s="1">
        <f t="shared" si="16"/>
        <v>3094</v>
      </c>
      <c r="B299" s="1">
        <v>400009</v>
      </c>
      <c r="C299" s="100">
        <v>94</v>
      </c>
      <c r="D299" s="78">
        <v>3360</v>
      </c>
      <c r="E299" s="1">
        <f t="shared" si="17"/>
        <v>3095</v>
      </c>
      <c r="F299" s="2">
        <f t="shared" si="19"/>
        <v>672</v>
      </c>
      <c r="H299" s="61">
        <f t="shared" si="18"/>
        <v>800015</v>
      </c>
    </row>
    <row r="300" ht="16.5" spans="1:8">
      <c r="A300" s="1">
        <f t="shared" si="16"/>
        <v>3095</v>
      </c>
      <c r="B300" s="1">
        <v>400009</v>
      </c>
      <c r="C300" s="100">
        <v>95</v>
      </c>
      <c r="D300" s="78">
        <v>3400</v>
      </c>
      <c r="E300" s="1">
        <f t="shared" si="17"/>
        <v>3096</v>
      </c>
      <c r="F300" s="2">
        <f t="shared" si="19"/>
        <v>680</v>
      </c>
      <c r="H300" s="61">
        <f t="shared" si="18"/>
        <v>800015</v>
      </c>
    </row>
    <row r="301" ht="16.5" spans="1:8">
      <c r="A301" s="1">
        <f t="shared" si="16"/>
        <v>3096</v>
      </c>
      <c r="B301" s="1">
        <v>400009</v>
      </c>
      <c r="C301" s="100">
        <v>96</v>
      </c>
      <c r="D301" s="78">
        <v>3440</v>
      </c>
      <c r="E301" s="1">
        <f t="shared" si="17"/>
        <v>3097</v>
      </c>
      <c r="F301" s="2">
        <f t="shared" si="19"/>
        <v>688</v>
      </c>
      <c r="H301" s="61">
        <f t="shared" si="18"/>
        <v>800015</v>
      </c>
    </row>
    <row r="302" ht="16.5" spans="1:8">
      <c r="A302" s="1">
        <f t="shared" si="16"/>
        <v>3097</v>
      </c>
      <c r="B302" s="1">
        <v>400009</v>
      </c>
      <c r="C302" s="100">
        <v>97</v>
      </c>
      <c r="D302" s="78">
        <v>3480</v>
      </c>
      <c r="E302" s="1">
        <f t="shared" si="17"/>
        <v>3098</v>
      </c>
      <c r="F302" s="2">
        <f t="shared" si="19"/>
        <v>696</v>
      </c>
      <c r="H302" s="61">
        <f t="shared" si="18"/>
        <v>800015</v>
      </c>
    </row>
    <row r="303" ht="16.5" spans="1:8">
      <c r="A303" s="1">
        <f t="shared" si="16"/>
        <v>3098</v>
      </c>
      <c r="B303" s="1">
        <v>400009</v>
      </c>
      <c r="C303" s="100">
        <v>98</v>
      </c>
      <c r="D303" s="78">
        <v>3520</v>
      </c>
      <c r="E303" s="1">
        <f t="shared" si="17"/>
        <v>3099</v>
      </c>
      <c r="F303" s="2">
        <f t="shared" si="19"/>
        <v>704</v>
      </c>
      <c r="H303" s="61">
        <f t="shared" si="18"/>
        <v>800015</v>
      </c>
    </row>
    <row r="304" ht="16.5" spans="1:8">
      <c r="A304" s="1">
        <f t="shared" si="16"/>
        <v>3099</v>
      </c>
      <c r="B304" s="1">
        <v>400009</v>
      </c>
      <c r="C304" s="100">
        <v>99</v>
      </c>
      <c r="D304" s="78">
        <v>3560</v>
      </c>
      <c r="E304" s="1">
        <f t="shared" si="17"/>
        <v>3100</v>
      </c>
      <c r="F304" s="2">
        <f t="shared" si="19"/>
        <v>712</v>
      </c>
      <c r="H304" s="61">
        <f t="shared" si="18"/>
        <v>800015</v>
      </c>
    </row>
    <row r="305" ht="16.5" spans="1:8">
      <c r="A305" s="1">
        <f t="shared" si="16"/>
        <v>3100</v>
      </c>
      <c r="B305" s="1">
        <v>400009</v>
      </c>
      <c r="C305" s="100">
        <v>100</v>
      </c>
      <c r="D305" s="97">
        <v>3600</v>
      </c>
      <c r="E305" s="1">
        <v>0</v>
      </c>
      <c r="F305" s="2">
        <f t="shared" si="19"/>
        <v>720</v>
      </c>
      <c r="H305" s="61">
        <f t="shared" si="18"/>
        <v>800015</v>
      </c>
    </row>
    <row r="306" ht="16.5" spans="1:8">
      <c r="A306" s="1">
        <f t="shared" si="16"/>
        <v>4001</v>
      </c>
      <c r="B306" s="1">
        <v>400010</v>
      </c>
      <c r="C306" s="100">
        <v>1</v>
      </c>
      <c r="D306" s="78">
        <v>60</v>
      </c>
      <c r="E306" s="1">
        <f t="shared" si="17"/>
        <v>4002</v>
      </c>
      <c r="F306" s="2">
        <f t="shared" si="19"/>
        <v>12</v>
      </c>
      <c r="H306" s="61">
        <f t="shared" si="18"/>
        <v>800016</v>
      </c>
    </row>
    <row r="307" ht="16.5" spans="1:8">
      <c r="A307" s="1">
        <f t="shared" si="16"/>
        <v>4002</v>
      </c>
      <c r="B307" s="1">
        <v>400010</v>
      </c>
      <c r="C307" s="100">
        <v>2</v>
      </c>
      <c r="D307" s="78">
        <v>60</v>
      </c>
      <c r="E307" s="1">
        <f t="shared" si="17"/>
        <v>4003</v>
      </c>
      <c r="F307" s="2">
        <f t="shared" si="19"/>
        <v>12</v>
      </c>
      <c r="H307" s="61">
        <f t="shared" si="18"/>
        <v>800016</v>
      </c>
    </row>
    <row r="308" ht="16.5" spans="1:8">
      <c r="A308" s="1">
        <f t="shared" si="16"/>
        <v>4003</v>
      </c>
      <c r="B308" s="1">
        <v>400010</v>
      </c>
      <c r="C308" s="100">
        <v>3</v>
      </c>
      <c r="D308" s="78">
        <v>60</v>
      </c>
      <c r="E308" s="1">
        <f t="shared" si="17"/>
        <v>4004</v>
      </c>
      <c r="F308" s="2">
        <f t="shared" si="19"/>
        <v>12</v>
      </c>
      <c r="H308" s="61">
        <f t="shared" si="18"/>
        <v>800016</v>
      </c>
    </row>
    <row r="309" ht="16.5" spans="1:8">
      <c r="A309" s="1">
        <f t="shared" si="16"/>
        <v>4004</v>
      </c>
      <c r="B309" s="1">
        <v>400010</v>
      </c>
      <c r="C309" s="100">
        <v>4</v>
      </c>
      <c r="D309" s="78">
        <v>60</v>
      </c>
      <c r="E309" s="1">
        <f t="shared" si="17"/>
        <v>4005</v>
      </c>
      <c r="F309" s="2">
        <f t="shared" si="19"/>
        <v>12</v>
      </c>
      <c r="H309" s="61">
        <f t="shared" si="18"/>
        <v>800016</v>
      </c>
    </row>
    <row r="310" ht="16.5" spans="1:8">
      <c r="A310" s="1">
        <f t="shared" si="16"/>
        <v>4005</v>
      </c>
      <c r="B310" s="1">
        <v>400010</v>
      </c>
      <c r="C310" s="100">
        <v>5</v>
      </c>
      <c r="D310" s="78">
        <v>60</v>
      </c>
      <c r="E310" s="1">
        <f t="shared" si="17"/>
        <v>4006</v>
      </c>
      <c r="F310" s="2">
        <f t="shared" si="19"/>
        <v>12</v>
      </c>
      <c r="H310" s="61">
        <f t="shared" si="18"/>
        <v>800016</v>
      </c>
    </row>
    <row r="311" ht="16.5" spans="1:8">
      <c r="A311" s="1">
        <f t="shared" si="16"/>
        <v>4006</v>
      </c>
      <c r="B311" s="1">
        <v>400010</v>
      </c>
      <c r="C311" s="100">
        <v>6</v>
      </c>
      <c r="D311" s="78">
        <v>60</v>
      </c>
      <c r="E311" s="1">
        <f t="shared" si="17"/>
        <v>4007</v>
      </c>
      <c r="F311" s="2">
        <f t="shared" si="19"/>
        <v>12</v>
      </c>
      <c r="H311" s="61">
        <f t="shared" si="18"/>
        <v>800016</v>
      </c>
    </row>
    <row r="312" ht="16.5" spans="1:8">
      <c r="A312" s="1">
        <f t="shared" si="16"/>
        <v>4007</v>
      </c>
      <c r="B312" s="1">
        <v>400010</v>
      </c>
      <c r="C312" s="100">
        <v>7</v>
      </c>
      <c r="D312" s="78">
        <v>60</v>
      </c>
      <c r="E312" s="1">
        <f t="shared" si="17"/>
        <v>4008</v>
      </c>
      <c r="F312" s="2">
        <f t="shared" si="19"/>
        <v>12</v>
      </c>
      <c r="H312" s="61">
        <f t="shared" si="18"/>
        <v>800016</v>
      </c>
    </row>
    <row r="313" ht="16.5" spans="1:8">
      <c r="A313" s="1">
        <f t="shared" si="16"/>
        <v>4008</v>
      </c>
      <c r="B313" s="1">
        <v>400010</v>
      </c>
      <c r="C313" s="100">
        <v>8</v>
      </c>
      <c r="D313" s="78">
        <v>60</v>
      </c>
      <c r="E313" s="1">
        <f t="shared" si="17"/>
        <v>4009</v>
      </c>
      <c r="F313" s="2">
        <f t="shared" si="19"/>
        <v>12</v>
      </c>
      <c r="H313" s="61">
        <f t="shared" si="18"/>
        <v>800016</v>
      </c>
    </row>
    <row r="314" ht="16.5" spans="1:8">
      <c r="A314" s="1">
        <f t="shared" si="16"/>
        <v>4009</v>
      </c>
      <c r="B314" s="1">
        <v>400010</v>
      </c>
      <c r="C314" s="100">
        <v>9</v>
      </c>
      <c r="D314" s="78">
        <v>60</v>
      </c>
      <c r="E314" s="1">
        <f t="shared" si="17"/>
        <v>4010</v>
      </c>
      <c r="F314" s="2">
        <f t="shared" si="19"/>
        <v>12</v>
      </c>
      <c r="H314" s="61">
        <f t="shared" si="18"/>
        <v>800016</v>
      </c>
    </row>
    <row r="315" ht="16.5" spans="1:8">
      <c r="A315" s="1">
        <f t="shared" si="16"/>
        <v>4010</v>
      </c>
      <c r="B315" s="1">
        <v>400010</v>
      </c>
      <c r="C315" s="100">
        <v>10</v>
      </c>
      <c r="D315" s="78">
        <v>60</v>
      </c>
      <c r="E315" s="1">
        <f t="shared" si="17"/>
        <v>4011</v>
      </c>
      <c r="F315" s="2">
        <f t="shared" si="19"/>
        <v>12</v>
      </c>
      <c r="H315" s="61">
        <f t="shared" si="18"/>
        <v>800016</v>
      </c>
    </row>
    <row r="316" ht="16.5" spans="1:8">
      <c r="A316" s="1">
        <f t="shared" si="16"/>
        <v>4011</v>
      </c>
      <c r="B316" s="1">
        <v>400010</v>
      </c>
      <c r="C316" s="100">
        <v>11</v>
      </c>
      <c r="D316" s="78">
        <v>170</v>
      </c>
      <c r="E316" s="1">
        <f t="shared" si="17"/>
        <v>4012</v>
      </c>
      <c r="F316" s="2">
        <f t="shared" si="19"/>
        <v>34</v>
      </c>
      <c r="H316" s="61">
        <f t="shared" si="18"/>
        <v>800016</v>
      </c>
    </row>
    <row r="317" ht="16.5" spans="1:8">
      <c r="A317" s="1">
        <f t="shared" si="16"/>
        <v>4012</v>
      </c>
      <c r="B317" s="1">
        <v>400010</v>
      </c>
      <c r="C317" s="100">
        <v>12</v>
      </c>
      <c r="D317" s="78">
        <v>220</v>
      </c>
      <c r="E317" s="1">
        <f t="shared" si="17"/>
        <v>4013</v>
      </c>
      <c r="F317" s="2">
        <f t="shared" si="19"/>
        <v>44</v>
      </c>
      <c r="H317" s="61">
        <f t="shared" si="18"/>
        <v>800016</v>
      </c>
    </row>
    <row r="318" ht="16.5" spans="1:8">
      <c r="A318" s="1">
        <f t="shared" si="16"/>
        <v>4013</v>
      </c>
      <c r="B318" s="1">
        <v>400010</v>
      </c>
      <c r="C318" s="100">
        <v>13</v>
      </c>
      <c r="D318" s="78">
        <v>270</v>
      </c>
      <c r="E318" s="1">
        <f t="shared" si="17"/>
        <v>4014</v>
      </c>
      <c r="F318" s="2">
        <f t="shared" si="19"/>
        <v>54</v>
      </c>
      <c r="H318" s="61">
        <f t="shared" si="18"/>
        <v>800016</v>
      </c>
    </row>
    <row r="319" ht="16.5" spans="1:8">
      <c r="A319" s="1">
        <f t="shared" si="16"/>
        <v>4014</v>
      </c>
      <c r="B319" s="1">
        <v>400010</v>
      </c>
      <c r="C319" s="100">
        <v>14</v>
      </c>
      <c r="D319" s="78">
        <v>320</v>
      </c>
      <c r="E319" s="1">
        <f t="shared" si="17"/>
        <v>4015</v>
      </c>
      <c r="F319" s="2">
        <f t="shared" si="19"/>
        <v>64</v>
      </c>
      <c r="H319" s="61">
        <f t="shared" si="18"/>
        <v>800016</v>
      </c>
    </row>
    <row r="320" ht="16.5" spans="1:8">
      <c r="A320" s="1">
        <f t="shared" si="16"/>
        <v>4015</v>
      </c>
      <c r="B320" s="1">
        <v>400010</v>
      </c>
      <c r="C320" s="100">
        <v>15</v>
      </c>
      <c r="D320" s="78">
        <v>370</v>
      </c>
      <c r="E320" s="1">
        <f t="shared" si="17"/>
        <v>4016</v>
      </c>
      <c r="F320" s="2">
        <f t="shared" si="19"/>
        <v>74</v>
      </c>
      <c r="H320" s="61">
        <f t="shared" si="18"/>
        <v>800016</v>
      </c>
    </row>
    <row r="321" ht="16.5" spans="1:8">
      <c r="A321" s="1">
        <f t="shared" si="16"/>
        <v>4016</v>
      </c>
      <c r="B321" s="1">
        <v>400010</v>
      </c>
      <c r="C321" s="100">
        <v>16</v>
      </c>
      <c r="D321" s="78">
        <v>430</v>
      </c>
      <c r="E321" s="1">
        <f t="shared" si="17"/>
        <v>4017</v>
      </c>
      <c r="F321" s="2">
        <f t="shared" si="19"/>
        <v>86</v>
      </c>
      <c r="H321" s="61">
        <f t="shared" si="18"/>
        <v>800016</v>
      </c>
    </row>
    <row r="322" ht="16.5" spans="1:8">
      <c r="A322" s="1">
        <f t="shared" si="16"/>
        <v>4017</v>
      </c>
      <c r="B322" s="1">
        <v>400010</v>
      </c>
      <c r="C322" s="100">
        <v>17</v>
      </c>
      <c r="D322" s="78">
        <v>480</v>
      </c>
      <c r="E322" s="1">
        <f t="shared" si="17"/>
        <v>4018</v>
      </c>
      <c r="F322" s="2">
        <f t="shared" si="19"/>
        <v>96</v>
      </c>
      <c r="H322" s="61">
        <f t="shared" si="18"/>
        <v>800016</v>
      </c>
    </row>
    <row r="323" ht="16.5" spans="1:8">
      <c r="A323" s="1">
        <f t="shared" si="16"/>
        <v>4018</v>
      </c>
      <c r="B323" s="1">
        <v>400010</v>
      </c>
      <c r="C323" s="100">
        <v>18</v>
      </c>
      <c r="D323" s="78">
        <v>530</v>
      </c>
      <c r="E323" s="1">
        <f t="shared" si="17"/>
        <v>4019</v>
      </c>
      <c r="F323" s="2">
        <f t="shared" si="19"/>
        <v>106</v>
      </c>
      <c r="H323" s="61">
        <f t="shared" si="18"/>
        <v>800016</v>
      </c>
    </row>
    <row r="324" ht="16.5" spans="1:8">
      <c r="A324" s="1">
        <f t="shared" si="16"/>
        <v>4019</v>
      </c>
      <c r="B324" s="1">
        <v>400010</v>
      </c>
      <c r="C324" s="100">
        <v>19</v>
      </c>
      <c r="D324" s="78">
        <v>580</v>
      </c>
      <c r="E324" s="1">
        <f t="shared" si="17"/>
        <v>4020</v>
      </c>
      <c r="F324" s="2">
        <f t="shared" si="19"/>
        <v>116</v>
      </c>
      <c r="H324" s="61">
        <f t="shared" si="18"/>
        <v>800016</v>
      </c>
    </row>
    <row r="325" ht="16.5" spans="1:8">
      <c r="A325" s="1">
        <f t="shared" si="16"/>
        <v>4020</v>
      </c>
      <c r="B325" s="1">
        <v>400010</v>
      </c>
      <c r="C325" s="100">
        <v>20</v>
      </c>
      <c r="D325" s="78">
        <v>630</v>
      </c>
      <c r="E325" s="1">
        <f t="shared" si="17"/>
        <v>4021</v>
      </c>
      <c r="F325" s="2">
        <f t="shared" si="19"/>
        <v>126</v>
      </c>
      <c r="H325" s="61">
        <f t="shared" si="18"/>
        <v>800016</v>
      </c>
    </row>
    <row r="326" ht="16.5" spans="1:8">
      <c r="A326" s="1">
        <f t="shared" si="16"/>
        <v>4021</v>
      </c>
      <c r="B326" s="1">
        <v>400010</v>
      </c>
      <c r="C326" s="100">
        <v>21</v>
      </c>
      <c r="D326" s="78">
        <v>800</v>
      </c>
      <c r="E326" s="1">
        <f t="shared" si="17"/>
        <v>4022</v>
      </c>
      <c r="F326" s="2">
        <f t="shared" si="19"/>
        <v>160</v>
      </c>
      <c r="H326" s="61">
        <f t="shared" si="18"/>
        <v>800016</v>
      </c>
    </row>
    <row r="327" ht="16.5" spans="1:8">
      <c r="A327" s="1">
        <f t="shared" ref="A327:A390" si="20">(B327-$I$6)*1000+C327</f>
        <v>4022</v>
      </c>
      <c r="B327" s="1">
        <v>400010</v>
      </c>
      <c r="C327" s="100">
        <v>22</v>
      </c>
      <c r="D327" s="78">
        <v>800</v>
      </c>
      <c r="E327" s="1">
        <f t="shared" ref="E327:E390" si="21">A328</f>
        <v>4023</v>
      </c>
      <c r="F327" s="2">
        <f t="shared" si="19"/>
        <v>160</v>
      </c>
      <c r="H327" s="61">
        <f t="shared" ref="H327:H390" si="22">B327+$I$6</f>
        <v>800016</v>
      </c>
    </row>
    <row r="328" ht="16.5" spans="1:8">
      <c r="A328" s="1">
        <f t="shared" si="20"/>
        <v>4023</v>
      </c>
      <c r="B328" s="1">
        <v>400010</v>
      </c>
      <c r="C328" s="100">
        <v>23</v>
      </c>
      <c r="D328" s="78">
        <v>800</v>
      </c>
      <c r="E328" s="1">
        <f t="shared" si="21"/>
        <v>4024</v>
      </c>
      <c r="F328" s="2">
        <f t="shared" ref="F328:F391" si="23">D328*0.2</f>
        <v>160</v>
      </c>
      <c r="H328" s="61">
        <f t="shared" si="22"/>
        <v>800016</v>
      </c>
    </row>
    <row r="329" ht="16.5" spans="1:8">
      <c r="A329" s="1">
        <f t="shared" si="20"/>
        <v>4024</v>
      </c>
      <c r="B329" s="1">
        <v>400010</v>
      </c>
      <c r="C329" s="100">
        <v>24</v>
      </c>
      <c r="D329" s="78">
        <v>800</v>
      </c>
      <c r="E329" s="1">
        <f t="shared" si="21"/>
        <v>4025</v>
      </c>
      <c r="F329" s="2">
        <f t="shared" si="23"/>
        <v>160</v>
      </c>
      <c r="H329" s="61">
        <f t="shared" si="22"/>
        <v>800016</v>
      </c>
    </row>
    <row r="330" ht="16.5" spans="1:8">
      <c r="A330" s="1">
        <f t="shared" si="20"/>
        <v>4025</v>
      </c>
      <c r="B330" s="1">
        <v>400010</v>
      </c>
      <c r="C330" s="100">
        <v>25</v>
      </c>
      <c r="D330" s="78">
        <v>800</v>
      </c>
      <c r="E330" s="1">
        <f t="shared" si="21"/>
        <v>4026</v>
      </c>
      <c r="F330" s="2">
        <f t="shared" si="23"/>
        <v>160</v>
      </c>
      <c r="H330" s="61">
        <f t="shared" si="22"/>
        <v>800016</v>
      </c>
    </row>
    <row r="331" ht="16.5" spans="1:8">
      <c r="A331" s="1">
        <f t="shared" si="20"/>
        <v>4026</v>
      </c>
      <c r="B331" s="1">
        <v>400010</v>
      </c>
      <c r="C331" s="100">
        <v>26</v>
      </c>
      <c r="D331" s="78">
        <v>800</v>
      </c>
      <c r="E331" s="1">
        <f t="shared" si="21"/>
        <v>4027</v>
      </c>
      <c r="F331" s="2">
        <f t="shared" si="23"/>
        <v>160</v>
      </c>
      <c r="H331" s="61">
        <f t="shared" si="22"/>
        <v>800016</v>
      </c>
    </row>
    <row r="332" ht="16.5" spans="1:8">
      <c r="A332" s="1">
        <f t="shared" si="20"/>
        <v>4027</v>
      </c>
      <c r="B332" s="1">
        <v>400010</v>
      </c>
      <c r="C332" s="100">
        <v>27</v>
      </c>
      <c r="D332" s="78">
        <v>800</v>
      </c>
      <c r="E332" s="1">
        <f t="shared" si="21"/>
        <v>4028</v>
      </c>
      <c r="F332" s="2">
        <f t="shared" si="23"/>
        <v>160</v>
      </c>
      <c r="H332" s="61">
        <f t="shared" si="22"/>
        <v>800016</v>
      </c>
    </row>
    <row r="333" ht="16.5" spans="1:8">
      <c r="A333" s="1">
        <f t="shared" si="20"/>
        <v>4028</v>
      </c>
      <c r="B333" s="1">
        <v>400010</v>
      </c>
      <c r="C333" s="100">
        <v>28</v>
      </c>
      <c r="D333" s="78">
        <v>800</v>
      </c>
      <c r="E333" s="1">
        <f t="shared" si="21"/>
        <v>4029</v>
      </c>
      <c r="F333" s="2">
        <f t="shared" si="23"/>
        <v>160</v>
      </c>
      <c r="H333" s="61">
        <f t="shared" si="22"/>
        <v>800016</v>
      </c>
    </row>
    <row r="334" ht="16.5" spans="1:8">
      <c r="A334" s="1">
        <f t="shared" si="20"/>
        <v>4029</v>
      </c>
      <c r="B334" s="1">
        <v>400010</v>
      </c>
      <c r="C334" s="100">
        <v>29</v>
      </c>
      <c r="D334" s="78">
        <v>800</v>
      </c>
      <c r="E334" s="1">
        <f t="shared" si="21"/>
        <v>4030</v>
      </c>
      <c r="F334" s="2">
        <f t="shared" si="23"/>
        <v>160</v>
      </c>
      <c r="H334" s="61">
        <f t="shared" si="22"/>
        <v>800016</v>
      </c>
    </row>
    <row r="335" ht="16.5" spans="1:8">
      <c r="A335" s="1">
        <f t="shared" si="20"/>
        <v>4030</v>
      </c>
      <c r="B335" s="1">
        <v>400010</v>
      </c>
      <c r="C335" s="100">
        <v>30</v>
      </c>
      <c r="D335" s="78">
        <v>800</v>
      </c>
      <c r="E335" s="1">
        <f t="shared" si="21"/>
        <v>4031</v>
      </c>
      <c r="F335" s="2">
        <f t="shared" si="23"/>
        <v>160</v>
      </c>
      <c r="H335" s="61">
        <f t="shared" si="22"/>
        <v>800016</v>
      </c>
    </row>
    <row r="336" ht="16.5" spans="1:8">
      <c r="A336" s="1">
        <f t="shared" si="20"/>
        <v>4031</v>
      </c>
      <c r="B336" s="1">
        <v>400010</v>
      </c>
      <c r="C336" s="100">
        <v>31</v>
      </c>
      <c r="D336" s="78">
        <v>840</v>
      </c>
      <c r="E336" s="1">
        <f t="shared" si="21"/>
        <v>4032</v>
      </c>
      <c r="F336" s="2">
        <f t="shared" si="23"/>
        <v>168</v>
      </c>
      <c r="H336" s="61">
        <f t="shared" si="22"/>
        <v>800016</v>
      </c>
    </row>
    <row r="337" ht="16.5" spans="1:8">
      <c r="A337" s="1">
        <f t="shared" si="20"/>
        <v>4032</v>
      </c>
      <c r="B337" s="1">
        <v>400010</v>
      </c>
      <c r="C337" s="100">
        <v>32</v>
      </c>
      <c r="D337" s="78">
        <v>880</v>
      </c>
      <c r="E337" s="1">
        <f t="shared" si="21"/>
        <v>4033</v>
      </c>
      <c r="F337" s="2">
        <f t="shared" si="23"/>
        <v>176</v>
      </c>
      <c r="H337" s="61">
        <f t="shared" si="22"/>
        <v>800016</v>
      </c>
    </row>
    <row r="338" ht="16.5" spans="1:8">
      <c r="A338" s="1">
        <f t="shared" si="20"/>
        <v>4033</v>
      </c>
      <c r="B338" s="1">
        <v>400010</v>
      </c>
      <c r="C338" s="100">
        <v>33</v>
      </c>
      <c r="D338" s="78">
        <v>920</v>
      </c>
      <c r="E338" s="1">
        <f t="shared" si="21"/>
        <v>4034</v>
      </c>
      <c r="F338" s="2">
        <f t="shared" si="23"/>
        <v>184</v>
      </c>
      <c r="H338" s="61">
        <f t="shared" si="22"/>
        <v>800016</v>
      </c>
    </row>
    <row r="339" ht="16.5" spans="1:8">
      <c r="A339" s="1">
        <f t="shared" si="20"/>
        <v>4034</v>
      </c>
      <c r="B339" s="1">
        <v>400010</v>
      </c>
      <c r="C339" s="100">
        <v>34</v>
      </c>
      <c r="D339" s="78">
        <v>960</v>
      </c>
      <c r="E339" s="1">
        <f t="shared" si="21"/>
        <v>4035</v>
      </c>
      <c r="F339" s="2">
        <f t="shared" si="23"/>
        <v>192</v>
      </c>
      <c r="H339" s="61">
        <f t="shared" si="22"/>
        <v>800016</v>
      </c>
    </row>
    <row r="340" ht="16.5" spans="1:8">
      <c r="A340" s="1">
        <f t="shared" si="20"/>
        <v>4035</v>
      </c>
      <c r="B340" s="1">
        <v>400010</v>
      </c>
      <c r="C340" s="100">
        <v>35</v>
      </c>
      <c r="D340" s="78">
        <v>1000</v>
      </c>
      <c r="E340" s="1">
        <f t="shared" si="21"/>
        <v>4036</v>
      </c>
      <c r="F340" s="2">
        <f t="shared" si="23"/>
        <v>200</v>
      </c>
      <c r="H340" s="61">
        <f t="shared" si="22"/>
        <v>800016</v>
      </c>
    </row>
    <row r="341" ht="16.5" spans="1:8">
      <c r="A341" s="1">
        <f t="shared" si="20"/>
        <v>4036</v>
      </c>
      <c r="B341" s="1">
        <v>400010</v>
      </c>
      <c r="C341" s="100">
        <v>36</v>
      </c>
      <c r="D341" s="78">
        <v>1040</v>
      </c>
      <c r="E341" s="1">
        <f t="shared" si="21"/>
        <v>4037</v>
      </c>
      <c r="F341" s="2">
        <f t="shared" si="23"/>
        <v>208</v>
      </c>
      <c r="H341" s="61">
        <f t="shared" si="22"/>
        <v>800016</v>
      </c>
    </row>
    <row r="342" ht="16.5" spans="1:8">
      <c r="A342" s="1">
        <f t="shared" si="20"/>
        <v>4037</v>
      </c>
      <c r="B342" s="1">
        <v>400010</v>
      </c>
      <c r="C342" s="100">
        <v>37</v>
      </c>
      <c r="D342" s="78">
        <v>1080</v>
      </c>
      <c r="E342" s="1">
        <f t="shared" si="21"/>
        <v>4038</v>
      </c>
      <c r="F342" s="2">
        <f t="shared" si="23"/>
        <v>216</v>
      </c>
      <c r="H342" s="61">
        <f t="shared" si="22"/>
        <v>800016</v>
      </c>
    </row>
    <row r="343" ht="16.5" spans="1:8">
      <c r="A343" s="1">
        <f t="shared" si="20"/>
        <v>4038</v>
      </c>
      <c r="B343" s="1">
        <v>400010</v>
      </c>
      <c r="C343" s="100">
        <v>38</v>
      </c>
      <c r="D343" s="78">
        <v>1120</v>
      </c>
      <c r="E343" s="1">
        <f t="shared" si="21"/>
        <v>4039</v>
      </c>
      <c r="F343" s="2">
        <f t="shared" si="23"/>
        <v>224</v>
      </c>
      <c r="H343" s="61">
        <f t="shared" si="22"/>
        <v>800016</v>
      </c>
    </row>
    <row r="344" ht="16.5" spans="1:8">
      <c r="A344" s="1">
        <f t="shared" si="20"/>
        <v>4039</v>
      </c>
      <c r="B344" s="1">
        <v>400010</v>
      </c>
      <c r="C344" s="100">
        <v>39</v>
      </c>
      <c r="D344" s="78">
        <v>1160</v>
      </c>
      <c r="E344" s="1">
        <f t="shared" si="21"/>
        <v>4040</v>
      </c>
      <c r="F344" s="2">
        <f t="shared" si="23"/>
        <v>232</v>
      </c>
      <c r="H344" s="61">
        <f t="shared" si="22"/>
        <v>800016</v>
      </c>
    </row>
    <row r="345" ht="16.5" spans="1:8">
      <c r="A345" s="1">
        <f t="shared" si="20"/>
        <v>4040</v>
      </c>
      <c r="B345" s="1">
        <v>400010</v>
      </c>
      <c r="C345" s="100">
        <v>40</v>
      </c>
      <c r="D345" s="78">
        <v>1200</v>
      </c>
      <c r="E345" s="1">
        <f t="shared" si="21"/>
        <v>4041</v>
      </c>
      <c r="F345" s="2">
        <f t="shared" si="23"/>
        <v>240</v>
      </c>
      <c r="H345" s="61">
        <f t="shared" si="22"/>
        <v>800016</v>
      </c>
    </row>
    <row r="346" ht="16.5" spans="1:8">
      <c r="A346" s="1">
        <f t="shared" si="20"/>
        <v>4041</v>
      </c>
      <c r="B346" s="1">
        <v>400010</v>
      </c>
      <c r="C346" s="100">
        <v>41</v>
      </c>
      <c r="D346" s="78">
        <v>1240</v>
      </c>
      <c r="E346" s="1">
        <f t="shared" si="21"/>
        <v>4042</v>
      </c>
      <c r="F346" s="2">
        <f t="shared" si="23"/>
        <v>248</v>
      </c>
      <c r="H346" s="61">
        <f t="shared" si="22"/>
        <v>800016</v>
      </c>
    </row>
    <row r="347" ht="16.5" spans="1:8">
      <c r="A347" s="1">
        <f t="shared" si="20"/>
        <v>4042</v>
      </c>
      <c r="B347" s="1">
        <v>400010</v>
      </c>
      <c r="C347" s="100">
        <v>42</v>
      </c>
      <c r="D347" s="78">
        <v>1280</v>
      </c>
      <c r="E347" s="1">
        <f t="shared" si="21"/>
        <v>4043</v>
      </c>
      <c r="F347" s="2">
        <f t="shared" si="23"/>
        <v>256</v>
      </c>
      <c r="H347" s="61">
        <f t="shared" si="22"/>
        <v>800016</v>
      </c>
    </row>
    <row r="348" ht="16.5" spans="1:8">
      <c r="A348" s="1">
        <f t="shared" si="20"/>
        <v>4043</v>
      </c>
      <c r="B348" s="1">
        <v>400010</v>
      </c>
      <c r="C348" s="100">
        <v>43</v>
      </c>
      <c r="D348" s="78">
        <v>1320</v>
      </c>
      <c r="E348" s="1">
        <f t="shared" si="21"/>
        <v>4044</v>
      </c>
      <c r="F348" s="2">
        <f t="shared" si="23"/>
        <v>264</v>
      </c>
      <c r="H348" s="61">
        <f t="shared" si="22"/>
        <v>800016</v>
      </c>
    </row>
    <row r="349" ht="16.5" spans="1:8">
      <c r="A349" s="1">
        <f t="shared" si="20"/>
        <v>4044</v>
      </c>
      <c r="B349" s="1">
        <v>400010</v>
      </c>
      <c r="C349" s="100">
        <v>44</v>
      </c>
      <c r="D349" s="78">
        <v>1360</v>
      </c>
      <c r="E349" s="1">
        <f t="shared" si="21"/>
        <v>4045</v>
      </c>
      <c r="F349" s="2">
        <f t="shared" si="23"/>
        <v>272</v>
      </c>
      <c r="H349" s="61">
        <f t="shared" si="22"/>
        <v>800016</v>
      </c>
    </row>
    <row r="350" ht="16.5" spans="1:8">
      <c r="A350" s="1">
        <f t="shared" si="20"/>
        <v>4045</v>
      </c>
      <c r="B350" s="1">
        <v>400010</v>
      </c>
      <c r="C350" s="100">
        <v>45</v>
      </c>
      <c r="D350" s="78">
        <v>1400</v>
      </c>
      <c r="E350" s="1">
        <f t="shared" si="21"/>
        <v>4046</v>
      </c>
      <c r="F350" s="2">
        <f t="shared" si="23"/>
        <v>280</v>
      </c>
      <c r="H350" s="61">
        <f t="shared" si="22"/>
        <v>800016</v>
      </c>
    </row>
    <row r="351" ht="16.5" spans="1:8">
      <c r="A351" s="1">
        <f t="shared" si="20"/>
        <v>4046</v>
      </c>
      <c r="B351" s="1">
        <v>400010</v>
      </c>
      <c r="C351" s="100">
        <v>46</v>
      </c>
      <c r="D351" s="78">
        <v>1440</v>
      </c>
      <c r="E351" s="1">
        <f t="shared" si="21"/>
        <v>4047</v>
      </c>
      <c r="F351" s="2">
        <f t="shared" si="23"/>
        <v>288</v>
      </c>
      <c r="H351" s="61">
        <f t="shared" si="22"/>
        <v>800016</v>
      </c>
    </row>
    <row r="352" ht="16.5" spans="1:8">
      <c r="A352" s="1">
        <f t="shared" si="20"/>
        <v>4047</v>
      </c>
      <c r="B352" s="1">
        <v>400010</v>
      </c>
      <c r="C352" s="100">
        <v>47</v>
      </c>
      <c r="D352" s="78">
        <v>1480</v>
      </c>
      <c r="E352" s="1">
        <f t="shared" si="21"/>
        <v>4048</v>
      </c>
      <c r="F352" s="2">
        <f t="shared" si="23"/>
        <v>296</v>
      </c>
      <c r="H352" s="61">
        <f t="shared" si="22"/>
        <v>800016</v>
      </c>
    </row>
    <row r="353" ht="16.5" spans="1:8">
      <c r="A353" s="1">
        <f t="shared" si="20"/>
        <v>4048</v>
      </c>
      <c r="B353" s="1">
        <v>400010</v>
      </c>
      <c r="C353" s="100">
        <v>48</v>
      </c>
      <c r="D353" s="78">
        <v>1520</v>
      </c>
      <c r="E353" s="1">
        <f t="shared" si="21"/>
        <v>4049</v>
      </c>
      <c r="F353" s="2">
        <f t="shared" si="23"/>
        <v>304</v>
      </c>
      <c r="H353" s="61">
        <f t="shared" si="22"/>
        <v>800016</v>
      </c>
    </row>
    <row r="354" ht="16.5" spans="1:8">
      <c r="A354" s="1">
        <f t="shared" si="20"/>
        <v>4049</v>
      </c>
      <c r="B354" s="1">
        <v>400010</v>
      </c>
      <c r="C354" s="100">
        <v>49</v>
      </c>
      <c r="D354" s="78">
        <v>1560</v>
      </c>
      <c r="E354" s="1">
        <f t="shared" si="21"/>
        <v>4050</v>
      </c>
      <c r="F354" s="2">
        <f t="shared" si="23"/>
        <v>312</v>
      </c>
      <c r="H354" s="61">
        <f t="shared" si="22"/>
        <v>800016</v>
      </c>
    </row>
    <row r="355" ht="16.5" spans="1:8">
      <c r="A355" s="1">
        <f t="shared" si="20"/>
        <v>4050</v>
      </c>
      <c r="B355" s="1">
        <v>400010</v>
      </c>
      <c r="C355" s="100">
        <v>50</v>
      </c>
      <c r="D355" s="78">
        <v>1600</v>
      </c>
      <c r="E355" s="1">
        <f t="shared" si="21"/>
        <v>4051</v>
      </c>
      <c r="F355" s="2">
        <f t="shared" si="23"/>
        <v>320</v>
      </c>
      <c r="H355" s="61">
        <f t="shared" si="22"/>
        <v>800016</v>
      </c>
    </row>
    <row r="356" ht="16.5" spans="1:8">
      <c r="A356" s="1">
        <f t="shared" si="20"/>
        <v>4051</v>
      </c>
      <c r="B356" s="1">
        <v>400010</v>
      </c>
      <c r="C356" s="100">
        <v>51</v>
      </c>
      <c r="D356" s="78">
        <v>1640</v>
      </c>
      <c r="E356" s="1">
        <f t="shared" si="21"/>
        <v>4052</v>
      </c>
      <c r="F356" s="2">
        <f t="shared" si="23"/>
        <v>328</v>
      </c>
      <c r="H356" s="61">
        <f t="shared" si="22"/>
        <v>800016</v>
      </c>
    </row>
    <row r="357" ht="16.5" spans="1:8">
      <c r="A357" s="1">
        <f t="shared" si="20"/>
        <v>4052</v>
      </c>
      <c r="B357" s="1">
        <v>400010</v>
      </c>
      <c r="C357" s="100">
        <v>52</v>
      </c>
      <c r="D357" s="78">
        <v>1680</v>
      </c>
      <c r="E357" s="1">
        <f t="shared" si="21"/>
        <v>4053</v>
      </c>
      <c r="F357" s="2">
        <f t="shared" si="23"/>
        <v>336</v>
      </c>
      <c r="H357" s="61">
        <f t="shared" si="22"/>
        <v>800016</v>
      </c>
    </row>
    <row r="358" ht="16.5" spans="1:8">
      <c r="A358" s="1">
        <f t="shared" si="20"/>
        <v>4053</v>
      </c>
      <c r="B358" s="1">
        <v>400010</v>
      </c>
      <c r="C358" s="100">
        <v>53</v>
      </c>
      <c r="D358" s="78">
        <v>1720</v>
      </c>
      <c r="E358" s="1">
        <f t="shared" si="21"/>
        <v>4054</v>
      </c>
      <c r="F358" s="2">
        <f t="shared" si="23"/>
        <v>344</v>
      </c>
      <c r="H358" s="61">
        <f t="shared" si="22"/>
        <v>800016</v>
      </c>
    </row>
    <row r="359" ht="16.5" spans="1:8">
      <c r="A359" s="1">
        <f t="shared" si="20"/>
        <v>4054</v>
      </c>
      <c r="B359" s="1">
        <v>400010</v>
      </c>
      <c r="C359" s="100">
        <v>54</v>
      </c>
      <c r="D359" s="78">
        <v>1760</v>
      </c>
      <c r="E359" s="1">
        <f t="shared" si="21"/>
        <v>4055</v>
      </c>
      <c r="F359" s="2">
        <f t="shared" si="23"/>
        <v>352</v>
      </c>
      <c r="H359" s="61">
        <f t="shared" si="22"/>
        <v>800016</v>
      </c>
    </row>
    <row r="360" ht="16.5" spans="1:8">
      <c r="A360" s="1">
        <f t="shared" si="20"/>
        <v>4055</v>
      </c>
      <c r="B360" s="1">
        <v>400010</v>
      </c>
      <c r="C360" s="100">
        <v>55</v>
      </c>
      <c r="D360" s="78">
        <v>1800</v>
      </c>
      <c r="E360" s="1">
        <f t="shared" si="21"/>
        <v>4056</v>
      </c>
      <c r="F360" s="2">
        <f t="shared" si="23"/>
        <v>360</v>
      </c>
      <c r="H360" s="61">
        <f t="shared" si="22"/>
        <v>800016</v>
      </c>
    </row>
    <row r="361" ht="16.5" spans="1:8">
      <c r="A361" s="1">
        <f t="shared" si="20"/>
        <v>4056</v>
      </c>
      <c r="B361" s="1">
        <v>400010</v>
      </c>
      <c r="C361" s="100">
        <v>56</v>
      </c>
      <c r="D361" s="78">
        <v>1840</v>
      </c>
      <c r="E361" s="1">
        <f t="shared" si="21"/>
        <v>4057</v>
      </c>
      <c r="F361" s="2">
        <f t="shared" si="23"/>
        <v>368</v>
      </c>
      <c r="H361" s="61">
        <f t="shared" si="22"/>
        <v>800016</v>
      </c>
    </row>
    <row r="362" ht="16.5" spans="1:8">
      <c r="A362" s="1">
        <f t="shared" si="20"/>
        <v>4057</v>
      </c>
      <c r="B362" s="1">
        <v>400010</v>
      </c>
      <c r="C362" s="100">
        <v>57</v>
      </c>
      <c r="D362" s="78">
        <v>1880</v>
      </c>
      <c r="E362" s="1">
        <f t="shared" si="21"/>
        <v>4058</v>
      </c>
      <c r="F362" s="2">
        <f t="shared" si="23"/>
        <v>376</v>
      </c>
      <c r="H362" s="61">
        <f t="shared" si="22"/>
        <v>800016</v>
      </c>
    </row>
    <row r="363" ht="16.5" spans="1:8">
      <c r="A363" s="1">
        <f t="shared" si="20"/>
        <v>4058</v>
      </c>
      <c r="B363" s="1">
        <v>400010</v>
      </c>
      <c r="C363" s="100">
        <v>58</v>
      </c>
      <c r="D363" s="78">
        <v>1920</v>
      </c>
      <c r="E363" s="1">
        <f t="shared" si="21"/>
        <v>4059</v>
      </c>
      <c r="F363" s="2">
        <f t="shared" si="23"/>
        <v>384</v>
      </c>
      <c r="H363" s="61">
        <f t="shared" si="22"/>
        <v>800016</v>
      </c>
    </row>
    <row r="364" ht="16.5" spans="1:8">
      <c r="A364" s="1">
        <f t="shared" si="20"/>
        <v>4059</v>
      </c>
      <c r="B364" s="1">
        <v>400010</v>
      </c>
      <c r="C364" s="100">
        <v>59</v>
      </c>
      <c r="D364" s="78">
        <v>1960</v>
      </c>
      <c r="E364" s="1">
        <f t="shared" si="21"/>
        <v>4060</v>
      </c>
      <c r="F364" s="2">
        <f t="shared" si="23"/>
        <v>392</v>
      </c>
      <c r="H364" s="61">
        <f t="shared" si="22"/>
        <v>800016</v>
      </c>
    </row>
    <row r="365" ht="16.5" spans="1:8">
      <c r="A365" s="1">
        <f t="shared" si="20"/>
        <v>4060</v>
      </c>
      <c r="B365" s="1">
        <v>400010</v>
      </c>
      <c r="C365" s="100">
        <v>60</v>
      </c>
      <c r="D365" s="78">
        <v>2000</v>
      </c>
      <c r="E365" s="1">
        <f t="shared" si="21"/>
        <v>4061</v>
      </c>
      <c r="F365" s="2">
        <f t="shared" si="23"/>
        <v>400</v>
      </c>
      <c r="H365" s="61">
        <f t="shared" si="22"/>
        <v>800016</v>
      </c>
    </row>
    <row r="366" ht="16.5" spans="1:8">
      <c r="A366" s="1">
        <f t="shared" si="20"/>
        <v>4061</v>
      </c>
      <c r="B366" s="1">
        <v>400010</v>
      </c>
      <c r="C366" s="100">
        <v>61</v>
      </c>
      <c r="D366" s="78">
        <v>2040</v>
      </c>
      <c r="E366" s="1">
        <f t="shared" si="21"/>
        <v>4062</v>
      </c>
      <c r="F366" s="2">
        <f t="shared" si="23"/>
        <v>408</v>
      </c>
      <c r="H366" s="61">
        <f t="shared" si="22"/>
        <v>800016</v>
      </c>
    </row>
    <row r="367" ht="16.5" spans="1:8">
      <c r="A367" s="1">
        <f t="shared" si="20"/>
        <v>4062</v>
      </c>
      <c r="B367" s="1">
        <v>400010</v>
      </c>
      <c r="C367" s="100">
        <v>62</v>
      </c>
      <c r="D367" s="78">
        <v>2080</v>
      </c>
      <c r="E367" s="1">
        <f t="shared" si="21"/>
        <v>4063</v>
      </c>
      <c r="F367" s="2">
        <f t="shared" si="23"/>
        <v>416</v>
      </c>
      <c r="H367" s="61">
        <f t="shared" si="22"/>
        <v>800016</v>
      </c>
    </row>
    <row r="368" ht="16.5" spans="1:8">
      <c r="A368" s="1">
        <f t="shared" si="20"/>
        <v>4063</v>
      </c>
      <c r="B368" s="1">
        <v>400010</v>
      </c>
      <c r="C368" s="100">
        <v>63</v>
      </c>
      <c r="D368" s="78">
        <v>2120</v>
      </c>
      <c r="E368" s="1">
        <f t="shared" si="21"/>
        <v>4064</v>
      </c>
      <c r="F368" s="2">
        <f t="shared" si="23"/>
        <v>424</v>
      </c>
      <c r="H368" s="61">
        <f t="shared" si="22"/>
        <v>800016</v>
      </c>
    </row>
    <row r="369" ht="16.5" spans="1:8">
      <c r="A369" s="1">
        <f t="shared" si="20"/>
        <v>4064</v>
      </c>
      <c r="B369" s="1">
        <v>400010</v>
      </c>
      <c r="C369" s="100">
        <v>64</v>
      </c>
      <c r="D369" s="78">
        <v>2160</v>
      </c>
      <c r="E369" s="1">
        <f t="shared" si="21"/>
        <v>4065</v>
      </c>
      <c r="F369" s="2">
        <f t="shared" si="23"/>
        <v>432</v>
      </c>
      <c r="H369" s="61">
        <f t="shared" si="22"/>
        <v>800016</v>
      </c>
    </row>
    <row r="370" ht="16.5" spans="1:8">
      <c r="A370" s="1">
        <f t="shared" si="20"/>
        <v>4065</v>
      </c>
      <c r="B370" s="1">
        <v>400010</v>
      </c>
      <c r="C370" s="100">
        <v>65</v>
      </c>
      <c r="D370" s="78">
        <v>2200</v>
      </c>
      <c r="E370" s="1">
        <f t="shared" si="21"/>
        <v>4066</v>
      </c>
      <c r="F370" s="2">
        <f t="shared" si="23"/>
        <v>440</v>
      </c>
      <c r="H370" s="61">
        <f t="shared" si="22"/>
        <v>800016</v>
      </c>
    </row>
    <row r="371" ht="16.5" spans="1:8">
      <c r="A371" s="1">
        <f t="shared" si="20"/>
        <v>4066</v>
      </c>
      <c r="B371" s="1">
        <v>400010</v>
      </c>
      <c r="C371" s="100">
        <v>66</v>
      </c>
      <c r="D371" s="78">
        <v>2240</v>
      </c>
      <c r="E371" s="1">
        <f t="shared" si="21"/>
        <v>4067</v>
      </c>
      <c r="F371" s="2">
        <f t="shared" si="23"/>
        <v>448</v>
      </c>
      <c r="H371" s="61">
        <f t="shared" si="22"/>
        <v>800016</v>
      </c>
    </row>
    <row r="372" ht="16.5" spans="1:8">
      <c r="A372" s="1">
        <f t="shared" si="20"/>
        <v>4067</v>
      </c>
      <c r="B372" s="1">
        <v>400010</v>
      </c>
      <c r="C372" s="100">
        <v>67</v>
      </c>
      <c r="D372" s="78">
        <v>2280</v>
      </c>
      <c r="E372" s="1">
        <f t="shared" si="21"/>
        <v>4068</v>
      </c>
      <c r="F372" s="2">
        <f t="shared" si="23"/>
        <v>456</v>
      </c>
      <c r="H372" s="61">
        <f t="shared" si="22"/>
        <v>800016</v>
      </c>
    </row>
    <row r="373" ht="16.5" spans="1:8">
      <c r="A373" s="1">
        <f t="shared" si="20"/>
        <v>4068</v>
      </c>
      <c r="B373" s="1">
        <v>400010</v>
      </c>
      <c r="C373" s="100">
        <v>68</v>
      </c>
      <c r="D373" s="78">
        <v>2320</v>
      </c>
      <c r="E373" s="1">
        <f t="shared" si="21"/>
        <v>4069</v>
      </c>
      <c r="F373" s="2">
        <f t="shared" si="23"/>
        <v>464</v>
      </c>
      <c r="H373" s="61">
        <f t="shared" si="22"/>
        <v>800016</v>
      </c>
    </row>
    <row r="374" ht="16.5" spans="1:8">
      <c r="A374" s="1">
        <f t="shared" si="20"/>
        <v>4069</v>
      </c>
      <c r="B374" s="1">
        <v>400010</v>
      </c>
      <c r="C374" s="100">
        <v>69</v>
      </c>
      <c r="D374" s="78">
        <v>2360</v>
      </c>
      <c r="E374" s="1">
        <f t="shared" si="21"/>
        <v>4070</v>
      </c>
      <c r="F374" s="2">
        <f t="shared" si="23"/>
        <v>472</v>
      </c>
      <c r="H374" s="61">
        <f t="shared" si="22"/>
        <v>800016</v>
      </c>
    </row>
    <row r="375" ht="16.5" spans="1:8">
      <c r="A375" s="1">
        <f t="shared" si="20"/>
        <v>4070</v>
      </c>
      <c r="B375" s="1">
        <v>400010</v>
      </c>
      <c r="C375" s="100">
        <v>70</v>
      </c>
      <c r="D375" s="78">
        <v>2400</v>
      </c>
      <c r="E375" s="1">
        <f t="shared" si="21"/>
        <v>4071</v>
      </c>
      <c r="F375" s="2">
        <f t="shared" si="23"/>
        <v>480</v>
      </c>
      <c r="H375" s="61">
        <f t="shared" si="22"/>
        <v>800016</v>
      </c>
    </row>
    <row r="376" ht="16.5" spans="1:8">
      <c r="A376" s="1">
        <f t="shared" si="20"/>
        <v>4071</v>
      </c>
      <c r="B376" s="1">
        <v>400010</v>
      </c>
      <c r="C376" s="100">
        <v>71</v>
      </c>
      <c r="D376" s="78">
        <v>2440</v>
      </c>
      <c r="E376" s="1">
        <f t="shared" si="21"/>
        <v>4072</v>
      </c>
      <c r="F376" s="2">
        <f t="shared" si="23"/>
        <v>488</v>
      </c>
      <c r="H376" s="61">
        <f t="shared" si="22"/>
        <v>800016</v>
      </c>
    </row>
    <row r="377" ht="16.5" spans="1:8">
      <c r="A377" s="1">
        <f t="shared" si="20"/>
        <v>4072</v>
      </c>
      <c r="B377" s="1">
        <v>400010</v>
      </c>
      <c r="C377" s="100">
        <v>72</v>
      </c>
      <c r="D377" s="78">
        <v>2480</v>
      </c>
      <c r="E377" s="1">
        <f t="shared" si="21"/>
        <v>4073</v>
      </c>
      <c r="F377" s="2">
        <f t="shared" si="23"/>
        <v>496</v>
      </c>
      <c r="H377" s="61">
        <f t="shared" si="22"/>
        <v>800016</v>
      </c>
    </row>
    <row r="378" ht="16.5" spans="1:8">
      <c r="A378" s="1">
        <f t="shared" si="20"/>
        <v>4073</v>
      </c>
      <c r="B378" s="1">
        <v>400010</v>
      </c>
      <c r="C378" s="100">
        <v>73</v>
      </c>
      <c r="D378" s="78">
        <v>2520</v>
      </c>
      <c r="E378" s="1">
        <f t="shared" si="21"/>
        <v>4074</v>
      </c>
      <c r="F378" s="2">
        <f t="shared" si="23"/>
        <v>504</v>
      </c>
      <c r="H378" s="61">
        <f t="shared" si="22"/>
        <v>800016</v>
      </c>
    </row>
    <row r="379" ht="16.5" spans="1:8">
      <c r="A379" s="1">
        <f t="shared" si="20"/>
        <v>4074</v>
      </c>
      <c r="B379" s="1">
        <v>400010</v>
      </c>
      <c r="C379" s="100">
        <v>74</v>
      </c>
      <c r="D379" s="78">
        <v>2560</v>
      </c>
      <c r="E379" s="1">
        <f t="shared" si="21"/>
        <v>4075</v>
      </c>
      <c r="F379" s="2">
        <f t="shared" si="23"/>
        <v>512</v>
      </c>
      <c r="H379" s="61">
        <f t="shared" si="22"/>
        <v>800016</v>
      </c>
    </row>
    <row r="380" ht="16.5" spans="1:8">
      <c r="A380" s="1">
        <f t="shared" si="20"/>
        <v>4075</v>
      </c>
      <c r="B380" s="1">
        <v>400010</v>
      </c>
      <c r="C380" s="100">
        <v>75</v>
      </c>
      <c r="D380" s="78">
        <v>2600</v>
      </c>
      <c r="E380" s="1">
        <f t="shared" si="21"/>
        <v>4076</v>
      </c>
      <c r="F380" s="2">
        <f t="shared" si="23"/>
        <v>520</v>
      </c>
      <c r="H380" s="61">
        <f t="shared" si="22"/>
        <v>800016</v>
      </c>
    </row>
    <row r="381" ht="16.5" spans="1:8">
      <c r="A381" s="1">
        <f t="shared" si="20"/>
        <v>4076</v>
      </c>
      <c r="B381" s="1">
        <v>400010</v>
      </c>
      <c r="C381" s="100">
        <v>76</v>
      </c>
      <c r="D381" s="78">
        <v>2640</v>
      </c>
      <c r="E381" s="1">
        <f t="shared" si="21"/>
        <v>4077</v>
      </c>
      <c r="F381" s="2">
        <f t="shared" si="23"/>
        <v>528</v>
      </c>
      <c r="H381" s="61">
        <f t="shared" si="22"/>
        <v>800016</v>
      </c>
    </row>
    <row r="382" ht="16.5" spans="1:8">
      <c r="A382" s="1">
        <f t="shared" si="20"/>
        <v>4077</v>
      </c>
      <c r="B382" s="1">
        <v>400010</v>
      </c>
      <c r="C382" s="100">
        <v>77</v>
      </c>
      <c r="D382" s="78">
        <v>2680</v>
      </c>
      <c r="E382" s="1">
        <f t="shared" si="21"/>
        <v>4078</v>
      </c>
      <c r="F382" s="2">
        <f t="shared" si="23"/>
        <v>536</v>
      </c>
      <c r="H382" s="61">
        <f t="shared" si="22"/>
        <v>800016</v>
      </c>
    </row>
    <row r="383" ht="16.5" spans="1:8">
      <c r="A383" s="1">
        <f t="shared" si="20"/>
        <v>4078</v>
      </c>
      <c r="B383" s="1">
        <v>400010</v>
      </c>
      <c r="C383" s="100">
        <v>78</v>
      </c>
      <c r="D383" s="78">
        <v>2720</v>
      </c>
      <c r="E383" s="1">
        <f t="shared" si="21"/>
        <v>4079</v>
      </c>
      <c r="F383" s="2">
        <f t="shared" si="23"/>
        <v>544</v>
      </c>
      <c r="H383" s="61">
        <f t="shared" si="22"/>
        <v>800016</v>
      </c>
    </row>
    <row r="384" ht="16.5" spans="1:8">
      <c r="A384" s="1">
        <f t="shared" si="20"/>
        <v>4079</v>
      </c>
      <c r="B384" s="1">
        <v>400010</v>
      </c>
      <c r="C384" s="100">
        <v>79</v>
      </c>
      <c r="D384" s="78">
        <v>2760</v>
      </c>
      <c r="E384" s="1">
        <f t="shared" si="21"/>
        <v>4080</v>
      </c>
      <c r="F384" s="2">
        <f t="shared" si="23"/>
        <v>552</v>
      </c>
      <c r="H384" s="61">
        <f t="shared" si="22"/>
        <v>800016</v>
      </c>
    </row>
    <row r="385" ht="16.5" spans="1:8">
      <c r="A385" s="1">
        <f t="shared" si="20"/>
        <v>4080</v>
      </c>
      <c r="B385" s="1">
        <v>400010</v>
      </c>
      <c r="C385" s="100">
        <v>80</v>
      </c>
      <c r="D385" s="78">
        <v>2800</v>
      </c>
      <c r="E385" s="1">
        <f t="shared" si="21"/>
        <v>4081</v>
      </c>
      <c r="F385" s="2">
        <f t="shared" si="23"/>
        <v>560</v>
      </c>
      <c r="H385" s="61">
        <f t="shared" si="22"/>
        <v>800016</v>
      </c>
    </row>
    <row r="386" ht="16.5" spans="1:8">
      <c r="A386" s="1">
        <f t="shared" si="20"/>
        <v>4081</v>
      </c>
      <c r="B386" s="1">
        <v>400010</v>
      </c>
      <c r="C386" s="100">
        <v>81</v>
      </c>
      <c r="D386" s="78">
        <v>2840</v>
      </c>
      <c r="E386" s="1">
        <f t="shared" si="21"/>
        <v>4082</v>
      </c>
      <c r="F386" s="2">
        <f t="shared" si="23"/>
        <v>568</v>
      </c>
      <c r="H386" s="61">
        <f t="shared" si="22"/>
        <v>800016</v>
      </c>
    </row>
    <row r="387" ht="16.5" spans="1:8">
      <c r="A387" s="1">
        <f t="shared" si="20"/>
        <v>4082</v>
      </c>
      <c r="B387" s="1">
        <v>400010</v>
      </c>
      <c r="C387" s="100">
        <v>82</v>
      </c>
      <c r="D387" s="78">
        <v>2880</v>
      </c>
      <c r="E387" s="1">
        <f t="shared" si="21"/>
        <v>4083</v>
      </c>
      <c r="F387" s="2">
        <f t="shared" si="23"/>
        <v>576</v>
      </c>
      <c r="H387" s="61">
        <f t="shared" si="22"/>
        <v>800016</v>
      </c>
    </row>
    <row r="388" ht="16.5" spans="1:8">
      <c r="A388" s="1">
        <f t="shared" si="20"/>
        <v>4083</v>
      </c>
      <c r="B388" s="1">
        <v>400010</v>
      </c>
      <c r="C388" s="100">
        <v>83</v>
      </c>
      <c r="D388" s="78">
        <v>2920</v>
      </c>
      <c r="E388" s="1">
        <f t="shared" si="21"/>
        <v>4084</v>
      </c>
      <c r="F388" s="2">
        <f t="shared" si="23"/>
        <v>584</v>
      </c>
      <c r="H388" s="61">
        <f t="shared" si="22"/>
        <v>800016</v>
      </c>
    </row>
    <row r="389" ht="16.5" spans="1:8">
      <c r="A389" s="1">
        <f t="shared" si="20"/>
        <v>4084</v>
      </c>
      <c r="B389" s="1">
        <v>400010</v>
      </c>
      <c r="C389" s="100">
        <v>84</v>
      </c>
      <c r="D389" s="78">
        <v>2960</v>
      </c>
      <c r="E389" s="1">
        <f t="shared" si="21"/>
        <v>4085</v>
      </c>
      <c r="F389" s="2">
        <f t="shared" si="23"/>
        <v>592</v>
      </c>
      <c r="H389" s="61">
        <f t="shared" si="22"/>
        <v>800016</v>
      </c>
    </row>
    <row r="390" ht="16.5" spans="1:8">
      <c r="A390" s="1">
        <f t="shared" si="20"/>
        <v>4085</v>
      </c>
      <c r="B390" s="1">
        <v>400010</v>
      </c>
      <c r="C390" s="100">
        <v>85</v>
      </c>
      <c r="D390" s="78">
        <v>3000</v>
      </c>
      <c r="E390" s="1">
        <f t="shared" si="21"/>
        <v>4086</v>
      </c>
      <c r="F390" s="2">
        <f t="shared" si="23"/>
        <v>600</v>
      </c>
      <c r="H390" s="61">
        <f t="shared" si="22"/>
        <v>800016</v>
      </c>
    </row>
    <row r="391" ht="16.5" spans="1:8">
      <c r="A391" s="1">
        <f t="shared" ref="A391:A454" si="24">(B391-$I$6)*1000+C391</f>
        <v>4086</v>
      </c>
      <c r="B391" s="1">
        <v>400010</v>
      </c>
      <c r="C391" s="100">
        <v>86</v>
      </c>
      <c r="D391" s="78">
        <v>3040</v>
      </c>
      <c r="E391" s="1">
        <f t="shared" ref="E391:E454" si="25">A392</f>
        <v>4087</v>
      </c>
      <c r="F391" s="2">
        <f t="shared" si="23"/>
        <v>608</v>
      </c>
      <c r="H391" s="61">
        <f t="shared" ref="H391:H454" si="26">B391+$I$6</f>
        <v>800016</v>
      </c>
    </row>
    <row r="392" ht="16.5" spans="1:8">
      <c r="A392" s="1">
        <f t="shared" si="24"/>
        <v>4087</v>
      </c>
      <c r="B392" s="1">
        <v>400010</v>
      </c>
      <c r="C392" s="100">
        <v>87</v>
      </c>
      <c r="D392" s="78">
        <v>3080</v>
      </c>
      <c r="E392" s="1">
        <f t="shared" si="25"/>
        <v>4088</v>
      </c>
      <c r="F392" s="2">
        <f t="shared" ref="F392:F455" si="27">D392*0.2</f>
        <v>616</v>
      </c>
      <c r="H392" s="61">
        <f t="shared" si="26"/>
        <v>800016</v>
      </c>
    </row>
    <row r="393" ht="16.5" spans="1:8">
      <c r="A393" s="1">
        <f t="shared" si="24"/>
        <v>4088</v>
      </c>
      <c r="B393" s="1">
        <v>400010</v>
      </c>
      <c r="C393" s="100">
        <v>88</v>
      </c>
      <c r="D393" s="78">
        <v>3120</v>
      </c>
      <c r="E393" s="1">
        <f t="shared" si="25"/>
        <v>4089</v>
      </c>
      <c r="F393" s="2">
        <f t="shared" si="27"/>
        <v>624</v>
      </c>
      <c r="H393" s="61">
        <f t="shared" si="26"/>
        <v>800016</v>
      </c>
    </row>
    <row r="394" ht="16.5" spans="1:8">
      <c r="A394" s="1">
        <f t="shared" si="24"/>
        <v>4089</v>
      </c>
      <c r="B394" s="1">
        <v>400010</v>
      </c>
      <c r="C394" s="100">
        <v>89</v>
      </c>
      <c r="D394" s="78">
        <v>3160</v>
      </c>
      <c r="E394" s="1">
        <f t="shared" si="25"/>
        <v>4090</v>
      </c>
      <c r="F394" s="2">
        <f t="shared" si="27"/>
        <v>632</v>
      </c>
      <c r="H394" s="61">
        <f t="shared" si="26"/>
        <v>800016</v>
      </c>
    </row>
    <row r="395" ht="16.5" spans="1:8">
      <c r="A395" s="1">
        <f t="shared" si="24"/>
        <v>4090</v>
      </c>
      <c r="B395" s="1">
        <v>400010</v>
      </c>
      <c r="C395" s="100">
        <v>90</v>
      </c>
      <c r="D395" s="78">
        <v>3200</v>
      </c>
      <c r="E395" s="1">
        <f t="shared" si="25"/>
        <v>4091</v>
      </c>
      <c r="F395" s="2">
        <f t="shared" si="27"/>
        <v>640</v>
      </c>
      <c r="H395" s="61">
        <f t="shared" si="26"/>
        <v>800016</v>
      </c>
    </row>
    <row r="396" ht="16.5" spans="1:8">
      <c r="A396" s="1">
        <f t="shared" si="24"/>
        <v>4091</v>
      </c>
      <c r="B396" s="1">
        <v>400010</v>
      </c>
      <c r="C396" s="100">
        <v>91</v>
      </c>
      <c r="D396" s="78">
        <v>3240</v>
      </c>
      <c r="E396" s="1">
        <f t="shared" si="25"/>
        <v>4092</v>
      </c>
      <c r="F396" s="2">
        <f t="shared" si="27"/>
        <v>648</v>
      </c>
      <c r="H396" s="61">
        <f t="shared" si="26"/>
        <v>800016</v>
      </c>
    </row>
    <row r="397" ht="16.5" spans="1:8">
      <c r="A397" s="1">
        <f t="shared" si="24"/>
        <v>4092</v>
      </c>
      <c r="B397" s="1">
        <v>400010</v>
      </c>
      <c r="C397" s="100">
        <v>92</v>
      </c>
      <c r="D397" s="78">
        <v>3280</v>
      </c>
      <c r="E397" s="1">
        <f t="shared" si="25"/>
        <v>4093</v>
      </c>
      <c r="F397" s="2">
        <f t="shared" si="27"/>
        <v>656</v>
      </c>
      <c r="H397" s="61">
        <f t="shared" si="26"/>
        <v>800016</v>
      </c>
    </row>
    <row r="398" ht="16.5" spans="1:8">
      <c r="A398" s="1">
        <f t="shared" si="24"/>
        <v>4093</v>
      </c>
      <c r="B398" s="1">
        <v>400010</v>
      </c>
      <c r="C398" s="100">
        <v>93</v>
      </c>
      <c r="D398" s="78">
        <v>3320</v>
      </c>
      <c r="E398" s="1">
        <f t="shared" si="25"/>
        <v>4094</v>
      </c>
      <c r="F398" s="2">
        <f t="shared" si="27"/>
        <v>664</v>
      </c>
      <c r="H398" s="61">
        <f t="shared" si="26"/>
        <v>800016</v>
      </c>
    </row>
    <row r="399" ht="16.5" spans="1:8">
      <c r="A399" s="1">
        <f t="shared" si="24"/>
        <v>4094</v>
      </c>
      <c r="B399" s="1">
        <v>400010</v>
      </c>
      <c r="C399" s="100">
        <v>94</v>
      </c>
      <c r="D399" s="78">
        <v>3360</v>
      </c>
      <c r="E399" s="1">
        <f t="shared" si="25"/>
        <v>4095</v>
      </c>
      <c r="F399" s="2">
        <f t="shared" si="27"/>
        <v>672</v>
      </c>
      <c r="H399" s="61">
        <f t="shared" si="26"/>
        <v>800016</v>
      </c>
    </row>
    <row r="400" ht="16.5" spans="1:8">
      <c r="A400" s="1">
        <f t="shared" si="24"/>
        <v>4095</v>
      </c>
      <c r="B400" s="1">
        <v>400010</v>
      </c>
      <c r="C400" s="100">
        <v>95</v>
      </c>
      <c r="D400" s="78">
        <v>3400</v>
      </c>
      <c r="E400" s="1">
        <f t="shared" si="25"/>
        <v>4096</v>
      </c>
      <c r="F400" s="2">
        <f t="shared" si="27"/>
        <v>680</v>
      </c>
      <c r="H400" s="61">
        <f t="shared" si="26"/>
        <v>800016</v>
      </c>
    </row>
    <row r="401" ht="16.5" spans="1:8">
      <c r="A401" s="1">
        <f t="shared" si="24"/>
        <v>4096</v>
      </c>
      <c r="B401" s="1">
        <v>400010</v>
      </c>
      <c r="C401" s="100">
        <v>96</v>
      </c>
      <c r="D401" s="78">
        <v>3440</v>
      </c>
      <c r="E401" s="1">
        <f t="shared" si="25"/>
        <v>4097</v>
      </c>
      <c r="F401" s="2">
        <f t="shared" si="27"/>
        <v>688</v>
      </c>
      <c r="H401" s="61">
        <f t="shared" si="26"/>
        <v>800016</v>
      </c>
    </row>
    <row r="402" ht="16.5" spans="1:8">
      <c r="A402" s="1">
        <f t="shared" si="24"/>
        <v>4097</v>
      </c>
      <c r="B402" s="1">
        <v>400010</v>
      </c>
      <c r="C402" s="100">
        <v>97</v>
      </c>
      <c r="D402" s="78">
        <v>3480</v>
      </c>
      <c r="E402" s="1">
        <f t="shared" si="25"/>
        <v>4098</v>
      </c>
      <c r="F402" s="2">
        <f t="shared" si="27"/>
        <v>696</v>
      </c>
      <c r="H402" s="61">
        <f t="shared" si="26"/>
        <v>800016</v>
      </c>
    </row>
    <row r="403" ht="16.5" spans="1:8">
      <c r="A403" s="1">
        <f t="shared" si="24"/>
        <v>4098</v>
      </c>
      <c r="B403" s="1">
        <v>400010</v>
      </c>
      <c r="C403" s="100">
        <v>98</v>
      </c>
      <c r="D403" s="78">
        <v>3520</v>
      </c>
      <c r="E403" s="1">
        <f t="shared" si="25"/>
        <v>4099</v>
      </c>
      <c r="F403" s="2">
        <f t="shared" si="27"/>
        <v>704</v>
      </c>
      <c r="H403" s="61">
        <f t="shared" si="26"/>
        <v>800016</v>
      </c>
    </row>
    <row r="404" ht="16.5" spans="1:8">
      <c r="A404" s="1">
        <f t="shared" si="24"/>
        <v>4099</v>
      </c>
      <c r="B404" s="1">
        <v>400010</v>
      </c>
      <c r="C404" s="100">
        <v>99</v>
      </c>
      <c r="D404" s="78">
        <v>3560</v>
      </c>
      <c r="E404" s="1">
        <f t="shared" si="25"/>
        <v>4100</v>
      </c>
      <c r="F404" s="2">
        <f t="shared" si="27"/>
        <v>712</v>
      </c>
      <c r="H404" s="61">
        <f t="shared" si="26"/>
        <v>800016</v>
      </c>
    </row>
    <row r="405" ht="16.5" spans="1:8">
      <c r="A405" s="1">
        <f t="shared" si="24"/>
        <v>4100</v>
      </c>
      <c r="B405" s="1">
        <v>400010</v>
      </c>
      <c r="C405" s="100">
        <v>100</v>
      </c>
      <c r="D405" s="97">
        <v>3600</v>
      </c>
      <c r="E405" s="1">
        <v>0</v>
      </c>
      <c r="F405" s="2">
        <f t="shared" si="27"/>
        <v>720</v>
      </c>
      <c r="H405" s="61">
        <f t="shared" si="26"/>
        <v>800016</v>
      </c>
    </row>
    <row r="406" ht="16.5" spans="1:8">
      <c r="A406" s="1">
        <f t="shared" si="24"/>
        <v>5001</v>
      </c>
      <c r="B406" s="1">
        <v>400011</v>
      </c>
      <c r="C406" s="100">
        <v>1</v>
      </c>
      <c r="D406" s="78">
        <v>60</v>
      </c>
      <c r="E406" s="1">
        <f t="shared" si="25"/>
        <v>5002</v>
      </c>
      <c r="F406" s="2">
        <f t="shared" si="27"/>
        <v>12</v>
      </c>
      <c r="H406" s="61">
        <f t="shared" si="26"/>
        <v>800017</v>
      </c>
    </row>
    <row r="407" ht="16.5" spans="1:8">
      <c r="A407" s="1">
        <f t="shared" si="24"/>
        <v>5002</v>
      </c>
      <c r="B407" s="1">
        <v>400011</v>
      </c>
      <c r="C407" s="100">
        <v>2</v>
      </c>
      <c r="D407" s="78">
        <v>60</v>
      </c>
      <c r="E407" s="1">
        <f t="shared" si="25"/>
        <v>5003</v>
      </c>
      <c r="F407" s="2">
        <f t="shared" si="27"/>
        <v>12</v>
      </c>
      <c r="H407" s="61">
        <f t="shared" si="26"/>
        <v>800017</v>
      </c>
    </row>
    <row r="408" ht="16.5" spans="1:8">
      <c r="A408" s="1">
        <f t="shared" si="24"/>
        <v>5003</v>
      </c>
      <c r="B408" s="1">
        <v>400011</v>
      </c>
      <c r="C408" s="100">
        <v>3</v>
      </c>
      <c r="D408" s="78">
        <v>60</v>
      </c>
      <c r="E408" s="1">
        <f t="shared" si="25"/>
        <v>5004</v>
      </c>
      <c r="F408" s="2">
        <f t="shared" si="27"/>
        <v>12</v>
      </c>
      <c r="H408" s="61">
        <f t="shared" si="26"/>
        <v>800017</v>
      </c>
    </row>
    <row r="409" ht="16.5" spans="1:8">
      <c r="A409" s="1">
        <f t="shared" si="24"/>
        <v>5004</v>
      </c>
      <c r="B409" s="1">
        <v>400011</v>
      </c>
      <c r="C409" s="100">
        <v>4</v>
      </c>
      <c r="D409" s="78">
        <v>60</v>
      </c>
      <c r="E409" s="1">
        <f t="shared" si="25"/>
        <v>5005</v>
      </c>
      <c r="F409" s="2">
        <f t="shared" si="27"/>
        <v>12</v>
      </c>
      <c r="H409" s="61">
        <f t="shared" si="26"/>
        <v>800017</v>
      </c>
    </row>
    <row r="410" ht="16.5" spans="1:8">
      <c r="A410" s="1">
        <f t="shared" si="24"/>
        <v>5005</v>
      </c>
      <c r="B410" s="1">
        <v>400011</v>
      </c>
      <c r="C410" s="100">
        <v>5</v>
      </c>
      <c r="D410" s="78">
        <v>60</v>
      </c>
      <c r="E410" s="1">
        <f t="shared" si="25"/>
        <v>5006</v>
      </c>
      <c r="F410" s="2">
        <f t="shared" si="27"/>
        <v>12</v>
      </c>
      <c r="H410" s="61">
        <f t="shared" si="26"/>
        <v>800017</v>
      </c>
    </row>
    <row r="411" ht="16.5" spans="1:8">
      <c r="A411" s="1">
        <f t="shared" si="24"/>
        <v>5006</v>
      </c>
      <c r="B411" s="1">
        <v>400011</v>
      </c>
      <c r="C411" s="100">
        <v>6</v>
      </c>
      <c r="D411" s="78">
        <v>60</v>
      </c>
      <c r="E411" s="1">
        <f t="shared" si="25"/>
        <v>5007</v>
      </c>
      <c r="F411" s="2">
        <f t="shared" si="27"/>
        <v>12</v>
      </c>
      <c r="H411" s="61">
        <f t="shared" si="26"/>
        <v>800017</v>
      </c>
    </row>
    <row r="412" ht="16.5" spans="1:8">
      <c r="A412" s="1">
        <f t="shared" si="24"/>
        <v>5007</v>
      </c>
      <c r="B412" s="1">
        <v>400011</v>
      </c>
      <c r="C412" s="100">
        <v>7</v>
      </c>
      <c r="D412" s="78">
        <v>60</v>
      </c>
      <c r="E412" s="1">
        <f t="shared" si="25"/>
        <v>5008</v>
      </c>
      <c r="F412" s="2">
        <f t="shared" si="27"/>
        <v>12</v>
      </c>
      <c r="H412" s="61">
        <f t="shared" si="26"/>
        <v>800017</v>
      </c>
    </row>
    <row r="413" ht="16.5" spans="1:8">
      <c r="A413" s="1">
        <f t="shared" si="24"/>
        <v>5008</v>
      </c>
      <c r="B413" s="1">
        <v>400011</v>
      </c>
      <c r="C413" s="100">
        <v>8</v>
      </c>
      <c r="D413" s="78">
        <v>60</v>
      </c>
      <c r="E413" s="1">
        <f t="shared" si="25"/>
        <v>5009</v>
      </c>
      <c r="F413" s="2">
        <f t="shared" si="27"/>
        <v>12</v>
      </c>
      <c r="H413" s="61">
        <f t="shared" si="26"/>
        <v>800017</v>
      </c>
    </row>
    <row r="414" ht="16.5" spans="1:8">
      <c r="A414" s="1">
        <f t="shared" si="24"/>
        <v>5009</v>
      </c>
      <c r="B414" s="1">
        <v>400011</v>
      </c>
      <c r="C414" s="100">
        <v>9</v>
      </c>
      <c r="D414" s="78">
        <v>60</v>
      </c>
      <c r="E414" s="1">
        <f t="shared" si="25"/>
        <v>5010</v>
      </c>
      <c r="F414" s="2">
        <f t="shared" si="27"/>
        <v>12</v>
      </c>
      <c r="H414" s="61">
        <f t="shared" si="26"/>
        <v>800017</v>
      </c>
    </row>
    <row r="415" ht="16.5" spans="1:8">
      <c r="A415" s="1">
        <f t="shared" si="24"/>
        <v>5010</v>
      </c>
      <c r="B415" s="1">
        <v>400011</v>
      </c>
      <c r="C415" s="100">
        <v>10</v>
      </c>
      <c r="D415" s="78">
        <v>60</v>
      </c>
      <c r="E415" s="1">
        <f t="shared" si="25"/>
        <v>5011</v>
      </c>
      <c r="F415" s="2">
        <f t="shared" si="27"/>
        <v>12</v>
      </c>
      <c r="H415" s="61">
        <f t="shared" si="26"/>
        <v>800017</v>
      </c>
    </row>
    <row r="416" ht="16.5" spans="1:8">
      <c r="A416" s="1">
        <f t="shared" si="24"/>
        <v>5011</v>
      </c>
      <c r="B416" s="1">
        <v>400011</v>
      </c>
      <c r="C416" s="100">
        <v>11</v>
      </c>
      <c r="D416" s="78">
        <v>170</v>
      </c>
      <c r="E416" s="1">
        <f t="shared" si="25"/>
        <v>5012</v>
      </c>
      <c r="F416" s="2">
        <f t="shared" si="27"/>
        <v>34</v>
      </c>
      <c r="H416" s="61">
        <f t="shared" si="26"/>
        <v>800017</v>
      </c>
    </row>
    <row r="417" ht="16.5" spans="1:8">
      <c r="A417" s="1">
        <f t="shared" si="24"/>
        <v>5012</v>
      </c>
      <c r="B417" s="1">
        <v>400011</v>
      </c>
      <c r="C417" s="100">
        <v>12</v>
      </c>
      <c r="D417" s="78">
        <v>220</v>
      </c>
      <c r="E417" s="1">
        <f t="shared" si="25"/>
        <v>5013</v>
      </c>
      <c r="F417" s="2">
        <f t="shared" si="27"/>
        <v>44</v>
      </c>
      <c r="H417" s="61">
        <f t="shared" si="26"/>
        <v>800017</v>
      </c>
    </row>
    <row r="418" ht="16.5" spans="1:8">
      <c r="A418" s="1">
        <f t="shared" si="24"/>
        <v>5013</v>
      </c>
      <c r="B418" s="1">
        <v>400011</v>
      </c>
      <c r="C418" s="100">
        <v>13</v>
      </c>
      <c r="D418" s="78">
        <v>270</v>
      </c>
      <c r="E418" s="1">
        <f t="shared" si="25"/>
        <v>5014</v>
      </c>
      <c r="F418" s="2">
        <f t="shared" si="27"/>
        <v>54</v>
      </c>
      <c r="H418" s="61">
        <f t="shared" si="26"/>
        <v>800017</v>
      </c>
    </row>
    <row r="419" ht="16.5" spans="1:8">
      <c r="A419" s="1">
        <f t="shared" si="24"/>
        <v>5014</v>
      </c>
      <c r="B419" s="1">
        <v>400011</v>
      </c>
      <c r="C419" s="100">
        <v>14</v>
      </c>
      <c r="D419" s="78">
        <v>320</v>
      </c>
      <c r="E419" s="1">
        <f t="shared" si="25"/>
        <v>5015</v>
      </c>
      <c r="F419" s="2">
        <f t="shared" si="27"/>
        <v>64</v>
      </c>
      <c r="H419" s="61">
        <f t="shared" si="26"/>
        <v>800017</v>
      </c>
    </row>
    <row r="420" ht="16.5" spans="1:8">
      <c r="A420" s="1">
        <f t="shared" si="24"/>
        <v>5015</v>
      </c>
      <c r="B420" s="1">
        <v>400011</v>
      </c>
      <c r="C420" s="100">
        <v>15</v>
      </c>
      <c r="D420" s="78">
        <v>370</v>
      </c>
      <c r="E420" s="1">
        <f t="shared" si="25"/>
        <v>5016</v>
      </c>
      <c r="F420" s="2">
        <f t="shared" si="27"/>
        <v>74</v>
      </c>
      <c r="H420" s="61">
        <f t="shared" si="26"/>
        <v>800017</v>
      </c>
    </row>
    <row r="421" ht="16.5" spans="1:8">
      <c r="A421" s="1">
        <f t="shared" si="24"/>
        <v>5016</v>
      </c>
      <c r="B421" s="1">
        <v>400011</v>
      </c>
      <c r="C421" s="100">
        <v>16</v>
      </c>
      <c r="D421" s="78">
        <v>430</v>
      </c>
      <c r="E421" s="1">
        <f t="shared" si="25"/>
        <v>5017</v>
      </c>
      <c r="F421" s="2">
        <f t="shared" si="27"/>
        <v>86</v>
      </c>
      <c r="H421" s="61">
        <f t="shared" si="26"/>
        <v>800017</v>
      </c>
    </row>
    <row r="422" ht="16.5" spans="1:8">
      <c r="A422" s="1">
        <f t="shared" si="24"/>
        <v>5017</v>
      </c>
      <c r="B422" s="1">
        <v>400011</v>
      </c>
      <c r="C422" s="100">
        <v>17</v>
      </c>
      <c r="D422" s="78">
        <v>480</v>
      </c>
      <c r="E422" s="1">
        <f t="shared" si="25"/>
        <v>5018</v>
      </c>
      <c r="F422" s="2">
        <f t="shared" si="27"/>
        <v>96</v>
      </c>
      <c r="H422" s="61">
        <f t="shared" si="26"/>
        <v>800017</v>
      </c>
    </row>
    <row r="423" ht="16.5" spans="1:8">
      <c r="A423" s="1">
        <f t="shared" si="24"/>
        <v>5018</v>
      </c>
      <c r="B423" s="1">
        <v>400011</v>
      </c>
      <c r="C423" s="100">
        <v>18</v>
      </c>
      <c r="D423" s="78">
        <v>530</v>
      </c>
      <c r="E423" s="1">
        <f t="shared" si="25"/>
        <v>5019</v>
      </c>
      <c r="F423" s="2">
        <f t="shared" si="27"/>
        <v>106</v>
      </c>
      <c r="H423" s="61">
        <f t="shared" si="26"/>
        <v>800017</v>
      </c>
    </row>
    <row r="424" ht="16.5" spans="1:8">
      <c r="A424" s="1">
        <f t="shared" si="24"/>
        <v>5019</v>
      </c>
      <c r="B424" s="1">
        <v>400011</v>
      </c>
      <c r="C424" s="100">
        <v>19</v>
      </c>
      <c r="D424" s="78">
        <v>580</v>
      </c>
      <c r="E424" s="1">
        <f t="shared" si="25"/>
        <v>5020</v>
      </c>
      <c r="F424" s="2">
        <f t="shared" si="27"/>
        <v>116</v>
      </c>
      <c r="H424" s="61">
        <f t="shared" si="26"/>
        <v>800017</v>
      </c>
    </row>
    <row r="425" ht="16.5" spans="1:8">
      <c r="A425" s="1">
        <f t="shared" si="24"/>
        <v>5020</v>
      </c>
      <c r="B425" s="1">
        <v>400011</v>
      </c>
      <c r="C425" s="100">
        <v>20</v>
      </c>
      <c r="D425" s="78">
        <v>630</v>
      </c>
      <c r="E425" s="1">
        <f t="shared" si="25"/>
        <v>5021</v>
      </c>
      <c r="F425" s="2">
        <f t="shared" si="27"/>
        <v>126</v>
      </c>
      <c r="H425" s="61">
        <f t="shared" si="26"/>
        <v>800017</v>
      </c>
    </row>
    <row r="426" ht="16.5" spans="1:8">
      <c r="A426" s="1">
        <f t="shared" si="24"/>
        <v>5021</v>
      </c>
      <c r="B426" s="1">
        <v>400011</v>
      </c>
      <c r="C426" s="100">
        <v>21</v>
      </c>
      <c r="D426" s="78">
        <v>800</v>
      </c>
      <c r="E426" s="1">
        <f t="shared" si="25"/>
        <v>5022</v>
      </c>
      <c r="F426" s="2">
        <f t="shared" si="27"/>
        <v>160</v>
      </c>
      <c r="H426" s="61">
        <f t="shared" si="26"/>
        <v>800017</v>
      </c>
    </row>
    <row r="427" ht="16.5" spans="1:8">
      <c r="A427" s="1">
        <f t="shared" si="24"/>
        <v>5022</v>
      </c>
      <c r="B427" s="1">
        <v>400011</v>
      </c>
      <c r="C427" s="100">
        <v>22</v>
      </c>
      <c r="D427" s="78">
        <v>800</v>
      </c>
      <c r="E427" s="1">
        <f t="shared" si="25"/>
        <v>5023</v>
      </c>
      <c r="F427" s="2">
        <f t="shared" si="27"/>
        <v>160</v>
      </c>
      <c r="H427" s="61">
        <f t="shared" si="26"/>
        <v>800017</v>
      </c>
    </row>
    <row r="428" ht="16.5" spans="1:8">
      <c r="A428" s="1">
        <f t="shared" si="24"/>
        <v>5023</v>
      </c>
      <c r="B428" s="1">
        <v>400011</v>
      </c>
      <c r="C428" s="100">
        <v>23</v>
      </c>
      <c r="D428" s="78">
        <v>800</v>
      </c>
      <c r="E428" s="1">
        <f t="shared" si="25"/>
        <v>5024</v>
      </c>
      <c r="F428" s="2">
        <f t="shared" si="27"/>
        <v>160</v>
      </c>
      <c r="H428" s="61">
        <f t="shared" si="26"/>
        <v>800017</v>
      </c>
    </row>
    <row r="429" ht="16.5" spans="1:8">
      <c r="A429" s="1">
        <f t="shared" si="24"/>
        <v>5024</v>
      </c>
      <c r="B429" s="1">
        <v>400011</v>
      </c>
      <c r="C429" s="100">
        <v>24</v>
      </c>
      <c r="D429" s="78">
        <v>800</v>
      </c>
      <c r="E429" s="1">
        <f t="shared" si="25"/>
        <v>5025</v>
      </c>
      <c r="F429" s="2">
        <f t="shared" si="27"/>
        <v>160</v>
      </c>
      <c r="H429" s="61">
        <f t="shared" si="26"/>
        <v>800017</v>
      </c>
    </row>
    <row r="430" ht="16.5" spans="1:8">
      <c r="A430" s="1">
        <f t="shared" si="24"/>
        <v>5025</v>
      </c>
      <c r="B430" s="1">
        <v>400011</v>
      </c>
      <c r="C430" s="100">
        <v>25</v>
      </c>
      <c r="D430" s="78">
        <v>800</v>
      </c>
      <c r="E430" s="1">
        <f t="shared" si="25"/>
        <v>5026</v>
      </c>
      <c r="F430" s="2">
        <f t="shared" si="27"/>
        <v>160</v>
      </c>
      <c r="H430" s="61">
        <f t="shared" si="26"/>
        <v>800017</v>
      </c>
    </row>
    <row r="431" ht="16.5" spans="1:8">
      <c r="A431" s="1">
        <f t="shared" si="24"/>
        <v>5026</v>
      </c>
      <c r="B431" s="1">
        <v>400011</v>
      </c>
      <c r="C431" s="100">
        <v>26</v>
      </c>
      <c r="D431" s="78">
        <v>800</v>
      </c>
      <c r="E431" s="1">
        <f t="shared" si="25"/>
        <v>5027</v>
      </c>
      <c r="F431" s="2">
        <f t="shared" si="27"/>
        <v>160</v>
      </c>
      <c r="H431" s="61">
        <f t="shared" si="26"/>
        <v>800017</v>
      </c>
    </row>
    <row r="432" ht="16.5" spans="1:8">
      <c r="A432" s="1">
        <f t="shared" si="24"/>
        <v>5027</v>
      </c>
      <c r="B432" s="1">
        <v>400011</v>
      </c>
      <c r="C432" s="100">
        <v>27</v>
      </c>
      <c r="D432" s="78">
        <v>800</v>
      </c>
      <c r="E432" s="1">
        <f t="shared" si="25"/>
        <v>5028</v>
      </c>
      <c r="F432" s="2">
        <f t="shared" si="27"/>
        <v>160</v>
      </c>
      <c r="H432" s="61">
        <f t="shared" si="26"/>
        <v>800017</v>
      </c>
    </row>
    <row r="433" ht="16.5" spans="1:8">
      <c r="A433" s="1">
        <f t="shared" si="24"/>
        <v>5028</v>
      </c>
      <c r="B433" s="1">
        <v>400011</v>
      </c>
      <c r="C433" s="100">
        <v>28</v>
      </c>
      <c r="D433" s="78">
        <v>800</v>
      </c>
      <c r="E433" s="1">
        <f t="shared" si="25"/>
        <v>5029</v>
      </c>
      <c r="F433" s="2">
        <f t="shared" si="27"/>
        <v>160</v>
      </c>
      <c r="H433" s="61">
        <f t="shared" si="26"/>
        <v>800017</v>
      </c>
    </row>
    <row r="434" ht="16.5" spans="1:8">
      <c r="A434" s="1">
        <f t="shared" si="24"/>
        <v>5029</v>
      </c>
      <c r="B434" s="1">
        <v>400011</v>
      </c>
      <c r="C434" s="100">
        <v>29</v>
      </c>
      <c r="D434" s="78">
        <v>800</v>
      </c>
      <c r="E434" s="1">
        <f t="shared" si="25"/>
        <v>5030</v>
      </c>
      <c r="F434" s="2">
        <f t="shared" si="27"/>
        <v>160</v>
      </c>
      <c r="H434" s="61">
        <f t="shared" si="26"/>
        <v>800017</v>
      </c>
    </row>
    <row r="435" ht="16.5" spans="1:8">
      <c r="A435" s="1">
        <f t="shared" si="24"/>
        <v>5030</v>
      </c>
      <c r="B435" s="1">
        <v>400011</v>
      </c>
      <c r="C435" s="100">
        <v>30</v>
      </c>
      <c r="D435" s="78">
        <v>800</v>
      </c>
      <c r="E435" s="1">
        <f t="shared" si="25"/>
        <v>5031</v>
      </c>
      <c r="F435" s="2">
        <f t="shared" si="27"/>
        <v>160</v>
      </c>
      <c r="H435" s="61">
        <f t="shared" si="26"/>
        <v>800017</v>
      </c>
    </row>
    <row r="436" ht="16.5" spans="1:8">
      <c r="A436" s="1">
        <f t="shared" si="24"/>
        <v>5031</v>
      </c>
      <c r="B436" s="1">
        <v>400011</v>
      </c>
      <c r="C436" s="100">
        <v>31</v>
      </c>
      <c r="D436" s="78">
        <v>840</v>
      </c>
      <c r="E436" s="1">
        <f t="shared" si="25"/>
        <v>5032</v>
      </c>
      <c r="F436" s="2">
        <f t="shared" si="27"/>
        <v>168</v>
      </c>
      <c r="H436" s="61">
        <f t="shared" si="26"/>
        <v>800017</v>
      </c>
    </row>
    <row r="437" ht="16.5" spans="1:8">
      <c r="A437" s="1">
        <f t="shared" si="24"/>
        <v>5032</v>
      </c>
      <c r="B437" s="1">
        <v>400011</v>
      </c>
      <c r="C437" s="100">
        <v>32</v>
      </c>
      <c r="D437" s="78">
        <v>880</v>
      </c>
      <c r="E437" s="1">
        <f t="shared" si="25"/>
        <v>5033</v>
      </c>
      <c r="F437" s="2">
        <f t="shared" si="27"/>
        <v>176</v>
      </c>
      <c r="H437" s="61">
        <f t="shared" si="26"/>
        <v>800017</v>
      </c>
    </row>
    <row r="438" ht="16.5" spans="1:8">
      <c r="A438" s="1">
        <f t="shared" si="24"/>
        <v>5033</v>
      </c>
      <c r="B438" s="1">
        <v>400011</v>
      </c>
      <c r="C438" s="100">
        <v>33</v>
      </c>
      <c r="D438" s="78">
        <v>920</v>
      </c>
      <c r="E438" s="1">
        <f t="shared" si="25"/>
        <v>5034</v>
      </c>
      <c r="F438" s="2">
        <f t="shared" si="27"/>
        <v>184</v>
      </c>
      <c r="H438" s="61">
        <f t="shared" si="26"/>
        <v>800017</v>
      </c>
    </row>
    <row r="439" ht="16.5" spans="1:8">
      <c r="A439" s="1">
        <f t="shared" si="24"/>
        <v>5034</v>
      </c>
      <c r="B439" s="1">
        <v>400011</v>
      </c>
      <c r="C439" s="100">
        <v>34</v>
      </c>
      <c r="D439" s="78">
        <v>960</v>
      </c>
      <c r="E439" s="1">
        <f t="shared" si="25"/>
        <v>5035</v>
      </c>
      <c r="F439" s="2">
        <f t="shared" si="27"/>
        <v>192</v>
      </c>
      <c r="H439" s="61">
        <f t="shared" si="26"/>
        <v>800017</v>
      </c>
    </row>
    <row r="440" ht="16.5" spans="1:8">
      <c r="A440" s="1">
        <f t="shared" si="24"/>
        <v>5035</v>
      </c>
      <c r="B440" s="1">
        <v>400011</v>
      </c>
      <c r="C440" s="100">
        <v>35</v>
      </c>
      <c r="D440" s="78">
        <v>1000</v>
      </c>
      <c r="E440" s="1">
        <f t="shared" si="25"/>
        <v>5036</v>
      </c>
      <c r="F440" s="2">
        <f t="shared" si="27"/>
        <v>200</v>
      </c>
      <c r="H440" s="61">
        <f t="shared" si="26"/>
        <v>800017</v>
      </c>
    </row>
    <row r="441" ht="16.5" spans="1:8">
      <c r="A441" s="1">
        <f t="shared" si="24"/>
        <v>5036</v>
      </c>
      <c r="B441" s="1">
        <v>400011</v>
      </c>
      <c r="C441" s="100">
        <v>36</v>
      </c>
      <c r="D441" s="78">
        <v>1040</v>
      </c>
      <c r="E441" s="1">
        <f t="shared" si="25"/>
        <v>5037</v>
      </c>
      <c r="F441" s="2">
        <f t="shared" si="27"/>
        <v>208</v>
      </c>
      <c r="H441" s="61">
        <f t="shared" si="26"/>
        <v>800017</v>
      </c>
    </row>
    <row r="442" ht="16.5" spans="1:8">
      <c r="A442" s="1">
        <f t="shared" si="24"/>
        <v>5037</v>
      </c>
      <c r="B442" s="1">
        <v>400011</v>
      </c>
      <c r="C442" s="100">
        <v>37</v>
      </c>
      <c r="D442" s="78">
        <v>1080</v>
      </c>
      <c r="E442" s="1">
        <f t="shared" si="25"/>
        <v>5038</v>
      </c>
      <c r="F442" s="2">
        <f t="shared" si="27"/>
        <v>216</v>
      </c>
      <c r="H442" s="61">
        <f t="shared" si="26"/>
        <v>800017</v>
      </c>
    </row>
    <row r="443" ht="16.5" spans="1:8">
      <c r="A443" s="1">
        <f t="shared" si="24"/>
        <v>5038</v>
      </c>
      <c r="B443" s="1">
        <v>400011</v>
      </c>
      <c r="C443" s="100">
        <v>38</v>
      </c>
      <c r="D443" s="78">
        <v>1120</v>
      </c>
      <c r="E443" s="1">
        <f t="shared" si="25"/>
        <v>5039</v>
      </c>
      <c r="F443" s="2">
        <f t="shared" si="27"/>
        <v>224</v>
      </c>
      <c r="H443" s="61">
        <f t="shared" si="26"/>
        <v>800017</v>
      </c>
    </row>
    <row r="444" ht="16.5" spans="1:8">
      <c r="A444" s="1">
        <f t="shared" si="24"/>
        <v>5039</v>
      </c>
      <c r="B444" s="1">
        <v>400011</v>
      </c>
      <c r="C444" s="100">
        <v>39</v>
      </c>
      <c r="D444" s="78">
        <v>1160</v>
      </c>
      <c r="E444" s="1">
        <f t="shared" si="25"/>
        <v>5040</v>
      </c>
      <c r="F444" s="2">
        <f t="shared" si="27"/>
        <v>232</v>
      </c>
      <c r="H444" s="61">
        <f t="shared" si="26"/>
        <v>800017</v>
      </c>
    </row>
    <row r="445" ht="16.5" spans="1:8">
      <c r="A445" s="1">
        <f t="shared" si="24"/>
        <v>5040</v>
      </c>
      <c r="B445" s="1">
        <v>400011</v>
      </c>
      <c r="C445" s="100">
        <v>40</v>
      </c>
      <c r="D445" s="78">
        <v>1200</v>
      </c>
      <c r="E445" s="1">
        <f t="shared" si="25"/>
        <v>5041</v>
      </c>
      <c r="F445" s="2">
        <f t="shared" si="27"/>
        <v>240</v>
      </c>
      <c r="H445" s="61">
        <f t="shared" si="26"/>
        <v>800017</v>
      </c>
    </row>
    <row r="446" ht="16.5" spans="1:8">
      <c r="A446" s="1">
        <f t="shared" si="24"/>
        <v>5041</v>
      </c>
      <c r="B446" s="1">
        <v>400011</v>
      </c>
      <c r="C446" s="100">
        <v>41</v>
      </c>
      <c r="D446" s="78">
        <v>1240</v>
      </c>
      <c r="E446" s="1">
        <f t="shared" si="25"/>
        <v>5042</v>
      </c>
      <c r="F446" s="2">
        <f t="shared" si="27"/>
        <v>248</v>
      </c>
      <c r="H446" s="61">
        <f t="shared" si="26"/>
        <v>800017</v>
      </c>
    </row>
    <row r="447" ht="16.5" spans="1:8">
      <c r="A447" s="1">
        <f t="shared" si="24"/>
        <v>5042</v>
      </c>
      <c r="B447" s="1">
        <v>400011</v>
      </c>
      <c r="C447" s="100">
        <v>42</v>
      </c>
      <c r="D447" s="78">
        <v>1280</v>
      </c>
      <c r="E447" s="1">
        <f t="shared" si="25"/>
        <v>5043</v>
      </c>
      <c r="F447" s="2">
        <f t="shared" si="27"/>
        <v>256</v>
      </c>
      <c r="H447" s="61">
        <f t="shared" si="26"/>
        <v>800017</v>
      </c>
    </row>
    <row r="448" ht="16.5" spans="1:8">
      <c r="A448" s="1">
        <f t="shared" si="24"/>
        <v>5043</v>
      </c>
      <c r="B448" s="1">
        <v>400011</v>
      </c>
      <c r="C448" s="100">
        <v>43</v>
      </c>
      <c r="D448" s="78">
        <v>1320</v>
      </c>
      <c r="E448" s="1">
        <f t="shared" si="25"/>
        <v>5044</v>
      </c>
      <c r="F448" s="2">
        <f t="shared" si="27"/>
        <v>264</v>
      </c>
      <c r="H448" s="61">
        <f t="shared" si="26"/>
        <v>800017</v>
      </c>
    </row>
    <row r="449" ht="16.5" spans="1:8">
      <c r="A449" s="1">
        <f t="shared" si="24"/>
        <v>5044</v>
      </c>
      <c r="B449" s="1">
        <v>400011</v>
      </c>
      <c r="C449" s="100">
        <v>44</v>
      </c>
      <c r="D449" s="78">
        <v>1360</v>
      </c>
      <c r="E449" s="1">
        <f t="shared" si="25"/>
        <v>5045</v>
      </c>
      <c r="F449" s="2">
        <f t="shared" si="27"/>
        <v>272</v>
      </c>
      <c r="H449" s="61">
        <f t="shared" si="26"/>
        <v>800017</v>
      </c>
    </row>
    <row r="450" ht="16.5" spans="1:8">
      <c r="A450" s="1">
        <f t="shared" si="24"/>
        <v>5045</v>
      </c>
      <c r="B450" s="1">
        <v>400011</v>
      </c>
      <c r="C450" s="100">
        <v>45</v>
      </c>
      <c r="D450" s="78">
        <v>1400</v>
      </c>
      <c r="E450" s="1">
        <f t="shared" si="25"/>
        <v>5046</v>
      </c>
      <c r="F450" s="2">
        <f t="shared" si="27"/>
        <v>280</v>
      </c>
      <c r="H450" s="61">
        <f t="shared" si="26"/>
        <v>800017</v>
      </c>
    </row>
    <row r="451" ht="16.5" spans="1:8">
      <c r="A451" s="1">
        <f t="shared" si="24"/>
        <v>5046</v>
      </c>
      <c r="B451" s="1">
        <v>400011</v>
      </c>
      <c r="C451" s="100">
        <v>46</v>
      </c>
      <c r="D451" s="78">
        <v>1440</v>
      </c>
      <c r="E451" s="1">
        <f t="shared" si="25"/>
        <v>5047</v>
      </c>
      <c r="F451" s="2">
        <f t="shared" si="27"/>
        <v>288</v>
      </c>
      <c r="H451" s="61">
        <f t="shared" si="26"/>
        <v>800017</v>
      </c>
    </row>
    <row r="452" ht="16.5" spans="1:8">
      <c r="A452" s="1">
        <f t="shared" si="24"/>
        <v>5047</v>
      </c>
      <c r="B452" s="1">
        <v>400011</v>
      </c>
      <c r="C452" s="100">
        <v>47</v>
      </c>
      <c r="D452" s="78">
        <v>1480</v>
      </c>
      <c r="E452" s="1">
        <f t="shared" si="25"/>
        <v>5048</v>
      </c>
      <c r="F452" s="2">
        <f t="shared" si="27"/>
        <v>296</v>
      </c>
      <c r="H452" s="61">
        <f t="shared" si="26"/>
        <v>800017</v>
      </c>
    </row>
    <row r="453" ht="16.5" spans="1:8">
      <c r="A453" s="1">
        <f t="shared" si="24"/>
        <v>5048</v>
      </c>
      <c r="B453" s="1">
        <v>400011</v>
      </c>
      <c r="C453" s="100">
        <v>48</v>
      </c>
      <c r="D453" s="78">
        <v>1520</v>
      </c>
      <c r="E453" s="1">
        <f t="shared" si="25"/>
        <v>5049</v>
      </c>
      <c r="F453" s="2">
        <f t="shared" si="27"/>
        <v>304</v>
      </c>
      <c r="H453" s="61">
        <f t="shared" si="26"/>
        <v>800017</v>
      </c>
    </row>
    <row r="454" ht="16.5" spans="1:8">
      <c r="A454" s="1">
        <f t="shared" si="24"/>
        <v>5049</v>
      </c>
      <c r="B454" s="1">
        <v>400011</v>
      </c>
      <c r="C454" s="100">
        <v>49</v>
      </c>
      <c r="D454" s="78">
        <v>1560</v>
      </c>
      <c r="E454" s="1">
        <f t="shared" si="25"/>
        <v>5050</v>
      </c>
      <c r="F454" s="2">
        <f t="shared" si="27"/>
        <v>312</v>
      </c>
      <c r="H454" s="61">
        <f t="shared" si="26"/>
        <v>800017</v>
      </c>
    </row>
    <row r="455" ht="16.5" spans="1:8">
      <c r="A455" s="1">
        <f t="shared" ref="A455:A505" si="28">(B455-$I$6)*1000+C455</f>
        <v>5050</v>
      </c>
      <c r="B455" s="1">
        <v>400011</v>
      </c>
      <c r="C455" s="100">
        <v>50</v>
      </c>
      <c r="D455" s="78">
        <v>1600</v>
      </c>
      <c r="E455" s="1">
        <f t="shared" ref="E455:E505" si="29">A456</f>
        <v>5051</v>
      </c>
      <c r="F455" s="2">
        <f t="shared" si="27"/>
        <v>320</v>
      </c>
      <c r="H455" s="61">
        <f t="shared" ref="H455:H505" si="30">B455+$I$6</f>
        <v>800017</v>
      </c>
    </row>
    <row r="456" ht="16.5" spans="1:8">
      <c r="A456" s="1">
        <f t="shared" si="28"/>
        <v>5051</v>
      </c>
      <c r="B456" s="1">
        <v>400011</v>
      </c>
      <c r="C456" s="100">
        <v>51</v>
      </c>
      <c r="D456" s="78">
        <v>1640</v>
      </c>
      <c r="E456" s="1">
        <f t="shared" si="29"/>
        <v>5052</v>
      </c>
      <c r="F456" s="2">
        <f t="shared" ref="F456:F505" si="31">D456*0.2</f>
        <v>328</v>
      </c>
      <c r="H456" s="61">
        <f t="shared" si="30"/>
        <v>800017</v>
      </c>
    </row>
    <row r="457" ht="16.5" spans="1:8">
      <c r="A457" s="1">
        <f t="shared" si="28"/>
        <v>5052</v>
      </c>
      <c r="B457" s="1">
        <v>400011</v>
      </c>
      <c r="C457" s="100">
        <v>52</v>
      </c>
      <c r="D457" s="78">
        <v>1680</v>
      </c>
      <c r="E457" s="1">
        <f t="shared" si="29"/>
        <v>5053</v>
      </c>
      <c r="F457" s="2">
        <f t="shared" si="31"/>
        <v>336</v>
      </c>
      <c r="H457" s="61">
        <f t="shared" si="30"/>
        <v>800017</v>
      </c>
    </row>
    <row r="458" ht="16.5" spans="1:8">
      <c r="A458" s="1">
        <f t="shared" si="28"/>
        <v>5053</v>
      </c>
      <c r="B458" s="1">
        <v>400011</v>
      </c>
      <c r="C458" s="100">
        <v>53</v>
      </c>
      <c r="D458" s="78">
        <v>1720</v>
      </c>
      <c r="E458" s="1">
        <f t="shared" si="29"/>
        <v>5054</v>
      </c>
      <c r="F458" s="2">
        <f t="shared" si="31"/>
        <v>344</v>
      </c>
      <c r="H458" s="61">
        <f t="shared" si="30"/>
        <v>800017</v>
      </c>
    </row>
    <row r="459" ht="16.5" spans="1:8">
      <c r="A459" s="1">
        <f t="shared" si="28"/>
        <v>5054</v>
      </c>
      <c r="B459" s="1">
        <v>400011</v>
      </c>
      <c r="C459" s="100">
        <v>54</v>
      </c>
      <c r="D459" s="78">
        <v>1760</v>
      </c>
      <c r="E459" s="1">
        <f t="shared" si="29"/>
        <v>5055</v>
      </c>
      <c r="F459" s="2">
        <f t="shared" si="31"/>
        <v>352</v>
      </c>
      <c r="H459" s="61">
        <f t="shared" si="30"/>
        <v>800017</v>
      </c>
    </row>
    <row r="460" ht="16.5" spans="1:8">
      <c r="A460" s="1">
        <f t="shared" si="28"/>
        <v>5055</v>
      </c>
      <c r="B460" s="1">
        <v>400011</v>
      </c>
      <c r="C460" s="100">
        <v>55</v>
      </c>
      <c r="D460" s="78">
        <v>1800</v>
      </c>
      <c r="E460" s="1">
        <f t="shared" si="29"/>
        <v>5056</v>
      </c>
      <c r="F460" s="2">
        <f t="shared" si="31"/>
        <v>360</v>
      </c>
      <c r="H460" s="61">
        <f t="shared" si="30"/>
        <v>800017</v>
      </c>
    </row>
    <row r="461" ht="16.5" spans="1:8">
      <c r="A461" s="1">
        <f t="shared" si="28"/>
        <v>5056</v>
      </c>
      <c r="B461" s="1">
        <v>400011</v>
      </c>
      <c r="C461" s="100">
        <v>56</v>
      </c>
      <c r="D461" s="78">
        <v>1840</v>
      </c>
      <c r="E461" s="1">
        <f t="shared" si="29"/>
        <v>5057</v>
      </c>
      <c r="F461" s="2">
        <f t="shared" si="31"/>
        <v>368</v>
      </c>
      <c r="H461" s="61">
        <f t="shared" si="30"/>
        <v>800017</v>
      </c>
    </row>
    <row r="462" ht="16.5" spans="1:8">
      <c r="A462" s="1">
        <f t="shared" si="28"/>
        <v>5057</v>
      </c>
      <c r="B462" s="1">
        <v>400011</v>
      </c>
      <c r="C462" s="100">
        <v>57</v>
      </c>
      <c r="D462" s="78">
        <v>1880</v>
      </c>
      <c r="E462" s="1">
        <f t="shared" si="29"/>
        <v>5058</v>
      </c>
      <c r="F462" s="2">
        <f t="shared" si="31"/>
        <v>376</v>
      </c>
      <c r="H462" s="61">
        <f t="shared" si="30"/>
        <v>800017</v>
      </c>
    </row>
    <row r="463" ht="16.5" spans="1:8">
      <c r="A463" s="1">
        <f t="shared" si="28"/>
        <v>5058</v>
      </c>
      <c r="B463" s="1">
        <v>400011</v>
      </c>
      <c r="C463" s="100">
        <v>58</v>
      </c>
      <c r="D463" s="78">
        <v>1920</v>
      </c>
      <c r="E463" s="1">
        <f t="shared" si="29"/>
        <v>5059</v>
      </c>
      <c r="F463" s="2">
        <f t="shared" si="31"/>
        <v>384</v>
      </c>
      <c r="H463" s="61">
        <f t="shared" si="30"/>
        <v>800017</v>
      </c>
    </row>
    <row r="464" ht="16.5" spans="1:8">
      <c r="A464" s="1">
        <f t="shared" si="28"/>
        <v>5059</v>
      </c>
      <c r="B464" s="1">
        <v>400011</v>
      </c>
      <c r="C464" s="100">
        <v>59</v>
      </c>
      <c r="D464" s="78">
        <v>1960</v>
      </c>
      <c r="E464" s="1">
        <f t="shared" si="29"/>
        <v>5060</v>
      </c>
      <c r="F464" s="2">
        <f t="shared" si="31"/>
        <v>392</v>
      </c>
      <c r="H464" s="61">
        <f t="shared" si="30"/>
        <v>800017</v>
      </c>
    </row>
    <row r="465" ht="16.5" spans="1:8">
      <c r="A465" s="1">
        <f t="shared" si="28"/>
        <v>5060</v>
      </c>
      <c r="B465" s="1">
        <v>400011</v>
      </c>
      <c r="C465" s="100">
        <v>60</v>
      </c>
      <c r="D465" s="78">
        <v>2000</v>
      </c>
      <c r="E465" s="1">
        <f t="shared" si="29"/>
        <v>5061</v>
      </c>
      <c r="F465" s="2">
        <f t="shared" si="31"/>
        <v>400</v>
      </c>
      <c r="H465" s="61">
        <f t="shared" si="30"/>
        <v>800017</v>
      </c>
    </row>
    <row r="466" ht="16.5" spans="1:8">
      <c r="A466" s="1">
        <f t="shared" si="28"/>
        <v>5061</v>
      </c>
      <c r="B466" s="1">
        <v>400011</v>
      </c>
      <c r="C466" s="100">
        <v>61</v>
      </c>
      <c r="D466" s="78">
        <v>2040</v>
      </c>
      <c r="E466" s="1">
        <f t="shared" si="29"/>
        <v>5062</v>
      </c>
      <c r="F466" s="2">
        <f t="shared" si="31"/>
        <v>408</v>
      </c>
      <c r="H466" s="61">
        <f t="shared" si="30"/>
        <v>800017</v>
      </c>
    </row>
    <row r="467" ht="16.5" spans="1:8">
      <c r="A467" s="1">
        <f t="shared" si="28"/>
        <v>5062</v>
      </c>
      <c r="B467" s="1">
        <v>400011</v>
      </c>
      <c r="C467" s="100">
        <v>62</v>
      </c>
      <c r="D467" s="78">
        <v>2080</v>
      </c>
      <c r="E467" s="1">
        <f t="shared" si="29"/>
        <v>5063</v>
      </c>
      <c r="F467" s="2">
        <f t="shared" si="31"/>
        <v>416</v>
      </c>
      <c r="H467" s="61">
        <f t="shared" si="30"/>
        <v>800017</v>
      </c>
    </row>
    <row r="468" ht="16.5" spans="1:8">
      <c r="A468" s="1">
        <f t="shared" si="28"/>
        <v>5063</v>
      </c>
      <c r="B468" s="1">
        <v>400011</v>
      </c>
      <c r="C468" s="100">
        <v>63</v>
      </c>
      <c r="D468" s="78">
        <v>2120</v>
      </c>
      <c r="E468" s="1">
        <f t="shared" si="29"/>
        <v>5064</v>
      </c>
      <c r="F468" s="2">
        <f t="shared" si="31"/>
        <v>424</v>
      </c>
      <c r="H468" s="61">
        <f t="shared" si="30"/>
        <v>800017</v>
      </c>
    </row>
    <row r="469" ht="16.5" spans="1:8">
      <c r="A469" s="1">
        <f t="shared" si="28"/>
        <v>5064</v>
      </c>
      <c r="B469" s="1">
        <v>400011</v>
      </c>
      <c r="C469" s="100">
        <v>64</v>
      </c>
      <c r="D469" s="78">
        <v>2160</v>
      </c>
      <c r="E469" s="1">
        <f t="shared" si="29"/>
        <v>5065</v>
      </c>
      <c r="F469" s="2">
        <f t="shared" si="31"/>
        <v>432</v>
      </c>
      <c r="H469" s="61">
        <f t="shared" si="30"/>
        <v>800017</v>
      </c>
    </row>
    <row r="470" ht="16.5" spans="1:8">
      <c r="A470" s="1">
        <f t="shared" si="28"/>
        <v>5065</v>
      </c>
      <c r="B470" s="1">
        <v>400011</v>
      </c>
      <c r="C470" s="100">
        <v>65</v>
      </c>
      <c r="D470" s="78">
        <v>2200</v>
      </c>
      <c r="E470" s="1">
        <f t="shared" si="29"/>
        <v>5066</v>
      </c>
      <c r="F470" s="2">
        <f t="shared" si="31"/>
        <v>440</v>
      </c>
      <c r="H470" s="61">
        <f t="shared" si="30"/>
        <v>800017</v>
      </c>
    </row>
    <row r="471" ht="16.5" spans="1:8">
      <c r="A471" s="1">
        <f t="shared" si="28"/>
        <v>5066</v>
      </c>
      <c r="B471" s="1">
        <v>400011</v>
      </c>
      <c r="C471" s="100">
        <v>66</v>
      </c>
      <c r="D471" s="78">
        <v>2240</v>
      </c>
      <c r="E471" s="1">
        <f t="shared" si="29"/>
        <v>5067</v>
      </c>
      <c r="F471" s="2">
        <f t="shared" si="31"/>
        <v>448</v>
      </c>
      <c r="H471" s="61">
        <f t="shared" si="30"/>
        <v>800017</v>
      </c>
    </row>
    <row r="472" ht="16.5" spans="1:8">
      <c r="A472" s="1">
        <f t="shared" si="28"/>
        <v>5067</v>
      </c>
      <c r="B472" s="1">
        <v>400011</v>
      </c>
      <c r="C472" s="100">
        <v>67</v>
      </c>
      <c r="D472" s="78">
        <v>2280</v>
      </c>
      <c r="E472" s="1">
        <f t="shared" si="29"/>
        <v>5068</v>
      </c>
      <c r="F472" s="2">
        <f t="shared" si="31"/>
        <v>456</v>
      </c>
      <c r="H472" s="61">
        <f t="shared" si="30"/>
        <v>800017</v>
      </c>
    </row>
    <row r="473" ht="16.5" spans="1:8">
      <c r="A473" s="1">
        <f t="shared" si="28"/>
        <v>5068</v>
      </c>
      <c r="B473" s="1">
        <v>400011</v>
      </c>
      <c r="C473" s="100">
        <v>68</v>
      </c>
      <c r="D473" s="78">
        <v>2320</v>
      </c>
      <c r="E473" s="1">
        <f t="shared" si="29"/>
        <v>5069</v>
      </c>
      <c r="F473" s="2">
        <f t="shared" si="31"/>
        <v>464</v>
      </c>
      <c r="H473" s="61">
        <f t="shared" si="30"/>
        <v>800017</v>
      </c>
    </row>
    <row r="474" ht="16.5" spans="1:8">
      <c r="A474" s="1">
        <f t="shared" si="28"/>
        <v>5069</v>
      </c>
      <c r="B474" s="1">
        <v>400011</v>
      </c>
      <c r="C474" s="100">
        <v>69</v>
      </c>
      <c r="D474" s="78">
        <v>2360</v>
      </c>
      <c r="E474" s="1">
        <f t="shared" si="29"/>
        <v>5070</v>
      </c>
      <c r="F474" s="2">
        <f t="shared" si="31"/>
        <v>472</v>
      </c>
      <c r="H474" s="61">
        <f t="shared" si="30"/>
        <v>800017</v>
      </c>
    </row>
    <row r="475" ht="16.5" spans="1:8">
      <c r="A475" s="1">
        <f t="shared" si="28"/>
        <v>5070</v>
      </c>
      <c r="B475" s="1">
        <v>400011</v>
      </c>
      <c r="C475" s="100">
        <v>70</v>
      </c>
      <c r="D475" s="78">
        <v>2400</v>
      </c>
      <c r="E475" s="1">
        <f t="shared" si="29"/>
        <v>5071</v>
      </c>
      <c r="F475" s="2">
        <f t="shared" si="31"/>
        <v>480</v>
      </c>
      <c r="H475" s="61">
        <f t="shared" si="30"/>
        <v>800017</v>
      </c>
    </row>
    <row r="476" ht="16.5" spans="1:8">
      <c r="A476" s="1">
        <f t="shared" si="28"/>
        <v>5071</v>
      </c>
      <c r="B476" s="1">
        <v>400011</v>
      </c>
      <c r="C476" s="100">
        <v>71</v>
      </c>
      <c r="D476" s="78">
        <v>2440</v>
      </c>
      <c r="E476" s="1">
        <f t="shared" si="29"/>
        <v>5072</v>
      </c>
      <c r="F476" s="2">
        <f t="shared" si="31"/>
        <v>488</v>
      </c>
      <c r="H476" s="61">
        <f t="shared" si="30"/>
        <v>800017</v>
      </c>
    </row>
    <row r="477" ht="16.5" spans="1:8">
      <c r="A477" s="1">
        <f t="shared" si="28"/>
        <v>5072</v>
      </c>
      <c r="B477" s="1">
        <v>400011</v>
      </c>
      <c r="C477" s="100">
        <v>72</v>
      </c>
      <c r="D477" s="78">
        <v>2480</v>
      </c>
      <c r="E477" s="1">
        <f t="shared" si="29"/>
        <v>5073</v>
      </c>
      <c r="F477" s="2">
        <f t="shared" si="31"/>
        <v>496</v>
      </c>
      <c r="H477" s="61">
        <f t="shared" si="30"/>
        <v>800017</v>
      </c>
    </row>
    <row r="478" ht="16.5" spans="1:8">
      <c r="A478" s="1">
        <f t="shared" si="28"/>
        <v>5073</v>
      </c>
      <c r="B478" s="1">
        <v>400011</v>
      </c>
      <c r="C478" s="100">
        <v>73</v>
      </c>
      <c r="D478" s="78">
        <v>2520</v>
      </c>
      <c r="E478" s="1">
        <f t="shared" si="29"/>
        <v>5074</v>
      </c>
      <c r="F478" s="2">
        <f t="shared" si="31"/>
        <v>504</v>
      </c>
      <c r="H478" s="61">
        <f t="shared" si="30"/>
        <v>800017</v>
      </c>
    </row>
    <row r="479" ht="16.5" spans="1:8">
      <c r="A479" s="1">
        <f t="shared" si="28"/>
        <v>5074</v>
      </c>
      <c r="B479" s="1">
        <v>400011</v>
      </c>
      <c r="C479" s="100">
        <v>74</v>
      </c>
      <c r="D479" s="78">
        <v>2560</v>
      </c>
      <c r="E479" s="1">
        <f t="shared" si="29"/>
        <v>5075</v>
      </c>
      <c r="F479" s="2">
        <f t="shared" si="31"/>
        <v>512</v>
      </c>
      <c r="H479" s="61">
        <f t="shared" si="30"/>
        <v>800017</v>
      </c>
    </row>
    <row r="480" ht="16.5" spans="1:8">
      <c r="A480" s="1">
        <f t="shared" si="28"/>
        <v>5075</v>
      </c>
      <c r="B480" s="1">
        <v>400011</v>
      </c>
      <c r="C480" s="100">
        <v>75</v>
      </c>
      <c r="D480" s="78">
        <v>2600</v>
      </c>
      <c r="E480" s="1">
        <f t="shared" si="29"/>
        <v>5076</v>
      </c>
      <c r="F480" s="2">
        <f t="shared" si="31"/>
        <v>520</v>
      </c>
      <c r="H480" s="61">
        <f t="shared" si="30"/>
        <v>800017</v>
      </c>
    </row>
    <row r="481" ht="16.5" spans="1:8">
      <c r="A481" s="1">
        <f t="shared" si="28"/>
        <v>5076</v>
      </c>
      <c r="B481" s="1">
        <v>400011</v>
      </c>
      <c r="C481" s="100">
        <v>76</v>
      </c>
      <c r="D481" s="78">
        <v>2640</v>
      </c>
      <c r="E481" s="1">
        <f t="shared" si="29"/>
        <v>5077</v>
      </c>
      <c r="F481" s="2">
        <f t="shared" si="31"/>
        <v>528</v>
      </c>
      <c r="H481" s="61">
        <f t="shared" si="30"/>
        <v>800017</v>
      </c>
    </row>
    <row r="482" ht="16.5" spans="1:8">
      <c r="A482" s="1">
        <f t="shared" si="28"/>
        <v>5077</v>
      </c>
      <c r="B482" s="1">
        <v>400011</v>
      </c>
      <c r="C482" s="100">
        <v>77</v>
      </c>
      <c r="D482" s="78">
        <v>2680</v>
      </c>
      <c r="E482" s="1">
        <f t="shared" si="29"/>
        <v>5078</v>
      </c>
      <c r="F482" s="2">
        <f t="shared" si="31"/>
        <v>536</v>
      </c>
      <c r="H482" s="61">
        <f t="shared" si="30"/>
        <v>800017</v>
      </c>
    </row>
    <row r="483" ht="16.5" spans="1:8">
      <c r="A483" s="1">
        <f t="shared" si="28"/>
        <v>5078</v>
      </c>
      <c r="B483" s="1">
        <v>400011</v>
      </c>
      <c r="C483" s="100">
        <v>78</v>
      </c>
      <c r="D483" s="78">
        <v>2720</v>
      </c>
      <c r="E483" s="1">
        <f t="shared" si="29"/>
        <v>5079</v>
      </c>
      <c r="F483" s="2">
        <f t="shared" si="31"/>
        <v>544</v>
      </c>
      <c r="H483" s="61">
        <f t="shared" si="30"/>
        <v>800017</v>
      </c>
    </row>
    <row r="484" ht="16.5" spans="1:8">
      <c r="A484" s="1">
        <f t="shared" si="28"/>
        <v>5079</v>
      </c>
      <c r="B484" s="1">
        <v>400011</v>
      </c>
      <c r="C484" s="100">
        <v>79</v>
      </c>
      <c r="D484" s="78">
        <v>2760</v>
      </c>
      <c r="E484" s="1">
        <f t="shared" si="29"/>
        <v>5080</v>
      </c>
      <c r="F484" s="2">
        <f t="shared" si="31"/>
        <v>552</v>
      </c>
      <c r="H484" s="61">
        <f t="shared" si="30"/>
        <v>800017</v>
      </c>
    </row>
    <row r="485" ht="16.5" spans="1:8">
      <c r="A485" s="1">
        <f t="shared" si="28"/>
        <v>5080</v>
      </c>
      <c r="B485" s="1">
        <v>400011</v>
      </c>
      <c r="C485" s="100">
        <v>80</v>
      </c>
      <c r="D485" s="78">
        <v>2800</v>
      </c>
      <c r="E485" s="1">
        <f t="shared" si="29"/>
        <v>5081</v>
      </c>
      <c r="F485" s="2">
        <f t="shared" si="31"/>
        <v>560</v>
      </c>
      <c r="H485" s="61">
        <f t="shared" si="30"/>
        <v>800017</v>
      </c>
    </row>
    <row r="486" ht="16.5" spans="1:8">
      <c r="A486" s="1">
        <f t="shared" si="28"/>
        <v>5081</v>
      </c>
      <c r="B486" s="1">
        <v>400011</v>
      </c>
      <c r="C486" s="100">
        <v>81</v>
      </c>
      <c r="D486" s="78">
        <v>2840</v>
      </c>
      <c r="E486" s="1">
        <f t="shared" si="29"/>
        <v>5082</v>
      </c>
      <c r="F486" s="2">
        <f t="shared" si="31"/>
        <v>568</v>
      </c>
      <c r="H486" s="61">
        <f t="shared" si="30"/>
        <v>800017</v>
      </c>
    </row>
    <row r="487" ht="16.5" spans="1:8">
      <c r="A487" s="1">
        <f t="shared" si="28"/>
        <v>5082</v>
      </c>
      <c r="B487" s="1">
        <v>400011</v>
      </c>
      <c r="C487" s="100">
        <v>82</v>
      </c>
      <c r="D487" s="78">
        <v>2880</v>
      </c>
      <c r="E487" s="1">
        <f t="shared" si="29"/>
        <v>5083</v>
      </c>
      <c r="F487" s="2">
        <f t="shared" si="31"/>
        <v>576</v>
      </c>
      <c r="H487" s="61">
        <f t="shared" si="30"/>
        <v>800017</v>
      </c>
    </row>
    <row r="488" ht="16.5" spans="1:8">
      <c r="A488" s="1">
        <f t="shared" si="28"/>
        <v>5083</v>
      </c>
      <c r="B488" s="1">
        <v>400011</v>
      </c>
      <c r="C488" s="100">
        <v>83</v>
      </c>
      <c r="D488" s="78">
        <v>2920</v>
      </c>
      <c r="E488" s="1">
        <f t="shared" si="29"/>
        <v>5084</v>
      </c>
      <c r="F488" s="2">
        <f t="shared" si="31"/>
        <v>584</v>
      </c>
      <c r="H488" s="61">
        <f t="shared" si="30"/>
        <v>800017</v>
      </c>
    </row>
    <row r="489" ht="16.5" spans="1:8">
      <c r="A489" s="1">
        <f t="shared" si="28"/>
        <v>5084</v>
      </c>
      <c r="B489" s="1">
        <v>400011</v>
      </c>
      <c r="C489" s="100">
        <v>84</v>
      </c>
      <c r="D489" s="78">
        <v>2960</v>
      </c>
      <c r="E489" s="1">
        <f t="shared" si="29"/>
        <v>5085</v>
      </c>
      <c r="F489" s="2">
        <f t="shared" si="31"/>
        <v>592</v>
      </c>
      <c r="H489" s="61">
        <f t="shared" si="30"/>
        <v>800017</v>
      </c>
    </row>
    <row r="490" ht="16.5" spans="1:8">
      <c r="A490" s="1">
        <f t="shared" si="28"/>
        <v>5085</v>
      </c>
      <c r="B490" s="1">
        <v>400011</v>
      </c>
      <c r="C490" s="100">
        <v>85</v>
      </c>
      <c r="D490" s="78">
        <v>3000</v>
      </c>
      <c r="E490" s="1">
        <f t="shared" si="29"/>
        <v>5086</v>
      </c>
      <c r="F490" s="2">
        <f t="shared" si="31"/>
        <v>600</v>
      </c>
      <c r="H490" s="61">
        <f t="shared" si="30"/>
        <v>800017</v>
      </c>
    </row>
    <row r="491" ht="16.5" spans="1:8">
      <c r="A491" s="1">
        <f t="shared" si="28"/>
        <v>5086</v>
      </c>
      <c r="B491" s="1">
        <v>400011</v>
      </c>
      <c r="C491" s="100">
        <v>86</v>
      </c>
      <c r="D491" s="78">
        <v>3040</v>
      </c>
      <c r="E491" s="1">
        <f t="shared" si="29"/>
        <v>5087</v>
      </c>
      <c r="F491" s="2">
        <f t="shared" si="31"/>
        <v>608</v>
      </c>
      <c r="H491" s="61">
        <f t="shared" si="30"/>
        <v>800017</v>
      </c>
    </row>
    <row r="492" ht="16.5" spans="1:8">
      <c r="A492" s="1">
        <f t="shared" si="28"/>
        <v>5087</v>
      </c>
      <c r="B492" s="1">
        <v>400011</v>
      </c>
      <c r="C492" s="100">
        <v>87</v>
      </c>
      <c r="D492" s="78">
        <v>3080</v>
      </c>
      <c r="E492" s="1">
        <f t="shared" si="29"/>
        <v>5088</v>
      </c>
      <c r="F492" s="2">
        <f t="shared" si="31"/>
        <v>616</v>
      </c>
      <c r="H492" s="61">
        <f t="shared" si="30"/>
        <v>800017</v>
      </c>
    </row>
    <row r="493" ht="16.5" spans="1:8">
      <c r="A493" s="1">
        <f t="shared" si="28"/>
        <v>5088</v>
      </c>
      <c r="B493" s="1">
        <v>400011</v>
      </c>
      <c r="C493" s="100">
        <v>88</v>
      </c>
      <c r="D493" s="78">
        <v>3120</v>
      </c>
      <c r="E493" s="1">
        <f t="shared" si="29"/>
        <v>5089</v>
      </c>
      <c r="F493" s="2">
        <f t="shared" si="31"/>
        <v>624</v>
      </c>
      <c r="H493" s="61">
        <f t="shared" si="30"/>
        <v>800017</v>
      </c>
    </row>
    <row r="494" ht="16.5" spans="1:8">
      <c r="A494" s="1">
        <f t="shared" si="28"/>
        <v>5089</v>
      </c>
      <c r="B494" s="1">
        <v>400011</v>
      </c>
      <c r="C494" s="100">
        <v>89</v>
      </c>
      <c r="D494" s="78">
        <v>3160</v>
      </c>
      <c r="E494" s="1">
        <f t="shared" si="29"/>
        <v>5090</v>
      </c>
      <c r="F494" s="2">
        <f t="shared" si="31"/>
        <v>632</v>
      </c>
      <c r="H494" s="61">
        <f t="shared" si="30"/>
        <v>800017</v>
      </c>
    </row>
    <row r="495" ht="16.5" spans="1:8">
      <c r="A495" s="1">
        <f t="shared" si="28"/>
        <v>5090</v>
      </c>
      <c r="B495" s="1">
        <v>400011</v>
      </c>
      <c r="C495" s="100">
        <v>90</v>
      </c>
      <c r="D495" s="78">
        <v>3200</v>
      </c>
      <c r="E495" s="1">
        <f t="shared" si="29"/>
        <v>5091</v>
      </c>
      <c r="F495" s="2">
        <f t="shared" si="31"/>
        <v>640</v>
      </c>
      <c r="H495" s="61">
        <f t="shared" si="30"/>
        <v>800017</v>
      </c>
    </row>
    <row r="496" ht="16.5" spans="1:8">
      <c r="A496" s="1">
        <f t="shared" si="28"/>
        <v>5091</v>
      </c>
      <c r="B496" s="1">
        <v>400011</v>
      </c>
      <c r="C496" s="100">
        <v>91</v>
      </c>
      <c r="D496" s="78">
        <v>3240</v>
      </c>
      <c r="E496" s="1">
        <f t="shared" si="29"/>
        <v>5092</v>
      </c>
      <c r="F496" s="2">
        <f t="shared" si="31"/>
        <v>648</v>
      </c>
      <c r="H496" s="61">
        <f t="shared" si="30"/>
        <v>800017</v>
      </c>
    </row>
    <row r="497" ht="16.5" spans="1:8">
      <c r="A497" s="1">
        <f t="shared" si="28"/>
        <v>5092</v>
      </c>
      <c r="B497" s="1">
        <v>400011</v>
      </c>
      <c r="C497" s="100">
        <v>92</v>
      </c>
      <c r="D497" s="78">
        <v>3280</v>
      </c>
      <c r="E497" s="1">
        <f t="shared" si="29"/>
        <v>5093</v>
      </c>
      <c r="F497" s="2">
        <f t="shared" si="31"/>
        <v>656</v>
      </c>
      <c r="H497" s="61">
        <f t="shared" si="30"/>
        <v>800017</v>
      </c>
    </row>
    <row r="498" ht="16.5" spans="1:8">
      <c r="A498" s="1">
        <f t="shared" si="28"/>
        <v>5093</v>
      </c>
      <c r="B498" s="1">
        <v>400011</v>
      </c>
      <c r="C498" s="100">
        <v>93</v>
      </c>
      <c r="D498" s="78">
        <v>3320</v>
      </c>
      <c r="E498" s="1">
        <f t="shared" si="29"/>
        <v>5094</v>
      </c>
      <c r="F498" s="2">
        <f t="shared" si="31"/>
        <v>664</v>
      </c>
      <c r="H498" s="61">
        <f t="shared" si="30"/>
        <v>800017</v>
      </c>
    </row>
    <row r="499" ht="16.5" spans="1:8">
      <c r="A499" s="1">
        <f t="shared" si="28"/>
        <v>5094</v>
      </c>
      <c r="B499" s="1">
        <v>400011</v>
      </c>
      <c r="C499" s="100">
        <v>94</v>
      </c>
      <c r="D499" s="78">
        <v>3360</v>
      </c>
      <c r="E499" s="1">
        <f t="shared" si="29"/>
        <v>5095</v>
      </c>
      <c r="F499" s="2">
        <f t="shared" si="31"/>
        <v>672</v>
      </c>
      <c r="H499" s="61">
        <f t="shared" si="30"/>
        <v>800017</v>
      </c>
    </row>
    <row r="500" ht="16.5" spans="1:17">
      <c r="A500" s="1">
        <f t="shared" si="28"/>
        <v>5095</v>
      </c>
      <c r="B500" s="1">
        <v>400011</v>
      </c>
      <c r="C500" s="100">
        <v>95</v>
      </c>
      <c r="D500" s="78">
        <v>3400</v>
      </c>
      <c r="E500" s="1">
        <f t="shared" si="29"/>
        <v>5096</v>
      </c>
      <c r="F500" s="2">
        <f t="shared" si="31"/>
        <v>680</v>
      </c>
      <c r="H500" s="61">
        <f t="shared" si="30"/>
        <v>800017</v>
      </c>
      <c r="Q500" s="1" t="s">
        <v>3470</v>
      </c>
    </row>
    <row r="501" ht="16.5" spans="1:8">
      <c r="A501" s="1">
        <f t="shared" si="28"/>
        <v>5096</v>
      </c>
      <c r="B501" s="1">
        <v>400011</v>
      </c>
      <c r="C501" s="100">
        <v>96</v>
      </c>
      <c r="D501" s="78">
        <v>3440</v>
      </c>
      <c r="E501" s="1">
        <f t="shared" si="29"/>
        <v>5097</v>
      </c>
      <c r="F501" s="2">
        <f t="shared" si="31"/>
        <v>688</v>
      </c>
      <c r="H501" s="61">
        <f t="shared" si="30"/>
        <v>800017</v>
      </c>
    </row>
    <row r="502" ht="16.5" spans="1:8">
      <c r="A502" s="1">
        <f t="shared" si="28"/>
        <v>5097</v>
      </c>
      <c r="B502" s="1">
        <v>400011</v>
      </c>
      <c r="C502" s="100">
        <v>97</v>
      </c>
      <c r="D502" s="78">
        <v>3480</v>
      </c>
      <c r="E502" s="1">
        <f t="shared" si="29"/>
        <v>5098</v>
      </c>
      <c r="F502" s="2">
        <f t="shared" si="31"/>
        <v>696</v>
      </c>
      <c r="H502" s="61">
        <f t="shared" si="30"/>
        <v>800017</v>
      </c>
    </row>
    <row r="503" ht="16.5" spans="1:8">
      <c r="A503" s="1">
        <f t="shared" si="28"/>
        <v>5098</v>
      </c>
      <c r="B503" s="1">
        <v>400011</v>
      </c>
      <c r="C503" s="100">
        <v>98</v>
      </c>
      <c r="D503" s="78">
        <v>3520</v>
      </c>
      <c r="E503" s="1">
        <f t="shared" si="29"/>
        <v>5099</v>
      </c>
      <c r="F503" s="2">
        <f t="shared" si="31"/>
        <v>704</v>
      </c>
      <c r="H503" s="61">
        <f t="shared" si="30"/>
        <v>800017</v>
      </c>
    </row>
    <row r="504" ht="16.5" spans="1:8">
      <c r="A504" s="1">
        <f t="shared" si="28"/>
        <v>5099</v>
      </c>
      <c r="B504" s="1">
        <v>400011</v>
      </c>
      <c r="C504" s="100">
        <v>99</v>
      </c>
      <c r="D504" s="78">
        <v>3560</v>
      </c>
      <c r="E504" s="1">
        <f t="shared" si="29"/>
        <v>5100</v>
      </c>
      <c r="F504" s="2">
        <f t="shared" si="31"/>
        <v>712</v>
      </c>
      <c r="H504" s="61">
        <f t="shared" si="30"/>
        <v>800017</v>
      </c>
    </row>
    <row r="505" ht="16.5" spans="1:8">
      <c r="A505" s="1">
        <f t="shared" si="28"/>
        <v>5100</v>
      </c>
      <c r="B505" s="1">
        <v>400011</v>
      </c>
      <c r="C505" s="100">
        <v>100</v>
      </c>
      <c r="D505" s="97">
        <v>3600</v>
      </c>
      <c r="E505" s="1">
        <f t="shared" si="29"/>
        <v>0</v>
      </c>
      <c r="F505" s="2">
        <f t="shared" si="31"/>
        <v>720</v>
      </c>
      <c r="H505" s="61">
        <f t="shared" si="30"/>
        <v>800017</v>
      </c>
    </row>
  </sheetData>
  <autoFilter xmlns:etc="http://www.wps.cn/officeDocument/2017/etCustomData" ref="C1:C505" etc:filterBottomFollowUsedRange="0">
    <extLst/>
  </autoFilter>
  <conditionalFormatting sqref="A1:A5">
    <cfRule type="duplicateValues" dxfId="9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AO245"/>
  <sheetViews>
    <sheetView workbookViewId="0">
      <pane xSplit="7" ySplit="5" topLeftCell="H227" activePane="bottomRight" state="frozenSplit"/>
      <selection/>
      <selection pane="topRight"/>
      <selection pane="bottomLeft"/>
      <selection pane="bottomRight" activeCell="L186" sqref="L186:L245"/>
    </sheetView>
  </sheetViews>
  <sheetFormatPr defaultColWidth="9" defaultRowHeight="13.85"/>
  <cols>
    <col min="1" max="1" width="11.2477876106195" style="79" customWidth="1"/>
    <col min="2" max="2" width="13" style="79" customWidth="1"/>
    <col min="3" max="3" width="9" style="79"/>
    <col min="4" max="4" width="11.5044247787611" style="79" customWidth="1"/>
    <col min="5" max="5" width="12.2477876106195" style="79" customWidth="1"/>
    <col min="6" max="6" width="24" style="79" customWidth="1"/>
    <col min="7" max="7" width="14.6283185840708" style="79" customWidth="1"/>
    <col min="8" max="8" width="19.3716814159292" style="79" customWidth="1"/>
    <col min="9" max="9" width="13.5044247787611" style="79" customWidth="1"/>
    <col min="10" max="12" width="19.1238938053097" style="79" customWidth="1"/>
    <col min="13" max="13" width="14.5044247787611" style="79" customWidth="1"/>
    <col min="14" max="14" width="22.6283185840708" style="79" customWidth="1"/>
    <col min="15" max="16" width="9" style="79"/>
    <col min="17" max="17" width="23.7522123893805" style="79" customWidth="1"/>
    <col min="18" max="18" width="10.5044247787611" style="79" customWidth="1"/>
    <col min="19" max="19" width="9" style="79"/>
    <col min="20" max="20" width="15.3716814159292" style="79" customWidth="1"/>
    <col min="21" max="21" width="14.5044247787611" style="79" customWidth="1"/>
    <col min="22" max="36" width="42.7522123893805" style="79" customWidth="1"/>
    <col min="37" max="16384" width="9" style="79"/>
  </cols>
  <sheetData>
    <row r="1" spans="1:10">
      <c r="A1" s="79" t="s">
        <v>33</v>
      </c>
      <c r="J1" s="79">
        <v>50</v>
      </c>
    </row>
    <row r="2" ht="41.25" customHeight="1" spans="1:22">
      <c r="A2" s="79" t="s">
        <v>2815</v>
      </c>
      <c r="B2" s="79" t="s">
        <v>997</v>
      </c>
      <c r="C2" s="79" t="s">
        <v>3471</v>
      </c>
      <c r="D2" s="79" t="s">
        <v>2943</v>
      </c>
      <c r="E2" s="79" t="s">
        <v>3472</v>
      </c>
      <c r="F2" s="79" t="s">
        <v>2941</v>
      </c>
      <c r="G2" s="79" t="s">
        <v>2944</v>
      </c>
      <c r="H2" s="79" t="s">
        <v>3473</v>
      </c>
      <c r="I2" s="79" t="s">
        <v>3474</v>
      </c>
      <c r="J2" s="80" t="s">
        <v>3475</v>
      </c>
      <c r="K2" s="93" t="s">
        <v>2963</v>
      </c>
      <c r="L2" s="93"/>
      <c r="M2" s="94" t="s">
        <v>3476</v>
      </c>
      <c r="N2" s="94" t="s">
        <v>3477</v>
      </c>
      <c r="O2" s="79" t="s">
        <v>3478</v>
      </c>
      <c r="Q2" s="79" t="s">
        <v>3479</v>
      </c>
      <c r="R2" s="79" t="s">
        <v>3480</v>
      </c>
      <c r="S2" s="79" t="s">
        <v>3481</v>
      </c>
      <c r="T2" s="79" t="s">
        <v>3482</v>
      </c>
      <c r="U2" s="79" t="s">
        <v>2967</v>
      </c>
      <c r="V2" s="79" t="s">
        <v>3483</v>
      </c>
    </row>
    <row r="3" ht="15" spans="1:22">
      <c r="A3" s="79" t="s">
        <v>109</v>
      </c>
      <c r="B3" s="79" t="s">
        <v>109</v>
      </c>
      <c r="C3" s="79" t="s">
        <v>109</v>
      </c>
      <c r="D3" s="79" t="s">
        <v>109</v>
      </c>
      <c r="E3" s="79" t="s">
        <v>109</v>
      </c>
      <c r="F3" s="79" t="s">
        <v>110</v>
      </c>
      <c r="G3" s="79" t="s">
        <v>110</v>
      </c>
      <c r="H3" s="79" t="s">
        <v>109</v>
      </c>
      <c r="I3" s="79" t="s">
        <v>110</v>
      </c>
      <c r="J3" s="79" t="s">
        <v>109</v>
      </c>
      <c r="K3" s="95" t="s">
        <v>109</v>
      </c>
      <c r="L3" s="95"/>
      <c r="M3" s="94" t="s">
        <v>109</v>
      </c>
      <c r="N3" s="94" t="s">
        <v>109</v>
      </c>
      <c r="O3" s="79" t="s">
        <v>109</v>
      </c>
      <c r="Q3" s="79" t="s">
        <v>109</v>
      </c>
      <c r="R3" s="79" t="s">
        <v>109</v>
      </c>
      <c r="S3" s="79" t="s">
        <v>109</v>
      </c>
      <c r="T3" s="79" t="s">
        <v>110</v>
      </c>
      <c r="U3" s="79" t="s">
        <v>110</v>
      </c>
      <c r="V3" s="79" t="s">
        <v>2972</v>
      </c>
    </row>
    <row r="4" ht="15" spans="1:22">
      <c r="A4" s="79" t="s">
        <v>62</v>
      </c>
      <c r="B4" s="79" t="s">
        <v>2973</v>
      </c>
      <c r="C4" s="79" t="s">
        <v>67</v>
      </c>
      <c r="D4" s="79" t="s">
        <v>2974</v>
      </c>
      <c r="E4" s="79" t="s">
        <v>3484</v>
      </c>
      <c r="F4" s="79" t="s">
        <v>571</v>
      </c>
      <c r="G4" s="79" t="s">
        <v>64</v>
      </c>
      <c r="H4" s="79" t="s">
        <v>3485</v>
      </c>
      <c r="I4" s="79" t="s">
        <v>3486</v>
      </c>
      <c r="J4" s="81" t="s">
        <v>3487</v>
      </c>
      <c r="K4" s="95" t="s">
        <v>2992</v>
      </c>
      <c r="L4" s="95"/>
      <c r="M4" s="94" t="s">
        <v>3488</v>
      </c>
      <c r="N4" s="94" t="s">
        <v>3489</v>
      </c>
      <c r="O4" s="79" t="s">
        <v>557</v>
      </c>
      <c r="Q4" s="79" t="s">
        <v>3490</v>
      </c>
      <c r="R4" s="79" t="s">
        <v>3491</v>
      </c>
      <c r="S4" s="79" t="s">
        <v>3492</v>
      </c>
      <c r="T4" s="79" t="s">
        <v>2995</v>
      </c>
      <c r="U4" s="79" t="s">
        <v>2996</v>
      </c>
      <c r="V4" s="79" t="s">
        <v>2999</v>
      </c>
    </row>
    <row r="5" ht="15" spans="1:19">
      <c r="A5" s="79" t="s">
        <v>62</v>
      </c>
      <c r="B5" s="79" t="s">
        <v>2973</v>
      </c>
      <c r="C5" s="79" t="s">
        <v>67</v>
      </c>
      <c r="J5" s="81" t="s">
        <v>3487</v>
      </c>
      <c r="K5" s="95" t="s">
        <v>2992</v>
      </c>
      <c r="L5" s="95"/>
      <c r="M5" s="94" t="s">
        <v>3488</v>
      </c>
      <c r="N5" s="94" t="s">
        <v>3489</v>
      </c>
      <c r="O5" s="79" t="s">
        <v>557</v>
      </c>
      <c r="Q5" s="79" t="s">
        <v>3490</v>
      </c>
      <c r="R5" s="79" t="s">
        <v>3491</v>
      </c>
      <c r="S5" s="79" t="s">
        <v>3492</v>
      </c>
    </row>
    <row r="6" ht="16.5" customHeight="1" spans="1:41">
      <c r="A6" s="79">
        <f t="shared" ref="A6:A25" si="0">C6*100000+B6*10000+O6</f>
        <v>210001</v>
      </c>
      <c r="B6" s="79">
        <v>1</v>
      </c>
      <c r="C6" s="79">
        <v>2</v>
      </c>
      <c r="D6" s="79">
        <v>2</v>
      </c>
      <c r="F6" s="79" t="s">
        <v>3493</v>
      </c>
      <c r="G6" s="79" t="s">
        <v>3494</v>
      </c>
      <c r="H6" s="79">
        <v>0</v>
      </c>
      <c r="K6" s="79">
        <f>IF(L6=0,0,B6*1000+L6-1)</f>
        <v>1000</v>
      </c>
      <c r="L6" s="79">
        <v>1</v>
      </c>
      <c r="M6" s="94"/>
      <c r="N6" s="94"/>
      <c r="O6" s="79">
        <v>1</v>
      </c>
      <c r="P6" s="79" t="s">
        <v>3495</v>
      </c>
      <c r="Q6" s="79">
        <v>300</v>
      </c>
      <c r="R6" s="79">
        <f t="shared" ref="R6:R14" si="1">A7</f>
        <v>210002</v>
      </c>
      <c r="T6" s="79" t="s">
        <v>3353</v>
      </c>
      <c r="U6" s="79" t="str">
        <f t="shared" ref="U6:U15" si="2">$AM$7&amp;"|"&amp;$AN$7&amp;"|"</f>
        <v>140|360|</v>
      </c>
      <c r="V6" s="79" t="s">
        <v>3496</v>
      </c>
      <c r="AK6" s="79" t="s">
        <v>528</v>
      </c>
      <c r="AO6" s="79" t="s">
        <v>3497</v>
      </c>
    </row>
    <row r="7" spans="1:40">
      <c r="A7" s="79">
        <f t="shared" si="0"/>
        <v>210002</v>
      </c>
      <c r="B7" s="79">
        <v>1</v>
      </c>
      <c r="C7" s="79">
        <f>C17+1</f>
        <v>2</v>
      </c>
      <c r="D7" s="79">
        <f>D17+1</f>
        <v>2</v>
      </c>
      <c r="E7" s="79">
        <v>1</v>
      </c>
      <c r="F7" s="79" t="s">
        <v>3493</v>
      </c>
      <c r="G7" s="79" t="s">
        <v>3494</v>
      </c>
      <c r="H7" s="79">
        <v>1</v>
      </c>
      <c r="I7" s="79">
        <v>1</v>
      </c>
      <c r="J7" s="79">
        <f>$J$1*(O7-1)</f>
        <v>50</v>
      </c>
      <c r="K7" s="79">
        <f t="shared" ref="K7:K38" si="3">IF(L7=0,0,B7*1000+L7-1)</f>
        <v>1000</v>
      </c>
      <c r="L7" s="79">
        <v>1</v>
      </c>
      <c r="O7" s="79">
        <v>2</v>
      </c>
      <c r="P7" s="79" t="s">
        <v>3495</v>
      </c>
      <c r="Q7" s="79">
        <v>700</v>
      </c>
      <c r="R7" s="79">
        <f t="shared" si="1"/>
        <v>210003</v>
      </c>
      <c r="T7" s="79" t="s">
        <v>3353</v>
      </c>
      <c r="U7" s="79" t="str">
        <f t="shared" si="2"/>
        <v>140|360|</v>
      </c>
      <c r="V7" s="79" t="s">
        <v>3496</v>
      </c>
      <c r="AL7" s="79" t="s">
        <v>3498</v>
      </c>
      <c r="AM7" s="79" t="s">
        <v>3499</v>
      </c>
      <c r="AN7" s="79" t="s">
        <v>3500</v>
      </c>
    </row>
    <row r="8" spans="1:40">
      <c r="A8" s="79">
        <f t="shared" si="0"/>
        <v>210003</v>
      </c>
      <c r="B8" s="79">
        <v>1</v>
      </c>
      <c r="C8" s="79">
        <f t="shared" ref="C8:C15" si="4">C7</f>
        <v>2</v>
      </c>
      <c r="D8" s="79">
        <f t="shared" ref="D8:D15" si="5">D7</f>
        <v>2</v>
      </c>
      <c r="E8" s="79">
        <v>1</v>
      </c>
      <c r="F8" s="79" t="s">
        <v>3493</v>
      </c>
      <c r="G8" s="79" t="s">
        <v>3494</v>
      </c>
      <c r="H8" s="79">
        <v>1</v>
      </c>
      <c r="I8" s="79">
        <v>1</v>
      </c>
      <c r="J8" s="79">
        <f t="shared" ref="J8:J15" si="6">$J$1*(O8-1)</f>
        <v>100</v>
      </c>
      <c r="K8" s="79">
        <f t="shared" si="3"/>
        <v>1000</v>
      </c>
      <c r="L8" s="79">
        <v>1</v>
      </c>
      <c r="O8" s="79">
        <v>3</v>
      </c>
      <c r="P8" s="79" t="s">
        <v>3495</v>
      </c>
      <c r="Q8" s="79">
        <v>1200</v>
      </c>
      <c r="R8" s="79">
        <f t="shared" si="1"/>
        <v>210004</v>
      </c>
      <c r="T8" s="79" t="s">
        <v>3353</v>
      </c>
      <c r="U8" s="79" t="str">
        <f t="shared" si="2"/>
        <v>140|360|</v>
      </c>
      <c r="V8" s="79" t="s">
        <v>3496</v>
      </c>
      <c r="AL8" s="79" t="s">
        <v>3501</v>
      </c>
      <c r="AM8" s="79" t="s">
        <v>3502</v>
      </c>
      <c r="AN8" s="79" t="s">
        <v>3503</v>
      </c>
    </row>
    <row r="9" spans="1:40">
      <c r="A9" s="79">
        <f t="shared" si="0"/>
        <v>210004</v>
      </c>
      <c r="B9" s="79">
        <v>1</v>
      </c>
      <c r="C9" s="79">
        <f t="shared" si="4"/>
        <v>2</v>
      </c>
      <c r="D9" s="79">
        <f t="shared" si="5"/>
        <v>2</v>
      </c>
      <c r="E9" s="79">
        <v>1</v>
      </c>
      <c r="F9" s="79" t="s">
        <v>3493</v>
      </c>
      <c r="G9" s="79" t="s">
        <v>3494</v>
      </c>
      <c r="H9" s="79">
        <v>1</v>
      </c>
      <c r="I9" s="79">
        <v>1</v>
      </c>
      <c r="J9" s="79">
        <f t="shared" si="6"/>
        <v>150</v>
      </c>
      <c r="K9" s="79">
        <f t="shared" si="3"/>
        <v>1001</v>
      </c>
      <c r="L9" s="79">
        <v>2</v>
      </c>
      <c r="O9" s="79">
        <v>4</v>
      </c>
      <c r="P9" s="79" t="s">
        <v>3495</v>
      </c>
      <c r="Q9" s="79">
        <v>4000</v>
      </c>
      <c r="R9" s="79">
        <f t="shared" si="1"/>
        <v>210005</v>
      </c>
      <c r="T9" s="79" t="s">
        <v>3353</v>
      </c>
      <c r="U9" s="79" t="str">
        <f t="shared" si="2"/>
        <v>140|360|</v>
      </c>
      <c r="V9" s="79" t="s">
        <v>3496</v>
      </c>
      <c r="AL9" s="79" t="s">
        <v>3501</v>
      </c>
      <c r="AM9" s="79" t="s">
        <v>3502</v>
      </c>
      <c r="AN9" s="79" t="s">
        <v>3503</v>
      </c>
    </row>
    <row r="10" spans="1:40">
      <c r="A10" s="79">
        <f t="shared" si="0"/>
        <v>210005</v>
      </c>
      <c r="B10" s="79">
        <v>1</v>
      </c>
      <c r="C10" s="79">
        <f t="shared" si="4"/>
        <v>2</v>
      </c>
      <c r="D10" s="79">
        <f t="shared" si="5"/>
        <v>2</v>
      </c>
      <c r="E10" s="79">
        <v>1</v>
      </c>
      <c r="F10" s="79" t="s">
        <v>3493</v>
      </c>
      <c r="G10" s="79" t="s">
        <v>3494</v>
      </c>
      <c r="H10" s="79">
        <v>0</v>
      </c>
      <c r="I10" s="79">
        <v>0</v>
      </c>
      <c r="J10" s="79">
        <f t="shared" si="6"/>
        <v>200</v>
      </c>
      <c r="K10" s="79">
        <f t="shared" si="3"/>
        <v>1002</v>
      </c>
      <c r="L10" s="79">
        <v>3</v>
      </c>
      <c r="M10" s="79">
        <v>2</v>
      </c>
      <c r="N10" s="79">
        <v>3000</v>
      </c>
      <c r="O10" s="79">
        <v>5</v>
      </c>
      <c r="P10" s="79" t="s">
        <v>3495</v>
      </c>
      <c r="Q10" s="79">
        <v>6900</v>
      </c>
      <c r="R10" s="79">
        <f t="shared" si="1"/>
        <v>210006</v>
      </c>
      <c r="T10" s="79" t="s">
        <v>3353</v>
      </c>
      <c r="U10" s="79" t="str">
        <f t="shared" si="2"/>
        <v>140|360|</v>
      </c>
      <c r="V10" s="79" t="s">
        <v>3496</v>
      </c>
      <c r="AL10" s="79" t="s">
        <v>3504</v>
      </c>
      <c r="AM10" s="79" t="s">
        <v>3505</v>
      </c>
      <c r="AN10" s="79" t="s">
        <v>3506</v>
      </c>
    </row>
    <row r="11" spans="1:41">
      <c r="A11" s="79">
        <f t="shared" si="0"/>
        <v>210006</v>
      </c>
      <c r="B11" s="79">
        <v>1</v>
      </c>
      <c r="C11" s="79">
        <f t="shared" si="4"/>
        <v>2</v>
      </c>
      <c r="D11" s="79">
        <f t="shared" si="5"/>
        <v>2</v>
      </c>
      <c r="E11" s="79">
        <v>2</v>
      </c>
      <c r="F11" s="79" t="s">
        <v>3507</v>
      </c>
      <c r="G11" s="79" t="s">
        <v>3508</v>
      </c>
      <c r="H11" s="79">
        <v>1</v>
      </c>
      <c r="I11" s="79">
        <v>1</v>
      </c>
      <c r="J11" s="79">
        <f t="shared" si="6"/>
        <v>250</v>
      </c>
      <c r="K11" s="79">
        <f t="shared" si="3"/>
        <v>1003</v>
      </c>
      <c r="L11" s="79">
        <v>4</v>
      </c>
      <c r="O11" s="79">
        <v>6</v>
      </c>
      <c r="P11" s="79" t="s">
        <v>3495</v>
      </c>
      <c r="Q11" s="79">
        <v>21100</v>
      </c>
      <c r="R11" s="79">
        <f t="shared" si="1"/>
        <v>210007</v>
      </c>
      <c r="T11" s="79" t="s">
        <v>3353</v>
      </c>
      <c r="U11" s="79" t="str">
        <f t="shared" si="2"/>
        <v>140|360|</v>
      </c>
      <c r="V11" s="79" t="s">
        <v>3496</v>
      </c>
      <c r="AL11" s="79" t="s">
        <v>3099</v>
      </c>
      <c r="AM11" s="79" t="s">
        <v>3100</v>
      </c>
      <c r="AN11" s="79" t="s">
        <v>3101</v>
      </c>
      <c r="AO11" s="79">
        <f>[5]item_type!$A203</f>
        <v>302012</v>
      </c>
    </row>
    <row r="12" spans="1:41">
      <c r="A12" s="79">
        <f t="shared" si="0"/>
        <v>210007</v>
      </c>
      <c r="B12" s="79">
        <v>1</v>
      </c>
      <c r="C12" s="79">
        <f t="shared" si="4"/>
        <v>2</v>
      </c>
      <c r="D12" s="79">
        <f t="shared" si="5"/>
        <v>2</v>
      </c>
      <c r="E12" s="79">
        <v>2</v>
      </c>
      <c r="F12" s="79" t="s">
        <v>3507</v>
      </c>
      <c r="G12" s="79" t="s">
        <v>3508</v>
      </c>
      <c r="H12" s="79">
        <v>1</v>
      </c>
      <c r="I12" s="79">
        <v>0</v>
      </c>
      <c r="J12" s="79">
        <f t="shared" si="6"/>
        <v>300</v>
      </c>
      <c r="K12" s="79">
        <f t="shared" si="3"/>
        <v>1003</v>
      </c>
      <c r="L12" s="79">
        <v>4</v>
      </c>
      <c r="M12" s="79">
        <v>1</v>
      </c>
      <c r="N12" s="79">
        <v>3000</v>
      </c>
      <c r="O12" s="79">
        <v>7</v>
      </c>
      <c r="P12" s="79" t="s">
        <v>3495</v>
      </c>
      <c r="Q12" s="79">
        <v>32500</v>
      </c>
      <c r="R12" s="79">
        <f t="shared" si="1"/>
        <v>210008</v>
      </c>
      <c r="T12" s="79" t="s">
        <v>3353</v>
      </c>
      <c r="U12" s="79" t="str">
        <f t="shared" si="2"/>
        <v>140|360|</v>
      </c>
      <c r="V12" s="79" t="s">
        <v>3496</v>
      </c>
      <c r="AL12" s="79" t="s">
        <v>3082</v>
      </c>
      <c r="AM12" s="79" t="s">
        <v>3083</v>
      </c>
      <c r="AN12" s="79" t="s">
        <v>3084</v>
      </c>
      <c r="AO12" s="79">
        <f>[5]item_type!$A204</f>
        <v>302013</v>
      </c>
    </row>
    <row r="13" spans="1:41">
      <c r="A13" s="79">
        <f t="shared" si="0"/>
        <v>210008</v>
      </c>
      <c r="B13" s="79">
        <v>1</v>
      </c>
      <c r="C13" s="79">
        <f t="shared" si="4"/>
        <v>2</v>
      </c>
      <c r="D13" s="79">
        <f t="shared" si="5"/>
        <v>2</v>
      </c>
      <c r="E13" s="79">
        <v>2</v>
      </c>
      <c r="F13" s="79" t="s">
        <v>3507</v>
      </c>
      <c r="G13" s="79" t="s">
        <v>3508</v>
      </c>
      <c r="H13" s="79">
        <v>1</v>
      </c>
      <c r="I13" s="79">
        <v>1</v>
      </c>
      <c r="J13" s="79">
        <f t="shared" si="6"/>
        <v>350</v>
      </c>
      <c r="K13" s="79">
        <f t="shared" si="3"/>
        <v>1005</v>
      </c>
      <c r="L13" s="79">
        <v>6</v>
      </c>
      <c r="O13" s="79">
        <v>8</v>
      </c>
      <c r="P13" s="79" t="s">
        <v>3495</v>
      </c>
      <c r="Q13" s="79">
        <v>64800</v>
      </c>
      <c r="R13" s="79">
        <f t="shared" si="1"/>
        <v>210009</v>
      </c>
      <c r="T13" s="79" t="s">
        <v>3353</v>
      </c>
      <c r="U13" s="79" t="str">
        <f t="shared" si="2"/>
        <v>140|360|</v>
      </c>
      <c r="V13" s="79" t="s">
        <v>3496</v>
      </c>
      <c r="AL13" s="79" t="s">
        <v>3099</v>
      </c>
      <c r="AM13" s="79" t="s">
        <v>3100</v>
      </c>
      <c r="AN13" s="79" t="s">
        <v>3101</v>
      </c>
      <c r="AO13" s="79">
        <f>[5]item_type!$A205</f>
        <v>302014</v>
      </c>
    </row>
    <row r="14" spans="1:41">
      <c r="A14" s="79">
        <f t="shared" si="0"/>
        <v>210009</v>
      </c>
      <c r="B14" s="79">
        <v>1</v>
      </c>
      <c r="C14" s="79">
        <f t="shared" si="4"/>
        <v>2</v>
      </c>
      <c r="D14" s="79">
        <f t="shared" si="5"/>
        <v>2</v>
      </c>
      <c r="E14" s="79">
        <v>2</v>
      </c>
      <c r="F14" s="79" t="s">
        <v>3507</v>
      </c>
      <c r="G14" s="79" t="s">
        <v>3508</v>
      </c>
      <c r="H14" s="79">
        <v>0</v>
      </c>
      <c r="I14" s="79">
        <v>0</v>
      </c>
      <c r="J14" s="79">
        <f t="shared" si="6"/>
        <v>400</v>
      </c>
      <c r="K14" s="79">
        <f t="shared" si="3"/>
        <v>1006</v>
      </c>
      <c r="L14" s="79">
        <v>7</v>
      </c>
      <c r="M14" s="79">
        <v>1</v>
      </c>
      <c r="N14" s="79">
        <v>3000</v>
      </c>
      <c r="O14" s="79">
        <v>9</v>
      </c>
      <c r="P14" s="79" t="s">
        <v>3495</v>
      </c>
      <c r="Q14" s="79">
        <v>100400</v>
      </c>
      <c r="R14" s="79">
        <f t="shared" si="1"/>
        <v>210010</v>
      </c>
      <c r="T14" s="79" t="s">
        <v>3353</v>
      </c>
      <c r="U14" s="79" t="str">
        <f t="shared" si="2"/>
        <v>140|360|</v>
      </c>
      <c r="V14" s="79" t="s">
        <v>3496</v>
      </c>
      <c r="AL14" s="79" t="s">
        <v>3082</v>
      </c>
      <c r="AM14" s="79" t="s">
        <v>3083</v>
      </c>
      <c r="AN14" s="79" t="s">
        <v>3084</v>
      </c>
      <c r="AO14" s="79">
        <f>[5]item_type!$A206</f>
        <v>302015</v>
      </c>
    </row>
    <row r="15" ht="16.5" customHeight="1" spans="1:41">
      <c r="A15" s="79">
        <f t="shared" si="0"/>
        <v>210010</v>
      </c>
      <c r="B15" s="79">
        <v>1</v>
      </c>
      <c r="C15" s="79">
        <f t="shared" si="4"/>
        <v>2</v>
      </c>
      <c r="D15" s="79">
        <f t="shared" si="5"/>
        <v>2</v>
      </c>
      <c r="E15" s="79">
        <v>3</v>
      </c>
      <c r="F15" s="79" t="s">
        <v>3509</v>
      </c>
      <c r="G15" s="79" t="s">
        <v>3510</v>
      </c>
      <c r="H15" s="79">
        <v>1</v>
      </c>
      <c r="I15" s="79">
        <v>0</v>
      </c>
      <c r="J15" s="79">
        <f t="shared" si="6"/>
        <v>450</v>
      </c>
      <c r="K15" s="79">
        <f t="shared" si="3"/>
        <v>0</v>
      </c>
      <c r="M15" s="79">
        <v>3</v>
      </c>
      <c r="N15" s="79">
        <v>3000</v>
      </c>
      <c r="O15" s="79">
        <v>10</v>
      </c>
      <c r="P15" s="79" t="s">
        <v>3495</v>
      </c>
      <c r="R15" s="79">
        <f>A67</f>
        <v>220002</v>
      </c>
      <c r="T15" s="79" t="s">
        <v>3353</v>
      </c>
      <c r="U15" s="79" t="str">
        <f t="shared" si="2"/>
        <v>140|360|</v>
      </c>
      <c r="V15" s="79" t="s">
        <v>3496</v>
      </c>
      <c r="AM15" s="79" t="s">
        <v>3134</v>
      </c>
      <c r="AN15" s="79" t="s">
        <v>3134</v>
      </c>
      <c r="AO15" s="79">
        <f>[5]item_type!$A207</f>
        <v>302016</v>
      </c>
    </row>
    <row r="16" ht="16.5" customHeight="1" spans="1:41">
      <c r="A16" s="79">
        <f t="shared" si="0"/>
        <v>110001</v>
      </c>
      <c r="B16" s="79">
        <v>1</v>
      </c>
      <c r="C16" s="79">
        <v>1</v>
      </c>
      <c r="D16" s="79">
        <v>1</v>
      </c>
      <c r="F16" s="79" t="s">
        <v>3511</v>
      </c>
      <c r="G16" s="79" t="s">
        <v>3512</v>
      </c>
      <c r="H16" s="79">
        <v>0</v>
      </c>
      <c r="K16" s="79">
        <f t="shared" si="3"/>
        <v>1001</v>
      </c>
      <c r="L16" s="79">
        <v>2</v>
      </c>
      <c r="O16" s="79">
        <v>1</v>
      </c>
      <c r="P16" s="79" t="s">
        <v>3513</v>
      </c>
      <c r="Q16" s="79">
        <v>1500</v>
      </c>
      <c r="R16" s="79">
        <f t="shared" ref="R16:R24" si="7">A17</f>
        <v>110002</v>
      </c>
      <c r="T16" s="79" t="s">
        <v>3514</v>
      </c>
      <c r="U16" s="79" t="str">
        <f t="shared" ref="U16:U25" si="8">$AM$8&amp;"|"&amp;$AN$8&amp;"|"</f>
        <v>616|472|</v>
      </c>
      <c r="V16" s="79" t="s">
        <v>3515</v>
      </c>
      <c r="AK16" s="79" t="s">
        <v>528</v>
      </c>
      <c r="AO16" s="79" t="s">
        <v>3497</v>
      </c>
    </row>
    <row r="17" ht="16.5" customHeight="1" spans="1:41">
      <c r="A17" s="79">
        <f t="shared" si="0"/>
        <v>110002</v>
      </c>
      <c r="B17" s="79">
        <v>1</v>
      </c>
      <c r="C17" s="79">
        <v>1</v>
      </c>
      <c r="D17" s="79">
        <v>1</v>
      </c>
      <c r="E17" s="79">
        <v>1</v>
      </c>
      <c r="F17" s="79" t="s">
        <v>3511</v>
      </c>
      <c r="G17" s="79" t="s">
        <v>3512</v>
      </c>
      <c r="H17" s="79">
        <v>1</v>
      </c>
      <c r="I17" s="79">
        <v>1</v>
      </c>
      <c r="J17" s="79">
        <f t="shared" ref="J17:J25" si="9">$J$1*(O17-1)</f>
        <v>50</v>
      </c>
      <c r="K17" s="79">
        <f t="shared" si="3"/>
        <v>1001</v>
      </c>
      <c r="L17" s="79">
        <v>2</v>
      </c>
      <c r="O17" s="79">
        <v>2</v>
      </c>
      <c r="P17" s="79" t="s">
        <v>3513</v>
      </c>
      <c r="Q17" s="79">
        <v>5000</v>
      </c>
      <c r="R17" s="79">
        <f t="shared" si="7"/>
        <v>110003</v>
      </c>
      <c r="T17" s="79" t="s">
        <v>3514</v>
      </c>
      <c r="U17" s="79" t="str">
        <f t="shared" si="8"/>
        <v>616|472|</v>
      </c>
      <c r="V17" s="79" t="s">
        <v>3515</v>
      </c>
      <c r="AK17" s="79" t="s">
        <v>528</v>
      </c>
      <c r="AO17" s="79" t="s">
        <v>3497</v>
      </c>
    </row>
    <row r="18" ht="16.5" customHeight="1" spans="1:22">
      <c r="A18" s="79">
        <f t="shared" si="0"/>
        <v>110003</v>
      </c>
      <c r="B18" s="79">
        <v>1</v>
      </c>
      <c r="C18" s="79">
        <f t="shared" ref="C18:C25" si="10">C17</f>
        <v>1</v>
      </c>
      <c r="D18" s="79">
        <f t="shared" ref="D18:D25" si="11">D17</f>
        <v>1</v>
      </c>
      <c r="E18" s="79">
        <v>1</v>
      </c>
      <c r="F18" s="79" t="s">
        <v>3511</v>
      </c>
      <c r="G18" s="79" t="s">
        <v>3512</v>
      </c>
      <c r="H18" s="79">
        <v>1</v>
      </c>
      <c r="I18" s="79">
        <v>1</v>
      </c>
      <c r="J18" s="79">
        <f t="shared" si="9"/>
        <v>100</v>
      </c>
      <c r="K18" s="79">
        <f t="shared" si="3"/>
        <v>1002</v>
      </c>
      <c r="L18" s="79">
        <v>3</v>
      </c>
      <c r="O18" s="79">
        <v>3</v>
      </c>
      <c r="P18" s="79" t="s">
        <v>3513</v>
      </c>
      <c r="Q18" s="79">
        <v>8100</v>
      </c>
      <c r="R18" s="79">
        <f t="shared" si="7"/>
        <v>110004</v>
      </c>
      <c r="T18" s="79" t="s">
        <v>3514</v>
      </c>
      <c r="U18" s="79" t="str">
        <f t="shared" si="8"/>
        <v>616|472|</v>
      </c>
      <c r="V18" s="79" t="s">
        <v>3515</v>
      </c>
    </row>
    <row r="19" ht="16.5" customHeight="1" spans="1:22">
      <c r="A19" s="79">
        <f t="shared" si="0"/>
        <v>110004</v>
      </c>
      <c r="B19" s="79">
        <v>1</v>
      </c>
      <c r="C19" s="79">
        <f t="shared" si="10"/>
        <v>1</v>
      </c>
      <c r="D19" s="79">
        <f t="shared" si="11"/>
        <v>1</v>
      </c>
      <c r="E19" s="79">
        <v>1</v>
      </c>
      <c r="F19" s="79" t="s">
        <v>3511</v>
      </c>
      <c r="G19" s="79" t="s">
        <v>3512</v>
      </c>
      <c r="H19" s="79">
        <v>1</v>
      </c>
      <c r="I19" s="79">
        <v>1</v>
      </c>
      <c r="J19" s="79">
        <f t="shared" si="9"/>
        <v>150</v>
      </c>
      <c r="K19" s="79">
        <f t="shared" si="3"/>
        <v>1003</v>
      </c>
      <c r="L19" s="79">
        <v>4</v>
      </c>
      <c r="O19" s="79">
        <v>4</v>
      </c>
      <c r="P19" s="79" t="s">
        <v>3513</v>
      </c>
      <c r="Q19" s="79">
        <v>24000</v>
      </c>
      <c r="R19" s="79">
        <f t="shared" si="7"/>
        <v>110005</v>
      </c>
      <c r="T19" s="79" t="s">
        <v>3514</v>
      </c>
      <c r="U19" s="79" t="str">
        <f t="shared" si="8"/>
        <v>616|472|</v>
      </c>
      <c r="V19" s="79" t="s">
        <v>3515</v>
      </c>
    </row>
    <row r="20" ht="16.5" customHeight="1" spans="1:22">
      <c r="A20" s="79">
        <f t="shared" si="0"/>
        <v>110005</v>
      </c>
      <c r="B20" s="79">
        <v>1</v>
      </c>
      <c r="C20" s="79">
        <f t="shared" si="10"/>
        <v>1</v>
      </c>
      <c r="D20" s="79">
        <f t="shared" si="11"/>
        <v>1</v>
      </c>
      <c r="E20" s="79">
        <v>1</v>
      </c>
      <c r="F20" s="79" t="s">
        <v>3511</v>
      </c>
      <c r="G20" s="79" t="s">
        <v>3512</v>
      </c>
      <c r="H20" s="79">
        <v>0</v>
      </c>
      <c r="I20" s="79">
        <v>0</v>
      </c>
      <c r="J20" s="79">
        <f t="shared" si="9"/>
        <v>200</v>
      </c>
      <c r="K20" s="79">
        <f t="shared" si="3"/>
        <v>1003</v>
      </c>
      <c r="L20" s="79">
        <v>4</v>
      </c>
      <c r="M20" s="79">
        <v>1</v>
      </c>
      <c r="N20" s="79">
        <v>3000</v>
      </c>
      <c r="O20" s="79">
        <v>5</v>
      </c>
      <c r="P20" s="79" t="s">
        <v>3513</v>
      </c>
      <c r="Q20" s="79">
        <v>32500</v>
      </c>
      <c r="R20" s="79">
        <f t="shared" si="7"/>
        <v>110006</v>
      </c>
      <c r="T20" s="79" t="s">
        <v>3514</v>
      </c>
      <c r="U20" s="79" t="str">
        <f t="shared" si="8"/>
        <v>616|472|</v>
      </c>
      <c r="V20" s="79" t="s">
        <v>3515</v>
      </c>
    </row>
    <row r="21" spans="1:41">
      <c r="A21" s="79">
        <f t="shared" si="0"/>
        <v>110006</v>
      </c>
      <c r="B21" s="79">
        <v>1</v>
      </c>
      <c r="C21" s="79">
        <f t="shared" si="10"/>
        <v>1</v>
      </c>
      <c r="D21" s="79">
        <f t="shared" si="11"/>
        <v>1</v>
      </c>
      <c r="E21" s="79">
        <v>2</v>
      </c>
      <c r="F21" s="79" t="s">
        <v>3516</v>
      </c>
      <c r="G21" s="79" t="s">
        <v>3517</v>
      </c>
      <c r="H21" s="79">
        <v>1</v>
      </c>
      <c r="I21" s="79">
        <v>1</v>
      </c>
      <c r="J21" s="79">
        <f t="shared" si="9"/>
        <v>250</v>
      </c>
      <c r="K21" s="79">
        <f t="shared" si="3"/>
        <v>1004</v>
      </c>
      <c r="L21" s="79">
        <v>5</v>
      </c>
      <c r="O21" s="79">
        <v>6</v>
      </c>
      <c r="P21" s="79" t="s">
        <v>3513</v>
      </c>
      <c r="Q21" s="79">
        <v>59200</v>
      </c>
      <c r="R21" s="79">
        <f t="shared" si="7"/>
        <v>110007</v>
      </c>
      <c r="T21" s="79" t="s">
        <v>3518</v>
      </c>
      <c r="U21" s="79" t="str">
        <f t="shared" si="8"/>
        <v>616|472|</v>
      </c>
      <c r="V21" s="79" t="s">
        <v>3519</v>
      </c>
      <c r="AO21" s="79">
        <f>[5]item_type!$A197</f>
        <v>302006</v>
      </c>
    </row>
    <row r="22" spans="1:41">
      <c r="A22" s="79">
        <f t="shared" si="0"/>
        <v>110007</v>
      </c>
      <c r="B22" s="79">
        <v>1</v>
      </c>
      <c r="C22" s="79">
        <f t="shared" si="10"/>
        <v>1</v>
      </c>
      <c r="D22" s="79">
        <f t="shared" si="11"/>
        <v>1</v>
      </c>
      <c r="E22" s="79">
        <v>2</v>
      </c>
      <c r="F22" s="79" t="s">
        <v>3516</v>
      </c>
      <c r="G22" s="79" t="s">
        <v>3517</v>
      </c>
      <c r="H22" s="79">
        <v>1</v>
      </c>
      <c r="I22" s="79">
        <v>0</v>
      </c>
      <c r="J22" s="79">
        <f t="shared" si="9"/>
        <v>300</v>
      </c>
      <c r="K22" s="79">
        <f t="shared" si="3"/>
        <v>1005</v>
      </c>
      <c r="L22" s="79">
        <v>6</v>
      </c>
      <c r="M22" s="79">
        <v>1</v>
      </c>
      <c r="N22" s="79">
        <v>3000</v>
      </c>
      <c r="O22" s="79">
        <v>7</v>
      </c>
      <c r="P22" s="79" t="s">
        <v>3513</v>
      </c>
      <c r="Q22" s="79">
        <v>88600</v>
      </c>
      <c r="R22" s="79">
        <f t="shared" si="7"/>
        <v>110008</v>
      </c>
      <c r="T22" s="79" t="s">
        <v>3518</v>
      </c>
      <c r="U22" s="79" t="str">
        <f t="shared" si="8"/>
        <v>616|472|</v>
      </c>
      <c r="V22" s="79" t="s">
        <v>3519</v>
      </c>
      <c r="AO22" s="79">
        <f>[5]item_type!$A198</f>
        <v>302007</v>
      </c>
    </row>
    <row r="23" spans="1:41">
      <c r="A23" s="79">
        <f t="shared" si="0"/>
        <v>110008</v>
      </c>
      <c r="B23" s="79">
        <v>1</v>
      </c>
      <c r="C23" s="79">
        <f t="shared" si="10"/>
        <v>1</v>
      </c>
      <c r="D23" s="79">
        <f t="shared" si="11"/>
        <v>1</v>
      </c>
      <c r="E23" s="79">
        <v>2</v>
      </c>
      <c r="F23" s="79" t="s">
        <v>3516</v>
      </c>
      <c r="G23" s="79" t="s">
        <v>3517</v>
      </c>
      <c r="H23" s="79">
        <v>1</v>
      </c>
      <c r="I23" s="79">
        <v>1</v>
      </c>
      <c r="J23" s="79">
        <f t="shared" si="9"/>
        <v>350</v>
      </c>
      <c r="K23" s="79">
        <f t="shared" si="3"/>
        <v>1006</v>
      </c>
      <c r="L23" s="79">
        <v>7</v>
      </c>
      <c r="O23" s="79">
        <v>8</v>
      </c>
      <c r="P23" s="79" t="s">
        <v>3513</v>
      </c>
      <c r="Q23" s="79">
        <v>104300</v>
      </c>
      <c r="R23" s="79">
        <f t="shared" si="7"/>
        <v>110009</v>
      </c>
      <c r="T23" s="79" t="s">
        <v>3518</v>
      </c>
      <c r="U23" s="79" t="str">
        <f t="shared" si="8"/>
        <v>616|472|</v>
      </c>
      <c r="V23" s="79" t="s">
        <v>3519</v>
      </c>
      <c r="AO23" s="79">
        <f>[5]item_type!$A199</f>
        <v>302008</v>
      </c>
    </row>
    <row r="24" spans="1:41">
      <c r="A24" s="79">
        <f t="shared" si="0"/>
        <v>110009</v>
      </c>
      <c r="B24" s="79">
        <v>1</v>
      </c>
      <c r="C24" s="79">
        <f t="shared" si="10"/>
        <v>1</v>
      </c>
      <c r="D24" s="79">
        <f t="shared" si="11"/>
        <v>1</v>
      </c>
      <c r="E24" s="79">
        <v>2</v>
      </c>
      <c r="F24" s="79" t="s">
        <v>3516</v>
      </c>
      <c r="G24" s="79" t="s">
        <v>3517</v>
      </c>
      <c r="H24" s="79">
        <v>0</v>
      </c>
      <c r="I24" s="79">
        <v>0</v>
      </c>
      <c r="J24" s="79">
        <f t="shared" si="9"/>
        <v>400</v>
      </c>
      <c r="K24" s="79">
        <f t="shared" si="3"/>
        <v>1007</v>
      </c>
      <c r="L24" s="79">
        <v>8</v>
      </c>
      <c r="M24" s="79">
        <v>1</v>
      </c>
      <c r="N24" s="79">
        <v>3000</v>
      </c>
      <c r="O24" s="79">
        <v>9</v>
      </c>
      <c r="P24" s="79" t="s">
        <v>3513</v>
      </c>
      <c r="Q24" s="79">
        <v>161700</v>
      </c>
      <c r="R24" s="79">
        <f t="shared" si="7"/>
        <v>110010</v>
      </c>
      <c r="T24" s="79" t="s">
        <v>3518</v>
      </c>
      <c r="U24" s="79" t="str">
        <f t="shared" si="8"/>
        <v>616|472|</v>
      </c>
      <c r="V24" s="79" t="s">
        <v>3519</v>
      </c>
      <c r="AO24" s="79">
        <f>[5]item_type!$A200</f>
        <v>302009</v>
      </c>
    </row>
    <row r="25" spans="1:41">
      <c r="A25" s="79">
        <f t="shared" si="0"/>
        <v>110010</v>
      </c>
      <c r="B25" s="79">
        <v>1</v>
      </c>
      <c r="C25" s="79">
        <f t="shared" si="10"/>
        <v>1</v>
      </c>
      <c r="D25" s="79">
        <f t="shared" si="11"/>
        <v>1</v>
      </c>
      <c r="E25" s="79">
        <v>3</v>
      </c>
      <c r="F25" s="79" t="s">
        <v>3520</v>
      </c>
      <c r="G25" s="79" t="s">
        <v>3521</v>
      </c>
      <c r="H25" s="79">
        <v>1</v>
      </c>
      <c r="I25" s="79">
        <v>0</v>
      </c>
      <c r="J25" s="79">
        <f t="shared" si="9"/>
        <v>450</v>
      </c>
      <c r="K25" s="79">
        <f t="shared" si="3"/>
        <v>0</v>
      </c>
      <c r="M25" s="79">
        <v>2</v>
      </c>
      <c r="N25" s="79">
        <v>3000</v>
      </c>
      <c r="O25" s="79">
        <v>10</v>
      </c>
      <c r="P25" s="79" t="s">
        <v>3513</v>
      </c>
      <c r="R25" s="79">
        <f>A77</f>
        <v>120002</v>
      </c>
      <c r="T25" s="79" t="s">
        <v>3522</v>
      </c>
      <c r="U25" s="79" t="str">
        <f t="shared" si="8"/>
        <v>616|472|</v>
      </c>
      <c r="V25" s="79" t="s">
        <v>3523</v>
      </c>
      <c r="AM25" s="79" t="s">
        <v>3524</v>
      </c>
      <c r="AN25" s="79" t="s">
        <v>3525</v>
      </c>
      <c r="AO25" s="79">
        <f>[5]item_type!$A201</f>
        <v>302010</v>
      </c>
    </row>
    <row r="26" ht="16.5" customHeight="1" spans="1:41">
      <c r="A26" s="79">
        <f t="shared" ref="A26:A45" si="12">C26*100000+B26*10000+O26</f>
        <v>510001</v>
      </c>
      <c r="B26" s="79">
        <v>1</v>
      </c>
      <c r="C26" s="79">
        <v>5</v>
      </c>
      <c r="D26" s="79">
        <v>5</v>
      </c>
      <c r="F26" s="79" t="str">
        <f>F27</f>
        <v>shujia1</v>
      </c>
      <c r="G26" s="79" t="s">
        <v>3526</v>
      </c>
      <c r="H26" s="79">
        <v>0</v>
      </c>
      <c r="K26" s="79">
        <f t="shared" si="3"/>
        <v>1001</v>
      </c>
      <c r="L26" s="78">
        <v>2</v>
      </c>
      <c r="O26" s="79">
        <v>1</v>
      </c>
      <c r="P26" s="79" t="s">
        <v>3527</v>
      </c>
      <c r="Q26" s="79">
        <v>5400</v>
      </c>
      <c r="R26" s="79">
        <f t="shared" ref="R26:R34" si="13">A27</f>
        <v>510002</v>
      </c>
      <c r="T26" s="79" t="s">
        <v>3528</v>
      </c>
      <c r="U26" s="96" t="s">
        <v>3047</v>
      </c>
      <c r="V26" s="79" t="s">
        <v>3529</v>
      </c>
      <c r="AK26" s="79" t="s">
        <v>528</v>
      </c>
      <c r="AO26" s="79" t="s">
        <v>3497</v>
      </c>
    </row>
    <row r="27" ht="15" spans="1:22">
      <c r="A27" s="79">
        <f t="shared" si="12"/>
        <v>510002</v>
      </c>
      <c r="B27" s="79">
        <v>1</v>
      </c>
      <c r="C27" s="79">
        <f>C37+1</f>
        <v>5</v>
      </c>
      <c r="D27" s="79">
        <f>D37+1</f>
        <v>5</v>
      </c>
      <c r="E27" s="79">
        <v>1</v>
      </c>
      <c r="F27" s="79" t="s">
        <v>3530</v>
      </c>
      <c r="G27" s="79" t="s">
        <v>3526</v>
      </c>
      <c r="H27" s="79">
        <v>1</v>
      </c>
      <c r="I27" s="79">
        <v>1</v>
      </c>
      <c r="J27" s="79">
        <f t="shared" ref="J27:J35" si="14">$J$1*(O27-1)</f>
        <v>50</v>
      </c>
      <c r="K27" s="79">
        <f t="shared" si="3"/>
        <v>1002</v>
      </c>
      <c r="L27" s="78">
        <v>3</v>
      </c>
      <c r="O27" s="79">
        <v>2</v>
      </c>
      <c r="P27" s="79" t="s">
        <v>3527</v>
      </c>
      <c r="Q27" s="79">
        <v>17200</v>
      </c>
      <c r="R27" s="79">
        <f t="shared" si="13"/>
        <v>510003</v>
      </c>
      <c r="T27" s="79" t="s">
        <v>3528</v>
      </c>
      <c r="U27" s="96" t="s">
        <v>3047</v>
      </c>
      <c r="V27" s="79" t="s">
        <v>3529</v>
      </c>
    </row>
    <row r="28" ht="15" spans="1:22">
      <c r="A28" s="79">
        <f t="shared" si="12"/>
        <v>510003</v>
      </c>
      <c r="B28" s="79">
        <v>1</v>
      </c>
      <c r="C28" s="79">
        <f t="shared" ref="C28:C35" si="15">C27</f>
        <v>5</v>
      </c>
      <c r="D28" s="79">
        <f t="shared" ref="D28:D35" si="16">D27</f>
        <v>5</v>
      </c>
      <c r="E28" s="79">
        <v>1</v>
      </c>
      <c r="F28" s="79" t="s">
        <v>3530</v>
      </c>
      <c r="G28" s="79" t="s">
        <v>3526</v>
      </c>
      <c r="H28" s="79">
        <v>1</v>
      </c>
      <c r="I28" s="79">
        <v>1</v>
      </c>
      <c r="J28" s="79">
        <f t="shared" si="14"/>
        <v>100</v>
      </c>
      <c r="K28" s="79">
        <f t="shared" si="3"/>
        <v>1003</v>
      </c>
      <c r="L28" s="78">
        <v>4</v>
      </c>
      <c r="O28" s="79">
        <v>3</v>
      </c>
      <c r="P28" s="79" t="s">
        <v>3527</v>
      </c>
      <c r="Q28" s="79">
        <v>25100</v>
      </c>
      <c r="R28" s="79">
        <f t="shared" si="13"/>
        <v>510004</v>
      </c>
      <c r="T28" s="79" t="s">
        <v>3528</v>
      </c>
      <c r="U28" s="96" t="s">
        <v>3047</v>
      </c>
      <c r="V28" s="79" t="s">
        <v>3529</v>
      </c>
    </row>
    <row r="29" ht="15" spans="1:22">
      <c r="A29" s="79">
        <f t="shared" si="12"/>
        <v>510004</v>
      </c>
      <c r="B29" s="79">
        <v>1</v>
      </c>
      <c r="C29" s="79">
        <f t="shared" si="15"/>
        <v>5</v>
      </c>
      <c r="D29" s="79">
        <f t="shared" si="16"/>
        <v>5</v>
      </c>
      <c r="E29" s="79">
        <v>1</v>
      </c>
      <c r="F29" s="79" t="s">
        <v>3530</v>
      </c>
      <c r="G29" s="79" t="s">
        <v>3526</v>
      </c>
      <c r="H29" s="79">
        <v>1</v>
      </c>
      <c r="I29" s="79">
        <v>1</v>
      </c>
      <c r="J29" s="79">
        <f t="shared" si="14"/>
        <v>150</v>
      </c>
      <c r="K29" s="79">
        <f t="shared" si="3"/>
        <v>1004</v>
      </c>
      <c r="L29" s="78">
        <v>5</v>
      </c>
      <c r="O29" s="79">
        <v>4</v>
      </c>
      <c r="P29" s="79" t="s">
        <v>3527</v>
      </c>
      <c r="Q29" s="79">
        <v>34500</v>
      </c>
      <c r="R29" s="79">
        <f t="shared" si="13"/>
        <v>510005</v>
      </c>
      <c r="T29" s="79" t="s">
        <v>3528</v>
      </c>
      <c r="U29" s="96" t="s">
        <v>3047</v>
      </c>
      <c r="V29" s="79" t="s">
        <v>3529</v>
      </c>
    </row>
    <row r="30" ht="15" spans="1:22">
      <c r="A30" s="79">
        <f t="shared" si="12"/>
        <v>510005</v>
      </c>
      <c r="B30" s="79">
        <v>1</v>
      </c>
      <c r="C30" s="79">
        <f t="shared" si="15"/>
        <v>5</v>
      </c>
      <c r="D30" s="79">
        <f t="shared" si="16"/>
        <v>5</v>
      </c>
      <c r="E30" s="79">
        <v>1</v>
      </c>
      <c r="F30" s="79" t="s">
        <v>3530</v>
      </c>
      <c r="G30" s="79" t="s">
        <v>3526</v>
      </c>
      <c r="H30" s="79">
        <v>0</v>
      </c>
      <c r="I30" s="79">
        <v>0</v>
      </c>
      <c r="J30" s="79">
        <f t="shared" si="14"/>
        <v>200</v>
      </c>
      <c r="K30" s="79">
        <f t="shared" si="3"/>
        <v>1005</v>
      </c>
      <c r="L30" s="78">
        <v>6</v>
      </c>
      <c r="M30" s="79">
        <v>1</v>
      </c>
      <c r="N30" s="79">
        <v>3000</v>
      </c>
      <c r="O30" s="79">
        <v>5</v>
      </c>
      <c r="P30" s="79" t="s">
        <v>3527</v>
      </c>
      <c r="Q30" s="79">
        <v>62900</v>
      </c>
      <c r="R30" s="79">
        <f t="shared" si="13"/>
        <v>510006</v>
      </c>
      <c r="T30" s="79" t="s">
        <v>3528</v>
      </c>
      <c r="U30" s="96" t="s">
        <v>3047</v>
      </c>
      <c r="V30" s="79" t="s">
        <v>3529</v>
      </c>
    </row>
    <row r="31" ht="15" spans="1:41">
      <c r="A31" s="79">
        <f t="shared" si="12"/>
        <v>510006</v>
      </c>
      <c r="B31" s="79">
        <v>1</v>
      </c>
      <c r="C31" s="79">
        <f t="shared" si="15"/>
        <v>5</v>
      </c>
      <c r="D31" s="79">
        <f t="shared" si="16"/>
        <v>5</v>
      </c>
      <c r="E31" s="79">
        <v>2</v>
      </c>
      <c r="F31" s="79" t="s">
        <v>3531</v>
      </c>
      <c r="G31" s="79" t="s">
        <v>3532</v>
      </c>
      <c r="H31" s="79">
        <v>1</v>
      </c>
      <c r="I31" s="79">
        <v>1</v>
      </c>
      <c r="J31" s="79">
        <f t="shared" si="14"/>
        <v>250</v>
      </c>
      <c r="K31" s="79">
        <f t="shared" si="3"/>
        <v>1006</v>
      </c>
      <c r="L31" s="78">
        <v>7</v>
      </c>
      <c r="O31" s="79">
        <v>6</v>
      </c>
      <c r="P31" s="79" t="s">
        <v>3527</v>
      </c>
      <c r="Q31" s="79">
        <v>90500</v>
      </c>
      <c r="R31" s="79">
        <f t="shared" si="13"/>
        <v>510007</v>
      </c>
      <c r="T31" s="79" t="s">
        <v>3528</v>
      </c>
      <c r="U31" s="96" t="s">
        <v>3047</v>
      </c>
      <c r="V31" s="79" t="s">
        <v>3529</v>
      </c>
      <c r="AO31" s="79">
        <f>[5]item_type!$A223</f>
        <v>303002</v>
      </c>
    </row>
    <row r="32" ht="15" spans="1:41">
      <c r="A32" s="79">
        <f t="shared" si="12"/>
        <v>510007</v>
      </c>
      <c r="B32" s="79">
        <v>1</v>
      </c>
      <c r="C32" s="79">
        <f t="shared" si="15"/>
        <v>5</v>
      </c>
      <c r="D32" s="79">
        <f t="shared" si="16"/>
        <v>5</v>
      </c>
      <c r="E32" s="79">
        <v>2</v>
      </c>
      <c r="F32" s="79" t="s">
        <v>3531</v>
      </c>
      <c r="G32" s="79" t="s">
        <v>3532</v>
      </c>
      <c r="H32" s="79">
        <v>1</v>
      </c>
      <c r="I32" s="79">
        <v>0</v>
      </c>
      <c r="J32" s="79">
        <f t="shared" si="14"/>
        <v>300</v>
      </c>
      <c r="K32" s="79">
        <f t="shared" si="3"/>
        <v>1007</v>
      </c>
      <c r="L32" s="78">
        <v>8</v>
      </c>
      <c r="M32" s="79">
        <v>2</v>
      </c>
      <c r="N32" s="79">
        <v>3000</v>
      </c>
      <c r="O32" s="79">
        <v>7</v>
      </c>
      <c r="P32" s="79" t="s">
        <v>3527</v>
      </c>
      <c r="Q32" s="79">
        <v>142300</v>
      </c>
      <c r="R32" s="79">
        <f t="shared" si="13"/>
        <v>510008</v>
      </c>
      <c r="T32" s="79" t="s">
        <v>3528</v>
      </c>
      <c r="U32" s="96" t="s">
        <v>3047</v>
      </c>
      <c r="V32" s="79" t="s">
        <v>3529</v>
      </c>
      <c r="AO32" s="79">
        <f>[5]item_type!$A224</f>
        <v>303003</v>
      </c>
    </row>
    <row r="33" ht="15" spans="1:41">
      <c r="A33" s="79">
        <f t="shared" si="12"/>
        <v>510008</v>
      </c>
      <c r="B33" s="79">
        <v>1</v>
      </c>
      <c r="C33" s="79">
        <f t="shared" si="15"/>
        <v>5</v>
      </c>
      <c r="D33" s="79">
        <f t="shared" si="16"/>
        <v>5</v>
      </c>
      <c r="E33" s="79">
        <v>2</v>
      </c>
      <c r="F33" s="79" t="s">
        <v>3531</v>
      </c>
      <c r="G33" s="79" t="s">
        <v>3532</v>
      </c>
      <c r="H33" s="79">
        <v>1</v>
      </c>
      <c r="I33" s="79">
        <v>1</v>
      </c>
      <c r="J33" s="79">
        <f t="shared" si="14"/>
        <v>350</v>
      </c>
      <c r="K33" s="79">
        <f t="shared" si="3"/>
        <v>1007</v>
      </c>
      <c r="L33" s="78">
        <v>8</v>
      </c>
      <c r="O33" s="79">
        <v>8</v>
      </c>
      <c r="P33" s="79" t="s">
        <v>3527</v>
      </c>
      <c r="Q33" s="79">
        <v>164400</v>
      </c>
      <c r="R33" s="79">
        <f t="shared" si="13"/>
        <v>510009</v>
      </c>
      <c r="T33" s="79" t="s">
        <v>3528</v>
      </c>
      <c r="U33" s="96" t="s">
        <v>3047</v>
      </c>
      <c r="V33" s="79" t="s">
        <v>3529</v>
      </c>
      <c r="AO33" s="79">
        <f>[5]item_type!$A225</f>
        <v>303004</v>
      </c>
    </row>
    <row r="34" ht="15" spans="1:41">
      <c r="A34" s="79">
        <f t="shared" si="12"/>
        <v>510009</v>
      </c>
      <c r="B34" s="79">
        <v>1</v>
      </c>
      <c r="C34" s="79">
        <f t="shared" si="15"/>
        <v>5</v>
      </c>
      <c r="D34" s="79">
        <f t="shared" si="16"/>
        <v>5</v>
      </c>
      <c r="E34" s="79">
        <v>2</v>
      </c>
      <c r="F34" s="79" t="s">
        <v>3531</v>
      </c>
      <c r="G34" s="79" t="s">
        <v>3532</v>
      </c>
      <c r="H34" s="79">
        <v>0</v>
      </c>
      <c r="I34" s="79">
        <v>0</v>
      </c>
      <c r="J34" s="79">
        <f t="shared" si="14"/>
        <v>400</v>
      </c>
      <c r="K34" s="79">
        <f t="shared" si="3"/>
        <v>1008</v>
      </c>
      <c r="L34" s="78">
        <v>9</v>
      </c>
      <c r="M34" s="79">
        <v>2</v>
      </c>
      <c r="N34" s="79">
        <v>3000</v>
      </c>
      <c r="O34" s="79">
        <v>9</v>
      </c>
      <c r="P34" s="79" t="s">
        <v>3527</v>
      </c>
      <c r="Q34" s="79">
        <v>304100</v>
      </c>
      <c r="R34" s="79">
        <f t="shared" si="13"/>
        <v>510010</v>
      </c>
      <c r="T34" s="79" t="s">
        <v>3528</v>
      </c>
      <c r="U34" s="96" t="s">
        <v>3047</v>
      </c>
      <c r="V34" s="79" t="s">
        <v>3529</v>
      </c>
      <c r="AO34" s="79">
        <f>[5]item_type!$A226</f>
        <v>303005</v>
      </c>
    </row>
    <row r="35" ht="15" spans="1:41">
      <c r="A35" s="79">
        <f t="shared" si="12"/>
        <v>510010</v>
      </c>
      <c r="B35" s="79">
        <v>1</v>
      </c>
      <c r="C35" s="79">
        <f t="shared" si="15"/>
        <v>5</v>
      </c>
      <c r="D35" s="79">
        <f t="shared" si="16"/>
        <v>5</v>
      </c>
      <c r="E35" s="79">
        <v>3</v>
      </c>
      <c r="F35" s="79" t="s">
        <v>3533</v>
      </c>
      <c r="G35" s="79" t="s">
        <v>3534</v>
      </c>
      <c r="H35" s="79">
        <v>1</v>
      </c>
      <c r="I35" s="79">
        <v>0</v>
      </c>
      <c r="J35" s="79">
        <f t="shared" si="14"/>
        <v>450</v>
      </c>
      <c r="K35" s="79">
        <f t="shared" si="3"/>
        <v>0</v>
      </c>
      <c r="M35" s="79">
        <v>3</v>
      </c>
      <c r="N35" s="79">
        <v>3000</v>
      </c>
      <c r="O35" s="79">
        <v>10</v>
      </c>
      <c r="P35" s="79" t="s">
        <v>3527</v>
      </c>
      <c r="R35" s="79">
        <f>A87</f>
        <v>520002</v>
      </c>
      <c r="T35" s="79" t="s">
        <v>3528</v>
      </c>
      <c r="U35" s="96" t="s">
        <v>3047</v>
      </c>
      <c r="V35" s="79" t="s">
        <v>3529</v>
      </c>
      <c r="AO35" s="79">
        <f>[5]item_type!$A227</f>
        <v>303006</v>
      </c>
    </row>
    <row r="36" ht="16.5" customHeight="1" spans="1:41">
      <c r="A36" s="79">
        <f t="shared" si="12"/>
        <v>410001</v>
      </c>
      <c r="B36" s="79">
        <v>1</v>
      </c>
      <c r="C36" s="79">
        <v>4</v>
      </c>
      <c r="D36" s="79">
        <v>4</v>
      </c>
      <c r="E36" s="79">
        <v>1</v>
      </c>
      <c r="F36" s="79" t="str">
        <f>F37</f>
        <v>diban1</v>
      </c>
      <c r="G36" s="79" t="s">
        <v>3535</v>
      </c>
      <c r="H36" s="79">
        <v>0</v>
      </c>
      <c r="K36" s="79">
        <f t="shared" si="3"/>
        <v>1002</v>
      </c>
      <c r="L36" s="78">
        <v>3</v>
      </c>
      <c r="O36" s="79">
        <v>1</v>
      </c>
      <c r="P36" s="79" t="s">
        <v>3536</v>
      </c>
      <c r="Q36" s="79">
        <v>18300</v>
      </c>
      <c r="R36" s="79">
        <f t="shared" ref="R36:R44" si="17">A37</f>
        <v>410002</v>
      </c>
      <c r="T36" s="79" t="s">
        <v>3537</v>
      </c>
      <c r="V36" s="79" t="s">
        <v>3538</v>
      </c>
      <c r="AK36" s="79" t="s">
        <v>528</v>
      </c>
      <c r="AO36" s="79" t="s">
        <v>3497</v>
      </c>
    </row>
    <row r="37" ht="16.5" customHeight="1" spans="1:22">
      <c r="A37" s="79">
        <f t="shared" si="12"/>
        <v>410002</v>
      </c>
      <c r="B37" s="79">
        <v>1</v>
      </c>
      <c r="C37" s="79">
        <f>C47+1</f>
        <v>4</v>
      </c>
      <c r="D37" s="79">
        <f>D47+1</f>
        <v>4</v>
      </c>
      <c r="E37" s="79">
        <v>2</v>
      </c>
      <c r="F37" s="79" t="s">
        <v>3539</v>
      </c>
      <c r="G37" s="79" t="s">
        <v>3535</v>
      </c>
      <c r="H37" s="79">
        <v>1</v>
      </c>
      <c r="I37" s="79">
        <v>1</v>
      </c>
      <c r="J37" s="79">
        <f t="shared" ref="J37:J45" si="18">$J$1*(O37-1)</f>
        <v>50</v>
      </c>
      <c r="K37" s="79">
        <f t="shared" si="3"/>
        <v>1003</v>
      </c>
      <c r="L37" s="78">
        <v>4</v>
      </c>
      <c r="O37" s="79">
        <v>2</v>
      </c>
      <c r="P37" s="79" t="s">
        <v>3536</v>
      </c>
      <c r="Q37" s="79">
        <v>27100</v>
      </c>
      <c r="R37" s="79">
        <f t="shared" si="17"/>
        <v>410003</v>
      </c>
      <c r="T37" s="79" t="s">
        <v>3537</v>
      </c>
      <c r="V37" s="79" t="s">
        <v>3538</v>
      </c>
    </row>
    <row r="38" ht="16.5" customHeight="1" spans="1:22">
      <c r="A38" s="79">
        <f t="shared" si="12"/>
        <v>410003</v>
      </c>
      <c r="B38" s="79">
        <v>1</v>
      </c>
      <c r="C38" s="79">
        <f t="shared" ref="C38:C45" si="19">C37</f>
        <v>4</v>
      </c>
      <c r="D38" s="79">
        <f t="shared" ref="D38:D45" si="20">D37</f>
        <v>4</v>
      </c>
      <c r="E38" s="79">
        <v>2</v>
      </c>
      <c r="F38" s="79" t="s">
        <v>3539</v>
      </c>
      <c r="G38" s="79" t="s">
        <v>3535</v>
      </c>
      <c r="H38" s="79">
        <v>1</v>
      </c>
      <c r="I38" s="79">
        <v>1</v>
      </c>
      <c r="J38" s="79">
        <f t="shared" si="18"/>
        <v>100</v>
      </c>
      <c r="K38" s="79">
        <f t="shared" si="3"/>
        <v>1004</v>
      </c>
      <c r="L38" s="78">
        <v>5</v>
      </c>
      <c r="O38" s="79">
        <v>3</v>
      </c>
      <c r="P38" s="79" t="s">
        <v>3536</v>
      </c>
      <c r="Q38" s="79">
        <v>35500</v>
      </c>
      <c r="R38" s="79">
        <f t="shared" si="17"/>
        <v>410004</v>
      </c>
      <c r="T38" s="79" t="s">
        <v>3537</v>
      </c>
      <c r="V38" s="79" t="s">
        <v>3538</v>
      </c>
    </row>
    <row r="39" ht="16.5" customHeight="1" spans="1:22">
      <c r="A39" s="79">
        <f t="shared" si="12"/>
        <v>410004</v>
      </c>
      <c r="B39" s="79">
        <v>1</v>
      </c>
      <c r="C39" s="79">
        <f t="shared" si="19"/>
        <v>4</v>
      </c>
      <c r="D39" s="79">
        <f t="shared" si="20"/>
        <v>4</v>
      </c>
      <c r="E39" s="79">
        <v>2</v>
      </c>
      <c r="F39" s="79" t="s">
        <v>3539</v>
      </c>
      <c r="G39" s="79" t="s">
        <v>3535</v>
      </c>
      <c r="H39" s="79">
        <v>1</v>
      </c>
      <c r="I39" s="79">
        <v>1</v>
      </c>
      <c r="J39" s="79">
        <f t="shared" si="18"/>
        <v>150</v>
      </c>
      <c r="K39" s="79">
        <f t="shared" ref="K39:K70" si="21">IF(L39=0,0,B39*1000+L39-1)</f>
        <v>1005</v>
      </c>
      <c r="L39" s="78">
        <v>6</v>
      </c>
      <c r="O39" s="79">
        <v>4</v>
      </c>
      <c r="P39" s="79" t="s">
        <v>3536</v>
      </c>
      <c r="Q39" s="79">
        <v>64800</v>
      </c>
      <c r="R39" s="79">
        <f t="shared" si="17"/>
        <v>410005</v>
      </c>
      <c r="T39" s="79" t="s">
        <v>3537</v>
      </c>
      <c r="V39" s="79" t="s">
        <v>3538</v>
      </c>
    </row>
    <row r="40" ht="15" spans="1:22">
      <c r="A40" s="79">
        <f t="shared" si="12"/>
        <v>410005</v>
      </c>
      <c r="B40" s="79">
        <v>1</v>
      </c>
      <c r="C40" s="79">
        <f t="shared" si="19"/>
        <v>4</v>
      </c>
      <c r="D40" s="79">
        <f t="shared" si="20"/>
        <v>4</v>
      </c>
      <c r="E40" s="79">
        <v>2</v>
      </c>
      <c r="F40" s="79" t="s">
        <v>3539</v>
      </c>
      <c r="G40" s="79" t="s">
        <v>3535</v>
      </c>
      <c r="H40" s="79">
        <v>0</v>
      </c>
      <c r="I40" s="79">
        <v>0</v>
      </c>
      <c r="J40" s="79">
        <f t="shared" si="18"/>
        <v>200</v>
      </c>
      <c r="K40" s="79">
        <f t="shared" si="21"/>
        <v>1006</v>
      </c>
      <c r="L40" s="78">
        <v>7</v>
      </c>
      <c r="M40" s="79">
        <v>4</v>
      </c>
      <c r="N40" s="79">
        <v>3000</v>
      </c>
      <c r="O40" s="79">
        <v>5</v>
      </c>
      <c r="P40" s="79" t="s">
        <v>3536</v>
      </c>
      <c r="Q40" s="79">
        <v>94400</v>
      </c>
      <c r="R40" s="79">
        <f t="shared" si="17"/>
        <v>410006</v>
      </c>
      <c r="T40" s="79" t="s">
        <v>3537</v>
      </c>
      <c r="V40" s="79" t="s">
        <v>3538</v>
      </c>
    </row>
    <row r="41" ht="15" spans="1:41">
      <c r="A41" s="79">
        <f t="shared" si="12"/>
        <v>410006</v>
      </c>
      <c r="B41" s="79">
        <v>1</v>
      </c>
      <c r="C41" s="79">
        <f t="shared" si="19"/>
        <v>4</v>
      </c>
      <c r="D41" s="79">
        <f t="shared" si="20"/>
        <v>4</v>
      </c>
      <c r="E41" s="79">
        <v>3</v>
      </c>
      <c r="F41" s="79" t="s">
        <v>3540</v>
      </c>
      <c r="G41" s="79" t="s">
        <v>3541</v>
      </c>
      <c r="H41" s="79">
        <v>1</v>
      </c>
      <c r="I41" s="79">
        <v>1</v>
      </c>
      <c r="J41" s="79">
        <f t="shared" si="18"/>
        <v>250</v>
      </c>
      <c r="K41" s="79">
        <f t="shared" si="21"/>
        <v>1007</v>
      </c>
      <c r="L41" s="78">
        <v>8</v>
      </c>
      <c r="O41" s="79">
        <v>6</v>
      </c>
      <c r="P41" s="79" t="s">
        <v>3536</v>
      </c>
      <c r="Q41" s="79">
        <v>144900</v>
      </c>
      <c r="R41" s="79">
        <f t="shared" si="17"/>
        <v>410007</v>
      </c>
      <c r="T41" s="79" t="s">
        <v>3537</v>
      </c>
      <c r="V41" s="79" t="s">
        <v>3538</v>
      </c>
      <c r="AO41" s="79">
        <f>[5]item_type!$A217</f>
        <v>302026</v>
      </c>
    </row>
    <row r="42" ht="15" spans="1:41">
      <c r="A42" s="79">
        <f t="shared" si="12"/>
        <v>410007</v>
      </c>
      <c r="B42" s="79">
        <v>1</v>
      </c>
      <c r="C42" s="79">
        <f t="shared" si="19"/>
        <v>4</v>
      </c>
      <c r="D42" s="79">
        <f t="shared" si="20"/>
        <v>4</v>
      </c>
      <c r="E42" s="79">
        <v>3</v>
      </c>
      <c r="F42" s="79" t="s">
        <v>3540</v>
      </c>
      <c r="G42" s="79" t="s">
        <v>3541</v>
      </c>
      <c r="H42" s="79">
        <v>1</v>
      </c>
      <c r="I42" s="79">
        <v>0</v>
      </c>
      <c r="J42" s="79">
        <f t="shared" si="18"/>
        <v>300</v>
      </c>
      <c r="K42" s="79">
        <f t="shared" si="21"/>
        <v>1008</v>
      </c>
      <c r="L42" s="78">
        <v>9</v>
      </c>
      <c r="M42" s="79">
        <v>4</v>
      </c>
      <c r="N42" s="79">
        <v>3000</v>
      </c>
      <c r="O42" s="79">
        <v>7</v>
      </c>
      <c r="P42" s="79" t="s">
        <v>3536</v>
      </c>
      <c r="Q42" s="79">
        <v>215100</v>
      </c>
      <c r="R42" s="79">
        <f t="shared" si="17"/>
        <v>410008</v>
      </c>
      <c r="T42" s="79" t="s">
        <v>3537</v>
      </c>
      <c r="V42" s="79" t="s">
        <v>3538</v>
      </c>
      <c r="AO42" s="79">
        <f>[5]item_type!$A218</f>
        <v>302027</v>
      </c>
    </row>
    <row r="43" ht="15" spans="1:41">
      <c r="A43" s="79">
        <f t="shared" si="12"/>
        <v>410008</v>
      </c>
      <c r="B43" s="79">
        <v>1</v>
      </c>
      <c r="C43" s="79">
        <f t="shared" si="19"/>
        <v>4</v>
      </c>
      <c r="D43" s="79">
        <f t="shared" si="20"/>
        <v>4</v>
      </c>
      <c r="E43" s="79">
        <v>3</v>
      </c>
      <c r="F43" s="79" t="s">
        <v>3540</v>
      </c>
      <c r="G43" s="79" t="s">
        <v>3541</v>
      </c>
      <c r="H43" s="79">
        <v>1</v>
      </c>
      <c r="I43" s="79">
        <v>1</v>
      </c>
      <c r="J43" s="79">
        <f t="shared" si="18"/>
        <v>350</v>
      </c>
      <c r="K43" s="79">
        <f t="shared" si="21"/>
        <v>1008</v>
      </c>
      <c r="L43" s="78">
        <v>9</v>
      </c>
      <c r="O43" s="79">
        <v>8</v>
      </c>
      <c r="P43" s="79" t="s">
        <v>3536</v>
      </c>
      <c r="Q43" s="79">
        <v>314700</v>
      </c>
      <c r="R43" s="79">
        <f t="shared" si="17"/>
        <v>410009</v>
      </c>
      <c r="T43" s="79" t="s">
        <v>3537</v>
      </c>
      <c r="V43" s="79" t="s">
        <v>3538</v>
      </c>
      <c r="AO43" s="79">
        <f>[5]item_type!$A219</f>
        <v>302028</v>
      </c>
    </row>
    <row r="44" ht="15" spans="1:41">
      <c r="A44" s="79">
        <f t="shared" si="12"/>
        <v>410009</v>
      </c>
      <c r="B44" s="79">
        <v>1</v>
      </c>
      <c r="C44" s="79">
        <f t="shared" si="19"/>
        <v>4</v>
      </c>
      <c r="D44" s="79">
        <f t="shared" si="20"/>
        <v>4</v>
      </c>
      <c r="E44" s="79">
        <v>3</v>
      </c>
      <c r="F44" s="79" t="s">
        <v>3540</v>
      </c>
      <c r="G44" s="79" t="s">
        <v>3541</v>
      </c>
      <c r="H44" s="79">
        <v>0</v>
      </c>
      <c r="I44" s="79">
        <v>0</v>
      </c>
      <c r="J44" s="79">
        <f t="shared" si="18"/>
        <v>400</v>
      </c>
      <c r="K44" s="79">
        <f t="shared" si="21"/>
        <v>1009</v>
      </c>
      <c r="L44" s="78">
        <v>10</v>
      </c>
      <c r="M44" s="79">
        <v>4</v>
      </c>
      <c r="N44" s="79">
        <v>3000</v>
      </c>
      <c r="O44" s="79">
        <v>9</v>
      </c>
      <c r="P44" s="79" t="s">
        <v>3536</v>
      </c>
      <c r="Q44" s="79">
        <v>352600</v>
      </c>
      <c r="R44" s="79">
        <f t="shared" si="17"/>
        <v>410010</v>
      </c>
      <c r="T44" s="79" t="s">
        <v>3537</v>
      </c>
      <c r="V44" s="79" t="s">
        <v>3538</v>
      </c>
      <c r="AO44" s="79">
        <f>[5]item_type!$A220</f>
        <v>302029</v>
      </c>
    </row>
    <row r="45" spans="1:41">
      <c r="A45" s="79">
        <f t="shared" si="12"/>
        <v>410010</v>
      </c>
      <c r="B45" s="79">
        <v>1</v>
      </c>
      <c r="C45" s="79">
        <f t="shared" si="19"/>
        <v>4</v>
      </c>
      <c r="D45" s="79">
        <f t="shared" si="20"/>
        <v>4</v>
      </c>
      <c r="E45" s="79">
        <v>4</v>
      </c>
      <c r="F45" s="79" t="s">
        <v>3542</v>
      </c>
      <c r="G45" s="79" t="s">
        <v>3543</v>
      </c>
      <c r="H45" s="79">
        <v>1</v>
      </c>
      <c r="I45" s="79">
        <v>0</v>
      </c>
      <c r="J45" s="79">
        <f t="shared" si="18"/>
        <v>450</v>
      </c>
      <c r="K45" s="79">
        <f t="shared" si="21"/>
        <v>0</v>
      </c>
      <c r="M45" s="79">
        <v>4</v>
      </c>
      <c r="N45" s="79">
        <v>3000</v>
      </c>
      <c r="O45" s="79">
        <v>10</v>
      </c>
      <c r="P45" s="79" t="s">
        <v>3536</v>
      </c>
      <c r="R45" s="79">
        <f>A97</f>
        <v>420002</v>
      </c>
      <c r="T45" s="79" t="s">
        <v>3537</v>
      </c>
      <c r="V45" s="79" t="s">
        <v>3538</v>
      </c>
      <c r="AO45" s="79">
        <f>[5]item_type!$A221</f>
        <v>302030</v>
      </c>
    </row>
    <row r="46" ht="16.5" customHeight="1" spans="1:41">
      <c r="A46" s="79">
        <f t="shared" ref="A46:A55" si="22">C46*100000+B46*10000+O46</f>
        <v>310001</v>
      </c>
      <c r="B46" s="79">
        <v>1</v>
      </c>
      <c r="C46" s="79">
        <v>3</v>
      </c>
      <c r="D46" s="79">
        <v>3</v>
      </c>
      <c r="E46" s="79">
        <v>1</v>
      </c>
      <c r="F46" s="79" t="str">
        <f>F47</f>
        <v>qiang3_1</v>
      </c>
      <c r="G46" s="79" t="s">
        <v>3544</v>
      </c>
      <c r="H46" s="79">
        <v>0</v>
      </c>
      <c r="K46" s="79">
        <f t="shared" si="21"/>
        <v>1003</v>
      </c>
      <c r="L46" s="78">
        <v>4</v>
      </c>
      <c r="O46" s="79">
        <v>1</v>
      </c>
      <c r="P46" s="79" t="s">
        <v>3545</v>
      </c>
      <c r="Q46" s="79">
        <v>28200</v>
      </c>
      <c r="R46" s="79">
        <f t="shared" ref="R46:R54" si="23">A47</f>
        <v>310002</v>
      </c>
      <c r="T46" s="79" t="s">
        <v>3546</v>
      </c>
      <c r="V46" s="79" t="s">
        <v>3547</v>
      </c>
      <c r="AK46" s="79" t="s">
        <v>528</v>
      </c>
      <c r="AO46" s="79" t="s">
        <v>3497</v>
      </c>
    </row>
    <row r="47" ht="16.5" customHeight="1" spans="1:40">
      <c r="A47" s="79">
        <f t="shared" si="22"/>
        <v>310002</v>
      </c>
      <c r="B47" s="79">
        <v>1</v>
      </c>
      <c r="C47" s="79">
        <f>C7+1</f>
        <v>3</v>
      </c>
      <c r="D47" s="79">
        <f>D7+1</f>
        <v>3</v>
      </c>
      <c r="E47" s="79">
        <v>2</v>
      </c>
      <c r="F47" s="79" t="s">
        <v>3548</v>
      </c>
      <c r="G47" s="79" t="s">
        <v>3544</v>
      </c>
      <c r="H47" s="79">
        <v>1</v>
      </c>
      <c r="I47" s="79">
        <v>1</v>
      </c>
      <c r="J47" s="79">
        <f t="shared" ref="J47:J55" si="24">$J$1*(O47-1)</f>
        <v>50</v>
      </c>
      <c r="K47" s="79">
        <f t="shared" si="21"/>
        <v>1004</v>
      </c>
      <c r="L47" s="78">
        <v>5</v>
      </c>
      <c r="O47" s="79">
        <v>2</v>
      </c>
      <c r="P47" s="79" t="s">
        <v>3545</v>
      </c>
      <c r="Q47" s="79">
        <v>36500</v>
      </c>
      <c r="R47" s="79">
        <f t="shared" si="23"/>
        <v>310003</v>
      </c>
      <c r="T47" s="79" t="s">
        <v>3546</v>
      </c>
      <c r="V47" s="79" t="s">
        <v>3547</v>
      </c>
      <c r="AL47" s="79" t="s">
        <v>3110</v>
      </c>
      <c r="AM47" s="79" t="s">
        <v>3111</v>
      </c>
      <c r="AN47" s="79" t="s">
        <v>3112</v>
      </c>
    </row>
    <row r="48" ht="16.5" customHeight="1" spans="1:40">
      <c r="A48" s="79">
        <f t="shared" si="22"/>
        <v>310003</v>
      </c>
      <c r="B48" s="79">
        <v>1</v>
      </c>
      <c r="C48" s="79">
        <f t="shared" ref="C48:C55" si="25">C47</f>
        <v>3</v>
      </c>
      <c r="D48" s="79">
        <f t="shared" ref="D48:D55" si="26">D47</f>
        <v>3</v>
      </c>
      <c r="E48" s="79">
        <v>2</v>
      </c>
      <c r="F48" s="79" t="s">
        <v>3548</v>
      </c>
      <c r="G48" s="79" t="s">
        <v>3544</v>
      </c>
      <c r="H48" s="79">
        <v>1</v>
      </c>
      <c r="I48" s="79">
        <v>1</v>
      </c>
      <c r="J48" s="79">
        <f t="shared" si="24"/>
        <v>100</v>
      </c>
      <c r="K48" s="79">
        <f t="shared" si="21"/>
        <v>1005</v>
      </c>
      <c r="L48" s="78">
        <v>6</v>
      </c>
      <c r="O48" s="79">
        <v>3</v>
      </c>
      <c r="P48" s="79" t="s">
        <v>3545</v>
      </c>
      <c r="Q48" s="79">
        <v>81000</v>
      </c>
      <c r="R48" s="79">
        <f t="shared" si="23"/>
        <v>310004</v>
      </c>
      <c r="T48" s="79" t="s">
        <v>3546</v>
      </c>
      <c r="V48" s="79" t="s">
        <v>3547</v>
      </c>
      <c r="AL48" s="79" t="s">
        <v>3139</v>
      </c>
      <c r="AM48" s="79" t="s">
        <v>3140</v>
      </c>
      <c r="AN48" s="79" t="s">
        <v>3141</v>
      </c>
    </row>
    <row r="49" ht="16.5" customHeight="1" spans="1:40">
      <c r="A49" s="79">
        <f t="shared" si="22"/>
        <v>310004</v>
      </c>
      <c r="B49" s="79">
        <v>1</v>
      </c>
      <c r="C49" s="79">
        <f t="shared" si="25"/>
        <v>3</v>
      </c>
      <c r="D49" s="79">
        <f t="shared" si="26"/>
        <v>3</v>
      </c>
      <c r="E49" s="79">
        <v>2</v>
      </c>
      <c r="F49" s="79" t="s">
        <v>3548</v>
      </c>
      <c r="G49" s="79" t="s">
        <v>3544</v>
      </c>
      <c r="H49" s="79">
        <v>1</v>
      </c>
      <c r="I49" s="79">
        <v>1</v>
      </c>
      <c r="J49" s="79">
        <f t="shared" si="24"/>
        <v>150</v>
      </c>
      <c r="K49" s="79">
        <f t="shared" si="21"/>
        <v>1006</v>
      </c>
      <c r="L49" s="78">
        <v>7</v>
      </c>
      <c r="O49" s="79">
        <v>4</v>
      </c>
      <c r="P49" s="79" t="s">
        <v>3545</v>
      </c>
      <c r="Q49" s="79">
        <v>96300</v>
      </c>
      <c r="R49" s="79">
        <f t="shared" si="23"/>
        <v>310005</v>
      </c>
      <c r="T49" s="79" t="s">
        <v>3546</v>
      </c>
      <c r="V49" s="79" t="s">
        <v>3547</v>
      </c>
      <c r="AL49" s="79" t="s">
        <v>3139</v>
      </c>
      <c r="AM49" s="79" t="s">
        <v>3140</v>
      </c>
      <c r="AN49" s="79" t="s">
        <v>3141</v>
      </c>
    </row>
    <row r="50" ht="15.75" customHeight="1" spans="1:38">
      <c r="A50" s="79">
        <f t="shared" si="22"/>
        <v>310005</v>
      </c>
      <c r="B50" s="79">
        <v>1</v>
      </c>
      <c r="C50" s="79">
        <f t="shared" si="25"/>
        <v>3</v>
      </c>
      <c r="D50" s="79">
        <f t="shared" si="26"/>
        <v>3</v>
      </c>
      <c r="E50" s="79">
        <v>2</v>
      </c>
      <c r="F50" s="79" t="s">
        <v>3548</v>
      </c>
      <c r="G50" s="79" t="s">
        <v>3544</v>
      </c>
      <c r="H50" s="79">
        <v>0</v>
      </c>
      <c r="I50" s="79">
        <v>0</v>
      </c>
      <c r="J50" s="79">
        <f t="shared" si="24"/>
        <v>200</v>
      </c>
      <c r="K50" s="79">
        <f t="shared" si="21"/>
        <v>1007</v>
      </c>
      <c r="L50" s="78">
        <v>8</v>
      </c>
      <c r="M50" s="79">
        <v>3</v>
      </c>
      <c r="N50" s="79">
        <v>3000</v>
      </c>
      <c r="O50" s="79">
        <v>5</v>
      </c>
      <c r="P50" s="79" t="s">
        <v>3545</v>
      </c>
      <c r="Q50" s="79">
        <v>150500</v>
      </c>
      <c r="R50" s="79">
        <f t="shared" si="23"/>
        <v>310006</v>
      </c>
      <c r="T50" s="79" t="s">
        <v>3546</v>
      </c>
      <c r="V50" s="79" t="s">
        <v>3547</v>
      </c>
      <c r="AL50" s="79" t="str">
        <f>$AM$9&amp;"|"&amp;$AN$9&amp;"|"</f>
        <v>616|472|</v>
      </c>
    </row>
    <row r="51" ht="16.5" customHeight="1" spans="1:41">
      <c r="A51" s="79">
        <f t="shared" si="22"/>
        <v>310006</v>
      </c>
      <c r="B51" s="79">
        <v>1</v>
      </c>
      <c r="C51" s="79">
        <f t="shared" si="25"/>
        <v>3</v>
      </c>
      <c r="D51" s="79">
        <f t="shared" si="26"/>
        <v>3</v>
      </c>
      <c r="E51" s="79">
        <v>3</v>
      </c>
      <c r="F51" s="79" t="s">
        <v>3549</v>
      </c>
      <c r="G51" s="79" t="s">
        <v>3550</v>
      </c>
      <c r="H51" s="79">
        <v>1</v>
      </c>
      <c r="I51" s="79">
        <v>1</v>
      </c>
      <c r="J51" s="79">
        <f t="shared" si="24"/>
        <v>250</v>
      </c>
      <c r="K51" s="79">
        <f t="shared" si="21"/>
        <v>1008</v>
      </c>
      <c r="L51" s="78">
        <v>9</v>
      </c>
      <c r="O51" s="79">
        <v>6</v>
      </c>
      <c r="P51" s="79" t="s">
        <v>3545</v>
      </c>
      <c r="Q51" s="79">
        <v>224000</v>
      </c>
      <c r="R51" s="79">
        <f t="shared" si="23"/>
        <v>310007</v>
      </c>
      <c r="T51" s="79" t="s">
        <v>3546</v>
      </c>
      <c r="V51" s="79" t="s">
        <v>3547</v>
      </c>
      <c r="AO51" s="79">
        <f>[5]item_type!$A211</f>
        <v>302020</v>
      </c>
    </row>
    <row r="52" ht="16.5" customHeight="1" spans="1:41">
      <c r="A52" s="79">
        <f t="shared" si="22"/>
        <v>310007</v>
      </c>
      <c r="B52" s="79">
        <v>1</v>
      </c>
      <c r="C52" s="79">
        <f t="shared" si="25"/>
        <v>3</v>
      </c>
      <c r="D52" s="79">
        <f t="shared" si="26"/>
        <v>3</v>
      </c>
      <c r="E52" s="79">
        <v>3</v>
      </c>
      <c r="F52" s="79" t="s">
        <v>3549</v>
      </c>
      <c r="G52" s="79" t="s">
        <v>3550</v>
      </c>
      <c r="H52" s="79">
        <v>1</v>
      </c>
      <c r="I52" s="79">
        <v>0</v>
      </c>
      <c r="J52" s="79">
        <f t="shared" si="24"/>
        <v>300</v>
      </c>
      <c r="K52" s="79">
        <f t="shared" si="21"/>
        <v>1008</v>
      </c>
      <c r="L52" s="78">
        <v>9</v>
      </c>
      <c r="M52" s="79">
        <v>3</v>
      </c>
      <c r="N52" s="79">
        <v>3000</v>
      </c>
      <c r="O52" s="79">
        <v>7</v>
      </c>
      <c r="P52" s="79" t="s">
        <v>3545</v>
      </c>
      <c r="Q52" s="79">
        <v>320600</v>
      </c>
      <c r="R52" s="79">
        <f t="shared" si="23"/>
        <v>310008</v>
      </c>
      <c r="T52" s="79" t="s">
        <v>3546</v>
      </c>
      <c r="V52" s="79" t="s">
        <v>3547</v>
      </c>
      <c r="AO52" s="79">
        <f>[5]item_type!$A212</f>
        <v>302021</v>
      </c>
    </row>
    <row r="53" ht="16.5" customHeight="1" spans="1:41">
      <c r="A53" s="79">
        <f t="shared" si="22"/>
        <v>310008</v>
      </c>
      <c r="B53" s="79">
        <v>1</v>
      </c>
      <c r="C53" s="79">
        <f t="shared" si="25"/>
        <v>3</v>
      </c>
      <c r="D53" s="79">
        <f t="shared" si="26"/>
        <v>3</v>
      </c>
      <c r="E53" s="79">
        <v>3</v>
      </c>
      <c r="F53" s="79" t="s">
        <v>3549</v>
      </c>
      <c r="G53" s="79" t="s">
        <v>3550</v>
      </c>
      <c r="H53" s="79">
        <v>1</v>
      </c>
      <c r="I53" s="79">
        <v>1</v>
      </c>
      <c r="J53" s="79">
        <f t="shared" si="24"/>
        <v>350</v>
      </c>
      <c r="K53" s="79">
        <f t="shared" si="21"/>
        <v>1009</v>
      </c>
      <c r="L53" s="78">
        <v>10</v>
      </c>
      <c r="O53" s="79">
        <v>8</v>
      </c>
      <c r="P53" s="79" t="s">
        <v>3545</v>
      </c>
      <c r="Q53" s="79">
        <v>362300</v>
      </c>
      <c r="R53" s="79">
        <f t="shared" si="23"/>
        <v>310009</v>
      </c>
      <c r="T53" s="79" t="s">
        <v>3546</v>
      </c>
      <c r="V53" s="79" t="s">
        <v>3547</v>
      </c>
      <c r="AO53" s="79">
        <f>[5]item_type!$A213</f>
        <v>302022</v>
      </c>
    </row>
    <row r="54" ht="16.5" customHeight="1" spans="1:41">
      <c r="A54" s="79">
        <f t="shared" si="22"/>
        <v>310009</v>
      </c>
      <c r="B54" s="79">
        <v>1</v>
      </c>
      <c r="C54" s="79">
        <f t="shared" si="25"/>
        <v>3</v>
      </c>
      <c r="D54" s="79">
        <f t="shared" si="26"/>
        <v>3</v>
      </c>
      <c r="E54" s="79">
        <v>3</v>
      </c>
      <c r="F54" s="79" t="s">
        <v>3549</v>
      </c>
      <c r="G54" s="79" t="s">
        <v>3550</v>
      </c>
      <c r="H54" s="79">
        <v>0</v>
      </c>
      <c r="I54" s="79">
        <v>0</v>
      </c>
      <c r="J54" s="79">
        <f t="shared" si="24"/>
        <v>400</v>
      </c>
      <c r="K54" s="79">
        <f t="shared" si="21"/>
        <v>1009</v>
      </c>
      <c r="L54" s="78">
        <v>10</v>
      </c>
      <c r="M54" s="79">
        <v>3</v>
      </c>
      <c r="N54" s="79">
        <v>3000</v>
      </c>
      <c r="O54" s="79">
        <v>9</v>
      </c>
      <c r="P54" s="79" t="s">
        <v>3545</v>
      </c>
      <c r="Q54" s="79">
        <v>400700</v>
      </c>
      <c r="R54" s="79">
        <f t="shared" si="23"/>
        <v>310010</v>
      </c>
      <c r="T54" s="79" t="s">
        <v>3546</v>
      </c>
      <c r="V54" s="79" t="s">
        <v>3547</v>
      </c>
      <c r="AO54" s="79">
        <f>[5]item_type!$A214</f>
        <v>302023</v>
      </c>
    </row>
    <row r="55" ht="16.5" customHeight="1" spans="1:41">
      <c r="A55" s="79">
        <f t="shared" si="22"/>
        <v>310010</v>
      </c>
      <c r="B55" s="79">
        <v>1</v>
      </c>
      <c r="C55" s="79">
        <f t="shared" si="25"/>
        <v>3</v>
      </c>
      <c r="D55" s="79">
        <f t="shared" si="26"/>
        <v>3</v>
      </c>
      <c r="E55" s="79">
        <v>4</v>
      </c>
      <c r="F55" s="79" t="s">
        <v>3551</v>
      </c>
      <c r="G55" s="79" t="s">
        <v>3552</v>
      </c>
      <c r="H55" s="79">
        <v>1</v>
      </c>
      <c r="I55" s="79">
        <v>0</v>
      </c>
      <c r="J55" s="79">
        <f t="shared" si="24"/>
        <v>450</v>
      </c>
      <c r="K55" s="79">
        <f t="shared" si="21"/>
        <v>0</v>
      </c>
      <c r="M55" s="79">
        <v>4</v>
      </c>
      <c r="N55" s="79">
        <v>3000</v>
      </c>
      <c r="O55" s="79">
        <v>10</v>
      </c>
      <c r="P55" s="79" t="s">
        <v>3545</v>
      </c>
      <c r="R55" s="79">
        <f>A107</f>
        <v>320002</v>
      </c>
      <c r="T55" s="79" t="s">
        <v>3546</v>
      </c>
      <c r="V55" s="79" t="s">
        <v>3547</v>
      </c>
      <c r="AO55" s="79">
        <f>[5]item_type!$A215</f>
        <v>302024</v>
      </c>
    </row>
    <row r="56" ht="16.5" customHeight="1" spans="1:41">
      <c r="A56" s="79">
        <f t="shared" ref="A56:A65" si="27">C56*100000+B56*10000+O56</f>
        <v>610001</v>
      </c>
      <c r="B56" s="79">
        <v>1</v>
      </c>
      <c r="C56" s="79">
        <v>6</v>
      </c>
      <c r="D56" s="79">
        <v>61</v>
      </c>
      <c r="F56" s="79" t="str">
        <f>F57</f>
        <v>shideng</v>
      </c>
      <c r="G56" s="79" t="s">
        <v>3553</v>
      </c>
      <c r="H56" s="79">
        <v>0</v>
      </c>
      <c r="K56" s="79">
        <f t="shared" si="21"/>
        <v>1004</v>
      </c>
      <c r="L56" s="78">
        <v>5</v>
      </c>
      <c r="O56" s="79">
        <v>1</v>
      </c>
      <c r="P56" s="79" t="s">
        <v>3554</v>
      </c>
      <c r="Q56" s="79">
        <v>55400</v>
      </c>
      <c r="R56" s="79">
        <f t="shared" ref="R56:R64" si="28">A57</f>
        <v>610002</v>
      </c>
      <c r="T56" s="79" t="s">
        <v>3555</v>
      </c>
      <c r="V56" s="79" t="s">
        <v>3556</v>
      </c>
      <c r="AK56" s="79" t="s">
        <v>528</v>
      </c>
      <c r="AO56" s="79" t="s">
        <v>3497</v>
      </c>
    </row>
    <row r="57" ht="15" spans="1:22">
      <c r="A57" s="79">
        <f t="shared" si="27"/>
        <v>610002</v>
      </c>
      <c r="B57" s="79">
        <v>1</v>
      </c>
      <c r="C57" s="79">
        <f>C27+1</f>
        <v>6</v>
      </c>
      <c r="D57" s="79">
        <v>61</v>
      </c>
      <c r="E57" s="79">
        <v>1</v>
      </c>
      <c r="F57" s="79" t="s">
        <v>3557</v>
      </c>
      <c r="G57" s="79" t="s">
        <v>3553</v>
      </c>
      <c r="H57" s="79">
        <v>1</v>
      </c>
      <c r="I57" s="79">
        <v>1</v>
      </c>
      <c r="J57" s="79">
        <f t="shared" ref="J57:J65" si="29">$J$1*(O57-1)</f>
        <v>50</v>
      </c>
      <c r="K57" s="79">
        <f t="shared" si="21"/>
        <v>1005</v>
      </c>
      <c r="L57" s="78">
        <v>6</v>
      </c>
      <c r="O57" s="79">
        <v>2</v>
      </c>
      <c r="P57" s="79" t="s">
        <v>3554</v>
      </c>
      <c r="Q57" s="79">
        <v>82900</v>
      </c>
      <c r="R57" s="79">
        <f t="shared" si="28"/>
        <v>610003</v>
      </c>
      <c r="T57" s="79" t="s">
        <v>3555</v>
      </c>
      <c r="V57" s="79" t="s">
        <v>3556</v>
      </c>
    </row>
    <row r="58" ht="15" spans="1:22">
      <c r="A58" s="79">
        <f t="shared" si="27"/>
        <v>610003</v>
      </c>
      <c r="B58" s="79">
        <v>1</v>
      </c>
      <c r="C58" s="79">
        <f t="shared" ref="C58:C65" si="30">C57</f>
        <v>6</v>
      </c>
      <c r="D58" s="79">
        <v>61</v>
      </c>
      <c r="E58" s="79">
        <v>1</v>
      </c>
      <c r="F58" s="79" t="s">
        <v>3557</v>
      </c>
      <c r="G58" s="79" t="s">
        <v>3553</v>
      </c>
      <c r="H58" s="79">
        <v>1</v>
      </c>
      <c r="I58" s="79">
        <v>1</v>
      </c>
      <c r="J58" s="79">
        <f t="shared" si="29"/>
        <v>100</v>
      </c>
      <c r="K58" s="79">
        <f t="shared" si="21"/>
        <v>1006</v>
      </c>
      <c r="L58" s="78">
        <v>7</v>
      </c>
      <c r="O58" s="79">
        <v>3</v>
      </c>
      <c r="P58" s="79" t="s">
        <v>3554</v>
      </c>
      <c r="Q58" s="79">
        <v>100400</v>
      </c>
      <c r="R58" s="79">
        <f t="shared" si="28"/>
        <v>610004</v>
      </c>
      <c r="T58" s="79" t="s">
        <v>3555</v>
      </c>
      <c r="V58" s="79" t="s">
        <v>3556</v>
      </c>
    </row>
    <row r="59" ht="15" spans="1:22">
      <c r="A59" s="79">
        <f t="shared" si="27"/>
        <v>610004</v>
      </c>
      <c r="B59" s="79">
        <v>1</v>
      </c>
      <c r="C59" s="79">
        <f t="shared" si="30"/>
        <v>6</v>
      </c>
      <c r="D59" s="79">
        <v>61</v>
      </c>
      <c r="E59" s="79">
        <v>1</v>
      </c>
      <c r="F59" s="79" t="s">
        <v>3557</v>
      </c>
      <c r="G59" s="79" t="s">
        <v>3553</v>
      </c>
      <c r="H59" s="79">
        <v>1</v>
      </c>
      <c r="I59" s="79">
        <v>1</v>
      </c>
      <c r="J59" s="79">
        <f t="shared" si="29"/>
        <v>150</v>
      </c>
      <c r="K59" s="79">
        <f t="shared" si="21"/>
        <v>1007</v>
      </c>
      <c r="L59" s="78">
        <v>8</v>
      </c>
      <c r="O59" s="79">
        <v>4</v>
      </c>
      <c r="P59" s="79" t="s">
        <v>3554</v>
      </c>
      <c r="Q59" s="79">
        <v>153200</v>
      </c>
      <c r="R59" s="79">
        <f t="shared" si="28"/>
        <v>610005</v>
      </c>
      <c r="T59" s="79" t="s">
        <v>3555</v>
      </c>
      <c r="V59" s="79" t="s">
        <v>3556</v>
      </c>
    </row>
    <row r="60" ht="15" spans="1:22">
      <c r="A60" s="79">
        <f t="shared" si="27"/>
        <v>610005</v>
      </c>
      <c r="B60" s="79">
        <v>1</v>
      </c>
      <c r="C60" s="79">
        <f t="shared" si="30"/>
        <v>6</v>
      </c>
      <c r="D60" s="79">
        <v>61</v>
      </c>
      <c r="E60" s="79">
        <v>1</v>
      </c>
      <c r="F60" s="79" t="s">
        <v>3557</v>
      </c>
      <c r="G60" s="79" t="s">
        <v>3553</v>
      </c>
      <c r="H60" s="79">
        <v>0</v>
      </c>
      <c r="I60" s="79">
        <v>0</v>
      </c>
      <c r="J60" s="79">
        <f t="shared" si="29"/>
        <v>200</v>
      </c>
      <c r="K60" s="79">
        <f t="shared" si="21"/>
        <v>1008</v>
      </c>
      <c r="L60" s="78">
        <v>9</v>
      </c>
      <c r="M60" s="79">
        <v>1</v>
      </c>
      <c r="N60" s="79">
        <v>3000</v>
      </c>
      <c r="O60" s="79">
        <v>5</v>
      </c>
      <c r="P60" s="79" t="s">
        <v>3554</v>
      </c>
      <c r="Q60" s="79">
        <v>228600</v>
      </c>
      <c r="R60" s="79">
        <f t="shared" si="28"/>
        <v>610006</v>
      </c>
      <c r="T60" s="79" t="s">
        <v>3555</v>
      </c>
      <c r="V60" s="79" t="s">
        <v>3556</v>
      </c>
    </row>
    <row r="61" ht="15" spans="1:41">
      <c r="A61" s="79">
        <f t="shared" si="27"/>
        <v>610006</v>
      </c>
      <c r="B61" s="79">
        <v>1</v>
      </c>
      <c r="C61" s="79">
        <f t="shared" si="30"/>
        <v>6</v>
      </c>
      <c r="D61" s="79">
        <v>6</v>
      </c>
      <c r="E61" s="79">
        <v>2</v>
      </c>
      <c r="F61" s="79" t="s">
        <v>3558</v>
      </c>
      <c r="G61" s="79" t="s">
        <v>3559</v>
      </c>
      <c r="H61" s="79">
        <v>1</v>
      </c>
      <c r="I61" s="79">
        <v>1</v>
      </c>
      <c r="J61" s="79">
        <f t="shared" si="29"/>
        <v>250</v>
      </c>
      <c r="K61" s="79">
        <f t="shared" si="21"/>
        <v>1009</v>
      </c>
      <c r="L61" s="78">
        <v>10</v>
      </c>
      <c r="O61" s="79">
        <v>6</v>
      </c>
      <c r="P61" s="79" t="s">
        <v>3554</v>
      </c>
      <c r="Q61" s="79">
        <v>324900</v>
      </c>
      <c r="R61" s="79">
        <f t="shared" si="28"/>
        <v>610007</v>
      </c>
      <c r="T61" s="79" t="s">
        <v>3560</v>
      </c>
      <c r="V61" s="79" t="s">
        <v>3561</v>
      </c>
      <c r="AO61" s="79">
        <f>[5]item_type!$A229</f>
        <v>303008</v>
      </c>
    </row>
    <row r="62" ht="15" spans="1:41">
      <c r="A62" s="79">
        <f t="shared" si="27"/>
        <v>610007</v>
      </c>
      <c r="B62" s="79">
        <v>1</v>
      </c>
      <c r="C62" s="79">
        <f t="shared" si="30"/>
        <v>6</v>
      </c>
      <c r="D62" s="79">
        <v>6</v>
      </c>
      <c r="E62" s="79">
        <v>2</v>
      </c>
      <c r="F62" s="79" t="s">
        <v>3558</v>
      </c>
      <c r="G62" s="79" t="s">
        <v>3559</v>
      </c>
      <c r="H62" s="79">
        <v>1</v>
      </c>
      <c r="I62" s="79">
        <v>0</v>
      </c>
      <c r="J62" s="79">
        <f t="shared" si="29"/>
        <v>300</v>
      </c>
      <c r="K62" s="79">
        <f t="shared" si="21"/>
        <v>1009</v>
      </c>
      <c r="L62" s="78">
        <v>10</v>
      </c>
      <c r="M62" s="79">
        <v>2</v>
      </c>
      <c r="N62" s="79">
        <v>3000</v>
      </c>
      <c r="O62" s="79">
        <v>7</v>
      </c>
      <c r="P62" s="79" t="s">
        <v>3554</v>
      </c>
      <c r="Q62" s="79">
        <v>366800</v>
      </c>
      <c r="R62" s="79">
        <f t="shared" si="28"/>
        <v>610008</v>
      </c>
      <c r="T62" s="79" t="s">
        <v>3560</v>
      </c>
      <c r="V62" s="79" t="s">
        <v>3561</v>
      </c>
      <c r="AO62" s="79">
        <f>[5]item_type!$A230</f>
        <v>303009</v>
      </c>
    </row>
    <row r="63" ht="15" spans="1:41">
      <c r="A63" s="79">
        <f t="shared" si="27"/>
        <v>610008</v>
      </c>
      <c r="B63" s="79">
        <v>1</v>
      </c>
      <c r="C63" s="79">
        <f t="shared" si="30"/>
        <v>6</v>
      </c>
      <c r="D63" s="79">
        <v>6</v>
      </c>
      <c r="E63" s="79">
        <v>2</v>
      </c>
      <c r="F63" s="79" t="s">
        <v>3558</v>
      </c>
      <c r="G63" s="79" t="s">
        <v>3559</v>
      </c>
      <c r="H63" s="79">
        <v>1</v>
      </c>
      <c r="I63" s="79">
        <v>1</v>
      </c>
      <c r="J63" s="79">
        <f t="shared" si="29"/>
        <v>350</v>
      </c>
      <c r="K63" s="79">
        <f t="shared" si="21"/>
        <v>1009</v>
      </c>
      <c r="L63" s="78">
        <v>10</v>
      </c>
      <c r="O63" s="79">
        <v>8</v>
      </c>
      <c r="P63" s="79" t="s">
        <v>3554</v>
      </c>
      <c r="Q63" s="79">
        <v>411100</v>
      </c>
      <c r="R63" s="79">
        <f t="shared" si="28"/>
        <v>610009</v>
      </c>
      <c r="T63" s="79" t="s">
        <v>3560</v>
      </c>
      <c r="V63" s="79" t="s">
        <v>3561</v>
      </c>
      <c r="AO63" s="79">
        <f>[5]item_type!$A231</f>
        <v>303010</v>
      </c>
    </row>
    <row r="64" ht="15" spans="1:41">
      <c r="A64" s="79">
        <f t="shared" si="27"/>
        <v>610009</v>
      </c>
      <c r="B64" s="79">
        <v>1</v>
      </c>
      <c r="C64" s="79">
        <f t="shared" si="30"/>
        <v>6</v>
      </c>
      <c r="D64" s="79">
        <v>6</v>
      </c>
      <c r="E64" s="79">
        <v>2</v>
      </c>
      <c r="F64" s="79" t="s">
        <v>3558</v>
      </c>
      <c r="G64" s="79" t="s">
        <v>3559</v>
      </c>
      <c r="H64" s="79">
        <v>0</v>
      </c>
      <c r="I64" s="79">
        <v>0</v>
      </c>
      <c r="J64" s="79">
        <f t="shared" si="29"/>
        <v>400</v>
      </c>
      <c r="K64" s="79">
        <f t="shared" si="21"/>
        <v>1009</v>
      </c>
      <c r="L64" s="78">
        <v>10</v>
      </c>
      <c r="M64" s="79">
        <v>2</v>
      </c>
      <c r="N64" s="79">
        <v>3000</v>
      </c>
      <c r="O64" s="79">
        <v>9</v>
      </c>
      <c r="P64" s="79" t="s">
        <v>3554</v>
      </c>
      <c r="Q64" s="79">
        <v>552000</v>
      </c>
      <c r="R64" s="79">
        <f t="shared" si="28"/>
        <v>610010</v>
      </c>
      <c r="T64" s="79" t="s">
        <v>3560</v>
      </c>
      <c r="V64" s="79" t="s">
        <v>3561</v>
      </c>
      <c r="AO64" s="79">
        <f>[5]item_type!$A232</f>
        <v>303011</v>
      </c>
    </row>
    <row r="65" spans="1:41">
      <c r="A65" s="79">
        <f t="shared" si="27"/>
        <v>610010</v>
      </c>
      <c r="B65" s="79">
        <v>1</v>
      </c>
      <c r="C65" s="79">
        <f t="shared" si="30"/>
        <v>6</v>
      </c>
      <c r="D65" s="79">
        <v>6</v>
      </c>
      <c r="E65" s="79">
        <v>3</v>
      </c>
      <c r="F65" s="79" t="s">
        <v>3562</v>
      </c>
      <c r="G65" s="79" t="s">
        <v>3563</v>
      </c>
      <c r="H65" s="79">
        <v>1</v>
      </c>
      <c r="I65" s="79">
        <v>0</v>
      </c>
      <c r="J65" s="79">
        <f t="shared" si="29"/>
        <v>450</v>
      </c>
      <c r="K65" s="79">
        <f t="shared" si="21"/>
        <v>0</v>
      </c>
      <c r="M65" s="79">
        <v>3</v>
      </c>
      <c r="N65" s="79">
        <v>3000</v>
      </c>
      <c r="O65" s="79">
        <v>10</v>
      </c>
      <c r="P65" s="79" t="s">
        <v>3554</v>
      </c>
      <c r="R65" s="79">
        <f>A117</f>
        <v>620002</v>
      </c>
      <c r="T65" s="79" t="s">
        <v>3560</v>
      </c>
      <c r="V65" s="79" t="s">
        <v>3564</v>
      </c>
      <c r="AO65" s="79">
        <f>[5]item_type!$A233</f>
        <v>303012</v>
      </c>
    </row>
    <row r="66" ht="16.5" customHeight="1" spans="1:41">
      <c r="A66" s="79">
        <f t="shared" ref="A66:A85" si="31">C66*100000+B66*10000+O66</f>
        <v>220001</v>
      </c>
      <c r="B66" s="79">
        <v>2</v>
      </c>
      <c r="C66" s="79">
        <v>2</v>
      </c>
      <c r="D66" s="79">
        <v>2</v>
      </c>
      <c r="F66" s="79" t="s">
        <v>3565</v>
      </c>
      <c r="G66" s="79" t="s">
        <v>3566</v>
      </c>
      <c r="H66" s="79">
        <v>0</v>
      </c>
      <c r="K66" s="79">
        <f t="shared" si="21"/>
        <v>2000</v>
      </c>
      <c r="L66" s="79">
        <v>1</v>
      </c>
      <c r="O66" s="79">
        <v>1</v>
      </c>
      <c r="P66" s="79" t="s">
        <v>3495</v>
      </c>
      <c r="Q66" s="78">
        <v>41700</v>
      </c>
      <c r="R66" s="79">
        <f t="shared" ref="R66:R74" si="32">A67</f>
        <v>220002</v>
      </c>
      <c r="T66" s="79" t="s">
        <v>3567</v>
      </c>
      <c r="U66" s="79" t="s">
        <v>3568</v>
      </c>
      <c r="V66" s="79" t="s">
        <v>3569</v>
      </c>
      <c r="AK66" s="79" t="s">
        <v>528</v>
      </c>
      <c r="AO66" s="79" t="s">
        <v>3497</v>
      </c>
    </row>
    <row r="67" ht="15" spans="1:22">
      <c r="A67" s="79">
        <f t="shared" si="31"/>
        <v>220002</v>
      </c>
      <c r="B67" s="79">
        <v>2</v>
      </c>
      <c r="C67" s="79">
        <f>C77+1</f>
        <v>2</v>
      </c>
      <c r="D67" s="79">
        <f>D77+1</f>
        <v>2</v>
      </c>
      <c r="E67" s="79">
        <v>1</v>
      </c>
      <c r="F67" s="79" t="s">
        <v>3565</v>
      </c>
      <c r="G67" s="79" t="s">
        <v>3566</v>
      </c>
      <c r="H67" s="79">
        <v>1</v>
      </c>
      <c r="I67" s="79">
        <v>1</v>
      </c>
      <c r="J67" s="79">
        <f t="shared" ref="J67:J75" si="33">$J$1*(O67-1)</f>
        <v>50</v>
      </c>
      <c r="K67" s="79">
        <f t="shared" si="21"/>
        <v>2000</v>
      </c>
      <c r="L67" s="79">
        <v>1</v>
      </c>
      <c r="O67" s="79">
        <v>2</v>
      </c>
      <c r="P67" s="79" t="s">
        <v>3495</v>
      </c>
      <c r="Q67" s="78">
        <v>97300</v>
      </c>
      <c r="R67" s="79">
        <f t="shared" si="32"/>
        <v>220003</v>
      </c>
      <c r="T67" s="79" t="s">
        <v>3567</v>
      </c>
      <c r="U67" s="79" t="s">
        <v>3568</v>
      </c>
      <c r="V67" s="79" t="s">
        <v>3569</v>
      </c>
    </row>
    <row r="68" ht="15" spans="1:22">
      <c r="A68" s="79">
        <f t="shared" si="31"/>
        <v>220003</v>
      </c>
      <c r="B68" s="79">
        <v>2</v>
      </c>
      <c r="C68" s="79">
        <f t="shared" ref="C68:C75" si="34">C67</f>
        <v>2</v>
      </c>
      <c r="D68" s="79">
        <f t="shared" ref="D68:D75" si="35">D67</f>
        <v>2</v>
      </c>
      <c r="E68" s="79">
        <v>1</v>
      </c>
      <c r="F68" s="79" t="s">
        <v>3565</v>
      </c>
      <c r="G68" s="79" t="s">
        <v>3566</v>
      </c>
      <c r="H68" s="79">
        <v>1</v>
      </c>
      <c r="I68" s="79">
        <v>1</v>
      </c>
      <c r="J68" s="79">
        <f t="shared" si="33"/>
        <v>100</v>
      </c>
      <c r="K68" s="79">
        <f t="shared" si="21"/>
        <v>2000</v>
      </c>
      <c r="L68" s="79">
        <v>1</v>
      </c>
      <c r="O68" s="79">
        <v>3</v>
      </c>
      <c r="P68" s="79" t="s">
        <v>3495</v>
      </c>
      <c r="Q68" s="78">
        <v>166800</v>
      </c>
      <c r="R68" s="79">
        <f t="shared" si="32"/>
        <v>220004</v>
      </c>
      <c r="T68" s="79" t="s">
        <v>3567</v>
      </c>
      <c r="U68" s="79" t="s">
        <v>3568</v>
      </c>
      <c r="V68" s="79" t="s">
        <v>3569</v>
      </c>
    </row>
    <row r="69" ht="15" spans="1:22">
      <c r="A69" s="79">
        <f t="shared" si="31"/>
        <v>220004</v>
      </c>
      <c r="B69" s="79">
        <v>2</v>
      </c>
      <c r="C69" s="79">
        <f t="shared" si="34"/>
        <v>2</v>
      </c>
      <c r="D69" s="79">
        <f t="shared" si="35"/>
        <v>2</v>
      </c>
      <c r="E69" s="79">
        <v>1</v>
      </c>
      <c r="F69" s="79" t="s">
        <v>3565</v>
      </c>
      <c r="G69" s="79" t="s">
        <v>3566</v>
      </c>
      <c r="H69" s="79">
        <v>1</v>
      </c>
      <c r="I69" s="79">
        <v>1</v>
      </c>
      <c r="J69" s="79">
        <f t="shared" si="33"/>
        <v>150</v>
      </c>
      <c r="K69" s="79">
        <f t="shared" si="21"/>
        <v>2001</v>
      </c>
      <c r="L69" s="79">
        <v>2</v>
      </c>
      <c r="O69" s="79">
        <v>4</v>
      </c>
      <c r="P69" s="79" t="s">
        <v>3495</v>
      </c>
      <c r="Q69" s="78">
        <v>556000</v>
      </c>
      <c r="R69" s="79">
        <f t="shared" si="32"/>
        <v>220005</v>
      </c>
      <c r="T69" s="79" t="s">
        <v>3567</v>
      </c>
      <c r="U69" s="79" t="s">
        <v>3568</v>
      </c>
      <c r="V69" s="79" t="s">
        <v>3569</v>
      </c>
    </row>
    <row r="70" ht="15" spans="1:22">
      <c r="A70" s="79">
        <f t="shared" si="31"/>
        <v>220005</v>
      </c>
      <c r="B70" s="79">
        <v>2</v>
      </c>
      <c r="C70" s="79">
        <f t="shared" si="34"/>
        <v>2</v>
      </c>
      <c r="D70" s="79">
        <f t="shared" si="35"/>
        <v>2</v>
      </c>
      <c r="E70" s="79">
        <v>1</v>
      </c>
      <c r="F70" s="79" t="s">
        <v>3565</v>
      </c>
      <c r="G70" s="79" t="s">
        <v>3566</v>
      </c>
      <c r="H70" s="79">
        <v>0</v>
      </c>
      <c r="I70" s="79">
        <v>0</v>
      </c>
      <c r="J70" s="79">
        <f t="shared" si="33"/>
        <v>200</v>
      </c>
      <c r="K70" s="79">
        <f t="shared" si="21"/>
        <v>2002</v>
      </c>
      <c r="L70" s="79">
        <v>3</v>
      </c>
      <c r="O70" s="79">
        <v>5</v>
      </c>
      <c r="P70" s="79" t="s">
        <v>3495</v>
      </c>
      <c r="Q70" s="78">
        <v>959100</v>
      </c>
      <c r="R70" s="79">
        <f t="shared" si="32"/>
        <v>220006</v>
      </c>
      <c r="T70" s="79" t="s">
        <v>3567</v>
      </c>
      <c r="U70" s="79" t="s">
        <v>3568</v>
      </c>
      <c r="V70" s="79" t="s">
        <v>3569</v>
      </c>
    </row>
    <row r="71" ht="15" spans="1:22">
      <c r="A71" s="79">
        <f t="shared" si="31"/>
        <v>220006</v>
      </c>
      <c r="B71" s="79">
        <v>2</v>
      </c>
      <c r="C71" s="79">
        <f t="shared" si="34"/>
        <v>2</v>
      </c>
      <c r="D71" s="79">
        <f t="shared" si="35"/>
        <v>2</v>
      </c>
      <c r="E71" s="79">
        <v>2</v>
      </c>
      <c r="F71" s="79" t="s">
        <v>3570</v>
      </c>
      <c r="G71" s="79" t="s">
        <v>3571</v>
      </c>
      <c r="H71" s="79">
        <v>1</v>
      </c>
      <c r="I71" s="79">
        <v>1</v>
      </c>
      <c r="J71" s="79">
        <f t="shared" si="33"/>
        <v>250</v>
      </c>
      <c r="K71" s="79">
        <f t="shared" ref="K71:K102" si="36">IF(L71=0,0,B71*1000+L71-1)</f>
        <v>2003</v>
      </c>
      <c r="L71" s="79">
        <v>4</v>
      </c>
      <c r="O71" s="79">
        <v>6</v>
      </c>
      <c r="P71" s="79" t="s">
        <v>3495</v>
      </c>
      <c r="Q71" s="78">
        <v>2932900</v>
      </c>
      <c r="R71" s="79">
        <f t="shared" si="32"/>
        <v>220007</v>
      </c>
      <c r="T71" s="79" t="s">
        <v>3567</v>
      </c>
      <c r="U71" s="79" t="s">
        <v>3568</v>
      </c>
      <c r="V71" s="79" t="s">
        <v>3569</v>
      </c>
    </row>
    <row r="72" ht="15" spans="1:22">
      <c r="A72" s="79">
        <f t="shared" si="31"/>
        <v>220007</v>
      </c>
      <c r="B72" s="79">
        <v>2</v>
      </c>
      <c r="C72" s="79">
        <f t="shared" si="34"/>
        <v>2</v>
      </c>
      <c r="D72" s="79">
        <f t="shared" si="35"/>
        <v>2</v>
      </c>
      <c r="E72" s="79">
        <v>2</v>
      </c>
      <c r="F72" s="79" t="s">
        <v>3570</v>
      </c>
      <c r="G72" s="79" t="s">
        <v>3571</v>
      </c>
      <c r="H72" s="79">
        <v>1</v>
      </c>
      <c r="I72" s="79">
        <v>0</v>
      </c>
      <c r="J72" s="79">
        <f t="shared" si="33"/>
        <v>300</v>
      </c>
      <c r="K72" s="79">
        <f t="shared" si="36"/>
        <v>2003</v>
      </c>
      <c r="L72" s="79">
        <v>4</v>
      </c>
      <c r="O72" s="79">
        <v>7</v>
      </c>
      <c r="P72" s="79" t="s">
        <v>3495</v>
      </c>
      <c r="Q72" s="78">
        <v>4517500</v>
      </c>
      <c r="R72" s="79">
        <f t="shared" si="32"/>
        <v>220008</v>
      </c>
      <c r="T72" s="79" t="s">
        <v>3567</v>
      </c>
      <c r="U72" s="79" t="s">
        <v>3568</v>
      </c>
      <c r="V72" s="79" t="s">
        <v>3569</v>
      </c>
    </row>
    <row r="73" ht="15" spans="1:22">
      <c r="A73" s="79">
        <f t="shared" si="31"/>
        <v>220008</v>
      </c>
      <c r="B73" s="79">
        <v>2</v>
      </c>
      <c r="C73" s="79">
        <f t="shared" si="34"/>
        <v>2</v>
      </c>
      <c r="D73" s="79">
        <f t="shared" si="35"/>
        <v>2</v>
      </c>
      <c r="E73" s="79">
        <v>2</v>
      </c>
      <c r="F73" s="79" t="s">
        <v>3570</v>
      </c>
      <c r="G73" s="79" t="s">
        <v>3571</v>
      </c>
      <c r="H73" s="79">
        <v>1</v>
      </c>
      <c r="I73" s="79">
        <v>1</v>
      </c>
      <c r="J73" s="79">
        <f t="shared" si="33"/>
        <v>350</v>
      </c>
      <c r="K73" s="79">
        <f t="shared" si="36"/>
        <v>2005</v>
      </c>
      <c r="L73" s="79">
        <v>6</v>
      </c>
      <c r="O73" s="79">
        <v>8</v>
      </c>
      <c r="P73" s="79" t="s">
        <v>3495</v>
      </c>
      <c r="Q73" s="78">
        <v>9007200</v>
      </c>
      <c r="R73" s="79">
        <f t="shared" si="32"/>
        <v>220009</v>
      </c>
      <c r="T73" s="79" t="s">
        <v>3567</v>
      </c>
      <c r="U73" s="79" t="s">
        <v>3568</v>
      </c>
      <c r="V73" s="79" t="s">
        <v>3569</v>
      </c>
    </row>
    <row r="74" ht="15" spans="1:22">
      <c r="A74" s="79">
        <f t="shared" si="31"/>
        <v>220009</v>
      </c>
      <c r="B74" s="79">
        <v>2</v>
      </c>
      <c r="C74" s="79">
        <f t="shared" si="34"/>
        <v>2</v>
      </c>
      <c r="D74" s="79">
        <f t="shared" si="35"/>
        <v>2</v>
      </c>
      <c r="E74" s="79">
        <v>2</v>
      </c>
      <c r="F74" s="79" t="s">
        <v>3570</v>
      </c>
      <c r="G74" s="79" t="s">
        <v>3571</v>
      </c>
      <c r="H74" s="79">
        <v>0</v>
      </c>
      <c r="I74" s="79">
        <v>0</v>
      </c>
      <c r="J74" s="79">
        <f t="shared" si="33"/>
        <v>400</v>
      </c>
      <c r="K74" s="79">
        <f t="shared" si="36"/>
        <v>2006</v>
      </c>
      <c r="L74" s="79">
        <v>7</v>
      </c>
      <c r="O74" s="79">
        <v>9</v>
      </c>
      <c r="P74" s="79" t="s">
        <v>3495</v>
      </c>
      <c r="Q74" s="78">
        <v>13955600</v>
      </c>
      <c r="R74" s="79">
        <f t="shared" si="32"/>
        <v>220010</v>
      </c>
      <c r="T74" s="79" t="s">
        <v>3567</v>
      </c>
      <c r="U74" s="79" t="s">
        <v>3568</v>
      </c>
      <c r="V74" s="79" t="s">
        <v>3569</v>
      </c>
    </row>
    <row r="75" ht="15" spans="1:22">
      <c r="A75" s="79">
        <f t="shared" si="31"/>
        <v>220010</v>
      </c>
      <c r="B75" s="79">
        <v>2</v>
      </c>
      <c r="C75" s="79">
        <f t="shared" si="34"/>
        <v>2</v>
      </c>
      <c r="D75" s="79">
        <f t="shared" si="35"/>
        <v>2</v>
      </c>
      <c r="E75" s="79">
        <v>3</v>
      </c>
      <c r="F75" s="79" t="s">
        <v>3572</v>
      </c>
      <c r="G75" s="79" t="s">
        <v>3573</v>
      </c>
      <c r="H75" s="79">
        <v>1</v>
      </c>
      <c r="I75" s="79">
        <v>0</v>
      </c>
      <c r="J75" s="79">
        <f t="shared" si="33"/>
        <v>450</v>
      </c>
      <c r="K75" s="79">
        <f t="shared" si="36"/>
        <v>0</v>
      </c>
      <c r="O75" s="79">
        <v>10</v>
      </c>
      <c r="P75" s="79" t="s">
        <v>3495</v>
      </c>
      <c r="Q75" s="78"/>
      <c r="R75" s="79">
        <f>A127</f>
        <v>230002</v>
      </c>
      <c r="T75" s="79" t="s">
        <v>3567</v>
      </c>
      <c r="U75" s="79" t="s">
        <v>3568</v>
      </c>
      <c r="V75" s="79" t="s">
        <v>3569</v>
      </c>
    </row>
    <row r="76" ht="16.5" customHeight="1" spans="1:41">
      <c r="A76" s="79">
        <f t="shared" si="31"/>
        <v>120001</v>
      </c>
      <c r="B76" s="79">
        <v>2</v>
      </c>
      <c r="C76" s="79">
        <v>1</v>
      </c>
      <c r="D76" s="79">
        <v>1</v>
      </c>
      <c r="F76" s="79" t="s">
        <v>3574</v>
      </c>
      <c r="G76" s="79" t="s">
        <v>3575</v>
      </c>
      <c r="H76" s="79">
        <v>0</v>
      </c>
      <c r="K76" s="79">
        <f t="shared" si="36"/>
        <v>2001</v>
      </c>
      <c r="L76" s="79">
        <v>2</v>
      </c>
      <c r="O76" s="79">
        <v>1</v>
      </c>
      <c r="P76" s="79" t="s">
        <v>3513</v>
      </c>
      <c r="Q76" s="78">
        <v>208500</v>
      </c>
      <c r="R76" s="79">
        <f>A80</f>
        <v>120005</v>
      </c>
      <c r="T76" s="79" t="s">
        <v>3172</v>
      </c>
      <c r="U76" s="79" t="s">
        <v>3576</v>
      </c>
      <c r="V76" s="79" t="s">
        <v>3577</v>
      </c>
      <c r="AK76" s="79" t="s">
        <v>528</v>
      </c>
      <c r="AO76" s="79" t="s">
        <v>3497</v>
      </c>
    </row>
    <row r="77" ht="15" spans="1:22">
      <c r="A77" s="79">
        <f t="shared" si="31"/>
        <v>120002</v>
      </c>
      <c r="B77" s="79">
        <v>2</v>
      </c>
      <c r="C77" s="79">
        <v>1</v>
      </c>
      <c r="D77" s="79">
        <v>1</v>
      </c>
      <c r="E77" s="79">
        <v>1</v>
      </c>
      <c r="F77" s="79" t="s">
        <v>3574</v>
      </c>
      <c r="G77" s="79" t="s">
        <v>3575</v>
      </c>
      <c r="H77" s="79">
        <v>1</v>
      </c>
      <c r="I77" s="79">
        <v>1</v>
      </c>
      <c r="J77" s="79">
        <f t="shared" ref="J77:J85" si="37">$J$1*(O77-1)</f>
        <v>50</v>
      </c>
      <c r="K77" s="79">
        <f t="shared" si="36"/>
        <v>2001</v>
      </c>
      <c r="L77" s="79">
        <v>2</v>
      </c>
      <c r="O77" s="79">
        <v>2</v>
      </c>
      <c r="P77" s="79" t="s">
        <v>3513</v>
      </c>
      <c r="Q77" s="78">
        <v>695000</v>
      </c>
      <c r="R77" s="79">
        <f t="shared" ref="R77:R84" si="38">A78</f>
        <v>120003</v>
      </c>
      <c r="T77" s="79" t="s">
        <v>3172</v>
      </c>
      <c r="U77" s="79" t="s">
        <v>3576</v>
      </c>
      <c r="V77" s="79" t="s">
        <v>3577</v>
      </c>
    </row>
    <row r="78" ht="15" spans="1:22">
      <c r="A78" s="79">
        <f t="shared" si="31"/>
        <v>120003</v>
      </c>
      <c r="B78" s="79">
        <v>2</v>
      </c>
      <c r="C78" s="79">
        <f t="shared" ref="C78:C85" si="39">C77</f>
        <v>1</v>
      </c>
      <c r="D78" s="79">
        <f t="shared" ref="D78:D85" si="40">D77</f>
        <v>1</v>
      </c>
      <c r="E78" s="79">
        <v>1</v>
      </c>
      <c r="F78" s="79" t="s">
        <v>3574</v>
      </c>
      <c r="G78" s="79" t="s">
        <v>3575</v>
      </c>
      <c r="H78" s="79">
        <v>1</v>
      </c>
      <c r="I78" s="79">
        <v>1</v>
      </c>
      <c r="J78" s="79">
        <f t="shared" si="37"/>
        <v>100</v>
      </c>
      <c r="K78" s="79">
        <f t="shared" si="36"/>
        <v>2002</v>
      </c>
      <c r="L78" s="79">
        <v>3</v>
      </c>
      <c r="O78" s="79">
        <v>3</v>
      </c>
      <c r="P78" s="79" t="s">
        <v>3513</v>
      </c>
      <c r="Q78" s="78">
        <v>1125900</v>
      </c>
      <c r="R78" s="79">
        <f t="shared" si="38"/>
        <v>120004</v>
      </c>
      <c r="T78" s="79" t="s">
        <v>3172</v>
      </c>
      <c r="U78" s="79" t="s">
        <v>3576</v>
      </c>
      <c r="V78" s="79" t="s">
        <v>3577</v>
      </c>
    </row>
    <row r="79" ht="15" spans="1:22">
      <c r="A79" s="79">
        <f t="shared" si="31"/>
        <v>120004</v>
      </c>
      <c r="B79" s="79">
        <v>2</v>
      </c>
      <c r="C79" s="79">
        <f t="shared" si="39"/>
        <v>1</v>
      </c>
      <c r="D79" s="79">
        <f t="shared" si="40"/>
        <v>1</v>
      </c>
      <c r="E79" s="79">
        <v>1</v>
      </c>
      <c r="F79" s="79" t="s">
        <v>3574</v>
      </c>
      <c r="G79" s="79" t="s">
        <v>3575</v>
      </c>
      <c r="H79" s="79">
        <v>1</v>
      </c>
      <c r="I79" s="79">
        <v>1</v>
      </c>
      <c r="J79" s="79">
        <f t="shared" si="37"/>
        <v>150</v>
      </c>
      <c r="K79" s="79">
        <f t="shared" si="36"/>
        <v>2003</v>
      </c>
      <c r="L79" s="79">
        <v>4</v>
      </c>
      <c r="O79" s="79">
        <v>4</v>
      </c>
      <c r="P79" s="79" t="s">
        <v>3513</v>
      </c>
      <c r="Q79" s="78">
        <v>3336000</v>
      </c>
      <c r="R79" s="79">
        <f t="shared" si="38"/>
        <v>120005</v>
      </c>
      <c r="T79" s="79" t="s">
        <v>3172</v>
      </c>
      <c r="U79" s="79" t="s">
        <v>3576</v>
      </c>
      <c r="V79" s="79" t="s">
        <v>3577</v>
      </c>
    </row>
    <row r="80" ht="15" spans="1:22">
      <c r="A80" s="79">
        <f t="shared" si="31"/>
        <v>120005</v>
      </c>
      <c r="B80" s="79">
        <v>2</v>
      </c>
      <c r="C80" s="79">
        <f t="shared" si="39"/>
        <v>1</v>
      </c>
      <c r="D80" s="79">
        <f t="shared" si="40"/>
        <v>1</v>
      </c>
      <c r="E80" s="79">
        <v>1</v>
      </c>
      <c r="F80" s="79" t="s">
        <v>3574</v>
      </c>
      <c r="G80" s="79" t="s">
        <v>3575</v>
      </c>
      <c r="H80" s="79">
        <v>0</v>
      </c>
      <c r="I80" s="79">
        <v>0</v>
      </c>
      <c r="J80" s="79">
        <f t="shared" si="37"/>
        <v>200</v>
      </c>
      <c r="K80" s="79">
        <f t="shared" si="36"/>
        <v>2003</v>
      </c>
      <c r="L80" s="79">
        <v>4</v>
      </c>
      <c r="O80" s="79">
        <v>5</v>
      </c>
      <c r="P80" s="79" t="s">
        <v>3513</v>
      </c>
      <c r="Q80" s="78">
        <v>4517500</v>
      </c>
      <c r="R80" s="79">
        <f t="shared" si="38"/>
        <v>120006</v>
      </c>
      <c r="T80" s="79" t="s">
        <v>3172</v>
      </c>
      <c r="U80" s="79" t="s">
        <v>3576</v>
      </c>
      <c r="V80" s="79" t="s">
        <v>3577</v>
      </c>
    </row>
    <row r="81" ht="15" spans="1:22">
      <c r="A81" s="79">
        <f t="shared" si="31"/>
        <v>120006</v>
      </c>
      <c r="B81" s="79">
        <v>2</v>
      </c>
      <c r="C81" s="79">
        <f t="shared" si="39"/>
        <v>1</v>
      </c>
      <c r="D81" s="79">
        <f t="shared" si="40"/>
        <v>1</v>
      </c>
      <c r="E81" s="79">
        <v>2</v>
      </c>
      <c r="F81" s="79" t="s">
        <v>3578</v>
      </c>
      <c r="G81" s="79" t="s">
        <v>3517</v>
      </c>
      <c r="H81" s="79">
        <v>1</v>
      </c>
      <c r="I81" s="79">
        <v>1</v>
      </c>
      <c r="J81" s="79">
        <f t="shared" si="37"/>
        <v>250</v>
      </c>
      <c r="K81" s="79">
        <f t="shared" si="36"/>
        <v>2004</v>
      </c>
      <c r="L81" s="79">
        <v>5</v>
      </c>
      <c r="O81" s="79">
        <v>6</v>
      </c>
      <c r="P81" s="79" t="s">
        <v>3513</v>
      </c>
      <c r="Q81" s="78">
        <v>8228800</v>
      </c>
      <c r="R81" s="79">
        <f t="shared" si="38"/>
        <v>120007</v>
      </c>
      <c r="T81" s="79" t="s">
        <v>3579</v>
      </c>
      <c r="U81" s="79" t="s">
        <v>3576</v>
      </c>
      <c r="V81" s="79" t="s">
        <v>3580</v>
      </c>
    </row>
    <row r="82" ht="15" spans="1:22">
      <c r="A82" s="79">
        <f t="shared" si="31"/>
        <v>120007</v>
      </c>
      <c r="B82" s="79">
        <v>2</v>
      </c>
      <c r="C82" s="79">
        <f t="shared" si="39"/>
        <v>1</v>
      </c>
      <c r="D82" s="79">
        <f t="shared" si="40"/>
        <v>1</v>
      </c>
      <c r="E82" s="79">
        <v>2</v>
      </c>
      <c r="F82" s="79" t="s">
        <v>3578</v>
      </c>
      <c r="G82" s="79" t="s">
        <v>3517</v>
      </c>
      <c r="H82" s="79">
        <v>1</v>
      </c>
      <c r="I82" s="79">
        <v>0</v>
      </c>
      <c r="J82" s="79">
        <f t="shared" si="37"/>
        <v>300</v>
      </c>
      <c r="K82" s="79">
        <f t="shared" si="36"/>
        <v>2005</v>
      </c>
      <c r="L82" s="79">
        <v>6</v>
      </c>
      <c r="O82" s="79">
        <v>7</v>
      </c>
      <c r="P82" s="79" t="s">
        <v>3513</v>
      </c>
      <c r="Q82" s="78">
        <v>12315400</v>
      </c>
      <c r="R82" s="79">
        <f t="shared" si="38"/>
        <v>120008</v>
      </c>
      <c r="T82" s="79" t="s">
        <v>3579</v>
      </c>
      <c r="U82" s="79" t="s">
        <v>3576</v>
      </c>
      <c r="V82" s="79" t="s">
        <v>3580</v>
      </c>
    </row>
    <row r="83" ht="15" spans="1:22">
      <c r="A83" s="79">
        <f t="shared" si="31"/>
        <v>120008</v>
      </c>
      <c r="B83" s="79">
        <v>2</v>
      </c>
      <c r="C83" s="79">
        <f t="shared" si="39"/>
        <v>1</v>
      </c>
      <c r="D83" s="79">
        <f t="shared" si="40"/>
        <v>1</v>
      </c>
      <c r="E83" s="79">
        <v>2</v>
      </c>
      <c r="F83" s="79" t="s">
        <v>3578</v>
      </c>
      <c r="G83" s="79" t="s">
        <v>3517</v>
      </c>
      <c r="H83" s="79">
        <v>1</v>
      </c>
      <c r="I83" s="79">
        <v>1</v>
      </c>
      <c r="J83" s="79">
        <f t="shared" si="37"/>
        <v>350</v>
      </c>
      <c r="K83" s="79">
        <f t="shared" si="36"/>
        <v>2006</v>
      </c>
      <c r="L83" s="79">
        <v>7</v>
      </c>
      <c r="O83" s="79">
        <v>8</v>
      </c>
      <c r="P83" s="79" t="s">
        <v>3513</v>
      </c>
      <c r="Q83" s="78">
        <v>14497700</v>
      </c>
      <c r="R83" s="79">
        <f t="shared" si="38"/>
        <v>120009</v>
      </c>
      <c r="T83" s="79" t="s">
        <v>3579</v>
      </c>
      <c r="U83" s="79" t="s">
        <v>3576</v>
      </c>
      <c r="V83" s="79" t="s">
        <v>3580</v>
      </c>
    </row>
    <row r="84" ht="15" spans="1:22">
      <c r="A84" s="79">
        <f t="shared" si="31"/>
        <v>120009</v>
      </c>
      <c r="B84" s="79">
        <v>2</v>
      </c>
      <c r="C84" s="79">
        <f t="shared" si="39"/>
        <v>1</v>
      </c>
      <c r="D84" s="79">
        <f t="shared" si="40"/>
        <v>1</v>
      </c>
      <c r="E84" s="79">
        <v>2</v>
      </c>
      <c r="F84" s="79" t="s">
        <v>3578</v>
      </c>
      <c r="G84" s="79" t="s">
        <v>3517</v>
      </c>
      <c r="H84" s="79">
        <v>0</v>
      </c>
      <c r="I84" s="79">
        <v>0</v>
      </c>
      <c r="J84" s="79">
        <f t="shared" si="37"/>
        <v>400</v>
      </c>
      <c r="K84" s="79">
        <f t="shared" si="36"/>
        <v>2007</v>
      </c>
      <c r="L84" s="79">
        <v>8</v>
      </c>
      <c r="O84" s="79">
        <v>9</v>
      </c>
      <c r="P84" s="79" t="s">
        <v>3513</v>
      </c>
      <c r="Q84" s="78">
        <v>22476300</v>
      </c>
      <c r="R84" s="79">
        <f t="shared" si="38"/>
        <v>120010</v>
      </c>
      <c r="T84" s="79" t="s">
        <v>3579</v>
      </c>
      <c r="U84" s="79" t="s">
        <v>3576</v>
      </c>
      <c r="V84" s="79" t="s">
        <v>3580</v>
      </c>
    </row>
    <row r="85" ht="15" spans="1:22">
      <c r="A85" s="79">
        <f t="shared" si="31"/>
        <v>120010</v>
      </c>
      <c r="B85" s="79">
        <v>2</v>
      </c>
      <c r="C85" s="79">
        <f t="shared" si="39"/>
        <v>1</v>
      </c>
      <c r="D85" s="79">
        <f t="shared" si="40"/>
        <v>1</v>
      </c>
      <c r="E85" s="79">
        <v>3</v>
      </c>
      <c r="F85" s="79" t="s">
        <v>3581</v>
      </c>
      <c r="G85" s="79" t="s">
        <v>3582</v>
      </c>
      <c r="H85" s="79">
        <v>1</v>
      </c>
      <c r="I85" s="79">
        <v>0</v>
      </c>
      <c r="J85" s="79">
        <f t="shared" si="37"/>
        <v>450</v>
      </c>
      <c r="K85" s="79">
        <f t="shared" si="36"/>
        <v>0</v>
      </c>
      <c r="O85" s="79">
        <v>10</v>
      </c>
      <c r="P85" s="79" t="s">
        <v>3513</v>
      </c>
      <c r="Q85" s="78"/>
      <c r="R85" s="79">
        <f>A137</f>
        <v>130002</v>
      </c>
      <c r="T85" s="79" t="s">
        <v>3583</v>
      </c>
      <c r="U85" s="79" t="s">
        <v>3576</v>
      </c>
      <c r="V85" s="79" t="s">
        <v>3584</v>
      </c>
    </row>
    <row r="86" ht="16.5" customHeight="1" spans="1:41">
      <c r="A86" s="79">
        <f t="shared" ref="A86:A105" si="41">C86*100000+B86*10000+O86</f>
        <v>520001</v>
      </c>
      <c r="B86" s="79">
        <v>2</v>
      </c>
      <c r="C86" s="79">
        <v>5</v>
      </c>
      <c r="D86" s="79">
        <v>5</v>
      </c>
      <c r="F86" s="79" t="s">
        <v>3585</v>
      </c>
      <c r="G86" s="79" t="s">
        <v>3586</v>
      </c>
      <c r="H86" s="79">
        <v>0</v>
      </c>
      <c r="K86" s="79">
        <f t="shared" si="36"/>
        <v>2001</v>
      </c>
      <c r="L86" s="78">
        <v>2</v>
      </c>
      <c r="O86" s="79">
        <v>1</v>
      </c>
      <c r="P86" s="79" t="s">
        <v>3527</v>
      </c>
      <c r="Q86" s="78">
        <v>750600</v>
      </c>
      <c r="R86" s="79">
        <f t="shared" ref="R86:R94" si="42">A87</f>
        <v>520002</v>
      </c>
      <c r="T86" s="79" t="s">
        <v>3587</v>
      </c>
      <c r="U86" s="79" t="s">
        <v>3588</v>
      </c>
      <c r="V86" s="79" t="s">
        <v>3587</v>
      </c>
      <c r="AK86" s="79" t="s">
        <v>528</v>
      </c>
      <c r="AO86" s="79" t="s">
        <v>3497</v>
      </c>
    </row>
    <row r="87" ht="15" spans="1:22">
      <c r="A87" s="79">
        <f t="shared" si="41"/>
        <v>520002</v>
      </c>
      <c r="B87" s="79">
        <v>2</v>
      </c>
      <c r="C87" s="79">
        <f>C97+1</f>
        <v>5</v>
      </c>
      <c r="D87" s="79">
        <f>D97+1</f>
        <v>5</v>
      </c>
      <c r="E87" s="79">
        <v>1</v>
      </c>
      <c r="F87" s="79" t="s">
        <v>3585</v>
      </c>
      <c r="G87" s="79" t="s">
        <v>3586</v>
      </c>
      <c r="H87" s="79">
        <v>1</v>
      </c>
      <c r="I87" s="79">
        <v>1</v>
      </c>
      <c r="J87" s="79">
        <f t="shared" ref="J87:J95" si="43">$J$1*(O87-1)</f>
        <v>50</v>
      </c>
      <c r="K87" s="79">
        <f t="shared" si="36"/>
        <v>2002</v>
      </c>
      <c r="L87" s="78">
        <v>3</v>
      </c>
      <c r="O87" s="79">
        <v>2</v>
      </c>
      <c r="P87" s="79" t="s">
        <v>3527</v>
      </c>
      <c r="Q87" s="78">
        <v>2390800</v>
      </c>
      <c r="R87" s="79">
        <f t="shared" si="42"/>
        <v>520003</v>
      </c>
      <c r="T87" s="79" t="s">
        <v>3587</v>
      </c>
      <c r="U87" s="79" t="s">
        <v>3588</v>
      </c>
      <c r="V87" s="79" t="s">
        <v>3587</v>
      </c>
    </row>
    <row r="88" ht="15" spans="1:22">
      <c r="A88" s="79">
        <f t="shared" si="41"/>
        <v>520003</v>
      </c>
      <c r="B88" s="79">
        <v>2</v>
      </c>
      <c r="C88" s="79">
        <f t="shared" ref="C88:C95" si="44">C87</f>
        <v>5</v>
      </c>
      <c r="D88" s="79">
        <f t="shared" ref="D88:D95" si="45">D87</f>
        <v>5</v>
      </c>
      <c r="E88" s="79">
        <v>1</v>
      </c>
      <c r="F88" s="79" t="s">
        <v>3585</v>
      </c>
      <c r="G88" s="79" t="s">
        <v>3586</v>
      </c>
      <c r="H88" s="79">
        <v>1</v>
      </c>
      <c r="I88" s="79">
        <v>1</v>
      </c>
      <c r="J88" s="79">
        <f t="shared" si="43"/>
        <v>100</v>
      </c>
      <c r="K88" s="79">
        <f t="shared" si="36"/>
        <v>2003</v>
      </c>
      <c r="L88" s="78">
        <v>4</v>
      </c>
      <c r="O88" s="79">
        <v>3</v>
      </c>
      <c r="P88" s="79" t="s">
        <v>3527</v>
      </c>
      <c r="Q88" s="78">
        <v>3488900</v>
      </c>
      <c r="R88" s="79">
        <f t="shared" si="42"/>
        <v>520004</v>
      </c>
      <c r="T88" s="79" t="s">
        <v>3587</v>
      </c>
      <c r="U88" s="79" t="s">
        <v>3588</v>
      </c>
      <c r="V88" s="79" t="s">
        <v>3587</v>
      </c>
    </row>
    <row r="89" ht="15" spans="1:22">
      <c r="A89" s="79">
        <f t="shared" si="41"/>
        <v>520004</v>
      </c>
      <c r="B89" s="79">
        <v>2</v>
      </c>
      <c r="C89" s="79">
        <f t="shared" si="44"/>
        <v>5</v>
      </c>
      <c r="D89" s="79">
        <f t="shared" si="45"/>
        <v>5</v>
      </c>
      <c r="E89" s="79">
        <v>1</v>
      </c>
      <c r="F89" s="79" t="s">
        <v>3585</v>
      </c>
      <c r="G89" s="79" t="s">
        <v>3586</v>
      </c>
      <c r="H89" s="79">
        <v>1</v>
      </c>
      <c r="I89" s="79">
        <v>1</v>
      </c>
      <c r="J89" s="79">
        <f t="shared" si="43"/>
        <v>150</v>
      </c>
      <c r="K89" s="79">
        <f t="shared" si="36"/>
        <v>2004</v>
      </c>
      <c r="L89" s="78">
        <v>5</v>
      </c>
      <c r="O89" s="79">
        <v>4</v>
      </c>
      <c r="P89" s="79" t="s">
        <v>3527</v>
      </c>
      <c r="Q89" s="78">
        <v>4795500</v>
      </c>
      <c r="R89" s="79">
        <f t="shared" si="42"/>
        <v>520005</v>
      </c>
      <c r="T89" s="79" t="s">
        <v>3587</v>
      </c>
      <c r="U89" s="79" t="s">
        <v>3588</v>
      </c>
      <c r="V89" s="79" t="s">
        <v>3587</v>
      </c>
    </row>
    <row r="90" ht="15" spans="1:22">
      <c r="A90" s="79">
        <f t="shared" si="41"/>
        <v>520005</v>
      </c>
      <c r="B90" s="79">
        <v>2</v>
      </c>
      <c r="C90" s="79">
        <f t="shared" si="44"/>
        <v>5</v>
      </c>
      <c r="D90" s="79">
        <f t="shared" si="45"/>
        <v>5</v>
      </c>
      <c r="E90" s="79">
        <v>1</v>
      </c>
      <c r="F90" s="79" t="s">
        <v>3585</v>
      </c>
      <c r="G90" s="79" t="s">
        <v>3586</v>
      </c>
      <c r="H90" s="79">
        <v>0</v>
      </c>
      <c r="I90" s="79">
        <v>0</v>
      </c>
      <c r="J90" s="79">
        <f t="shared" si="43"/>
        <v>200</v>
      </c>
      <c r="K90" s="79">
        <f t="shared" si="36"/>
        <v>2005</v>
      </c>
      <c r="L90" s="78">
        <v>6</v>
      </c>
      <c r="O90" s="79">
        <v>5</v>
      </c>
      <c r="P90" s="79" t="s">
        <v>3527</v>
      </c>
      <c r="Q90" s="78">
        <v>8743100</v>
      </c>
      <c r="R90" s="79">
        <f t="shared" si="42"/>
        <v>520006</v>
      </c>
      <c r="T90" s="79" t="s">
        <v>3587</v>
      </c>
      <c r="U90" s="79" t="s">
        <v>3588</v>
      </c>
      <c r="V90" s="79" t="s">
        <v>3587</v>
      </c>
    </row>
    <row r="91" ht="15" spans="1:22">
      <c r="A91" s="79">
        <f t="shared" si="41"/>
        <v>520006</v>
      </c>
      <c r="B91" s="79">
        <v>2</v>
      </c>
      <c r="C91" s="79">
        <f t="shared" si="44"/>
        <v>5</v>
      </c>
      <c r="D91" s="79">
        <f t="shared" si="45"/>
        <v>5</v>
      </c>
      <c r="E91" s="79">
        <v>2</v>
      </c>
      <c r="F91" s="79" t="s">
        <v>3589</v>
      </c>
      <c r="G91" s="79" t="s">
        <v>3590</v>
      </c>
      <c r="H91" s="79">
        <v>1</v>
      </c>
      <c r="I91" s="79">
        <v>1</v>
      </c>
      <c r="J91" s="79">
        <f t="shared" si="43"/>
        <v>250</v>
      </c>
      <c r="K91" s="79">
        <f t="shared" si="36"/>
        <v>2006</v>
      </c>
      <c r="L91" s="78">
        <v>7</v>
      </c>
      <c r="O91" s="79">
        <v>6</v>
      </c>
      <c r="P91" s="79" t="s">
        <v>3527</v>
      </c>
      <c r="Q91" s="78">
        <v>12579500</v>
      </c>
      <c r="R91" s="79">
        <f t="shared" si="42"/>
        <v>520007</v>
      </c>
      <c r="T91" s="79" t="s">
        <v>3587</v>
      </c>
      <c r="U91" s="79" t="s">
        <v>3588</v>
      </c>
      <c r="V91" s="79" t="s">
        <v>3587</v>
      </c>
    </row>
    <row r="92" ht="15" spans="1:22">
      <c r="A92" s="79">
        <f t="shared" si="41"/>
        <v>520007</v>
      </c>
      <c r="B92" s="79">
        <v>2</v>
      </c>
      <c r="C92" s="79">
        <f t="shared" si="44"/>
        <v>5</v>
      </c>
      <c r="D92" s="79">
        <f t="shared" si="45"/>
        <v>5</v>
      </c>
      <c r="E92" s="79">
        <v>2</v>
      </c>
      <c r="F92" s="79" t="s">
        <v>3589</v>
      </c>
      <c r="G92" s="79" t="s">
        <v>3590</v>
      </c>
      <c r="H92" s="79">
        <v>1</v>
      </c>
      <c r="I92" s="79">
        <v>0</v>
      </c>
      <c r="J92" s="79">
        <f t="shared" si="43"/>
        <v>300</v>
      </c>
      <c r="K92" s="79">
        <f t="shared" si="36"/>
        <v>2007</v>
      </c>
      <c r="L92" s="78">
        <v>8</v>
      </c>
      <c r="O92" s="79">
        <v>7</v>
      </c>
      <c r="P92" s="79" t="s">
        <v>3527</v>
      </c>
      <c r="Q92" s="78">
        <v>19779700</v>
      </c>
      <c r="R92" s="79">
        <f t="shared" si="42"/>
        <v>520008</v>
      </c>
      <c r="T92" s="79" t="s">
        <v>3587</v>
      </c>
      <c r="U92" s="79" t="s">
        <v>3588</v>
      </c>
      <c r="V92" s="79" t="s">
        <v>3587</v>
      </c>
    </row>
    <row r="93" ht="15" spans="1:22">
      <c r="A93" s="79">
        <f t="shared" si="41"/>
        <v>520008</v>
      </c>
      <c r="B93" s="79">
        <v>2</v>
      </c>
      <c r="C93" s="79">
        <f t="shared" si="44"/>
        <v>5</v>
      </c>
      <c r="D93" s="79">
        <f t="shared" si="45"/>
        <v>5</v>
      </c>
      <c r="E93" s="79">
        <v>2</v>
      </c>
      <c r="F93" s="79" t="s">
        <v>3589</v>
      </c>
      <c r="G93" s="79" t="s">
        <v>3590</v>
      </c>
      <c r="H93" s="79">
        <v>1</v>
      </c>
      <c r="I93" s="79">
        <v>1</v>
      </c>
      <c r="J93" s="79">
        <f t="shared" si="43"/>
        <v>350</v>
      </c>
      <c r="K93" s="79">
        <f t="shared" si="36"/>
        <v>2007</v>
      </c>
      <c r="L93" s="78">
        <v>8</v>
      </c>
      <c r="O93" s="79">
        <v>8</v>
      </c>
      <c r="P93" s="79" t="s">
        <v>3527</v>
      </c>
      <c r="Q93" s="78">
        <v>22851600</v>
      </c>
      <c r="R93" s="79">
        <f t="shared" si="42"/>
        <v>520009</v>
      </c>
      <c r="T93" s="79" t="s">
        <v>3587</v>
      </c>
      <c r="U93" s="79" t="s">
        <v>3588</v>
      </c>
      <c r="V93" s="79" t="s">
        <v>3587</v>
      </c>
    </row>
    <row r="94" ht="15" spans="1:22">
      <c r="A94" s="79">
        <f t="shared" si="41"/>
        <v>520009</v>
      </c>
      <c r="B94" s="79">
        <v>2</v>
      </c>
      <c r="C94" s="79">
        <f t="shared" si="44"/>
        <v>5</v>
      </c>
      <c r="D94" s="79">
        <f t="shared" si="45"/>
        <v>5</v>
      </c>
      <c r="E94" s="79">
        <v>2</v>
      </c>
      <c r="F94" s="79" t="s">
        <v>3589</v>
      </c>
      <c r="G94" s="79" t="s">
        <v>3590</v>
      </c>
      <c r="H94" s="79">
        <v>0</v>
      </c>
      <c r="I94" s="79">
        <v>0</v>
      </c>
      <c r="J94" s="79">
        <f t="shared" si="43"/>
        <v>400</v>
      </c>
      <c r="K94" s="79">
        <f t="shared" si="36"/>
        <v>2008</v>
      </c>
      <c r="L94" s="78">
        <v>9</v>
      </c>
      <c r="O94" s="79">
        <v>9</v>
      </c>
      <c r="P94" s="79" t="s">
        <v>3527</v>
      </c>
      <c r="Q94" s="78">
        <v>42269900</v>
      </c>
      <c r="R94" s="79">
        <f t="shared" si="42"/>
        <v>520010</v>
      </c>
      <c r="T94" s="79" t="s">
        <v>3587</v>
      </c>
      <c r="U94" s="79" t="s">
        <v>3588</v>
      </c>
      <c r="V94" s="79" t="s">
        <v>3587</v>
      </c>
    </row>
    <row r="95" ht="15" spans="1:22">
      <c r="A95" s="79">
        <f t="shared" si="41"/>
        <v>520010</v>
      </c>
      <c r="B95" s="79">
        <v>2</v>
      </c>
      <c r="C95" s="79">
        <f t="shared" si="44"/>
        <v>5</v>
      </c>
      <c r="D95" s="79">
        <f t="shared" si="45"/>
        <v>5</v>
      </c>
      <c r="E95" s="79">
        <v>3</v>
      </c>
      <c r="F95" s="79" t="s">
        <v>3591</v>
      </c>
      <c r="G95" s="79" t="s">
        <v>3592</v>
      </c>
      <c r="H95" s="79">
        <v>1</v>
      </c>
      <c r="I95" s="79">
        <v>0</v>
      </c>
      <c r="J95" s="79">
        <f t="shared" si="43"/>
        <v>450</v>
      </c>
      <c r="K95" s="79">
        <f t="shared" si="36"/>
        <v>0</v>
      </c>
      <c r="O95" s="79">
        <v>10</v>
      </c>
      <c r="P95" s="79" t="s">
        <v>3527</v>
      </c>
      <c r="Q95" s="78"/>
      <c r="R95" s="79">
        <f>A147</f>
        <v>530002</v>
      </c>
      <c r="T95" s="79" t="s">
        <v>3587</v>
      </c>
      <c r="U95" s="79" t="s">
        <v>3588</v>
      </c>
      <c r="V95" s="79" t="s">
        <v>3587</v>
      </c>
    </row>
    <row r="96" ht="16.5" customHeight="1" spans="1:41">
      <c r="A96" s="79">
        <f t="shared" si="41"/>
        <v>420001</v>
      </c>
      <c r="B96" s="79">
        <v>2</v>
      </c>
      <c r="C96" s="79">
        <v>4</v>
      </c>
      <c r="D96" s="79">
        <v>4</v>
      </c>
      <c r="E96" s="79">
        <v>1</v>
      </c>
      <c r="F96" s="79" t="s">
        <v>3593</v>
      </c>
      <c r="G96" s="79" t="s">
        <v>3594</v>
      </c>
      <c r="H96" s="79">
        <v>0</v>
      </c>
      <c r="K96" s="79">
        <f t="shared" si="36"/>
        <v>2002</v>
      </c>
      <c r="L96" s="78">
        <v>3</v>
      </c>
      <c r="O96" s="79">
        <v>1</v>
      </c>
      <c r="P96" s="79" t="s">
        <v>3536</v>
      </c>
      <c r="Q96" s="78">
        <v>2543700</v>
      </c>
      <c r="R96" s="79">
        <f t="shared" ref="R96:R104" si="46">A97</f>
        <v>420002</v>
      </c>
      <c r="T96" s="79" t="s">
        <v>3595</v>
      </c>
      <c r="V96" s="79" t="s">
        <v>3596</v>
      </c>
      <c r="AK96" s="79" t="s">
        <v>528</v>
      </c>
      <c r="AO96" s="79" t="s">
        <v>3497</v>
      </c>
    </row>
    <row r="97" ht="15" spans="1:22">
      <c r="A97" s="79">
        <f t="shared" si="41"/>
        <v>420002</v>
      </c>
      <c r="B97" s="79">
        <v>2</v>
      </c>
      <c r="C97" s="79">
        <f>C107+1</f>
        <v>4</v>
      </c>
      <c r="D97" s="79">
        <f>D107+1</f>
        <v>4</v>
      </c>
      <c r="E97" s="79">
        <v>2</v>
      </c>
      <c r="F97" s="79" t="s">
        <v>3597</v>
      </c>
      <c r="G97" s="79" t="s">
        <v>3594</v>
      </c>
      <c r="H97" s="79">
        <v>1</v>
      </c>
      <c r="I97" s="79">
        <v>1</v>
      </c>
      <c r="J97" s="79">
        <f t="shared" ref="J97:J105" si="47">$J$1*(O97-1)</f>
        <v>50</v>
      </c>
      <c r="K97" s="79">
        <f t="shared" si="36"/>
        <v>2003</v>
      </c>
      <c r="L97" s="78">
        <v>4</v>
      </c>
      <c r="O97" s="79">
        <v>2</v>
      </c>
      <c r="P97" s="79" t="s">
        <v>3536</v>
      </c>
      <c r="Q97" s="78">
        <v>3766900</v>
      </c>
      <c r="R97" s="79">
        <f t="shared" si="46"/>
        <v>420003</v>
      </c>
      <c r="T97" s="79" t="s">
        <v>3595</v>
      </c>
      <c r="V97" s="79" t="s">
        <v>3596</v>
      </c>
    </row>
    <row r="98" ht="15" spans="1:22">
      <c r="A98" s="79">
        <f t="shared" si="41"/>
        <v>420003</v>
      </c>
      <c r="B98" s="79">
        <v>2</v>
      </c>
      <c r="C98" s="79">
        <f t="shared" ref="C98:C105" si="48">C97</f>
        <v>4</v>
      </c>
      <c r="D98" s="79">
        <f t="shared" ref="D98:D105" si="49">D97</f>
        <v>4</v>
      </c>
      <c r="E98" s="79">
        <v>2</v>
      </c>
      <c r="F98" s="79" t="s">
        <v>3597</v>
      </c>
      <c r="G98" s="79" t="s">
        <v>3594</v>
      </c>
      <c r="H98" s="79">
        <v>1</v>
      </c>
      <c r="I98" s="79">
        <v>1</v>
      </c>
      <c r="J98" s="79">
        <f t="shared" si="47"/>
        <v>100</v>
      </c>
      <c r="K98" s="79">
        <f t="shared" si="36"/>
        <v>2004</v>
      </c>
      <c r="L98" s="78">
        <v>5</v>
      </c>
      <c r="O98" s="79">
        <v>3</v>
      </c>
      <c r="P98" s="79" t="s">
        <v>3536</v>
      </c>
      <c r="Q98" s="78">
        <v>4934500</v>
      </c>
      <c r="R98" s="79">
        <f t="shared" si="46"/>
        <v>420004</v>
      </c>
      <c r="T98" s="79" t="s">
        <v>3595</v>
      </c>
      <c r="V98" s="79" t="s">
        <v>3596</v>
      </c>
    </row>
    <row r="99" ht="15" spans="1:22">
      <c r="A99" s="79">
        <f t="shared" si="41"/>
        <v>420004</v>
      </c>
      <c r="B99" s="79">
        <v>2</v>
      </c>
      <c r="C99" s="79">
        <f t="shared" si="48"/>
        <v>4</v>
      </c>
      <c r="D99" s="79">
        <f t="shared" si="49"/>
        <v>4</v>
      </c>
      <c r="E99" s="79">
        <v>2</v>
      </c>
      <c r="F99" s="79" t="s">
        <v>3597</v>
      </c>
      <c r="G99" s="79" t="s">
        <v>3594</v>
      </c>
      <c r="H99" s="79">
        <v>1</v>
      </c>
      <c r="I99" s="79">
        <v>1</v>
      </c>
      <c r="J99" s="79">
        <f t="shared" si="47"/>
        <v>150</v>
      </c>
      <c r="K99" s="79">
        <f t="shared" si="36"/>
        <v>2005</v>
      </c>
      <c r="L99" s="78">
        <v>6</v>
      </c>
      <c r="O99" s="79">
        <v>4</v>
      </c>
      <c r="P99" s="79" t="s">
        <v>3536</v>
      </c>
      <c r="Q99" s="78">
        <v>9007200</v>
      </c>
      <c r="R99" s="79">
        <f t="shared" si="46"/>
        <v>420005</v>
      </c>
      <c r="T99" s="79" t="s">
        <v>3595</v>
      </c>
      <c r="V99" s="79" t="s">
        <v>3596</v>
      </c>
    </row>
    <row r="100" ht="15" spans="1:22">
      <c r="A100" s="79">
        <f t="shared" si="41"/>
        <v>420005</v>
      </c>
      <c r="B100" s="79">
        <v>2</v>
      </c>
      <c r="C100" s="79">
        <f t="shared" si="48"/>
        <v>4</v>
      </c>
      <c r="D100" s="79">
        <f t="shared" si="49"/>
        <v>4</v>
      </c>
      <c r="E100" s="79">
        <v>2</v>
      </c>
      <c r="F100" s="79" t="s">
        <v>3597</v>
      </c>
      <c r="G100" s="79" t="s">
        <v>3594</v>
      </c>
      <c r="H100" s="79">
        <v>0</v>
      </c>
      <c r="I100" s="79">
        <v>0</v>
      </c>
      <c r="J100" s="79">
        <f t="shared" si="47"/>
        <v>200</v>
      </c>
      <c r="K100" s="79">
        <f t="shared" si="36"/>
        <v>2006</v>
      </c>
      <c r="L100" s="78">
        <v>7</v>
      </c>
      <c r="O100" s="79">
        <v>5</v>
      </c>
      <c r="P100" s="79" t="s">
        <v>3536</v>
      </c>
      <c r="Q100" s="78">
        <v>13121600</v>
      </c>
      <c r="R100" s="79">
        <f t="shared" si="46"/>
        <v>420006</v>
      </c>
      <c r="T100" s="79" t="s">
        <v>3595</v>
      </c>
      <c r="V100" s="79" t="s">
        <v>3596</v>
      </c>
    </row>
    <row r="101" ht="15" spans="1:22">
      <c r="A101" s="79">
        <f t="shared" si="41"/>
        <v>420006</v>
      </c>
      <c r="B101" s="79">
        <v>2</v>
      </c>
      <c r="C101" s="79">
        <f t="shared" si="48"/>
        <v>4</v>
      </c>
      <c r="D101" s="79">
        <f t="shared" si="49"/>
        <v>4</v>
      </c>
      <c r="E101" s="79">
        <v>3</v>
      </c>
      <c r="F101" s="79" t="s">
        <v>3598</v>
      </c>
      <c r="G101" s="79" t="s">
        <v>3599</v>
      </c>
      <c r="H101" s="79">
        <v>1</v>
      </c>
      <c r="I101" s="79">
        <v>1</v>
      </c>
      <c r="J101" s="79">
        <f t="shared" si="47"/>
        <v>250</v>
      </c>
      <c r="K101" s="79">
        <f t="shared" si="36"/>
        <v>2007</v>
      </c>
      <c r="L101" s="78">
        <v>8</v>
      </c>
      <c r="O101" s="79">
        <v>6</v>
      </c>
      <c r="P101" s="79" t="s">
        <v>3536</v>
      </c>
      <c r="Q101" s="78">
        <v>20141100</v>
      </c>
      <c r="R101" s="79">
        <f t="shared" si="46"/>
        <v>420007</v>
      </c>
      <c r="T101" s="79" t="s">
        <v>3595</v>
      </c>
      <c r="V101" s="79" t="s">
        <v>3596</v>
      </c>
    </row>
    <row r="102" ht="15" spans="1:22">
      <c r="A102" s="79">
        <f t="shared" si="41"/>
        <v>420007</v>
      </c>
      <c r="B102" s="79">
        <v>2</v>
      </c>
      <c r="C102" s="79">
        <f t="shared" si="48"/>
        <v>4</v>
      </c>
      <c r="D102" s="79">
        <f t="shared" si="49"/>
        <v>4</v>
      </c>
      <c r="E102" s="79">
        <v>3</v>
      </c>
      <c r="F102" s="79" t="s">
        <v>3598</v>
      </c>
      <c r="G102" s="79" t="s">
        <v>3599</v>
      </c>
      <c r="H102" s="79">
        <v>1</v>
      </c>
      <c r="I102" s="79">
        <v>0</v>
      </c>
      <c r="J102" s="79">
        <f t="shared" si="47"/>
        <v>300</v>
      </c>
      <c r="K102" s="79">
        <f t="shared" si="36"/>
        <v>2008</v>
      </c>
      <c r="L102" s="78">
        <v>9</v>
      </c>
      <c r="O102" s="79">
        <v>7</v>
      </c>
      <c r="P102" s="79" t="s">
        <v>3536</v>
      </c>
      <c r="Q102" s="78">
        <v>29898900</v>
      </c>
      <c r="R102" s="79">
        <f t="shared" si="46"/>
        <v>420008</v>
      </c>
      <c r="T102" s="79" t="s">
        <v>3595</v>
      </c>
      <c r="V102" s="79" t="s">
        <v>3596</v>
      </c>
    </row>
    <row r="103" ht="15" spans="1:22">
      <c r="A103" s="79">
        <f t="shared" si="41"/>
        <v>420008</v>
      </c>
      <c r="B103" s="79">
        <v>2</v>
      </c>
      <c r="C103" s="79">
        <f t="shared" si="48"/>
        <v>4</v>
      </c>
      <c r="D103" s="79">
        <f t="shared" si="49"/>
        <v>4</v>
      </c>
      <c r="E103" s="79">
        <v>3</v>
      </c>
      <c r="F103" s="79" t="s">
        <v>3598</v>
      </c>
      <c r="G103" s="79" t="s">
        <v>3599</v>
      </c>
      <c r="H103" s="79">
        <v>1</v>
      </c>
      <c r="I103" s="79">
        <v>1</v>
      </c>
      <c r="J103" s="79">
        <f t="shared" si="47"/>
        <v>350</v>
      </c>
      <c r="K103" s="79">
        <f t="shared" ref="K103:K134" si="50">IF(L103=0,0,B103*1000+L103-1)</f>
        <v>2008</v>
      </c>
      <c r="L103" s="78">
        <v>9</v>
      </c>
      <c r="O103" s="79">
        <v>8</v>
      </c>
      <c r="P103" s="79" t="s">
        <v>3536</v>
      </c>
      <c r="Q103" s="78">
        <v>43743300</v>
      </c>
      <c r="R103" s="79">
        <f t="shared" si="46"/>
        <v>420009</v>
      </c>
      <c r="T103" s="79" t="s">
        <v>3595</v>
      </c>
      <c r="V103" s="79" t="s">
        <v>3596</v>
      </c>
    </row>
    <row r="104" ht="15" spans="1:22">
      <c r="A104" s="79">
        <f t="shared" si="41"/>
        <v>420009</v>
      </c>
      <c r="B104" s="79">
        <v>2</v>
      </c>
      <c r="C104" s="79">
        <f t="shared" si="48"/>
        <v>4</v>
      </c>
      <c r="D104" s="79">
        <f t="shared" si="49"/>
        <v>4</v>
      </c>
      <c r="E104" s="79">
        <v>3</v>
      </c>
      <c r="F104" s="79" t="s">
        <v>3598</v>
      </c>
      <c r="G104" s="79" t="s">
        <v>3599</v>
      </c>
      <c r="H104" s="79">
        <v>0</v>
      </c>
      <c r="I104" s="79">
        <v>0</v>
      </c>
      <c r="J104" s="79">
        <f t="shared" si="47"/>
        <v>400</v>
      </c>
      <c r="K104" s="79">
        <f t="shared" si="50"/>
        <v>2009</v>
      </c>
      <c r="L104" s="78">
        <v>10</v>
      </c>
      <c r="O104" s="79">
        <v>9</v>
      </c>
      <c r="P104" s="79" t="s">
        <v>3536</v>
      </c>
      <c r="Q104" s="78">
        <v>49011400</v>
      </c>
      <c r="R104" s="79">
        <f t="shared" si="46"/>
        <v>420010</v>
      </c>
      <c r="T104" s="79" t="s">
        <v>3595</v>
      </c>
      <c r="V104" s="79" t="s">
        <v>3596</v>
      </c>
    </row>
    <row r="105" ht="15" spans="1:22">
      <c r="A105" s="79">
        <f t="shared" si="41"/>
        <v>420010</v>
      </c>
      <c r="B105" s="79">
        <v>2</v>
      </c>
      <c r="C105" s="79">
        <f t="shared" si="48"/>
        <v>4</v>
      </c>
      <c r="D105" s="79">
        <f t="shared" si="49"/>
        <v>4</v>
      </c>
      <c r="E105" s="79">
        <v>4</v>
      </c>
      <c r="F105" s="79" t="s">
        <v>3598</v>
      </c>
      <c r="G105" s="79" t="s">
        <v>3600</v>
      </c>
      <c r="H105" s="79">
        <v>1</v>
      </c>
      <c r="I105" s="79">
        <v>0</v>
      </c>
      <c r="J105" s="79">
        <f t="shared" si="47"/>
        <v>450</v>
      </c>
      <c r="K105" s="79">
        <f t="shared" si="50"/>
        <v>0</v>
      </c>
      <c r="O105" s="79">
        <v>10</v>
      </c>
      <c r="P105" s="79" t="s">
        <v>3536</v>
      </c>
      <c r="Q105" s="78"/>
      <c r="R105" s="79">
        <f>A157</f>
        <v>430002</v>
      </c>
      <c r="T105" s="79" t="s">
        <v>3595</v>
      </c>
      <c r="V105" s="79" t="s">
        <v>3596</v>
      </c>
    </row>
    <row r="106" ht="16.5" customHeight="1" spans="1:41">
      <c r="A106" s="79">
        <f t="shared" ref="A106:A115" si="51">C106*100000+B106*10000+O106</f>
        <v>320001</v>
      </c>
      <c r="B106" s="79">
        <v>2</v>
      </c>
      <c r="C106" s="79">
        <v>3</v>
      </c>
      <c r="D106" s="79">
        <v>3</v>
      </c>
      <c r="E106" s="79">
        <v>1</v>
      </c>
      <c r="F106" s="79" t="s">
        <v>3601</v>
      </c>
      <c r="G106" s="79" t="s">
        <v>3602</v>
      </c>
      <c r="H106" s="79">
        <v>0</v>
      </c>
      <c r="K106" s="79">
        <f t="shared" si="50"/>
        <v>2003</v>
      </c>
      <c r="L106" s="78">
        <v>4</v>
      </c>
      <c r="O106" s="79">
        <v>1</v>
      </c>
      <c r="P106" s="79" t="s">
        <v>3545</v>
      </c>
      <c r="Q106" s="78">
        <v>3919800</v>
      </c>
      <c r="R106" s="79">
        <f t="shared" ref="R106:R114" si="52">A107</f>
        <v>320002</v>
      </c>
      <c r="T106" s="79" t="s">
        <v>3172</v>
      </c>
      <c r="V106" s="79" t="s">
        <v>3603</v>
      </c>
      <c r="AK106" s="79" t="s">
        <v>528</v>
      </c>
      <c r="AO106" s="79" t="s">
        <v>3497</v>
      </c>
    </row>
    <row r="107" ht="15" spans="1:22">
      <c r="A107" s="79">
        <f t="shared" si="51"/>
        <v>320002</v>
      </c>
      <c r="B107" s="79">
        <v>2</v>
      </c>
      <c r="C107" s="79">
        <f>C67+1</f>
        <v>3</v>
      </c>
      <c r="D107" s="79">
        <f>D67+1</f>
        <v>3</v>
      </c>
      <c r="E107" s="79">
        <v>2</v>
      </c>
      <c r="F107" s="79" t="s">
        <v>3601</v>
      </c>
      <c r="G107" s="79" t="s">
        <v>3602</v>
      </c>
      <c r="H107" s="79">
        <v>1</v>
      </c>
      <c r="I107" s="79">
        <v>1</v>
      </c>
      <c r="J107" s="79">
        <f t="shared" ref="J107:J115" si="53">$J$1*(O107-1)</f>
        <v>50</v>
      </c>
      <c r="K107" s="79">
        <f t="shared" si="50"/>
        <v>2004</v>
      </c>
      <c r="L107" s="78">
        <v>5</v>
      </c>
      <c r="O107" s="79">
        <v>2</v>
      </c>
      <c r="P107" s="79" t="s">
        <v>3545</v>
      </c>
      <c r="Q107" s="78">
        <v>5073500</v>
      </c>
      <c r="R107" s="79">
        <f t="shared" si="52"/>
        <v>320003</v>
      </c>
      <c r="T107" s="79" t="s">
        <v>3172</v>
      </c>
      <c r="V107" s="79" t="s">
        <v>3603</v>
      </c>
    </row>
    <row r="108" ht="15" spans="1:22">
      <c r="A108" s="79">
        <f t="shared" si="51"/>
        <v>320003</v>
      </c>
      <c r="B108" s="79">
        <v>2</v>
      </c>
      <c r="C108" s="79">
        <f t="shared" ref="C108:C115" si="54">C107</f>
        <v>3</v>
      </c>
      <c r="D108" s="79">
        <f t="shared" ref="D108:D115" si="55">D107</f>
        <v>3</v>
      </c>
      <c r="E108" s="79">
        <v>2</v>
      </c>
      <c r="F108" s="79" t="s">
        <v>3601</v>
      </c>
      <c r="G108" s="79" t="s">
        <v>3602</v>
      </c>
      <c r="H108" s="79">
        <v>1</v>
      </c>
      <c r="I108" s="79">
        <v>1</v>
      </c>
      <c r="J108" s="79">
        <f t="shared" si="53"/>
        <v>100</v>
      </c>
      <c r="K108" s="79">
        <f t="shared" si="50"/>
        <v>2005</v>
      </c>
      <c r="L108" s="78">
        <v>6</v>
      </c>
      <c r="O108" s="79">
        <v>3</v>
      </c>
      <c r="P108" s="79" t="s">
        <v>3545</v>
      </c>
      <c r="Q108" s="78">
        <v>11259000</v>
      </c>
      <c r="R108" s="79">
        <f t="shared" si="52"/>
        <v>320004</v>
      </c>
      <c r="T108" s="79" t="s">
        <v>3172</v>
      </c>
      <c r="V108" s="79" t="s">
        <v>3603</v>
      </c>
    </row>
    <row r="109" ht="15" spans="1:22">
      <c r="A109" s="79">
        <f t="shared" si="51"/>
        <v>320004</v>
      </c>
      <c r="B109" s="79">
        <v>2</v>
      </c>
      <c r="C109" s="79">
        <f t="shared" si="54"/>
        <v>3</v>
      </c>
      <c r="D109" s="79">
        <f t="shared" si="55"/>
        <v>3</v>
      </c>
      <c r="E109" s="79">
        <v>2</v>
      </c>
      <c r="F109" s="79" t="s">
        <v>3601</v>
      </c>
      <c r="G109" s="79" t="s">
        <v>3602</v>
      </c>
      <c r="H109" s="79">
        <v>1</v>
      </c>
      <c r="I109" s="79">
        <v>1</v>
      </c>
      <c r="J109" s="79">
        <f t="shared" si="53"/>
        <v>150</v>
      </c>
      <c r="K109" s="79">
        <f t="shared" si="50"/>
        <v>2006</v>
      </c>
      <c r="L109" s="78">
        <v>7</v>
      </c>
      <c r="O109" s="79">
        <v>4</v>
      </c>
      <c r="P109" s="79" t="s">
        <v>3545</v>
      </c>
      <c r="Q109" s="78">
        <v>13385700</v>
      </c>
      <c r="R109" s="79">
        <f t="shared" si="52"/>
        <v>320005</v>
      </c>
      <c r="T109" s="79" t="s">
        <v>3172</v>
      </c>
      <c r="V109" s="79" t="s">
        <v>3603</v>
      </c>
    </row>
    <row r="110" ht="15" spans="1:22">
      <c r="A110" s="79">
        <f t="shared" si="51"/>
        <v>320005</v>
      </c>
      <c r="B110" s="79">
        <v>2</v>
      </c>
      <c r="C110" s="79">
        <f t="shared" si="54"/>
        <v>3</v>
      </c>
      <c r="D110" s="79">
        <f t="shared" si="55"/>
        <v>3</v>
      </c>
      <c r="E110" s="79">
        <v>2</v>
      </c>
      <c r="F110" s="79" t="s">
        <v>3601</v>
      </c>
      <c r="G110" s="79" t="s">
        <v>3602</v>
      </c>
      <c r="H110" s="79">
        <v>0</v>
      </c>
      <c r="I110" s="79">
        <v>0</v>
      </c>
      <c r="J110" s="79">
        <f t="shared" si="53"/>
        <v>200</v>
      </c>
      <c r="K110" s="79">
        <f t="shared" si="50"/>
        <v>2007</v>
      </c>
      <c r="L110" s="78">
        <v>8</v>
      </c>
      <c r="O110" s="79">
        <v>5</v>
      </c>
      <c r="P110" s="79" t="s">
        <v>3545</v>
      </c>
      <c r="Q110" s="78">
        <v>20919500</v>
      </c>
      <c r="R110" s="79">
        <f t="shared" si="52"/>
        <v>320006</v>
      </c>
      <c r="T110" s="79" t="s">
        <v>3172</v>
      </c>
      <c r="V110" s="79" t="s">
        <v>3603</v>
      </c>
    </row>
    <row r="111" ht="15" spans="1:22">
      <c r="A111" s="79">
        <f t="shared" si="51"/>
        <v>320006</v>
      </c>
      <c r="B111" s="79">
        <v>2</v>
      </c>
      <c r="C111" s="79">
        <f t="shared" si="54"/>
        <v>3</v>
      </c>
      <c r="D111" s="79">
        <f t="shared" si="55"/>
        <v>3</v>
      </c>
      <c r="E111" s="79">
        <v>3</v>
      </c>
      <c r="F111" s="79" t="s">
        <v>3604</v>
      </c>
      <c r="G111" s="79" t="s">
        <v>3605</v>
      </c>
      <c r="H111" s="79">
        <v>1</v>
      </c>
      <c r="I111" s="79">
        <v>1</v>
      </c>
      <c r="J111" s="79">
        <f t="shared" si="53"/>
        <v>250</v>
      </c>
      <c r="K111" s="79">
        <f t="shared" si="50"/>
        <v>2008</v>
      </c>
      <c r="L111" s="78">
        <v>9</v>
      </c>
      <c r="O111" s="79">
        <v>6</v>
      </c>
      <c r="P111" s="79" t="s">
        <v>3545</v>
      </c>
      <c r="Q111" s="78">
        <v>31136000</v>
      </c>
      <c r="R111" s="79">
        <f t="shared" si="52"/>
        <v>320007</v>
      </c>
      <c r="T111" s="79" t="s">
        <v>3172</v>
      </c>
      <c r="V111" s="79" t="s">
        <v>3603</v>
      </c>
    </row>
    <row r="112" ht="15" spans="1:22">
      <c r="A112" s="79">
        <f t="shared" si="51"/>
        <v>320007</v>
      </c>
      <c r="B112" s="79">
        <v>2</v>
      </c>
      <c r="C112" s="79">
        <f t="shared" si="54"/>
        <v>3</v>
      </c>
      <c r="D112" s="79">
        <f t="shared" si="55"/>
        <v>3</v>
      </c>
      <c r="E112" s="79">
        <v>3</v>
      </c>
      <c r="F112" s="79" t="s">
        <v>3604</v>
      </c>
      <c r="G112" s="79" t="s">
        <v>3605</v>
      </c>
      <c r="H112" s="79">
        <v>1</v>
      </c>
      <c r="I112" s="79">
        <v>0</v>
      </c>
      <c r="J112" s="79">
        <f t="shared" si="53"/>
        <v>300</v>
      </c>
      <c r="K112" s="79">
        <f t="shared" si="50"/>
        <v>2008</v>
      </c>
      <c r="L112" s="78">
        <v>9</v>
      </c>
      <c r="O112" s="79">
        <v>7</v>
      </c>
      <c r="P112" s="79" t="s">
        <v>3545</v>
      </c>
      <c r="Q112" s="78">
        <v>44563400</v>
      </c>
      <c r="R112" s="79">
        <f t="shared" si="52"/>
        <v>320008</v>
      </c>
      <c r="T112" s="79" t="s">
        <v>3172</v>
      </c>
      <c r="V112" s="79" t="s">
        <v>3603</v>
      </c>
    </row>
    <row r="113" ht="15" spans="1:22">
      <c r="A113" s="79">
        <f t="shared" si="51"/>
        <v>320008</v>
      </c>
      <c r="B113" s="79">
        <v>2</v>
      </c>
      <c r="C113" s="79">
        <f t="shared" si="54"/>
        <v>3</v>
      </c>
      <c r="D113" s="79">
        <f t="shared" si="55"/>
        <v>3</v>
      </c>
      <c r="E113" s="79">
        <v>3</v>
      </c>
      <c r="F113" s="79" t="s">
        <v>3604</v>
      </c>
      <c r="G113" s="79" t="s">
        <v>3605</v>
      </c>
      <c r="H113" s="79">
        <v>1</v>
      </c>
      <c r="I113" s="79">
        <v>1</v>
      </c>
      <c r="J113" s="79">
        <f t="shared" si="53"/>
        <v>350</v>
      </c>
      <c r="K113" s="79">
        <f t="shared" si="50"/>
        <v>2009</v>
      </c>
      <c r="L113" s="78">
        <v>10</v>
      </c>
      <c r="O113" s="79">
        <v>8</v>
      </c>
      <c r="P113" s="79" t="s">
        <v>3545</v>
      </c>
      <c r="Q113" s="78">
        <v>50359700</v>
      </c>
      <c r="R113" s="79">
        <f t="shared" si="52"/>
        <v>320009</v>
      </c>
      <c r="T113" s="79" t="s">
        <v>3172</v>
      </c>
      <c r="V113" s="79" t="s">
        <v>3603</v>
      </c>
    </row>
    <row r="114" ht="15" spans="1:22">
      <c r="A114" s="79">
        <f t="shared" si="51"/>
        <v>320009</v>
      </c>
      <c r="B114" s="79">
        <v>2</v>
      </c>
      <c r="C114" s="79">
        <f t="shared" si="54"/>
        <v>3</v>
      </c>
      <c r="D114" s="79">
        <f t="shared" si="55"/>
        <v>3</v>
      </c>
      <c r="E114" s="79">
        <v>3</v>
      </c>
      <c r="F114" s="79" t="s">
        <v>3604</v>
      </c>
      <c r="G114" s="79" t="s">
        <v>3605</v>
      </c>
      <c r="H114" s="79">
        <v>0</v>
      </c>
      <c r="I114" s="79">
        <v>0</v>
      </c>
      <c r="J114" s="79">
        <f t="shared" si="53"/>
        <v>400</v>
      </c>
      <c r="K114" s="79">
        <f t="shared" si="50"/>
        <v>2009</v>
      </c>
      <c r="L114" s="78">
        <v>10</v>
      </c>
      <c r="O114" s="79">
        <v>9</v>
      </c>
      <c r="P114" s="79" t="s">
        <v>3545</v>
      </c>
      <c r="Q114" s="78">
        <v>55697300</v>
      </c>
      <c r="R114" s="79">
        <f t="shared" si="52"/>
        <v>320010</v>
      </c>
      <c r="T114" s="79" t="s">
        <v>3172</v>
      </c>
      <c r="V114" s="79" t="s">
        <v>3603</v>
      </c>
    </row>
    <row r="115" ht="15" spans="1:22">
      <c r="A115" s="79">
        <f t="shared" si="51"/>
        <v>320010</v>
      </c>
      <c r="B115" s="79">
        <v>2</v>
      </c>
      <c r="C115" s="79">
        <f t="shared" si="54"/>
        <v>3</v>
      </c>
      <c r="D115" s="79">
        <f t="shared" si="55"/>
        <v>3</v>
      </c>
      <c r="E115" s="79">
        <v>4</v>
      </c>
      <c r="F115" s="79" t="s">
        <v>3606</v>
      </c>
      <c r="G115" s="79" t="s">
        <v>3607</v>
      </c>
      <c r="H115" s="79">
        <v>1</v>
      </c>
      <c r="I115" s="79">
        <v>0</v>
      </c>
      <c r="J115" s="79">
        <f t="shared" si="53"/>
        <v>450</v>
      </c>
      <c r="K115" s="79">
        <f t="shared" si="50"/>
        <v>0</v>
      </c>
      <c r="O115" s="79">
        <v>10</v>
      </c>
      <c r="P115" s="79" t="s">
        <v>3545</v>
      </c>
      <c r="Q115" s="78"/>
      <c r="R115" s="79">
        <f>A167</f>
        <v>330002</v>
      </c>
      <c r="T115" s="79" t="s">
        <v>3172</v>
      </c>
      <c r="V115" s="79" t="s">
        <v>3603</v>
      </c>
    </row>
    <row r="116" ht="16.5" customHeight="1" spans="1:41">
      <c r="A116" s="79">
        <f t="shared" ref="A116:A125" si="56">C116*100000+B116*10000+O116</f>
        <v>620001</v>
      </c>
      <c r="B116" s="79">
        <v>2</v>
      </c>
      <c r="C116" s="79">
        <v>6</v>
      </c>
      <c r="D116" s="79">
        <v>6</v>
      </c>
      <c r="E116" s="79">
        <v>1</v>
      </c>
      <c r="F116" s="79" t="s">
        <v>3608</v>
      </c>
      <c r="G116" s="79" t="s">
        <v>3609</v>
      </c>
      <c r="H116" s="79">
        <v>1</v>
      </c>
      <c r="K116" s="79">
        <f t="shared" si="50"/>
        <v>2004</v>
      </c>
      <c r="L116" s="78">
        <v>5</v>
      </c>
      <c r="O116" s="79">
        <v>1</v>
      </c>
      <c r="P116" s="79" t="s">
        <v>3554</v>
      </c>
      <c r="Q116" s="78">
        <v>7700600</v>
      </c>
      <c r="R116" s="79">
        <f t="shared" ref="R116:R124" si="57">A117</f>
        <v>620002</v>
      </c>
      <c r="T116" s="79" t="s">
        <v>3610</v>
      </c>
      <c r="V116" s="79" t="s">
        <v>3611</v>
      </c>
      <c r="AK116" s="79" t="s">
        <v>528</v>
      </c>
      <c r="AO116" s="79" t="s">
        <v>3497</v>
      </c>
    </row>
    <row r="117" ht="15" spans="1:22">
      <c r="A117" s="79">
        <f t="shared" si="56"/>
        <v>620002</v>
      </c>
      <c r="B117" s="79">
        <v>2</v>
      </c>
      <c r="C117" s="79">
        <f>C87+1</f>
        <v>6</v>
      </c>
      <c r="D117" s="79">
        <v>6</v>
      </c>
      <c r="E117" s="79">
        <v>1</v>
      </c>
      <c r="F117" s="79" t="s">
        <v>3608</v>
      </c>
      <c r="G117" s="79" t="s">
        <v>3609</v>
      </c>
      <c r="H117" s="79">
        <v>1</v>
      </c>
      <c r="I117" s="79">
        <v>1</v>
      </c>
      <c r="J117" s="79">
        <f t="shared" ref="J117:J125" si="58">$J$1*(O117-1)</f>
        <v>50</v>
      </c>
      <c r="K117" s="79">
        <f t="shared" si="50"/>
        <v>2005</v>
      </c>
      <c r="L117" s="78">
        <v>6</v>
      </c>
      <c r="O117" s="79">
        <v>2</v>
      </c>
      <c r="P117" s="79" t="s">
        <v>3554</v>
      </c>
      <c r="Q117" s="78">
        <v>11523100</v>
      </c>
      <c r="R117" s="79">
        <f t="shared" si="57"/>
        <v>620003</v>
      </c>
      <c r="T117" s="79" t="s">
        <v>3610</v>
      </c>
      <c r="V117" s="79" t="s">
        <v>3611</v>
      </c>
    </row>
    <row r="118" ht="15" spans="1:22">
      <c r="A118" s="79">
        <f t="shared" si="56"/>
        <v>620003</v>
      </c>
      <c r="B118" s="79">
        <v>2</v>
      </c>
      <c r="C118" s="79">
        <f t="shared" ref="C118:C125" si="59">C117</f>
        <v>6</v>
      </c>
      <c r="D118" s="79">
        <v>6</v>
      </c>
      <c r="E118" s="79">
        <v>1</v>
      </c>
      <c r="F118" s="79" t="s">
        <v>3608</v>
      </c>
      <c r="G118" s="79" t="s">
        <v>3609</v>
      </c>
      <c r="H118" s="79">
        <v>1</v>
      </c>
      <c r="I118" s="79">
        <v>1</v>
      </c>
      <c r="J118" s="79">
        <f t="shared" si="58"/>
        <v>100</v>
      </c>
      <c r="K118" s="79">
        <f t="shared" si="50"/>
        <v>2006</v>
      </c>
      <c r="L118" s="78">
        <v>7</v>
      </c>
      <c r="O118" s="79">
        <v>3</v>
      </c>
      <c r="P118" s="79" t="s">
        <v>3554</v>
      </c>
      <c r="Q118" s="78">
        <v>13955600</v>
      </c>
      <c r="R118" s="79">
        <f t="shared" si="57"/>
        <v>620004</v>
      </c>
      <c r="T118" s="79" t="s">
        <v>3610</v>
      </c>
      <c r="V118" s="79" t="s">
        <v>3611</v>
      </c>
    </row>
    <row r="119" ht="15" spans="1:22">
      <c r="A119" s="79">
        <f t="shared" si="56"/>
        <v>620004</v>
      </c>
      <c r="B119" s="79">
        <v>2</v>
      </c>
      <c r="C119" s="79">
        <f t="shared" si="59"/>
        <v>6</v>
      </c>
      <c r="D119" s="79">
        <v>6</v>
      </c>
      <c r="E119" s="79">
        <v>1</v>
      </c>
      <c r="F119" s="79" t="s">
        <v>3608</v>
      </c>
      <c r="G119" s="79" t="s">
        <v>3609</v>
      </c>
      <c r="H119" s="79">
        <v>1</v>
      </c>
      <c r="I119" s="79">
        <v>1</v>
      </c>
      <c r="J119" s="79">
        <f t="shared" si="58"/>
        <v>150</v>
      </c>
      <c r="K119" s="79">
        <f t="shared" si="50"/>
        <v>2007</v>
      </c>
      <c r="L119" s="78">
        <v>8</v>
      </c>
      <c r="O119" s="79">
        <v>4</v>
      </c>
      <c r="P119" s="79" t="s">
        <v>3554</v>
      </c>
      <c r="Q119" s="78">
        <v>21294800</v>
      </c>
      <c r="R119" s="79">
        <f t="shared" si="57"/>
        <v>620005</v>
      </c>
      <c r="T119" s="79" t="s">
        <v>3610</v>
      </c>
      <c r="V119" s="79" t="s">
        <v>3611</v>
      </c>
    </row>
    <row r="120" ht="15" spans="1:22">
      <c r="A120" s="79">
        <f t="shared" si="56"/>
        <v>620005</v>
      </c>
      <c r="B120" s="79">
        <v>2</v>
      </c>
      <c r="C120" s="79">
        <f t="shared" si="59"/>
        <v>6</v>
      </c>
      <c r="D120" s="79">
        <v>6</v>
      </c>
      <c r="E120" s="79">
        <v>1</v>
      </c>
      <c r="F120" s="79" t="s">
        <v>3608</v>
      </c>
      <c r="G120" s="79" t="s">
        <v>3609</v>
      </c>
      <c r="H120" s="79">
        <v>0</v>
      </c>
      <c r="I120" s="79">
        <v>0</v>
      </c>
      <c r="J120" s="79">
        <f t="shared" si="58"/>
        <v>200</v>
      </c>
      <c r="K120" s="79">
        <f t="shared" si="50"/>
        <v>2008</v>
      </c>
      <c r="L120" s="78">
        <v>9</v>
      </c>
      <c r="O120" s="79">
        <v>5</v>
      </c>
      <c r="P120" s="79" t="s">
        <v>3554</v>
      </c>
      <c r="Q120" s="78">
        <v>31775400</v>
      </c>
      <c r="R120" s="79">
        <f t="shared" si="57"/>
        <v>620006</v>
      </c>
      <c r="T120" s="79" t="s">
        <v>3610</v>
      </c>
      <c r="V120" s="79" t="s">
        <v>3611</v>
      </c>
    </row>
    <row r="121" ht="15" spans="1:22">
      <c r="A121" s="79">
        <f t="shared" si="56"/>
        <v>620006</v>
      </c>
      <c r="B121" s="79">
        <v>2</v>
      </c>
      <c r="C121" s="79">
        <f t="shared" si="59"/>
        <v>6</v>
      </c>
      <c r="D121" s="79">
        <v>6</v>
      </c>
      <c r="E121" s="79">
        <v>2</v>
      </c>
      <c r="F121" s="79" t="s">
        <v>3612</v>
      </c>
      <c r="G121" s="79" t="s">
        <v>3613</v>
      </c>
      <c r="H121" s="79">
        <v>1</v>
      </c>
      <c r="I121" s="79">
        <v>1</v>
      </c>
      <c r="J121" s="79">
        <f t="shared" si="58"/>
        <v>250</v>
      </c>
      <c r="K121" s="79">
        <f t="shared" si="50"/>
        <v>2009</v>
      </c>
      <c r="L121" s="78">
        <v>10</v>
      </c>
      <c r="O121" s="79">
        <v>6</v>
      </c>
      <c r="P121" s="79" t="s">
        <v>3554</v>
      </c>
      <c r="Q121" s="78">
        <v>45161100</v>
      </c>
      <c r="R121" s="79">
        <f t="shared" si="57"/>
        <v>620007</v>
      </c>
      <c r="T121" s="79" t="s">
        <v>3610</v>
      </c>
      <c r="V121" s="79" t="s">
        <v>3611</v>
      </c>
    </row>
    <row r="122" ht="15" spans="1:22">
      <c r="A122" s="79">
        <f t="shared" si="56"/>
        <v>620007</v>
      </c>
      <c r="B122" s="79">
        <v>2</v>
      </c>
      <c r="C122" s="79">
        <f t="shared" si="59"/>
        <v>6</v>
      </c>
      <c r="D122" s="79">
        <v>6</v>
      </c>
      <c r="E122" s="79">
        <v>2</v>
      </c>
      <c r="F122" s="79" t="s">
        <v>3612</v>
      </c>
      <c r="G122" s="79" t="s">
        <v>3613</v>
      </c>
      <c r="H122" s="79">
        <v>1</v>
      </c>
      <c r="I122" s="79">
        <v>1</v>
      </c>
      <c r="J122" s="79">
        <f t="shared" si="58"/>
        <v>300</v>
      </c>
      <c r="K122" s="79">
        <f t="shared" si="50"/>
        <v>2009</v>
      </c>
      <c r="L122" s="78">
        <v>10</v>
      </c>
      <c r="O122" s="79">
        <v>7</v>
      </c>
      <c r="P122" s="79" t="s">
        <v>3554</v>
      </c>
      <c r="Q122" s="78">
        <v>50985200</v>
      </c>
      <c r="R122" s="79">
        <f t="shared" si="57"/>
        <v>620008</v>
      </c>
      <c r="T122" s="79" t="s">
        <v>3610</v>
      </c>
      <c r="V122" s="79" t="s">
        <v>3611</v>
      </c>
    </row>
    <row r="123" ht="15" spans="1:22">
      <c r="A123" s="79">
        <f t="shared" si="56"/>
        <v>620008</v>
      </c>
      <c r="B123" s="79">
        <v>2</v>
      </c>
      <c r="C123" s="79">
        <f t="shared" si="59"/>
        <v>6</v>
      </c>
      <c r="D123" s="79">
        <v>6</v>
      </c>
      <c r="E123" s="79">
        <v>2</v>
      </c>
      <c r="F123" s="79" t="s">
        <v>3612</v>
      </c>
      <c r="G123" s="79" t="s">
        <v>3613</v>
      </c>
      <c r="H123" s="79">
        <v>1</v>
      </c>
      <c r="I123" s="79">
        <v>0</v>
      </c>
      <c r="J123" s="79">
        <f t="shared" si="58"/>
        <v>350</v>
      </c>
      <c r="K123" s="79">
        <f t="shared" si="50"/>
        <v>2009</v>
      </c>
      <c r="L123" s="78">
        <v>10</v>
      </c>
      <c r="O123" s="79">
        <v>8</v>
      </c>
      <c r="P123" s="79" t="s">
        <v>3554</v>
      </c>
      <c r="Q123" s="78">
        <v>57142900</v>
      </c>
      <c r="R123" s="79">
        <f t="shared" si="57"/>
        <v>620009</v>
      </c>
      <c r="T123" s="79" t="s">
        <v>3610</v>
      </c>
      <c r="V123" s="79" t="s">
        <v>3611</v>
      </c>
    </row>
    <row r="124" ht="15" spans="1:22">
      <c r="A124" s="79">
        <f t="shared" si="56"/>
        <v>620009</v>
      </c>
      <c r="B124" s="79">
        <v>2</v>
      </c>
      <c r="C124" s="79">
        <f t="shared" si="59"/>
        <v>6</v>
      </c>
      <c r="D124" s="79">
        <v>6</v>
      </c>
      <c r="E124" s="79">
        <v>3</v>
      </c>
      <c r="F124" s="79" t="s">
        <v>3612</v>
      </c>
      <c r="G124" s="79" t="s">
        <v>3614</v>
      </c>
      <c r="H124" s="79">
        <v>0</v>
      </c>
      <c r="I124" s="79">
        <v>1</v>
      </c>
      <c r="J124" s="79">
        <f t="shared" si="58"/>
        <v>400</v>
      </c>
      <c r="K124" s="79">
        <f t="shared" si="50"/>
        <v>2009</v>
      </c>
      <c r="L124" s="78">
        <v>10</v>
      </c>
      <c r="O124" s="79">
        <v>9</v>
      </c>
      <c r="P124" s="79" t="s">
        <v>3554</v>
      </c>
      <c r="Q124" s="78">
        <v>76728000</v>
      </c>
      <c r="R124" s="79">
        <f t="shared" si="57"/>
        <v>620010</v>
      </c>
      <c r="T124" s="79" t="s">
        <v>3610</v>
      </c>
      <c r="V124" s="79" t="s">
        <v>3611</v>
      </c>
    </row>
    <row r="125" spans="1:22">
      <c r="A125" s="79">
        <f t="shared" si="56"/>
        <v>620010</v>
      </c>
      <c r="B125" s="79">
        <v>2</v>
      </c>
      <c r="C125" s="79">
        <f t="shared" si="59"/>
        <v>6</v>
      </c>
      <c r="D125" s="79">
        <v>6</v>
      </c>
      <c r="E125" s="79">
        <v>3</v>
      </c>
      <c r="F125" s="79" t="s">
        <v>3615</v>
      </c>
      <c r="G125" s="79" t="s">
        <v>3616</v>
      </c>
      <c r="H125" s="79">
        <v>1</v>
      </c>
      <c r="I125" s="79">
        <v>0</v>
      </c>
      <c r="J125" s="79">
        <f t="shared" si="58"/>
        <v>450</v>
      </c>
      <c r="K125" s="79">
        <f t="shared" si="50"/>
        <v>0</v>
      </c>
      <c r="O125" s="79">
        <v>10</v>
      </c>
      <c r="P125" s="79" t="s">
        <v>3554</v>
      </c>
      <c r="Q125" s="79">
        <v>0</v>
      </c>
      <c r="R125" s="79">
        <f>A177</f>
        <v>630002</v>
      </c>
      <c r="T125" s="79" t="s">
        <v>3610</v>
      </c>
      <c r="V125" s="79" t="s">
        <v>3611</v>
      </c>
    </row>
    <row r="126" ht="16.5" customHeight="1" spans="1:41">
      <c r="A126" s="79">
        <f t="shared" ref="A126:A145" si="60">C126*100000+B126*10000+O126</f>
        <v>230001</v>
      </c>
      <c r="B126" s="79">
        <v>3</v>
      </c>
      <c r="C126" s="79">
        <v>2</v>
      </c>
      <c r="D126" s="79">
        <v>2</v>
      </c>
      <c r="F126" s="79" t="s">
        <v>3617</v>
      </c>
      <c r="G126" s="79" t="s">
        <v>3618</v>
      </c>
      <c r="H126" s="79">
        <v>0</v>
      </c>
      <c r="K126" s="79">
        <f t="shared" si="50"/>
        <v>3000</v>
      </c>
      <c r="L126" s="79">
        <v>1</v>
      </c>
      <c r="O126" s="79">
        <v>1</v>
      </c>
      <c r="P126" s="79" t="s">
        <v>3495</v>
      </c>
      <c r="Q126" s="79">
        <v>6338400</v>
      </c>
      <c r="R126" s="79">
        <f t="shared" ref="R126:R134" si="61">A127</f>
        <v>230002</v>
      </c>
      <c r="T126" s="79" t="s">
        <v>3619</v>
      </c>
      <c r="U126" s="79" t="s">
        <v>3620</v>
      </c>
      <c r="V126" s="79" t="s">
        <v>3621</v>
      </c>
      <c r="AK126" s="79" t="s">
        <v>528</v>
      </c>
      <c r="AO126" s="79" t="s">
        <v>3497</v>
      </c>
    </row>
    <row r="127" spans="1:22">
      <c r="A127" s="79">
        <f t="shared" si="60"/>
        <v>230002</v>
      </c>
      <c r="B127" s="79">
        <v>3</v>
      </c>
      <c r="C127" s="79">
        <f>C137+1</f>
        <v>2</v>
      </c>
      <c r="D127" s="79">
        <f>D137+1</f>
        <v>2</v>
      </c>
      <c r="E127" s="79">
        <v>1</v>
      </c>
      <c r="F127" s="79" t="s">
        <v>3617</v>
      </c>
      <c r="G127" s="79" t="s">
        <v>3618</v>
      </c>
      <c r="H127" s="79">
        <v>1</v>
      </c>
      <c r="I127" s="79">
        <v>1</v>
      </c>
      <c r="J127" s="79">
        <f t="shared" ref="J127:J135" si="62">$J$1*(O127-1)</f>
        <v>50</v>
      </c>
      <c r="K127" s="79">
        <f t="shared" si="50"/>
        <v>3000</v>
      </c>
      <c r="L127" s="79">
        <v>1</v>
      </c>
      <c r="O127" s="79">
        <v>2</v>
      </c>
      <c r="P127" s="79" t="s">
        <v>3495</v>
      </c>
      <c r="Q127" s="79">
        <v>14789600</v>
      </c>
      <c r="R127" s="79">
        <f t="shared" si="61"/>
        <v>230003</v>
      </c>
      <c r="T127" s="79" t="s">
        <v>3619</v>
      </c>
      <c r="U127" s="79" t="s">
        <v>3620</v>
      </c>
      <c r="V127" s="79" t="s">
        <v>3621</v>
      </c>
    </row>
    <row r="128" spans="1:22">
      <c r="A128" s="79">
        <f t="shared" si="60"/>
        <v>230003</v>
      </c>
      <c r="B128" s="79">
        <v>3</v>
      </c>
      <c r="C128" s="79">
        <f t="shared" ref="C128:C135" si="63">C127</f>
        <v>2</v>
      </c>
      <c r="D128" s="79">
        <f t="shared" ref="D128:D135" si="64">D127</f>
        <v>2</v>
      </c>
      <c r="E128" s="79">
        <v>1</v>
      </c>
      <c r="F128" s="79" t="s">
        <v>3617</v>
      </c>
      <c r="G128" s="79" t="s">
        <v>3618</v>
      </c>
      <c r="H128" s="79">
        <v>1</v>
      </c>
      <c r="I128" s="79">
        <v>1</v>
      </c>
      <c r="J128" s="79">
        <f t="shared" si="62"/>
        <v>100</v>
      </c>
      <c r="K128" s="79">
        <f t="shared" si="50"/>
        <v>3000</v>
      </c>
      <c r="L128" s="79">
        <v>1</v>
      </c>
      <c r="O128" s="79">
        <v>3</v>
      </c>
      <c r="P128" s="79" t="s">
        <v>3495</v>
      </c>
      <c r="Q128" s="79">
        <v>25353600</v>
      </c>
      <c r="R128" s="79">
        <f t="shared" si="61"/>
        <v>230004</v>
      </c>
      <c r="T128" s="79" t="s">
        <v>3619</v>
      </c>
      <c r="U128" s="79" t="s">
        <v>3620</v>
      </c>
      <c r="V128" s="79" t="s">
        <v>3621</v>
      </c>
    </row>
    <row r="129" spans="1:22">
      <c r="A129" s="79">
        <f t="shared" si="60"/>
        <v>230004</v>
      </c>
      <c r="B129" s="79">
        <v>3</v>
      </c>
      <c r="C129" s="79">
        <f t="shared" si="63"/>
        <v>2</v>
      </c>
      <c r="D129" s="79">
        <f t="shared" si="64"/>
        <v>2</v>
      </c>
      <c r="E129" s="79">
        <v>1</v>
      </c>
      <c r="F129" s="79" t="s">
        <v>3617</v>
      </c>
      <c r="G129" s="79" t="s">
        <v>3618</v>
      </c>
      <c r="H129" s="79">
        <v>1</v>
      </c>
      <c r="I129" s="79">
        <v>1</v>
      </c>
      <c r="J129" s="79">
        <f t="shared" si="62"/>
        <v>150</v>
      </c>
      <c r="K129" s="79">
        <f t="shared" si="50"/>
        <v>3001</v>
      </c>
      <c r="L129" s="79">
        <v>2</v>
      </c>
      <c r="O129" s="79">
        <v>4</v>
      </c>
      <c r="P129" s="79" t="s">
        <v>3495</v>
      </c>
      <c r="Q129" s="79">
        <v>84512000</v>
      </c>
      <c r="R129" s="79">
        <f t="shared" si="61"/>
        <v>230005</v>
      </c>
      <c r="T129" s="79" t="s">
        <v>3619</v>
      </c>
      <c r="U129" s="79" t="s">
        <v>3620</v>
      </c>
      <c r="V129" s="79" t="s">
        <v>3621</v>
      </c>
    </row>
    <row r="130" spans="1:22">
      <c r="A130" s="79">
        <f t="shared" si="60"/>
        <v>230005</v>
      </c>
      <c r="B130" s="79">
        <v>3</v>
      </c>
      <c r="C130" s="79">
        <f t="shared" si="63"/>
        <v>2</v>
      </c>
      <c r="D130" s="79">
        <f t="shared" si="64"/>
        <v>2</v>
      </c>
      <c r="E130" s="79">
        <v>1</v>
      </c>
      <c r="F130" s="79" t="s">
        <v>3617</v>
      </c>
      <c r="G130" s="79" t="s">
        <v>3618</v>
      </c>
      <c r="H130" s="79">
        <v>0</v>
      </c>
      <c r="I130" s="79">
        <v>0</v>
      </c>
      <c r="J130" s="79">
        <f t="shared" si="62"/>
        <v>200</v>
      </c>
      <c r="K130" s="79">
        <f t="shared" si="50"/>
        <v>3002</v>
      </c>
      <c r="L130" s="79">
        <v>3</v>
      </c>
      <c r="O130" s="79">
        <v>5</v>
      </c>
      <c r="P130" s="79" t="s">
        <v>3495</v>
      </c>
      <c r="Q130" s="79">
        <v>145783200</v>
      </c>
      <c r="R130" s="79">
        <f t="shared" si="61"/>
        <v>230006</v>
      </c>
      <c r="T130" s="79" t="s">
        <v>3619</v>
      </c>
      <c r="U130" s="79" t="s">
        <v>3620</v>
      </c>
      <c r="V130" s="79" t="s">
        <v>3621</v>
      </c>
    </row>
    <row r="131" spans="1:22">
      <c r="A131" s="79">
        <f t="shared" si="60"/>
        <v>230006</v>
      </c>
      <c r="B131" s="79">
        <v>3</v>
      </c>
      <c r="C131" s="79">
        <f t="shared" si="63"/>
        <v>2</v>
      </c>
      <c r="D131" s="79">
        <f t="shared" si="64"/>
        <v>2</v>
      </c>
      <c r="E131" s="79">
        <v>2</v>
      </c>
      <c r="F131" s="79" t="s">
        <v>3622</v>
      </c>
      <c r="G131" s="79" t="s">
        <v>3623</v>
      </c>
      <c r="H131" s="79">
        <v>1</v>
      </c>
      <c r="I131" s="79">
        <v>1</v>
      </c>
      <c r="J131" s="79">
        <f t="shared" si="62"/>
        <v>250</v>
      </c>
      <c r="K131" s="79">
        <f t="shared" si="50"/>
        <v>3003</v>
      </c>
      <c r="L131" s="79">
        <v>4</v>
      </c>
      <c r="O131" s="79">
        <v>6</v>
      </c>
      <c r="P131" s="79" t="s">
        <v>3495</v>
      </c>
      <c r="Q131" s="79">
        <v>445800800</v>
      </c>
      <c r="R131" s="79">
        <f t="shared" si="61"/>
        <v>230007</v>
      </c>
      <c r="T131" s="79" t="s">
        <v>3619</v>
      </c>
      <c r="U131" s="79" t="s">
        <v>3620</v>
      </c>
      <c r="V131" s="79" t="s">
        <v>3621</v>
      </c>
    </row>
    <row r="132" spans="1:22">
      <c r="A132" s="79">
        <f t="shared" si="60"/>
        <v>230007</v>
      </c>
      <c r="B132" s="79">
        <v>3</v>
      </c>
      <c r="C132" s="79">
        <f t="shared" si="63"/>
        <v>2</v>
      </c>
      <c r="D132" s="79">
        <f t="shared" si="64"/>
        <v>2</v>
      </c>
      <c r="E132" s="79">
        <v>2</v>
      </c>
      <c r="F132" s="79" t="s">
        <v>3624</v>
      </c>
      <c r="G132" s="79" t="s">
        <v>3623</v>
      </c>
      <c r="H132" s="79">
        <v>1</v>
      </c>
      <c r="I132" s="79">
        <v>0</v>
      </c>
      <c r="J132" s="79">
        <f t="shared" si="62"/>
        <v>300</v>
      </c>
      <c r="K132" s="79">
        <f t="shared" si="50"/>
        <v>3003</v>
      </c>
      <c r="L132" s="79">
        <v>4</v>
      </c>
      <c r="O132" s="79">
        <v>7</v>
      </c>
      <c r="P132" s="79" t="s">
        <v>3495</v>
      </c>
      <c r="Q132" s="79">
        <v>686660000</v>
      </c>
      <c r="R132" s="79">
        <f t="shared" si="61"/>
        <v>230008</v>
      </c>
      <c r="T132" s="79" t="s">
        <v>3619</v>
      </c>
      <c r="U132" s="79" t="s">
        <v>3620</v>
      </c>
      <c r="V132" s="79" t="s">
        <v>3621</v>
      </c>
    </row>
    <row r="133" spans="1:22">
      <c r="A133" s="79">
        <f t="shared" si="60"/>
        <v>230008</v>
      </c>
      <c r="B133" s="79">
        <v>3</v>
      </c>
      <c r="C133" s="79">
        <f t="shared" si="63"/>
        <v>2</v>
      </c>
      <c r="D133" s="79">
        <f t="shared" si="64"/>
        <v>2</v>
      </c>
      <c r="E133" s="79">
        <v>2</v>
      </c>
      <c r="F133" s="79" t="s">
        <v>3624</v>
      </c>
      <c r="G133" s="79" t="s">
        <v>3623</v>
      </c>
      <c r="H133" s="79">
        <v>1</v>
      </c>
      <c r="I133" s="79">
        <v>1</v>
      </c>
      <c r="J133" s="79">
        <f t="shared" si="62"/>
        <v>350</v>
      </c>
      <c r="K133" s="79">
        <f t="shared" si="50"/>
        <v>3005</v>
      </c>
      <c r="L133" s="79">
        <v>6</v>
      </c>
      <c r="O133" s="79">
        <v>8</v>
      </c>
      <c r="P133" s="79" t="s">
        <v>3495</v>
      </c>
      <c r="Q133" s="79">
        <v>1369094400</v>
      </c>
      <c r="R133" s="79">
        <f t="shared" si="61"/>
        <v>230009</v>
      </c>
      <c r="T133" s="79" t="s">
        <v>3619</v>
      </c>
      <c r="U133" s="79" t="s">
        <v>3620</v>
      </c>
      <c r="V133" s="79" t="s">
        <v>3621</v>
      </c>
    </row>
    <row r="134" spans="1:22">
      <c r="A134" s="79">
        <f t="shared" si="60"/>
        <v>230009</v>
      </c>
      <c r="B134" s="79">
        <v>3</v>
      </c>
      <c r="C134" s="79">
        <f t="shared" si="63"/>
        <v>2</v>
      </c>
      <c r="D134" s="79">
        <f t="shared" si="64"/>
        <v>2</v>
      </c>
      <c r="E134" s="79">
        <v>2</v>
      </c>
      <c r="F134" s="79" t="s">
        <v>3624</v>
      </c>
      <c r="G134" s="79" t="s">
        <v>3623</v>
      </c>
      <c r="H134" s="79">
        <v>0</v>
      </c>
      <c r="I134" s="79">
        <v>0</v>
      </c>
      <c r="J134" s="79">
        <f t="shared" si="62"/>
        <v>400</v>
      </c>
      <c r="K134" s="79">
        <f t="shared" si="50"/>
        <v>3006</v>
      </c>
      <c r="L134" s="79">
        <v>7</v>
      </c>
      <c r="O134" s="79">
        <v>9</v>
      </c>
      <c r="P134" s="79" t="s">
        <v>3495</v>
      </c>
      <c r="Q134" s="79">
        <v>2121251200</v>
      </c>
      <c r="R134" s="79">
        <f t="shared" si="61"/>
        <v>230010</v>
      </c>
      <c r="T134" s="79" t="s">
        <v>3619</v>
      </c>
      <c r="U134" s="79" t="s">
        <v>3620</v>
      </c>
      <c r="V134" s="79" t="s">
        <v>3621</v>
      </c>
    </row>
    <row r="135" spans="1:22">
      <c r="A135" s="79">
        <f t="shared" si="60"/>
        <v>230010</v>
      </c>
      <c r="B135" s="79">
        <v>3</v>
      </c>
      <c r="C135" s="79">
        <f t="shared" si="63"/>
        <v>2</v>
      </c>
      <c r="D135" s="79">
        <f t="shared" si="64"/>
        <v>2</v>
      </c>
      <c r="E135" s="79">
        <v>3</v>
      </c>
      <c r="F135" s="79" t="s">
        <v>3625</v>
      </c>
      <c r="G135" s="79" t="s">
        <v>3573</v>
      </c>
      <c r="H135" s="79">
        <v>1</v>
      </c>
      <c r="I135" s="79">
        <v>0</v>
      </c>
      <c r="J135" s="79">
        <f t="shared" si="62"/>
        <v>450</v>
      </c>
      <c r="K135" s="79">
        <f t="shared" ref="K135:K166" si="65">IF(L135=0,0,B135*1000+L135-1)</f>
        <v>0</v>
      </c>
      <c r="O135" s="79">
        <v>10</v>
      </c>
      <c r="P135" s="79" t="s">
        <v>3495</v>
      </c>
      <c r="R135" s="79">
        <f>A195</f>
        <v>240010</v>
      </c>
      <c r="T135" s="79" t="s">
        <v>3619</v>
      </c>
      <c r="U135" s="79" t="s">
        <v>3620</v>
      </c>
      <c r="V135" s="79" t="s">
        <v>3621</v>
      </c>
    </row>
    <row r="136" ht="16.5" customHeight="1" spans="1:41">
      <c r="A136" s="79">
        <f t="shared" si="60"/>
        <v>130001</v>
      </c>
      <c r="B136" s="79">
        <v>3</v>
      </c>
      <c r="C136" s="79">
        <v>1</v>
      </c>
      <c r="D136" s="79">
        <v>1</v>
      </c>
      <c r="F136" s="79" t="s">
        <v>3626</v>
      </c>
      <c r="G136" s="79" t="s">
        <v>3575</v>
      </c>
      <c r="H136" s="79">
        <v>0</v>
      </c>
      <c r="K136" s="79">
        <f t="shared" si="65"/>
        <v>3001</v>
      </c>
      <c r="L136" s="79">
        <v>2</v>
      </c>
      <c r="O136" s="79">
        <v>1</v>
      </c>
      <c r="P136" s="79" t="s">
        <v>3513</v>
      </c>
      <c r="Q136" s="79">
        <v>31692000</v>
      </c>
      <c r="R136" s="79">
        <f t="shared" ref="R136:R144" si="66">A137</f>
        <v>130002</v>
      </c>
      <c r="T136" s="79" t="s">
        <v>3287</v>
      </c>
      <c r="U136" s="79" t="s">
        <v>3627</v>
      </c>
      <c r="V136" s="79" t="s">
        <v>3628</v>
      </c>
      <c r="AK136" s="79" t="s">
        <v>528</v>
      </c>
      <c r="AO136" s="79" t="s">
        <v>3497</v>
      </c>
    </row>
    <row r="137" spans="1:22">
      <c r="A137" s="79">
        <f t="shared" si="60"/>
        <v>130002</v>
      </c>
      <c r="B137" s="79">
        <v>3</v>
      </c>
      <c r="C137" s="79">
        <v>1</v>
      </c>
      <c r="D137" s="79">
        <v>1</v>
      </c>
      <c r="E137" s="79">
        <v>1</v>
      </c>
      <c r="F137" s="79" t="s">
        <v>3626</v>
      </c>
      <c r="G137" s="79" t="s">
        <v>3575</v>
      </c>
      <c r="H137" s="79">
        <v>1</v>
      </c>
      <c r="I137" s="79">
        <v>1</v>
      </c>
      <c r="J137" s="79">
        <f t="shared" ref="J137:J145" si="67">$J$1*(O137-1)</f>
        <v>50</v>
      </c>
      <c r="K137" s="79">
        <f t="shared" si="65"/>
        <v>3001</v>
      </c>
      <c r="L137" s="79">
        <v>2</v>
      </c>
      <c r="O137" s="79">
        <v>2</v>
      </c>
      <c r="P137" s="79" t="s">
        <v>3513</v>
      </c>
      <c r="Q137" s="79">
        <v>105640000</v>
      </c>
      <c r="R137" s="79">
        <f t="shared" si="66"/>
        <v>130003</v>
      </c>
      <c r="T137" s="79" t="s">
        <v>3287</v>
      </c>
      <c r="U137" s="79" t="s">
        <v>3627</v>
      </c>
      <c r="V137" s="79" t="s">
        <v>3628</v>
      </c>
    </row>
    <row r="138" spans="1:22">
      <c r="A138" s="79">
        <f t="shared" si="60"/>
        <v>130003</v>
      </c>
      <c r="B138" s="79">
        <v>3</v>
      </c>
      <c r="C138" s="79">
        <f t="shared" ref="C138:C145" si="68">C137</f>
        <v>1</v>
      </c>
      <c r="D138" s="79">
        <f t="shared" ref="D138:D145" si="69">D137</f>
        <v>1</v>
      </c>
      <c r="E138" s="79">
        <v>1</v>
      </c>
      <c r="F138" s="79" t="s">
        <v>3626</v>
      </c>
      <c r="G138" s="79" t="s">
        <v>3575</v>
      </c>
      <c r="H138" s="79">
        <v>1</v>
      </c>
      <c r="I138" s="79">
        <v>1</v>
      </c>
      <c r="J138" s="79">
        <f t="shared" si="67"/>
        <v>100</v>
      </c>
      <c r="K138" s="79">
        <f t="shared" si="65"/>
        <v>3002</v>
      </c>
      <c r="L138" s="79">
        <v>3</v>
      </c>
      <c r="O138" s="79">
        <v>3</v>
      </c>
      <c r="P138" s="79" t="s">
        <v>3513</v>
      </c>
      <c r="Q138" s="79">
        <v>171136800</v>
      </c>
      <c r="R138" s="79">
        <f t="shared" si="66"/>
        <v>130004</v>
      </c>
      <c r="T138" s="79" t="s">
        <v>3287</v>
      </c>
      <c r="U138" s="79" t="s">
        <v>3627</v>
      </c>
      <c r="V138" s="79" t="s">
        <v>3628</v>
      </c>
    </row>
    <row r="139" spans="1:22">
      <c r="A139" s="79">
        <f t="shared" si="60"/>
        <v>130004</v>
      </c>
      <c r="B139" s="79">
        <v>3</v>
      </c>
      <c r="C139" s="79">
        <f t="shared" si="68"/>
        <v>1</v>
      </c>
      <c r="D139" s="79">
        <f t="shared" si="69"/>
        <v>1</v>
      </c>
      <c r="E139" s="79">
        <v>1</v>
      </c>
      <c r="F139" s="79" t="s">
        <v>3626</v>
      </c>
      <c r="G139" s="79" t="s">
        <v>3575</v>
      </c>
      <c r="H139" s="79">
        <v>1</v>
      </c>
      <c r="I139" s="79">
        <v>1</v>
      </c>
      <c r="J139" s="79">
        <f t="shared" si="67"/>
        <v>150</v>
      </c>
      <c r="K139" s="79">
        <f t="shared" si="65"/>
        <v>3003</v>
      </c>
      <c r="L139" s="79">
        <v>4</v>
      </c>
      <c r="O139" s="79">
        <v>4</v>
      </c>
      <c r="P139" s="79" t="s">
        <v>3513</v>
      </c>
      <c r="Q139" s="79">
        <v>507072000</v>
      </c>
      <c r="R139" s="79">
        <f t="shared" si="66"/>
        <v>130005</v>
      </c>
      <c r="T139" s="79" t="s">
        <v>3287</v>
      </c>
      <c r="U139" s="79" t="s">
        <v>3627</v>
      </c>
      <c r="V139" s="79" t="s">
        <v>3628</v>
      </c>
    </row>
    <row r="140" spans="1:22">
      <c r="A140" s="79">
        <f t="shared" si="60"/>
        <v>130005</v>
      </c>
      <c r="B140" s="79">
        <v>3</v>
      </c>
      <c r="C140" s="79">
        <f t="shared" si="68"/>
        <v>1</v>
      </c>
      <c r="D140" s="79">
        <f t="shared" si="69"/>
        <v>1</v>
      </c>
      <c r="E140" s="79">
        <v>1</v>
      </c>
      <c r="F140" s="79" t="s">
        <v>3626</v>
      </c>
      <c r="G140" s="79" t="s">
        <v>3575</v>
      </c>
      <c r="H140" s="79">
        <v>0</v>
      </c>
      <c r="I140" s="79">
        <v>0</v>
      </c>
      <c r="J140" s="79">
        <f t="shared" si="67"/>
        <v>200</v>
      </c>
      <c r="K140" s="79">
        <f t="shared" si="65"/>
        <v>3003</v>
      </c>
      <c r="L140" s="79">
        <v>4</v>
      </c>
      <c r="O140" s="79">
        <v>5</v>
      </c>
      <c r="P140" s="79" t="s">
        <v>3513</v>
      </c>
      <c r="Q140" s="79">
        <v>686660000</v>
      </c>
      <c r="R140" s="79">
        <f t="shared" si="66"/>
        <v>130006</v>
      </c>
      <c r="T140" s="79" t="s">
        <v>3287</v>
      </c>
      <c r="U140" s="79" t="s">
        <v>3627</v>
      </c>
      <c r="V140" s="79" t="s">
        <v>3628</v>
      </c>
    </row>
    <row r="141" spans="1:22">
      <c r="A141" s="79">
        <f t="shared" si="60"/>
        <v>130006</v>
      </c>
      <c r="B141" s="79">
        <v>3</v>
      </c>
      <c r="C141" s="79">
        <f t="shared" si="68"/>
        <v>1</v>
      </c>
      <c r="D141" s="79">
        <f t="shared" si="69"/>
        <v>1</v>
      </c>
      <c r="E141" s="79">
        <v>2</v>
      </c>
      <c r="F141" s="79" t="s">
        <v>3629</v>
      </c>
      <c r="G141" s="79" t="s">
        <v>3630</v>
      </c>
      <c r="H141" s="79">
        <v>1</v>
      </c>
      <c r="I141" s="79">
        <v>1</v>
      </c>
      <c r="J141" s="79">
        <f t="shared" si="67"/>
        <v>250</v>
      </c>
      <c r="K141" s="79">
        <f t="shared" si="65"/>
        <v>3004</v>
      </c>
      <c r="L141" s="79">
        <v>5</v>
      </c>
      <c r="O141" s="79">
        <v>6</v>
      </c>
      <c r="P141" s="79" t="s">
        <v>3513</v>
      </c>
      <c r="Q141" s="79">
        <v>1250777600</v>
      </c>
      <c r="R141" s="79">
        <f t="shared" si="66"/>
        <v>130007</v>
      </c>
      <c r="T141" s="79" t="s">
        <v>3287</v>
      </c>
      <c r="U141" s="79" t="s">
        <v>3627</v>
      </c>
      <c r="V141" s="79" t="s">
        <v>3628</v>
      </c>
    </row>
    <row r="142" spans="1:22">
      <c r="A142" s="79">
        <f t="shared" si="60"/>
        <v>130007</v>
      </c>
      <c r="B142" s="79">
        <v>3</v>
      </c>
      <c r="C142" s="79">
        <f t="shared" si="68"/>
        <v>1</v>
      </c>
      <c r="D142" s="79">
        <f t="shared" si="69"/>
        <v>1</v>
      </c>
      <c r="E142" s="79">
        <v>2</v>
      </c>
      <c r="F142" s="79" t="s">
        <v>3629</v>
      </c>
      <c r="G142" s="79" t="s">
        <v>3630</v>
      </c>
      <c r="H142" s="79">
        <v>1</v>
      </c>
      <c r="I142" s="79">
        <v>0</v>
      </c>
      <c r="J142" s="79">
        <f t="shared" si="67"/>
        <v>300</v>
      </c>
      <c r="K142" s="79">
        <f t="shared" si="65"/>
        <v>3005</v>
      </c>
      <c r="L142" s="79">
        <v>6</v>
      </c>
      <c r="O142" s="79">
        <v>7</v>
      </c>
      <c r="P142" s="79" t="s">
        <v>3513</v>
      </c>
      <c r="Q142" s="79">
        <v>1871940800</v>
      </c>
      <c r="R142" s="79">
        <f t="shared" si="66"/>
        <v>130008</v>
      </c>
      <c r="T142" s="79" t="s">
        <v>3287</v>
      </c>
      <c r="U142" s="79" t="s">
        <v>3627</v>
      </c>
      <c r="V142" s="79" t="s">
        <v>3628</v>
      </c>
    </row>
    <row r="143" spans="1:22">
      <c r="A143" s="79">
        <f t="shared" si="60"/>
        <v>130008</v>
      </c>
      <c r="B143" s="79">
        <v>3</v>
      </c>
      <c r="C143" s="79">
        <f t="shared" si="68"/>
        <v>1</v>
      </c>
      <c r="D143" s="79">
        <f t="shared" si="69"/>
        <v>1</v>
      </c>
      <c r="E143" s="79">
        <v>2</v>
      </c>
      <c r="F143" s="79" t="s">
        <v>3629</v>
      </c>
      <c r="G143" s="79" t="s">
        <v>3630</v>
      </c>
      <c r="H143" s="79">
        <v>1</v>
      </c>
      <c r="I143" s="79">
        <v>1</v>
      </c>
      <c r="J143" s="79">
        <f t="shared" si="67"/>
        <v>350</v>
      </c>
      <c r="K143" s="79">
        <f t="shared" si="65"/>
        <v>3006</v>
      </c>
      <c r="L143" s="79">
        <v>7</v>
      </c>
      <c r="O143" s="79">
        <v>8</v>
      </c>
      <c r="P143" s="79" t="s">
        <v>3513</v>
      </c>
      <c r="Q143" s="79">
        <v>2203650400</v>
      </c>
      <c r="R143" s="79">
        <f t="shared" si="66"/>
        <v>130009</v>
      </c>
      <c r="T143" s="79" t="s">
        <v>3287</v>
      </c>
      <c r="U143" s="79" t="s">
        <v>3627</v>
      </c>
      <c r="V143" s="79" t="s">
        <v>3628</v>
      </c>
    </row>
    <row r="144" spans="1:22">
      <c r="A144" s="79">
        <f t="shared" si="60"/>
        <v>130009</v>
      </c>
      <c r="B144" s="79">
        <v>3</v>
      </c>
      <c r="C144" s="79">
        <f t="shared" si="68"/>
        <v>1</v>
      </c>
      <c r="D144" s="79">
        <f t="shared" si="69"/>
        <v>1</v>
      </c>
      <c r="E144" s="79">
        <v>2</v>
      </c>
      <c r="F144" s="79" t="s">
        <v>3629</v>
      </c>
      <c r="G144" s="79" t="s">
        <v>3630</v>
      </c>
      <c r="H144" s="79">
        <v>0</v>
      </c>
      <c r="I144" s="79">
        <v>0</v>
      </c>
      <c r="J144" s="79">
        <f t="shared" si="67"/>
        <v>400</v>
      </c>
      <c r="K144" s="79">
        <f t="shared" si="65"/>
        <v>3007</v>
      </c>
      <c r="L144" s="79">
        <v>8</v>
      </c>
      <c r="O144" s="79">
        <v>9</v>
      </c>
      <c r="P144" s="79" t="s">
        <v>3513</v>
      </c>
      <c r="Q144" s="79">
        <v>3416397600</v>
      </c>
      <c r="R144" s="79">
        <f t="shared" si="66"/>
        <v>130010</v>
      </c>
      <c r="T144" s="79" t="s">
        <v>3287</v>
      </c>
      <c r="U144" s="79" t="s">
        <v>3627</v>
      </c>
      <c r="V144" s="79" t="s">
        <v>3628</v>
      </c>
    </row>
    <row r="145" spans="1:22">
      <c r="A145" s="79">
        <f t="shared" si="60"/>
        <v>130010</v>
      </c>
      <c r="B145" s="79">
        <v>3</v>
      </c>
      <c r="C145" s="79">
        <f t="shared" si="68"/>
        <v>1</v>
      </c>
      <c r="D145" s="79">
        <f t="shared" si="69"/>
        <v>1</v>
      </c>
      <c r="E145" s="79">
        <v>3</v>
      </c>
      <c r="F145" s="79" t="s">
        <v>3631</v>
      </c>
      <c r="G145" s="79" t="s">
        <v>3582</v>
      </c>
      <c r="H145" s="79">
        <v>1</v>
      </c>
      <c r="I145" s="79">
        <v>0</v>
      </c>
      <c r="J145" s="79">
        <f t="shared" si="67"/>
        <v>450</v>
      </c>
      <c r="K145" s="79">
        <f t="shared" si="65"/>
        <v>0</v>
      </c>
      <c r="O145" s="79">
        <v>10</v>
      </c>
      <c r="P145" s="79" t="s">
        <v>3513</v>
      </c>
      <c r="R145" s="79">
        <f>A186</f>
        <v>240001</v>
      </c>
      <c r="T145" s="79" t="s">
        <v>3287</v>
      </c>
      <c r="U145" s="79" t="s">
        <v>3627</v>
      </c>
      <c r="V145" s="79" t="s">
        <v>3628</v>
      </c>
    </row>
    <row r="146" ht="16.5" customHeight="1" spans="1:41">
      <c r="A146" s="79">
        <f t="shared" ref="A146:A165" si="70">C146*100000+B146*10000+O146</f>
        <v>530001</v>
      </c>
      <c r="B146" s="79">
        <v>3</v>
      </c>
      <c r="C146" s="79">
        <v>5</v>
      </c>
      <c r="D146" s="79">
        <v>5</v>
      </c>
      <c r="F146" s="79" t="s">
        <v>3632</v>
      </c>
      <c r="G146" s="79" t="s">
        <v>3586</v>
      </c>
      <c r="H146" s="79">
        <v>0</v>
      </c>
      <c r="K146" s="79">
        <f t="shared" si="65"/>
        <v>3001</v>
      </c>
      <c r="L146" s="78">
        <v>2</v>
      </c>
      <c r="O146" s="79">
        <v>1</v>
      </c>
      <c r="P146" s="79" t="s">
        <v>3527</v>
      </c>
      <c r="Q146" s="79">
        <v>114091200</v>
      </c>
      <c r="R146" s="79">
        <f t="shared" ref="R146:R154" si="71">A147</f>
        <v>530002</v>
      </c>
      <c r="T146" s="79" t="s">
        <v>3633</v>
      </c>
      <c r="U146" s="96" t="s">
        <v>3266</v>
      </c>
      <c r="V146" s="79" t="s">
        <v>3634</v>
      </c>
      <c r="AK146" s="79" t="s">
        <v>528</v>
      </c>
      <c r="AO146" s="79" t="s">
        <v>3497</v>
      </c>
    </row>
    <row r="147" ht="15" spans="1:22">
      <c r="A147" s="79">
        <f t="shared" si="70"/>
        <v>530002</v>
      </c>
      <c r="B147" s="79">
        <v>3</v>
      </c>
      <c r="C147" s="79">
        <f>C157+1</f>
        <v>5</v>
      </c>
      <c r="D147" s="79">
        <f>D157+1</f>
        <v>5</v>
      </c>
      <c r="E147" s="79">
        <v>1</v>
      </c>
      <c r="F147" s="79" t="s">
        <v>3632</v>
      </c>
      <c r="G147" s="79" t="s">
        <v>3586</v>
      </c>
      <c r="H147" s="79">
        <v>1</v>
      </c>
      <c r="I147" s="79">
        <v>1</v>
      </c>
      <c r="J147" s="79">
        <f t="shared" ref="J147:J155" si="72">$J$1*(O147-1)</f>
        <v>50</v>
      </c>
      <c r="K147" s="79">
        <f t="shared" si="65"/>
        <v>3002</v>
      </c>
      <c r="L147" s="78">
        <v>3</v>
      </c>
      <c r="O147" s="79">
        <v>2</v>
      </c>
      <c r="P147" s="79" t="s">
        <v>3527</v>
      </c>
      <c r="Q147" s="79">
        <v>363401600</v>
      </c>
      <c r="R147" s="79">
        <f t="shared" si="71"/>
        <v>530003</v>
      </c>
      <c r="T147" s="79" t="s">
        <v>3633</v>
      </c>
      <c r="U147" s="96" t="s">
        <v>3266</v>
      </c>
      <c r="V147" s="79" t="s">
        <v>3634</v>
      </c>
    </row>
    <row r="148" ht="15" spans="1:22">
      <c r="A148" s="79">
        <f t="shared" si="70"/>
        <v>530003</v>
      </c>
      <c r="B148" s="79">
        <v>3</v>
      </c>
      <c r="C148" s="79">
        <f t="shared" ref="C148:C155" si="73">C147</f>
        <v>5</v>
      </c>
      <c r="D148" s="79">
        <f t="shared" ref="D148:D155" si="74">D147</f>
        <v>5</v>
      </c>
      <c r="E148" s="79">
        <v>1</v>
      </c>
      <c r="F148" s="79" t="s">
        <v>3632</v>
      </c>
      <c r="G148" s="79" t="s">
        <v>3586</v>
      </c>
      <c r="H148" s="79">
        <v>1</v>
      </c>
      <c r="I148" s="79">
        <v>1</v>
      </c>
      <c r="J148" s="79">
        <f t="shared" si="72"/>
        <v>100</v>
      </c>
      <c r="K148" s="79">
        <f t="shared" si="65"/>
        <v>3003</v>
      </c>
      <c r="L148" s="78">
        <v>4</v>
      </c>
      <c r="O148" s="79">
        <v>3</v>
      </c>
      <c r="P148" s="79" t="s">
        <v>3527</v>
      </c>
      <c r="Q148" s="79">
        <v>530312800</v>
      </c>
      <c r="R148" s="79">
        <f t="shared" si="71"/>
        <v>530004</v>
      </c>
      <c r="T148" s="79" t="s">
        <v>3633</v>
      </c>
      <c r="U148" s="96" t="s">
        <v>3266</v>
      </c>
      <c r="V148" s="79" t="s">
        <v>3634</v>
      </c>
    </row>
    <row r="149" ht="15" spans="1:22">
      <c r="A149" s="79">
        <f t="shared" si="70"/>
        <v>530004</v>
      </c>
      <c r="B149" s="79">
        <v>3</v>
      </c>
      <c r="C149" s="79">
        <f t="shared" si="73"/>
        <v>5</v>
      </c>
      <c r="D149" s="79">
        <f t="shared" si="74"/>
        <v>5</v>
      </c>
      <c r="E149" s="79">
        <v>1</v>
      </c>
      <c r="F149" s="79" t="s">
        <v>3632</v>
      </c>
      <c r="G149" s="79" t="s">
        <v>3586</v>
      </c>
      <c r="H149" s="79">
        <v>1</v>
      </c>
      <c r="I149" s="79">
        <v>1</v>
      </c>
      <c r="J149" s="79">
        <f t="shared" si="72"/>
        <v>150</v>
      </c>
      <c r="K149" s="79">
        <f t="shared" si="65"/>
        <v>3004</v>
      </c>
      <c r="L149" s="78">
        <v>5</v>
      </c>
      <c r="O149" s="79">
        <v>4</v>
      </c>
      <c r="P149" s="79" t="s">
        <v>3527</v>
      </c>
      <c r="Q149" s="79">
        <v>728916000</v>
      </c>
      <c r="R149" s="79">
        <f t="shared" si="71"/>
        <v>530005</v>
      </c>
      <c r="T149" s="79" t="s">
        <v>3633</v>
      </c>
      <c r="U149" s="96" t="s">
        <v>3266</v>
      </c>
      <c r="V149" s="79" t="s">
        <v>3634</v>
      </c>
    </row>
    <row r="150" ht="15" spans="1:22">
      <c r="A150" s="79">
        <f t="shared" si="70"/>
        <v>530005</v>
      </c>
      <c r="B150" s="79">
        <v>3</v>
      </c>
      <c r="C150" s="79">
        <f t="shared" si="73"/>
        <v>5</v>
      </c>
      <c r="D150" s="79">
        <f t="shared" si="74"/>
        <v>5</v>
      </c>
      <c r="E150" s="79">
        <v>1</v>
      </c>
      <c r="F150" s="79" t="s">
        <v>3632</v>
      </c>
      <c r="G150" s="79" t="s">
        <v>3586</v>
      </c>
      <c r="H150" s="79">
        <v>0</v>
      </c>
      <c r="I150" s="79">
        <v>0</v>
      </c>
      <c r="J150" s="79">
        <f t="shared" si="72"/>
        <v>200</v>
      </c>
      <c r="K150" s="79">
        <f t="shared" si="65"/>
        <v>3005</v>
      </c>
      <c r="L150" s="78">
        <v>6</v>
      </c>
      <c r="O150" s="79">
        <v>5</v>
      </c>
      <c r="P150" s="79" t="s">
        <v>3527</v>
      </c>
      <c r="Q150" s="79">
        <v>1328951200</v>
      </c>
      <c r="R150" s="79">
        <f t="shared" si="71"/>
        <v>530006</v>
      </c>
      <c r="T150" s="79" t="s">
        <v>3633</v>
      </c>
      <c r="U150" s="96" t="s">
        <v>3266</v>
      </c>
      <c r="V150" s="79" t="s">
        <v>3634</v>
      </c>
    </row>
    <row r="151" ht="15" spans="1:22">
      <c r="A151" s="79">
        <f t="shared" si="70"/>
        <v>530006</v>
      </c>
      <c r="B151" s="79">
        <v>3</v>
      </c>
      <c r="C151" s="79">
        <f t="shared" si="73"/>
        <v>5</v>
      </c>
      <c r="D151" s="79">
        <f t="shared" si="74"/>
        <v>5</v>
      </c>
      <c r="E151" s="79">
        <v>2</v>
      </c>
      <c r="F151" s="79" t="s">
        <v>3635</v>
      </c>
      <c r="G151" s="79" t="s">
        <v>3636</v>
      </c>
      <c r="H151" s="79">
        <v>1</v>
      </c>
      <c r="I151" s="79">
        <v>1</v>
      </c>
      <c r="J151" s="79">
        <f t="shared" si="72"/>
        <v>250</v>
      </c>
      <c r="K151" s="79">
        <f t="shared" si="65"/>
        <v>3006</v>
      </c>
      <c r="L151" s="78">
        <v>7</v>
      </c>
      <c r="O151" s="79">
        <v>6</v>
      </c>
      <c r="P151" s="79" t="s">
        <v>3527</v>
      </c>
      <c r="Q151" s="79">
        <v>1912084000</v>
      </c>
      <c r="R151" s="79">
        <f t="shared" si="71"/>
        <v>530007</v>
      </c>
      <c r="T151" s="79" t="s">
        <v>3633</v>
      </c>
      <c r="U151" s="96" t="s">
        <v>3266</v>
      </c>
      <c r="V151" s="79" t="s">
        <v>3637</v>
      </c>
    </row>
    <row r="152" ht="15" spans="1:22">
      <c r="A152" s="79">
        <f t="shared" si="70"/>
        <v>530007</v>
      </c>
      <c r="B152" s="79">
        <v>3</v>
      </c>
      <c r="C152" s="79">
        <f t="shared" si="73"/>
        <v>5</v>
      </c>
      <c r="D152" s="79">
        <f t="shared" si="74"/>
        <v>5</v>
      </c>
      <c r="E152" s="79">
        <v>2</v>
      </c>
      <c r="F152" s="79" t="s">
        <v>3635</v>
      </c>
      <c r="G152" s="79" t="s">
        <v>3636</v>
      </c>
      <c r="H152" s="79">
        <v>1</v>
      </c>
      <c r="I152" s="79">
        <v>0</v>
      </c>
      <c r="J152" s="79">
        <f t="shared" si="72"/>
        <v>300</v>
      </c>
      <c r="K152" s="79">
        <f t="shared" si="65"/>
        <v>3007</v>
      </c>
      <c r="L152" s="78">
        <v>8</v>
      </c>
      <c r="O152" s="79">
        <v>7</v>
      </c>
      <c r="P152" s="79" t="s">
        <v>3527</v>
      </c>
      <c r="Q152" s="79">
        <v>3006514400</v>
      </c>
      <c r="R152" s="79">
        <f t="shared" si="71"/>
        <v>530008</v>
      </c>
      <c r="T152" s="79" t="s">
        <v>3633</v>
      </c>
      <c r="U152" s="96" t="s">
        <v>3266</v>
      </c>
      <c r="V152" s="79" t="s">
        <v>3637</v>
      </c>
    </row>
    <row r="153" ht="15" spans="1:22">
      <c r="A153" s="79">
        <f t="shared" si="70"/>
        <v>530008</v>
      </c>
      <c r="B153" s="79">
        <v>3</v>
      </c>
      <c r="C153" s="79">
        <f t="shared" si="73"/>
        <v>5</v>
      </c>
      <c r="D153" s="79">
        <f t="shared" si="74"/>
        <v>5</v>
      </c>
      <c r="E153" s="79">
        <v>2</v>
      </c>
      <c r="F153" s="79" t="s">
        <v>3635</v>
      </c>
      <c r="G153" s="79" t="s">
        <v>3636</v>
      </c>
      <c r="H153" s="79">
        <v>1</v>
      </c>
      <c r="I153" s="79">
        <v>1</v>
      </c>
      <c r="J153" s="79">
        <f t="shared" si="72"/>
        <v>350</v>
      </c>
      <c r="K153" s="79">
        <f t="shared" si="65"/>
        <v>3007</v>
      </c>
      <c r="L153" s="78">
        <v>8</v>
      </c>
      <c r="O153" s="79">
        <v>8</v>
      </c>
      <c r="P153" s="79" t="s">
        <v>3527</v>
      </c>
      <c r="Q153" s="79">
        <v>3473443200</v>
      </c>
      <c r="R153" s="79">
        <f t="shared" si="71"/>
        <v>530009</v>
      </c>
      <c r="T153" s="79" t="s">
        <v>3633</v>
      </c>
      <c r="U153" s="96" t="s">
        <v>3266</v>
      </c>
      <c r="V153" s="79" t="s">
        <v>3637</v>
      </c>
    </row>
    <row r="154" ht="15" spans="1:22">
      <c r="A154" s="79">
        <f t="shared" si="70"/>
        <v>530009</v>
      </c>
      <c r="B154" s="79">
        <v>3</v>
      </c>
      <c r="C154" s="79">
        <f t="shared" si="73"/>
        <v>5</v>
      </c>
      <c r="D154" s="79">
        <f t="shared" si="74"/>
        <v>5</v>
      </c>
      <c r="E154" s="79">
        <v>2</v>
      </c>
      <c r="F154" s="79" t="s">
        <v>3635</v>
      </c>
      <c r="G154" s="79" t="s">
        <v>3636</v>
      </c>
      <c r="H154" s="79">
        <v>0</v>
      </c>
      <c r="I154" s="79">
        <v>0</v>
      </c>
      <c r="J154" s="79">
        <f t="shared" si="72"/>
        <v>400</v>
      </c>
      <c r="K154" s="79">
        <f t="shared" si="65"/>
        <v>3008</v>
      </c>
      <c r="L154" s="78">
        <v>9</v>
      </c>
      <c r="O154" s="79">
        <v>9</v>
      </c>
      <c r="P154" s="79" t="s">
        <v>3527</v>
      </c>
      <c r="Q154" s="79">
        <v>6425024800</v>
      </c>
      <c r="R154" s="79">
        <f t="shared" si="71"/>
        <v>530010</v>
      </c>
      <c r="T154" s="79" t="s">
        <v>3633</v>
      </c>
      <c r="U154" s="96" t="s">
        <v>3266</v>
      </c>
      <c r="V154" s="79" t="s">
        <v>3637</v>
      </c>
    </row>
    <row r="155" ht="15" spans="1:22">
      <c r="A155" s="79">
        <f t="shared" si="70"/>
        <v>530010</v>
      </c>
      <c r="B155" s="79">
        <v>3</v>
      </c>
      <c r="C155" s="79">
        <f t="shared" si="73"/>
        <v>5</v>
      </c>
      <c r="D155" s="79">
        <f t="shared" si="74"/>
        <v>5</v>
      </c>
      <c r="E155" s="79">
        <v>3</v>
      </c>
      <c r="F155" s="79" t="s">
        <v>3638</v>
      </c>
      <c r="G155" s="79" t="s">
        <v>3639</v>
      </c>
      <c r="H155" s="79">
        <v>1</v>
      </c>
      <c r="I155" s="79">
        <v>0</v>
      </c>
      <c r="J155" s="79">
        <f t="shared" si="72"/>
        <v>450</v>
      </c>
      <c r="K155" s="79">
        <f t="shared" si="65"/>
        <v>0</v>
      </c>
      <c r="O155" s="79">
        <v>10</v>
      </c>
      <c r="P155" s="79" t="s">
        <v>3527</v>
      </c>
      <c r="R155" s="79">
        <f>A222</f>
        <v>440007</v>
      </c>
      <c r="T155" s="79" t="s">
        <v>3633</v>
      </c>
      <c r="U155" s="96" t="s">
        <v>3266</v>
      </c>
      <c r="V155" s="79" t="s">
        <v>3634</v>
      </c>
    </row>
    <row r="156" ht="16.5" customHeight="1" spans="1:41">
      <c r="A156" s="79">
        <f t="shared" si="70"/>
        <v>430001</v>
      </c>
      <c r="B156" s="79">
        <v>3</v>
      </c>
      <c r="C156" s="79">
        <v>4</v>
      </c>
      <c r="D156" s="79">
        <v>4</v>
      </c>
      <c r="E156" s="79">
        <v>1</v>
      </c>
      <c r="F156" s="79" t="s">
        <v>3640</v>
      </c>
      <c r="G156" s="79" t="s">
        <v>3594</v>
      </c>
      <c r="H156" s="79">
        <v>0</v>
      </c>
      <c r="K156" s="79">
        <f t="shared" si="65"/>
        <v>3002</v>
      </c>
      <c r="L156" s="78">
        <v>3</v>
      </c>
      <c r="O156" s="79">
        <v>1</v>
      </c>
      <c r="P156" s="79" t="s">
        <v>3536</v>
      </c>
      <c r="Q156" s="79">
        <v>386642400</v>
      </c>
      <c r="R156" s="79">
        <f t="shared" ref="R156:R164" si="75">A157</f>
        <v>430002</v>
      </c>
      <c r="T156" s="79" t="s">
        <v>3595</v>
      </c>
      <c r="V156" s="79" t="s">
        <v>3596</v>
      </c>
      <c r="AK156" s="79" t="s">
        <v>528</v>
      </c>
      <c r="AO156" s="79" t="s">
        <v>3497</v>
      </c>
    </row>
    <row r="157" ht="15" spans="1:22">
      <c r="A157" s="79">
        <f t="shared" si="70"/>
        <v>430002</v>
      </c>
      <c r="B157" s="79">
        <v>3</v>
      </c>
      <c r="C157" s="79">
        <f>C167+1</f>
        <v>4</v>
      </c>
      <c r="D157" s="79">
        <f>D167+1</f>
        <v>4</v>
      </c>
      <c r="E157" s="79">
        <v>2</v>
      </c>
      <c r="F157" s="79" t="s">
        <v>3640</v>
      </c>
      <c r="G157" s="79" t="s">
        <v>3594</v>
      </c>
      <c r="H157" s="79">
        <v>1</v>
      </c>
      <c r="I157" s="79">
        <v>1</v>
      </c>
      <c r="J157" s="79">
        <f t="shared" ref="J157:J165" si="76">$J$1*(O157-1)</f>
        <v>50</v>
      </c>
      <c r="K157" s="79">
        <f t="shared" si="65"/>
        <v>3003</v>
      </c>
      <c r="L157" s="78">
        <v>4</v>
      </c>
      <c r="O157" s="79">
        <v>2</v>
      </c>
      <c r="P157" s="79" t="s">
        <v>3536</v>
      </c>
      <c r="Q157" s="79">
        <v>572568800</v>
      </c>
      <c r="R157" s="79">
        <f t="shared" si="75"/>
        <v>430003</v>
      </c>
      <c r="T157" s="79" t="s">
        <v>3595</v>
      </c>
      <c r="V157" s="79" t="s">
        <v>3596</v>
      </c>
    </row>
    <row r="158" ht="15" spans="1:22">
      <c r="A158" s="79">
        <f t="shared" si="70"/>
        <v>430003</v>
      </c>
      <c r="B158" s="79">
        <v>3</v>
      </c>
      <c r="C158" s="79">
        <f t="shared" ref="C158:C165" si="77">C157</f>
        <v>4</v>
      </c>
      <c r="D158" s="79">
        <f t="shared" ref="D158:D165" si="78">D157</f>
        <v>4</v>
      </c>
      <c r="E158" s="79">
        <v>2</v>
      </c>
      <c r="F158" s="79" t="s">
        <v>3640</v>
      </c>
      <c r="G158" s="79" t="s">
        <v>3594</v>
      </c>
      <c r="H158" s="79">
        <v>1</v>
      </c>
      <c r="I158" s="79">
        <v>1</v>
      </c>
      <c r="J158" s="79">
        <f t="shared" si="76"/>
        <v>100</v>
      </c>
      <c r="K158" s="79">
        <f t="shared" si="65"/>
        <v>3004</v>
      </c>
      <c r="L158" s="78">
        <v>5</v>
      </c>
      <c r="O158" s="79">
        <v>3</v>
      </c>
      <c r="P158" s="79" t="s">
        <v>3536</v>
      </c>
      <c r="Q158" s="79">
        <v>750044000</v>
      </c>
      <c r="R158" s="79">
        <f t="shared" si="75"/>
        <v>430004</v>
      </c>
      <c r="T158" s="79" t="s">
        <v>3595</v>
      </c>
      <c r="V158" s="79" t="s">
        <v>3596</v>
      </c>
    </row>
    <row r="159" ht="15" spans="1:22">
      <c r="A159" s="79">
        <f t="shared" si="70"/>
        <v>430004</v>
      </c>
      <c r="B159" s="79">
        <v>3</v>
      </c>
      <c r="C159" s="79">
        <f t="shared" si="77"/>
        <v>4</v>
      </c>
      <c r="D159" s="79">
        <f t="shared" si="78"/>
        <v>4</v>
      </c>
      <c r="E159" s="79">
        <v>2</v>
      </c>
      <c r="F159" s="79" t="s">
        <v>3640</v>
      </c>
      <c r="G159" s="79" t="s">
        <v>3594</v>
      </c>
      <c r="H159" s="79">
        <v>1</v>
      </c>
      <c r="I159" s="79">
        <v>1</v>
      </c>
      <c r="J159" s="79">
        <f t="shared" si="76"/>
        <v>150</v>
      </c>
      <c r="K159" s="79">
        <f t="shared" si="65"/>
        <v>3005</v>
      </c>
      <c r="L159" s="78">
        <v>6</v>
      </c>
      <c r="O159" s="79">
        <v>4</v>
      </c>
      <c r="P159" s="79" t="s">
        <v>3536</v>
      </c>
      <c r="Q159" s="79">
        <v>1369094400</v>
      </c>
      <c r="R159" s="79">
        <f t="shared" si="75"/>
        <v>430005</v>
      </c>
      <c r="T159" s="79" t="s">
        <v>3595</v>
      </c>
      <c r="V159" s="79" t="s">
        <v>3596</v>
      </c>
    </row>
    <row r="160" ht="15" spans="1:22">
      <c r="A160" s="79">
        <f t="shared" si="70"/>
        <v>430005</v>
      </c>
      <c r="B160" s="79">
        <v>3</v>
      </c>
      <c r="C160" s="79">
        <f t="shared" si="77"/>
        <v>4</v>
      </c>
      <c r="D160" s="79">
        <f t="shared" si="78"/>
        <v>4</v>
      </c>
      <c r="E160" s="79">
        <v>2</v>
      </c>
      <c r="F160" s="79" t="s">
        <v>3640</v>
      </c>
      <c r="G160" s="79" t="s">
        <v>3594</v>
      </c>
      <c r="H160" s="79">
        <v>0</v>
      </c>
      <c r="I160" s="79">
        <v>0</v>
      </c>
      <c r="J160" s="79">
        <f t="shared" si="76"/>
        <v>200</v>
      </c>
      <c r="K160" s="79">
        <f t="shared" si="65"/>
        <v>3006</v>
      </c>
      <c r="L160" s="78">
        <v>7</v>
      </c>
      <c r="O160" s="79">
        <v>5</v>
      </c>
      <c r="P160" s="79" t="s">
        <v>3536</v>
      </c>
      <c r="Q160" s="79">
        <v>1994483200</v>
      </c>
      <c r="R160" s="79">
        <f t="shared" si="75"/>
        <v>430006</v>
      </c>
      <c r="T160" s="79" t="s">
        <v>3595</v>
      </c>
      <c r="V160" s="79" t="s">
        <v>3596</v>
      </c>
    </row>
    <row r="161" ht="15" spans="1:22">
      <c r="A161" s="79">
        <f t="shared" si="70"/>
        <v>430006</v>
      </c>
      <c r="B161" s="79">
        <v>3</v>
      </c>
      <c r="C161" s="79">
        <f t="shared" si="77"/>
        <v>4</v>
      </c>
      <c r="D161" s="79">
        <f t="shared" si="78"/>
        <v>4</v>
      </c>
      <c r="E161" s="79">
        <v>3</v>
      </c>
      <c r="F161" s="79" t="s">
        <v>3641</v>
      </c>
      <c r="G161" s="79" t="s">
        <v>3599</v>
      </c>
      <c r="H161" s="79">
        <v>1</v>
      </c>
      <c r="I161" s="79">
        <v>1</v>
      </c>
      <c r="J161" s="79">
        <f t="shared" si="76"/>
        <v>250</v>
      </c>
      <c r="K161" s="79">
        <f t="shared" si="65"/>
        <v>3007</v>
      </c>
      <c r="L161" s="78">
        <v>8</v>
      </c>
      <c r="O161" s="79">
        <v>6</v>
      </c>
      <c r="P161" s="79" t="s">
        <v>3536</v>
      </c>
      <c r="Q161" s="79">
        <v>3061447200</v>
      </c>
      <c r="R161" s="79">
        <f t="shared" si="75"/>
        <v>430007</v>
      </c>
      <c r="T161" s="79" t="s">
        <v>3595</v>
      </c>
      <c r="V161" s="79" t="s">
        <v>3596</v>
      </c>
    </row>
    <row r="162" ht="15" spans="1:22">
      <c r="A162" s="79">
        <f t="shared" si="70"/>
        <v>430007</v>
      </c>
      <c r="B162" s="79">
        <v>3</v>
      </c>
      <c r="C162" s="79">
        <f t="shared" si="77"/>
        <v>4</v>
      </c>
      <c r="D162" s="79">
        <f t="shared" si="78"/>
        <v>4</v>
      </c>
      <c r="E162" s="79">
        <v>3</v>
      </c>
      <c r="F162" s="79" t="s">
        <v>3641</v>
      </c>
      <c r="G162" s="79" t="s">
        <v>3599</v>
      </c>
      <c r="H162" s="79">
        <v>1</v>
      </c>
      <c r="I162" s="79">
        <v>0</v>
      </c>
      <c r="J162" s="79">
        <f t="shared" si="76"/>
        <v>300</v>
      </c>
      <c r="K162" s="79">
        <f t="shared" si="65"/>
        <v>3008</v>
      </c>
      <c r="L162" s="78">
        <v>9</v>
      </c>
      <c r="O162" s="79">
        <v>7</v>
      </c>
      <c r="P162" s="79" t="s">
        <v>3536</v>
      </c>
      <c r="Q162" s="79">
        <v>4544632800</v>
      </c>
      <c r="R162" s="79">
        <f t="shared" si="75"/>
        <v>430008</v>
      </c>
      <c r="T162" s="79" t="s">
        <v>3595</v>
      </c>
      <c r="V162" s="79" t="s">
        <v>3596</v>
      </c>
    </row>
    <row r="163" ht="15" spans="1:22">
      <c r="A163" s="79">
        <f t="shared" si="70"/>
        <v>430008</v>
      </c>
      <c r="B163" s="79">
        <v>3</v>
      </c>
      <c r="C163" s="79">
        <f t="shared" si="77"/>
        <v>4</v>
      </c>
      <c r="D163" s="79">
        <f t="shared" si="78"/>
        <v>4</v>
      </c>
      <c r="E163" s="79">
        <v>3</v>
      </c>
      <c r="F163" s="79" t="s">
        <v>3641</v>
      </c>
      <c r="G163" s="79" t="s">
        <v>3599</v>
      </c>
      <c r="H163" s="79">
        <v>1</v>
      </c>
      <c r="I163" s="79">
        <v>1</v>
      </c>
      <c r="J163" s="79">
        <f t="shared" si="76"/>
        <v>350</v>
      </c>
      <c r="K163" s="79">
        <f t="shared" si="65"/>
        <v>3008</v>
      </c>
      <c r="L163" s="78">
        <v>9</v>
      </c>
      <c r="O163" s="79">
        <v>8</v>
      </c>
      <c r="P163" s="79" t="s">
        <v>3536</v>
      </c>
      <c r="Q163" s="79">
        <v>6648981600</v>
      </c>
      <c r="R163" s="79">
        <f t="shared" si="75"/>
        <v>430009</v>
      </c>
      <c r="T163" s="79" t="s">
        <v>3595</v>
      </c>
      <c r="V163" s="79" t="s">
        <v>3596</v>
      </c>
    </row>
    <row r="164" ht="15" spans="1:22">
      <c r="A164" s="79">
        <f t="shared" si="70"/>
        <v>430009</v>
      </c>
      <c r="B164" s="79">
        <v>3</v>
      </c>
      <c r="C164" s="79">
        <f t="shared" si="77"/>
        <v>4</v>
      </c>
      <c r="D164" s="79">
        <f t="shared" si="78"/>
        <v>4</v>
      </c>
      <c r="E164" s="79">
        <v>3</v>
      </c>
      <c r="F164" s="79" t="s">
        <v>3641</v>
      </c>
      <c r="G164" s="79" t="s">
        <v>3599</v>
      </c>
      <c r="H164" s="79">
        <v>0</v>
      </c>
      <c r="I164" s="79">
        <v>0</v>
      </c>
      <c r="J164" s="79">
        <f t="shared" si="76"/>
        <v>400</v>
      </c>
      <c r="K164" s="79">
        <f t="shared" si="65"/>
        <v>3009</v>
      </c>
      <c r="L164" s="78">
        <v>10</v>
      </c>
      <c r="O164" s="79">
        <v>9</v>
      </c>
      <c r="P164" s="79" t="s">
        <v>3536</v>
      </c>
      <c r="Q164" s="79">
        <v>7449732800</v>
      </c>
      <c r="R164" s="79">
        <f t="shared" si="75"/>
        <v>430010</v>
      </c>
      <c r="T164" s="79" t="s">
        <v>3595</v>
      </c>
      <c r="V164" s="79" t="s">
        <v>3596</v>
      </c>
    </row>
    <row r="165" spans="1:22">
      <c r="A165" s="79">
        <f t="shared" si="70"/>
        <v>430010</v>
      </c>
      <c r="B165" s="79">
        <v>3</v>
      </c>
      <c r="C165" s="79">
        <f t="shared" si="77"/>
        <v>4</v>
      </c>
      <c r="D165" s="79">
        <f t="shared" si="78"/>
        <v>4</v>
      </c>
      <c r="E165" s="79">
        <v>4</v>
      </c>
      <c r="F165" s="79" t="s">
        <v>3642</v>
      </c>
      <c r="G165" s="79" t="s">
        <v>3600</v>
      </c>
      <c r="H165" s="79">
        <v>1</v>
      </c>
      <c r="I165" s="79">
        <v>0</v>
      </c>
      <c r="J165" s="79">
        <f t="shared" si="76"/>
        <v>450</v>
      </c>
      <c r="K165" s="79">
        <f t="shared" si="65"/>
        <v>0</v>
      </c>
      <c r="O165" s="79">
        <v>10</v>
      </c>
      <c r="P165" s="79" t="s">
        <v>3536</v>
      </c>
      <c r="R165" s="79">
        <f>A213</f>
        <v>540008</v>
      </c>
      <c r="T165" s="79" t="s">
        <v>3595</v>
      </c>
      <c r="V165" s="79" t="s">
        <v>3596</v>
      </c>
    </row>
    <row r="166" ht="16.5" customHeight="1" spans="1:41">
      <c r="A166" s="79">
        <f t="shared" ref="A166:A175" si="79">C166*100000+B166*10000+O166</f>
        <v>330001</v>
      </c>
      <c r="B166" s="79">
        <v>3</v>
      </c>
      <c r="C166" s="79">
        <v>3</v>
      </c>
      <c r="D166" s="79">
        <v>3</v>
      </c>
      <c r="E166" s="79">
        <v>1</v>
      </c>
      <c r="F166" s="79" t="s">
        <v>3643</v>
      </c>
      <c r="G166" s="79" t="s">
        <v>3644</v>
      </c>
      <c r="H166" s="79">
        <v>0</v>
      </c>
      <c r="K166" s="79">
        <f t="shared" si="65"/>
        <v>3003</v>
      </c>
      <c r="L166" s="78">
        <v>4</v>
      </c>
      <c r="O166" s="79">
        <v>1</v>
      </c>
      <c r="P166" s="79" t="s">
        <v>3545</v>
      </c>
      <c r="Q166" s="79">
        <v>595809600</v>
      </c>
      <c r="R166" s="79">
        <f t="shared" ref="R166:R174" si="80">A167</f>
        <v>330002</v>
      </c>
      <c r="T166" s="79" t="s">
        <v>3172</v>
      </c>
      <c r="V166" s="79" t="s">
        <v>3603</v>
      </c>
      <c r="AK166" s="79" t="s">
        <v>528</v>
      </c>
      <c r="AO166" s="79" t="s">
        <v>3497</v>
      </c>
    </row>
    <row r="167" ht="15" spans="1:22">
      <c r="A167" s="79">
        <f t="shared" si="79"/>
        <v>330002</v>
      </c>
      <c r="B167" s="79">
        <v>3</v>
      </c>
      <c r="C167" s="79">
        <f>C127+1</f>
        <v>3</v>
      </c>
      <c r="D167" s="79">
        <f>D127+1</f>
        <v>3</v>
      </c>
      <c r="E167" s="79">
        <v>2</v>
      </c>
      <c r="F167" s="79" t="s">
        <v>3643</v>
      </c>
      <c r="G167" s="79" t="s">
        <v>3644</v>
      </c>
      <c r="H167" s="79">
        <v>1</v>
      </c>
      <c r="I167" s="79">
        <v>1</v>
      </c>
      <c r="J167" s="79">
        <f t="shared" ref="J167:J175" si="81">$J$1*(O167-1)</f>
        <v>50</v>
      </c>
      <c r="K167" s="79">
        <f t="shared" ref="K167:K185" si="82">IF(L167=0,0,B167*1000+L167-1)</f>
        <v>3004</v>
      </c>
      <c r="L167" s="78">
        <v>5</v>
      </c>
      <c r="O167" s="79">
        <v>2</v>
      </c>
      <c r="P167" s="79" t="s">
        <v>3545</v>
      </c>
      <c r="Q167" s="79">
        <v>771172000</v>
      </c>
      <c r="R167" s="79">
        <f t="shared" si="80"/>
        <v>330003</v>
      </c>
      <c r="T167" s="79" t="s">
        <v>3172</v>
      </c>
      <c r="V167" s="79" t="s">
        <v>3603</v>
      </c>
    </row>
    <row r="168" ht="15" spans="1:22">
      <c r="A168" s="79">
        <f t="shared" si="79"/>
        <v>330003</v>
      </c>
      <c r="B168" s="79">
        <v>3</v>
      </c>
      <c r="C168" s="79">
        <f t="shared" ref="C168:C175" si="83">C167</f>
        <v>3</v>
      </c>
      <c r="D168" s="79">
        <f t="shared" ref="D168:D175" si="84">D167</f>
        <v>3</v>
      </c>
      <c r="E168" s="79">
        <v>2</v>
      </c>
      <c r="F168" s="79" t="s">
        <v>3643</v>
      </c>
      <c r="G168" s="79" t="s">
        <v>3644</v>
      </c>
      <c r="H168" s="79">
        <v>1</v>
      </c>
      <c r="I168" s="79">
        <v>1</v>
      </c>
      <c r="J168" s="79">
        <f t="shared" si="81"/>
        <v>100</v>
      </c>
      <c r="K168" s="79">
        <f t="shared" si="82"/>
        <v>3005</v>
      </c>
      <c r="L168" s="78">
        <v>6</v>
      </c>
      <c r="O168" s="79">
        <v>3</v>
      </c>
      <c r="P168" s="79" t="s">
        <v>3545</v>
      </c>
      <c r="Q168" s="79">
        <v>1711368000</v>
      </c>
      <c r="R168" s="79">
        <f t="shared" si="80"/>
        <v>330004</v>
      </c>
      <c r="T168" s="79" t="s">
        <v>3172</v>
      </c>
      <c r="V168" s="79" t="s">
        <v>3603</v>
      </c>
    </row>
    <row r="169" ht="15" spans="1:22">
      <c r="A169" s="79">
        <f t="shared" si="79"/>
        <v>330004</v>
      </c>
      <c r="B169" s="79">
        <v>3</v>
      </c>
      <c r="C169" s="79">
        <f t="shared" si="83"/>
        <v>3</v>
      </c>
      <c r="D169" s="79">
        <f t="shared" si="84"/>
        <v>3</v>
      </c>
      <c r="E169" s="79">
        <v>2</v>
      </c>
      <c r="F169" s="79" t="s">
        <v>3643</v>
      </c>
      <c r="G169" s="79" t="s">
        <v>3644</v>
      </c>
      <c r="H169" s="79">
        <v>1</v>
      </c>
      <c r="I169" s="79">
        <v>1</v>
      </c>
      <c r="J169" s="79">
        <f t="shared" si="81"/>
        <v>150</v>
      </c>
      <c r="K169" s="79">
        <f t="shared" si="82"/>
        <v>3006</v>
      </c>
      <c r="L169" s="78">
        <v>7</v>
      </c>
      <c r="O169" s="79">
        <v>4</v>
      </c>
      <c r="P169" s="79" t="s">
        <v>3545</v>
      </c>
      <c r="Q169" s="79">
        <v>2034626400</v>
      </c>
      <c r="R169" s="79">
        <f t="shared" si="80"/>
        <v>330005</v>
      </c>
      <c r="T169" s="79" t="s">
        <v>3172</v>
      </c>
      <c r="V169" s="79" t="s">
        <v>3603</v>
      </c>
    </row>
    <row r="170" ht="15" spans="1:22">
      <c r="A170" s="79">
        <f t="shared" si="79"/>
        <v>330005</v>
      </c>
      <c r="B170" s="79">
        <v>3</v>
      </c>
      <c r="C170" s="79">
        <f t="shared" si="83"/>
        <v>3</v>
      </c>
      <c r="D170" s="79">
        <f t="shared" si="84"/>
        <v>3</v>
      </c>
      <c r="E170" s="79">
        <v>2</v>
      </c>
      <c r="F170" s="79" t="s">
        <v>3643</v>
      </c>
      <c r="G170" s="79" t="s">
        <v>3644</v>
      </c>
      <c r="H170" s="79">
        <v>0</v>
      </c>
      <c r="I170" s="79">
        <v>0</v>
      </c>
      <c r="J170" s="79">
        <f t="shared" si="81"/>
        <v>200</v>
      </c>
      <c r="K170" s="79">
        <f t="shared" si="82"/>
        <v>3007</v>
      </c>
      <c r="L170" s="78">
        <v>8</v>
      </c>
      <c r="O170" s="79">
        <v>5</v>
      </c>
      <c r="P170" s="79" t="s">
        <v>3545</v>
      </c>
      <c r="Q170" s="79">
        <v>3179764000</v>
      </c>
      <c r="R170" s="79">
        <f t="shared" si="80"/>
        <v>330006</v>
      </c>
      <c r="T170" s="79" t="s">
        <v>3172</v>
      </c>
      <c r="V170" s="79" t="s">
        <v>3603</v>
      </c>
    </row>
    <row r="171" ht="15" spans="1:22">
      <c r="A171" s="79">
        <f t="shared" si="79"/>
        <v>330006</v>
      </c>
      <c r="B171" s="79">
        <v>3</v>
      </c>
      <c r="C171" s="79">
        <f t="shared" si="83"/>
        <v>3</v>
      </c>
      <c r="D171" s="79">
        <f t="shared" si="84"/>
        <v>3</v>
      </c>
      <c r="E171" s="79">
        <v>3</v>
      </c>
      <c r="F171" s="79" t="s">
        <v>3645</v>
      </c>
      <c r="G171" s="79" t="s">
        <v>3644</v>
      </c>
      <c r="H171" s="79">
        <v>1</v>
      </c>
      <c r="I171" s="79">
        <v>1</v>
      </c>
      <c r="J171" s="79">
        <f t="shared" si="81"/>
        <v>250</v>
      </c>
      <c r="K171" s="79">
        <f t="shared" si="82"/>
        <v>3008</v>
      </c>
      <c r="L171" s="78">
        <v>9</v>
      </c>
      <c r="O171" s="79">
        <v>6</v>
      </c>
      <c r="P171" s="79" t="s">
        <v>3545</v>
      </c>
      <c r="Q171" s="79">
        <v>4732672000</v>
      </c>
      <c r="R171" s="79">
        <f t="shared" si="80"/>
        <v>330007</v>
      </c>
      <c r="T171" s="79" t="s">
        <v>3172</v>
      </c>
      <c r="V171" s="79" t="s">
        <v>3603</v>
      </c>
    </row>
    <row r="172" ht="15" spans="1:22">
      <c r="A172" s="79">
        <f t="shared" si="79"/>
        <v>330007</v>
      </c>
      <c r="B172" s="79">
        <v>3</v>
      </c>
      <c r="C172" s="79">
        <f t="shared" si="83"/>
        <v>3</v>
      </c>
      <c r="D172" s="79">
        <f t="shared" si="84"/>
        <v>3</v>
      </c>
      <c r="E172" s="79">
        <v>3</v>
      </c>
      <c r="F172" s="79" t="s">
        <v>3645</v>
      </c>
      <c r="G172" s="79" t="s">
        <v>3644</v>
      </c>
      <c r="H172" s="79">
        <v>1</v>
      </c>
      <c r="I172" s="79">
        <v>0</v>
      </c>
      <c r="J172" s="79">
        <f t="shared" si="81"/>
        <v>300</v>
      </c>
      <c r="K172" s="79">
        <f t="shared" si="82"/>
        <v>3008</v>
      </c>
      <c r="L172" s="78">
        <v>9</v>
      </c>
      <c r="O172" s="79">
        <v>7</v>
      </c>
      <c r="P172" s="79" t="s">
        <v>3545</v>
      </c>
      <c r="Q172" s="79">
        <v>6773636800</v>
      </c>
      <c r="R172" s="79">
        <f t="shared" si="80"/>
        <v>330008</v>
      </c>
      <c r="T172" s="79" t="s">
        <v>3172</v>
      </c>
      <c r="V172" s="79" t="s">
        <v>3603</v>
      </c>
    </row>
    <row r="173" ht="15" spans="1:22">
      <c r="A173" s="79">
        <f t="shared" si="79"/>
        <v>330008</v>
      </c>
      <c r="B173" s="79">
        <v>3</v>
      </c>
      <c r="C173" s="79">
        <f t="shared" si="83"/>
        <v>3</v>
      </c>
      <c r="D173" s="79">
        <f t="shared" si="84"/>
        <v>3</v>
      </c>
      <c r="E173" s="79">
        <v>3</v>
      </c>
      <c r="F173" s="79" t="s">
        <v>3645</v>
      </c>
      <c r="G173" s="79" t="s">
        <v>3644</v>
      </c>
      <c r="H173" s="79">
        <v>1</v>
      </c>
      <c r="I173" s="79">
        <v>1</v>
      </c>
      <c r="J173" s="79">
        <f t="shared" si="81"/>
        <v>350</v>
      </c>
      <c r="K173" s="79">
        <f t="shared" si="82"/>
        <v>3009</v>
      </c>
      <c r="L173" s="78">
        <v>10</v>
      </c>
      <c r="O173" s="79">
        <v>8</v>
      </c>
      <c r="P173" s="79" t="s">
        <v>3545</v>
      </c>
      <c r="Q173" s="79">
        <v>7654674400</v>
      </c>
      <c r="R173" s="79">
        <f t="shared" si="80"/>
        <v>330009</v>
      </c>
      <c r="T173" s="79" t="s">
        <v>3172</v>
      </c>
      <c r="V173" s="79" t="s">
        <v>3603</v>
      </c>
    </row>
    <row r="174" ht="15" spans="1:22">
      <c r="A174" s="79">
        <f t="shared" si="79"/>
        <v>330009</v>
      </c>
      <c r="B174" s="79">
        <v>3</v>
      </c>
      <c r="C174" s="79">
        <f t="shared" si="83"/>
        <v>3</v>
      </c>
      <c r="D174" s="79">
        <f t="shared" si="84"/>
        <v>3</v>
      </c>
      <c r="E174" s="79">
        <v>3</v>
      </c>
      <c r="F174" s="79" t="s">
        <v>3645</v>
      </c>
      <c r="G174" s="79" t="s">
        <v>3644</v>
      </c>
      <c r="H174" s="79">
        <v>0</v>
      </c>
      <c r="I174" s="79">
        <v>0</v>
      </c>
      <c r="J174" s="79">
        <f t="shared" si="81"/>
        <v>400</v>
      </c>
      <c r="K174" s="79">
        <f t="shared" si="82"/>
        <v>3009</v>
      </c>
      <c r="L174" s="78">
        <v>10</v>
      </c>
      <c r="O174" s="79">
        <v>9</v>
      </c>
      <c r="P174" s="79" t="s">
        <v>3545</v>
      </c>
      <c r="Q174" s="79">
        <v>8465989600</v>
      </c>
      <c r="R174" s="79">
        <f t="shared" si="80"/>
        <v>330010</v>
      </c>
      <c r="T174" s="79" t="s">
        <v>3172</v>
      </c>
      <c r="V174" s="79" t="s">
        <v>3603</v>
      </c>
    </row>
    <row r="175" spans="1:22">
      <c r="A175" s="79">
        <f t="shared" si="79"/>
        <v>330010</v>
      </c>
      <c r="B175" s="79">
        <v>3</v>
      </c>
      <c r="C175" s="79">
        <f t="shared" si="83"/>
        <v>3</v>
      </c>
      <c r="D175" s="79">
        <f t="shared" si="84"/>
        <v>3</v>
      </c>
      <c r="E175" s="79">
        <v>4</v>
      </c>
      <c r="F175" s="79" t="s">
        <v>3646</v>
      </c>
      <c r="G175" s="79" t="s">
        <v>3647</v>
      </c>
      <c r="H175" s="79">
        <v>1</v>
      </c>
      <c r="I175" s="79">
        <v>0</v>
      </c>
      <c r="J175" s="79">
        <f t="shared" si="81"/>
        <v>450</v>
      </c>
      <c r="K175" s="79">
        <f t="shared" si="82"/>
        <v>0</v>
      </c>
      <c r="O175" s="79">
        <v>10</v>
      </c>
      <c r="P175" s="79" t="s">
        <v>3545</v>
      </c>
      <c r="R175" s="79">
        <f>A204</f>
        <v>140009</v>
      </c>
      <c r="T175" s="79" t="s">
        <v>3172</v>
      </c>
      <c r="V175" s="79" t="s">
        <v>3603</v>
      </c>
    </row>
    <row r="176" ht="16.5" customHeight="1" spans="1:41">
      <c r="A176" s="79">
        <f t="shared" ref="A176:A239" si="85">C176*100000+B176*10000+O176</f>
        <v>630001</v>
      </c>
      <c r="B176" s="79">
        <v>3</v>
      </c>
      <c r="C176" s="79">
        <v>6</v>
      </c>
      <c r="D176" s="79">
        <v>6</v>
      </c>
      <c r="E176" s="79">
        <v>1</v>
      </c>
      <c r="F176" s="79" t="s">
        <v>3648</v>
      </c>
      <c r="G176" s="79" t="s">
        <v>3649</v>
      </c>
      <c r="H176" s="79">
        <v>1</v>
      </c>
      <c r="K176" s="79">
        <f t="shared" si="82"/>
        <v>3004</v>
      </c>
      <c r="L176" s="78">
        <v>5</v>
      </c>
      <c r="O176" s="79">
        <v>1</v>
      </c>
      <c r="P176" s="79" t="s">
        <v>3554</v>
      </c>
      <c r="Q176" s="79">
        <v>1170491200</v>
      </c>
      <c r="R176" s="79">
        <f t="shared" ref="R176:R184" si="86">A177</f>
        <v>630002</v>
      </c>
      <c r="T176" s="79" t="s">
        <v>3650</v>
      </c>
      <c r="V176" s="79" t="s">
        <v>3651</v>
      </c>
      <c r="AK176" s="79" t="s">
        <v>528</v>
      </c>
      <c r="AO176" s="79" t="s">
        <v>3497</v>
      </c>
    </row>
    <row r="177" ht="15" spans="1:22">
      <c r="A177" s="79">
        <f t="shared" si="85"/>
        <v>630002</v>
      </c>
      <c r="B177" s="79">
        <v>3</v>
      </c>
      <c r="C177" s="79">
        <f>C147+1</f>
        <v>6</v>
      </c>
      <c r="D177" s="79">
        <v>6</v>
      </c>
      <c r="E177" s="79">
        <v>1</v>
      </c>
      <c r="F177" s="79" t="s">
        <v>3648</v>
      </c>
      <c r="G177" s="79" t="s">
        <v>3649</v>
      </c>
      <c r="H177" s="79">
        <v>1</v>
      </c>
      <c r="I177" s="79">
        <v>1</v>
      </c>
      <c r="J177" s="79">
        <f t="shared" ref="J177:J185" si="87">$J$1*(O177-1)</f>
        <v>50</v>
      </c>
      <c r="K177" s="79">
        <f t="shared" si="82"/>
        <v>3005</v>
      </c>
      <c r="L177" s="78">
        <v>6</v>
      </c>
      <c r="O177" s="79">
        <v>2</v>
      </c>
      <c r="P177" s="79" t="s">
        <v>3554</v>
      </c>
      <c r="Q177" s="79">
        <v>1751511200</v>
      </c>
      <c r="R177" s="79">
        <f t="shared" si="86"/>
        <v>630003</v>
      </c>
      <c r="T177" s="79" t="s">
        <v>3650</v>
      </c>
      <c r="V177" s="79" t="s">
        <v>3651</v>
      </c>
    </row>
    <row r="178" ht="15" spans="1:22">
      <c r="A178" s="79">
        <f t="shared" si="85"/>
        <v>630003</v>
      </c>
      <c r="B178" s="79">
        <v>3</v>
      </c>
      <c r="C178" s="79">
        <f t="shared" ref="C178:C185" si="88">C177</f>
        <v>6</v>
      </c>
      <c r="D178" s="79">
        <v>6</v>
      </c>
      <c r="E178" s="79">
        <v>1</v>
      </c>
      <c r="F178" s="79" t="s">
        <v>3648</v>
      </c>
      <c r="G178" s="79" t="s">
        <v>3649</v>
      </c>
      <c r="H178" s="79">
        <v>1</v>
      </c>
      <c r="I178" s="79">
        <v>1</v>
      </c>
      <c r="J178" s="79">
        <f t="shared" si="87"/>
        <v>100</v>
      </c>
      <c r="K178" s="79">
        <f t="shared" si="82"/>
        <v>3006</v>
      </c>
      <c r="L178" s="78">
        <v>7</v>
      </c>
      <c r="O178" s="79">
        <v>3</v>
      </c>
      <c r="P178" s="79" t="s">
        <v>3554</v>
      </c>
      <c r="Q178" s="79">
        <v>2121251200</v>
      </c>
      <c r="R178" s="79">
        <f t="shared" si="86"/>
        <v>630004</v>
      </c>
      <c r="T178" s="79" t="s">
        <v>3650</v>
      </c>
      <c r="V178" s="79" t="s">
        <v>3651</v>
      </c>
    </row>
    <row r="179" ht="15" spans="1:22">
      <c r="A179" s="79">
        <f t="shared" si="85"/>
        <v>630004</v>
      </c>
      <c r="B179" s="79">
        <v>3</v>
      </c>
      <c r="C179" s="79">
        <f t="shared" si="88"/>
        <v>6</v>
      </c>
      <c r="D179" s="79">
        <v>6</v>
      </c>
      <c r="E179" s="79">
        <v>1</v>
      </c>
      <c r="F179" s="79" t="s">
        <v>3648</v>
      </c>
      <c r="G179" s="79" t="s">
        <v>3649</v>
      </c>
      <c r="H179" s="79">
        <v>1</v>
      </c>
      <c r="I179" s="79">
        <v>1</v>
      </c>
      <c r="J179" s="79">
        <f t="shared" si="87"/>
        <v>150</v>
      </c>
      <c r="K179" s="79">
        <f t="shared" si="82"/>
        <v>3007</v>
      </c>
      <c r="L179" s="78">
        <v>8</v>
      </c>
      <c r="O179" s="79">
        <v>4</v>
      </c>
      <c r="P179" s="79" t="s">
        <v>3554</v>
      </c>
      <c r="Q179" s="79">
        <v>3236809600</v>
      </c>
      <c r="R179" s="79">
        <f t="shared" si="86"/>
        <v>630005</v>
      </c>
      <c r="T179" s="79" t="s">
        <v>3650</v>
      </c>
      <c r="V179" s="79" t="s">
        <v>3651</v>
      </c>
    </row>
    <row r="180" ht="15" spans="1:22">
      <c r="A180" s="79">
        <f t="shared" si="85"/>
        <v>630005</v>
      </c>
      <c r="B180" s="79">
        <v>3</v>
      </c>
      <c r="C180" s="79">
        <f t="shared" si="88"/>
        <v>6</v>
      </c>
      <c r="D180" s="79">
        <v>6</v>
      </c>
      <c r="E180" s="79">
        <v>1</v>
      </c>
      <c r="F180" s="79" t="s">
        <v>3648</v>
      </c>
      <c r="G180" s="79" t="s">
        <v>3649</v>
      </c>
      <c r="H180" s="79">
        <v>0</v>
      </c>
      <c r="I180" s="79">
        <v>0</v>
      </c>
      <c r="J180" s="79">
        <f t="shared" si="87"/>
        <v>200</v>
      </c>
      <c r="K180" s="79">
        <f t="shared" si="82"/>
        <v>3008</v>
      </c>
      <c r="L180" s="78">
        <v>9</v>
      </c>
      <c r="O180" s="79">
        <v>5</v>
      </c>
      <c r="P180" s="79" t="s">
        <v>3554</v>
      </c>
      <c r="Q180" s="79">
        <v>4829860800</v>
      </c>
      <c r="R180" s="79">
        <f t="shared" si="86"/>
        <v>630006</v>
      </c>
      <c r="T180" s="79" t="s">
        <v>3650</v>
      </c>
      <c r="V180" s="79" t="s">
        <v>3651</v>
      </c>
    </row>
    <row r="181" ht="15" spans="1:22">
      <c r="A181" s="79">
        <f t="shared" si="85"/>
        <v>630006</v>
      </c>
      <c r="B181" s="79">
        <v>3</v>
      </c>
      <c r="C181" s="79">
        <f t="shared" si="88"/>
        <v>6</v>
      </c>
      <c r="D181" s="79">
        <v>6</v>
      </c>
      <c r="E181" s="79">
        <v>2</v>
      </c>
      <c r="F181" s="79" t="s">
        <v>3652</v>
      </c>
      <c r="G181" s="79" t="s">
        <v>3653</v>
      </c>
      <c r="H181" s="79">
        <v>1</v>
      </c>
      <c r="I181" s="79">
        <v>1</v>
      </c>
      <c r="J181" s="79">
        <f t="shared" si="87"/>
        <v>250</v>
      </c>
      <c r="K181" s="79">
        <f t="shared" si="82"/>
        <v>3009</v>
      </c>
      <c r="L181" s="78">
        <v>10</v>
      </c>
      <c r="O181" s="79">
        <v>6</v>
      </c>
      <c r="P181" s="79" t="s">
        <v>3554</v>
      </c>
      <c r="Q181" s="79">
        <v>6864487200</v>
      </c>
      <c r="R181" s="79">
        <f t="shared" si="86"/>
        <v>630007</v>
      </c>
      <c r="T181" s="79" t="s">
        <v>3650</v>
      </c>
      <c r="V181" s="79" t="s">
        <v>3651</v>
      </c>
    </row>
    <row r="182" ht="15" spans="1:22">
      <c r="A182" s="79">
        <f t="shared" si="85"/>
        <v>630007</v>
      </c>
      <c r="B182" s="79">
        <v>3</v>
      </c>
      <c r="C182" s="79">
        <f t="shared" si="88"/>
        <v>6</v>
      </c>
      <c r="D182" s="79">
        <v>6</v>
      </c>
      <c r="E182" s="79">
        <v>2</v>
      </c>
      <c r="F182" s="79" t="s">
        <v>3652</v>
      </c>
      <c r="G182" s="79" t="s">
        <v>3653</v>
      </c>
      <c r="H182" s="79">
        <v>1</v>
      </c>
      <c r="I182" s="79">
        <v>0</v>
      </c>
      <c r="J182" s="79">
        <f t="shared" si="87"/>
        <v>300</v>
      </c>
      <c r="K182" s="79">
        <f t="shared" si="82"/>
        <v>3009</v>
      </c>
      <c r="L182" s="78">
        <v>10</v>
      </c>
      <c r="O182" s="79">
        <v>7</v>
      </c>
      <c r="P182" s="79" t="s">
        <v>3554</v>
      </c>
      <c r="Q182" s="79">
        <v>7749750400</v>
      </c>
      <c r="R182" s="79">
        <f t="shared" si="86"/>
        <v>630008</v>
      </c>
      <c r="T182" s="79" t="s">
        <v>3650</v>
      </c>
      <c r="V182" s="79" t="s">
        <v>3651</v>
      </c>
    </row>
    <row r="183" ht="15" spans="1:22">
      <c r="A183" s="79">
        <f t="shared" si="85"/>
        <v>630008</v>
      </c>
      <c r="B183" s="79">
        <v>3</v>
      </c>
      <c r="C183" s="79">
        <f t="shared" si="88"/>
        <v>6</v>
      </c>
      <c r="D183" s="79">
        <v>6</v>
      </c>
      <c r="E183" s="79">
        <v>2</v>
      </c>
      <c r="F183" s="79" t="s">
        <v>3652</v>
      </c>
      <c r="G183" s="79" t="s">
        <v>3653</v>
      </c>
      <c r="H183" s="79">
        <v>1</v>
      </c>
      <c r="I183" s="79">
        <v>1</v>
      </c>
      <c r="J183" s="79">
        <f t="shared" si="87"/>
        <v>350</v>
      </c>
      <c r="K183" s="79">
        <f t="shared" si="82"/>
        <v>3009</v>
      </c>
      <c r="L183" s="78">
        <v>10</v>
      </c>
      <c r="O183" s="79">
        <v>8</v>
      </c>
      <c r="P183" s="79" t="s">
        <v>3554</v>
      </c>
      <c r="Q183" s="79">
        <v>8685720800</v>
      </c>
      <c r="R183" s="79">
        <f t="shared" si="86"/>
        <v>630009</v>
      </c>
      <c r="T183" s="79" t="s">
        <v>3650</v>
      </c>
      <c r="V183" s="79" t="s">
        <v>3651</v>
      </c>
    </row>
    <row r="184" ht="15" spans="1:22">
      <c r="A184" s="79">
        <f t="shared" si="85"/>
        <v>630009</v>
      </c>
      <c r="B184" s="79">
        <v>3</v>
      </c>
      <c r="C184" s="79">
        <f t="shared" si="88"/>
        <v>6</v>
      </c>
      <c r="D184" s="79">
        <v>6</v>
      </c>
      <c r="E184" s="79">
        <v>2</v>
      </c>
      <c r="F184" s="79" t="s">
        <v>3652</v>
      </c>
      <c r="G184" s="79" t="s">
        <v>3653</v>
      </c>
      <c r="H184" s="79">
        <v>0</v>
      </c>
      <c r="I184" s="79">
        <v>0</v>
      </c>
      <c r="J184" s="79">
        <f t="shared" si="87"/>
        <v>400</v>
      </c>
      <c r="K184" s="79">
        <f t="shared" si="82"/>
        <v>3009</v>
      </c>
      <c r="L184" s="78">
        <v>10</v>
      </c>
      <c r="O184" s="79">
        <v>9</v>
      </c>
      <c r="P184" s="79" t="s">
        <v>3554</v>
      </c>
      <c r="Q184" s="79">
        <v>11662656000</v>
      </c>
      <c r="R184" s="79">
        <f t="shared" si="86"/>
        <v>630010</v>
      </c>
      <c r="T184" s="79" t="s">
        <v>3650</v>
      </c>
      <c r="V184" s="79" t="s">
        <v>3651</v>
      </c>
    </row>
    <row r="185" spans="1:22">
      <c r="A185" s="79">
        <f t="shared" si="85"/>
        <v>630010</v>
      </c>
      <c r="B185" s="79">
        <v>3</v>
      </c>
      <c r="C185" s="79">
        <f t="shared" si="88"/>
        <v>6</v>
      </c>
      <c r="D185" s="79">
        <v>6</v>
      </c>
      <c r="E185" s="79">
        <v>3</v>
      </c>
      <c r="F185" s="79" t="s">
        <v>3654</v>
      </c>
      <c r="G185" s="79" t="s">
        <v>3655</v>
      </c>
      <c r="H185" s="79">
        <v>1</v>
      </c>
      <c r="I185" s="79">
        <v>0</v>
      </c>
      <c r="J185" s="79">
        <f t="shared" si="87"/>
        <v>450</v>
      </c>
      <c r="K185" s="79">
        <f t="shared" si="82"/>
        <v>0</v>
      </c>
      <c r="O185" s="79">
        <v>10</v>
      </c>
      <c r="P185" s="79" t="s">
        <v>3554</v>
      </c>
      <c r="Q185" s="79">
        <v>0</v>
      </c>
      <c r="R185" s="79">
        <f>A231</f>
        <v>340006</v>
      </c>
      <c r="T185" s="79" t="s">
        <v>3650</v>
      </c>
      <c r="V185" s="79" t="s">
        <v>3651</v>
      </c>
    </row>
    <row r="186" spans="1:22">
      <c r="A186" s="79">
        <f t="shared" si="85"/>
        <v>240001</v>
      </c>
      <c r="B186" s="79">
        <v>4</v>
      </c>
      <c r="C186" s="79">
        <v>2</v>
      </c>
      <c r="D186" s="79">
        <v>2</v>
      </c>
      <c r="F186" s="79" t="s">
        <v>3656</v>
      </c>
      <c r="G186" s="79" t="s">
        <v>3657</v>
      </c>
      <c r="H186" s="79">
        <v>0</v>
      </c>
      <c r="L186" s="79">
        <v>0</v>
      </c>
      <c r="O186" s="79">
        <v>1</v>
      </c>
      <c r="Q186" s="79">
        <v>6338400</v>
      </c>
      <c r="R186" s="79">
        <f t="shared" ref="R186:R194" si="89">A187</f>
        <v>240002</v>
      </c>
      <c r="T186" s="79" t="s">
        <v>3658</v>
      </c>
      <c r="U186" s="79" t="s">
        <v>3658</v>
      </c>
      <c r="V186" s="79" t="s">
        <v>3659</v>
      </c>
    </row>
    <row r="187" spans="1:22">
      <c r="A187" s="79">
        <f t="shared" si="85"/>
        <v>240002</v>
      </c>
      <c r="B187" s="79">
        <v>4</v>
      </c>
      <c r="C187" s="79">
        <f>C197+1</f>
        <v>2</v>
      </c>
      <c r="D187" s="79">
        <f>D197+1</f>
        <v>2</v>
      </c>
      <c r="E187" s="79">
        <v>1</v>
      </c>
      <c r="F187" s="79" t="s">
        <v>3656</v>
      </c>
      <c r="G187" s="79" t="s">
        <v>3657</v>
      </c>
      <c r="H187" s="79">
        <v>1</v>
      </c>
      <c r="I187" s="79">
        <v>1</v>
      </c>
      <c r="J187" s="79">
        <f t="shared" ref="J187:J195" si="90">$J$1*(O187-1)</f>
        <v>50</v>
      </c>
      <c r="K187" s="79">
        <f t="shared" ref="K187:K245" si="91">IF(L187=0,0,B187*1000+L187-1)</f>
        <v>0</v>
      </c>
      <c r="L187" s="79">
        <v>0</v>
      </c>
      <c r="M187" s="79">
        <v>1</v>
      </c>
      <c r="O187" s="79">
        <v>2</v>
      </c>
      <c r="Q187" s="79">
        <v>14789600</v>
      </c>
      <c r="R187" s="79">
        <f t="shared" si="89"/>
        <v>240003</v>
      </c>
      <c r="T187" s="79" t="s">
        <v>3658</v>
      </c>
      <c r="U187" s="79" t="s">
        <v>3658</v>
      </c>
      <c r="V187" s="79" t="s">
        <v>3659</v>
      </c>
    </row>
    <row r="188" spans="1:22">
      <c r="A188" s="79">
        <f t="shared" si="85"/>
        <v>240003</v>
      </c>
      <c r="B188" s="79">
        <v>4</v>
      </c>
      <c r="C188" s="79">
        <f t="shared" ref="C188:C195" si="92">C187</f>
        <v>2</v>
      </c>
      <c r="D188" s="79">
        <f t="shared" ref="D188:D195" si="93">D187</f>
        <v>2</v>
      </c>
      <c r="E188" s="79">
        <v>1</v>
      </c>
      <c r="F188" s="79" t="s">
        <v>3656</v>
      </c>
      <c r="G188" s="79" t="s">
        <v>3657</v>
      </c>
      <c r="H188" s="79">
        <v>1</v>
      </c>
      <c r="I188" s="79">
        <v>1</v>
      </c>
      <c r="J188" s="79">
        <f t="shared" si="90"/>
        <v>100</v>
      </c>
      <c r="K188" s="79">
        <f t="shared" si="91"/>
        <v>0</v>
      </c>
      <c r="L188" s="79">
        <v>0</v>
      </c>
      <c r="M188" s="79">
        <v>1</v>
      </c>
      <c r="O188" s="79">
        <v>3</v>
      </c>
      <c r="Q188" s="79">
        <v>25353600</v>
      </c>
      <c r="R188" s="79">
        <f t="shared" si="89"/>
        <v>240004</v>
      </c>
      <c r="T188" s="79" t="s">
        <v>3658</v>
      </c>
      <c r="U188" s="79" t="s">
        <v>3658</v>
      </c>
      <c r="V188" s="79" t="s">
        <v>3659</v>
      </c>
    </row>
    <row r="189" spans="1:22">
      <c r="A189" s="79">
        <f t="shared" si="85"/>
        <v>240004</v>
      </c>
      <c r="B189" s="79">
        <v>4</v>
      </c>
      <c r="C189" s="79">
        <f t="shared" si="92"/>
        <v>2</v>
      </c>
      <c r="D189" s="79">
        <f t="shared" si="93"/>
        <v>2</v>
      </c>
      <c r="E189" s="79">
        <v>1</v>
      </c>
      <c r="F189" s="79" t="s">
        <v>3656</v>
      </c>
      <c r="G189" s="79" t="s">
        <v>3657</v>
      </c>
      <c r="H189" s="79">
        <v>1</v>
      </c>
      <c r="I189" s="79">
        <v>1</v>
      </c>
      <c r="J189" s="79">
        <f t="shared" si="90"/>
        <v>150</v>
      </c>
      <c r="K189" s="79">
        <f t="shared" si="91"/>
        <v>0</v>
      </c>
      <c r="L189" s="79">
        <v>0</v>
      </c>
      <c r="M189" s="79">
        <v>1</v>
      </c>
      <c r="O189" s="79">
        <v>4</v>
      </c>
      <c r="Q189" s="79">
        <v>84512000</v>
      </c>
      <c r="R189" s="79">
        <f t="shared" si="89"/>
        <v>240005</v>
      </c>
      <c r="T189" s="79" t="s">
        <v>3658</v>
      </c>
      <c r="U189" s="79" t="s">
        <v>3658</v>
      </c>
      <c r="V189" s="79" t="s">
        <v>3659</v>
      </c>
    </row>
    <row r="190" spans="1:22">
      <c r="A190" s="79">
        <f t="shared" si="85"/>
        <v>240005</v>
      </c>
      <c r="B190" s="79">
        <v>4</v>
      </c>
      <c r="C190" s="79">
        <f t="shared" si="92"/>
        <v>2</v>
      </c>
      <c r="D190" s="79">
        <f t="shared" si="93"/>
        <v>2</v>
      </c>
      <c r="E190" s="79">
        <v>1</v>
      </c>
      <c r="F190" s="79" t="s">
        <v>3656</v>
      </c>
      <c r="G190" s="79" t="s">
        <v>3657</v>
      </c>
      <c r="H190" s="79">
        <v>0</v>
      </c>
      <c r="I190" s="79">
        <v>0</v>
      </c>
      <c r="J190" s="79">
        <f t="shared" si="90"/>
        <v>200</v>
      </c>
      <c r="K190" s="79">
        <f t="shared" si="91"/>
        <v>0</v>
      </c>
      <c r="L190" s="79">
        <v>0</v>
      </c>
      <c r="M190" s="79">
        <v>2</v>
      </c>
      <c r="O190" s="79">
        <v>5</v>
      </c>
      <c r="Q190" s="79">
        <v>145783200</v>
      </c>
      <c r="R190" s="79">
        <f t="shared" si="89"/>
        <v>240006</v>
      </c>
      <c r="T190" s="79" t="s">
        <v>3658</v>
      </c>
      <c r="U190" s="79" t="s">
        <v>3658</v>
      </c>
      <c r="V190" s="79" t="s">
        <v>3659</v>
      </c>
    </row>
    <row r="191" spans="1:22">
      <c r="A191" s="79">
        <f t="shared" si="85"/>
        <v>240006</v>
      </c>
      <c r="B191" s="79">
        <v>4</v>
      </c>
      <c r="C191" s="79">
        <f t="shared" si="92"/>
        <v>2</v>
      </c>
      <c r="D191" s="79">
        <f t="shared" si="93"/>
        <v>2</v>
      </c>
      <c r="E191" s="79">
        <v>2</v>
      </c>
      <c r="F191" s="79" t="s">
        <v>3660</v>
      </c>
      <c r="G191" s="79" t="s">
        <v>3661</v>
      </c>
      <c r="H191" s="79">
        <v>1</v>
      </c>
      <c r="I191" s="79">
        <v>1</v>
      </c>
      <c r="J191" s="79">
        <f t="shared" si="90"/>
        <v>250</v>
      </c>
      <c r="K191" s="79">
        <f t="shared" si="91"/>
        <v>0</v>
      </c>
      <c r="L191" s="79">
        <v>0</v>
      </c>
      <c r="M191" s="79">
        <v>3</v>
      </c>
      <c r="O191" s="79">
        <v>6</v>
      </c>
      <c r="Q191" s="79">
        <v>445800800</v>
      </c>
      <c r="R191" s="79">
        <f t="shared" si="89"/>
        <v>240007</v>
      </c>
      <c r="T191" s="79" t="s">
        <v>3658</v>
      </c>
      <c r="U191" s="79" t="s">
        <v>3658</v>
      </c>
      <c r="V191" s="79" t="s">
        <v>3659</v>
      </c>
    </row>
    <row r="192" spans="1:22">
      <c r="A192" s="79">
        <f t="shared" si="85"/>
        <v>240007</v>
      </c>
      <c r="B192" s="79">
        <v>4</v>
      </c>
      <c r="C192" s="79">
        <f t="shared" si="92"/>
        <v>2</v>
      </c>
      <c r="D192" s="79">
        <f t="shared" si="93"/>
        <v>2</v>
      </c>
      <c r="E192" s="79">
        <v>2</v>
      </c>
      <c r="F192" s="79" t="s">
        <v>3660</v>
      </c>
      <c r="G192" s="79" t="s">
        <v>3661</v>
      </c>
      <c r="H192" s="79">
        <v>1</v>
      </c>
      <c r="I192" s="79">
        <v>0</v>
      </c>
      <c r="J192" s="79">
        <f t="shared" si="90"/>
        <v>300</v>
      </c>
      <c r="K192" s="79">
        <f t="shared" si="91"/>
        <v>0</v>
      </c>
      <c r="L192" s="79">
        <v>0</v>
      </c>
      <c r="M192" s="79">
        <v>4</v>
      </c>
      <c r="O192" s="79">
        <v>7</v>
      </c>
      <c r="Q192" s="79">
        <v>686660000</v>
      </c>
      <c r="R192" s="79">
        <f t="shared" si="89"/>
        <v>240008</v>
      </c>
      <c r="T192" s="79" t="s">
        <v>3658</v>
      </c>
      <c r="U192" s="79" t="s">
        <v>3658</v>
      </c>
      <c r="V192" s="79" t="s">
        <v>3659</v>
      </c>
    </row>
    <row r="193" spans="1:22">
      <c r="A193" s="79">
        <f t="shared" si="85"/>
        <v>240008</v>
      </c>
      <c r="B193" s="79">
        <v>4</v>
      </c>
      <c r="C193" s="79">
        <f t="shared" si="92"/>
        <v>2</v>
      </c>
      <c r="D193" s="79">
        <f t="shared" si="93"/>
        <v>2</v>
      </c>
      <c r="E193" s="79">
        <v>2</v>
      </c>
      <c r="F193" s="79" t="s">
        <v>3660</v>
      </c>
      <c r="G193" s="79" t="s">
        <v>3661</v>
      </c>
      <c r="H193" s="79">
        <v>1</v>
      </c>
      <c r="I193" s="79">
        <v>1</v>
      </c>
      <c r="J193" s="79">
        <f t="shared" si="90"/>
        <v>350</v>
      </c>
      <c r="K193" s="79">
        <f t="shared" si="91"/>
        <v>0</v>
      </c>
      <c r="L193" s="79">
        <v>0</v>
      </c>
      <c r="M193" s="79">
        <v>4</v>
      </c>
      <c r="O193" s="79">
        <v>8</v>
      </c>
      <c r="Q193" s="79">
        <v>1369094400</v>
      </c>
      <c r="R193" s="79">
        <f t="shared" si="89"/>
        <v>240009</v>
      </c>
      <c r="T193" s="79" t="s">
        <v>3658</v>
      </c>
      <c r="U193" s="79" t="s">
        <v>3658</v>
      </c>
      <c r="V193" s="79" t="s">
        <v>3659</v>
      </c>
    </row>
    <row r="194" spans="1:22">
      <c r="A194" s="79">
        <f t="shared" si="85"/>
        <v>240009</v>
      </c>
      <c r="B194" s="79">
        <v>4</v>
      </c>
      <c r="C194" s="79">
        <f t="shared" si="92"/>
        <v>2</v>
      </c>
      <c r="D194" s="79">
        <f t="shared" si="93"/>
        <v>2</v>
      </c>
      <c r="E194" s="79">
        <v>2</v>
      </c>
      <c r="F194" s="79" t="s">
        <v>3660</v>
      </c>
      <c r="G194" s="79" t="s">
        <v>3661</v>
      </c>
      <c r="H194" s="79">
        <v>0</v>
      </c>
      <c r="I194" s="79">
        <v>0</v>
      </c>
      <c r="J194" s="79">
        <f t="shared" si="90"/>
        <v>400</v>
      </c>
      <c r="K194" s="79">
        <f t="shared" si="91"/>
        <v>0</v>
      </c>
      <c r="L194" s="79">
        <v>0</v>
      </c>
      <c r="M194" s="79">
        <v>6</v>
      </c>
      <c r="O194" s="79">
        <v>9</v>
      </c>
      <c r="Q194" s="79">
        <v>2121251200</v>
      </c>
      <c r="R194" s="79">
        <f t="shared" si="89"/>
        <v>240010</v>
      </c>
      <c r="T194" s="79" t="s">
        <v>3658</v>
      </c>
      <c r="U194" s="79" t="s">
        <v>3658</v>
      </c>
      <c r="V194" s="79" t="s">
        <v>3659</v>
      </c>
    </row>
    <row r="195" spans="1:22">
      <c r="A195" s="79">
        <f t="shared" si="85"/>
        <v>240010</v>
      </c>
      <c r="B195" s="79">
        <v>4</v>
      </c>
      <c r="C195" s="79">
        <f t="shared" si="92"/>
        <v>2</v>
      </c>
      <c r="D195" s="79">
        <f t="shared" si="93"/>
        <v>2</v>
      </c>
      <c r="E195" s="79">
        <v>3</v>
      </c>
      <c r="F195" s="79" t="s">
        <v>3662</v>
      </c>
      <c r="G195" s="79" t="s">
        <v>3663</v>
      </c>
      <c r="H195" s="79">
        <v>1</v>
      </c>
      <c r="I195" s="79">
        <v>0</v>
      </c>
      <c r="J195" s="79">
        <f t="shared" si="90"/>
        <v>450</v>
      </c>
      <c r="K195" s="79">
        <f t="shared" si="91"/>
        <v>0</v>
      </c>
      <c r="L195" s="79">
        <v>0</v>
      </c>
      <c r="M195" s="79">
        <v>7</v>
      </c>
      <c r="O195" s="79">
        <v>10</v>
      </c>
      <c r="R195" s="79">
        <f>A255</f>
        <v>0</v>
      </c>
      <c r="T195" s="79" t="s">
        <v>3658</v>
      </c>
      <c r="U195" s="79" t="s">
        <v>3658</v>
      </c>
      <c r="V195" s="79" t="s">
        <v>3659</v>
      </c>
    </row>
    <row r="196" spans="1:22">
      <c r="A196" s="79">
        <f t="shared" si="85"/>
        <v>140001</v>
      </c>
      <c r="B196" s="79">
        <v>4</v>
      </c>
      <c r="C196" s="79">
        <v>1</v>
      </c>
      <c r="D196" s="79">
        <v>1</v>
      </c>
      <c r="F196" s="79" t="s">
        <v>3664</v>
      </c>
      <c r="G196" s="79" t="s">
        <v>3665</v>
      </c>
      <c r="H196" s="79">
        <v>0</v>
      </c>
      <c r="K196" s="79">
        <f t="shared" si="91"/>
        <v>0</v>
      </c>
      <c r="L196" s="79">
        <v>0</v>
      </c>
      <c r="O196" s="79">
        <v>1</v>
      </c>
      <c r="Q196" s="79">
        <v>31692000</v>
      </c>
      <c r="R196" s="79">
        <f t="shared" ref="R196:R204" si="94">A197</f>
        <v>140002</v>
      </c>
      <c r="T196" s="79" t="s">
        <v>3666</v>
      </c>
      <c r="U196" s="79" t="s">
        <v>3666</v>
      </c>
      <c r="V196" s="79" t="s">
        <v>3667</v>
      </c>
    </row>
    <row r="197" spans="1:22">
      <c r="A197" s="79">
        <f t="shared" si="85"/>
        <v>140002</v>
      </c>
      <c r="B197" s="79">
        <v>4</v>
      </c>
      <c r="C197" s="79">
        <v>1</v>
      </c>
      <c r="D197" s="79">
        <v>1</v>
      </c>
      <c r="E197" s="79">
        <v>1</v>
      </c>
      <c r="F197" s="79" t="s">
        <v>3664</v>
      </c>
      <c r="G197" s="79" t="s">
        <v>3665</v>
      </c>
      <c r="H197" s="79">
        <v>1</v>
      </c>
      <c r="I197" s="79">
        <v>1</v>
      </c>
      <c r="J197" s="79">
        <f t="shared" ref="J197:J205" si="95">$J$1*(O197-1)</f>
        <v>50</v>
      </c>
      <c r="K197" s="79">
        <f t="shared" si="91"/>
        <v>0</v>
      </c>
      <c r="L197" s="79">
        <v>0</v>
      </c>
      <c r="M197" s="79">
        <v>2</v>
      </c>
      <c r="O197" s="79">
        <v>2</v>
      </c>
      <c r="Q197" s="79">
        <v>105640000</v>
      </c>
      <c r="R197" s="79">
        <f t="shared" si="94"/>
        <v>140003</v>
      </c>
      <c r="T197" s="79" t="s">
        <v>3666</v>
      </c>
      <c r="U197" s="79" t="s">
        <v>3666</v>
      </c>
      <c r="V197" s="79" t="s">
        <v>3667</v>
      </c>
    </row>
    <row r="198" spans="1:22">
      <c r="A198" s="79">
        <f t="shared" si="85"/>
        <v>140003</v>
      </c>
      <c r="B198" s="79">
        <v>4</v>
      </c>
      <c r="C198" s="79">
        <f t="shared" ref="C198:C205" si="96">C197</f>
        <v>1</v>
      </c>
      <c r="D198" s="79">
        <f t="shared" ref="D198:D205" si="97">D197</f>
        <v>1</v>
      </c>
      <c r="E198" s="79">
        <v>1</v>
      </c>
      <c r="F198" s="79" t="s">
        <v>3664</v>
      </c>
      <c r="G198" s="79" t="s">
        <v>3665</v>
      </c>
      <c r="H198" s="79">
        <v>1</v>
      </c>
      <c r="I198" s="79">
        <v>1</v>
      </c>
      <c r="J198" s="79">
        <f t="shared" si="95"/>
        <v>100</v>
      </c>
      <c r="K198" s="79">
        <f t="shared" si="91"/>
        <v>0</v>
      </c>
      <c r="L198" s="79">
        <v>0</v>
      </c>
      <c r="M198" s="79">
        <v>2</v>
      </c>
      <c r="O198" s="79">
        <v>3</v>
      </c>
      <c r="Q198" s="79">
        <v>171136800</v>
      </c>
      <c r="R198" s="79">
        <f t="shared" si="94"/>
        <v>140004</v>
      </c>
      <c r="T198" s="79" t="s">
        <v>3666</v>
      </c>
      <c r="U198" s="79" t="s">
        <v>3666</v>
      </c>
      <c r="V198" s="79" t="s">
        <v>3667</v>
      </c>
    </row>
    <row r="199" spans="1:22">
      <c r="A199" s="79">
        <f t="shared" si="85"/>
        <v>140004</v>
      </c>
      <c r="B199" s="79">
        <v>4</v>
      </c>
      <c r="C199" s="79">
        <f t="shared" si="96"/>
        <v>1</v>
      </c>
      <c r="D199" s="79">
        <f t="shared" si="97"/>
        <v>1</v>
      </c>
      <c r="E199" s="79">
        <v>1</v>
      </c>
      <c r="F199" s="79" t="s">
        <v>3664</v>
      </c>
      <c r="G199" s="79" t="s">
        <v>3665</v>
      </c>
      <c r="H199" s="79">
        <v>1</v>
      </c>
      <c r="I199" s="79">
        <v>1</v>
      </c>
      <c r="J199" s="79">
        <f t="shared" si="95"/>
        <v>150</v>
      </c>
      <c r="K199" s="79">
        <f t="shared" si="91"/>
        <v>0</v>
      </c>
      <c r="L199" s="79">
        <v>0</v>
      </c>
      <c r="M199" s="79">
        <v>3</v>
      </c>
      <c r="O199" s="79">
        <v>4</v>
      </c>
      <c r="Q199" s="79">
        <v>507072000</v>
      </c>
      <c r="R199" s="79">
        <f t="shared" si="94"/>
        <v>140005</v>
      </c>
      <c r="T199" s="79" t="s">
        <v>3666</v>
      </c>
      <c r="U199" s="79" t="s">
        <v>3666</v>
      </c>
      <c r="V199" s="79" t="s">
        <v>3667</v>
      </c>
    </row>
    <row r="200" spans="1:22">
      <c r="A200" s="79">
        <f t="shared" si="85"/>
        <v>140005</v>
      </c>
      <c r="B200" s="79">
        <v>4</v>
      </c>
      <c r="C200" s="79">
        <f t="shared" si="96"/>
        <v>1</v>
      </c>
      <c r="D200" s="79">
        <f t="shared" si="97"/>
        <v>1</v>
      </c>
      <c r="E200" s="79">
        <v>1</v>
      </c>
      <c r="F200" s="79" t="s">
        <v>3664</v>
      </c>
      <c r="G200" s="79" t="s">
        <v>3665</v>
      </c>
      <c r="H200" s="79">
        <v>0</v>
      </c>
      <c r="I200" s="79">
        <v>0</v>
      </c>
      <c r="J200" s="79">
        <f t="shared" si="95"/>
        <v>200</v>
      </c>
      <c r="K200" s="79">
        <f t="shared" si="91"/>
        <v>0</v>
      </c>
      <c r="L200" s="79">
        <v>0</v>
      </c>
      <c r="M200" s="79">
        <v>4</v>
      </c>
      <c r="O200" s="79">
        <v>5</v>
      </c>
      <c r="Q200" s="79">
        <v>686660000</v>
      </c>
      <c r="R200" s="79">
        <f t="shared" si="94"/>
        <v>140006</v>
      </c>
      <c r="T200" s="79" t="s">
        <v>3666</v>
      </c>
      <c r="U200" s="79" t="s">
        <v>3666</v>
      </c>
      <c r="V200" s="79" t="s">
        <v>3667</v>
      </c>
    </row>
    <row r="201" spans="1:22">
      <c r="A201" s="79">
        <f t="shared" si="85"/>
        <v>140006</v>
      </c>
      <c r="B201" s="79">
        <v>4</v>
      </c>
      <c r="C201" s="79">
        <f t="shared" si="96"/>
        <v>1</v>
      </c>
      <c r="D201" s="79">
        <f t="shared" si="97"/>
        <v>1</v>
      </c>
      <c r="E201" s="79">
        <v>2</v>
      </c>
      <c r="F201" s="79" t="s">
        <v>3668</v>
      </c>
      <c r="G201" s="79" t="s">
        <v>3669</v>
      </c>
      <c r="H201" s="79">
        <v>1</v>
      </c>
      <c r="I201" s="79">
        <v>1</v>
      </c>
      <c r="J201" s="79">
        <f t="shared" si="95"/>
        <v>250</v>
      </c>
      <c r="K201" s="79">
        <f t="shared" si="91"/>
        <v>0</v>
      </c>
      <c r="L201" s="79">
        <v>0</v>
      </c>
      <c r="M201" s="79">
        <v>4</v>
      </c>
      <c r="O201" s="79">
        <v>6</v>
      </c>
      <c r="Q201" s="79">
        <v>1250777600</v>
      </c>
      <c r="R201" s="79">
        <f t="shared" si="94"/>
        <v>140007</v>
      </c>
      <c r="T201" s="79" t="s">
        <v>3666</v>
      </c>
      <c r="U201" s="79" t="s">
        <v>3666</v>
      </c>
      <c r="V201" s="79" t="s">
        <v>3667</v>
      </c>
    </row>
    <row r="202" spans="1:22">
      <c r="A202" s="79">
        <f t="shared" si="85"/>
        <v>140007</v>
      </c>
      <c r="B202" s="79">
        <v>4</v>
      </c>
      <c r="C202" s="79">
        <f t="shared" si="96"/>
        <v>1</v>
      </c>
      <c r="D202" s="79">
        <f t="shared" si="97"/>
        <v>1</v>
      </c>
      <c r="E202" s="79">
        <v>2</v>
      </c>
      <c r="F202" s="79" t="s">
        <v>3668</v>
      </c>
      <c r="G202" s="79" t="s">
        <v>3669</v>
      </c>
      <c r="H202" s="79">
        <v>1</v>
      </c>
      <c r="I202" s="79">
        <v>0</v>
      </c>
      <c r="J202" s="79">
        <f t="shared" si="95"/>
        <v>300</v>
      </c>
      <c r="K202" s="79">
        <f t="shared" si="91"/>
        <v>0</v>
      </c>
      <c r="L202" s="79">
        <v>0</v>
      </c>
      <c r="M202" s="79">
        <v>5</v>
      </c>
      <c r="O202" s="79">
        <v>7</v>
      </c>
      <c r="Q202" s="79">
        <v>1871940800</v>
      </c>
      <c r="R202" s="79">
        <f t="shared" si="94"/>
        <v>140008</v>
      </c>
      <c r="T202" s="79" t="s">
        <v>3666</v>
      </c>
      <c r="U202" s="79" t="s">
        <v>3666</v>
      </c>
      <c r="V202" s="79" t="s">
        <v>3667</v>
      </c>
    </row>
    <row r="203" spans="1:22">
      <c r="A203" s="79">
        <f t="shared" si="85"/>
        <v>140008</v>
      </c>
      <c r="B203" s="79">
        <v>4</v>
      </c>
      <c r="C203" s="79">
        <f t="shared" si="96"/>
        <v>1</v>
      </c>
      <c r="D203" s="79">
        <f t="shared" si="97"/>
        <v>1</v>
      </c>
      <c r="E203" s="79">
        <v>2</v>
      </c>
      <c r="F203" s="79" t="s">
        <v>3668</v>
      </c>
      <c r="G203" s="79" t="s">
        <v>3669</v>
      </c>
      <c r="H203" s="79">
        <v>1</v>
      </c>
      <c r="I203" s="79">
        <v>1</v>
      </c>
      <c r="J203" s="79">
        <f t="shared" si="95"/>
        <v>350</v>
      </c>
      <c r="K203" s="79">
        <f t="shared" si="91"/>
        <v>0</v>
      </c>
      <c r="L203" s="79">
        <v>0</v>
      </c>
      <c r="M203" s="79">
        <v>6</v>
      </c>
      <c r="O203" s="79">
        <v>8</v>
      </c>
      <c r="Q203" s="79">
        <v>2203650400</v>
      </c>
      <c r="R203" s="79">
        <f t="shared" si="94"/>
        <v>140009</v>
      </c>
      <c r="T203" s="79" t="s">
        <v>3666</v>
      </c>
      <c r="U203" s="79" t="s">
        <v>3666</v>
      </c>
      <c r="V203" s="79" t="s">
        <v>3667</v>
      </c>
    </row>
    <row r="204" spans="1:22">
      <c r="A204" s="79">
        <f t="shared" si="85"/>
        <v>140009</v>
      </c>
      <c r="B204" s="79">
        <v>4</v>
      </c>
      <c r="C204" s="79">
        <f t="shared" si="96"/>
        <v>1</v>
      </c>
      <c r="D204" s="79">
        <f t="shared" si="97"/>
        <v>1</v>
      </c>
      <c r="E204" s="79">
        <v>2</v>
      </c>
      <c r="F204" s="79" t="s">
        <v>3668</v>
      </c>
      <c r="G204" s="79" t="s">
        <v>3669</v>
      </c>
      <c r="H204" s="79">
        <v>0</v>
      </c>
      <c r="I204" s="79">
        <v>0</v>
      </c>
      <c r="J204" s="79">
        <f t="shared" si="95"/>
        <v>400</v>
      </c>
      <c r="K204" s="79">
        <f t="shared" si="91"/>
        <v>0</v>
      </c>
      <c r="L204" s="79">
        <v>0</v>
      </c>
      <c r="M204" s="79">
        <v>7</v>
      </c>
      <c r="O204" s="79">
        <v>9</v>
      </c>
      <c r="Q204" s="79">
        <v>3416397600</v>
      </c>
      <c r="R204" s="79">
        <f t="shared" si="94"/>
        <v>140010</v>
      </c>
      <c r="T204" s="79" t="s">
        <v>3666</v>
      </c>
      <c r="U204" s="79" t="s">
        <v>3666</v>
      </c>
      <c r="V204" s="79" t="s">
        <v>3667</v>
      </c>
    </row>
    <row r="205" spans="1:22">
      <c r="A205" s="79">
        <f t="shared" si="85"/>
        <v>140010</v>
      </c>
      <c r="B205" s="79">
        <v>4</v>
      </c>
      <c r="C205" s="79">
        <f t="shared" si="96"/>
        <v>1</v>
      </c>
      <c r="D205" s="79">
        <f t="shared" si="97"/>
        <v>1</v>
      </c>
      <c r="E205" s="79">
        <v>3</v>
      </c>
      <c r="F205" s="79" t="s">
        <v>3670</v>
      </c>
      <c r="G205" s="79" t="s">
        <v>3671</v>
      </c>
      <c r="H205" s="79">
        <v>1</v>
      </c>
      <c r="I205" s="79">
        <v>0</v>
      </c>
      <c r="J205" s="79">
        <f t="shared" si="95"/>
        <v>450</v>
      </c>
      <c r="K205" s="79">
        <f t="shared" si="91"/>
        <v>0</v>
      </c>
      <c r="L205" s="79">
        <v>0</v>
      </c>
      <c r="M205" s="79">
        <v>8</v>
      </c>
      <c r="O205" s="79">
        <v>10</v>
      </c>
      <c r="R205" s="79">
        <f>A246</f>
        <v>0</v>
      </c>
      <c r="T205" s="79" t="s">
        <v>3666</v>
      </c>
      <c r="U205" s="79" t="s">
        <v>3666</v>
      </c>
      <c r="V205" s="79" t="s">
        <v>3667</v>
      </c>
    </row>
    <row r="206" spans="1:22">
      <c r="A206" s="79">
        <f t="shared" si="85"/>
        <v>540001</v>
      </c>
      <c r="B206" s="79">
        <v>4</v>
      </c>
      <c r="C206" s="79">
        <v>5</v>
      </c>
      <c r="D206" s="79">
        <v>5</v>
      </c>
      <c r="F206" s="79" t="s">
        <v>3672</v>
      </c>
      <c r="G206" s="79" t="s">
        <v>3673</v>
      </c>
      <c r="H206" s="79">
        <v>0</v>
      </c>
      <c r="K206" s="79">
        <f t="shared" si="91"/>
        <v>0</v>
      </c>
      <c r="L206" s="79">
        <v>0</v>
      </c>
      <c r="O206" s="79">
        <v>1</v>
      </c>
      <c r="Q206" s="79">
        <v>114091200</v>
      </c>
      <c r="R206" s="79">
        <f t="shared" ref="R206:R214" si="98">A207</f>
        <v>540002</v>
      </c>
      <c r="T206" s="79" t="s">
        <v>3674</v>
      </c>
      <c r="U206" s="79" t="s">
        <v>3674</v>
      </c>
      <c r="V206" s="79" t="s">
        <v>3675</v>
      </c>
    </row>
    <row r="207" ht="15" spans="1:22">
      <c r="A207" s="79">
        <f t="shared" si="85"/>
        <v>540002</v>
      </c>
      <c r="B207" s="79">
        <v>4</v>
      </c>
      <c r="C207" s="79">
        <f>C217+1</f>
        <v>5</v>
      </c>
      <c r="D207" s="79">
        <f>D217+1</f>
        <v>5</v>
      </c>
      <c r="E207" s="79">
        <v>1</v>
      </c>
      <c r="F207" s="79" t="s">
        <v>3672</v>
      </c>
      <c r="G207" s="79" t="s">
        <v>3673</v>
      </c>
      <c r="H207" s="79">
        <v>1</v>
      </c>
      <c r="I207" s="79">
        <v>1</v>
      </c>
      <c r="J207" s="79">
        <f t="shared" ref="J207:J215" si="99">$J$1*(O207-1)</f>
        <v>50</v>
      </c>
      <c r="K207" s="79">
        <f t="shared" si="91"/>
        <v>0</v>
      </c>
      <c r="L207" s="79">
        <v>0</v>
      </c>
      <c r="M207" s="78">
        <v>2</v>
      </c>
      <c r="O207" s="79">
        <v>2</v>
      </c>
      <c r="Q207" s="79">
        <v>363401600</v>
      </c>
      <c r="R207" s="79">
        <f t="shared" si="98"/>
        <v>540003</v>
      </c>
      <c r="T207" s="79" t="s">
        <v>3674</v>
      </c>
      <c r="U207" s="79" t="s">
        <v>3674</v>
      </c>
      <c r="V207" s="79" t="s">
        <v>3675</v>
      </c>
    </row>
    <row r="208" ht="15" spans="1:22">
      <c r="A208" s="79">
        <f t="shared" si="85"/>
        <v>540003</v>
      </c>
      <c r="B208" s="79">
        <v>4</v>
      </c>
      <c r="C208" s="79">
        <f t="shared" ref="C208:C215" si="100">C207</f>
        <v>5</v>
      </c>
      <c r="D208" s="79">
        <f t="shared" ref="D208:D215" si="101">D207</f>
        <v>5</v>
      </c>
      <c r="E208" s="79">
        <v>1</v>
      </c>
      <c r="F208" s="79" t="s">
        <v>3672</v>
      </c>
      <c r="G208" s="79" t="s">
        <v>3673</v>
      </c>
      <c r="H208" s="79">
        <v>1</v>
      </c>
      <c r="I208" s="79">
        <v>1</v>
      </c>
      <c r="J208" s="79">
        <f t="shared" si="99"/>
        <v>100</v>
      </c>
      <c r="K208" s="79">
        <f t="shared" si="91"/>
        <v>0</v>
      </c>
      <c r="L208" s="79">
        <v>0</v>
      </c>
      <c r="M208" s="78">
        <v>3</v>
      </c>
      <c r="O208" s="79">
        <v>3</v>
      </c>
      <c r="Q208" s="79">
        <v>530312800</v>
      </c>
      <c r="R208" s="79">
        <f t="shared" si="98"/>
        <v>540004</v>
      </c>
      <c r="T208" s="79" t="s">
        <v>3674</v>
      </c>
      <c r="U208" s="79" t="s">
        <v>3674</v>
      </c>
      <c r="V208" s="79" t="s">
        <v>3675</v>
      </c>
    </row>
    <row r="209" ht="15" spans="1:22">
      <c r="A209" s="79">
        <f t="shared" si="85"/>
        <v>540004</v>
      </c>
      <c r="B209" s="79">
        <v>4</v>
      </c>
      <c r="C209" s="79">
        <f t="shared" si="100"/>
        <v>5</v>
      </c>
      <c r="D209" s="79">
        <f t="shared" si="101"/>
        <v>5</v>
      </c>
      <c r="E209" s="79">
        <v>1</v>
      </c>
      <c r="F209" s="79" t="s">
        <v>3672</v>
      </c>
      <c r="G209" s="79" t="s">
        <v>3673</v>
      </c>
      <c r="H209" s="79">
        <v>1</v>
      </c>
      <c r="I209" s="79">
        <v>1</v>
      </c>
      <c r="J209" s="79">
        <f t="shared" si="99"/>
        <v>150</v>
      </c>
      <c r="K209" s="79">
        <f t="shared" si="91"/>
        <v>0</v>
      </c>
      <c r="L209" s="79">
        <v>0</v>
      </c>
      <c r="M209" s="78">
        <v>4</v>
      </c>
      <c r="O209" s="79">
        <v>4</v>
      </c>
      <c r="Q209" s="79">
        <v>728916000</v>
      </c>
      <c r="R209" s="79">
        <f t="shared" si="98"/>
        <v>540005</v>
      </c>
      <c r="T209" s="79" t="s">
        <v>3674</v>
      </c>
      <c r="U209" s="79" t="s">
        <v>3674</v>
      </c>
      <c r="V209" s="79" t="s">
        <v>3675</v>
      </c>
    </row>
    <row r="210" ht="15" spans="1:22">
      <c r="A210" s="79">
        <f t="shared" si="85"/>
        <v>540005</v>
      </c>
      <c r="B210" s="79">
        <v>4</v>
      </c>
      <c r="C210" s="79">
        <f t="shared" si="100"/>
        <v>5</v>
      </c>
      <c r="D210" s="79">
        <f t="shared" si="101"/>
        <v>5</v>
      </c>
      <c r="E210" s="79">
        <v>1</v>
      </c>
      <c r="F210" s="79" t="s">
        <v>3672</v>
      </c>
      <c r="G210" s="79" t="s">
        <v>3673</v>
      </c>
      <c r="H210" s="79">
        <v>0</v>
      </c>
      <c r="I210" s="79">
        <v>0</v>
      </c>
      <c r="J210" s="79">
        <f t="shared" si="99"/>
        <v>200</v>
      </c>
      <c r="K210" s="79">
        <f t="shared" si="91"/>
        <v>0</v>
      </c>
      <c r="L210" s="79">
        <v>0</v>
      </c>
      <c r="M210" s="78">
        <v>5</v>
      </c>
      <c r="O210" s="79">
        <v>5</v>
      </c>
      <c r="Q210" s="79">
        <v>1328951200</v>
      </c>
      <c r="R210" s="79">
        <f t="shared" si="98"/>
        <v>540006</v>
      </c>
      <c r="T210" s="79" t="s">
        <v>3674</v>
      </c>
      <c r="U210" s="79" t="s">
        <v>3674</v>
      </c>
      <c r="V210" s="79" t="s">
        <v>3675</v>
      </c>
    </row>
    <row r="211" ht="15" spans="1:22">
      <c r="A211" s="79">
        <f t="shared" si="85"/>
        <v>540006</v>
      </c>
      <c r="B211" s="79">
        <v>4</v>
      </c>
      <c r="C211" s="79">
        <f t="shared" si="100"/>
        <v>5</v>
      </c>
      <c r="D211" s="79">
        <f t="shared" si="101"/>
        <v>5</v>
      </c>
      <c r="E211" s="79">
        <v>2</v>
      </c>
      <c r="F211" s="79" t="s">
        <v>3676</v>
      </c>
      <c r="G211" s="79" t="s">
        <v>3677</v>
      </c>
      <c r="H211" s="79">
        <v>1</v>
      </c>
      <c r="I211" s="79">
        <v>1</v>
      </c>
      <c r="J211" s="79">
        <f t="shared" si="99"/>
        <v>250</v>
      </c>
      <c r="K211" s="79">
        <f t="shared" si="91"/>
        <v>0</v>
      </c>
      <c r="L211" s="79">
        <v>0</v>
      </c>
      <c r="M211" s="78">
        <v>6</v>
      </c>
      <c r="O211" s="79">
        <v>6</v>
      </c>
      <c r="Q211" s="79">
        <v>1912084000</v>
      </c>
      <c r="R211" s="79">
        <f t="shared" si="98"/>
        <v>540007</v>
      </c>
      <c r="T211" s="79" t="s">
        <v>3674</v>
      </c>
      <c r="U211" s="79" t="s">
        <v>3674</v>
      </c>
      <c r="V211" s="79" t="s">
        <v>3675</v>
      </c>
    </row>
    <row r="212" ht="15" spans="1:22">
      <c r="A212" s="79">
        <f t="shared" si="85"/>
        <v>540007</v>
      </c>
      <c r="B212" s="79">
        <v>4</v>
      </c>
      <c r="C212" s="79">
        <f t="shared" si="100"/>
        <v>5</v>
      </c>
      <c r="D212" s="79">
        <f t="shared" si="101"/>
        <v>5</v>
      </c>
      <c r="E212" s="79">
        <v>2</v>
      </c>
      <c r="F212" s="79" t="s">
        <v>3676</v>
      </c>
      <c r="G212" s="79" t="s">
        <v>3677</v>
      </c>
      <c r="H212" s="79">
        <v>1</v>
      </c>
      <c r="I212" s="79">
        <v>0</v>
      </c>
      <c r="J212" s="79">
        <f t="shared" si="99"/>
        <v>300</v>
      </c>
      <c r="K212" s="79">
        <f t="shared" si="91"/>
        <v>0</v>
      </c>
      <c r="L212" s="79">
        <v>0</v>
      </c>
      <c r="M212" s="78">
        <v>7</v>
      </c>
      <c r="O212" s="79">
        <v>7</v>
      </c>
      <c r="Q212" s="79">
        <v>3006514400</v>
      </c>
      <c r="R212" s="79">
        <f t="shared" si="98"/>
        <v>540008</v>
      </c>
      <c r="T212" s="79" t="s">
        <v>3674</v>
      </c>
      <c r="U212" s="79" t="s">
        <v>3674</v>
      </c>
      <c r="V212" s="79" t="s">
        <v>3675</v>
      </c>
    </row>
    <row r="213" ht="15" spans="1:22">
      <c r="A213" s="79">
        <f t="shared" si="85"/>
        <v>540008</v>
      </c>
      <c r="B213" s="79">
        <v>4</v>
      </c>
      <c r="C213" s="79">
        <f t="shared" si="100"/>
        <v>5</v>
      </c>
      <c r="D213" s="79">
        <f t="shared" si="101"/>
        <v>5</v>
      </c>
      <c r="E213" s="79">
        <v>2</v>
      </c>
      <c r="F213" s="79" t="s">
        <v>3676</v>
      </c>
      <c r="G213" s="79" t="s">
        <v>3677</v>
      </c>
      <c r="H213" s="79">
        <v>1</v>
      </c>
      <c r="I213" s="79">
        <v>1</v>
      </c>
      <c r="J213" s="79">
        <f t="shared" si="99"/>
        <v>350</v>
      </c>
      <c r="K213" s="79">
        <f t="shared" si="91"/>
        <v>0</v>
      </c>
      <c r="L213" s="79">
        <v>0</v>
      </c>
      <c r="M213" s="78">
        <v>8</v>
      </c>
      <c r="O213" s="79">
        <v>8</v>
      </c>
      <c r="Q213" s="79">
        <v>3473443200</v>
      </c>
      <c r="R213" s="79">
        <f t="shared" si="98"/>
        <v>540009</v>
      </c>
      <c r="T213" s="79" t="s">
        <v>3674</v>
      </c>
      <c r="U213" s="79" t="s">
        <v>3674</v>
      </c>
      <c r="V213" s="79" t="s">
        <v>3675</v>
      </c>
    </row>
    <row r="214" ht="15" spans="1:22">
      <c r="A214" s="79">
        <f t="shared" si="85"/>
        <v>540009</v>
      </c>
      <c r="B214" s="79">
        <v>4</v>
      </c>
      <c r="C214" s="79">
        <f t="shared" si="100"/>
        <v>5</v>
      </c>
      <c r="D214" s="79">
        <f t="shared" si="101"/>
        <v>5</v>
      </c>
      <c r="E214" s="79">
        <v>2</v>
      </c>
      <c r="F214" s="79" t="s">
        <v>3676</v>
      </c>
      <c r="G214" s="79" t="s">
        <v>3677</v>
      </c>
      <c r="H214" s="79">
        <v>0</v>
      </c>
      <c r="I214" s="79">
        <v>0</v>
      </c>
      <c r="J214" s="79">
        <f t="shared" si="99"/>
        <v>400</v>
      </c>
      <c r="K214" s="79">
        <f t="shared" si="91"/>
        <v>0</v>
      </c>
      <c r="L214" s="79">
        <v>0</v>
      </c>
      <c r="M214" s="78">
        <v>8</v>
      </c>
      <c r="O214" s="79">
        <v>9</v>
      </c>
      <c r="Q214" s="79">
        <v>6425024800</v>
      </c>
      <c r="R214" s="79">
        <f t="shared" si="98"/>
        <v>540010</v>
      </c>
      <c r="T214" s="79" t="s">
        <v>3674</v>
      </c>
      <c r="U214" s="79" t="s">
        <v>3674</v>
      </c>
      <c r="V214" s="79" t="s">
        <v>3675</v>
      </c>
    </row>
    <row r="215" ht="15" spans="1:22">
      <c r="A215" s="79">
        <f t="shared" si="85"/>
        <v>540010</v>
      </c>
      <c r="B215" s="79">
        <v>4</v>
      </c>
      <c r="C215" s="79">
        <f t="shared" si="100"/>
        <v>5</v>
      </c>
      <c r="D215" s="79">
        <f t="shared" si="101"/>
        <v>5</v>
      </c>
      <c r="E215" s="79">
        <v>3</v>
      </c>
      <c r="F215" s="79" t="s">
        <v>3678</v>
      </c>
      <c r="G215" s="79" t="s">
        <v>3679</v>
      </c>
      <c r="H215" s="79">
        <v>1</v>
      </c>
      <c r="I215" s="79">
        <v>0</v>
      </c>
      <c r="J215" s="79">
        <f t="shared" si="99"/>
        <v>450</v>
      </c>
      <c r="K215" s="79">
        <f t="shared" si="91"/>
        <v>0</v>
      </c>
      <c r="L215" s="79">
        <v>0</v>
      </c>
      <c r="M215" s="78">
        <v>9</v>
      </c>
      <c r="O215" s="79">
        <v>10</v>
      </c>
      <c r="R215" s="79">
        <f>A282</f>
        <v>0</v>
      </c>
      <c r="T215" s="79" t="s">
        <v>3674</v>
      </c>
      <c r="U215" s="79" t="s">
        <v>3674</v>
      </c>
      <c r="V215" s="79" t="s">
        <v>3675</v>
      </c>
    </row>
    <row r="216" spans="1:22">
      <c r="A216" s="79">
        <f t="shared" si="85"/>
        <v>440001</v>
      </c>
      <c r="B216" s="79">
        <v>4</v>
      </c>
      <c r="C216" s="79">
        <v>4</v>
      </c>
      <c r="D216" s="79">
        <v>4</v>
      </c>
      <c r="E216" s="79">
        <v>1</v>
      </c>
      <c r="F216" s="79" t="s">
        <v>3680</v>
      </c>
      <c r="G216" s="79" t="s">
        <v>3681</v>
      </c>
      <c r="H216" s="79">
        <v>0</v>
      </c>
      <c r="K216" s="79">
        <f t="shared" si="91"/>
        <v>0</v>
      </c>
      <c r="L216" s="79">
        <v>0</v>
      </c>
      <c r="O216" s="79">
        <v>1</v>
      </c>
      <c r="Q216" s="79">
        <v>386642400</v>
      </c>
      <c r="R216" s="79">
        <f t="shared" ref="R216:R224" si="102">A217</f>
        <v>440002</v>
      </c>
      <c r="T216" s="79" t="s">
        <v>3682</v>
      </c>
      <c r="V216" s="79" t="s">
        <v>3683</v>
      </c>
    </row>
    <row r="217" ht="15" spans="1:22">
      <c r="A217" s="79">
        <f t="shared" si="85"/>
        <v>440002</v>
      </c>
      <c r="B217" s="79">
        <v>4</v>
      </c>
      <c r="C217" s="79">
        <f>C227+1</f>
        <v>4</v>
      </c>
      <c r="D217" s="79">
        <f>D227+1</f>
        <v>4</v>
      </c>
      <c r="E217" s="79">
        <v>2</v>
      </c>
      <c r="F217" s="79" t="s">
        <v>3680</v>
      </c>
      <c r="G217" s="79" t="s">
        <v>3681</v>
      </c>
      <c r="H217" s="79">
        <v>1</v>
      </c>
      <c r="I217" s="79">
        <v>1</v>
      </c>
      <c r="J217" s="79">
        <f t="shared" ref="J217:J225" si="103">$J$1*(O217-1)</f>
        <v>50</v>
      </c>
      <c r="K217" s="79">
        <f t="shared" si="91"/>
        <v>0</v>
      </c>
      <c r="L217" s="79">
        <v>0</v>
      </c>
      <c r="M217" s="78">
        <v>3</v>
      </c>
      <c r="O217" s="79">
        <v>2</v>
      </c>
      <c r="Q217" s="79">
        <v>572568800</v>
      </c>
      <c r="R217" s="79">
        <f t="shared" si="102"/>
        <v>440003</v>
      </c>
      <c r="T217" s="79" t="s">
        <v>3682</v>
      </c>
      <c r="V217" s="79" t="s">
        <v>3683</v>
      </c>
    </row>
    <row r="218" ht="15" spans="1:22">
      <c r="A218" s="79">
        <f t="shared" si="85"/>
        <v>440003</v>
      </c>
      <c r="B218" s="79">
        <v>4</v>
      </c>
      <c r="C218" s="79">
        <f t="shared" ref="C218:C225" si="104">C217</f>
        <v>4</v>
      </c>
      <c r="D218" s="79">
        <f t="shared" ref="D218:D225" si="105">D217</f>
        <v>4</v>
      </c>
      <c r="E218" s="79">
        <v>2</v>
      </c>
      <c r="F218" s="79" t="s">
        <v>3680</v>
      </c>
      <c r="G218" s="79" t="s">
        <v>3681</v>
      </c>
      <c r="H218" s="79">
        <v>1</v>
      </c>
      <c r="I218" s="79">
        <v>1</v>
      </c>
      <c r="J218" s="79">
        <f t="shared" si="103"/>
        <v>100</v>
      </c>
      <c r="K218" s="79">
        <f t="shared" si="91"/>
        <v>0</v>
      </c>
      <c r="L218" s="79">
        <v>0</v>
      </c>
      <c r="M218" s="78">
        <v>4</v>
      </c>
      <c r="O218" s="79">
        <v>3</v>
      </c>
      <c r="Q218" s="79">
        <v>750044000</v>
      </c>
      <c r="R218" s="79">
        <f t="shared" si="102"/>
        <v>440004</v>
      </c>
      <c r="T218" s="79" t="s">
        <v>3682</v>
      </c>
      <c r="V218" s="79" t="s">
        <v>3683</v>
      </c>
    </row>
    <row r="219" ht="15" spans="1:22">
      <c r="A219" s="79">
        <f t="shared" si="85"/>
        <v>440004</v>
      </c>
      <c r="B219" s="79">
        <v>4</v>
      </c>
      <c r="C219" s="79">
        <f t="shared" si="104"/>
        <v>4</v>
      </c>
      <c r="D219" s="79">
        <f t="shared" si="105"/>
        <v>4</v>
      </c>
      <c r="E219" s="79">
        <v>2</v>
      </c>
      <c r="F219" s="79" t="s">
        <v>3680</v>
      </c>
      <c r="G219" s="79" t="s">
        <v>3681</v>
      </c>
      <c r="H219" s="79">
        <v>1</v>
      </c>
      <c r="I219" s="79">
        <v>1</v>
      </c>
      <c r="J219" s="79">
        <f t="shared" si="103"/>
        <v>150</v>
      </c>
      <c r="K219" s="79">
        <f t="shared" si="91"/>
        <v>0</v>
      </c>
      <c r="L219" s="79">
        <v>0</v>
      </c>
      <c r="M219" s="78">
        <v>5</v>
      </c>
      <c r="O219" s="79">
        <v>4</v>
      </c>
      <c r="Q219" s="79">
        <v>1369094400</v>
      </c>
      <c r="R219" s="79">
        <f t="shared" si="102"/>
        <v>440005</v>
      </c>
      <c r="T219" s="79" t="s">
        <v>3682</v>
      </c>
      <c r="V219" s="79" t="s">
        <v>3683</v>
      </c>
    </row>
    <row r="220" ht="15" spans="1:22">
      <c r="A220" s="79">
        <f t="shared" si="85"/>
        <v>440005</v>
      </c>
      <c r="B220" s="79">
        <v>4</v>
      </c>
      <c r="C220" s="79">
        <f t="shared" si="104"/>
        <v>4</v>
      </c>
      <c r="D220" s="79">
        <f t="shared" si="105"/>
        <v>4</v>
      </c>
      <c r="E220" s="79">
        <v>2</v>
      </c>
      <c r="F220" s="79" t="s">
        <v>3680</v>
      </c>
      <c r="G220" s="79" t="s">
        <v>3681</v>
      </c>
      <c r="H220" s="79">
        <v>0</v>
      </c>
      <c r="I220" s="79">
        <v>0</v>
      </c>
      <c r="J220" s="79">
        <f t="shared" si="103"/>
        <v>200</v>
      </c>
      <c r="K220" s="79">
        <f t="shared" si="91"/>
        <v>0</v>
      </c>
      <c r="L220" s="79">
        <v>0</v>
      </c>
      <c r="M220" s="78">
        <v>6</v>
      </c>
      <c r="O220" s="79">
        <v>5</v>
      </c>
      <c r="Q220" s="79">
        <v>1994483200</v>
      </c>
      <c r="R220" s="79">
        <f t="shared" si="102"/>
        <v>440006</v>
      </c>
      <c r="T220" s="79" t="s">
        <v>3682</v>
      </c>
      <c r="V220" s="79" t="s">
        <v>3683</v>
      </c>
    </row>
    <row r="221" ht="15" spans="1:22">
      <c r="A221" s="79">
        <f t="shared" si="85"/>
        <v>440006</v>
      </c>
      <c r="B221" s="79">
        <v>4</v>
      </c>
      <c r="C221" s="79">
        <f t="shared" si="104"/>
        <v>4</v>
      </c>
      <c r="D221" s="79">
        <f t="shared" si="105"/>
        <v>4</v>
      </c>
      <c r="E221" s="79">
        <v>3</v>
      </c>
      <c r="F221" s="79" t="s">
        <v>3684</v>
      </c>
      <c r="G221" s="79" t="s">
        <v>3685</v>
      </c>
      <c r="H221" s="79">
        <v>1</v>
      </c>
      <c r="I221" s="79">
        <v>1</v>
      </c>
      <c r="J221" s="79">
        <f t="shared" si="103"/>
        <v>250</v>
      </c>
      <c r="K221" s="79">
        <f t="shared" si="91"/>
        <v>0</v>
      </c>
      <c r="L221" s="79">
        <v>0</v>
      </c>
      <c r="M221" s="78">
        <v>7</v>
      </c>
      <c r="O221" s="79">
        <v>6</v>
      </c>
      <c r="Q221" s="79">
        <v>3061447200</v>
      </c>
      <c r="R221" s="79">
        <f t="shared" si="102"/>
        <v>440007</v>
      </c>
      <c r="T221" s="79" t="s">
        <v>3682</v>
      </c>
      <c r="V221" s="79" t="s">
        <v>3683</v>
      </c>
    </row>
    <row r="222" ht="15" spans="1:22">
      <c r="A222" s="79">
        <f t="shared" si="85"/>
        <v>440007</v>
      </c>
      <c r="B222" s="79">
        <v>4</v>
      </c>
      <c r="C222" s="79">
        <f t="shared" si="104"/>
        <v>4</v>
      </c>
      <c r="D222" s="79">
        <f t="shared" si="105"/>
        <v>4</v>
      </c>
      <c r="E222" s="79">
        <v>3</v>
      </c>
      <c r="F222" s="79" t="s">
        <v>3684</v>
      </c>
      <c r="G222" s="79" t="s">
        <v>3685</v>
      </c>
      <c r="H222" s="79">
        <v>1</v>
      </c>
      <c r="I222" s="79">
        <v>0</v>
      </c>
      <c r="J222" s="79">
        <f t="shared" si="103"/>
        <v>300</v>
      </c>
      <c r="K222" s="79">
        <f t="shared" si="91"/>
        <v>0</v>
      </c>
      <c r="L222" s="79">
        <v>0</v>
      </c>
      <c r="M222" s="78">
        <v>8</v>
      </c>
      <c r="O222" s="79">
        <v>7</v>
      </c>
      <c r="Q222" s="79">
        <v>4544632800</v>
      </c>
      <c r="R222" s="79">
        <f t="shared" si="102"/>
        <v>440008</v>
      </c>
      <c r="T222" s="79" t="s">
        <v>3682</v>
      </c>
      <c r="V222" s="79" t="s">
        <v>3683</v>
      </c>
    </row>
    <row r="223" ht="15" spans="1:22">
      <c r="A223" s="79">
        <f t="shared" si="85"/>
        <v>440008</v>
      </c>
      <c r="B223" s="79">
        <v>4</v>
      </c>
      <c r="C223" s="79">
        <f t="shared" si="104"/>
        <v>4</v>
      </c>
      <c r="D223" s="79">
        <f t="shared" si="105"/>
        <v>4</v>
      </c>
      <c r="E223" s="79">
        <v>3</v>
      </c>
      <c r="F223" s="79" t="s">
        <v>3684</v>
      </c>
      <c r="G223" s="79" t="s">
        <v>3685</v>
      </c>
      <c r="H223" s="79">
        <v>1</v>
      </c>
      <c r="I223" s="79">
        <v>1</v>
      </c>
      <c r="J223" s="79">
        <f t="shared" si="103"/>
        <v>350</v>
      </c>
      <c r="K223" s="79">
        <f t="shared" si="91"/>
        <v>0</v>
      </c>
      <c r="L223" s="79">
        <v>0</v>
      </c>
      <c r="M223" s="78">
        <v>9</v>
      </c>
      <c r="O223" s="79">
        <v>8</v>
      </c>
      <c r="Q223" s="79">
        <v>6648981600</v>
      </c>
      <c r="R223" s="79">
        <f t="shared" si="102"/>
        <v>440009</v>
      </c>
      <c r="T223" s="79" t="s">
        <v>3682</v>
      </c>
      <c r="V223" s="79" t="s">
        <v>3683</v>
      </c>
    </row>
    <row r="224" ht="15" spans="1:22">
      <c r="A224" s="79">
        <f t="shared" si="85"/>
        <v>440009</v>
      </c>
      <c r="B224" s="79">
        <v>4</v>
      </c>
      <c r="C224" s="79">
        <f t="shared" si="104"/>
        <v>4</v>
      </c>
      <c r="D224" s="79">
        <f t="shared" si="105"/>
        <v>4</v>
      </c>
      <c r="E224" s="79">
        <v>3</v>
      </c>
      <c r="F224" s="79" t="s">
        <v>3684</v>
      </c>
      <c r="G224" s="79" t="s">
        <v>3685</v>
      </c>
      <c r="H224" s="79">
        <v>0</v>
      </c>
      <c r="I224" s="79">
        <v>0</v>
      </c>
      <c r="J224" s="79">
        <f t="shared" si="103"/>
        <v>400</v>
      </c>
      <c r="K224" s="79">
        <f t="shared" si="91"/>
        <v>0</v>
      </c>
      <c r="L224" s="79">
        <v>0</v>
      </c>
      <c r="M224" s="78">
        <v>9</v>
      </c>
      <c r="O224" s="79">
        <v>9</v>
      </c>
      <c r="Q224" s="79">
        <v>7449732800</v>
      </c>
      <c r="R224" s="79">
        <f t="shared" si="102"/>
        <v>440010</v>
      </c>
      <c r="T224" s="79" t="s">
        <v>3682</v>
      </c>
      <c r="V224" s="79" t="s">
        <v>3683</v>
      </c>
    </row>
    <row r="225" ht="15" spans="1:22">
      <c r="A225" s="79">
        <f t="shared" si="85"/>
        <v>440010</v>
      </c>
      <c r="B225" s="79">
        <v>4</v>
      </c>
      <c r="C225" s="79">
        <f t="shared" si="104"/>
        <v>4</v>
      </c>
      <c r="D225" s="79">
        <f t="shared" si="105"/>
        <v>4</v>
      </c>
      <c r="E225" s="79">
        <v>4</v>
      </c>
      <c r="F225" s="79" t="s">
        <v>3686</v>
      </c>
      <c r="G225" s="79" t="s">
        <v>3687</v>
      </c>
      <c r="H225" s="79">
        <v>1</v>
      </c>
      <c r="I225" s="79">
        <v>0</v>
      </c>
      <c r="J225" s="79">
        <f t="shared" si="103"/>
        <v>450</v>
      </c>
      <c r="K225" s="79">
        <f t="shared" si="91"/>
        <v>0</v>
      </c>
      <c r="L225" s="79">
        <v>0</v>
      </c>
      <c r="M225" s="78">
        <v>10</v>
      </c>
      <c r="O225" s="79">
        <v>10</v>
      </c>
      <c r="R225" s="79">
        <f>A273</f>
        <v>0</v>
      </c>
      <c r="T225" s="79" t="s">
        <v>3682</v>
      </c>
      <c r="V225" s="79" t="s">
        <v>3683</v>
      </c>
    </row>
    <row r="226" spans="1:22">
      <c r="A226" s="79">
        <f t="shared" si="85"/>
        <v>340001</v>
      </c>
      <c r="B226" s="79">
        <v>4</v>
      </c>
      <c r="C226" s="79">
        <v>3</v>
      </c>
      <c r="D226" s="79">
        <v>3</v>
      </c>
      <c r="E226" s="79">
        <v>1</v>
      </c>
      <c r="F226" s="79" t="s">
        <v>3688</v>
      </c>
      <c r="G226" s="79" t="s">
        <v>3689</v>
      </c>
      <c r="H226" s="79">
        <v>0</v>
      </c>
      <c r="K226" s="79">
        <f t="shared" si="91"/>
        <v>0</v>
      </c>
      <c r="L226" s="79">
        <v>0</v>
      </c>
      <c r="O226" s="79">
        <v>1</v>
      </c>
      <c r="Q226" s="79">
        <v>595809600</v>
      </c>
      <c r="R226" s="79">
        <f t="shared" ref="R226:R234" si="106">A227</f>
        <v>340002</v>
      </c>
      <c r="T226" s="79" t="s">
        <v>3690</v>
      </c>
      <c r="V226" s="79" t="s">
        <v>3691</v>
      </c>
    </row>
    <row r="227" ht="15" spans="1:22">
      <c r="A227" s="79">
        <f t="shared" si="85"/>
        <v>340002</v>
      </c>
      <c r="B227" s="79">
        <v>4</v>
      </c>
      <c r="C227" s="79">
        <f>C187+1</f>
        <v>3</v>
      </c>
      <c r="D227" s="79">
        <f>D187+1</f>
        <v>3</v>
      </c>
      <c r="E227" s="79">
        <v>2</v>
      </c>
      <c r="F227" s="79" t="s">
        <v>3688</v>
      </c>
      <c r="G227" s="79" t="s">
        <v>3689</v>
      </c>
      <c r="H227" s="79">
        <v>1</v>
      </c>
      <c r="I227" s="79">
        <v>1</v>
      </c>
      <c r="J227" s="79">
        <f t="shared" ref="J227:J235" si="107">$J$1*(O227-1)</f>
        <v>50</v>
      </c>
      <c r="K227" s="79">
        <f t="shared" si="91"/>
        <v>0</v>
      </c>
      <c r="L227" s="79">
        <v>0</v>
      </c>
      <c r="M227" s="78">
        <v>4</v>
      </c>
      <c r="O227" s="79">
        <v>2</v>
      </c>
      <c r="Q227" s="79">
        <v>771172000</v>
      </c>
      <c r="R227" s="79">
        <f t="shared" si="106"/>
        <v>340003</v>
      </c>
      <c r="T227" s="79" t="s">
        <v>3690</v>
      </c>
      <c r="V227" s="79" t="s">
        <v>3691</v>
      </c>
    </row>
    <row r="228" ht="15" spans="1:22">
      <c r="A228" s="79">
        <f t="shared" si="85"/>
        <v>340003</v>
      </c>
      <c r="B228" s="79">
        <v>4</v>
      </c>
      <c r="C228" s="79">
        <f t="shared" ref="C228:C235" si="108">C227</f>
        <v>3</v>
      </c>
      <c r="D228" s="79">
        <f t="shared" ref="D228:D235" si="109">D227</f>
        <v>3</v>
      </c>
      <c r="E228" s="79">
        <v>2</v>
      </c>
      <c r="F228" s="79" t="s">
        <v>3688</v>
      </c>
      <c r="G228" s="79" t="s">
        <v>3689</v>
      </c>
      <c r="H228" s="79">
        <v>1</v>
      </c>
      <c r="I228" s="79">
        <v>1</v>
      </c>
      <c r="J228" s="79">
        <f t="shared" si="107"/>
        <v>100</v>
      </c>
      <c r="K228" s="79">
        <f t="shared" si="91"/>
        <v>0</v>
      </c>
      <c r="L228" s="79">
        <v>0</v>
      </c>
      <c r="M228" s="78">
        <v>5</v>
      </c>
      <c r="O228" s="79">
        <v>3</v>
      </c>
      <c r="Q228" s="79">
        <v>1711368000</v>
      </c>
      <c r="R228" s="79">
        <f t="shared" si="106"/>
        <v>340004</v>
      </c>
      <c r="T228" s="79" t="s">
        <v>3690</v>
      </c>
      <c r="V228" s="79" t="s">
        <v>3691</v>
      </c>
    </row>
    <row r="229" ht="15" spans="1:22">
      <c r="A229" s="79">
        <f t="shared" si="85"/>
        <v>340004</v>
      </c>
      <c r="B229" s="79">
        <v>4</v>
      </c>
      <c r="C229" s="79">
        <f t="shared" si="108"/>
        <v>3</v>
      </c>
      <c r="D229" s="79">
        <f t="shared" si="109"/>
        <v>3</v>
      </c>
      <c r="E229" s="79">
        <v>2</v>
      </c>
      <c r="F229" s="79" t="s">
        <v>3688</v>
      </c>
      <c r="G229" s="79" t="s">
        <v>3689</v>
      </c>
      <c r="H229" s="79">
        <v>1</v>
      </c>
      <c r="I229" s="79">
        <v>1</v>
      </c>
      <c r="J229" s="79">
        <f t="shared" si="107"/>
        <v>150</v>
      </c>
      <c r="K229" s="79">
        <f t="shared" si="91"/>
        <v>0</v>
      </c>
      <c r="L229" s="79">
        <v>0</v>
      </c>
      <c r="M229" s="78">
        <v>6</v>
      </c>
      <c r="O229" s="79">
        <v>4</v>
      </c>
      <c r="Q229" s="79">
        <v>2034626400</v>
      </c>
      <c r="R229" s="79">
        <f t="shared" si="106"/>
        <v>340005</v>
      </c>
      <c r="T229" s="79" t="s">
        <v>3690</v>
      </c>
      <c r="V229" s="79" t="s">
        <v>3691</v>
      </c>
    </row>
    <row r="230" ht="15" spans="1:22">
      <c r="A230" s="79">
        <f t="shared" si="85"/>
        <v>340005</v>
      </c>
      <c r="B230" s="79">
        <v>4</v>
      </c>
      <c r="C230" s="79">
        <f t="shared" si="108"/>
        <v>3</v>
      </c>
      <c r="D230" s="79">
        <f t="shared" si="109"/>
        <v>3</v>
      </c>
      <c r="E230" s="79">
        <v>2</v>
      </c>
      <c r="F230" s="79" t="s">
        <v>3688</v>
      </c>
      <c r="G230" s="79" t="s">
        <v>3689</v>
      </c>
      <c r="H230" s="79">
        <v>0</v>
      </c>
      <c r="I230" s="79">
        <v>0</v>
      </c>
      <c r="J230" s="79">
        <f t="shared" si="107"/>
        <v>200</v>
      </c>
      <c r="K230" s="79">
        <f t="shared" si="91"/>
        <v>0</v>
      </c>
      <c r="L230" s="79">
        <v>0</v>
      </c>
      <c r="M230" s="78">
        <v>7</v>
      </c>
      <c r="O230" s="79">
        <v>5</v>
      </c>
      <c r="Q230" s="79">
        <v>3179764000</v>
      </c>
      <c r="R230" s="79">
        <f t="shared" si="106"/>
        <v>340006</v>
      </c>
      <c r="T230" s="79" t="s">
        <v>3690</v>
      </c>
      <c r="V230" s="79" t="s">
        <v>3691</v>
      </c>
    </row>
    <row r="231" ht="15" spans="1:22">
      <c r="A231" s="79">
        <f t="shared" si="85"/>
        <v>340006</v>
      </c>
      <c r="B231" s="79">
        <v>4</v>
      </c>
      <c r="C231" s="79">
        <f t="shared" si="108"/>
        <v>3</v>
      </c>
      <c r="D231" s="79">
        <f t="shared" si="109"/>
        <v>3</v>
      </c>
      <c r="E231" s="79">
        <v>3</v>
      </c>
      <c r="F231" s="79" t="s">
        <v>3692</v>
      </c>
      <c r="G231" s="79" t="s">
        <v>3693</v>
      </c>
      <c r="H231" s="79">
        <v>1</v>
      </c>
      <c r="I231" s="79">
        <v>1</v>
      </c>
      <c r="J231" s="79">
        <f t="shared" si="107"/>
        <v>250</v>
      </c>
      <c r="K231" s="79">
        <f t="shared" si="91"/>
        <v>0</v>
      </c>
      <c r="L231" s="79">
        <v>0</v>
      </c>
      <c r="M231" s="78">
        <v>8</v>
      </c>
      <c r="O231" s="79">
        <v>6</v>
      </c>
      <c r="Q231" s="79">
        <v>4732672000</v>
      </c>
      <c r="R231" s="79">
        <f t="shared" si="106"/>
        <v>340007</v>
      </c>
      <c r="T231" s="79" t="s">
        <v>3690</v>
      </c>
      <c r="V231" s="79" t="s">
        <v>3691</v>
      </c>
    </row>
    <row r="232" ht="15" spans="1:22">
      <c r="A232" s="79">
        <f t="shared" si="85"/>
        <v>340007</v>
      </c>
      <c r="B232" s="79">
        <v>4</v>
      </c>
      <c r="C232" s="79">
        <f t="shared" si="108"/>
        <v>3</v>
      </c>
      <c r="D232" s="79">
        <f t="shared" si="109"/>
        <v>3</v>
      </c>
      <c r="E232" s="79">
        <v>3</v>
      </c>
      <c r="F232" s="79" t="s">
        <v>3692</v>
      </c>
      <c r="G232" s="79" t="s">
        <v>3693</v>
      </c>
      <c r="H232" s="79">
        <v>1</v>
      </c>
      <c r="I232" s="79">
        <v>0</v>
      </c>
      <c r="J232" s="79">
        <f t="shared" si="107"/>
        <v>300</v>
      </c>
      <c r="K232" s="79">
        <f t="shared" si="91"/>
        <v>0</v>
      </c>
      <c r="L232" s="79">
        <v>0</v>
      </c>
      <c r="M232" s="78">
        <v>9</v>
      </c>
      <c r="O232" s="79">
        <v>7</v>
      </c>
      <c r="Q232" s="79">
        <v>6773636800</v>
      </c>
      <c r="R232" s="79">
        <f t="shared" si="106"/>
        <v>340008</v>
      </c>
      <c r="T232" s="79" t="s">
        <v>3690</v>
      </c>
      <c r="V232" s="79" t="s">
        <v>3691</v>
      </c>
    </row>
    <row r="233" ht="15" spans="1:22">
      <c r="A233" s="79">
        <f t="shared" si="85"/>
        <v>340008</v>
      </c>
      <c r="B233" s="79">
        <v>4</v>
      </c>
      <c r="C233" s="79">
        <f t="shared" si="108"/>
        <v>3</v>
      </c>
      <c r="D233" s="79">
        <f t="shared" si="109"/>
        <v>3</v>
      </c>
      <c r="E233" s="79">
        <v>3</v>
      </c>
      <c r="F233" s="79" t="s">
        <v>3692</v>
      </c>
      <c r="G233" s="79" t="s">
        <v>3693</v>
      </c>
      <c r="H233" s="79">
        <v>1</v>
      </c>
      <c r="I233" s="79">
        <v>1</v>
      </c>
      <c r="J233" s="79">
        <f t="shared" si="107"/>
        <v>350</v>
      </c>
      <c r="K233" s="79">
        <f t="shared" si="91"/>
        <v>0</v>
      </c>
      <c r="L233" s="79">
        <v>0</v>
      </c>
      <c r="M233" s="78">
        <v>9</v>
      </c>
      <c r="O233" s="79">
        <v>8</v>
      </c>
      <c r="Q233" s="79">
        <v>7654674400</v>
      </c>
      <c r="R233" s="79">
        <f t="shared" si="106"/>
        <v>340009</v>
      </c>
      <c r="T233" s="79" t="s">
        <v>3690</v>
      </c>
      <c r="V233" s="79" t="s">
        <v>3691</v>
      </c>
    </row>
    <row r="234" ht="15" spans="1:22">
      <c r="A234" s="79">
        <f t="shared" si="85"/>
        <v>340009</v>
      </c>
      <c r="B234" s="79">
        <v>4</v>
      </c>
      <c r="C234" s="79">
        <f t="shared" si="108"/>
        <v>3</v>
      </c>
      <c r="D234" s="79">
        <f t="shared" si="109"/>
        <v>3</v>
      </c>
      <c r="E234" s="79">
        <v>3</v>
      </c>
      <c r="F234" s="79" t="s">
        <v>3692</v>
      </c>
      <c r="G234" s="79" t="s">
        <v>3693</v>
      </c>
      <c r="H234" s="79">
        <v>0</v>
      </c>
      <c r="I234" s="79">
        <v>0</v>
      </c>
      <c r="J234" s="79">
        <f t="shared" si="107"/>
        <v>400</v>
      </c>
      <c r="K234" s="79">
        <f t="shared" si="91"/>
        <v>0</v>
      </c>
      <c r="L234" s="79">
        <v>0</v>
      </c>
      <c r="M234" s="78">
        <v>10</v>
      </c>
      <c r="O234" s="79">
        <v>9</v>
      </c>
      <c r="Q234" s="79">
        <v>8465989600</v>
      </c>
      <c r="R234" s="79">
        <f t="shared" si="106"/>
        <v>340010</v>
      </c>
      <c r="T234" s="79" t="s">
        <v>3690</v>
      </c>
      <c r="V234" s="79" t="s">
        <v>3691</v>
      </c>
    </row>
    <row r="235" ht="15" spans="1:22">
      <c r="A235" s="79">
        <f t="shared" si="85"/>
        <v>340010</v>
      </c>
      <c r="B235" s="79">
        <v>4</v>
      </c>
      <c r="C235" s="79">
        <f t="shared" si="108"/>
        <v>3</v>
      </c>
      <c r="D235" s="79">
        <f t="shared" si="109"/>
        <v>3</v>
      </c>
      <c r="E235" s="79">
        <v>4</v>
      </c>
      <c r="F235" s="79" t="s">
        <v>3694</v>
      </c>
      <c r="G235" s="79" t="s">
        <v>3695</v>
      </c>
      <c r="H235" s="79">
        <v>1</v>
      </c>
      <c r="I235" s="79">
        <v>0</v>
      </c>
      <c r="J235" s="79">
        <f t="shared" si="107"/>
        <v>450</v>
      </c>
      <c r="K235" s="79">
        <f t="shared" si="91"/>
        <v>0</v>
      </c>
      <c r="L235" s="79">
        <v>0</v>
      </c>
      <c r="M235" s="78">
        <v>10</v>
      </c>
      <c r="O235" s="79">
        <v>10</v>
      </c>
      <c r="R235" s="79">
        <f>A264</f>
        <v>0</v>
      </c>
      <c r="T235" s="79" t="s">
        <v>3690</v>
      </c>
      <c r="V235" s="79" t="s">
        <v>3691</v>
      </c>
    </row>
    <row r="236" spans="1:22">
      <c r="A236" s="79">
        <f t="shared" si="85"/>
        <v>640001</v>
      </c>
      <c r="B236" s="79">
        <v>4</v>
      </c>
      <c r="C236" s="79">
        <v>6</v>
      </c>
      <c r="D236" s="79">
        <v>6</v>
      </c>
      <c r="E236" s="79">
        <v>0</v>
      </c>
      <c r="F236" s="79" t="s">
        <v>3696</v>
      </c>
      <c r="G236" s="79" t="s">
        <v>3697</v>
      </c>
      <c r="H236" s="79">
        <v>0</v>
      </c>
      <c r="K236" s="79">
        <f t="shared" si="91"/>
        <v>0</v>
      </c>
      <c r="L236" s="79">
        <v>0</v>
      </c>
      <c r="O236" s="79">
        <v>1</v>
      </c>
      <c r="Q236" s="79">
        <v>1170491200</v>
      </c>
      <c r="R236" s="79">
        <f t="shared" ref="R236:R244" si="110">A237</f>
        <v>640002</v>
      </c>
      <c r="T236" s="79" t="s">
        <v>3698</v>
      </c>
      <c r="V236" s="79" t="s">
        <v>3699</v>
      </c>
    </row>
    <row r="237" ht="15" spans="1:22">
      <c r="A237" s="79">
        <f t="shared" si="85"/>
        <v>640002</v>
      </c>
      <c r="B237" s="79">
        <v>4</v>
      </c>
      <c r="C237" s="79">
        <f>C207+1</f>
        <v>6</v>
      </c>
      <c r="D237" s="79">
        <v>6</v>
      </c>
      <c r="E237" s="79">
        <v>1</v>
      </c>
      <c r="F237" s="79" t="s">
        <v>3696</v>
      </c>
      <c r="G237" s="79" t="s">
        <v>3697</v>
      </c>
      <c r="H237" s="79">
        <v>1</v>
      </c>
      <c r="I237" s="79">
        <v>1</v>
      </c>
      <c r="J237" s="79">
        <f t="shared" ref="J237:J245" si="111">$J$1*(O237-1)</f>
        <v>50</v>
      </c>
      <c r="K237" s="79">
        <f t="shared" si="91"/>
        <v>0</v>
      </c>
      <c r="L237" s="79">
        <v>0</v>
      </c>
      <c r="M237" s="78">
        <v>5</v>
      </c>
      <c r="O237" s="79">
        <v>2</v>
      </c>
      <c r="Q237" s="79">
        <v>1751511200</v>
      </c>
      <c r="R237" s="79">
        <f t="shared" si="110"/>
        <v>640003</v>
      </c>
      <c r="T237" s="79" t="s">
        <v>3698</v>
      </c>
      <c r="V237" s="79" t="s">
        <v>3699</v>
      </c>
    </row>
    <row r="238" ht="15" spans="1:22">
      <c r="A238" s="79">
        <f t="shared" si="85"/>
        <v>640003</v>
      </c>
      <c r="B238" s="79">
        <v>4</v>
      </c>
      <c r="C238" s="79">
        <f t="shared" ref="C238:C245" si="112">C237</f>
        <v>6</v>
      </c>
      <c r="D238" s="79">
        <v>6</v>
      </c>
      <c r="E238" s="79">
        <v>1</v>
      </c>
      <c r="F238" s="79" t="s">
        <v>3696</v>
      </c>
      <c r="G238" s="79" t="s">
        <v>3697</v>
      </c>
      <c r="H238" s="79">
        <v>1</v>
      </c>
      <c r="I238" s="79">
        <v>1</v>
      </c>
      <c r="J238" s="79">
        <f t="shared" si="111"/>
        <v>100</v>
      </c>
      <c r="K238" s="79">
        <f t="shared" si="91"/>
        <v>0</v>
      </c>
      <c r="L238" s="79">
        <v>0</v>
      </c>
      <c r="M238" s="78">
        <v>6</v>
      </c>
      <c r="O238" s="79">
        <v>3</v>
      </c>
      <c r="Q238" s="79">
        <v>2121251200</v>
      </c>
      <c r="R238" s="79">
        <f t="shared" si="110"/>
        <v>640004</v>
      </c>
      <c r="T238" s="79" t="s">
        <v>3698</v>
      </c>
      <c r="V238" s="79" t="s">
        <v>3699</v>
      </c>
    </row>
    <row r="239" ht="15" spans="1:22">
      <c r="A239" s="79">
        <f t="shared" si="85"/>
        <v>640004</v>
      </c>
      <c r="B239" s="79">
        <v>4</v>
      </c>
      <c r="C239" s="79">
        <f t="shared" si="112"/>
        <v>6</v>
      </c>
      <c r="D239" s="79">
        <v>6</v>
      </c>
      <c r="E239" s="79">
        <v>1</v>
      </c>
      <c r="F239" s="79" t="s">
        <v>3696</v>
      </c>
      <c r="G239" s="79" t="s">
        <v>3697</v>
      </c>
      <c r="H239" s="79">
        <v>1</v>
      </c>
      <c r="I239" s="79">
        <v>1</v>
      </c>
      <c r="J239" s="79">
        <f t="shared" si="111"/>
        <v>150</v>
      </c>
      <c r="K239" s="79">
        <f t="shared" si="91"/>
        <v>0</v>
      </c>
      <c r="L239" s="79">
        <v>0</v>
      </c>
      <c r="M239" s="78">
        <v>7</v>
      </c>
      <c r="O239" s="79">
        <v>4</v>
      </c>
      <c r="Q239" s="79">
        <v>3236809600</v>
      </c>
      <c r="R239" s="79">
        <f t="shared" si="110"/>
        <v>640005</v>
      </c>
      <c r="T239" s="79" t="s">
        <v>3698</v>
      </c>
      <c r="V239" s="79" t="s">
        <v>3699</v>
      </c>
    </row>
    <row r="240" ht="15" spans="1:22">
      <c r="A240" s="79">
        <f t="shared" ref="A240:A245" si="113">C240*100000+B240*10000+O240</f>
        <v>640005</v>
      </c>
      <c r="B240" s="79">
        <v>4</v>
      </c>
      <c r="C240" s="79">
        <f t="shared" si="112"/>
        <v>6</v>
      </c>
      <c r="D240" s="79">
        <v>6</v>
      </c>
      <c r="E240" s="79">
        <v>1</v>
      </c>
      <c r="F240" s="79" t="s">
        <v>3696</v>
      </c>
      <c r="G240" s="79" t="s">
        <v>3697</v>
      </c>
      <c r="H240" s="79">
        <v>2</v>
      </c>
      <c r="I240" s="79">
        <v>0</v>
      </c>
      <c r="J240" s="79">
        <f t="shared" si="111"/>
        <v>200</v>
      </c>
      <c r="K240" s="79">
        <f t="shared" si="91"/>
        <v>0</v>
      </c>
      <c r="L240" s="79">
        <v>0</v>
      </c>
      <c r="M240" s="78">
        <v>8</v>
      </c>
      <c r="O240" s="79">
        <v>5</v>
      </c>
      <c r="Q240" s="79">
        <v>4829860800</v>
      </c>
      <c r="R240" s="79">
        <f t="shared" si="110"/>
        <v>640006</v>
      </c>
      <c r="T240" s="79" t="s">
        <v>3698</v>
      </c>
      <c r="V240" s="79" t="s">
        <v>3699</v>
      </c>
    </row>
    <row r="241" ht="15" spans="1:22">
      <c r="A241" s="79">
        <f t="shared" si="113"/>
        <v>640006</v>
      </c>
      <c r="B241" s="79">
        <v>4</v>
      </c>
      <c r="C241" s="79">
        <f t="shared" si="112"/>
        <v>6</v>
      </c>
      <c r="D241" s="79">
        <v>6</v>
      </c>
      <c r="E241" s="79">
        <v>2</v>
      </c>
      <c r="F241" s="79" t="s">
        <v>3700</v>
      </c>
      <c r="G241" s="79" t="s">
        <v>3701</v>
      </c>
      <c r="H241" s="79">
        <v>1</v>
      </c>
      <c r="I241" s="79">
        <v>1</v>
      </c>
      <c r="J241" s="79">
        <f t="shared" si="111"/>
        <v>250</v>
      </c>
      <c r="K241" s="79">
        <f t="shared" si="91"/>
        <v>0</v>
      </c>
      <c r="L241" s="79">
        <v>0</v>
      </c>
      <c r="M241" s="78">
        <v>9</v>
      </c>
      <c r="O241" s="79">
        <v>6</v>
      </c>
      <c r="Q241" s="79">
        <v>6864487200</v>
      </c>
      <c r="R241" s="79">
        <f t="shared" si="110"/>
        <v>640007</v>
      </c>
      <c r="T241" s="79" t="s">
        <v>3702</v>
      </c>
      <c r="V241" s="79" t="s">
        <v>3703</v>
      </c>
    </row>
    <row r="242" ht="15" spans="1:22">
      <c r="A242" s="79">
        <f t="shared" si="113"/>
        <v>640007</v>
      </c>
      <c r="B242" s="79">
        <v>4</v>
      </c>
      <c r="C242" s="79">
        <f t="shared" si="112"/>
        <v>6</v>
      </c>
      <c r="D242" s="79">
        <v>6</v>
      </c>
      <c r="E242" s="79">
        <v>2</v>
      </c>
      <c r="F242" s="79" t="s">
        <v>3700</v>
      </c>
      <c r="G242" s="79" t="s">
        <v>3701</v>
      </c>
      <c r="H242" s="79">
        <v>1</v>
      </c>
      <c r="I242" s="79">
        <v>0</v>
      </c>
      <c r="J242" s="79">
        <f t="shared" si="111"/>
        <v>300</v>
      </c>
      <c r="K242" s="79">
        <f t="shared" si="91"/>
        <v>0</v>
      </c>
      <c r="L242" s="79">
        <v>0</v>
      </c>
      <c r="M242" s="78">
        <v>10</v>
      </c>
      <c r="O242" s="79">
        <v>7</v>
      </c>
      <c r="Q242" s="79">
        <v>7749750400</v>
      </c>
      <c r="R242" s="79">
        <f t="shared" si="110"/>
        <v>640008</v>
      </c>
      <c r="T242" s="79" t="s">
        <v>3702</v>
      </c>
      <c r="V242" s="79" t="s">
        <v>3703</v>
      </c>
    </row>
    <row r="243" ht="15" spans="1:22">
      <c r="A243" s="79">
        <f t="shared" si="113"/>
        <v>640008</v>
      </c>
      <c r="B243" s="79">
        <v>4</v>
      </c>
      <c r="C243" s="79">
        <f t="shared" si="112"/>
        <v>6</v>
      </c>
      <c r="D243" s="79">
        <v>6</v>
      </c>
      <c r="E243" s="79">
        <v>2</v>
      </c>
      <c r="F243" s="79" t="s">
        <v>3700</v>
      </c>
      <c r="G243" s="79" t="s">
        <v>3701</v>
      </c>
      <c r="H243" s="79">
        <v>1</v>
      </c>
      <c r="I243" s="79">
        <v>1</v>
      </c>
      <c r="J243" s="79">
        <f t="shared" si="111"/>
        <v>350</v>
      </c>
      <c r="K243" s="79">
        <f t="shared" si="91"/>
        <v>0</v>
      </c>
      <c r="L243" s="79">
        <v>0</v>
      </c>
      <c r="M243" s="78">
        <v>10</v>
      </c>
      <c r="O243" s="79">
        <v>8</v>
      </c>
      <c r="Q243" s="79">
        <v>8685720800</v>
      </c>
      <c r="R243" s="79">
        <f t="shared" si="110"/>
        <v>640009</v>
      </c>
      <c r="T243" s="79" t="s">
        <v>3702</v>
      </c>
      <c r="V243" s="79" t="s">
        <v>3703</v>
      </c>
    </row>
    <row r="244" ht="15" spans="1:22">
      <c r="A244" s="79">
        <f t="shared" si="113"/>
        <v>640009</v>
      </c>
      <c r="B244" s="79">
        <v>4</v>
      </c>
      <c r="C244" s="79">
        <f t="shared" si="112"/>
        <v>6</v>
      </c>
      <c r="D244" s="79">
        <v>6</v>
      </c>
      <c r="E244" s="79">
        <v>2</v>
      </c>
      <c r="F244" s="79" t="s">
        <v>3700</v>
      </c>
      <c r="G244" s="79" t="s">
        <v>3701</v>
      </c>
      <c r="H244" s="79">
        <v>2</v>
      </c>
      <c r="I244" s="79">
        <v>0</v>
      </c>
      <c r="J244" s="79">
        <f t="shared" si="111"/>
        <v>400</v>
      </c>
      <c r="K244" s="79">
        <f t="shared" si="91"/>
        <v>0</v>
      </c>
      <c r="L244" s="79">
        <v>0</v>
      </c>
      <c r="M244" s="78">
        <v>10</v>
      </c>
      <c r="O244" s="79">
        <v>9</v>
      </c>
      <c r="Q244" s="79">
        <v>11662656000</v>
      </c>
      <c r="R244" s="79">
        <f t="shared" si="110"/>
        <v>640010</v>
      </c>
      <c r="T244" s="79" t="s">
        <v>3702</v>
      </c>
      <c r="V244" s="79" t="s">
        <v>3703</v>
      </c>
    </row>
    <row r="245" ht="15" spans="1:22">
      <c r="A245" s="79">
        <f t="shared" si="113"/>
        <v>640010</v>
      </c>
      <c r="B245" s="79">
        <v>4</v>
      </c>
      <c r="C245" s="79">
        <f t="shared" si="112"/>
        <v>6</v>
      </c>
      <c r="D245" s="79">
        <v>6</v>
      </c>
      <c r="E245" s="79">
        <v>3</v>
      </c>
      <c r="F245" s="79" t="s">
        <v>3704</v>
      </c>
      <c r="G245" s="79" t="s">
        <v>3705</v>
      </c>
      <c r="H245" s="79">
        <v>1</v>
      </c>
      <c r="I245" s="79">
        <v>0</v>
      </c>
      <c r="J245" s="79">
        <f t="shared" si="111"/>
        <v>450</v>
      </c>
      <c r="K245" s="79">
        <f t="shared" si="91"/>
        <v>0</v>
      </c>
      <c r="L245" s="79">
        <v>0</v>
      </c>
      <c r="M245" s="78">
        <v>10</v>
      </c>
      <c r="O245" s="79">
        <v>10</v>
      </c>
      <c r="Q245" s="79">
        <v>0</v>
      </c>
      <c r="R245" s="79">
        <f>A291</f>
        <v>0</v>
      </c>
      <c r="T245" s="79" t="s">
        <v>3706</v>
      </c>
      <c r="V245" s="79" t="s">
        <v>3707</v>
      </c>
    </row>
  </sheetData>
  <sortState ref="A6:R121">
    <sortCondition ref="B1"/>
  </sortState>
  <conditionalFormatting sqref="A6">
    <cfRule type="duplicateValues" dxfId="9" priority="35"/>
  </conditionalFormatting>
  <conditionalFormatting sqref="A16">
    <cfRule type="duplicateValues" dxfId="9" priority="36"/>
  </conditionalFormatting>
  <conditionalFormatting sqref="A26">
    <cfRule type="duplicateValues" dxfId="9" priority="32"/>
  </conditionalFormatting>
  <conditionalFormatting sqref="A36">
    <cfRule type="duplicateValues" dxfId="9" priority="33"/>
  </conditionalFormatting>
  <conditionalFormatting sqref="A46">
    <cfRule type="duplicateValues" dxfId="9" priority="34"/>
  </conditionalFormatting>
  <conditionalFormatting sqref="A56">
    <cfRule type="duplicateValues" dxfId="9" priority="31"/>
  </conditionalFormatting>
  <conditionalFormatting sqref="A66">
    <cfRule type="duplicateValues" dxfId="9" priority="29"/>
  </conditionalFormatting>
  <conditionalFormatting sqref="A76">
    <cfRule type="duplicateValues" dxfId="9" priority="30"/>
  </conditionalFormatting>
  <conditionalFormatting sqref="A86">
    <cfRule type="duplicateValues" dxfId="9" priority="26"/>
  </conditionalFormatting>
  <conditionalFormatting sqref="A96">
    <cfRule type="duplicateValues" dxfId="9" priority="27"/>
  </conditionalFormatting>
  <conditionalFormatting sqref="A106">
    <cfRule type="duplicateValues" dxfId="9" priority="28"/>
  </conditionalFormatting>
  <conditionalFormatting sqref="A116">
    <cfRule type="duplicateValues" dxfId="9" priority="25"/>
  </conditionalFormatting>
  <conditionalFormatting sqref="A126">
    <cfRule type="duplicateValues" dxfId="9" priority="23"/>
  </conditionalFormatting>
  <conditionalFormatting sqref="A136">
    <cfRule type="duplicateValues" dxfId="9" priority="24"/>
  </conditionalFormatting>
  <conditionalFormatting sqref="A146">
    <cfRule type="duplicateValues" dxfId="9" priority="20"/>
  </conditionalFormatting>
  <conditionalFormatting sqref="A156">
    <cfRule type="duplicateValues" dxfId="9" priority="21"/>
  </conditionalFormatting>
  <conditionalFormatting sqref="A166">
    <cfRule type="duplicateValues" dxfId="9" priority="22"/>
  </conditionalFormatting>
  <conditionalFormatting sqref="A176">
    <cfRule type="duplicateValues" dxfId="9" priority="19"/>
  </conditionalFormatting>
  <conditionalFormatting sqref="A13:A14">
    <cfRule type="duplicateValues" dxfId="9" priority="17"/>
  </conditionalFormatting>
  <conditionalFormatting sqref="A23:A24">
    <cfRule type="duplicateValues" dxfId="9" priority="18"/>
  </conditionalFormatting>
  <conditionalFormatting sqref="A33:A34">
    <cfRule type="duplicateValues" dxfId="9" priority="14"/>
  </conditionalFormatting>
  <conditionalFormatting sqref="A43:A44">
    <cfRule type="duplicateValues" dxfId="9" priority="15"/>
  </conditionalFormatting>
  <conditionalFormatting sqref="A53:A54">
    <cfRule type="duplicateValues" dxfId="9" priority="16"/>
  </conditionalFormatting>
  <conditionalFormatting sqref="A63:A64">
    <cfRule type="duplicateValues" dxfId="9" priority="13"/>
  </conditionalFormatting>
  <conditionalFormatting sqref="A73:A74">
    <cfRule type="duplicateValues" dxfId="9" priority="11"/>
  </conditionalFormatting>
  <conditionalFormatting sqref="A83:A84">
    <cfRule type="duplicateValues" dxfId="9" priority="12"/>
  </conditionalFormatting>
  <conditionalFormatting sqref="A93:A94">
    <cfRule type="duplicateValues" dxfId="9" priority="8"/>
  </conditionalFormatting>
  <conditionalFormatting sqref="A103:A104">
    <cfRule type="duplicateValues" dxfId="9" priority="9"/>
  </conditionalFormatting>
  <conditionalFormatting sqref="A113:A114">
    <cfRule type="duplicateValues" dxfId="9" priority="10"/>
  </conditionalFormatting>
  <conditionalFormatting sqref="A133:A134">
    <cfRule type="duplicateValues" dxfId="9" priority="6"/>
  </conditionalFormatting>
  <conditionalFormatting sqref="A143:A144">
    <cfRule type="duplicateValues" dxfId="9" priority="7"/>
  </conditionalFormatting>
  <conditionalFormatting sqref="A153:A154">
    <cfRule type="duplicateValues" dxfId="9" priority="3"/>
  </conditionalFormatting>
  <conditionalFormatting sqref="A163:A164">
    <cfRule type="duplicateValues" dxfId="9" priority="4"/>
  </conditionalFormatting>
  <conditionalFormatting sqref="A173:A174">
    <cfRule type="duplicateValues" dxfId="9" priority="5"/>
  </conditionalFormatting>
  <conditionalFormatting sqref="A183:A184">
    <cfRule type="duplicateValues" dxfId="9" priority="2"/>
  </conditionalFormatting>
  <conditionalFormatting sqref="A186:A245">
    <cfRule type="duplicateValues" dxfId="9" priority="1"/>
  </conditionalFormatting>
  <conditionalFormatting sqref="A1:A2 A117:A125 A75 A67:A72 A85 A15 A7:A12 A25 A17:A22 A27:A32 A115 A57:A62 A65 A55 A47:A52 A107:A112 A35 A77:A82 A37:A42 A45 A97:A102 A105 A95 A87:A92">
    <cfRule type="duplicateValues" dxfId="9" priority="38"/>
  </conditionalFormatting>
  <conditionalFormatting sqref="A185 A177:A182 A135 A127:A132 A145 A137:A142 A175 A167:A172 A155 A165 A157:A162 A147:A152">
    <cfRule type="duplicateValues" dxfId="9" priority="37"/>
  </conditionalFormatting>
  <pageMargins left="0.7" right="0.7" top="0.75" bottom="0.75" header="0.3" footer="0.3"/>
  <pageSetup paperSize="9" orientation="portrait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J749"/>
  <sheetViews>
    <sheetView zoomScale="85" zoomScaleNormal="85" workbookViewId="0">
      <pane ySplit="5" topLeftCell="A552" activePane="bottomLeft" state="frozen"/>
      <selection/>
      <selection pane="bottomLeft" activeCell="I564" sqref="I564:I748"/>
    </sheetView>
  </sheetViews>
  <sheetFormatPr defaultColWidth="9" defaultRowHeight="17.25" customHeight="1"/>
  <cols>
    <col min="1" max="4" width="9" style="83"/>
    <col min="5" max="5" width="18" style="83" customWidth="1"/>
    <col min="6" max="6" width="19" style="84" customWidth="1"/>
    <col min="7" max="7" width="17.5044247787611" style="83" customWidth="1"/>
    <col min="8" max="8" width="18.2477876106195" style="85" customWidth="1"/>
    <col min="9" max="9" width="11.7522123893805" style="83" customWidth="1"/>
    <col min="10" max="16384" width="9" style="83"/>
  </cols>
  <sheetData>
    <row r="1" s="82" customFormat="1" customHeight="1" spans="1:10">
      <c r="A1" s="86" t="s">
        <v>35</v>
      </c>
      <c r="B1" s="86"/>
      <c r="C1" s="57"/>
      <c r="E1" s="86"/>
      <c r="F1" s="57"/>
      <c r="G1" s="87"/>
      <c r="H1" s="57"/>
      <c r="I1" s="57"/>
      <c r="J1" s="57"/>
    </row>
    <row r="2" customHeight="1" spans="1:9">
      <c r="A2" s="88" t="s">
        <v>2760</v>
      </c>
      <c r="B2" s="88" t="s">
        <v>997</v>
      </c>
      <c r="C2" s="88" t="s">
        <v>3459</v>
      </c>
      <c r="D2" s="88" t="s">
        <v>1093</v>
      </c>
      <c r="E2" s="88" t="s">
        <v>3708</v>
      </c>
      <c r="F2" s="89" t="s">
        <v>3709</v>
      </c>
      <c r="G2" s="88" t="s">
        <v>3710</v>
      </c>
      <c r="H2" s="90" t="s">
        <v>3711</v>
      </c>
      <c r="I2" s="88" t="s">
        <v>3712</v>
      </c>
    </row>
    <row r="3" customHeight="1" spans="1:9">
      <c r="A3" s="88" t="s">
        <v>109</v>
      </c>
      <c r="B3" s="88" t="s">
        <v>109</v>
      </c>
      <c r="C3" s="88" t="s">
        <v>109</v>
      </c>
      <c r="D3" s="88" t="s">
        <v>109</v>
      </c>
      <c r="E3" s="88" t="s">
        <v>110</v>
      </c>
      <c r="F3" s="89" t="s">
        <v>109</v>
      </c>
      <c r="G3" s="88" t="s">
        <v>109</v>
      </c>
      <c r="H3" s="90" t="s">
        <v>109</v>
      </c>
      <c r="I3" s="88" t="s">
        <v>109</v>
      </c>
    </row>
    <row r="4" customHeight="1" spans="1:9">
      <c r="A4" s="88" t="s">
        <v>62</v>
      </c>
      <c r="B4" s="88" t="s">
        <v>558</v>
      </c>
      <c r="C4" s="88" t="s">
        <v>67</v>
      </c>
      <c r="D4" s="88" t="s">
        <v>557</v>
      </c>
      <c r="E4" s="88" t="s">
        <v>3713</v>
      </c>
      <c r="F4" s="89" t="s">
        <v>1031</v>
      </c>
      <c r="G4" s="88" t="s">
        <v>3714</v>
      </c>
      <c r="H4" s="90" t="s">
        <v>3715</v>
      </c>
      <c r="I4" s="88" t="s">
        <v>3491</v>
      </c>
    </row>
    <row r="5" customHeight="1" spans="1:9">
      <c r="A5" s="88" t="s">
        <v>62</v>
      </c>
      <c r="B5" s="88" t="s">
        <v>558</v>
      </c>
      <c r="C5" s="88" t="s">
        <v>67</v>
      </c>
      <c r="D5" s="88" t="s">
        <v>557</v>
      </c>
      <c r="E5" s="88"/>
      <c r="F5" s="89" t="s">
        <v>1031</v>
      </c>
      <c r="G5" s="88" t="s">
        <v>3714</v>
      </c>
      <c r="H5" s="56" t="s">
        <v>3715</v>
      </c>
      <c r="I5" s="88" t="s">
        <v>3491</v>
      </c>
    </row>
    <row r="6" customHeight="1" spans="1:9">
      <c r="A6" s="87">
        <f t="shared" ref="A6:A69" si="0">C6*10000+B6*1000+D6</f>
        <v>11000</v>
      </c>
      <c r="B6" s="87">
        <v>1</v>
      </c>
      <c r="C6" s="87">
        <v>1</v>
      </c>
      <c r="D6" s="87">
        <v>0</v>
      </c>
      <c r="E6" s="87" t="s">
        <v>3716</v>
      </c>
      <c r="F6" s="61">
        <v>0</v>
      </c>
      <c r="G6" s="87"/>
      <c r="H6" s="91"/>
      <c r="I6" s="87">
        <f t="shared" ref="I6:I35" si="1">A7</f>
        <v>11001</v>
      </c>
    </row>
    <row r="7" customHeight="1" spans="1:9">
      <c r="A7" s="87">
        <f t="shared" si="0"/>
        <v>11001</v>
      </c>
      <c r="B7" s="87">
        <v>1</v>
      </c>
      <c r="C7" s="87">
        <v>1</v>
      </c>
      <c r="D7" s="78">
        <v>1</v>
      </c>
      <c r="E7" s="87" t="s">
        <v>3717</v>
      </c>
      <c r="F7" s="61">
        <v>0</v>
      </c>
      <c r="G7" s="78">
        <v>8</v>
      </c>
      <c r="H7" s="91"/>
      <c r="I7" s="87">
        <f t="shared" si="1"/>
        <v>11002</v>
      </c>
    </row>
    <row r="8" customHeight="1" spans="1:9">
      <c r="A8" s="87">
        <f t="shared" si="0"/>
        <v>11002</v>
      </c>
      <c r="B8" s="87">
        <v>1</v>
      </c>
      <c r="C8" s="87">
        <v>1</v>
      </c>
      <c r="D8" s="78">
        <v>2</v>
      </c>
      <c r="E8" s="87" t="s">
        <v>3717</v>
      </c>
      <c r="F8" s="78">
        <v>220</v>
      </c>
      <c r="G8" s="78">
        <v>10</v>
      </c>
      <c r="H8" s="91"/>
      <c r="I8" s="87">
        <f t="shared" si="1"/>
        <v>11003</v>
      </c>
    </row>
    <row r="9" customHeight="1" spans="1:9">
      <c r="A9" s="87">
        <f t="shared" si="0"/>
        <v>11003</v>
      </c>
      <c r="B9" s="87">
        <f t="shared" ref="B9:B36" si="2">B8</f>
        <v>1</v>
      </c>
      <c r="C9" s="87">
        <f t="shared" ref="C9:C36" si="3">C8</f>
        <v>1</v>
      </c>
      <c r="D9" s="78">
        <v>3</v>
      </c>
      <c r="E9" s="87" t="s">
        <v>3717</v>
      </c>
      <c r="F9" s="78">
        <v>250</v>
      </c>
      <c r="G9" s="78">
        <v>11</v>
      </c>
      <c r="H9" s="91"/>
      <c r="I9" s="87">
        <f t="shared" si="1"/>
        <v>11004</v>
      </c>
    </row>
    <row r="10" customHeight="1" spans="1:9">
      <c r="A10" s="87">
        <f t="shared" si="0"/>
        <v>11004</v>
      </c>
      <c r="B10" s="87">
        <f t="shared" si="2"/>
        <v>1</v>
      </c>
      <c r="C10" s="87">
        <f t="shared" si="3"/>
        <v>1</v>
      </c>
      <c r="D10" s="78">
        <v>4</v>
      </c>
      <c r="E10" s="87" t="s">
        <v>3717</v>
      </c>
      <c r="F10" s="78">
        <v>290</v>
      </c>
      <c r="G10" s="78">
        <v>13</v>
      </c>
      <c r="H10" s="91"/>
      <c r="I10" s="87">
        <f t="shared" si="1"/>
        <v>11005</v>
      </c>
    </row>
    <row r="11" customHeight="1" spans="1:9">
      <c r="A11" s="87">
        <f t="shared" si="0"/>
        <v>11005</v>
      </c>
      <c r="B11" s="87">
        <f t="shared" si="2"/>
        <v>1</v>
      </c>
      <c r="C11" s="87">
        <f t="shared" si="3"/>
        <v>1</v>
      </c>
      <c r="D11" s="78">
        <v>5</v>
      </c>
      <c r="E11" s="87" t="s">
        <v>3717</v>
      </c>
      <c r="F11" s="78">
        <v>320</v>
      </c>
      <c r="G11" s="78">
        <v>14</v>
      </c>
      <c r="H11" s="91"/>
      <c r="I11" s="87">
        <f t="shared" si="1"/>
        <v>11006</v>
      </c>
    </row>
    <row r="12" customHeight="1" spans="1:9">
      <c r="A12" s="87">
        <f t="shared" si="0"/>
        <v>11006</v>
      </c>
      <c r="B12" s="87">
        <f t="shared" si="2"/>
        <v>1</v>
      </c>
      <c r="C12" s="87">
        <f t="shared" si="3"/>
        <v>1</v>
      </c>
      <c r="D12" s="78">
        <v>6</v>
      </c>
      <c r="E12" s="87" t="s">
        <v>3717</v>
      </c>
      <c r="F12" s="78">
        <v>360</v>
      </c>
      <c r="G12" s="78">
        <v>16</v>
      </c>
      <c r="H12" s="91"/>
      <c r="I12" s="87">
        <f t="shared" si="1"/>
        <v>11007</v>
      </c>
    </row>
    <row r="13" customHeight="1" spans="1:9">
      <c r="A13" s="87">
        <f t="shared" si="0"/>
        <v>11007</v>
      </c>
      <c r="B13" s="87">
        <f t="shared" si="2"/>
        <v>1</v>
      </c>
      <c r="C13" s="87">
        <f t="shared" si="3"/>
        <v>1</v>
      </c>
      <c r="D13" s="78">
        <v>7</v>
      </c>
      <c r="E13" s="87" t="s">
        <v>3717</v>
      </c>
      <c r="F13" s="78">
        <v>400</v>
      </c>
      <c r="G13" s="78">
        <v>17</v>
      </c>
      <c r="H13" s="91"/>
      <c r="I13" s="87">
        <f t="shared" si="1"/>
        <v>11008</v>
      </c>
    </row>
    <row r="14" customHeight="1" spans="1:9">
      <c r="A14" s="87">
        <f t="shared" si="0"/>
        <v>11008</v>
      </c>
      <c r="B14" s="87">
        <f t="shared" si="2"/>
        <v>1</v>
      </c>
      <c r="C14" s="87">
        <f t="shared" si="3"/>
        <v>1</v>
      </c>
      <c r="D14" s="78">
        <v>8</v>
      </c>
      <c r="E14" s="87" t="s">
        <v>3717</v>
      </c>
      <c r="F14" s="78">
        <v>430</v>
      </c>
      <c r="G14" s="78">
        <v>19</v>
      </c>
      <c r="H14" s="91"/>
      <c r="I14" s="87">
        <f t="shared" si="1"/>
        <v>11009</v>
      </c>
    </row>
    <row r="15" customHeight="1" spans="1:9">
      <c r="A15" s="87">
        <f t="shared" si="0"/>
        <v>11009</v>
      </c>
      <c r="B15" s="87">
        <f t="shared" si="2"/>
        <v>1</v>
      </c>
      <c r="C15" s="87">
        <f t="shared" si="3"/>
        <v>1</v>
      </c>
      <c r="D15" s="78">
        <v>9</v>
      </c>
      <c r="E15" s="87" t="s">
        <v>3717</v>
      </c>
      <c r="F15" s="78">
        <v>470</v>
      </c>
      <c r="G15" s="78">
        <v>21</v>
      </c>
      <c r="H15" s="91"/>
      <c r="I15" s="87">
        <f t="shared" si="1"/>
        <v>11010</v>
      </c>
    </row>
    <row r="16" customHeight="1" spans="1:9">
      <c r="A16" s="87">
        <f t="shared" si="0"/>
        <v>11010</v>
      </c>
      <c r="B16" s="87">
        <f t="shared" si="2"/>
        <v>1</v>
      </c>
      <c r="C16" s="87">
        <f t="shared" si="3"/>
        <v>1</v>
      </c>
      <c r="D16" s="78">
        <v>10</v>
      </c>
      <c r="E16" s="87" t="s">
        <v>3717</v>
      </c>
      <c r="F16" s="78">
        <v>1040</v>
      </c>
      <c r="G16" s="78">
        <v>22</v>
      </c>
      <c r="H16" s="91"/>
      <c r="I16" s="87">
        <f t="shared" si="1"/>
        <v>11011</v>
      </c>
    </row>
    <row r="17" customHeight="1" spans="1:9">
      <c r="A17" s="87">
        <f t="shared" si="0"/>
        <v>11011</v>
      </c>
      <c r="B17" s="87">
        <f t="shared" si="2"/>
        <v>1</v>
      </c>
      <c r="C17" s="87">
        <f t="shared" si="3"/>
        <v>1</v>
      </c>
      <c r="D17" s="78">
        <v>11</v>
      </c>
      <c r="E17" s="87" t="s">
        <v>3717</v>
      </c>
      <c r="F17" s="78">
        <v>1150</v>
      </c>
      <c r="G17" s="78">
        <v>24</v>
      </c>
      <c r="H17" s="91"/>
      <c r="I17" s="87">
        <f t="shared" si="1"/>
        <v>11012</v>
      </c>
    </row>
    <row r="18" customHeight="1" spans="1:9">
      <c r="A18" s="87">
        <f t="shared" si="0"/>
        <v>11012</v>
      </c>
      <c r="B18" s="87">
        <f t="shared" si="2"/>
        <v>1</v>
      </c>
      <c r="C18" s="87">
        <f t="shared" si="3"/>
        <v>1</v>
      </c>
      <c r="D18" s="78">
        <v>12</v>
      </c>
      <c r="E18" s="87" t="s">
        <v>3717</v>
      </c>
      <c r="F18" s="78">
        <v>1260</v>
      </c>
      <c r="G18" s="78">
        <v>25</v>
      </c>
      <c r="H18" s="91"/>
      <c r="I18" s="87">
        <f t="shared" si="1"/>
        <v>11013</v>
      </c>
    </row>
    <row r="19" customHeight="1" spans="1:9">
      <c r="A19" s="87">
        <f t="shared" si="0"/>
        <v>11013</v>
      </c>
      <c r="B19" s="87">
        <f t="shared" si="2"/>
        <v>1</v>
      </c>
      <c r="C19" s="87">
        <f t="shared" si="3"/>
        <v>1</v>
      </c>
      <c r="D19" s="78">
        <v>13</v>
      </c>
      <c r="E19" s="87" t="s">
        <v>3717</v>
      </c>
      <c r="F19" s="78">
        <v>1370</v>
      </c>
      <c r="G19" s="78">
        <v>27</v>
      </c>
      <c r="H19" s="91"/>
      <c r="I19" s="87">
        <f t="shared" si="1"/>
        <v>11014</v>
      </c>
    </row>
    <row r="20" customHeight="1" spans="1:9">
      <c r="A20" s="87">
        <f t="shared" si="0"/>
        <v>11014</v>
      </c>
      <c r="B20" s="87">
        <f t="shared" si="2"/>
        <v>1</v>
      </c>
      <c r="C20" s="87">
        <f t="shared" si="3"/>
        <v>1</v>
      </c>
      <c r="D20" s="78">
        <v>14</v>
      </c>
      <c r="E20" s="87" t="s">
        <v>3717</v>
      </c>
      <c r="F20" s="78">
        <v>1480</v>
      </c>
      <c r="G20" s="78">
        <v>29</v>
      </c>
      <c r="H20" s="91"/>
      <c r="I20" s="87">
        <f t="shared" si="1"/>
        <v>11015</v>
      </c>
    </row>
    <row r="21" customHeight="1" spans="1:9">
      <c r="A21" s="87">
        <f t="shared" si="0"/>
        <v>11015</v>
      </c>
      <c r="B21" s="87">
        <f t="shared" si="2"/>
        <v>1</v>
      </c>
      <c r="C21" s="87">
        <f t="shared" si="3"/>
        <v>1</v>
      </c>
      <c r="D21" s="78">
        <v>15</v>
      </c>
      <c r="E21" s="87" t="s">
        <v>3717</v>
      </c>
      <c r="F21" s="78">
        <v>1580</v>
      </c>
      <c r="G21" s="78">
        <v>30</v>
      </c>
      <c r="H21" s="91"/>
      <c r="I21" s="87">
        <f t="shared" si="1"/>
        <v>11016</v>
      </c>
    </row>
    <row r="22" customHeight="1" spans="1:9">
      <c r="A22" s="87">
        <f t="shared" si="0"/>
        <v>11016</v>
      </c>
      <c r="B22" s="87">
        <f t="shared" si="2"/>
        <v>1</v>
      </c>
      <c r="C22" s="87">
        <f t="shared" si="3"/>
        <v>1</v>
      </c>
      <c r="D22" s="78">
        <v>16</v>
      </c>
      <c r="E22" s="87" t="s">
        <v>3717</v>
      </c>
      <c r="F22" s="78">
        <v>1690</v>
      </c>
      <c r="G22" s="78">
        <v>32</v>
      </c>
      <c r="H22" s="91"/>
      <c r="I22" s="87">
        <f t="shared" si="1"/>
        <v>11017</v>
      </c>
    </row>
    <row r="23" customHeight="1" spans="1:9">
      <c r="A23" s="87">
        <f t="shared" si="0"/>
        <v>11017</v>
      </c>
      <c r="B23" s="87">
        <f t="shared" si="2"/>
        <v>1</v>
      </c>
      <c r="C23" s="87">
        <f t="shared" si="3"/>
        <v>1</v>
      </c>
      <c r="D23" s="78">
        <v>17</v>
      </c>
      <c r="E23" s="87" t="s">
        <v>3717</v>
      </c>
      <c r="F23" s="78">
        <v>1800</v>
      </c>
      <c r="G23" s="78">
        <v>33</v>
      </c>
      <c r="H23" s="91"/>
      <c r="I23" s="87">
        <f t="shared" si="1"/>
        <v>11018</v>
      </c>
    </row>
    <row r="24" customHeight="1" spans="1:9">
      <c r="A24" s="87">
        <f t="shared" si="0"/>
        <v>11018</v>
      </c>
      <c r="B24" s="87">
        <f t="shared" si="2"/>
        <v>1</v>
      </c>
      <c r="C24" s="87">
        <f t="shared" si="3"/>
        <v>1</v>
      </c>
      <c r="D24" s="78">
        <v>18</v>
      </c>
      <c r="E24" s="87" t="s">
        <v>3717</v>
      </c>
      <c r="F24" s="78">
        <v>1910</v>
      </c>
      <c r="G24" s="78">
        <v>35</v>
      </c>
      <c r="H24" s="91"/>
      <c r="I24" s="87">
        <f t="shared" si="1"/>
        <v>11019</v>
      </c>
    </row>
    <row r="25" customHeight="1" spans="1:9">
      <c r="A25" s="87">
        <f t="shared" si="0"/>
        <v>11019</v>
      </c>
      <c r="B25" s="87">
        <f t="shared" si="2"/>
        <v>1</v>
      </c>
      <c r="C25" s="87">
        <f t="shared" si="3"/>
        <v>1</v>
      </c>
      <c r="D25" s="78">
        <v>19</v>
      </c>
      <c r="E25" s="87" t="s">
        <v>3717</v>
      </c>
      <c r="F25" s="78">
        <v>2020</v>
      </c>
      <c r="G25" s="78">
        <v>37</v>
      </c>
      <c r="H25" s="91"/>
      <c r="I25" s="87">
        <f t="shared" si="1"/>
        <v>11020</v>
      </c>
    </row>
    <row r="26" customHeight="1" spans="1:9">
      <c r="A26" s="87">
        <f t="shared" si="0"/>
        <v>11020</v>
      </c>
      <c r="B26" s="87">
        <f t="shared" si="2"/>
        <v>1</v>
      </c>
      <c r="C26" s="87">
        <f t="shared" si="3"/>
        <v>1</v>
      </c>
      <c r="D26" s="78">
        <v>20</v>
      </c>
      <c r="E26" s="87" t="s">
        <v>3717</v>
      </c>
      <c r="F26" s="78">
        <v>3560</v>
      </c>
      <c r="G26" s="78">
        <v>38</v>
      </c>
      <c r="H26" s="91"/>
      <c r="I26" s="87">
        <f t="shared" si="1"/>
        <v>11021</v>
      </c>
    </row>
    <row r="27" customHeight="1" spans="1:9">
      <c r="A27" s="87">
        <f t="shared" si="0"/>
        <v>11021</v>
      </c>
      <c r="B27" s="87">
        <f t="shared" si="2"/>
        <v>1</v>
      </c>
      <c r="C27" s="87">
        <f t="shared" si="3"/>
        <v>1</v>
      </c>
      <c r="D27" s="78">
        <v>21</v>
      </c>
      <c r="E27" s="87" t="s">
        <v>3717</v>
      </c>
      <c r="F27" s="78">
        <v>3780</v>
      </c>
      <c r="G27" s="78">
        <v>40</v>
      </c>
      <c r="H27" s="91"/>
      <c r="I27" s="87">
        <f t="shared" si="1"/>
        <v>11022</v>
      </c>
    </row>
    <row r="28" customHeight="1" spans="1:9">
      <c r="A28" s="87">
        <f t="shared" si="0"/>
        <v>11022</v>
      </c>
      <c r="B28" s="87">
        <f t="shared" si="2"/>
        <v>1</v>
      </c>
      <c r="C28" s="87">
        <f t="shared" si="3"/>
        <v>1</v>
      </c>
      <c r="D28" s="78">
        <v>22</v>
      </c>
      <c r="E28" s="87" t="s">
        <v>3717</v>
      </c>
      <c r="F28" s="78">
        <v>4000</v>
      </c>
      <c r="G28" s="78">
        <v>41</v>
      </c>
      <c r="H28" s="91"/>
      <c r="I28" s="87">
        <f t="shared" si="1"/>
        <v>11023</v>
      </c>
    </row>
    <row r="29" customHeight="1" spans="1:9">
      <c r="A29" s="87">
        <f t="shared" si="0"/>
        <v>11023</v>
      </c>
      <c r="B29" s="87">
        <f t="shared" si="2"/>
        <v>1</v>
      </c>
      <c r="C29" s="87">
        <f t="shared" si="3"/>
        <v>1</v>
      </c>
      <c r="D29" s="78">
        <v>23</v>
      </c>
      <c r="E29" s="87" t="s">
        <v>3717</v>
      </c>
      <c r="F29" s="78">
        <v>4210</v>
      </c>
      <c r="G29" s="78">
        <v>43</v>
      </c>
      <c r="H29" s="91"/>
      <c r="I29" s="87">
        <f t="shared" si="1"/>
        <v>11024</v>
      </c>
    </row>
    <row r="30" customHeight="1" spans="1:9">
      <c r="A30" s="87">
        <f t="shared" si="0"/>
        <v>11024</v>
      </c>
      <c r="B30" s="87">
        <f t="shared" si="2"/>
        <v>1</v>
      </c>
      <c r="C30" s="87">
        <f t="shared" si="3"/>
        <v>1</v>
      </c>
      <c r="D30" s="78">
        <v>24</v>
      </c>
      <c r="E30" s="87" t="s">
        <v>3717</v>
      </c>
      <c r="F30" s="78">
        <v>4430</v>
      </c>
      <c r="G30" s="78">
        <v>44</v>
      </c>
      <c r="H30" s="91"/>
      <c r="I30" s="87">
        <f t="shared" si="1"/>
        <v>11025</v>
      </c>
    </row>
    <row r="31" customHeight="1" spans="1:9">
      <c r="A31" s="87">
        <f t="shared" si="0"/>
        <v>11025</v>
      </c>
      <c r="B31" s="87">
        <f t="shared" si="2"/>
        <v>1</v>
      </c>
      <c r="C31" s="87">
        <f t="shared" si="3"/>
        <v>1</v>
      </c>
      <c r="D31" s="78">
        <v>25</v>
      </c>
      <c r="E31" s="87" t="s">
        <v>3717</v>
      </c>
      <c r="F31" s="78">
        <v>4640</v>
      </c>
      <c r="G31" s="78">
        <v>46</v>
      </c>
      <c r="H31" s="91"/>
      <c r="I31" s="87">
        <f t="shared" si="1"/>
        <v>11026</v>
      </c>
    </row>
    <row r="32" customHeight="1" spans="1:9">
      <c r="A32" s="87">
        <f t="shared" si="0"/>
        <v>11026</v>
      </c>
      <c r="B32" s="87">
        <f t="shared" si="2"/>
        <v>1</v>
      </c>
      <c r="C32" s="87">
        <f t="shared" si="3"/>
        <v>1</v>
      </c>
      <c r="D32" s="78">
        <v>26</v>
      </c>
      <c r="E32" s="87" t="s">
        <v>3717</v>
      </c>
      <c r="F32" s="78">
        <v>4860</v>
      </c>
      <c r="G32" s="78">
        <v>48</v>
      </c>
      <c r="H32" s="91"/>
      <c r="I32" s="87">
        <f t="shared" si="1"/>
        <v>11027</v>
      </c>
    </row>
    <row r="33" customHeight="1" spans="1:9">
      <c r="A33" s="87">
        <f t="shared" si="0"/>
        <v>11027</v>
      </c>
      <c r="B33" s="87">
        <f t="shared" si="2"/>
        <v>1</v>
      </c>
      <c r="C33" s="87">
        <f t="shared" si="3"/>
        <v>1</v>
      </c>
      <c r="D33" s="78">
        <v>27</v>
      </c>
      <c r="E33" s="87" t="s">
        <v>3717</v>
      </c>
      <c r="F33" s="78">
        <v>5080</v>
      </c>
      <c r="G33" s="78">
        <v>49</v>
      </c>
      <c r="H33" s="91"/>
      <c r="I33" s="87">
        <f t="shared" si="1"/>
        <v>11028</v>
      </c>
    </row>
    <row r="34" customHeight="1" spans="1:9">
      <c r="A34" s="87">
        <f t="shared" si="0"/>
        <v>11028</v>
      </c>
      <c r="B34" s="87">
        <f t="shared" si="2"/>
        <v>1</v>
      </c>
      <c r="C34" s="87">
        <f t="shared" si="3"/>
        <v>1</v>
      </c>
      <c r="D34" s="78">
        <v>28</v>
      </c>
      <c r="E34" s="87" t="s">
        <v>3717</v>
      </c>
      <c r="F34" s="78">
        <v>5290</v>
      </c>
      <c r="G34" s="78">
        <v>51</v>
      </c>
      <c r="H34" s="91"/>
      <c r="I34" s="87">
        <f t="shared" si="1"/>
        <v>11029</v>
      </c>
    </row>
    <row r="35" customHeight="1" spans="1:9">
      <c r="A35" s="87">
        <f t="shared" si="0"/>
        <v>11029</v>
      </c>
      <c r="B35" s="87">
        <f t="shared" si="2"/>
        <v>1</v>
      </c>
      <c r="C35" s="87">
        <f t="shared" si="3"/>
        <v>1</v>
      </c>
      <c r="D35" s="78">
        <v>29</v>
      </c>
      <c r="E35" s="87" t="s">
        <v>3717</v>
      </c>
      <c r="F35" s="78">
        <v>5510</v>
      </c>
      <c r="G35" s="78">
        <v>52</v>
      </c>
      <c r="H35" s="91"/>
      <c r="I35" s="87">
        <f t="shared" si="1"/>
        <v>11030</v>
      </c>
    </row>
    <row r="36" customHeight="1" spans="1:9">
      <c r="A36" s="87">
        <f t="shared" si="0"/>
        <v>11030</v>
      </c>
      <c r="B36" s="87">
        <f t="shared" si="2"/>
        <v>1</v>
      </c>
      <c r="C36" s="87">
        <f t="shared" si="3"/>
        <v>1</v>
      </c>
      <c r="D36" s="78">
        <v>30</v>
      </c>
      <c r="E36" s="87" t="s">
        <v>3717</v>
      </c>
      <c r="F36" s="78"/>
      <c r="G36" s="78">
        <v>54</v>
      </c>
      <c r="H36" s="91"/>
      <c r="I36" s="87">
        <v>0</v>
      </c>
    </row>
    <row r="37" customHeight="1" spans="1:9">
      <c r="A37" s="87">
        <f t="shared" si="0"/>
        <v>21000</v>
      </c>
      <c r="B37" s="87">
        <v>1</v>
      </c>
      <c r="C37" s="87">
        <v>2</v>
      </c>
      <c r="D37" s="78"/>
      <c r="E37" s="87" t="s">
        <v>3716</v>
      </c>
      <c r="F37" s="78">
        <v>4000</v>
      </c>
      <c r="G37" s="78"/>
      <c r="H37" s="91"/>
      <c r="I37" s="87">
        <f t="shared" ref="I37:I66" si="4">A38</f>
        <v>21001</v>
      </c>
    </row>
    <row r="38" customHeight="1" spans="1:9">
      <c r="A38" s="87">
        <f t="shared" si="0"/>
        <v>21001</v>
      </c>
      <c r="B38" s="87">
        <v>1</v>
      </c>
      <c r="C38" s="87">
        <v>2</v>
      </c>
      <c r="D38" s="78">
        <v>1</v>
      </c>
      <c r="E38" s="87" t="s">
        <v>3717</v>
      </c>
      <c r="F38" s="78">
        <v>700</v>
      </c>
      <c r="G38" s="78">
        <v>48</v>
      </c>
      <c r="H38" s="91"/>
      <c r="I38" s="87">
        <f t="shared" si="4"/>
        <v>21002</v>
      </c>
    </row>
    <row r="39" customHeight="1" spans="1:9">
      <c r="A39" s="87">
        <f t="shared" si="0"/>
        <v>21002</v>
      </c>
      <c r="B39" s="87">
        <v>1</v>
      </c>
      <c r="C39" s="87">
        <v>2</v>
      </c>
      <c r="D39" s="78">
        <v>2</v>
      </c>
      <c r="E39" s="87" t="s">
        <v>3717</v>
      </c>
      <c r="F39" s="78">
        <v>770</v>
      </c>
      <c r="G39" s="78">
        <v>54</v>
      </c>
      <c r="H39" s="91"/>
      <c r="I39" s="87">
        <f t="shared" si="4"/>
        <v>21003</v>
      </c>
    </row>
    <row r="40" customHeight="1" spans="1:9">
      <c r="A40" s="87">
        <f t="shared" si="0"/>
        <v>21003</v>
      </c>
      <c r="B40" s="87">
        <f t="shared" ref="B40:B67" si="5">B39</f>
        <v>1</v>
      </c>
      <c r="C40" s="87">
        <f t="shared" ref="C40:C67" si="6">C39</f>
        <v>2</v>
      </c>
      <c r="D40" s="78">
        <v>3</v>
      </c>
      <c r="E40" s="87" t="s">
        <v>3717</v>
      </c>
      <c r="F40" s="78">
        <v>840</v>
      </c>
      <c r="G40" s="78">
        <v>60</v>
      </c>
      <c r="H40" s="91"/>
      <c r="I40" s="87">
        <f t="shared" si="4"/>
        <v>21004</v>
      </c>
    </row>
    <row r="41" customHeight="1" spans="1:9">
      <c r="A41" s="87">
        <f t="shared" si="0"/>
        <v>21004</v>
      </c>
      <c r="B41" s="87">
        <f t="shared" si="5"/>
        <v>1</v>
      </c>
      <c r="C41" s="87">
        <f t="shared" si="6"/>
        <v>2</v>
      </c>
      <c r="D41" s="78">
        <v>4</v>
      </c>
      <c r="E41" s="87" t="s">
        <v>3717</v>
      </c>
      <c r="F41" s="78">
        <v>910</v>
      </c>
      <c r="G41" s="78">
        <v>67</v>
      </c>
      <c r="H41" s="91"/>
      <c r="I41" s="87">
        <f t="shared" si="4"/>
        <v>21005</v>
      </c>
    </row>
    <row r="42" customHeight="1" spans="1:9">
      <c r="A42" s="87">
        <f t="shared" si="0"/>
        <v>21005</v>
      </c>
      <c r="B42" s="87">
        <f t="shared" si="5"/>
        <v>1</v>
      </c>
      <c r="C42" s="87">
        <f t="shared" si="6"/>
        <v>2</v>
      </c>
      <c r="D42" s="78">
        <v>5</v>
      </c>
      <c r="E42" s="87" t="s">
        <v>3717</v>
      </c>
      <c r="F42" s="78">
        <v>980</v>
      </c>
      <c r="G42" s="78">
        <v>73</v>
      </c>
      <c r="H42" s="91"/>
      <c r="I42" s="87">
        <f t="shared" si="4"/>
        <v>21006</v>
      </c>
    </row>
    <row r="43" customHeight="1" spans="1:9">
      <c r="A43" s="87">
        <f t="shared" si="0"/>
        <v>21006</v>
      </c>
      <c r="B43" s="87">
        <f t="shared" si="5"/>
        <v>1</v>
      </c>
      <c r="C43" s="87">
        <f t="shared" si="6"/>
        <v>2</v>
      </c>
      <c r="D43" s="78">
        <v>6</v>
      </c>
      <c r="E43" s="87" t="s">
        <v>3717</v>
      </c>
      <c r="F43" s="78">
        <v>1060</v>
      </c>
      <c r="G43" s="78">
        <v>79</v>
      </c>
      <c r="H43" s="91"/>
      <c r="I43" s="87">
        <f t="shared" si="4"/>
        <v>21007</v>
      </c>
    </row>
    <row r="44" customHeight="1" spans="1:9">
      <c r="A44" s="87">
        <f t="shared" si="0"/>
        <v>21007</v>
      </c>
      <c r="B44" s="87">
        <f t="shared" si="5"/>
        <v>1</v>
      </c>
      <c r="C44" s="87">
        <f t="shared" si="6"/>
        <v>2</v>
      </c>
      <c r="D44" s="78">
        <v>7</v>
      </c>
      <c r="E44" s="87" t="s">
        <v>3717</v>
      </c>
      <c r="F44" s="78">
        <v>1130</v>
      </c>
      <c r="G44" s="78">
        <v>86</v>
      </c>
      <c r="H44" s="91"/>
      <c r="I44" s="87">
        <f t="shared" si="4"/>
        <v>21008</v>
      </c>
    </row>
    <row r="45" customHeight="1" spans="1:9">
      <c r="A45" s="87">
        <f t="shared" si="0"/>
        <v>21008</v>
      </c>
      <c r="B45" s="87">
        <f t="shared" si="5"/>
        <v>1</v>
      </c>
      <c r="C45" s="87">
        <f t="shared" si="6"/>
        <v>2</v>
      </c>
      <c r="D45" s="78">
        <v>8</v>
      </c>
      <c r="E45" s="87" t="s">
        <v>3717</v>
      </c>
      <c r="F45" s="78">
        <v>1200</v>
      </c>
      <c r="G45" s="78">
        <v>92</v>
      </c>
      <c r="H45" s="91"/>
      <c r="I45" s="87">
        <f t="shared" si="4"/>
        <v>21009</v>
      </c>
    </row>
    <row r="46" customHeight="1" spans="1:9">
      <c r="A46" s="87">
        <f t="shared" si="0"/>
        <v>21009</v>
      </c>
      <c r="B46" s="87">
        <f t="shared" si="5"/>
        <v>1</v>
      </c>
      <c r="C46" s="87">
        <f t="shared" si="6"/>
        <v>2</v>
      </c>
      <c r="D46" s="78">
        <v>9</v>
      </c>
      <c r="E46" s="87" t="s">
        <v>3717</v>
      </c>
      <c r="F46" s="78">
        <v>1270</v>
      </c>
      <c r="G46" s="78">
        <v>98</v>
      </c>
      <c r="H46" s="91"/>
      <c r="I46" s="87">
        <f t="shared" si="4"/>
        <v>21010</v>
      </c>
    </row>
    <row r="47" customHeight="1" spans="1:9">
      <c r="A47" s="87">
        <f t="shared" si="0"/>
        <v>21010</v>
      </c>
      <c r="B47" s="87">
        <f t="shared" si="5"/>
        <v>1</v>
      </c>
      <c r="C47" s="87">
        <f t="shared" si="6"/>
        <v>2</v>
      </c>
      <c r="D47" s="78">
        <v>10</v>
      </c>
      <c r="E47" s="87" t="s">
        <v>3717</v>
      </c>
      <c r="F47" s="78">
        <v>1340</v>
      </c>
      <c r="G47" s="78">
        <v>105</v>
      </c>
      <c r="H47" s="91"/>
      <c r="I47" s="87">
        <f t="shared" si="4"/>
        <v>21011</v>
      </c>
    </row>
    <row r="48" customHeight="1" spans="1:9">
      <c r="A48" s="87">
        <f t="shared" si="0"/>
        <v>21011</v>
      </c>
      <c r="B48" s="87">
        <f t="shared" si="5"/>
        <v>1</v>
      </c>
      <c r="C48" s="87">
        <f t="shared" si="6"/>
        <v>2</v>
      </c>
      <c r="D48" s="78">
        <v>11</v>
      </c>
      <c r="E48" s="87" t="s">
        <v>3717</v>
      </c>
      <c r="F48" s="78">
        <v>2380</v>
      </c>
      <c r="G48" s="78">
        <v>111</v>
      </c>
      <c r="H48" s="91"/>
      <c r="I48" s="87">
        <f t="shared" si="4"/>
        <v>21012</v>
      </c>
    </row>
    <row r="49" customHeight="1" spans="1:9">
      <c r="A49" s="87">
        <f t="shared" si="0"/>
        <v>21012</v>
      </c>
      <c r="B49" s="87">
        <f t="shared" si="5"/>
        <v>1</v>
      </c>
      <c r="C49" s="87">
        <f t="shared" si="6"/>
        <v>2</v>
      </c>
      <c r="D49" s="78">
        <v>12</v>
      </c>
      <c r="E49" s="87" t="s">
        <v>3717</v>
      </c>
      <c r="F49" s="78">
        <v>2520</v>
      </c>
      <c r="G49" s="78">
        <v>117</v>
      </c>
      <c r="H49" s="91"/>
      <c r="I49" s="87">
        <f t="shared" si="4"/>
        <v>21013</v>
      </c>
    </row>
    <row r="50" customHeight="1" spans="1:9">
      <c r="A50" s="87">
        <f t="shared" si="0"/>
        <v>21013</v>
      </c>
      <c r="B50" s="87">
        <f t="shared" si="5"/>
        <v>1</v>
      </c>
      <c r="C50" s="87">
        <f t="shared" si="6"/>
        <v>2</v>
      </c>
      <c r="D50" s="78">
        <v>13</v>
      </c>
      <c r="E50" s="87" t="s">
        <v>3717</v>
      </c>
      <c r="F50" s="78">
        <v>2660</v>
      </c>
      <c r="G50" s="78">
        <v>124</v>
      </c>
      <c r="H50" s="91"/>
      <c r="I50" s="87">
        <f t="shared" si="4"/>
        <v>21014</v>
      </c>
    </row>
    <row r="51" customHeight="1" spans="1:9">
      <c r="A51" s="87">
        <f t="shared" si="0"/>
        <v>21014</v>
      </c>
      <c r="B51" s="87">
        <f t="shared" si="5"/>
        <v>1</v>
      </c>
      <c r="C51" s="87">
        <f t="shared" si="6"/>
        <v>2</v>
      </c>
      <c r="D51" s="78">
        <v>14</v>
      </c>
      <c r="E51" s="87" t="s">
        <v>3717</v>
      </c>
      <c r="F51" s="78">
        <v>2810</v>
      </c>
      <c r="G51" s="78">
        <v>130</v>
      </c>
      <c r="H51" s="91"/>
      <c r="I51" s="87">
        <f t="shared" si="4"/>
        <v>21015</v>
      </c>
    </row>
    <row r="52" customHeight="1" spans="1:9">
      <c r="A52" s="87">
        <f t="shared" si="0"/>
        <v>21015</v>
      </c>
      <c r="B52" s="87">
        <f t="shared" si="5"/>
        <v>1</v>
      </c>
      <c r="C52" s="87">
        <f t="shared" si="6"/>
        <v>2</v>
      </c>
      <c r="D52" s="78">
        <v>15</v>
      </c>
      <c r="E52" s="87" t="s">
        <v>3717</v>
      </c>
      <c r="F52" s="78">
        <v>2950</v>
      </c>
      <c r="G52" s="78">
        <v>137</v>
      </c>
      <c r="H52" s="91"/>
      <c r="I52" s="87">
        <f t="shared" si="4"/>
        <v>21016</v>
      </c>
    </row>
    <row r="53" customHeight="1" spans="1:9">
      <c r="A53" s="87">
        <f t="shared" si="0"/>
        <v>21016</v>
      </c>
      <c r="B53" s="87">
        <f t="shared" si="5"/>
        <v>1</v>
      </c>
      <c r="C53" s="87">
        <f t="shared" si="6"/>
        <v>2</v>
      </c>
      <c r="D53" s="78">
        <v>16</v>
      </c>
      <c r="E53" s="87" t="s">
        <v>3717</v>
      </c>
      <c r="F53" s="78">
        <v>3100</v>
      </c>
      <c r="G53" s="78">
        <v>143</v>
      </c>
      <c r="H53" s="91"/>
      <c r="I53" s="87">
        <f t="shared" si="4"/>
        <v>21017</v>
      </c>
    </row>
    <row r="54" customHeight="1" spans="1:9">
      <c r="A54" s="87">
        <f t="shared" si="0"/>
        <v>21017</v>
      </c>
      <c r="B54" s="87">
        <f t="shared" si="5"/>
        <v>1</v>
      </c>
      <c r="C54" s="87">
        <f t="shared" si="6"/>
        <v>2</v>
      </c>
      <c r="D54" s="78">
        <v>17</v>
      </c>
      <c r="E54" s="87" t="s">
        <v>3717</v>
      </c>
      <c r="F54" s="78">
        <v>3240</v>
      </c>
      <c r="G54" s="78">
        <v>149</v>
      </c>
      <c r="H54" s="91"/>
      <c r="I54" s="87">
        <f t="shared" si="4"/>
        <v>21018</v>
      </c>
    </row>
    <row r="55" customHeight="1" spans="1:9">
      <c r="A55" s="87">
        <f t="shared" si="0"/>
        <v>21018</v>
      </c>
      <c r="B55" s="87">
        <f t="shared" si="5"/>
        <v>1</v>
      </c>
      <c r="C55" s="87">
        <f t="shared" si="6"/>
        <v>2</v>
      </c>
      <c r="D55" s="78">
        <v>18</v>
      </c>
      <c r="E55" s="87" t="s">
        <v>3717</v>
      </c>
      <c r="F55" s="78">
        <v>3380</v>
      </c>
      <c r="G55" s="78">
        <v>156</v>
      </c>
      <c r="H55" s="91"/>
      <c r="I55" s="87">
        <f t="shared" si="4"/>
        <v>21019</v>
      </c>
    </row>
    <row r="56" customHeight="1" spans="1:9">
      <c r="A56" s="87">
        <f t="shared" si="0"/>
        <v>21019</v>
      </c>
      <c r="B56" s="87">
        <f t="shared" si="5"/>
        <v>1</v>
      </c>
      <c r="C56" s="87">
        <f t="shared" si="6"/>
        <v>2</v>
      </c>
      <c r="D56" s="78">
        <v>19</v>
      </c>
      <c r="E56" s="87" t="s">
        <v>3717</v>
      </c>
      <c r="F56" s="78">
        <v>3530</v>
      </c>
      <c r="G56" s="78">
        <v>162</v>
      </c>
      <c r="H56" s="91"/>
      <c r="I56" s="87">
        <f t="shared" si="4"/>
        <v>21020</v>
      </c>
    </row>
    <row r="57" customHeight="1" spans="1:9">
      <c r="A57" s="87">
        <f t="shared" si="0"/>
        <v>21020</v>
      </c>
      <c r="B57" s="87">
        <f t="shared" si="5"/>
        <v>1</v>
      </c>
      <c r="C57" s="87">
        <f t="shared" si="6"/>
        <v>2</v>
      </c>
      <c r="D57" s="78">
        <v>20</v>
      </c>
      <c r="E57" s="87" t="s">
        <v>3717</v>
      </c>
      <c r="F57" s="78">
        <v>3670</v>
      </c>
      <c r="G57" s="78">
        <v>168</v>
      </c>
      <c r="H57" s="91"/>
      <c r="I57" s="87">
        <f t="shared" si="4"/>
        <v>21021</v>
      </c>
    </row>
    <row r="58" customHeight="1" spans="1:9">
      <c r="A58" s="87">
        <f t="shared" si="0"/>
        <v>21021</v>
      </c>
      <c r="B58" s="87">
        <f t="shared" si="5"/>
        <v>1</v>
      </c>
      <c r="C58" s="87">
        <f t="shared" si="6"/>
        <v>2</v>
      </c>
      <c r="D58" s="78">
        <v>21</v>
      </c>
      <c r="E58" s="87" t="s">
        <v>3717</v>
      </c>
      <c r="F58" s="78">
        <v>3820</v>
      </c>
      <c r="G58" s="78">
        <v>175</v>
      </c>
      <c r="H58" s="91"/>
      <c r="I58" s="87">
        <f t="shared" si="4"/>
        <v>21022</v>
      </c>
    </row>
    <row r="59" customHeight="1" spans="1:9">
      <c r="A59" s="87">
        <f t="shared" si="0"/>
        <v>21022</v>
      </c>
      <c r="B59" s="87">
        <f t="shared" si="5"/>
        <v>1</v>
      </c>
      <c r="C59" s="87">
        <f t="shared" si="6"/>
        <v>2</v>
      </c>
      <c r="D59" s="78">
        <v>22</v>
      </c>
      <c r="E59" s="87" t="s">
        <v>3717</v>
      </c>
      <c r="F59" s="78">
        <v>3940</v>
      </c>
      <c r="G59" s="78">
        <v>181</v>
      </c>
      <c r="H59" s="91"/>
      <c r="I59" s="87">
        <f t="shared" si="4"/>
        <v>21023</v>
      </c>
    </row>
    <row r="60" customHeight="1" spans="1:9">
      <c r="A60" s="87">
        <f t="shared" si="0"/>
        <v>21023</v>
      </c>
      <c r="B60" s="87">
        <f t="shared" si="5"/>
        <v>1</v>
      </c>
      <c r="C60" s="87">
        <f t="shared" si="6"/>
        <v>2</v>
      </c>
      <c r="D60" s="78">
        <v>23</v>
      </c>
      <c r="E60" s="87" t="s">
        <v>3717</v>
      </c>
      <c r="F60" s="78">
        <v>4060</v>
      </c>
      <c r="G60" s="78">
        <v>187</v>
      </c>
      <c r="H60" s="91"/>
      <c r="I60" s="87">
        <f t="shared" si="4"/>
        <v>21024</v>
      </c>
    </row>
    <row r="61" customHeight="1" spans="1:9">
      <c r="A61" s="87">
        <f t="shared" si="0"/>
        <v>21024</v>
      </c>
      <c r="B61" s="87">
        <f t="shared" si="5"/>
        <v>1</v>
      </c>
      <c r="C61" s="87">
        <f t="shared" si="6"/>
        <v>2</v>
      </c>
      <c r="D61" s="78">
        <v>24</v>
      </c>
      <c r="E61" s="87" t="s">
        <v>3717</v>
      </c>
      <c r="F61" s="78">
        <v>4180</v>
      </c>
      <c r="G61" s="78">
        <v>194</v>
      </c>
      <c r="H61" s="91"/>
      <c r="I61" s="87">
        <f t="shared" si="4"/>
        <v>21025</v>
      </c>
    </row>
    <row r="62" customHeight="1" spans="1:9">
      <c r="A62" s="87">
        <f t="shared" si="0"/>
        <v>21025</v>
      </c>
      <c r="B62" s="87">
        <f t="shared" si="5"/>
        <v>1</v>
      </c>
      <c r="C62" s="87">
        <f t="shared" si="6"/>
        <v>2</v>
      </c>
      <c r="D62" s="78">
        <v>25</v>
      </c>
      <c r="E62" s="87" t="s">
        <v>3717</v>
      </c>
      <c r="F62" s="78">
        <v>4300</v>
      </c>
      <c r="G62" s="78">
        <v>200</v>
      </c>
      <c r="H62" s="91"/>
      <c r="I62" s="87">
        <f t="shared" si="4"/>
        <v>21026</v>
      </c>
    </row>
    <row r="63" customHeight="1" spans="1:9">
      <c r="A63" s="87">
        <f t="shared" si="0"/>
        <v>21026</v>
      </c>
      <c r="B63" s="87">
        <f t="shared" si="5"/>
        <v>1</v>
      </c>
      <c r="C63" s="87">
        <f t="shared" si="6"/>
        <v>2</v>
      </c>
      <c r="D63" s="78">
        <v>26</v>
      </c>
      <c r="E63" s="87" t="s">
        <v>3717</v>
      </c>
      <c r="F63" s="78">
        <v>6340</v>
      </c>
      <c r="G63" s="78">
        <v>206</v>
      </c>
      <c r="H63" s="91"/>
      <c r="I63" s="87">
        <f t="shared" si="4"/>
        <v>21027</v>
      </c>
    </row>
    <row r="64" customHeight="1" spans="1:9">
      <c r="A64" s="87">
        <f t="shared" si="0"/>
        <v>21027</v>
      </c>
      <c r="B64" s="87">
        <f t="shared" si="5"/>
        <v>1</v>
      </c>
      <c r="C64" s="87">
        <f t="shared" si="6"/>
        <v>2</v>
      </c>
      <c r="D64" s="78">
        <v>27</v>
      </c>
      <c r="E64" s="87" t="s">
        <v>3717</v>
      </c>
      <c r="F64" s="78">
        <v>6550</v>
      </c>
      <c r="G64" s="78">
        <v>213</v>
      </c>
      <c r="H64" s="91"/>
      <c r="I64" s="87">
        <f t="shared" si="4"/>
        <v>21028</v>
      </c>
    </row>
    <row r="65" customHeight="1" spans="1:9">
      <c r="A65" s="87">
        <f t="shared" si="0"/>
        <v>21028</v>
      </c>
      <c r="B65" s="87">
        <f t="shared" si="5"/>
        <v>1</v>
      </c>
      <c r="C65" s="87">
        <f t="shared" si="6"/>
        <v>2</v>
      </c>
      <c r="D65" s="78">
        <v>28</v>
      </c>
      <c r="E65" s="87" t="s">
        <v>3717</v>
      </c>
      <c r="F65" s="78">
        <v>6770</v>
      </c>
      <c r="G65" s="78">
        <v>219</v>
      </c>
      <c r="H65" s="91"/>
      <c r="I65" s="87">
        <f t="shared" si="4"/>
        <v>21029</v>
      </c>
    </row>
    <row r="66" customHeight="1" spans="1:9">
      <c r="A66" s="87">
        <f t="shared" si="0"/>
        <v>21029</v>
      </c>
      <c r="B66" s="87">
        <f t="shared" si="5"/>
        <v>1</v>
      </c>
      <c r="C66" s="87">
        <f t="shared" si="6"/>
        <v>2</v>
      </c>
      <c r="D66" s="78">
        <v>29</v>
      </c>
      <c r="E66" s="87" t="s">
        <v>3717</v>
      </c>
      <c r="F66" s="78">
        <v>6980</v>
      </c>
      <c r="G66" s="78">
        <v>225</v>
      </c>
      <c r="H66" s="91"/>
      <c r="I66" s="87">
        <f t="shared" si="4"/>
        <v>21030</v>
      </c>
    </row>
    <row r="67" customHeight="1" spans="1:9">
      <c r="A67" s="87">
        <f t="shared" si="0"/>
        <v>21030</v>
      </c>
      <c r="B67" s="87">
        <f t="shared" si="5"/>
        <v>1</v>
      </c>
      <c r="C67" s="87">
        <f t="shared" si="6"/>
        <v>2</v>
      </c>
      <c r="D67" s="78">
        <v>30</v>
      </c>
      <c r="E67" s="87" t="s">
        <v>3717</v>
      </c>
      <c r="F67" s="78"/>
      <c r="G67" s="78">
        <v>232</v>
      </c>
      <c r="H67" s="91"/>
      <c r="I67" s="87">
        <v>0</v>
      </c>
    </row>
    <row r="68" customHeight="1" spans="1:9">
      <c r="A68" s="87">
        <f t="shared" si="0"/>
        <v>31000</v>
      </c>
      <c r="B68" s="87">
        <v>1</v>
      </c>
      <c r="C68" s="87">
        <v>3</v>
      </c>
      <c r="D68" s="78"/>
      <c r="E68" s="87" t="s">
        <v>3716</v>
      </c>
      <c r="F68" s="78">
        <v>24000</v>
      </c>
      <c r="G68" s="78"/>
      <c r="H68" s="92"/>
      <c r="I68" s="87">
        <f t="shared" ref="I68:I97" si="7">A69</f>
        <v>31001</v>
      </c>
    </row>
    <row r="69" customHeight="1" spans="1:9">
      <c r="A69" s="87">
        <f t="shared" si="0"/>
        <v>31001</v>
      </c>
      <c r="B69" s="87">
        <v>1</v>
      </c>
      <c r="C69" s="87">
        <v>3</v>
      </c>
      <c r="D69" s="78">
        <v>1</v>
      </c>
      <c r="E69" s="87" t="s">
        <v>3717</v>
      </c>
      <c r="F69" s="78">
        <v>2970</v>
      </c>
      <c r="G69" s="78">
        <v>190</v>
      </c>
      <c r="H69" s="92"/>
      <c r="I69" s="87">
        <f t="shared" si="7"/>
        <v>31002</v>
      </c>
    </row>
    <row r="70" customHeight="1" spans="1:9">
      <c r="A70" s="87">
        <f t="shared" ref="A70:A133" si="8">C70*10000+B70*1000+D70</f>
        <v>31002</v>
      </c>
      <c r="B70" s="87">
        <v>1</v>
      </c>
      <c r="C70" s="87">
        <v>3</v>
      </c>
      <c r="D70" s="78">
        <v>2</v>
      </c>
      <c r="E70" s="87" t="s">
        <v>3717</v>
      </c>
      <c r="F70" s="78">
        <v>3150</v>
      </c>
      <c r="G70" s="78">
        <v>205</v>
      </c>
      <c r="H70" s="92"/>
      <c r="I70" s="87">
        <f t="shared" si="7"/>
        <v>31003</v>
      </c>
    </row>
    <row r="71" customHeight="1" spans="1:9">
      <c r="A71" s="87">
        <f t="shared" si="8"/>
        <v>31003</v>
      </c>
      <c r="B71" s="87">
        <f t="shared" ref="B71:B98" si="9">B70</f>
        <v>1</v>
      </c>
      <c r="C71" s="87">
        <f t="shared" ref="C71:C98" si="10">C70</f>
        <v>3</v>
      </c>
      <c r="D71" s="78">
        <v>3</v>
      </c>
      <c r="E71" s="87" t="s">
        <v>3717</v>
      </c>
      <c r="F71" s="78">
        <v>3330</v>
      </c>
      <c r="G71" s="78">
        <v>219</v>
      </c>
      <c r="H71" s="92"/>
      <c r="I71" s="87">
        <f t="shared" si="7"/>
        <v>31004</v>
      </c>
    </row>
    <row r="72" customHeight="1" spans="1:9">
      <c r="A72" s="87">
        <f t="shared" si="8"/>
        <v>31004</v>
      </c>
      <c r="B72" s="87">
        <f t="shared" si="9"/>
        <v>1</v>
      </c>
      <c r="C72" s="87">
        <f t="shared" si="10"/>
        <v>3</v>
      </c>
      <c r="D72" s="78">
        <v>4</v>
      </c>
      <c r="E72" s="87" t="s">
        <v>3717</v>
      </c>
      <c r="F72" s="78">
        <v>3510</v>
      </c>
      <c r="G72" s="78">
        <v>233</v>
      </c>
      <c r="H72" s="92"/>
      <c r="I72" s="87">
        <f t="shared" si="7"/>
        <v>31005</v>
      </c>
    </row>
    <row r="73" customHeight="1" spans="1:9">
      <c r="A73" s="87">
        <f t="shared" si="8"/>
        <v>31005</v>
      </c>
      <c r="B73" s="87">
        <f t="shared" si="9"/>
        <v>1</v>
      </c>
      <c r="C73" s="87">
        <f t="shared" si="10"/>
        <v>3</v>
      </c>
      <c r="D73" s="78">
        <v>5</v>
      </c>
      <c r="E73" s="87" t="s">
        <v>3717</v>
      </c>
      <c r="F73" s="78">
        <v>3690</v>
      </c>
      <c r="G73" s="78">
        <v>248</v>
      </c>
      <c r="H73" s="92"/>
      <c r="I73" s="87">
        <f t="shared" si="7"/>
        <v>31006</v>
      </c>
    </row>
    <row r="74" customHeight="1" spans="1:9">
      <c r="A74" s="87">
        <f t="shared" si="8"/>
        <v>31006</v>
      </c>
      <c r="B74" s="87">
        <f t="shared" si="9"/>
        <v>1</v>
      </c>
      <c r="C74" s="87">
        <f t="shared" si="10"/>
        <v>3</v>
      </c>
      <c r="D74" s="78">
        <v>6</v>
      </c>
      <c r="E74" s="87" t="s">
        <v>3717</v>
      </c>
      <c r="F74" s="78">
        <v>3870</v>
      </c>
      <c r="G74" s="78">
        <v>262</v>
      </c>
      <c r="H74" s="92"/>
      <c r="I74" s="87">
        <f t="shared" si="7"/>
        <v>31007</v>
      </c>
    </row>
    <row r="75" customHeight="1" spans="1:9">
      <c r="A75" s="87">
        <f t="shared" si="8"/>
        <v>31007</v>
      </c>
      <c r="B75" s="87">
        <f t="shared" si="9"/>
        <v>1</v>
      </c>
      <c r="C75" s="87">
        <f t="shared" si="10"/>
        <v>3</v>
      </c>
      <c r="D75" s="78">
        <v>7</v>
      </c>
      <c r="E75" s="87" t="s">
        <v>3717</v>
      </c>
      <c r="F75" s="78">
        <v>4050</v>
      </c>
      <c r="G75" s="78">
        <v>276</v>
      </c>
      <c r="H75" s="92"/>
      <c r="I75" s="87">
        <f t="shared" si="7"/>
        <v>31008</v>
      </c>
    </row>
    <row r="76" customHeight="1" spans="1:9">
      <c r="A76" s="87">
        <f t="shared" si="8"/>
        <v>31008</v>
      </c>
      <c r="B76" s="87">
        <f t="shared" si="9"/>
        <v>1</v>
      </c>
      <c r="C76" s="87">
        <f t="shared" si="10"/>
        <v>3</v>
      </c>
      <c r="D76" s="78">
        <v>8</v>
      </c>
      <c r="E76" s="87" t="s">
        <v>3717</v>
      </c>
      <c r="F76" s="78">
        <v>4230</v>
      </c>
      <c r="G76" s="78">
        <v>290</v>
      </c>
      <c r="H76" s="92"/>
      <c r="I76" s="87">
        <f t="shared" si="7"/>
        <v>31009</v>
      </c>
    </row>
    <row r="77" customHeight="1" spans="1:9">
      <c r="A77" s="87">
        <f t="shared" si="8"/>
        <v>31009</v>
      </c>
      <c r="B77" s="87">
        <f t="shared" si="9"/>
        <v>1</v>
      </c>
      <c r="C77" s="87">
        <f t="shared" si="10"/>
        <v>3</v>
      </c>
      <c r="D77" s="78">
        <v>9</v>
      </c>
      <c r="E77" s="87" t="s">
        <v>3717</v>
      </c>
      <c r="F77" s="78">
        <v>4410</v>
      </c>
      <c r="G77" s="78">
        <v>305</v>
      </c>
      <c r="H77" s="92"/>
      <c r="I77" s="87">
        <f t="shared" si="7"/>
        <v>31010</v>
      </c>
    </row>
    <row r="78" customHeight="1" spans="1:9">
      <c r="A78" s="87">
        <f t="shared" si="8"/>
        <v>31010</v>
      </c>
      <c r="B78" s="87">
        <f t="shared" si="9"/>
        <v>1</v>
      </c>
      <c r="C78" s="87">
        <f t="shared" si="10"/>
        <v>3</v>
      </c>
      <c r="D78" s="78">
        <v>10</v>
      </c>
      <c r="E78" s="87" t="s">
        <v>3717</v>
      </c>
      <c r="F78" s="78">
        <v>4590</v>
      </c>
      <c r="G78" s="78">
        <v>319</v>
      </c>
      <c r="H78" s="92"/>
      <c r="I78" s="87">
        <f t="shared" si="7"/>
        <v>31011</v>
      </c>
    </row>
    <row r="79" customHeight="1" spans="1:9">
      <c r="A79" s="87">
        <f t="shared" si="8"/>
        <v>31011</v>
      </c>
      <c r="B79" s="87">
        <f t="shared" si="9"/>
        <v>1</v>
      </c>
      <c r="C79" s="87">
        <f t="shared" si="10"/>
        <v>3</v>
      </c>
      <c r="D79" s="78">
        <v>11</v>
      </c>
      <c r="E79" s="87" t="s">
        <v>3717</v>
      </c>
      <c r="F79" s="78">
        <v>4770</v>
      </c>
      <c r="G79" s="78">
        <v>333</v>
      </c>
      <c r="H79" s="92"/>
      <c r="I79" s="87">
        <f t="shared" si="7"/>
        <v>31012</v>
      </c>
    </row>
    <row r="80" customHeight="1" spans="1:9">
      <c r="A80" s="87">
        <f t="shared" si="8"/>
        <v>31012</v>
      </c>
      <c r="B80" s="87">
        <f t="shared" si="9"/>
        <v>1</v>
      </c>
      <c r="C80" s="87">
        <f t="shared" si="10"/>
        <v>3</v>
      </c>
      <c r="D80" s="78">
        <v>12</v>
      </c>
      <c r="E80" s="87" t="s">
        <v>3717</v>
      </c>
      <c r="F80" s="78">
        <v>4920</v>
      </c>
      <c r="G80" s="78">
        <v>348</v>
      </c>
      <c r="H80" s="92"/>
      <c r="I80" s="87">
        <f t="shared" si="7"/>
        <v>31013</v>
      </c>
    </row>
    <row r="81" customHeight="1" spans="1:9">
      <c r="A81" s="87">
        <f t="shared" si="8"/>
        <v>31013</v>
      </c>
      <c r="B81" s="87">
        <f t="shared" si="9"/>
        <v>1</v>
      </c>
      <c r="C81" s="87">
        <f t="shared" si="10"/>
        <v>3</v>
      </c>
      <c r="D81" s="78">
        <v>13</v>
      </c>
      <c r="E81" s="87" t="s">
        <v>3717</v>
      </c>
      <c r="F81" s="78">
        <v>5070</v>
      </c>
      <c r="G81" s="78">
        <v>362</v>
      </c>
      <c r="H81" s="92"/>
      <c r="I81" s="87">
        <f t="shared" si="7"/>
        <v>31014</v>
      </c>
    </row>
    <row r="82" customHeight="1" spans="1:9">
      <c r="A82" s="87">
        <f t="shared" si="8"/>
        <v>31014</v>
      </c>
      <c r="B82" s="87">
        <f t="shared" si="9"/>
        <v>1</v>
      </c>
      <c r="C82" s="87">
        <f t="shared" si="10"/>
        <v>3</v>
      </c>
      <c r="D82" s="78">
        <v>14</v>
      </c>
      <c r="E82" s="87" t="s">
        <v>3717</v>
      </c>
      <c r="F82" s="78">
        <v>5220</v>
      </c>
      <c r="G82" s="78">
        <v>376</v>
      </c>
      <c r="H82" s="92"/>
      <c r="I82" s="87">
        <f t="shared" si="7"/>
        <v>31015</v>
      </c>
    </row>
    <row r="83" customHeight="1" spans="1:9">
      <c r="A83" s="87">
        <f t="shared" si="8"/>
        <v>31015</v>
      </c>
      <c r="B83" s="87">
        <f t="shared" si="9"/>
        <v>1</v>
      </c>
      <c r="C83" s="87">
        <f t="shared" si="10"/>
        <v>3</v>
      </c>
      <c r="D83" s="78">
        <v>15</v>
      </c>
      <c r="E83" s="87" t="s">
        <v>3717</v>
      </c>
      <c r="F83" s="78">
        <v>5370</v>
      </c>
      <c r="G83" s="78">
        <v>390</v>
      </c>
      <c r="H83" s="92"/>
      <c r="I83" s="87">
        <f t="shared" si="7"/>
        <v>31016</v>
      </c>
    </row>
    <row r="84" customHeight="1" spans="1:9">
      <c r="A84" s="87">
        <f t="shared" si="8"/>
        <v>31016</v>
      </c>
      <c r="B84" s="87">
        <f t="shared" si="9"/>
        <v>1</v>
      </c>
      <c r="C84" s="87">
        <f t="shared" si="10"/>
        <v>3</v>
      </c>
      <c r="D84" s="78">
        <v>16</v>
      </c>
      <c r="E84" s="87" t="s">
        <v>3717</v>
      </c>
      <c r="F84" s="78">
        <v>7920</v>
      </c>
      <c r="G84" s="78">
        <v>405</v>
      </c>
      <c r="H84" s="92"/>
      <c r="I84" s="87">
        <f t="shared" si="7"/>
        <v>31017</v>
      </c>
    </row>
    <row r="85" customHeight="1" spans="1:9">
      <c r="A85" s="87">
        <f t="shared" si="8"/>
        <v>31017</v>
      </c>
      <c r="B85" s="87">
        <f t="shared" si="9"/>
        <v>1</v>
      </c>
      <c r="C85" s="87">
        <f t="shared" si="10"/>
        <v>3</v>
      </c>
      <c r="D85" s="78">
        <v>17</v>
      </c>
      <c r="E85" s="87" t="s">
        <v>3717</v>
      </c>
      <c r="F85" s="78">
        <v>8190</v>
      </c>
      <c r="G85" s="78">
        <v>419</v>
      </c>
      <c r="H85" s="92"/>
      <c r="I85" s="87">
        <f t="shared" si="7"/>
        <v>31018</v>
      </c>
    </row>
    <row r="86" customHeight="1" spans="1:9">
      <c r="A86" s="87">
        <f t="shared" si="8"/>
        <v>31018</v>
      </c>
      <c r="B86" s="87">
        <f t="shared" si="9"/>
        <v>1</v>
      </c>
      <c r="C86" s="87">
        <f t="shared" si="10"/>
        <v>3</v>
      </c>
      <c r="D86" s="78">
        <v>18</v>
      </c>
      <c r="E86" s="87" t="s">
        <v>3717</v>
      </c>
      <c r="F86" s="78">
        <v>8460</v>
      </c>
      <c r="G86" s="78">
        <v>433</v>
      </c>
      <c r="H86" s="92"/>
      <c r="I86" s="87">
        <f t="shared" si="7"/>
        <v>31019</v>
      </c>
    </row>
    <row r="87" customHeight="1" spans="1:9">
      <c r="A87" s="87">
        <f t="shared" si="8"/>
        <v>31019</v>
      </c>
      <c r="B87" s="87">
        <f t="shared" si="9"/>
        <v>1</v>
      </c>
      <c r="C87" s="87">
        <f t="shared" si="10"/>
        <v>3</v>
      </c>
      <c r="D87" s="78">
        <v>19</v>
      </c>
      <c r="E87" s="87" t="s">
        <v>3717</v>
      </c>
      <c r="F87" s="78">
        <v>8730</v>
      </c>
      <c r="G87" s="78">
        <v>448</v>
      </c>
      <c r="H87" s="92"/>
      <c r="I87" s="87">
        <f t="shared" si="7"/>
        <v>31020</v>
      </c>
    </row>
    <row r="88" customHeight="1" spans="1:9">
      <c r="A88" s="87">
        <f t="shared" si="8"/>
        <v>31020</v>
      </c>
      <c r="B88" s="87">
        <f t="shared" si="9"/>
        <v>1</v>
      </c>
      <c r="C88" s="87">
        <f t="shared" si="10"/>
        <v>3</v>
      </c>
      <c r="D88" s="78">
        <v>20</v>
      </c>
      <c r="E88" s="87" t="s">
        <v>3717</v>
      </c>
      <c r="F88" s="78">
        <v>9000</v>
      </c>
      <c r="G88" s="78">
        <v>462</v>
      </c>
      <c r="H88" s="92"/>
      <c r="I88" s="87">
        <f t="shared" si="7"/>
        <v>31021</v>
      </c>
    </row>
    <row r="89" customHeight="1" spans="1:9">
      <c r="A89" s="87">
        <f t="shared" si="8"/>
        <v>31021</v>
      </c>
      <c r="B89" s="87">
        <f t="shared" si="9"/>
        <v>1</v>
      </c>
      <c r="C89" s="87">
        <f t="shared" si="10"/>
        <v>3</v>
      </c>
      <c r="D89" s="78">
        <v>21</v>
      </c>
      <c r="E89" s="87" t="s">
        <v>3717</v>
      </c>
      <c r="F89" s="78">
        <v>9210</v>
      </c>
      <c r="G89" s="78">
        <v>476</v>
      </c>
      <c r="H89" s="92"/>
      <c r="I89" s="87">
        <f t="shared" si="7"/>
        <v>31022</v>
      </c>
    </row>
    <row r="90" customHeight="1" spans="1:9">
      <c r="A90" s="87">
        <f t="shared" si="8"/>
        <v>31022</v>
      </c>
      <c r="B90" s="87">
        <f t="shared" si="9"/>
        <v>1</v>
      </c>
      <c r="C90" s="87">
        <f t="shared" si="10"/>
        <v>3</v>
      </c>
      <c r="D90" s="78">
        <v>22</v>
      </c>
      <c r="E90" s="87" t="s">
        <v>3717</v>
      </c>
      <c r="F90" s="78">
        <v>9420</v>
      </c>
      <c r="G90" s="78">
        <v>490</v>
      </c>
      <c r="H90" s="92"/>
      <c r="I90" s="87">
        <f t="shared" si="7"/>
        <v>31023</v>
      </c>
    </row>
    <row r="91" customHeight="1" spans="1:9">
      <c r="A91" s="87">
        <f t="shared" si="8"/>
        <v>31023</v>
      </c>
      <c r="B91" s="87">
        <f t="shared" si="9"/>
        <v>1</v>
      </c>
      <c r="C91" s="87">
        <f t="shared" si="10"/>
        <v>3</v>
      </c>
      <c r="D91" s="78">
        <v>23</v>
      </c>
      <c r="E91" s="87" t="s">
        <v>3717</v>
      </c>
      <c r="F91" s="78">
        <v>9630</v>
      </c>
      <c r="G91" s="78">
        <v>505</v>
      </c>
      <c r="H91" s="92"/>
      <c r="I91" s="87">
        <f t="shared" si="7"/>
        <v>31024</v>
      </c>
    </row>
    <row r="92" customHeight="1" spans="1:9">
      <c r="A92" s="87">
        <f t="shared" si="8"/>
        <v>31024</v>
      </c>
      <c r="B92" s="87">
        <f t="shared" si="9"/>
        <v>1</v>
      </c>
      <c r="C92" s="87">
        <f t="shared" si="10"/>
        <v>3</v>
      </c>
      <c r="D92" s="78">
        <v>24</v>
      </c>
      <c r="E92" s="87" t="s">
        <v>3717</v>
      </c>
      <c r="F92" s="78">
        <v>9840</v>
      </c>
      <c r="G92" s="78">
        <v>519</v>
      </c>
      <c r="H92" s="92"/>
      <c r="I92" s="87">
        <f t="shared" si="7"/>
        <v>31025</v>
      </c>
    </row>
    <row r="93" customHeight="1" spans="1:9">
      <c r="A93" s="87">
        <f t="shared" si="8"/>
        <v>31025</v>
      </c>
      <c r="B93" s="87">
        <f t="shared" si="9"/>
        <v>1</v>
      </c>
      <c r="C93" s="87">
        <f t="shared" si="10"/>
        <v>3</v>
      </c>
      <c r="D93" s="78">
        <v>25</v>
      </c>
      <c r="E93" s="87" t="s">
        <v>3717</v>
      </c>
      <c r="F93" s="78">
        <v>10050</v>
      </c>
      <c r="G93" s="78">
        <v>533</v>
      </c>
      <c r="H93" s="92"/>
      <c r="I93" s="87">
        <f t="shared" si="7"/>
        <v>31026</v>
      </c>
    </row>
    <row r="94" customHeight="1" spans="1:9">
      <c r="A94" s="87">
        <f t="shared" si="8"/>
        <v>31026</v>
      </c>
      <c r="B94" s="87">
        <f t="shared" si="9"/>
        <v>1</v>
      </c>
      <c r="C94" s="87">
        <f t="shared" si="10"/>
        <v>3</v>
      </c>
      <c r="D94" s="78">
        <v>26</v>
      </c>
      <c r="E94" s="87" t="s">
        <v>3717</v>
      </c>
      <c r="F94" s="78">
        <v>10260</v>
      </c>
      <c r="G94" s="78">
        <v>548</v>
      </c>
      <c r="H94" s="92"/>
      <c r="I94" s="87">
        <f t="shared" si="7"/>
        <v>31027</v>
      </c>
    </row>
    <row r="95" customHeight="1" spans="1:9">
      <c r="A95" s="87">
        <f t="shared" si="8"/>
        <v>31027</v>
      </c>
      <c r="B95" s="87">
        <f t="shared" si="9"/>
        <v>1</v>
      </c>
      <c r="C95" s="87">
        <f t="shared" si="10"/>
        <v>3</v>
      </c>
      <c r="D95" s="78">
        <v>27</v>
      </c>
      <c r="E95" s="87" t="s">
        <v>3717</v>
      </c>
      <c r="F95" s="78">
        <v>10470</v>
      </c>
      <c r="G95" s="78">
        <v>562</v>
      </c>
      <c r="H95" s="92"/>
      <c r="I95" s="87">
        <f t="shared" si="7"/>
        <v>31028</v>
      </c>
    </row>
    <row r="96" customHeight="1" spans="1:9">
      <c r="A96" s="87">
        <f t="shared" si="8"/>
        <v>31028</v>
      </c>
      <c r="B96" s="87">
        <f t="shared" si="9"/>
        <v>1</v>
      </c>
      <c r="C96" s="87">
        <f t="shared" si="10"/>
        <v>3</v>
      </c>
      <c r="D96" s="78">
        <v>28</v>
      </c>
      <c r="E96" s="87" t="s">
        <v>3717</v>
      </c>
      <c r="F96" s="78">
        <v>10680</v>
      </c>
      <c r="G96" s="78">
        <v>576</v>
      </c>
      <c r="H96" s="92"/>
      <c r="I96" s="87">
        <f t="shared" si="7"/>
        <v>31029</v>
      </c>
    </row>
    <row r="97" customHeight="1" spans="1:9">
      <c r="A97" s="87">
        <f t="shared" si="8"/>
        <v>31029</v>
      </c>
      <c r="B97" s="87">
        <f t="shared" si="9"/>
        <v>1</v>
      </c>
      <c r="C97" s="87">
        <f t="shared" si="10"/>
        <v>3</v>
      </c>
      <c r="D97" s="78">
        <v>29</v>
      </c>
      <c r="E97" s="87" t="s">
        <v>3717</v>
      </c>
      <c r="F97" s="78">
        <v>10890</v>
      </c>
      <c r="G97" s="78">
        <v>590</v>
      </c>
      <c r="H97" s="92"/>
      <c r="I97" s="87">
        <f t="shared" si="7"/>
        <v>31030</v>
      </c>
    </row>
    <row r="98" customHeight="1" spans="1:9">
      <c r="A98" s="87">
        <f t="shared" si="8"/>
        <v>31030</v>
      </c>
      <c r="B98" s="87">
        <f t="shared" si="9"/>
        <v>1</v>
      </c>
      <c r="C98" s="87">
        <f t="shared" si="10"/>
        <v>3</v>
      </c>
      <c r="D98" s="78">
        <v>30</v>
      </c>
      <c r="E98" s="87" t="s">
        <v>3717</v>
      </c>
      <c r="F98" s="78"/>
      <c r="G98" s="78">
        <v>605</v>
      </c>
      <c r="H98" s="92"/>
      <c r="I98" s="87">
        <v>0</v>
      </c>
    </row>
    <row r="99" customHeight="1" spans="1:9">
      <c r="A99" s="87">
        <f t="shared" si="8"/>
        <v>41000</v>
      </c>
      <c r="B99" s="87">
        <v>1</v>
      </c>
      <c r="C99" s="87">
        <v>4</v>
      </c>
      <c r="D99" s="78"/>
      <c r="E99" s="87" t="s">
        <v>3716</v>
      </c>
      <c r="F99" s="78">
        <v>107000</v>
      </c>
      <c r="G99" s="78"/>
      <c r="H99" s="66"/>
      <c r="I99" s="87">
        <f t="shared" ref="I99:I128" si="11">A100</f>
        <v>41001</v>
      </c>
    </row>
    <row r="100" customHeight="1" spans="1:9">
      <c r="A100" s="87">
        <f t="shared" si="8"/>
        <v>41001</v>
      </c>
      <c r="B100" s="87">
        <v>1</v>
      </c>
      <c r="C100" s="87">
        <v>4</v>
      </c>
      <c r="D100" s="78">
        <v>1</v>
      </c>
      <c r="E100" s="87" t="s">
        <v>3717</v>
      </c>
      <c r="F100" s="78">
        <v>9500</v>
      </c>
      <c r="G100" s="78">
        <v>571</v>
      </c>
      <c r="H100" s="66"/>
      <c r="I100" s="87">
        <f t="shared" si="11"/>
        <v>41002</v>
      </c>
    </row>
    <row r="101" customHeight="1" spans="1:9">
      <c r="A101" s="87">
        <f t="shared" si="8"/>
        <v>41002</v>
      </c>
      <c r="B101" s="87">
        <v>1</v>
      </c>
      <c r="C101" s="87">
        <v>4</v>
      </c>
      <c r="D101" s="78">
        <v>2</v>
      </c>
      <c r="E101" s="87" t="s">
        <v>3717</v>
      </c>
      <c r="F101" s="78">
        <v>9830</v>
      </c>
      <c r="G101" s="78">
        <v>600</v>
      </c>
      <c r="H101" s="91"/>
      <c r="I101" s="87">
        <f t="shared" si="11"/>
        <v>41003</v>
      </c>
    </row>
    <row r="102" customHeight="1" spans="1:9">
      <c r="A102" s="87">
        <f t="shared" si="8"/>
        <v>41003</v>
      </c>
      <c r="B102" s="87">
        <f t="shared" ref="B102:B129" si="12">B101</f>
        <v>1</v>
      </c>
      <c r="C102" s="87">
        <f t="shared" ref="C102:C129" si="13">C101</f>
        <v>4</v>
      </c>
      <c r="D102" s="78">
        <v>3</v>
      </c>
      <c r="E102" s="87" t="s">
        <v>3717</v>
      </c>
      <c r="F102" s="78">
        <v>10150</v>
      </c>
      <c r="G102" s="78">
        <v>629</v>
      </c>
      <c r="H102" s="66"/>
      <c r="I102" s="87">
        <f t="shared" si="11"/>
        <v>41004</v>
      </c>
    </row>
    <row r="103" customHeight="1" spans="1:9">
      <c r="A103" s="87">
        <f t="shared" si="8"/>
        <v>41004</v>
      </c>
      <c r="B103" s="87">
        <f t="shared" si="12"/>
        <v>1</v>
      </c>
      <c r="C103" s="87">
        <f t="shared" si="13"/>
        <v>4</v>
      </c>
      <c r="D103" s="78">
        <v>4</v>
      </c>
      <c r="E103" s="87" t="s">
        <v>3717</v>
      </c>
      <c r="F103" s="78">
        <v>10480</v>
      </c>
      <c r="G103" s="78">
        <v>657</v>
      </c>
      <c r="H103" s="91"/>
      <c r="I103" s="87">
        <f t="shared" si="11"/>
        <v>41005</v>
      </c>
    </row>
    <row r="104" customHeight="1" spans="1:9">
      <c r="A104" s="87">
        <f t="shared" si="8"/>
        <v>41005</v>
      </c>
      <c r="B104" s="87">
        <f t="shared" si="12"/>
        <v>1</v>
      </c>
      <c r="C104" s="87">
        <f t="shared" si="13"/>
        <v>4</v>
      </c>
      <c r="D104" s="78">
        <v>5</v>
      </c>
      <c r="E104" s="87" t="s">
        <v>3717</v>
      </c>
      <c r="F104" s="78">
        <v>10800</v>
      </c>
      <c r="G104" s="78">
        <v>686</v>
      </c>
      <c r="H104" s="66"/>
      <c r="I104" s="87">
        <f t="shared" si="11"/>
        <v>41006</v>
      </c>
    </row>
    <row r="105" customHeight="1" spans="1:9">
      <c r="A105" s="87">
        <f t="shared" si="8"/>
        <v>41006</v>
      </c>
      <c r="B105" s="87">
        <f t="shared" si="12"/>
        <v>1</v>
      </c>
      <c r="C105" s="87">
        <f t="shared" si="13"/>
        <v>4</v>
      </c>
      <c r="D105" s="78">
        <v>6</v>
      </c>
      <c r="E105" s="87" t="s">
        <v>3717</v>
      </c>
      <c r="F105" s="78">
        <v>11050</v>
      </c>
      <c r="G105" s="78">
        <v>714</v>
      </c>
      <c r="H105" s="91"/>
      <c r="I105" s="87">
        <f t="shared" si="11"/>
        <v>41007</v>
      </c>
    </row>
    <row r="106" customHeight="1" spans="1:9">
      <c r="A106" s="87">
        <f t="shared" si="8"/>
        <v>41007</v>
      </c>
      <c r="B106" s="87">
        <f t="shared" si="12"/>
        <v>1</v>
      </c>
      <c r="C106" s="87">
        <f t="shared" si="13"/>
        <v>4</v>
      </c>
      <c r="D106" s="78">
        <v>7</v>
      </c>
      <c r="E106" s="87" t="s">
        <v>3717</v>
      </c>
      <c r="F106" s="78">
        <v>11300</v>
      </c>
      <c r="G106" s="78">
        <v>743</v>
      </c>
      <c r="H106" s="66"/>
      <c r="I106" s="87">
        <f t="shared" si="11"/>
        <v>41008</v>
      </c>
    </row>
    <row r="107" customHeight="1" spans="1:9">
      <c r="A107" s="87">
        <f t="shared" si="8"/>
        <v>41008</v>
      </c>
      <c r="B107" s="87">
        <f t="shared" si="12"/>
        <v>1</v>
      </c>
      <c r="C107" s="87">
        <f t="shared" si="13"/>
        <v>4</v>
      </c>
      <c r="D107" s="78">
        <v>8</v>
      </c>
      <c r="E107" s="87" t="s">
        <v>3717</v>
      </c>
      <c r="F107" s="78">
        <v>11560</v>
      </c>
      <c r="G107" s="78">
        <v>771</v>
      </c>
      <c r="H107" s="91"/>
      <c r="I107" s="87">
        <f t="shared" si="11"/>
        <v>41009</v>
      </c>
    </row>
    <row r="108" customHeight="1" spans="1:9">
      <c r="A108" s="87">
        <f t="shared" si="8"/>
        <v>41009</v>
      </c>
      <c r="B108" s="87">
        <f t="shared" si="12"/>
        <v>1</v>
      </c>
      <c r="C108" s="87">
        <f t="shared" si="13"/>
        <v>4</v>
      </c>
      <c r="D108" s="78">
        <v>9</v>
      </c>
      <c r="E108" s="87" t="s">
        <v>3717</v>
      </c>
      <c r="F108" s="78">
        <v>11810</v>
      </c>
      <c r="G108" s="78">
        <v>800</v>
      </c>
      <c r="H108" s="66"/>
      <c r="I108" s="87">
        <f t="shared" si="11"/>
        <v>41010</v>
      </c>
    </row>
    <row r="109" customHeight="1" spans="1:9">
      <c r="A109" s="87">
        <f t="shared" si="8"/>
        <v>41010</v>
      </c>
      <c r="B109" s="87">
        <f t="shared" si="12"/>
        <v>1</v>
      </c>
      <c r="C109" s="87">
        <f t="shared" si="13"/>
        <v>4</v>
      </c>
      <c r="D109" s="78">
        <v>10</v>
      </c>
      <c r="E109" s="87" t="s">
        <v>3717</v>
      </c>
      <c r="F109" s="78">
        <v>12060</v>
      </c>
      <c r="G109" s="78">
        <v>829</v>
      </c>
      <c r="H109" s="91"/>
      <c r="I109" s="87">
        <f t="shared" si="11"/>
        <v>41011</v>
      </c>
    </row>
    <row r="110" customHeight="1" spans="1:9">
      <c r="A110" s="87">
        <f t="shared" si="8"/>
        <v>41011</v>
      </c>
      <c r="B110" s="87">
        <f t="shared" si="12"/>
        <v>1</v>
      </c>
      <c r="C110" s="87">
        <f t="shared" si="13"/>
        <v>4</v>
      </c>
      <c r="D110" s="78">
        <v>11</v>
      </c>
      <c r="E110" s="87" t="s">
        <v>3717</v>
      </c>
      <c r="F110" s="78">
        <v>12310</v>
      </c>
      <c r="G110" s="78">
        <v>857</v>
      </c>
      <c r="H110" s="66"/>
      <c r="I110" s="87">
        <f t="shared" si="11"/>
        <v>41012</v>
      </c>
    </row>
    <row r="111" customHeight="1" spans="1:9">
      <c r="A111" s="87">
        <f t="shared" si="8"/>
        <v>41012</v>
      </c>
      <c r="B111" s="87">
        <f t="shared" si="12"/>
        <v>1</v>
      </c>
      <c r="C111" s="87">
        <f t="shared" si="13"/>
        <v>4</v>
      </c>
      <c r="D111" s="78">
        <v>12</v>
      </c>
      <c r="E111" s="87" t="s">
        <v>3717</v>
      </c>
      <c r="F111" s="78">
        <v>12560</v>
      </c>
      <c r="G111" s="78">
        <v>886</v>
      </c>
      <c r="H111" s="91"/>
      <c r="I111" s="87">
        <f t="shared" si="11"/>
        <v>41013</v>
      </c>
    </row>
    <row r="112" customHeight="1" spans="1:9">
      <c r="A112" s="87">
        <f t="shared" si="8"/>
        <v>41013</v>
      </c>
      <c r="B112" s="87">
        <f t="shared" si="12"/>
        <v>1</v>
      </c>
      <c r="C112" s="87">
        <f t="shared" si="13"/>
        <v>4</v>
      </c>
      <c r="D112" s="78">
        <v>13</v>
      </c>
      <c r="E112" s="87" t="s">
        <v>3717</v>
      </c>
      <c r="F112" s="78">
        <v>12820</v>
      </c>
      <c r="G112" s="78">
        <v>914</v>
      </c>
      <c r="H112" s="66"/>
      <c r="I112" s="87">
        <f t="shared" si="11"/>
        <v>41014</v>
      </c>
    </row>
    <row r="113" customHeight="1" spans="1:9">
      <c r="A113" s="87">
        <f t="shared" si="8"/>
        <v>41014</v>
      </c>
      <c r="B113" s="87">
        <f t="shared" si="12"/>
        <v>1</v>
      </c>
      <c r="C113" s="87">
        <f t="shared" si="13"/>
        <v>4</v>
      </c>
      <c r="D113" s="78">
        <v>14</v>
      </c>
      <c r="E113" s="87" t="s">
        <v>3717</v>
      </c>
      <c r="F113" s="78">
        <v>13070</v>
      </c>
      <c r="G113" s="78">
        <v>943</v>
      </c>
      <c r="H113" s="91"/>
      <c r="I113" s="87">
        <f t="shared" si="11"/>
        <v>41015</v>
      </c>
    </row>
    <row r="114" customHeight="1" spans="1:9">
      <c r="A114" s="87">
        <f t="shared" si="8"/>
        <v>41015</v>
      </c>
      <c r="B114" s="87">
        <f t="shared" si="12"/>
        <v>1</v>
      </c>
      <c r="C114" s="87">
        <f t="shared" si="13"/>
        <v>4</v>
      </c>
      <c r="D114" s="78">
        <v>15</v>
      </c>
      <c r="E114" s="87" t="s">
        <v>3717</v>
      </c>
      <c r="F114" s="78">
        <v>13320</v>
      </c>
      <c r="G114" s="78">
        <v>971</v>
      </c>
      <c r="H114" s="66"/>
      <c r="I114" s="87">
        <f t="shared" si="11"/>
        <v>41016</v>
      </c>
    </row>
    <row r="115" customHeight="1" spans="1:9">
      <c r="A115" s="87">
        <f t="shared" si="8"/>
        <v>41016</v>
      </c>
      <c r="B115" s="87">
        <f t="shared" si="12"/>
        <v>1</v>
      </c>
      <c r="C115" s="87">
        <f t="shared" si="13"/>
        <v>4</v>
      </c>
      <c r="D115" s="78">
        <v>16</v>
      </c>
      <c r="E115" s="87" t="s">
        <v>3717</v>
      </c>
      <c r="F115" s="78">
        <v>17780</v>
      </c>
      <c r="G115" s="78">
        <v>1000</v>
      </c>
      <c r="H115" s="91"/>
      <c r="I115" s="87">
        <f t="shared" si="11"/>
        <v>41017</v>
      </c>
    </row>
    <row r="116" customHeight="1" spans="1:9">
      <c r="A116" s="87">
        <f t="shared" si="8"/>
        <v>41017</v>
      </c>
      <c r="B116" s="87">
        <f t="shared" si="12"/>
        <v>1</v>
      </c>
      <c r="C116" s="87">
        <f t="shared" si="13"/>
        <v>4</v>
      </c>
      <c r="D116" s="78">
        <v>17</v>
      </c>
      <c r="E116" s="87" t="s">
        <v>3717</v>
      </c>
      <c r="F116" s="78">
        <v>18110</v>
      </c>
      <c r="G116" s="78">
        <v>1029</v>
      </c>
      <c r="H116" s="66"/>
      <c r="I116" s="87">
        <f t="shared" si="11"/>
        <v>41018</v>
      </c>
    </row>
    <row r="117" customHeight="1" spans="1:9">
      <c r="A117" s="87">
        <f t="shared" si="8"/>
        <v>41018</v>
      </c>
      <c r="B117" s="87">
        <f t="shared" si="12"/>
        <v>1</v>
      </c>
      <c r="C117" s="87">
        <f t="shared" si="13"/>
        <v>4</v>
      </c>
      <c r="D117" s="78">
        <v>18</v>
      </c>
      <c r="E117" s="87" t="s">
        <v>3717</v>
      </c>
      <c r="F117" s="78">
        <v>18430</v>
      </c>
      <c r="G117" s="78">
        <v>1057</v>
      </c>
      <c r="H117" s="91"/>
      <c r="I117" s="87">
        <f t="shared" si="11"/>
        <v>41019</v>
      </c>
    </row>
    <row r="118" customHeight="1" spans="1:9">
      <c r="A118" s="87">
        <f t="shared" si="8"/>
        <v>41019</v>
      </c>
      <c r="B118" s="87">
        <f t="shared" si="12"/>
        <v>1</v>
      </c>
      <c r="C118" s="87">
        <f t="shared" si="13"/>
        <v>4</v>
      </c>
      <c r="D118" s="78">
        <v>19</v>
      </c>
      <c r="E118" s="87" t="s">
        <v>3717</v>
      </c>
      <c r="F118" s="78">
        <v>18760</v>
      </c>
      <c r="G118" s="78">
        <v>1086</v>
      </c>
      <c r="H118" s="66"/>
      <c r="I118" s="87">
        <f t="shared" si="11"/>
        <v>41020</v>
      </c>
    </row>
    <row r="119" customHeight="1" spans="1:9">
      <c r="A119" s="87">
        <f t="shared" si="8"/>
        <v>41020</v>
      </c>
      <c r="B119" s="87">
        <f t="shared" si="12"/>
        <v>1</v>
      </c>
      <c r="C119" s="87">
        <f t="shared" si="13"/>
        <v>4</v>
      </c>
      <c r="D119" s="78">
        <v>20</v>
      </c>
      <c r="E119" s="87" t="s">
        <v>3717</v>
      </c>
      <c r="F119" s="78">
        <v>19080</v>
      </c>
      <c r="G119" s="78">
        <v>1114</v>
      </c>
      <c r="H119" s="91"/>
      <c r="I119" s="87">
        <f t="shared" si="11"/>
        <v>41021</v>
      </c>
    </row>
    <row r="120" customHeight="1" spans="1:9">
      <c r="A120" s="87">
        <f t="shared" si="8"/>
        <v>41021</v>
      </c>
      <c r="B120" s="87">
        <f t="shared" si="12"/>
        <v>1</v>
      </c>
      <c r="C120" s="87">
        <f t="shared" si="13"/>
        <v>4</v>
      </c>
      <c r="D120" s="78">
        <v>21</v>
      </c>
      <c r="E120" s="87" t="s">
        <v>3717</v>
      </c>
      <c r="F120" s="78">
        <v>19400</v>
      </c>
      <c r="G120" s="78">
        <v>1143</v>
      </c>
      <c r="H120" s="66"/>
      <c r="I120" s="87">
        <f t="shared" si="11"/>
        <v>41022</v>
      </c>
    </row>
    <row r="121" customHeight="1" spans="1:9">
      <c r="A121" s="87">
        <f t="shared" si="8"/>
        <v>41022</v>
      </c>
      <c r="B121" s="87">
        <f t="shared" si="12"/>
        <v>1</v>
      </c>
      <c r="C121" s="87">
        <f t="shared" si="13"/>
        <v>4</v>
      </c>
      <c r="D121" s="78">
        <v>22</v>
      </c>
      <c r="E121" s="87" t="s">
        <v>3717</v>
      </c>
      <c r="F121" s="78">
        <v>19730</v>
      </c>
      <c r="G121" s="78">
        <v>1171</v>
      </c>
      <c r="H121" s="91"/>
      <c r="I121" s="87">
        <f t="shared" si="11"/>
        <v>41023</v>
      </c>
    </row>
    <row r="122" customHeight="1" spans="1:9">
      <c r="A122" s="87">
        <f t="shared" si="8"/>
        <v>41023</v>
      </c>
      <c r="B122" s="87">
        <f t="shared" si="12"/>
        <v>1</v>
      </c>
      <c r="C122" s="87">
        <f t="shared" si="13"/>
        <v>4</v>
      </c>
      <c r="D122" s="78">
        <v>23</v>
      </c>
      <c r="E122" s="87" t="s">
        <v>3717</v>
      </c>
      <c r="F122" s="78">
        <v>25810</v>
      </c>
      <c r="G122" s="78">
        <v>1200</v>
      </c>
      <c r="H122" s="66"/>
      <c r="I122" s="87">
        <f t="shared" si="11"/>
        <v>41024</v>
      </c>
    </row>
    <row r="123" customHeight="1" spans="1:9">
      <c r="A123" s="87">
        <f t="shared" si="8"/>
        <v>41024</v>
      </c>
      <c r="B123" s="87">
        <f t="shared" si="12"/>
        <v>1</v>
      </c>
      <c r="C123" s="87">
        <f t="shared" si="13"/>
        <v>4</v>
      </c>
      <c r="D123" s="78">
        <v>24</v>
      </c>
      <c r="E123" s="87" t="s">
        <v>3717</v>
      </c>
      <c r="F123" s="78">
        <v>26350</v>
      </c>
      <c r="G123" s="78">
        <v>1229</v>
      </c>
      <c r="H123" s="91"/>
      <c r="I123" s="87">
        <f t="shared" si="11"/>
        <v>41025</v>
      </c>
    </row>
    <row r="124" customHeight="1" spans="1:9">
      <c r="A124" s="87">
        <f t="shared" si="8"/>
        <v>41025</v>
      </c>
      <c r="B124" s="87">
        <f t="shared" si="12"/>
        <v>1</v>
      </c>
      <c r="C124" s="87">
        <f t="shared" si="13"/>
        <v>4</v>
      </c>
      <c r="D124" s="78">
        <v>25</v>
      </c>
      <c r="E124" s="87" t="s">
        <v>3717</v>
      </c>
      <c r="F124" s="78">
        <v>26890</v>
      </c>
      <c r="G124" s="78">
        <v>1257</v>
      </c>
      <c r="H124" s="66"/>
      <c r="I124" s="87">
        <f t="shared" si="11"/>
        <v>41026</v>
      </c>
    </row>
    <row r="125" customHeight="1" spans="1:9">
      <c r="A125" s="87">
        <f t="shared" si="8"/>
        <v>41026</v>
      </c>
      <c r="B125" s="87">
        <f t="shared" si="12"/>
        <v>1</v>
      </c>
      <c r="C125" s="87">
        <f t="shared" si="13"/>
        <v>4</v>
      </c>
      <c r="D125" s="78">
        <v>26</v>
      </c>
      <c r="E125" s="87" t="s">
        <v>3717</v>
      </c>
      <c r="F125" s="78">
        <v>27430</v>
      </c>
      <c r="G125" s="78">
        <v>1286</v>
      </c>
      <c r="H125" s="91"/>
      <c r="I125" s="87">
        <f t="shared" si="11"/>
        <v>41027</v>
      </c>
    </row>
    <row r="126" customHeight="1" spans="1:9">
      <c r="A126" s="87">
        <f t="shared" si="8"/>
        <v>41027</v>
      </c>
      <c r="B126" s="87">
        <f t="shared" si="12"/>
        <v>1</v>
      </c>
      <c r="C126" s="87">
        <f t="shared" si="13"/>
        <v>4</v>
      </c>
      <c r="D126" s="78">
        <v>27</v>
      </c>
      <c r="E126" s="87" t="s">
        <v>3717</v>
      </c>
      <c r="F126" s="78">
        <v>27970</v>
      </c>
      <c r="G126" s="78">
        <v>1314</v>
      </c>
      <c r="H126" s="66"/>
      <c r="I126" s="87">
        <f t="shared" si="11"/>
        <v>41028</v>
      </c>
    </row>
    <row r="127" customHeight="1" spans="1:9">
      <c r="A127" s="87">
        <f t="shared" si="8"/>
        <v>41028</v>
      </c>
      <c r="B127" s="87">
        <f t="shared" si="12"/>
        <v>1</v>
      </c>
      <c r="C127" s="87">
        <f t="shared" si="13"/>
        <v>4</v>
      </c>
      <c r="D127" s="78">
        <v>28</v>
      </c>
      <c r="E127" s="87" t="s">
        <v>3717</v>
      </c>
      <c r="F127" s="78">
        <v>28510</v>
      </c>
      <c r="G127" s="78">
        <v>1343</v>
      </c>
      <c r="H127" s="91"/>
      <c r="I127" s="87">
        <f t="shared" si="11"/>
        <v>41029</v>
      </c>
    </row>
    <row r="128" customHeight="1" spans="1:9">
      <c r="A128" s="87">
        <f t="shared" si="8"/>
        <v>41029</v>
      </c>
      <c r="B128" s="87">
        <f t="shared" si="12"/>
        <v>1</v>
      </c>
      <c r="C128" s="87">
        <f t="shared" si="13"/>
        <v>4</v>
      </c>
      <c r="D128" s="78">
        <v>29</v>
      </c>
      <c r="E128" s="87" t="s">
        <v>3717</v>
      </c>
      <c r="F128" s="78">
        <v>29050</v>
      </c>
      <c r="G128" s="78">
        <v>1371</v>
      </c>
      <c r="H128" s="66"/>
      <c r="I128" s="87">
        <f t="shared" si="11"/>
        <v>41030</v>
      </c>
    </row>
    <row r="129" customHeight="1" spans="1:9">
      <c r="A129" s="87">
        <f t="shared" si="8"/>
        <v>41030</v>
      </c>
      <c r="B129" s="87">
        <f t="shared" si="12"/>
        <v>1</v>
      </c>
      <c r="C129" s="87">
        <f t="shared" si="13"/>
        <v>4</v>
      </c>
      <c r="D129" s="78">
        <v>30</v>
      </c>
      <c r="E129" s="87" t="s">
        <v>3717</v>
      </c>
      <c r="F129" s="78"/>
      <c r="G129" s="78">
        <v>1400</v>
      </c>
      <c r="H129" s="91"/>
      <c r="I129" s="87">
        <v>0</v>
      </c>
    </row>
    <row r="130" customHeight="1" spans="1:9">
      <c r="A130" s="87">
        <f t="shared" si="8"/>
        <v>51000</v>
      </c>
      <c r="B130" s="83">
        <v>1</v>
      </c>
      <c r="C130" s="83">
        <v>5</v>
      </c>
      <c r="D130" s="78"/>
      <c r="E130" s="87" t="s">
        <v>3716</v>
      </c>
      <c r="F130" s="78">
        <v>444000</v>
      </c>
      <c r="G130" s="78"/>
      <c r="H130" s="66"/>
      <c r="I130" s="87">
        <f t="shared" ref="I130:I159" si="14">A131</f>
        <v>51001</v>
      </c>
    </row>
    <row r="131" customHeight="1" spans="1:9">
      <c r="A131" s="87">
        <f t="shared" si="8"/>
        <v>51001</v>
      </c>
      <c r="B131" s="83">
        <v>1</v>
      </c>
      <c r="C131" s="83">
        <v>5</v>
      </c>
      <c r="D131" s="78">
        <v>1</v>
      </c>
      <c r="E131" s="87" t="s">
        <v>3717</v>
      </c>
      <c r="F131" s="78">
        <v>20750</v>
      </c>
      <c r="G131" s="78">
        <v>1143</v>
      </c>
      <c r="H131" s="66"/>
      <c r="I131" s="87">
        <f t="shared" si="14"/>
        <v>51002</v>
      </c>
    </row>
    <row r="132" customHeight="1" spans="1:9">
      <c r="A132" s="87">
        <f t="shared" si="8"/>
        <v>51002</v>
      </c>
      <c r="B132" s="83">
        <v>1</v>
      </c>
      <c r="C132" s="83">
        <v>5</v>
      </c>
      <c r="D132" s="78">
        <v>2</v>
      </c>
      <c r="E132" s="87" t="s">
        <v>3717</v>
      </c>
      <c r="F132" s="78">
        <v>21130</v>
      </c>
      <c r="G132" s="78">
        <v>1190</v>
      </c>
      <c r="H132" s="66"/>
      <c r="I132" s="87">
        <f t="shared" si="14"/>
        <v>51003</v>
      </c>
    </row>
    <row r="133" customHeight="1" spans="1:9">
      <c r="A133" s="87">
        <f t="shared" si="8"/>
        <v>51003</v>
      </c>
      <c r="B133" s="83">
        <v>1</v>
      </c>
      <c r="C133" s="83">
        <v>5</v>
      </c>
      <c r="D133" s="78">
        <v>3</v>
      </c>
      <c r="E133" s="87" t="s">
        <v>3717</v>
      </c>
      <c r="F133" s="78">
        <v>21500</v>
      </c>
      <c r="G133" s="78">
        <v>1238</v>
      </c>
      <c r="H133" s="66"/>
      <c r="I133" s="87">
        <f t="shared" si="14"/>
        <v>51004</v>
      </c>
    </row>
    <row r="134" customHeight="1" spans="1:9">
      <c r="A134" s="87">
        <f t="shared" ref="A134:A197" si="15">C134*10000+B134*1000+D134</f>
        <v>51004</v>
      </c>
      <c r="B134" s="83">
        <v>1</v>
      </c>
      <c r="C134" s="83">
        <v>5</v>
      </c>
      <c r="D134" s="78">
        <v>4</v>
      </c>
      <c r="E134" s="87" t="s">
        <v>3717</v>
      </c>
      <c r="F134" s="78">
        <v>21880</v>
      </c>
      <c r="G134" s="78">
        <v>1286</v>
      </c>
      <c r="H134" s="66"/>
      <c r="I134" s="87">
        <f t="shared" si="14"/>
        <v>51005</v>
      </c>
    </row>
    <row r="135" customHeight="1" spans="1:9">
      <c r="A135" s="87">
        <f t="shared" si="15"/>
        <v>51005</v>
      </c>
      <c r="B135" s="83">
        <v>1</v>
      </c>
      <c r="C135" s="83">
        <v>5</v>
      </c>
      <c r="D135" s="78">
        <v>5</v>
      </c>
      <c r="E135" s="87" t="s">
        <v>3717</v>
      </c>
      <c r="F135" s="78">
        <v>22260</v>
      </c>
      <c r="G135" s="78">
        <v>1333</v>
      </c>
      <c r="H135" s="66"/>
      <c r="I135" s="87">
        <f t="shared" si="14"/>
        <v>51006</v>
      </c>
    </row>
    <row r="136" customHeight="1" spans="1:9">
      <c r="A136" s="87">
        <f t="shared" si="15"/>
        <v>51006</v>
      </c>
      <c r="B136" s="83">
        <v>1</v>
      </c>
      <c r="C136" s="83">
        <v>5</v>
      </c>
      <c r="D136" s="78">
        <v>6</v>
      </c>
      <c r="E136" s="87" t="s">
        <v>3717</v>
      </c>
      <c r="F136" s="78">
        <v>22640</v>
      </c>
      <c r="G136" s="78">
        <v>1381</v>
      </c>
      <c r="H136" s="66"/>
      <c r="I136" s="87">
        <f t="shared" si="14"/>
        <v>51007</v>
      </c>
    </row>
    <row r="137" customHeight="1" spans="1:9">
      <c r="A137" s="87">
        <f t="shared" si="15"/>
        <v>51007</v>
      </c>
      <c r="B137" s="83">
        <v>1</v>
      </c>
      <c r="C137" s="83">
        <v>5</v>
      </c>
      <c r="D137" s="78">
        <v>7</v>
      </c>
      <c r="E137" s="87" t="s">
        <v>3717</v>
      </c>
      <c r="F137" s="78">
        <v>23020</v>
      </c>
      <c r="G137" s="78">
        <v>1429</v>
      </c>
      <c r="H137" s="66"/>
      <c r="I137" s="87">
        <f t="shared" si="14"/>
        <v>51008</v>
      </c>
    </row>
    <row r="138" customHeight="1" spans="1:9">
      <c r="A138" s="87">
        <f t="shared" si="15"/>
        <v>51008</v>
      </c>
      <c r="B138" s="83">
        <v>1</v>
      </c>
      <c r="C138" s="83">
        <v>5</v>
      </c>
      <c r="D138" s="78">
        <v>8</v>
      </c>
      <c r="E138" s="87" t="s">
        <v>3717</v>
      </c>
      <c r="F138" s="78">
        <v>30110</v>
      </c>
      <c r="G138" s="78">
        <v>1476</v>
      </c>
      <c r="H138" s="66"/>
      <c r="I138" s="87">
        <f t="shared" si="14"/>
        <v>51009</v>
      </c>
    </row>
    <row r="139" customHeight="1" spans="1:9">
      <c r="A139" s="87">
        <f t="shared" si="15"/>
        <v>51009</v>
      </c>
      <c r="B139" s="83">
        <v>1</v>
      </c>
      <c r="C139" s="83">
        <v>5</v>
      </c>
      <c r="D139" s="78">
        <v>9</v>
      </c>
      <c r="E139" s="87" t="s">
        <v>3717</v>
      </c>
      <c r="F139" s="78">
        <v>30740</v>
      </c>
      <c r="G139" s="78">
        <v>1524</v>
      </c>
      <c r="H139" s="66"/>
      <c r="I139" s="87">
        <f t="shared" si="14"/>
        <v>51010</v>
      </c>
    </row>
    <row r="140" customHeight="1" spans="1:9">
      <c r="A140" s="87">
        <f t="shared" si="15"/>
        <v>51010</v>
      </c>
      <c r="B140" s="83">
        <v>1</v>
      </c>
      <c r="C140" s="83">
        <v>5</v>
      </c>
      <c r="D140" s="78">
        <v>10</v>
      </c>
      <c r="E140" s="87" t="s">
        <v>3717</v>
      </c>
      <c r="F140" s="78">
        <v>31370</v>
      </c>
      <c r="G140" s="78">
        <v>1571</v>
      </c>
      <c r="H140" s="66"/>
      <c r="I140" s="87">
        <f t="shared" si="14"/>
        <v>51011</v>
      </c>
    </row>
    <row r="141" customHeight="1" spans="1:9">
      <c r="A141" s="87">
        <f t="shared" si="15"/>
        <v>51011</v>
      </c>
      <c r="B141" s="83">
        <v>1</v>
      </c>
      <c r="C141" s="83">
        <v>5</v>
      </c>
      <c r="D141" s="78">
        <v>11</v>
      </c>
      <c r="E141" s="87" t="s">
        <v>3717</v>
      </c>
      <c r="F141" s="78">
        <v>32000</v>
      </c>
      <c r="G141" s="78">
        <v>1619</v>
      </c>
      <c r="H141" s="66"/>
      <c r="I141" s="87">
        <f t="shared" si="14"/>
        <v>51012</v>
      </c>
    </row>
    <row r="142" customHeight="1" spans="1:9">
      <c r="A142" s="87">
        <f t="shared" si="15"/>
        <v>51012</v>
      </c>
      <c r="B142" s="83">
        <v>1</v>
      </c>
      <c r="C142" s="83">
        <v>5</v>
      </c>
      <c r="D142" s="78">
        <v>12</v>
      </c>
      <c r="E142" s="87" t="s">
        <v>3717</v>
      </c>
      <c r="F142" s="78">
        <v>32630</v>
      </c>
      <c r="G142" s="78">
        <v>1667</v>
      </c>
      <c r="H142" s="66"/>
      <c r="I142" s="87">
        <f t="shared" si="14"/>
        <v>51013</v>
      </c>
    </row>
    <row r="143" customHeight="1" spans="1:9">
      <c r="A143" s="87">
        <f t="shared" si="15"/>
        <v>51013</v>
      </c>
      <c r="B143" s="83">
        <v>1</v>
      </c>
      <c r="C143" s="83">
        <v>5</v>
      </c>
      <c r="D143" s="78">
        <v>13</v>
      </c>
      <c r="E143" s="87" t="s">
        <v>3717</v>
      </c>
      <c r="F143" s="78">
        <v>33260</v>
      </c>
      <c r="G143" s="78">
        <v>1714</v>
      </c>
      <c r="H143" s="66"/>
      <c r="I143" s="87">
        <f t="shared" si="14"/>
        <v>51014</v>
      </c>
    </row>
    <row r="144" customHeight="1" spans="1:9">
      <c r="A144" s="87">
        <f t="shared" si="15"/>
        <v>51014</v>
      </c>
      <c r="B144" s="83">
        <v>1</v>
      </c>
      <c r="C144" s="83">
        <v>5</v>
      </c>
      <c r="D144" s="78">
        <v>14</v>
      </c>
      <c r="E144" s="87" t="s">
        <v>3717</v>
      </c>
      <c r="F144" s="78">
        <v>33890</v>
      </c>
      <c r="G144" s="78">
        <v>1762</v>
      </c>
      <c r="H144" s="66"/>
      <c r="I144" s="87">
        <f t="shared" si="14"/>
        <v>51015</v>
      </c>
    </row>
    <row r="145" customHeight="1" spans="1:9">
      <c r="A145" s="87">
        <f t="shared" si="15"/>
        <v>51015</v>
      </c>
      <c r="B145" s="83">
        <v>1</v>
      </c>
      <c r="C145" s="83">
        <v>5</v>
      </c>
      <c r="D145" s="78">
        <v>15</v>
      </c>
      <c r="E145" s="87" t="s">
        <v>3717</v>
      </c>
      <c r="F145" s="78">
        <v>34520</v>
      </c>
      <c r="G145" s="78">
        <v>1810</v>
      </c>
      <c r="H145" s="66"/>
      <c r="I145" s="87">
        <f t="shared" si="14"/>
        <v>51016</v>
      </c>
    </row>
    <row r="146" customHeight="1" spans="1:9">
      <c r="A146" s="87">
        <f t="shared" si="15"/>
        <v>51016</v>
      </c>
      <c r="B146" s="83">
        <v>1</v>
      </c>
      <c r="C146" s="83">
        <v>5</v>
      </c>
      <c r="D146" s="78">
        <v>16</v>
      </c>
      <c r="E146" s="87" t="s">
        <v>3717</v>
      </c>
      <c r="F146" s="78">
        <v>34990</v>
      </c>
      <c r="G146" s="78">
        <v>1857</v>
      </c>
      <c r="H146" s="66"/>
      <c r="I146" s="87">
        <f t="shared" si="14"/>
        <v>51017</v>
      </c>
    </row>
    <row r="147" customHeight="1" spans="1:9">
      <c r="A147" s="87">
        <f t="shared" si="15"/>
        <v>51017</v>
      </c>
      <c r="B147" s="83">
        <v>1</v>
      </c>
      <c r="C147" s="83">
        <v>5</v>
      </c>
      <c r="D147" s="78">
        <v>17</v>
      </c>
      <c r="E147" s="87" t="s">
        <v>3717</v>
      </c>
      <c r="F147" s="78">
        <v>35450</v>
      </c>
      <c r="G147" s="78">
        <v>1905</v>
      </c>
      <c r="H147" s="66"/>
      <c r="I147" s="87">
        <f t="shared" si="14"/>
        <v>51018</v>
      </c>
    </row>
    <row r="148" customHeight="1" spans="1:9">
      <c r="A148" s="87">
        <f t="shared" si="15"/>
        <v>51018</v>
      </c>
      <c r="B148" s="83">
        <v>1</v>
      </c>
      <c r="C148" s="83">
        <v>5</v>
      </c>
      <c r="D148" s="78">
        <v>18</v>
      </c>
      <c r="E148" s="87" t="s">
        <v>3717</v>
      </c>
      <c r="F148" s="78">
        <v>35910</v>
      </c>
      <c r="G148" s="78">
        <v>1952</v>
      </c>
      <c r="H148" s="66"/>
      <c r="I148" s="87">
        <f t="shared" si="14"/>
        <v>51019</v>
      </c>
    </row>
    <row r="149" customHeight="1" spans="1:9">
      <c r="A149" s="87">
        <f t="shared" si="15"/>
        <v>51019</v>
      </c>
      <c r="B149" s="83">
        <v>1</v>
      </c>
      <c r="C149" s="83">
        <v>5</v>
      </c>
      <c r="D149" s="78">
        <v>19</v>
      </c>
      <c r="E149" s="87" t="s">
        <v>3717</v>
      </c>
      <c r="F149" s="78">
        <v>36370</v>
      </c>
      <c r="G149" s="78">
        <v>2000</v>
      </c>
      <c r="H149" s="66"/>
      <c r="I149" s="87">
        <f t="shared" si="14"/>
        <v>51020</v>
      </c>
    </row>
    <row r="150" customHeight="1" spans="1:9">
      <c r="A150" s="87">
        <f t="shared" si="15"/>
        <v>51020</v>
      </c>
      <c r="B150" s="83">
        <v>1</v>
      </c>
      <c r="C150" s="83">
        <v>5</v>
      </c>
      <c r="D150" s="78">
        <v>20</v>
      </c>
      <c r="E150" s="87" t="s">
        <v>3717</v>
      </c>
      <c r="F150" s="78">
        <v>36830</v>
      </c>
      <c r="G150" s="78">
        <v>2048</v>
      </c>
      <c r="H150" s="66"/>
      <c r="I150" s="87">
        <f t="shared" si="14"/>
        <v>51021</v>
      </c>
    </row>
    <row r="151" customHeight="1" spans="1:9">
      <c r="A151" s="87">
        <f t="shared" si="15"/>
        <v>51021</v>
      </c>
      <c r="B151" s="83">
        <v>1</v>
      </c>
      <c r="C151" s="83">
        <v>5</v>
      </c>
      <c r="D151" s="78">
        <v>21</v>
      </c>
      <c r="E151" s="87" t="s">
        <v>3717</v>
      </c>
      <c r="F151" s="78">
        <v>37300</v>
      </c>
      <c r="G151" s="78">
        <v>2095</v>
      </c>
      <c r="H151" s="66"/>
      <c r="I151" s="87">
        <f t="shared" si="14"/>
        <v>51022</v>
      </c>
    </row>
    <row r="152" customHeight="1" spans="1:9">
      <c r="A152" s="87">
        <f t="shared" si="15"/>
        <v>51022</v>
      </c>
      <c r="B152" s="83">
        <v>1</v>
      </c>
      <c r="C152" s="83">
        <v>5</v>
      </c>
      <c r="D152" s="78">
        <v>22</v>
      </c>
      <c r="E152" s="87" t="s">
        <v>3717</v>
      </c>
      <c r="F152" s="78">
        <v>37760</v>
      </c>
      <c r="G152" s="78">
        <v>2143</v>
      </c>
      <c r="H152" s="66"/>
      <c r="I152" s="87">
        <f t="shared" si="14"/>
        <v>51023</v>
      </c>
    </row>
    <row r="153" customHeight="1" spans="1:9">
      <c r="A153" s="87">
        <f t="shared" si="15"/>
        <v>51023</v>
      </c>
      <c r="B153" s="83">
        <v>1</v>
      </c>
      <c r="C153" s="83">
        <v>5</v>
      </c>
      <c r="D153" s="78">
        <v>23</v>
      </c>
      <c r="E153" s="87" t="s">
        <v>3717</v>
      </c>
      <c r="F153" s="78">
        <v>38220</v>
      </c>
      <c r="G153" s="78">
        <v>2190</v>
      </c>
      <c r="H153" s="66"/>
      <c r="I153" s="87">
        <f t="shared" si="14"/>
        <v>51024</v>
      </c>
    </row>
    <row r="154" customHeight="1" spans="1:9">
      <c r="A154" s="87">
        <f t="shared" si="15"/>
        <v>51024</v>
      </c>
      <c r="B154" s="83">
        <v>1</v>
      </c>
      <c r="C154" s="83">
        <v>5</v>
      </c>
      <c r="D154" s="78">
        <v>24</v>
      </c>
      <c r="E154" s="87" t="s">
        <v>3717</v>
      </c>
      <c r="F154" s="78">
        <v>38680</v>
      </c>
      <c r="G154" s="78">
        <v>2238</v>
      </c>
      <c r="H154" s="66"/>
      <c r="I154" s="87">
        <f t="shared" si="14"/>
        <v>51025</v>
      </c>
    </row>
    <row r="155" customHeight="1" spans="1:9">
      <c r="A155" s="87">
        <f t="shared" si="15"/>
        <v>51025</v>
      </c>
      <c r="B155" s="83">
        <v>1</v>
      </c>
      <c r="C155" s="83">
        <v>5</v>
      </c>
      <c r="D155" s="78">
        <v>25</v>
      </c>
      <c r="E155" s="87" t="s">
        <v>3717</v>
      </c>
      <c r="F155" s="78">
        <v>39140</v>
      </c>
      <c r="G155" s="78">
        <v>2286</v>
      </c>
      <c r="H155" s="66"/>
      <c r="I155" s="87">
        <f t="shared" si="14"/>
        <v>51026</v>
      </c>
    </row>
    <row r="156" customHeight="1" spans="1:9">
      <c r="A156" s="87">
        <f t="shared" si="15"/>
        <v>51026</v>
      </c>
      <c r="B156" s="83">
        <v>1</v>
      </c>
      <c r="C156" s="83">
        <v>5</v>
      </c>
      <c r="D156" s="78">
        <v>26</v>
      </c>
      <c r="E156" s="87" t="s">
        <v>3717</v>
      </c>
      <c r="F156" s="78">
        <v>39610</v>
      </c>
      <c r="G156" s="78">
        <v>2333</v>
      </c>
      <c r="H156" s="66"/>
      <c r="I156" s="87">
        <f t="shared" si="14"/>
        <v>51027</v>
      </c>
    </row>
    <row r="157" customHeight="1" spans="1:9">
      <c r="A157" s="87">
        <f t="shared" si="15"/>
        <v>51027</v>
      </c>
      <c r="B157" s="83">
        <v>1</v>
      </c>
      <c r="C157" s="83">
        <v>5</v>
      </c>
      <c r="D157" s="78">
        <v>27</v>
      </c>
      <c r="E157" s="87" t="s">
        <v>3717</v>
      </c>
      <c r="F157" s="78">
        <v>40070</v>
      </c>
      <c r="G157" s="78">
        <v>2381</v>
      </c>
      <c r="H157" s="66"/>
      <c r="I157" s="87">
        <f t="shared" si="14"/>
        <v>51028</v>
      </c>
    </row>
    <row r="158" customHeight="1" spans="1:9">
      <c r="A158" s="87">
        <f t="shared" si="15"/>
        <v>51028</v>
      </c>
      <c r="B158" s="83">
        <v>1</v>
      </c>
      <c r="C158" s="83">
        <v>5</v>
      </c>
      <c r="D158" s="78">
        <v>28</v>
      </c>
      <c r="E158" s="87" t="s">
        <v>3717</v>
      </c>
      <c r="F158" s="78">
        <v>40530</v>
      </c>
      <c r="G158" s="78">
        <v>2429</v>
      </c>
      <c r="H158" s="66"/>
      <c r="I158" s="87">
        <f t="shared" si="14"/>
        <v>51029</v>
      </c>
    </row>
    <row r="159" customHeight="1" spans="1:9">
      <c r="A159" s="87">
        <f t="shared" si="15"/>
        <v>51029</v>
      </c>
      <c r="B159" s="83">
        <v>1</v>
      </c>
      <c r="C159" s="83">
        <v>5</v>
      </c>
      <c r="D159" s="78">
        <v>29</v>
      </c>
      <c r="E159" s="87" t="s">
        <v>3717</v>
      </c>
      <c r="F159" s="78">
        <v>40990</v>
      </c>
      <c r="G159" s="78">
        <v>2476</v>
      </c>
      <c r="H159" s="66"/>
      <c r="I159" s="87">
        <f t="shared" si="14"/>
        <v>51030</v>
      </c>
    </row>
    <row r="160" customHeight="1" spans="1:9">
      <c r="A160" s="87">
        <f t="shared" si="15"/>
        <v>51030</v>
      </c>
      <c r="B160" s="83">
        <v>1</v>
      </c>
      <c r="C160" s="83">
        <v>5</v>
      </c>
      <c r="D160" s="78">
        <v>30</v>
      </c>
      <c r="E160" s="87" t="s">
        <v>3717</v>
      </c>
      <c r="F160" s="78"/>
      <c r="G160" s="78">
        <v>2524</v>
      </c>
      <c r="H160" s="66"/>
      <c r="I160" s="87">
        <v>0</v>
      </c>
    </row>
    <row r="161" customHeight="1" spans="1:9">
      <c r="A161" s="87">
        <f t="shared" si="15"/>
        <v>61000</v>
      </c>
      <c r="B161" s="83">
        <v>1</v>
      </c>
      <c r="C161" s="83">
        <v>6</v>
      </c>
      <c r="D161" s="78"/>
      <c r="E161" s="87" t="s">
        <v>3716</v>
      </c>
      <c r="F161" s="78">
        <v>986000</v>
      </c>
      <c r="G161" s="78"/>
      <c r="H161" s="66"/>
      <c r="I161" s="87">
        <f t="shared" ref="I161:I190" si="16">A162</f>
        <v>61001</v>
      </c>
    </row>
    <row r="162" customHeight="1" spans="1:9">
      <c r="A162" s="87">
        <f t="shared" si="15"/>
        <v>61001</v>
      </c>
      <c r="B162" s="83">
        <v>1</v>
      </c>
      <c r="C162" s="83">
        <v>6</v>
      </c>
      <c r="D162" s="78">
        <v>1</v>
      </c>
      <c r="E162" s="87" t="s">
        <v>3717</v>
      </c>
      <c r="F162" s="78">
        <v>34420</v>
      </c>
      <c r="G162" s="78">
        <v>1905</v>
      </c>
      <c r="H162" s="66"/>
      <c r="I162" s="87">
        <f t="shared" si="16"/>
        <v>61002</v>
      </c>
    </row>
    <row r="163" customHeight="1" spans="1:9">
      <c r="A163" s="87">
        <f t="shared" si="15"/>
        <v>61002</v>
      </c>
      <c r="B163" s="83">
        <v>1</v>
      </c>
      <c r="C163" s="83">
        <v>6</v>
      </c>
      <c r="D163" s="78">
        <v>2</v>
      </c>
      <c r="E163" s="87" t="s">
        <v>3717</v>
      </c>
      <c r="F163" s="78">
        <v>35140</v>
      </c>
      <c r="G163" s="78">
        <v>1976</v>
      </c>
      <c r="H163" s="66"/>
      <c r="I163" s="87">
        <f t="shared" si="16"/>
        <v>61003</v>
      </c>
    </row>
    <row r="164" customHeight="1" spans="1:9">
      <c r="A164" s="87">
        <f t="shared" si="15"/>
        <v>61003</v>
      </c>
      <c r="B164" s="83">
        <v>1</v>
      </c>
      <c r="C164" s="83">
        <v>6</v>
      </c>
      <c r="D164" s="78">
        <v>3</v>
      </c>
      <c r="E164" s="87" t="s">
        <v>3717</v>
      </c>
      <c r="F164" s="78">
        <v>35860</v>
      </c>
      <c r="G164" s="78">
        <v>2048</v>
      </c>
      <c r="H164" s="66"/>
      <c r="I164" s="87">
        <f t="shared" si="16"/>
        <v>61004</v>
      </c>
    </row>
    <row r="165" customHeight="1" spans="1:9">
      <c r="A165" s="87">
        <f t="shared" si="15"/>
        <v>61004</v>
      </c>
      <c r="B165" s="83">
        <v>1</v>
      </c>
      <c r="C165" s="83">
        <v>6</v>
      </c>
      <c r="D165" s="78">
        <v>4</v>
      </c>
      <c r="E165" s="87" t="s">
        <v>3717</v>
      </c>
      <c r="F165" s="78">
        <v>36580</v>
      </c>
      <c r="G165" s="78">
        <v>2119</v>
      </c>
      <c r="H165" s="66"/>
      <c r="I165" s="87">
        <f t="shared" si="16"/>
        <v>61005</v>
      </c>
    </row>
    <row r="166" customHeight="1" spans="1:9">
      <c r="A166" s="87">
        <f t="shared" si="15"/>
        <v>61005</v>
      </c>
      <c r="B166" s="83">
        <v>1</v>
      </c>
      <c r="C166" s="83">
        <v>6</v>
      </c>
      <c r="D166" s="78">
        <v>5</v>
      </c>
      <c r="E166" s="87" t="s">
        <v>3717</v>
      </c>
      <c r="F166" s="78">
        <v>37300</v>
      </c>
      <c r="G166" s="78">
        <v>2190</v>
      </c>
      <c r="H166" s="66"/>
      <c r="I166" s="87">
        <f t="shared" si="16"/>
        <v>61006</v>
      </c>
    </row>
    <row r="167" customHeight="1" spans="1:9">
      <c r="A167" s="87">
        <f t="shared" si="15"/>
        <v>61006</v>
      </c>
      <c r="B167" s="83">
        <v>1</v>
      </c>
      <c r="C167" s="83">
        <v>6</v>
      </c>
      <c r="D167" s="78">
        <v>6</v>
      </c>
      <c r="E167" s="87" t="s">
        <v>3717</v>
      </c>
      <c r="F167" s="78">
        <v>38020</v>
      </c>
      <c r="G167" s="78">
        <v>2262</v>
      </c>
      <c r="H167" s="66"/>
      <c r="I167" s="87">
        <f t="shared" si="16"/>
        <v>61007</v>
      </c>
    </row>
    <row r="168" customHeight="1" spans="1:9">
      <c r="A168" s="87">
        <f t="shared" si="15"/>
        <v>61007</v>
      </c>
      <c r="B168" s="83">
        <v>1</v>
      </c>
      <c r="C168" s="83">
        <v>6</v>
      </c>
      <c r="D168" s="78">
        <v>7</v>
      </c>
      <c r="E168" s="87" t="s">
        <v>3717</v>
      </c>
      <c r="F168" s="78">
        <v>38740</v>
      </c>
      <c r="G168" s="78">
        <v>2333</v>
      </c>
      <c r="H168" s="66"/>
      <c r="I168" s="87">
        <f t="shared" si="16"/>
        <v>61008</v>
      </c>
    </row>
    <row r="169" customHeight="1" spans="1:9">
      <c r="A169" s="87">
        <f t="shared" si="15"/>
        <v>61008</v>
      </c>
      <c r="B169" s="83">
        <v>1</v>
      </c>
      <c r="C169" s="83">
        <v>6</v>
      </c>
      <c r="D169" s="78">
        <v>8</v>
      </c>
      <c r="E169" s="87" t="s">
        <v>3717</v>
      </c>
      <c r="F169" s="78">
        <v>39460</v>
      </c>
      <c r="G169" s="78">
        <v>2405</v>
      </c>
      <c r="H169" s="66"/>
      <c r="I169" s="87">
        <f t="shared" si="16"/>
        <v>61009</v>
      </c>
    </row>
    <row r="170" customHeight="1" spans="1:9">
      <c r="A170" s="87">
        <f t="shared" si="15"/>
        <v>61009</v>
      </c>
      <c r="B170" s="83">
        <v>1</v>
      </c>
      <c r="C170" s="83">
        <v>6</v>
      </c>
      <c r="D170" s="78">
        <v>9</v>
      </c>
      <c r="E170" s="87" t="s">
        <v>3717</v>
      </c>
      <c r="F170" s="78">
        <v>39980</v>
      </c>
      <c r="G170" s="78">
        <v>2476</v>
      </c>
      <c r="H170" s="66"/>
      <c r="I170" s="87">
        <f t="shared" si="16"/>
        <v>61010</v>
      </c>
    </row>
    <row r="171" customHeight="1" spans="1:9">
      <c r="A171" s="87">
        <f t="shared" si="15"/>
        <v>61010</v>
      </c>
      <c r="B171" s="83">
        <v>1</v>
      </c>
      <c r="C171" s="83">
        <v>6</v>
      </c>
      <c r="D171" s="78">
        <v>10</v>
      </c>
      <c r="E171" s="87" t="s">
        <v>3717</v>
      </c>
      <c r="F171" s="78">
        <v>40510</v>
      </c>
      <c r="G171" s="78">
        <v>2548</v>
      </c>
      <c r="H171" s="66"/>
      <c r="I171" s="87">
        <f t="shared" si="16"/>
        <v>61011</v>
      </c>
    </row>
    <row r="172" customHeight="1" spans="1:9">
      <c r="A172" s="87">
        <f t="shared" si="15"/>
        <v>61011</v>
      </c>
      <c r="B172" s="83">
        <v>1</v>
      </c>
      <c r="C172" s="83">
        <v>6</v>
      </c>
      <c r="D172" s="78">
        <v>11</v>
      </c>
      <c r="E172" s="87" t="s">
        <v>3717</v>
      </c>
      <c r="F172" s="78">
        <v>41040</v>
      </c>
      <c r="G172" s="78">
        <v>2619</v>
      </c>
      <c r="H172" s="66"/>
      <c r="I172" s="87">
        <f t="shared" si="16"/>
        <v>61012</v>
      </c>
    </row>
    <row r="173" customHeight="1" spans="1:9">
      <c r="A173" s="87">
        <f t="shared" si="15"/>
        <v>61012</v>
      </c>
      <c r="B173" s="83">
        <v>1</v>
      </c>
      <c r="C173" s="83">
        <v>6</v>
      </c>
      <c r="D173" s="78">
        <v>12</v>
      </c>
      <c r="E173" s="87" t="s">
        <v>3717</v>
      </c>
      <c r="F173" s="78">
        <v>41570</v>
      </c>
      <c r="G173" s="78">
        <v>2690</v>
      </c>
      <c r="H173" s="66"/>
      <c r="I173" s="87">
        <f t="shared" si="16"/>
        <v>61013</v>
      </c>
    </row>
    <row r="174" customHeight="1" spans="1:9">
      <c r="A174" s="87">
        <f t="shared" si="15"/>
        <v>61013</v>
      </c>
      <c r="B174" s="83">
        <v>1</v>
      </c>
      <c r="C174" s="83">
        <v>6</v>
      </c>
      <c r="D174" s="78">
        <v>13</v>
      </c>
      <c r="E174" s="87" t="s">
        <v>3717</v>
      </c>
      <c r="F174" s="78">
        <v>42100</v>
      </c>
      <c r="G174" s="78">
        <v>2762</v>
      </c>
      <c r="H174" s="66"/>
      <c r="I174" s="87">
        <f t="shared" si="16"/>
        <v>61014</v>
      </c>
    </row>
    <row r="175" customHeight="1" spans="1:9">
      <c r="A175" s="87">
        <f t="shared" si="15"/>
        <v>61014</v>
      </c>
      <c r="B175" s="83">
        <v>1</v>
      </c>
      <c r="C175" s="83">
        <v>6</v>
      </c>
      <c r="D175" s="78">
        <v>14</v>
      </c>
      <c r="E175" s="87" t="s">
        <v>3717</v>
      </c>
      <c r="F175" s="78">
        <v>42620</v>
      </c>
      <c r="G175" s="78">
        <v>2833</v>
      </c>
      <c r="H175" s="66"/>
      <c r="I175" s="87">
        <f t="shared" si="16"/>
        <v>61015</v>
      </c>
    </row>
    <row r="176" customHeight="1" spans="1:9">
      <c r="A176" s="87">
        <f t="shared" si="15"/>
        <v>61015</v>
      </c>
      <c r="B176" s="83">
        <v>1</v>
      </c>
      <c r="C176" s="83">
        <v>6</v>
      </c>
      <c r="D176" s="78">
        <v>15</v>
      </c>
      <c r="E176" s="87" t="s">
        <v>3717</v>
      </c>
      <c r="F176" s="78">
        <v>43150</v>
      </c>
      <c r="G176" s="78">
        <v>2905</v>
      </c>
      <c r="H176" s="66"/>
      <c r="I176" s="87">
        <f t="shared" si="16"/>
        <v>61016</v>
      </c>
    </row>
    <row r="177" customHeight="1" spans="1:9">
      <c r="A177" s="87">
        <f t="shared" si="15"/>
        <v>61016</v>
      </c>
      <c r="B177" s="83">
        <v>1</v>
      </c>
      <c r="C177" s="83">
        <v>6</v>
      </c>
      <c r="D177" s="78">
        <v>16</v>
      </c>
      <c r="E177" s="87" t="s">
        <v>3717</v>
      </c>
      <c r="F177" s="78">
        <v>43680</v>
      </c>
      <c r="G177" s="78">
        <v>2976</v>
      </c>
      <c r="H177" s="66"/>
      <c r="I177" s="87">
        <f t="shared" si="16"/>
        <v>61017</v>
      </c>
    </row>
    <row r="178" customHeight="1" spans="1:9">
      <c r="A178" s="87">
        <f t="shared" si="15"/>
        <v>61017</v>
      </c>
      <c r="B178" s="83">
        <v>1</v>
      </c>
      <c r="C178" s="83">
        <v>6</v>
      </c>
      <c r="D178" s="78">
        <v>17</v>
      </c>
      <c r="E178" s="87" t="s">
        <v>3717</v>
      </c>
      <c r="F178" s="78">
        <v>44210</v>
      </c>
      <c r="G178" s="78">
        <v>3048</v>
      </c>
      <c r="H178" s="66"/>
      <c r="I178" s="87">
        <f t="shared" si="16"/>
        <v>61018</v>
      </c>
    </row>
    <row r="179" customHeight="1" spans="1:9">
      <c r="A179" s="87">
        <f t="shared" si="15"/>
        <v>61018</v>
      </c>
      <c r="B179" s="83">
        <v>1</v>
      </c>
      <c r="C179" s="83">
        <v>6</v>
      </c>
      <c r="D179" s="78">
        <v>18</v>
      </c>
      <c r="E179" s="87" t="s">
        <v>3717</v>
      </c>
      <c r="F179" s="78">
        <v>44740</v>
      </c>
      <c r="G179" s="78">
        <v>3119</v>
      </c>
      <c r="H179" s="66"/>
      <c r="I179" s="87">
        <f t="shared" si="16"/>
        <v>61019</v>
      </c>
    </row>
    <row r="180" customHeight="1" spans="1:9">
      <c r="A180" s="87">
        <f t="shared" si="15"/>
        <v>61019</v>
      </c>
      <c r="B180" s="83">
        <v>1</v>
      </c>
      <c r="C180" s="83">
        <v>6</v>
      </c>
      <c r="D180" s="78">
        <v>19</v>
      </c>
      <c r="E180" s="87" t="s">
        <v>3717</v>
      </c>
      <c r="F180" s="78">
        <v>45260</v>
      </c>
      <c r="G180" s="78">
        <v>3190</v>
      </c>
      <c r="H180" s="66"/>
      <c r="I180" s="87">
        <f t="shared" si="16"/>
        <v>61020</v>
      </c>
    </row>
    <row r="181" customHeight="1" spans="1:9">
      <c r="A181" s="87">
        <f t="shared" si="15"/>
        <v>61020</v>
      </c>
      <c r="B181" s="83">
        <v>1</v>
      </c>
      <c r="C181" s="83">
        <v>6</v>
      </c>
      <c r="D181" s="78">
        <v>20</v>
      </c>
      <c r="E181" s="87" t="s">
        <v>3717</v>
      </c>
      <c r="F181" s="78">
        <v>45790</v>
      </c>
      <c r="G181" s="78">
        <v>3262</v>
      </c>
      <c r="H181" s="66"/>
      <c r="I181" s="87">
        <f t="shared" si="16"/>
        <v>61021</v>
      </c>
    </row>
    <row r="182" customHeight="1" spans="1:9">
      <c r="A182" s="87">
        <f t="shared" si="15"/>
        <v>61021</v>
      </c>
      <c r="B182" s="83">
        <v>1</v>
      </c>
      <c r="C182" s="83">
        <v>6</v>
      </c>
      <c r="D182" s="78">
        <v>21</v>
      </c>
      <c r="E182" s="87" t="s">
        <v>3717</v>
      </c>
      <c r="F182" s="78">
        <v>46320</v>
      </c>
      <c r="G182" s="78">
        <v>3333</v>
      </c>
      <c r="H182" s="66"/>
      <c r="I182" s="87">
        <f t="shared" si="16"/>
        <v>61022</v>
      </c>
    </row>
    <row r="183" customHeight="1" spans="1:9">
      <c r="A183" s="87">
        <f t="shared" si="15"/>
        <v>61022</v>
      </c>
      <c r="B183" s="83">
        <v>1</v>
      </c>
      <c r="C183" s="83">
        <v>6</v>
      </c>
      <c r="D183" s="78">
        <v>22</v>
      </c>
      <c r="E183" s="87" t="s">
        <v>3717</v>
      </c>
      <c r="F183" s="78">
        <v>46850</v>
      </c>
      <c r="G183" s="78">
        <v>3405</v>
      </c>
      <c r="H183" s="66"/>
      <c r="I183" s="87">
        <f t="shared" si="16"/>
        <v>61023</v>
      </c>
    </row>
    <row r="184" customHeight="1" spans="1:9">
      <c r="A184" s="87">
        <f t="shared" si="15"/>
        <v>61023</v>
      </c>
      <c r="B184" s="83">
        <v>1</v>
      </c>
      <c r="C184" s="83">
        <v>6</v>
      </c>
      <c r="D184" s="78">
        <v>23</v>
      </c>
      <c r="E184" s="87" t="s">
        <v>3717</v>
      </c>
      <c r="F184" s="78">
        <v>47380</v>
      </c>
      <c r="G184" s="78">
        <v>3476</v>
      </c>
      <c r="H184" s="66"/>
      <c r="I184" s="87">
        <f t="shared" si="16"/>
        <v>61024</v>
      </c>
    </row>
    <row r="185" customHeight="1" spans="1:9">
      <c r="A185" s="87">
        <f t="shared" si="15"/>
        <v>61024</v>
      </c>
      <c r="B185" s="83">
        <v>1</v>
      </c>
      <c r="C185" s="83">
        <v>6</v>
      </c>
      <c r="D185" s="78">
        <v>24</v>
      </c>
      <c r="E185" s="87" t="s">
        <v>3717</v>
      </c>
      <c r="F185" s="78">
        <v>47660</v>
      </c>
      <c r="G185" s="78">
        <v>3548</v>
      </c>
      <c r="H185" s="66"/>
      <c r="I185" s="87">
        <f t="shared" si="16"/>
        <v>61025</v>
      </c>
    </row>
    <row r="186" customHeight="1" spans="1:9">
      <c r="A186" s="87">
        <f t="shared" si="15"/>
        <v>61025</v>
      </c>
      <c r="B186" s="83">
        <v>1</v>
      </c>
      <c r="C186" s="83">
        <v>6</v>
      </c>
      <c r="D186" s="78">
        <v>25</v>
      </c>
      <c r="E186" s="87" t="s">
        <v>3717</v>
      </c>
      <c r="F186" s="78">
        <v>47950</v>
      </c>
      <c r="G186" s="78">
        <v>3619</v>
      </c>
      <c r="H186" s="66"/>
      <c r="I186" s="87">
        <f t="shared" si="16"/>
        <v>61026</v>
      </c>
    </row>
    <row r="187" customHeight="1" spans="1:9">
      <c r="A187" s="87">
        <f t="shared" si="15"/>
        <v>61026</v>
      </c>
      <c r="B187" s="83">
        <v>1</v>
      </c>
      <c r="C187" s="83">
        <v>6</v>
      </c>
      <c r="D187" s="78">
        <v>26</v>
      </c>
      <c r="E187" s="87" t="s">
        <v>3717</v>
      </c>
      <c r="F187" s="78">
        <v>48240</v>
      </c>
      <c r="G187" s="78">
        <v>3690</v>
      </c>
      <c r="H187" s="66"/>
      <c r="I187" s="87">
        <f t="shared" si="16"/>
        <v>61027</v>
      </c>
    </row>
    <row r="188" customHeight="1" spans="1:9">
      <c r="A188" s="87">
        <f t="shared" si="15"/>
        <v>61027</v>
      </c>
      <c r="B188" s="83">
        <v>1</v>
      </c>
      <c r="C188" s="83">
        <v>6</v>
      </c>
      <c r="D188" s="78">
        <v>27</v>
      </c>
      <c r="E188" s="87" t="s">
        <v>3717</v>
      </c>
      <c r="F188" s="78">
        <v>48530</v>
      </c>
      <c r="G188" s="78">
        <v>3762</v>
      </c>
      <c r="H188" s="66"/>
      <c r="I188" s="87">
        <f t="shared" si="16"/>
        <v>61028</v>
      </c>
    </row>
    <row r="189" customHeight="1" spans="1:9">
      <c r="A189" s="87">
        <f t="shared" si="15"/>
        <v>61028</v>
      </c>
      <c r="B189" s="83">
        <v>1</v>
      </c>
      <c r="C189" s="83">
        <v>6</v>
      </c>
      <c r="D189" s="78">
        <v>28</v>
      </c>
      <c r="E189" s="87" t="s">
        <v>3717</v>
      </c>
      <c r="F189" s="78">
        <v>48820</v>
      </c>
      <c r="G189" s="78">
        <v>3833</v>
      </c>
      <c r="H189" s="66"/>
      <c r="I189" s="87">
        <f t="shared" si="16"/>
        <v>61029</v>
      </c>
    </row>
    <row r="190" customHeight="1" spans="1:9">
      <c r="A190" s="87">
        <f t="shared" si="15"/>
        <v>61029</v>
      </c>
      <c r="B190" s="83">
        <v>1</v>
      </c>
      <c r="C190" s="83">
        <v>6</v>
      </c>
      <c r="D190" s="78">
        <v>29</v>
      </c>
      <c r="E190" s="87" t="s">
        <v>3717</v>
      </c>
      <c r="F190" s="78">
        <v>49100</v>
      </c>
      <c r="G190" s="78">
        <v>3905</v>
      </c>
      <c r="H190" s="66"/>
      <c r="I190" s="87">
        <f t="shared" si="16"/>
        <v>61030</v>
      </c>
    </row>
    <row r="191" customHeight="1" spans="1:9">
      <c r="A191" s="87">
        <f t="shared" si="15"/>
        <v>61030</v>
      </c>
      <c r="B191" s="83">
        <v>1</v>
      </c>
      <c r="C191" s="83">
        <v>6</v>
      </c>
      <c r="D191" s="78">
        <v>30</v>
      </c>
      <c r="E191" s="87" t="s">
        <v>3717</v>
      </c>
      <c r="F191" s="78"/>
      <c r="G191" s="78">
        <v>3976</v>
      </c>
      <c r="H191" s="66"/>
      <c r="I191" s="87">
        <v>0</v>
      </c>
    </row>
    <row r="192" customHeight="1" spans="1:9">
      <c r="A192" s="87">
        <f t="shared" si="15"/>
        <v>12000</v>
      </c>
      <c r="B192" s="87">
        <v>2</v>
      </c>
      <c r="C192" s="87">
        <v>1</v>
      </c>
      <c r="D192" s="78"/>
      <c r="E192" s="87" t="s">
        <v>3717</v>
      </c>
      <c r="F192" s="78">
        <v>0</v>
      </c>
      <c r="G192" s="78"/>
      <c r="H192" s="56"/>
      <c r="I192" s="87">
        <f t="shared" ref="I192:I252" si="17">A193</f>
        <v>12001</v>
      </c>
    </row>
    <row r="193" customHeight="1" spans="1:9">
      <c r="A193" s="87">
        <f t="shared" si="15"/>
        <v>12001</v>
      </c>
      <c r="B193" s="87">
        <v>2</v>
      </c>
      <c r="C193" s="87">
        <v>1</v>
      </c>
      <c r="D193" s="78">
        <v>1</v>
      </c>
      <c r="E193" s="87" t="s">
        <v>3717</v>
      </c>
      <c r="F193" s="78">
        <v>0</v>
      </c>
      <c r="G193" s="78">
        <v>719</v>
      </c>
      <c r="H193" s="56"/>
      <c r="I193" s="87">
        <f t="shared" si="17"/>
        <v>12002</v>
      </c>
    </row>
    <row r="194" customHeight="1" spans="1:9">
      <c r="A194" s="87">
        <f t="shared" si="15"/>
        <v>12002</v>
      </c>
      <c r="B194" s="87">
        <f t="shared" ref="B194:B222" si="18">B193</f>
        <v>2</v>
      </c>
      <c r="C194" s="87">
        <f t="shared" ref="C194:C222" si="19">C193</f>
        <v>1</v>
      </c>
      <c r="D194" s="78">
        <v>2</v>
      </c>
      <c r="E194" s="87" t="s">
        <v>3717</v>
      </c>
      <c r="F194" s="78">
        <v>22000</v>
      </c>
      <c r="G194" s="78">
        <v>863</v>
      </c>
      <c r="H194" s="56"/>
      <c r="I194" s="87">
        <f t="shared" si="17"/>
        <v>12003</v>
      </c>
    </row>
    <row r="195" customHeight="1" spans="1:9">
      <c r="A195" s="87">
        <f t="shared" si="15"/>
        <v>12003</v>
      </c>
      <c r="B195" s="87">
        <f t="shared" si="18"/>
        <v>2</v>
      </c>
      <c r="C195" s="87">
        <f t="shared" si="19"/>
        <v>1</v>
      </c>
      <c r="D195" s="78">
        <v>3</v>
      </c>
      <c r="E195" s="87" t="s">
        <v>3717</v>
      </c>
      <c r="F195" s="78">
        <v>25000</v>
      </c>
      <c r="G195" s="78">
        <v>1007</v>
      </c>
      <c r="H195" s="56"/>
      <c r="I195" s="87">
        <f t="shared" si="17"/>
        <v>12004</v>
      </c>
    </row>
    <row r="196" customHeight="1" spans="1:9">
      <c r="A196" s="87">
        <f t="shared" si="15"/>
        <v>12004</v>
      </c>
      <c r="B196" s="87">
        <f t="shared" si="18"/>
        <v>2</v>
      </c>
      <c r="C196" s="87">
        <f t="shared" si="19"/>
        <v>1</v>
      </c>
      <c r="D196" s="78">
        <v>4</v>
      </c>
      <c r="E196" s="87" t="s">
        <v>3717</v>
      </c>
      <c r="F196" s="78">
        <v>29000</v>
      </c>
      <c r="G196" s="78">
        <v>1151</v>
      </c>
      <c r="H196" s="56"/>
      <c r="I196" s="87">
        <f t="shared" si="17"/>
        <v>12005</v>
      </c>
    </row>
    <row r="197" customHeight="1" spans="1:9">
      <c r="A197" s="87">
        <f t="shared" si="15"/>
        <v>12005</v>
      </c>
      <c r="B197" s="87">
        <f t="shared" si="18"/>
        <v>2</v>
      </c>
      <c r="C197" s="87">
        <f t="shared" si="19"/>
        <v>1</v>
      </c>
      <c r="D197" s="78">
        <v>5</v>
      </c>
      <c r="E197" s="87" t="s">
        <v>3717</v>
      </c>
      <c r="F197" s="78">
        <v>32000</v>
      </c>
      <c r="G197" s="78">
        <v>1295</v>
      </c>
      <c r="H197" s="56"/>
      <c r="I197" s="87">
        <f t="shared" si="17"/>
        <v>12006</v>
      </c>
    </row>
    <row r="198" customHeight="1" spans="1:9">
      <c r="A198" s="87">
        <f t="shared" ref="A198:A261" si="20">C198*10000+B198*1000+D198</f>
        <v>12006</v>
      </c>
      <c r="B198" s="87">
        <f t="shared" si="18"/>
        <v>2</v>
      </c>
      <c r="C198" s="87">
        <f t="shared" si="19"/>
        <v>1</v>
      </c>
      <c r="D198" s="78">
        <v>6</v>
      </c>
      <c r="E198" s="87" t="s">
        <v>3717</v>
      </c>
      <c r="F198" s="78">
        <v>36000</v>
      </c>
      <c r="G198" s="78">
        <v>1439</v>
      </c>
      <c r="H198" s="56"/>
      <c r="I198" s="87">
        <f t="shared" si="17"/>
        <v>12007</v>
      </c>
    </row>
    <row r="199" customHeight="1" spans="1:9">
      <c r="A199" s="87">
        <f t="shared" si="20"/>
        <v>12007</v>
      </c>
      <c r="B199" s="87">
        <f t="shared" si="18"/>
        <v>2</v>
      </c>
      <c r="C199" s="87">
        <f t="shared" si="19"/>
        <v>1</v>
      </c>
      <c r="D199" s="78">
        <v>7</v>
      </c>
      <c r="E199" s="87" t="s">
        <v>3717</v>
      </c>
      <c r="F199" s="78">
        <v>40000</v>
      </c>
      <c r="G199" s="78">
        <v>1583</v>
      </c>
      <c r="H199" s="56"/>
      <c r="I199" s="87">
        <f t="shared" si="17"/>
        <v>12008</v>
      </c>
    </row>
    <row r="200" customHeight="1" spans="1:9">
      <c r="A200" s="87">
        <f t="shared" si="20"/>
        <v>12008</v>
      </c>
      <c r="B200" s="87">
        <f t="shared" si="18"/>
        <v>2</v>
      </c>
      <c r="C200" s="87">
        <f t="shared" si="19"/>
        <v>1</v>
      </c>
      <c r="D200" s="78">
        <v>8</v>
      </c>
      <c r="E200" s="87" t="s">
        <v>3717</v>
      </c>
      <c r="F200" s="78">
        <v>43000</v>
      </c>
      <c r="G200" s="78">
        <v>1727</v>
      </c>
      <c r="H200" s="56"/>
      <c r="I200" s="87">
        <f t="shared" si="17"/>
        <v>12009</v>
      </c>
    </row>
    <row r="201" customHeight="1" spans="1:9">
      <c r="A201" s="87">
        <f t="shared" si="20"/>
        <v>12009</v>
      </c>
      <c r="B201" s="87">
        <f t="shared" si="18"/>
        <v>2</v>
      </c>
      <c r="C201" s="87">
        <f t="shared" si="19"/>
        <v>1</v>
      </c>
      <c r="D201" s="78">
        <v>9</v>
      </c>
      <c r="E201" s="87" t="s">
        <v>3717</v>
      </c>
      <c r="F201" s="78">
        <v>47000</v>
      </c>
      <c r="G201" s="78">
        <v>1871</v>
      </c>
      <c r="H201" s="56"/>
      <c r="I201" s="87">
        <f t="shared" si="17"/>
        <v>12010</v>
      </c>
    </row>
    <row r="202" customHeight="1" spans="1:9">
      <c r="A202" s="87">
        <f t="shared" si="20"/>
        <v>12010</v>
      </c>
      <c r="B202" s="87">
        <f t="shared" si="18"/>
        <v>2</v>
      </c>
      <c r="C202" s="87">
        <f t="shared" si="19"/>
        <v>1</v>
      </c>
      <c r="D202" s="78">
        <v>10</v>
      </c>
      <c r="E202" s="87" t="s">
        <v>3717</v>
      </c>
      <c r="F202" s="78">
        <v>104000</v>
      </c>
      <c r="G202" s="78">
        <v>2014</v>
      </c>
      <c r="H202" s="56"/>
      <c r="I202" s="87">
        <f t="shared" si="17"/>
        <v>12011</v>
      </c>
    </row>
    <row r="203" customHeight="1" spans="1:9">
      <c r="A203" s="87">
        <f t="shared" si="20"/>
        <v>12011</v>
      </c>
      <c r="B203" s="87">
        <f t="shared" si="18"/>
        <v>2</v>
      </c>
      <c r="C203" s="87">
        <f t="shared" si="19"/>
        <v>1</v>
      </c>
      <c r="D203" s="78">
        <v>11</v>
      </c>
      <c r="E203" s="87" t="s">
        <v>3717</v>
      </c>
      <c r="F203" s="78">
        <v>115000</v>
      </c>
      <c r="G203" s="78">
        <v>2158</v>
      </c>
      <c r="H203" s="56"/>
      <c r="I203" s="87">
        <f t="shared" si="17"/>
        <v>12012</v>
      </c>
    </row>
    <row r="204" customHeight="1" spans="1:9">
      <c r="A204" s="87">
        <f t="shared" si="20"/>
        <v>12012</v>
      </c>
      <c r="B204" s="87">
        <f t="shared" si="18"/>
        <v>2</v>
      </c>
      <c r="C204" s="87">
        <f t="shared" si="19"/>
        <v>1</v>
      </c>
      <c r="D204" s="78">
        <v>12</v>
      </c>
      <c r="E204" s="87" t="s">
        <v>3717</v>
      </c>
      <c r="F204" s="78">
        <v>126000</v>
      </c>
      <c r="G204" s="78">
        <v>2302</v>
      </c>
      <c r="H204" s="56"/>
      <c r="I204" s="87">
        <f t="shared" si="17"/>
        <v>12013</v>
      </c>
    </row>
    <row r="205" customHeight="1" spans="1:9">
      <c r="A205" s="87">
        <f t="shared" si="20"/>
        <v>12013</v>
      </c>
      <c r="B205" s="87">
        <f t="shared" si="18"/>
        <v>2</v>
      </c>
      <c r="C205" s="87">
        <f t="shared" si="19"/>
        <v>1</v>
      </c>
      <c r="D205" s="78">
        <v>13</v>
      </c>
      <c r="E205" s="87" t="s">
        <v>3717</v>
      </c>
      <c r="F205" s="78">
        <v>137000</v>
      </c>
      <c r="G205" s="78">
        <v>2446</v>
      </c>
      <c r="H205" s="56"/>
      <c r="I205" s="87">
        <f t="shared" si="17"/>
        <v>12014</v>
      </c>
    </row>
    <row r="206" customHeight="1" spans="1:9">
      <c r="A206" s="87">
        <f t="shared" si="20"/>
        <v>12014</v>
      </c>
      <c r="B206" s="87">
        <f t="shared" si="18"/>
        <v>2</v>
      </c>
      <c r="C206" s="87">
        <f t="shared" si="19"/>
        <v>1</v>
      </c>
      <c r="D206" s="78">
        <v>14</v>
      </c>
      <c r="E206" s="87" t="s">
        <v>3717</v>
      </c>
      <c r="F206" s="78">
        <v>148000</v>
      </c>
      <c r="G206" s="78">
        <v>2590</v>
      </c>
      <c r="H206" s="56"/>
      <c r="I206" s="87">
        <f t="shared" si="17"/>
        <v>12015</v>
      </c>
    </row>
    <row r="207" customHeight="1" spans="1:9">
      <c r="A207" s="87">
        <f t="shared" si="20"/>
        <v>12015</v>
      </c>
      <c r="B207" s="87">
        <f t="shared" si="18"/>
        <v>2</v>
      </c>
      <c r="C207" s="87">
        <f t="shared" si="19"/>
        <v>1</v>
      </c>
      <c r="D207" s="78">
        <v>15</v>
      </c>
      <c r="E207" s="87" t="s">
        <v>3717</v>
      </c>
      <c r="F207" s="78">
        <v>158000</v>
      </c>
      <c r="G207" s="78">
        <v>2734</v>
      </c>
      <c r="H207" s="56"/>
      <c r="I207" s="87">
        <f t="shared" si="17"/>
        <v>12016</v>
      </c>
    </row>
    <row r="208" customHeight="1" spans="1:9">
      <c r="A208" s="87">
        <f t="shared" si="20"/>
        <v>12016</v>
      </c>
      <c r="B208" s="87">
        <f t="shared" si="18"/>
        <v>2</v>
      </c>
      <c r="C208" s="87">
        <f t="shared" si="19"/>
        <v>1</v>
      </c>
      <c r="D208" s="78">
        <v>16</v>
      </c>
      <c r="E208" s="87" t="s">
        <v>3717</v>
      </c>
      <c r="F208" s="78">
        <v>169000</v>
      </c>
      <c r="G208" s="78">
        <v>2878</v>
      </c>
      <c r="H208" s="56"/>
      <c r="I208" s="87">
        <f t="shared" si="17"/>
        <v>12017</v>
      </c>
    </row>
    <row r="209" customHeight="1" spans="1:9">
      <c r="A209" s="87">
        <f t="shared" si="20"/>
        <v>12017</v>
      </c>
      <c r="B209" s="87">
        <f t="shared" si="18"/>
        <v>2</v>
      </c>
      <c r="C209" s="87">
        <f t="shared" si="19"/>
        <v>1</v>
      </c>
      <c r="D209" s="78">
        <v>17</v>
      </c>
      <c r="E209" s="87" t="s">
        <v>3717</v>
      </c>
      <c r="F209" s="78">
        <v>180000</v>
      </c>
      <c r="G209" s="78">
        <v>3022</v>
      </c>
      <c r="H209" s="56"/>
      <c r="I209" s="87">
        <f t="shared" si="17"/>
        <v>12018</v>
      </c>
    </row>
    <row r="210" customHeight="1" spans="1:9">
      <c r="A210" s="87">
        <f t="shared" si="20"/>
        <v>12018</v>
      </c>
      <c r="B210" s="87">
        <f t="shared" si="18"/>
        <v>2</v>
      </c>
      <c r="C210" s="87">
        <f t="shared" si="19"/>
        <v>1</v>
      </c>
      <c r="D210" s="78">
        <v>18</v>
      </c>
      <c r="E210" s="87" t="s">
        <v>3717</v>
      </c>
      <c r="F210" s="78">
        <v>191000</v>
      </c>
      <c r="G210" s="78">
        <v>3165</v>
      </c>
      <c r="H210" s="56"/>
      <c r="I210" s="87">
        <f t="shared" si="17"/>
        <v>12019</v>
      </c>
    </row>
    <row r="211" customHeight="1" spans="1:9">
      <c r="A211" s="87">
        <f t="shared" si="20"/>
        <v>12019</v>
      </c>
      <c r="B211" s="87">
        <f t="shared" si="18"/>
        <v>2</v>
      </c>
      <c r="C211" s="87">
        <f t="shared" si="19"/>
        <v>1</v>
      </c>
      <c r="D211" s="78">
        <v>19</v>
      </c>
      <c r="E211" s="87" t="s">
        <v>3717</v>
      </c>
      <c r="F211" s="78">
        <v>202000</v>
      </c>
      <c r="G211" s="78">
        <v>3309</v>
      </c>
      <c r="H211" s="56"/>
      <c r="I211" s="87">
        <f t="shared" si="17"/>
        <v>12020</v>
      </c>
    </row>
    <row r="212" customHeight="1" spans="1:9">
      <c r="A212" s="87">
        <f t="shared" si="20"/>
        <v>12020</v>
      </c>
      <c r="B212" s="87">
        <f t="shared" si="18"/>
        <v>2</v>
      </c>
      <c r="C212" s="87">
        <f t="shared" si="19"/>
        <v>1</v>
      </c>
      <c r="D212" s="78">
        <v>20</v>
      </c>
      <c r="E212" s="87" t="s">
        <v>3717</v>
      </c>
      <c r="F212" s="78">
        <v>356000</v>
      </c>
      <c r="G212" s="78">
        <v>3453</v>
      </c>
      <c r="H212" s="56"/>
      <c r="I212" s="87">
        <f t="shared" si="17"/>
        <v>12021</v>
      </c>
    </row>
    <row r="213" customHeight="1" spans="1:9">
      <c r="A213" s="87">
        <f t="shared" si="20"/>
        <v>12021</v>
      </c>
      <c r="B213" s="87">
        <f t="shared" si="18"/>
        <v>2</v>
      </c>
      <c r="C213" s="87">
        <f t="shared" si="19"/>
        <v>1</v>
      </c>
      <c r="D213" s="78">
        <v>21</v>
      </c>
      <c r="E213" s="87" t="s">
        <v>3717</v>
      </c>
      <c r="F213" s="78">
        <v>378000</v>
      </c>
      <c r="G213" s="78">
        <v>3597</v>
      </c>
      <c r="H213" s="56"/>
      <c r="I213" s="87">
        <f t="shared" si="17"/>
        <v>12022</v>
      </c>
    </row>
    <row r="214" customHeight="1" spans="1:9">
      <c r="A214" s="87">
        <f t="shared" si="20"/>
        <v>12022</v>
      </c>
      <c r="B214" s="87">
        <f t="shared" si="18"/>
        <v>2</v>
      </c>
      <c r="C214" s="87">
        <f t="shared" si="19"/>
        <v>1</v>
      </c>
      <c r="D214" s="78">
        <v>22</v>
      </c>
      <c r="E214" s="87" t="s">
        <v>3717</v>
      </c>
      <c r="F214" s="78">
        <v>400000</v>
      </c>
      <c r="G214" s="78">
        <v>3741</v>
      </c>
      <c r="H214" s="56"/>
      <c r="I214" s="87">
        <f t="shared" si="17"/>
        <v>12023</v>
      </c>
    </row>
    <row r="215" customHeight="1" spans="1:9">
      <c r="A215" s="87">
        <f t="shared" si="20"/>
        <v>12023</v>
      </c>
      <c r="B215" s="87">
        <f t="shared" si="18"/>
        <v>2</v>
      </c>
      <c r="C215" s="87">
        <f t="shared" si="19"/>
        <v>1</v>
      </c>
      <c r="D215" s="78">
        <v>23</v>
      </c>
      <c r="E215" s="87" t="s">
        <v>3717</v>
      </c>
      <c r="F215" s="78">
        <v>421000</v>
      </c>
      <c r="G215" s="78">
        <v>3885</v>
      </c>
      <c r="H215" s="56"/>
      <c r="I215" s="87">
        <f t="shared" si="17"/>
        <v>12024</v>
      </c>
    </row>
    <row r="216" customHeight="1" spans="1:9">
      <c r="A216" s="87">
        <f t="shared" si="20"/>
        <v>12024</v>
      </c>
      <c r="B216" s="87">
        <f t="shared" si="18"/>
        <v>2</v>
      </c>
      <c r="C216" s="87">
        <f t="shared" si="19"/>
        <v>1</v>
      </c>
      <c r="D216" s="78">
        <v>24</v>
      </c>
      <c r="E216" s="87" t="s">
        <v>3717</v>
      </c>
      <c r="F216" s="78">
        <v>443000</v>
      </c>
      <c r="G216" s="78">
        <v>4029</v>
      </c>
      <c r="H216" s="56"/>
      <c r="I216" s="87">
        <f t="shared" si="17"/>
        <v>12025</v>
      </c>
    </row>
    <row r="217" customHeight="1" spans="1:9">
      <c r="A217" s="87">
        <f t="shared" si="20"/>
        <v>12025</v>
      </c>
      <c r="B217" s="87">
        <f t="shared" si="18"/>
        <v>2</v>
      </c>
      <c r="C217" s="87">
        <f t="shared" si="19"/>
        <v>1</v>
      </c>
      <c r="D217" s="78">
        <v>25</v>
      </c>
      <c r="E217" s="87" t="s">
        <v>3717</v>
      </c>
      <c r="F217" s="78">
        <v>464000</v>
      </c>
      <c r="G217" s="78">
        <v>4173</v>
      </c>
      <c r="H217" s="56"/>
      <c r="I217" s="87">
        <f t="shared" si="17"/>
        <v>12026</v>
      </c>
    </row>
    <row r="218" customHeight="1" spans="1:9">
      <c r="A218" s="87">
        <f t="shared" si="20"/>
        <v>12026</v>
      </c>
      <c r="B218" s="87">
        <f t="shared" si="18"/>
        <v>2</v>
      </c>
      <c r="C218" s="87">
        <f t="shared" si="19"/>
        <v>1</v>
      </c>
      <c r="D218" s="78">
        <v>26</v>
      </c>
      <c r="E218" s="87" t="s">
        <v>3717</v>
      </c>
      <c r="F218" s="78">
        <v>486000</v>
      </c>
      <c r="G218" s="78">
        <v>4317</v>
      </c>
      <c r="H218" s="56"/>
      <c r="I218" s="87">
        <f t="shared" si="17"/>
        <v>12027</v>
      </c>
    </row>
    <row r="219" customHeight="1" spans="1:9">
      <c r="A219" s="87">
        <f t="shared" si="20"/>
        <v>12027</v>
      </c>
      <c r="B219" s="87">
        <f t="shared" si="18"/>
        <v>2</v>
      </c>
      <c r="C219" s="87">
        <f t="shared" si="19"/>
        <v>1</v>
      </c>
      <c r="D219" s="78">
        <v>27</v>
      </c>
      <c r="E219" s="87" t="s">
        <v>3717</v>
      </c>
      <c r="F219" s="78">
        <v>508000</v>
      </c>
      <c r="G219" s="78">
        <v>4460</v>
      </c>
      <c r="H219" s="56"/>
      <c r="I219" s="87">
        <f t="shared" si="17"/>
        <v>12028</v>
      </c>
    </row>
    <row r="220" customHeight="1" spans="1:9">
      <c r="A220" s="87">
        <f t="shared" si="20"/>
        <v>12028</v>
      </c>
      <c r="B220" s="87">
        <f t="shared" si="18"/>
        <v>2</v>
      </c>
      <c r="C220" s="87">
        <f t="shared" si="19"/>
        <v>1</v>
      </c>
      <c r="D220" s="78">
        <v>28</v>
      </c>
      <c r="E220" s="87" t="s">
        <v>3717</v>
      </c>
      <c r="F220" s="78">
        <v>529000</v>
      </c>
      <c r="G220" s="78">
        <v>4604</v>
      </c>
      <c r="H220" s="56"/>
      <c r="I220" s="87">
        <f t="shared" si="17"/>
        <v>12029</v>
      </c>
    </row>
    <row r="221" customHeight="1" spans="1:9">
      <c r="A221" s="87">
        <f t="shared" si="20"/>
        <v>12029</v>
      </c>
      <c r="B221" s="87">
        <f t="shared" si="18"/>
        <v>2</v>
      </c>
      <c r="C221" s="87">
        <f t="shared" si="19"/>
        <v>1</v>
      </c>
      <c r="D221" s="78">
        <v>29</v>
      </c>
      <c r="E221" s="87" t="s">
        <v>3717</v>
      </c>
      <c r="F221" s="78">
        <v>551000</v>
      </c>
      <c r="G221" s="78">
        <v>4748</v>
      </c>
      <c r="H221" s="56"/>
      <c r="I221" s="87">
        <f t="shared" si="17"/>
        <v>12030</v>
      </c>
    </row>
    <row r="222" customHeight="1" spans="1:9">
      <c r="A222" s="87">
        <f t="shared" si="20"/>
        <v>12030</v>
      </c>
      <c r="B222" s="87">
        <f t="shared" si="18"/>
        <v>2</v>
      </c>
      <c r="C222" s="87">
        <f t="shared" si="19"/>
        <v>1</v>
      </c>
      <c r="D222" s="78">
        <v>30</v>
      </c>
      <c r="E222" s="87" t="s">
        <v>3717</v>
      </c>
      <c r="F222" s="78"/>
      <c r="G222" s="78">
        <v>4892</v>
      </c>
      <c r="H222" s="56"/>
      <c r="I222" s="87"/>
    </row>
    <row r="223" customHeight="1" spans="1:9">
      <c r="A223" s="87">
        <f t="shared" si="20"/>
        <v>22000</v>
      </c>
      <c r="B223" s="87">
        <v>2</v>
      </c>
      <c r="C223" s="87">
        <v>2</v>
      </c>
      <c r="D223" s="78"/>
      <c r="E223" s="87" t="s">
        <v>3717</v>
      </c>
      <c r="F223" s="78">
        <v>400000</v>
      </c>
      <c r="G223" s="78"/>
      <c r="H223" s="56"/>
      <c r="I223" s="87">
        <f t="shared" si="17"/>
        <v>22001</v>
      </c>
    </row>
    <row r="224" customHeight="1" spans="1:9">
      <c r="A224" s="87">
        <f t="shared" si="20"/>
        <v>22001</v>
      </c>
      <c r="B224" s="87">
        <v>2</v>
      </c>
      <c r="C224" s="87">
        <v>2</v>
      </c>
      <c r="D224" s="78">
        <v>1</v>
      </c>
      <c r="E224" s="87" t="s">
        <v>3717</v>
      </c>
      <c r="F224" s="78">
        <v>70000</v>
      </c>
      <c r="G224" s="78">
        <v>4317</v>
      </c>
      <c r="H224" s="56"/>
      <c r="I224" s="87">
        <f t="shared" si="17"/>
        <v>22002</v>
      </c>
    </row>
    <row r="225" customHeight="1" spans="1:9">
      <c r="A225" s="87">
        <f t="shared" si="20"/>
        <v>22002</v>
      </c>
      <c r="B225" s="87">
        <f t="shared" ref="B225:B253" si="21">B224</f>
        <v>2</v>
      </c>
      <c r="C225" s="87">
        <f t="shared" ref="C225:C253" si="22">C224</f>
        <v>2</v>
      </c>
      <c r="D225" s="78">
        <v>2</v>
      </c>
      <c r="E225" s="87" t="s">
        <v>3717</v>
      </c>
      <c r="F225" s="78">
        <v>77000</v>
      </c>
      <c r="G225" s="78">
        <v>4892</v>
      </c>
      <c r="H225" s="56"/>
      <c r="I225" s="87">
        <f t="shared" si="17"/>
        <v>22003</v>
      </c>
    </row>
    <row r="226" customHeight="1" spans="1:9">
      <c r="A226" s="87">
        <f t="shared" si="20"/>
        <v>22003</v>
      </c>
      <c r="B226" s="87">
        <f t="shared" si="21"/>
        <v>2</v>
      </c>
      <c r="C226" s="87">
        <f t="shared" si="22"/>
        <v>2</v>
      </c>
      <c r="D226" s="78">
        <v>3</v>
      </c>
      <c r="E226" s="87" t="s">
        <v>3717</v>
      </c>
      <c r="F226" s="78">
        <v>84000</v>
      </c>
      <c r="G226" s="78">
        <v>5468</v>
      </c>
      <c r="H226" s="56"/>
      <c r="I226" s="87">
        <f t="shared" si="17"/>
        <v>22004</v>
      </c>
    </row>
    <row r="227" customHeight="1" spans="1:9">
      <c r="A227" s="87">
        <f t="shared" si="20"/>
        <v>22004</v>
      </c>
      <c r="B227" s="87">
        <f t="shared" si="21"/>
        <v>2</v>
      </c>
      <c r="C227" s="87">
        <f t="shared" si="22"/>
        <v>2</v>
      </c>
      <c r="D227" s="78">
        <v>4</v>
      </c>
      <c r="E227" s="87" t="s">
        <v>3717</v>
      </c>
      <c r="F227" s="78">
        <v>91000</v>
      </c>
      <c r="G227" s="78">
        <v>6043</v>
      </c>
      <c r="H227" s="56"/>
      <c r="I227" s="87">
        <f t="shared" si="17"/>
        <v>22005</v>
      </c>
    </row>
    <row r="228" customHeight="1" spans="1:9">
      <c r="A228" s="87">
        <f t="shared" si="20"/>
        <v>22005</v>
      </c>
      <c r="B228" s="87">
        <f t="shared" si="21"/>
        <v>2</v>
      </c>
      <c r="C228" s="87">
        <f t="shared" si="22"/>
        <v>2</v>
      </c>
      <c r="D228" s="78">
        <v>5</v>
      </c>
      <c r="E228" s="87" t="s">
        <v>3717</v>
      </c>
      <c r="F228" s="78">
        <v>98000</v>
      </c>
      <c r="G228" s="78">
        <v>6619</v>
      </c>
      <c r="H228" s="56"/>
      <c r="I228" s="87">
        <f t="shared" si="17"/>
        <v>22006</v>
      </c>
    </row>
    <row r="229" customHeight="1" spans="1:9">
      <c r="A229" s="87">
        <f t="shared" si="20"/>
        <v>22006</v>
      </c>
      <c r="B229" s="87">
        <f t="shared" si="21"/>
        <v>2</v>
      </c>
      <c r="C229" s="87">
        <f t="shared" si="22"/>
        <v>2</v>
      </c>
      <c r="D229" s="78">
        <v>6</v>
      </c>
      <c r="E229" s="87" t="s">
        <v>3717</v>
      </c>
      <c r="F229" s="78">
        <v>106000</v>
      </c>
      <c r="G229" s="78">
        <v>7194</v>
      </c>
      <c r="H229" s="56"/>
      <c r="I229" s="87">
        <f t="shared" si="17"/>
        <v>22007</v>
      </c>
    </row>
    <row r="230" customHeight="1" spans="1:9">
      <c r="A230" s="87">
        <f t="shared" si="20"/>
        <v>22007</v>
      </c>
      <c r="B230" s="87">
        <f t="shared" si="21"/>
        <v>2</v>
      </c>
      <c r="C230" s="87">
        <f t="shared" si="22"/>
        <v>2</v>
      </c>
      <c r="D230" s="78">
        <v>7</v>
      </c>
      <c r="E230" s="87" t="s">
        <v>3717</v>
      </c>
      <c r="F230" s="78">
        <v>113000</v>
      </c>
      <c r="G230" s="78">
        <v>7770</v>
      </c>
      <c r="H230" s="56"/>
      <c r="I230" s="87">
        <f t="shared" si="17"/>
        <v>22008</v>
      </c>
    </row>
    <row r="231" customHeight="1" spans="1:9">
      <c r="A231" s="87">
        <f t="shared" si="20"/>
        <v>22008</v>
      </c>
      <c r="B231" s="87">
        <f t="shared" si="21"/>
        <v>2</v>
      </c>
      <c r="C231" s="87">
        <f t="shared" si="22"/>
        <v>2</v>
      </c>
      <c r="D231" s="78">
        <v>8</v>
      </c>
      <c r="E231" s="87" t="s">
        <v>3717</v>
      </c>
      <c r="F231" s="78">
        <v>120000</v>
      </c>
      <c r="G231" s="78">
        <v>8345</v>
      </c>
      <c r="H231" s="56"/>
      <c r="I231" s="87">
        <f t="shared" si="17"/>
        <v>22009</v>
      </c>
    </row>
    <row r="232" customHeight="1" spans="1:9">
      <c r="A232" s="87">
        <f t="shared" si="20"/>
        <v>22009</v>
      </c>
      <c r="B232" s="87">
        <f t="shared" si="21"/>
        <v>2</v>
      </c>
      <c r="C232" s="87">
        <f t="shared" si="22"/>
        <v>2</v>
      </c>
      <c r="D232" s="78">
        <v>9</v>
      </c>
      <c r="E232" s="87" t="s">
        <v>3717</v>
      </c>
      <c r="F232" s="78">
        <v>127000</v>
      </c>
      <c r="G232" s="78">
        <v>8921</v>
      </c>
      <c r="H232" s="56"/>
      <c r="I232" s="87">
        <f t="shared" si="17"/>
        <v>22010</v>
      </c>
    </row>
    <row r="233" customHeight="1" spans="1:9">
      <c r="A233" s="87">
        <f t="shared" si="20"/>
        <v>22010</v>
      </c>
      <c r="B233" s="87">
        <f t="shared" si="21"/>
        <v>2</v>
      </c>
      <c r="C233" s="87">
        <f t="shared" si="22"/>
        <v>2</v>
      </c>
      <c r="D233" s="78">
        <v>10</v>
      </c>
      <c r="E233" s="87" t="s">
        <v>3717</v>
      </c>
      <c r="F233" s="78">
        <v>134000</v>
      </c>
      <c r="G233" s="78">
        <v>9496</v>
      </c>
      <c r="H233" s="56"/>
      <c r="I233" s="87">
        <f t="shared" si="17"/>
        <v>22011</v>
      </c>
    </row>
    <row r="234" customHeight="1" spans="1:9">
      <c r="A234" s="87">
        <f t="shared" si="20"/>
        <v>22011</v>
      </c>
      <c r="B234" s="87">
        <f t="shared" si="21"/>
        <v>2</v>
      </c>
      <c r="C234" s="87">
        <f t="shared" si="22"/>
        <v>2</v>
      </c>
      <c r="D234" s="78">
        <v>11</v>
      </c>
      <c r="E234" s="87" t="s">
        <v>3717</v>
      </c>
      <c r="F234" s="78">
        <v>238000</v>
      </c>
      <c r="G234" s="78">
        <v>10072</v>
      </c>
      <c r="H234" s="56"/>
      <c r="I234" s="87">
        <f t="shared" si="17"/>
        <v>22012</v>
      </c>
    </row>
    <row r="235" customHeight="1" spans="1:9">
      <c r="A235" s="87">
        <f t="shared" si="20"/>
        <v>22012</v>
      </c>
      <c r="B235" s="87">
        <f t="shared" si="21"/>
        <v>2</v>
      </c>
      <c r="C235" s="87">
        <f t="shared" si="22"/>
        <v>2</v>
      </c>
      <c r="D235" s="78">
        <v>12</v>
      </c>
      <c r="E235" s="87" t="s">
        <v>3717</v>
      </c>
      <c r="F235" s="78">
        <v>252000</v>
      </c>
      <c r="G235" s="78">
        <v>10647</v>
      </c>
      <c r="H235" s="56"/>
      <c r="I235" s="87">
        <f t="shared" si="17"/>
        <v>22013</v>
      </c>
    </row>
    <row r="236" customHeight="1" spans="1:9">
      <c r="A236" s="87">
        <f t="shared" si="20"/>
        <v>22013</v>
      </c>
      <c r="B236" s="87">
        <f t="shared" si="21"/>
        <v>2</v>
      </c>
      <c r="C236" s="87">
        <f t="shared" si="22"/>
        <v>2</v>
      </c>
      <c r="D236" s="78">
        <v>13</v>
      </c>
      <c r="E236" s="87" t="s">
        <v>3717</v>
      </c>
      <c r="F236" s="78">
        <v>266000</v>
      </c>
      <c r="G236" s="78">
        <v>11223</v>
      </c>
      <c r="H236" s="56"/>
      <c r="I236" s="87">
        <f t="shared" si="17"/>
        <v>22014</v>
      </c>
    </row>
    <row r="237" customHeight="1" spans="1:9">
      <c r="A237" s="87">
        <f t="shared" si="20"/>
        <v>22014</v>
      </c>
      <c r="B237" s="87">
        <f t="shared" si="21"/>
        <v>2</v>
      </c>
      <c r="C237" s="87">
        <f t="shared" si="22"/>
        <v>2</v>
      </c>
      <c r="D237" s="78">
        <v>14</v>
      </c>
      <c r="E237" s="87" t="s">
        <v>3717</v>
      </c>
      <c r="F237" s="78">
        <v>281000</v>
      </c>
      <c r="G237" s="78">
        <v>11799</v>
      </c>
      <c r="H237" s="56"/>
      <c r="I237" s="87">
        <f t="shared" si="17"/>
        <v>22015</v>
      </c>
    </row>
    <row r="238" customHeight="1" spans="1:9">
      <c r="A238" s="87">
        <f t="shared" si="20"/>
        <v>22015</v>
      </c>
      <c r="B238" s="87">
        <f t="shared" si="21"/>
        <v>2</v>
      </c>
      <c r="C238" s="87">
        <f t="shared" si="22"/>
        <v>2</v>
      </c>
      <c r="D238" s="78">
        <v>15</v>
      </c>
      <c r="E238" s="87" t="s">
        <v>3717</v>
      </c>
      <c r="F238" s="78">
        <v>295000</v>
      </c>
      <c r="G238" s="78">
        <v>12374</v>
      </c>
      <c r="H238" s="56"/>
      <c r="I238" s="87">
        <f t="shared" si="17"/>
        <v>22016</v>
      </c>
    </row>
    <row r="239" customHeight="1" spans="1:9">
      <c r="A239" s="87">
        <f t="shared" si="20"/>
        <v>22016</v>
      </c>
      <c r="B239" s="87">
        <f t="shared" si="21"/>
        <v>2</v>
      </c>
      <c r="C239" s="87">
        <f t="shared" si="22"/>
        <v>2</v>
      </c>
      <c r="D239" s="78">
        <v>16</v>
      </c>
      <c r="E239" s="87" t="s">
        <v>3717</v>
      </c>
      <c r="F239" s="78">
        <v>310000</v>
      </c>
      <c r="G239" s="78">
        <v>12950</v>
      </c>
      <c r="H239" s="56"/>
      <c r="I239" s="87">
        <f t="shared" si="17"/>
        <v>22017</v>
      </c>
    </row>
    <row r="240" customHeight="1" spans="1:9">
      <c r="A240" s="87">
        <f t="shared" si="20"/>
        <v>22017</v>
      </c>
      <c r="B240" s="87">
        <f t="shared" si="21"/>
        <v>2</v>
      </c>
      <c r="C240" s="87">
        <f t="shared" si="22"/>
        <v>2</v>
      </c>
      <c r="D240" s="78">
        <v>17</v>
      </c>
      <c r="E240" s="87" t="s">
        <v>3717</v>
      </c>
      <c r="F240" s="78">
        <v>324000</v>
      </c>
      <c r="G240" s="78">
        <v>13525</v>
      </c>
      <c r="H240" s="56"/>
      <c r="I240" s="87">
        <f t="shared" si="17"/>
        <v>22018</v>
      </c>
    </row>
    <row r="241" customHeight="1" spans="1:9">
      <c r="A241" s="87">
        <f t="shared" si="20"/>
        <v>22018</v>
      </c>
      <c r="B241" s="87">
        <f t="shared" si="21"/>
        <v>2</v>
      </c>
      <c r="C241" s="87">
        <f t="shared" si="22"/>
        <v>2</v>
      </c>
      <c r="D241" s="78">
        <v>18</v>
      </c>
      <c r="E241" s="87" t="s">
        <v>3717</v>
      </c>
      <c r="F241" s="78">
        <v>338000</v>
      </c>
      <c r="G241" s="78">
        <v>14101</v>
      </c>
      <c r="H241" s="56"/>
      <c r="I241" s="87">
        <f t="shared" si="17"/>
        <v>22019</v>
      </c>
    </row>
    <row r="242" customHeight="1" spans="1:9">
      <c r="A242" s="87">
        <f t="shared" si="20"/>
        <v>22019</v>
      </c>
      <c r="B242" s="87">
        <f t="shared" si="21"/>
        <v>2</v>
      </c>
      <c r="C242" s="87">
        <f t="shared" si="22"/>
        <v>2</v>
      </c>
      <c r="D242" s="78">
        <v>19</v>
      </c>
      <c r="E242" s="87" t="s">
        <v>3717</v>
      </c>
      <c r="F242" s="78">
        <v>353000</v>
      </c>
      <c r="G242" s="78">
        <v>14676</v>
      </c>
      <c r="H242" s="56"/>
      <c r="I242" s="87">
        <f t="shared" si="17"/>
        <v>22020</v>
      </c>
    </row>
    <row r="243" customHeight="1" spans="1:9">
      <c r="A243" s="87">
        <f t="shared" si="20"/>
        <v>22020</v>
      </c>
      <c r="B243" s="87">
        <f t="shared" si="21"/>
        <v>2</v>
      </c>
      <c r="C243" s="87">
        <f t="shared" si="22"/>
        <v>2</v>
      </c>
      <c r="D243" s="78">
        <v>20</v>
      </c>
      <c r="E243" s="87" t="s">
        <v>3717</v>
      </c>
      <c r="F243" s="78">
        <v>367000</v>
      </c>
      <c r="G243" s="78">
        <v>15252</v>
      </c>
      <c r="H243" s="56"/>
      <c r="I243" s="87">
        <f t="shared" si="17"/>
        <v>22021</v>
      </c>
    </row>
    <row r="244" customHeight="1" spans="1:9">
      <c r="A244" s="87">
        <f t="shared" si="20"/>
        <v>22021</v>
      </c>
      <c r="B244" s="87">
        <f t="shared" si="21"/>
        <v>2</v>
      </c>
      <c r="C244" s="87">
        <f t="shared" si="22"/>
        <v>2</v>
      </c>
      <c r="D244" s="78">
        <v>21</v>
      </c>
      <c r="E244" s="87" t="s">
        <v>3717</v>
      </c>
      <c r="F244" s="78">
        <v>382000</v>
      </c>
      <c r="G244" s="78">
        <v>15827</v>
      </c>
      <c r="H244" s="56"/>
      <c r="I244" s="87">
        <f t="shared" si="17"/>
        <v>22022</v>
      </c>
    </row>
    <row r="245" customHeight="1" spans="1:9">
      <c r="A245" s="87">
        <f t="shared" si="20"/>
        <v>22022</v>
      </c>
      <c r="B245" s="87">
        <f t="shared" si="21"/>
        <v>2</v>
      </c>
      <c r="C245" s="87">
        <f t="shared" si="22"/>
        <v>2</v>
      </c>
      <c r="D245" s="78">
        <v>22</v>
      </c>
      <c r="E245" s="87" t="s">
        <v>3717</v>
      </c>
      <c r="F245" s="78">
        <v>394000</v>
      </c>
      <c r="G245" s="78">
        <v>16403</v>
      </c>
      <c r="H245" s="56"/>
      <c r="I245" s="87">
        <f t="shared" si="17"/>
        <v>22023</v>
      </c>
    </row>
    <row r="246" customHeight="1" spans="1:9">
      <c r="A246" s="87">
        <f t="shared" si="20"/>
        <v>22023</v>
      </c>
      <c r="B246" s="87">
        <f t="shared" si="21"/>
        <v>2</v>
      </c>
      <c r="C246" s="87">
        <f t="shared" si="22"/>
        <v>2</v>
      </c>
      <c r="D246" s="78">
        <v>23</v>
      </c>
      <c r="E246" s="87" t="s">
        <v>3717</v>
      </c>
      <c r="F246" s="78">
        <v>406000</v>
      </c>
      <c r="G246" s="78">
        <v>16978</v>
      </c>
      <c r="H246" s="56"/>
      <c r="I246" s="87">
        <f t="shared" si="17"/>
        <v>22024</v>
      </c>
    </row>
    <row r="247" customHeight="1" spans="1:9">
      <c r="A247" s="87">
        <f t="shared" si="20"/>
        <v>22024</v>
      </c>
      <c r="B247" s="87">
        <f t="shared" si="21"/>
        <v>2</v>
      </c>
      <c r="C247" s="87">
        <f t="shared" si="22"/>
        <v>2</v>
      </c>
      <c r="D247" s="78">
        <v>24</v>
      </c>
      <c r="E247" s="87" t="s">
        <v>3717</v>
      </c>
      <c r="F247" s="78">
        <v>418000</v>
      </c>
      <c r="G247" s="78">
        <v>17554</v>
      </c>
      <c r="H247" s="56"/>
      <c r="I247" s="87">
        <f t="shared" si="17"/>
        <v>22025</v>
      </c>
    </row>
    <row r="248" customHeight="1" spans="1:9">
      <c r="A248" s="87">
        <f t="shared" si="20"/>
        <v>22025</v>
      </c>
      <c r="B248" s="87">
        <f t="shared" si="21"/>
        <v>2</v>
      </c>
      <c r="C248" s="87">
        <f t="shared" si="22"/>
        <v>2</v>
      </c>
      <c r="D248" s="78">
        <v>25</v>
      </c>
      <c r="E248" s="87" t="s">
        <v>3717</v>
      </c>
      <c r="F248" s="78">
        <v>430000</v>
      </c>
      <c r="G248" s="78">
        <v>18129</v>
      </c>
      <c r="H248" s="56"/>
      <c r="I248" s="87">
        <f t="shared" si="17"/>
        <v>22026</v>
      </c>
    </row>
    <row r="249" customHeight="1" spans="1:9">
      <c r="A249" s="87">
        <f t="shared" si="20"/>
        <v>22026</v>
      </c>
      <c r="B249" s="87">
        <f t="shared" si="21"/>
        <v>2</v>
      </c>
      <c r="C249" s="87">
        <f t="shared" si="22"/>
        <v>2</v>
      </c>
      <c r="D249" s="78">
        <v>26</v>
      </c>
      <c r="E249" s="87" t="s">
        <v>3717</v>
      </c>
      <c r="F249" s="78">
        <v>634000</v>
      </c>
      <c r="G249" s="78">
        <v>18705</v>
      </c>
      <c r="H249" s="56"/>
      <c r="I249" s="87">
        <f t="shared" si="17"/>
        <v>22027</v>
      </c>
    </row>
    <row r="250" customHeight="1" spans="1:9">
      <c r="A250" s="87">
        <f t="shared" si="20"/>
        <v>22027</v>
      </c>
      <c r="B250" s="87">
        <f t="shared" si="21"/>
        <v>2</v>
      </c>
      <c r="C250" s="87">
        <f t="shared" si="22"/>
        <v>2</v>
      </c>
      <c r="D250" s="78">
        <v>27</v>
      </c>
      <c r="E250" s="87" t="s">
        <v>3717</v>
      </c>
      <c r="F250" s="78">
        <v>655000</v>
      </c>
      <c r="G250" s="78">
        <v>19281</v>
      </c>
      <c r="H250" s="56"/>
      <c r="I250" s="87">
        <f t="shared" si="17"/>
        <v>22028</v>
      </c>
    </row>
    <row r="251" customHeight="1" spans="1:9">
      <c r="A251" s="87">
        <f t="shared" si="20"/>
        <v>22028</v>
      </c>
      <c r="B251" s="87">
        <f t="shared" si="21"/>
        <v>2</v>
      </c>
      <c r="C251" s="87">
        <f t="shared" si="22"/>
        <v>2</v>
      </c>
      <c r="D251" s="78">
        <v>28</v>
      </c>
      <c r="E251" s="87" t="s">
        <v>3717</v>
      </c>
      <c r="F251" s="78">
        <v>677000</v>
      </c>
      <c r="G251" s="78">
        <v>19856</v>
      </c>
      <c r="H251" s="56"/>
      <c r="I251" s="87">
        <f t="shared" si="17"/>
        <v>22029</v>
      </c>
    </row>
    <row r="252" customHeight="1" spans="1:9">
      <c r="A252" s="87">
        <f t="shared" si="20"/>
        <v>22029</v>
      </c>
      <c r="B252" s="87">
        <f t="shared" si="21"/>
        <v>2</v>
      </c>
      <c r="C252" s="87">
        <f t="shared" si="22"/>
        <v>2</v>
      </c>
      <c r="D252" s="78">
        <v>29</v>
      </c>
      <c r="E252" s="87" t="s">
        <v>3717</v>
      </c>
      <c r="F252" s="78">
        <v>698000</v>
      </c>
      <c r="G252" s="78">
        <v>20432</v>
      </c>
      <c r="H252" s="56"/>
      <c r="I252" s="87">
        <f t="shared" si="17"/>
        <v>22030</v>
      </c>
    </row>
    <row r="253" customHeight="1" spans="1:9">
      <c r="A253" s="87">
        <f t="shared" si="20"/>
        <v>22030</v>
      </c>
      <c r="B253" s="87">
        <f t="shared" si="21"/>
        <v>2</v>
      </c>
      <c r="C253" s="87">
        <f t="shared" si="22"/>
        <v>2</v>
      </c>
      <c r="D253" s="78">
        <v>30</v>
      </c>
      <c r="E253" s="87" t="s">
        <v>3717</v>
      </c>
      <c r="F253" s="78"/>
      <c r="G253" s="78">
        <v>21007</v>
      </c>
      <c r="H253" s="56"/>
      <c r="I253" s="87"/>
    </row>
    <row r="254" customHeight="1" spans="1:9">
      <c r="A254" s="87">
        <f t="shared" si="20"/>
        <v>32000</v>
      </c>
      <c r="B254" s="87">
        <v>2</v>
      </c>
      <c r="C254" s="87">
        <v>3</v>
      </c>
      <c r="D254" s="78"/>
      <c r="E254" s="87" t="s">
        <v>3717</v>
      </c>
      <c r="F254" s="78">
        <v>2400000</v>
      </c>
      <c r="G254" s="78"/>
      <c r="H254" s="56"/>
      <c r="I254" s="87">
        <f t="shared" ref="I254:I283" si="23">A255</f>
        <v>32001</v>
      </c>
    </row>
    <row r="255" customHeight="1" spans="1:9">
      <c r="A255" s="87">
        <f t="shared" si="20"/>
        <v>32001</v>
      </c>
      <c r="B255" s="87">
        <v>2</v>
      </c>
      <c r="C255" s="87">
        <v>3</v>
      </c>
      <c r="D255" s="78">
        <v>1</v>
      </c>
      <c r="E255" s="87" t="s">
        <v>3717</v>
      </c>
      <c r="F255" s="78">
        <v>297000</v>
      </c>
      <c r="G255" s="78">
        <v>17266</v>
      </c>
      <c r="H255" s="56"/>
      <c r="I255" s="87">
        <f t="shared" si="23"/>
        <v>32002</v>
      </c>
    </row>
    <row r="256" customHeight="1" spans="1:9">
      <c r="A256" s="87">
        <f t="shared" si="20"/>
        <v>32002</v>
      </c>
      <c r="B256" s="87">
        <f t="shared" ref="B256:B284" si="24">B255</f>
        <v>2</v>
      </c>
      <c r="C256" s="87">
        <f t="shared" ref="C256:C284" si="25">C255</f>
        <v>3</v>
      </c>
      <c r="D256" s="78">
        <v>2</v>
      </c>
      <c r="E256" s="87" t="s">
        <v>3717</v>
      </c>
      <c r="F256" s="78">
        <v>315000</v>
      </c>
      <c r="G256" s="78">
        <v>18561</v>
      </c>
      <c r="H256" s="56"/>
      <c r="I256" s="87">
        <f t="shared" si="23"/>
        <v>32003</v>
      </c>
    </row>
    <row r="257" customHeight="1" spans="1:9">
      <c r="A257" s="87">
        <f t="shared" si="20"/>
        <v>32003</v>
      </c>
      <c r="B257" s="87">
        <f t="shared" si="24"/>
        <v>2</v>
      </c>
      <c r="C257" s="87">
        <f t="shared" si="25"/>
        <v>3</v>
      </c>
      <c r="D257" s="78">
        <v>3</v>
      </c>
      <c r="E257" s="87" t="s">
        <v>3717</v>
      </c>
      <c r="F257" s="78">
        <v>333000</v>
      </c>
      <c r="G257" s="78">
        <v>19856</v>
      </c>
      <c r="H257" s="56"/>
      <c r="I257" s="87">
        <f t="shared" si="23"/>
        <v>32004</v>
      </c>
    </row>
    <row r="258" customHeight="1" spans="1:9">
      <c r="A258" s="87">
        <f t="shared" si="20"/>
        <v>32004</v>
      </c>
      <c r="B258" s="87">
        <f t="shared" si="24"/>
        <v>2</v>
      </c>
      <c r="C258" s="87">
        <f t="shared" si="25"/>
        <v>3</v>
      </c>
      <c r="D258" s="78">
        <v>4</v>
      </c>
      <c r="E258" s="87" t="s">
        <v>3717</v>
      </c>
      <c r="F258" s="78">
        <v>351000</v>
      </c>
      <c r="G258" s="78">
        <v>21151</v>
      </c>
      <c r="H258" s="56"/>
      <c r="I258" s="87">
        <f t="shared" si="23"/>
        <v>32005</v>
      </c>
    </row>
    <row r="259" customHeight="1" spans="1:9">
      <c r="A259" s="87">
        <f t="shared" si="20"/>
        <v>32005</v>
      </c>
      <c r="B259" s="87">
        <f t="shared" si="24"/>
        <v>2</v>
      </c>
      <c r="C259" s="87">
        <f t="shared" si="25"/>
        <v>3</v>
      </c>
      <c r="D259" s="78">
        <v>5</v>
      </c>
      <c r="E259" s="87" t="s">
        <v>3717</v>
      </c>
      <c r="F259" s="78">
        <v>369000</v>
      </c>
      <c r="G259" s="78">
        <v>22446</v>
      </c>
      <c r="H259" s="56"/>
      <c r="I259" s="87">
        <f t="shared" si="23"/>
        <v>32006</v>
      </c>
    </row>
    <row r="260" customHeight="1" spans="1:9">
      <c r="A260" s="87">
        <f t="shared" si="20"/>
        <v>32006</v>
      </c>
      <c r="B260" s="87">
        <f t="shared" si="24"/>
        <v>2</v>
      </c>
      <c r="C260" s="87">
        <f t="shared" si="25"/>
        <v>3</v>
      </c>
      <c r="D260" s="78">
        <v>6</v>
      </c>
      <c r="E260" s="87" t="s">
        <v>3717</v>
      </c>
      <c r="F260" s="78">
        <v>387000</v>
      </c>
      <c r="G260" s="78">
        <v>23741</v>
      </c>
      <c r="H260" s="56"/>
      <c r="I260" s="87">
        <f t="shared" si="23"/>
        <v>32007</v>
      </c>
    </row>
    <row r="261" customHeight="1" spans="1:9">
      <c r="A261" s="87">
        <f t="shared" si="20"/>
        <v>32007</v>
      </c>
      <c r="B261" s="87">
        <f t="shared" si="24"/>
        <v>2</v>
      </c>
      <c r="C261" s="87">
        <f t="shared" si="25"/>
        <v>3</v>
      </c>
      <c r="D261" s="78">
        <v>7</v>
      </c>
      <c r="E261" s="87" t="s">
        <v>3717</v>
      </c>
      <c r="F261" s="78">
        <v>405000</v>
      </c>
      <c r="G261" s="78">
        <v>25036</v>
      </c>
      <c r="H261" s="56"/>
      <c r="I261" s="87">
        <f t="shared" si="23"/>
        <v>32008</v>
      </c>
    </row>
    <row r="262" customHeight="1" spans="1:9">
      <c r="A262" s="87">
        <f t="shared" ref="A262:A325" si="26">C262*10000+B262*1000+D262</f>
        <v>32008</v>
      </c>
      <c r="B262" s="87">
        <f t="shared" si="24"/>
        <v>2</v>
      </c>
      <c r="C262" s="87">
        <f t="shared" si="25"/>
        <v>3</v>
      </c>
      <c r="D262" s="78">
        <v>8</v>
      </c>
      <c r="E262" s="87" t="s">
        <v>3717</v>
      </c>
      <c r="F262" s="78">
        <v>423000</v>
      </c>
      <c r="G262" s="78">
        <v>26331</v>
      </c>
      <c r="H262" s="56"/>
      <c r="I262" s="87">
        <f t="shared" si="23"/>
        <v>32009</v>
      </c>
    </row>
    <row r="263" customHeight="1" spans="1:9">
      <c r="A263" s="87">
        <f t="shared" si="26"/>
        <v>32009</v>
      </c>
      <c r="B263" s="87">
        <f t="shared" si="24"/>
        <v>2</v>
      </c>
      <c r="C263" s="87">
        <f t="shared" si="25"/>
        <v>3</v>
      </c>
      <c r="D263" s="78">
        <v>9</v>
      </c>
      <c r="E263" s="87" t="s">
        <v>3717</v>
      </c>
      <c r="F263" s="78">
        <v>441000</v>
      </c>
      <c r="G263" s="78">
        <v>27626</v>
      </c>
      <c r="H263" s="56"/>
      <c r="I263" s="87">
        <f t="shared" si="23"/>
        <v>32010</v>
      </c>
    </row>
    <row r="264" customHeight="1" spans="1:9">
      <c r="A264" s="87">
        <f t="shared" si="26"/>
        <v>32010</v>
      </c>
      <c r="B264" s="87">
        <f t="shared" si="24"/>
        <v>2</v>
      </c>
      <c r="C264" s="87">
        <f t="shared" si="25"/>
        <v>3</v>
      </c>
      <c r="D264" s="78">
        <v>10</v>
      </c>
      <c r="E264" s="87" t="s">
        <v>3717</v>
      </c>
      <c r="F264" s="78">
        <v>459000</v>
      </c>
      <c r="G264" s="78">
        <v>28921</v>
      </c>
      <c r="H264" s="56"/>
      <c r="I264" s="87">
        <f t="shared" si="23"/>
        <v>32011</v>
      </c>
    </row>
    <row r="265" customHeight="1" spans="1:9">
      <c r="A265" s="87">
        <f t="shared" si="26"/>
        <v>32011</v>
      </c>
      <c r="B265" s="87">
        <f t="shared" si="24"/>
        <v>2</v>
      </c>
      <c r="C265" s="87">
        <f t="shared" si="25"/>
        <v>3</v>
      </c>
      <c r="D265" s="78">
        <v>11</v>
      </c>
      <c r="E265" s="87" t="s">
        <v>3717</v>
      </c>
      <c r="F265" s="78">
        <v>477000</v>
      </c>
      <c r="G265" s="78">
        <v>30216</v>
      </c>
      <c r="H265" s="56"/>
      <c r="I265" s="87">
        <f t="shared" si="23"/>
        <v>32012</v>
      </c>
    </row>
    <row r="266" customHeight="1" spans="1:9">
      <c r="A266" s="87">
        <f t="shared" si="26"/>
        <v>32012</v>
      </c>
      <c r="B266" s="87">
        <f t="shared" si="24"/>
        <v>2</v>
      </c>
      <c r="C266" s="87">
        <f t="shared" si="25"/>
        <v>3</v>
      </c>
      <c r="D266" s="78">
        <v>12</v>
      </c>
      <c r="E266" s="87" t="s">
        <v>3717</v>
      </c>
      <c r="F266" s="78">
        <v>492000</v>
      </c>
      <c r="G266" s="78">
        <v>31511</v>
      </c>
      <c r="H266" s="56"/>
      <c r="I266" s="87">
        <f t="shared" si="23"/>
        <v>32013</v>
      </c>
    </row>
    <row r="267" customHeight="1" spans="1:9">
      <c r="A267" s="87">
        <f t="shared" si="26"/>
        <v>32013</v>
      </c>
      <c r="B267" s="87">
        <f t="shared" si="24"/>
        <v>2</v>
      </c>
      <c r="C267" s="87">
        <f t="shared" si="25"/>
        <v>3</v>
      </c>
      <c r="D267" s="78">
        <v>13</v>
      </c>
      <c r="E267" s="87" t="s">
        <v>3717</v>
      </c>
      <c r="F267" s="78">
        <v>507000</v>
      </c>
      <c r="G267" s="78">
        <v>32806</v>
      </c>
      <c r="H267" s="56"/>
      <c r="I267" s="87">
        <f t="shared" si="23"/>
        <v>32014</v>
      </c>
    </row>
    <row r="268" customHeight="1" spans="1:9">
      <c r="A268" s="87">
        <f t="shared" si="26"/>
        <v>32014</v>
      </c>
      <c r="B268" s="87">
        <f t="shared" si="24"/>
        <v>2</v>
      </c>
      <c r="C268" s="87">
        <f t="shared" si="25"/>
        <v>3</v>
      </c>
      <c r="D268" s="78">
        <v>14</v>
      </c>
      <c r="E268" s="87" t="s">
        <v>3717</v>
      </c>
      <c r="F268" s="78">
        <v>522000</v>
      </c>
      <c r="G268" s="78">
        <v>34101</v>
      </c>
      <c r="H268" s="56"/>
      <c r="I268" s="87">
        <f t="shared" si="23"/>
        <v>32015</v>
      </c>
    </row>
    <row r="269" customHeight="1" spans="1:9">
      <c r="A269" s="87">
        <f t="shared" si="26"/>
        <v>32015</v>
      </c>
      <c r="B269" s="87">
        <f t="shared" si="24"/>
        <v>2</v>
      </c>
      <c r="C269" s="87">
        <f t="shared" si="25"/>
        <v>3</v>
      </c>
      <c r="D269" s="78">
        <v>15</v>
      </c>
      <c r="E269" s="87" t="s">
        <v>3717</v>
      </c>
      <c r="F269" s="78">
        <v>537000</v>
      </c>
      <c r="G269" s="78">
        <v>35396</v>
      </c>
      <c r="H269" s="56"/>
      <c r="I269" s="87">
        <f t="shared" si="23"/>
        <v>32016</v>
      </c>
    </row>
    <row r="270" customHeight="1" spans="1:9">
      <c r="A270" s="87">
        <f t="shared" si="26"/>
        <v>32016</v>
      </c>
      <c r="B270" s="87">
        <f t="shared" si="24"/>
        <v>2</v>
      </c>
      <c r="C270" s="87">
        <f t="shared" si="25"/>
        <v>3</v>
      </c>
      <c r="D270" s="78">
        <v>16</v>
      </c>
      <c r="E270" s="87" t="s">
        <v>3717</v>
      </c>
      <c r="F270" s="78">
        <v>792000</v>
      </c>
      <c r="G270" s="78">
        <v>36691</v>
      </c>
      <c r="H270" s="56"/>
      <c r="I270" s="87">
        <f t="shared" si="23"/>
        <v>32017</v>
      </c>
    </row>
    <row r="271" customHeight="1" spans="1:9">
      <c r="A271" s="87">
        <f t="shared" si="26"/>
        <v>32017</v>
      </c>
      <c r="B271" s="87">
        <f t="shared" si="24"/>
        <v>2</v>
      </c>
      <c r="C271" s="87">
        <f t="shared" si="25"/>
        <v>3</v>
      </c>
      <c r="D271" s="78">
        <v>17</v>
      </c>
      <c r="E271" s="87" t="s">
        <v>3717</v>
      </c>
      <c r="F271" s="78">
        <v>819000</v>
      </c>
      <c r="G271" s="78">
        <v>37986</v>
      </c>
      <c r="H271" s="56"/>
      <c r="I271" s="87">
        <f t="shared" si="23"/>
        <v>32018</v>
      </c>
    </row>
    <row r="272" customHeight="1" spans="1:9">
      <c r="A272" s="87">
        <f t="shared" si="26"/>
        <v>32018</v>
      </c>
      <c r="B272" s="87">
        <f t="shared" si="24"/>
        <v>2</v>
      </c>
      <c r="C272" s="87">
        <f t="shared" si="25"/>
        <v>3</v>
      </c>
      <c r="D272" s="78">
        <v>18</v>
      </c>
      <c r="E272" s="87" t="s">
        <v>3717</v>
      </c>
      <c r="F272" s="78">
        <v>846000</v>
      </c>
      <c r="G272" s="78">
        <v>39281</v>
      </c>
      <c r="H272" s="56"/>
      <c r="I272" s="87">
        <f t="shared" si="23"/>
        <v>32019</v>
      </c>
    </row>
    <row r="273" customHeight="1" spans="1:9">
      <c r="A273" s="87">
        <f t="shared" si="26"/>
        <v>32019</v>
      </c>
      <c r="B273" s="87">
        <f t="shared" si="24"/>
        <v>2</v>
      </c>
      <c r="C273" s="87">
        <f t="shared" si="25"/>
        <v>3</v>
      </c>
      <c r="D273" s="78">
        <v>19</v>
      </c>
      <c r="E273" s="87" t="s">
        <v>3717</v>
      </c>
      <c r="F273" s="78">
        <v>873000</v>
      </c>
      <c r="G273" s="78">
        <v>40576</v>
      </c>
      <c r="H273" s="56"/>
      <c r="I273" s="87">
        <f t="shared" si="23"/>
        <v>32020</v>
      </c>
    </row>
    <row r="274" customHeight="1" spans="1:9">
      <c r="A274" s="87">
        <f t="shared" si="26"/>
        <v>32020</v>
      </c>
      <c r="B274" s="87">
        <f t="shared" si="24"/>
        <v>2</v>
      </c>
      <c r="C274" s="87">
        <f t="shared" si="25"/>
        <v>3</v>
      </c>
      <c r="D274" s="78">
        <v>20</v>
      </c>
      <c r="E274" s="87" t="s">
        <v>3717</v>
      </c>
      <c r="F274" s="78">
        <v>900000</v>
      </c>
      <c r="G274" s="78">
        <v>41871</v>
      </c>
      <c r="H274" s="56"/>
      <c r="I274" s="87">
        <f t="shared" si="23"/>
        <v>32021</v>
      </c>
    </row>
    <row r="275" customHeight="1" spans="1:9">
      <c r="A275" s="87">
        <f t="shared" si="26"/>
        <v>32021</v>
      </c>
      <c r="B275" s="87">
        <f t="shared" si="24"/>
        <v>2</v>
      </c>
      <c r="C275" s="87">
        <f t="shared" si="25"/>
        <v>3</v>
      </c>
      <c r="D275" s="78">
        <v>21</v>
      </c>
      <c r="E275" s="87" t="s">
        <v>3717</v>
      </c>
      <c r="F275" s="78">
        <v>921000</v>
      </c>
      <c r="G275" s="78">
        <v>43165</v>
      </c>
      <c r="H275" s="56"/>
      <c r="I275" s="87">
        <f t="shared" si="23"/>
        <v>32022</v>
      </c>
    </row>
    <row r="276" customHeight="1" spans="1:9">
      <c r="A276" s="87">
        <f t="shared" si="26"/>
        <v>32022</v>
      </c>
      <c r="B276" s="87">
        <f t="shared" si="24"/>
        <v>2</v>
      </c>
      <c r="C276" s="87">
        <f t="shared" si="25"/>
        <v>3</v>
      </c>
      <c r="D276" s="78">
        <v>22</v>
      </c>
      <c r="E276" s="87" t="s">
        <v>3717</v>
      </c>
      <c r="F276" s="78">
        <v>942000</v>
      </c>
      <c r="G276" s="78">
        <v>44460</v>
      </c>
      <c r="H276" s="56"/>
      <c r="I276" s="87">
        <f t="shared" si="23"/>
        <v>32023</v>
      </c>
    </row>
    <row r="277" customHeight="1" spans="1:9">
      <c r="A277" s="87">
        <f t="shared" si="26"/>
        <v>32023</v>
      </c>
      <c r="B277" s="87">
        <f t="shared" si="24"/>
        <v>2</v>
      </c>
      <c r="C277" s="87">
        <f t="shared" si="25"/>
        <v>3</v>
      </c>
      <c r="D277" s="78">
        <v>23</v>
      </c>
      <c r="E277" s="87" t="s">
        <v>3717</v>
      </c>
      <c r="F277" s="78">
        <v>963000</v>
      </c>
      <c r="G277" s="78">
        <v>45755</v>
      </c>
      <c r="H277" s="56"/>
      <c r="I277" s="87">
        <f t="shared" si="23"/>
        <v>32024</v>
      </c>
    </row>
    <row r="278" customHeight="1" spans="1:9">
      <c r="A278" s="87">
        <f t="shared" si="26"/>
        <v>32024</v>
      </c>
      <c r="B278" s="87">
        <f t="shared" si="24"/>
        <v>2</v>
      </c>
      <c r="C278" s="87">
        <f t="shared" si="25"/>
        <v>3</v>
      </c>
      <c r="D278" s="78">
        <v>24</v>
      </c>
      <c r="E278" s="87" t="s">
        <v>3717</v>
      </c>
      <c r="F278" s="78">
        <v>984000</v>
      </c>
      <c r="G278" s="78">
        <v>47050</v>
      </c>
      <c r="H278" s="56"/>
      <c r="I278" s="87">
        <f t="shared" si="23"/>
        <v>32025</v>
      </c>
    </row>
    <row r="279" customHeight="1" spans="1:9">
      <c r="A279" s="87">
        <f t="shared" si="26"/>
        <v>32025</v>
      </c>
      <c r="B279" s="87">
        <f t="shared" si="24"/>
        <v>2</v>
      </c>
      <c r="C279" s="87">
        <f t="shared" si="25"/>
        <v>3</v>
      </c>
      <c r="D279" s="78">
        <v>25</v>
      </c>
      <c r="E279" s="87" t="s">
        <v>3717</v>
      </c>
      <c r="F279" s="78">
        <v>1005000</v>
      </c>
      <c r="G279" s="78">
        <v>48345</v>
      </c>
      <c r="H279" s="56"/>
      <c r="I279" s="87">
        <f t="shared" si="23"/>
        <v>32026</v>
      </c>
    </row>
    <row r="280" customHeight="1" spans="1:9">
      <c r="A280" s="87">
        <f t="shared" si="26"/>
        <v>32026</v>
      </c>
      <c r="B280" s="87">
        <f t="shared" si="24"/>
        <v>2</v>
      </c>
      <c r="C280" s="87">
        <f t="shared" si="25"/>
        <v>3</v>
      </c>
      <c r="D280" s="78">
        <v>26</v>
      </c>
      <c r="E280" s="87" t="s">
        <v>3717</v>
      </c>
      <c r="F280" s="78">
        <v>1026000</v>
      </c>
      <c r="G280" s="78">
        <v>49640</v>
      </c>
      <c r="H280" s="56"/>
      <c r="I280" s="87">
        <f t="shared" si="23"/>
        <v>32027</v>
      </c>
    </row>
    <row r="281" customHeight="1" spans="1:9">
      <c r="A281" s="87">
        <f t="shared" si="26"/>
        <v>32027</v>
      </c>
      <c r="B281" s="87">
        <f t="shared" si="24"/>
        <v>2</v>
      </c>
      <c r="C281" s="87">
        <f t="shared" si="25"/>
        <v>3</v>
      </c>
      <c r="D281" s="78">
        <v>27</v>
      </c>
      <c r="E281" s="87" t="s">
        <v>3717</v>
      </c>
      <c r="F281" s="78">
        <v>1047000</v>
      </c>
      <c r="G281" s="78">
        <v>50935</v>
      </c>
      <c r="H281" s="56"/>
      <c r="I281" s="87">
        <f t="shared" si="23"/>
        <v>32028</v>
      </c>
    </row>
    <row r="282" customHeight="1" spans="1:9">
      <c r="A282" s="87">
        <f t="shared" si="26"/>
        <v>32028</v>
      </c>
      <c r="B282" s="87">
        <f t="shared" si="24"/>
        <v>2</v>
      </c>
      <c r="C282" s="87">
        <f t="shared" si="25"/>
        <v>3</v>
      </c>
      <c r="D282" s="78">
        <v>28</v>
      </c>
      <c r="E282" s="87" t="s">
        <v>3717</v>
      </c>
      <c r="F282" s="78">
        <v>1068000</v>
      </c>
      <c r="G282" s="78">
        <v>52230</v>
      </c>
      <c r="H282" s="56"/>
      <c r="I282" s="87">
        <f t="shared" si="23"/>
        <v>32029</v>
      </c>
    </row>
    <row r="283" customHeight="1" spans="1:9">
      <c r="A283" s="87">
        <f t="shared" si="26"/>
        <v>32029</v>
      </c>
      <c r="B283" s="87">
        <f t="shared" si="24"/>
        <v>2</v>
      </c>
      <c r="C283" s="87">
        <f t="shared" si="25"/>
        <v>3</v>
      </c>
      <c r="D283" s="78">
        <v>29</v>
      </c>
      <c r="E283" s="87" t="s">
        <v>3717</v>
      </c>
      <c r="F283" s="78">
        <v>1089000</v>
      </c>
      <c r="G283" s="78">
        <v>53525</v>
      </c>
      <c r="H283" s="56"/>
      <c r="I283" s="87">
        <f t="shared" si="23"/>
        <v>32030</v>
      </c>
    </row>
    <row r="284" customHeight="1" spans="1:9">
      <c r="A284" s="87">
        <f t="shared" si="26"/>
        <v>32030</v>
      </c>
      <c r="B284" s="87">
        <f t="shared" si="24"/>
        <v>2</v>
      </c>
      <c r="C284" s="87">
        <f t="shared" si="25"/>
        <v>3</v>
      </c>
      <c r="D284" s="78">
        <v>30</v>
      </c>
      <c r="E284" s="87" t="s">
        <v>3717</v>
      </c>
      <c r="F284" s="78"/>
      <c r="G284" s="78">
        <v>54820</v>
      </c>
      <c r="H284" s="56"/>
      <c r="I284" s="87"/>
    </row>
    <row r="285" customHeight="1" spans="1:9">
      <c r="A285" s="87">
        <f t="shared" si="26"/>
        <v>42000</v>
      </c>
      <c r="B285" s="87">
        <v>2</v>
      </c>
      <c r="C285" s="87">
        <v>4</v>
      </c>
      <c r="D285" s="78"/>
      <c r="E285" s="87" t="s">
        <v>3717</v>
      </c>
      <c r="F285" s="78">
        <v>10700000</v>
      </c>
      <c r="G285" s="78"/>
      <c r="H285" s="56"/>
      <c r="I285" s="87">
        <f t="shared" ref="I285:I314" si="27">A286</f>
        <v>42001</v>
      </c>
    </row>
    <row r="286" customHeight="1" spans="1:9">
      <c r="A286" s="87">
        <f t="shared" si="26"/>
        <v>42001</v>
      </c>
      <c r="B286" s="87">
        <v>2</v>
      </c>
      <c r="C286" s="87">
        <v>4</v>
      </c>
      <c r="D286" s="78">
        <v>1</v>
      </c>
      <c r="E286" s="87" t="s">
        <v>3717</v>
      </c>
      <c r="F286" s="78">
        <v>950000</v>
      </c>
      <c r="G286" s="78">
        <v>51799</v>
      </c>
      <c r="H286" s="56"/>
      <c r="I286" s="87">
        <f t="shared" si="27"/>
        <v>42002</v>
      </c>
    </row>
    <row r="287" customHeight="1" spans="1:9">
      <c r="A287" s="87">
        <f t="shared" si="26"/>
        <v>42002</v>
      </c>
      <c r="B287" s="87">
        <f t="shared" ref="B287:B315" si="28">B286</f>
        <v>2</v>
      </c>
      <c r="C287" s="87">
        <f t="shared" ref="C287:C315" si="29">C286</f>
        <v>4</v>
      </c>
      <c r="D287" s="78">
        <v>2</v>
      </c>
      <c r="E287" s="87" t="s">
        <v>3717</v>
      </c>
      <c r="F287" s="78">
        <v>983000</v>
      </c>
      <c r="G287" s="78">
        <v>54388</v>
      </c>
      <c r="H287" s="56"/>
      <c r="I287" s="87">
        <f t="shared" si="27"/>
        <v>42003</v>
      </c>
    </row>
    <row r="288" customHeight="1" spans="1:9">
      <c r="A288" s="87">
        <f t="shared" si="26"/>
        <v>42003</v>
      </c>
      <c r="B288" s="87">
        <f t="shared" si="28"/>
        <v>2</v>
      </c>
      <c r="C288" s="87">
        <f t="shared" si="29"/>
        <v>4</v>
      </c>
      <c r="D288" s="78">
        <v>3</v>
      </c>
      <c r="E288" s="87" t="s">
        <v>3717</v>
      </c>
      <c r="F288" s="78">
        <v>1015000</v>
      </c>
      <c r="G288" s="78">
        <v>56978</v>
      </c>
      <c r="H288" s="56"/>
      <c r="I288" s="87">
        <f t="shared" si="27"/>
        <v>42004</v>
      </c>
    </row>
    <row r="289" customHeight="1" spans="1:9">
      <c r="A289" s="87">
        <f t="shared" si="26"/>
        <v>42004</v>
      </c>
      <c r="B289" s="87">
        <f t="shared" si="28"/>
        <v>2</v>
      </c>
      <c r="C289" s="87">
        <f t="shared" si="29"/>
        <v>4</v>
      </c>
      <c r="D289" s="78">
        <v>4</v>
      </c>
      <c r="E289" s="87" t="s">
        <v>3717</v>
      </c>
      <c r="F289" s="78">
        <v>1048000</v>
      </c>
      <c r="G289" s="78">
        <v>59568</v>
      </c>
      <c r="H289" s="56"/>
      <c r="I289" s="87">
        <f t="shared" si="27"/>
        <v>42005</v>
      </c>
    </row>
    <row r="290" customHeight="1" spans="1:9">
      <c r="A290" s="87">
        <f t="shared" si="26"/>
        <v>42005</v>
      </c>
      <c r="B290" s="87">
        <f t="shared" si="28"/>
        <v>2</v>
      </c>
      <c r="C290" s="87">
        <f t="shared" si="29"/>
        <v>4</v>
      </c>
      <c r="D290" s="78">
        <v>5</v>
      </c>
      <c r="E290" s="87" t="s">
        <v>3717</v>
      </c>
      <c r="F290" s="78">
        <v>1080000</v>
      </c>
      <c r="G290" s="78">
        <v>62158</v>
      </c>
      <c r="H290" s="56"/>
      <c r="I290" s="87">
        <f t="shared" si="27"/>
        <v>42006</v>
      </c>
    </row>
    <row r="291" customHeight="1" spans="1:9">
      <c r="A291" s="87">
        <f t="shared" si="26"/>
        <v>42006</v>
      </c>
      <c r="B291" s="87">
        <f t="shared" si="28"/>
        <v>2</v>
      </c>
      <c r="C291" s="87">
        <f t="shared" si="29"/>
        <v>4</v>
      </c>
      <c r="D291" s="78">
        <v>6</v>
      </c>
      <c r="E291" s="87" t="s">
        <v>3717</v>
      </c>
      <c r="F291" s="78">
        <v>1105000</v>
      </c>
      <c r="G291" s="78">
        <v>64748</v>
      </c>
      <c r="H291" s="56"/>
      <c r="I291" s="87">
        <f t="shared" si="27"/>
        <v>42007</v>
      </c>
    </row>
    <row r="292" customHeight="1" spans="1:9">
      <c r="A292" s="87">
        <f t="shared" si="26"/>
        <v>42007</v>
      </c>
      <c r="B292" s="87">
        <f t="shared" si="28"/>
        <v>2</v>
      </c>
      <c r="C292" s="87">
        <f t="shared" si="29"/>
        <v>4</v>
      </c>
      <c r="D292" s="78">
        <v>7</v>
      </c>
      <c r="E292" s="87" t="s">
        <v>3717</v>
      </c>
      <c r="F292" s="78">
        <v>1130000</v>
      </c>
      <c r="G292" s="78">
        <v>67338</v>
      </c>
      <c r="H292" s="56"/>
      <c r="I292" s="87">
        <f t="shared" si="27"/>
        <v>42008</v>
      </c>
    </row>
    <row r="293" customHeight="1" spans="1:9">
      <c r="A293" s="87">
        <f t="shared" si="26"/>
        <v>42008</v>
      </c>
      <c r="B293" s="87">
        <f t="shared" si="28"/>
        <v>2</v>
      </c>
      <c r="C293" s="87">
        <f t="shared" si="29"/>
        <v>4</v>
      </c>
      <c r="D293" s="78">
        <v>8</v>
      </c>
      <c r="E293" s="87" t="s">
        <v>3717</v>
      </c>
      <c r="F293" s="78">
        <v>1156000</v>
      </c>
      <c r="G293" s="78">
        <v>69928</v>
      </c>
      <c r="H293" s="56"/>
      <c r="I293" s="87">
        <f t="shared" si="27"/>
        <v>42009</v>
      </c>
    </row>
    <row r="294" customHeight="1" spans="1:9">
      <c r="A294" s="87">
        <f t="shared" si="26"/>
        <v>42009</v>
      </c>
      <c r="B294" s="87">
        <f t="shared" si="28"/>
        <v>2</v>
      </c>
      <c r="C294" s="87">
        <f t="shared" si="29"/>
        <v>4</v>
      </c>
      <c r="D294" s="78">
        <v>9</v>
      </c>
      <c r="E294" s="87" t="s">
        <v>3717</v>
      </c>
      <c r="F294" s="78">
        <v>1181000</v>
      </c>
      <c r="G294" s="78">
        <v>72518</v>
      </c>
      <c r="H294" s="56"/>
      <c r="I294" s="87">
        <f t="shared" si="27"/>
        <v>42010</v>
      </c>
    </row>
    <row r="295" customHeight="1" spans="1:9">
      <c r="A295" s="87">
        <f t="shared" si="26"/>
        <v>42010</v>
      </c>
      <c r="B295" s="87">
        <f t="shared" si="28"/>
        <v>2</v>
      </c>
      <c r="C295" s="87">
        <f t="shared" si="29"/>
        <v>4</v>
      </c>
      <c r="D295" s="78">
        <v>10</v>
      </c>
      <c r="E295" s="87" t="s">
        <v>3717</v>
      </c>
      <c r="F295" s="78">
        <v>1206000</v>
      </c>
      <c r="G295" s="78">
        <v>75108</v>
      </c>
      <c r="H295" s="56"/>
      <c r="I295" s="87">
        <f t="shared" si="27"/>
        <v>42011</v>
      </c>
    </row>
    <row r="296" customHeight="1" spans="1:9">
      <c r="A296" s="87">
        <f t="shared" si="26"/>
        <v>42011</v>
      </c>
      <c r="B296" s="87">
        <f t="shared" si="28"/>
        <v>2</v>
      </c>
      <c r="C296" s="87">
        <f t="shared" si="29"/>
        <v>4</v>
      </c>
      <c r="D296" s="78">
        <v>11</v>
      </c>
      <c r="E296" s="87" t="s">
        <v>3717</v>
      </c>
      <c r="F296" s="78">
        <v>1231000</v>
      </c>
      <c r="G296" s="78">
        <v>77698</v>
      </c>
      <c r="H296" s="56"/>
      <c r="I296" s="87">
        <f t="shared" si="27"/>
        <v>42012</v>
      </c>
    </row>
    <row r="297" customHeight="1" spans="1:9">
      <c r="A297" s="87">
        <f t="shared" si="26"/>
        <v>42012</v>
      </c>
      <c r="B297" s="87">
        <f t="shared" si="28"/>
        <v>2</v>
      </c>
      <c r="C297" s="87">
        <f t="shared" si="29"/>
        <v>4</v>
      </c>
      <c r="D297" s="78">
        <v>12</v>
      </c>
      <c r="E297" s="87" t="s">
        <v>3717</v>
      </c>
      <c r="F297" s="78">
        <v>1256000</v>
      </c>
      <c r="G297" s="78">
        <v>80288</v>
      </c>
      <c r="H297" s="56"/>
      <c r="I297" s="87">
        <f t="shared" si="27"/>
        <v>42013</v>
      </c>
    </row>
    <row r="298" customHeight="1" spans="1:9">
      <c r="A298" s="87">
        <f t="shared" si="26"/>
        <v>42013</v>
      </c>
      <c r="B298" s="87">
        <f t="shared" si="28"/>
        <v>2</v>
      </c>
      <c r="C298" s="87">
        <f t="shared" si="29"/>
        <v>4</v>
      </c>
      <c r="D298" s="78">
        <v>13</v>
      </c>
      <c r="E298" s="87" t="s">
        <v>3717</v>
      </c>
      <c r="F298" s="78">
        <v>1282000</v>
      </c>
      <c r="G298" s="78">
        <v>82878</v>
      </c>
      <c r="H298" s="56"/>
      <c r="I298" s="87">
        <f t="shared" si="27"/>
        <v>42014</v>
      </c>
    </row>
    <row r="299" customHeight="1" spans="1:9">
      <c r="A299" s="87">
        <f t="shared" si="26"/>
        <v>42014</v>
      </c>
      <c r="B299" s="87">
        <f t="shared" si="28"/>
        <v>2</v>
      </c>
      <c r="C299" s="87">
        <f t="shared" si="29"/>
        <v>4</v>
      </c>
      <c r="D299" s="78">
        <v>14</v>
      </c>
      <c r="E299" s="87" t="s">
        <v>3717</v>
      </c>
      <c r="F299" s="78">
        <v>1307000</v>
      </c>
      <c r="G299" s="78">
        <v>85468</v>
      </c>
      <c r="H299" s="56"/>
      <c r="I299" s="87">
        <f t="shared" si="27"/>
        <v>42015</v>
      </c>
    </row>
    <row r="300" customHeight="1" spans="1:9">
      <c r="A300" s="87">
        <f t="shared" si="26"/>
        <v>42015</v>
      </c>
      <c r="B300" s="87">
        <f t="shared" si="28"/>
        <v>2</v>
      </c>
      <c r="C300" s="87">
        <f t="shared" si="29"/>
        <v>4</v>
      </c>
      <c r="D300" s="78">
        <v>15</v>
      </c>
      <c r="E300" s="87" t="s">
        <v>3717</v>
      </c>
      <c r="F300" s="78">
        <v>1332000</v>
      </c>
      <c r="G300" s="78">
        <v>88058</v>
      </c>
      <c r="H300" s="56"/>
      <c r="I300" s="87">
        <f t="shared" si="27"/>
        <v>42016</v>
      </c>
    </row>
    <row r="301" customHeight="1" spans="1:9">
      <c r="A301" s="87">
        <f t="shared" si="26"/>
        <v>42016</v>
      </c>
      <c r="B301" s="87">
        <f t="shared" si="28"/>
        <v>2</v>
      </c>
      <c r="C301" s="87">
        <f t="shared" si="29"/>
        <v>4</v>
      </c>
      <c r="D301" s="78">
        <v>16</v>
      </c>
      <c r="E301" s="87" t="s">
        <v>3717</v>
      </c>
      <c r="F301" s="78">
        <v>1778000</v>
      </c>
      <c r="G301" s="78">
        <v>90647</v>
      </c>
      <c r="H301" s="56"/>
      <c r="I301" s="87">
        <f t="shared" si="27"/>
        <v>42017</v>
      </c>
    </row>
    <row r="302" customHeight="1" spans="1:9">
      <c r="A302" s="87">
        <f t="shared" si="26"/>
        <v>42017</v>
      </c>
      <c r="B302" s="87">
        <f t="shared" si="28"/>
        <v>2</v>
      </c>
      <c r="C302" s="87">
        <f t="shared" si="29"/>
        <v>4</v>
      </c>
      <c r="D302" s="78">
        <v>17</v>
      </c>
      <c r="E302" s="87" t="s">
        <v>3717</v>
      </c>
      <c r="F302" s="78">
        <v>1811000</v>
      </c>
      <c r="G302" s="78">
        <v>93237</v>
      </c>
      <c r="H302" s="56"/>
      <c r="I302" s="87">
        <f t="shared" si="27"/>
        <v>42018</v>
      </c>
    </row>
    <row r="303" customHeight="1" spans="1:9">
      <c r="A303" s="87">
        <f t="shared" si="26"/>
        <v>42018</v>
      </c>
      <c r="B303" s="87">
        <f t="shared" si="28"/>
        <v>2</v>
      </c>
      <c r="C303" s="87">
        <f t="shared" si="29"/>
        <v>4</v>
      </c>
      <c r="D303" s="78">
        <v>18</v>
      </c>
      <c r="E303" s="87" t="s">
        <v>3717</v>
      </c>
      <c r="F303" s="78">
        <v>1843000</v>
      </c>
      <c r="G303" s="78">
        <v>95827</v>
      </c>
      <c r="H303" s="56"/>
      <c r="I303" s="87">
        <f t="shared" si="27"/>
        <v>42019</v>
      </c>
    </row>
    <row r="304" customHeight="1" spans="1:9">
      <c r="A304" s="87">
        <f t="shared" si="26"/>
        <v>42019</v>
      </c>
      <c r="B304" s="87">
        <f t="shared" si="28"/>
        <v>2</v>
      </c>
      <c r="C304" s="87">
        <f t="shared" si="29"/>
        <v>4</v>
      </c>
      <c r="D304" s="78">
        <v>19</v>
      </c>
      <c r="E304" s="87" t="s">
        <v>3717</v>
      </c>
      <c r="F304" s="78">
        <v>1876000</v>
      </c>
      <c r="G304" s="78">
        <v>98417</v>
      </c>
      <c r="H304" s="56"/>
      <c r="I304" s="87">
        <f t="shared" si="27"/>
        <v>42020</v>
      </c>
    </row>
    <row r="305" customHeight="1" spans="1:9">
      <c r="A305" s="87">
        <f t="shared" si="26"/>
        <v>42020</v>
      </c>
      <c r="B305" s="87">
        <f t="shared" si="28"/>
        <v>2</v>
      </c>
      <c r="C305" s="87">
        <f t="shared" si="29"/>
        <v>4</v>
      </c>
      <c r="D305" s="78">
        <v>20</v>
      </c>
      <c r="E305" s="87" t="s">
        <v>3717</v>
      </c>
      <c r="F305" s="78">
        <v>1908000</v>
      </c>
      <c r="G305" s="78">
        <v>101007</v>
      </c>
      <c r="H305" s="56"/>
      <c r="I305" s="87">
        <f t="shared" si="27"/>
        <v>42021</v>
      </c>
    </row>
    <row r="306" customHeight="1" spans="1:9">
      <c r="A306" s="87">
        <f t="shared" si="26"/>
        <v>42021</v>
      </c>
      <c r="B306" s="87">
        <f t="shared" si="28"/>
        <v>2</v>
      </c>
      <c r="C306" s="87">
        <f t="shared" si="29"/>
        <v>4</v>
      </c>
      <c r="D306" s="78">
        <v>21</v>
      </c>
      <c r="E306" s="87" t="s">
        <v>3717</v>
      </c>
      <c r="F306" s="78">
        <v>1940000</v>
      </c>
      <c r="G306" s="78">
        <v>103597</v>
      </c>
      <c r="H306" s="56"/>
      <c r="I306" s="87">
        <f t="shared" si="27"/>
        <v>42022</v>
      </c>
    </row>
    <row r="307" customHeight="1" spans="1:9">
      <c r="A307" s="87">
        <f t="shared" si="26"/>
        <v>42022</v>
      </c>
      <c r="B307" s="87">
        <f t="shared" si="28"/>
        <v>2</v>
      </c>
      <c r="C307" s="87">
        <f t="shared" si="29"/>
        <v>4</v>
      </c>
      <c r="D307" s="78">
        <v>22</v>
      </c>
      <c r="E307" s="87" t="s">
        <v>3717</v>
      </c>
      <c r="F307" s="78">
        <v>1973000</v>
      </c>
      <c r="G307" s="78">
        <v>106187</v>
      </c>
      <c r="H307" s="56"/>
      <c r="I307" s="87">
        <f t="shared" si="27"/>
        <v>42023</v>
      </c>
    </row>
    <row r="308" customHeight="1" spans="1:9">
      <c r="A308" s="87">
        <f t="shared" si="26"/>
        <v>42023</v>
      </c>
      <c r="B308" s="87">
        <f t="shared" si="28"/>
        <v>2</v>
      </c>
      <c r="C308" s="87">
        <f t="shared" si="29"/>
        <v>4</v>
      </c>
      <c r="D308" s="78">
        <v>23</v>
      </c>
      <c r="E308" s="87" t="s">
        <v>3717</v>
      </c>
      <c r="F308" s="78">
        <v>2581000</v>
      </c>
      <c r="G308" s="78">
        <v>108777</v>
      </c>
      <c r="H308" s="56"/>
      <c r="I308" s="87">
        <f t="shared" si="27"/>
        <v>42024</v>
      </c>
    </row>
    <row r="309" customHeight="1" spans="1:9">
      <c r="A309" s="87">
        <f t="shared" si="26"/>
        <v>42024</v>
      </c>
      <c r="B309" s="87">
        <f t="shared" si="28"/>
        <v>2</v>
      </c>
      <c r="C309" s="87">
        <f t="shared" si="29"/>
        <v>4</v>
      </c>
      <c r="D309" s="78">
        <v>24</v>
      </c>
      <c r="E309" s="87" t="s">
        <v>3717</v>
      </c>
      <c r="F309" s="78">
        <v>2635000</v>
      </c>
      <c r="G309" s="78">
        <v>111367</v>
      </c>
      <c r="H309" s="56"/>
      <c r="I309" s="87">
        <f t="shared" si="27"/>
        <v>42025</v>
      </c>
    </row>
    <row r="310" customHeight="1" spans="1:9">
      <c r="A310" s="87">
        <f t="shared" si="26"/>
        <v>42025</v>
      </c>
      <c r="B310" s="87">
        <f t="shared" si="28"/>
        <v>2</v>
      </c>
      <c r="C310" s="87">
        <f t="shared" si="29"/>
        <v>4</v>
      </c>
      <c r="D310" s="78">
        <v>25</v>
      </c>
      <c r="E310" s="87" t="s">
        <v>3717</v>
      </c>
      <c r="F310" s="78">
        <v>2689000</v>
      </c>
      <c r="G310" s="78">
        <v>113957</v>
      </c>
      <c r="H310" s="56"/>
      <c r="I310" s="87">
        <f t="shared" si="27"/>
        <v>42026</v>
      </c>
    </row>
    <row r="311" customHeight="1" spans="1:9">
      <c r="A311" s="87">
        <f t="shared" si="26"/>
        <v>42026</v>
      </c>
      <c r="B311" s="87">
        <f t="shared" si="28"/>
        <v>2</v>
      </c>
      <c r="C311" s="87">
        <f t="shared" si="29"/>
        <v>4</v>
      </c>
      <c r="D311" s="78">
        <v>26</v>
      </c>
      <c r="E311" s="87" t="s">
        <v>3717</v>
      </c>
      <c r="F311" s="78">
        <v>2743000</v>
      </c>
      <c r="G311" s="78">
        <v>116547</v>
      </c>
      <c r="H311" s="56"/>
      <c r="I311" s="87">
        <f t="shared" si="27"/>
        <v>42027</v>
      </c>
    </row>
    <row r="312" customHeight="1" spans="1:9">
      <c r="A312" s="87">
        <f t="shared" si="26"/>
        <v>42027</v>
      </c>
      <c r="B312" s="87">
        <f t="shared" si="28"/>
        <v>2</v>
      </c>
      <c r="C312" s="87">
        <f t="shared" si="29"/>
        <v>4</v>
      </c>
      <c r="D312" s="78">
        <v>27</v>
      </c>
      <c r="E312" s="87" t="s">
        <v>3717</v>
      </c>
      <c r="F312" s="78">
        <v>2797000</v>
      </c>
      <c r="G312" s="78">
        <v>119137</v>
      </c>
      <c r="H312" s="56"/>
      <c r="I312" s="87">
        <f t="shared" si="27"/>
        <v>42028</v>
      </c>
    </row>
    <row r="313" customHeight="1" spans="1:9">
      <c r="A313" s="87">
        <f t="shared" si="26"/>
        <v>42028</v>
      </c>
      <c r="B313" s="87">
        <f t="shared" si="28"/>
        <v>2</v>
      </c>
      <c r="C313" s="87">
        <f t="shared" si="29"/>
        <v>4</v>
      </c>
      <c r="D313" s="78">
        <v>28</v>
      </c>
      <c r="E313" s="87" t="s">
        <v>3717</v>
      </c>
      <c r="F313" s="78">
        <v>2851000</v>
      </c>
      <c r="G313" s="78">
        <v>121727</v>
      </c>
      <c r="H313" s="56"/>
      <c r="I313" s="87">
        <f t="shared" si="27"/>
        <v>42029</v>
      </c>
    </row>
    <row r="314" customHeight="1" spans="1:9">
      <c r="A314" s="87">
        <f t="shared" si="26"/>
        <v>42029</v>
      </c>
      <c r="B314" s="87">
        <f t="shared" si="28"/>
        <v>2</v>
      </c>
      <c r="C314" s="87">
        <f t="shared" si="29"/>
        <v>4</v>
      </c>
      <c r="D314" s="78">
        <v>29</v>
      </c>
      <c r="E314" s="87" t="s">
        <v>3717</v>
      </c>
      <c r="F314" s="78">
        <v>2905000</v>
      </c>
      <c r="G314" s="78">
        <v>124317</v>
      </c>
      <c r="H314" s="56"/>
      <c r="I314" s="87">
        <f t="shared" si="27"/>
        <v>42030</v>
      </c>
    </row>
    <row r="315" customHeight="1" spans="1:9">
      <c r="A315" s="87">
        <f t="shared" si="26"/>
        <v>42030</v>
      </c>
      <c r="B315" s="87">
        <f t="shared" si="28"/>
        <v>2</v>
      </c>
      <c r="C315" s="87">
        <f t="shared" si="29"/>
        <v>4</v>
      </c>
      <c r="D315" s="78">
        <v>30</v>
      </c>
      <c r="E315" s="87" t="s">
        <v>3717</v>
      </c>
      <c r="F315" s="78"/>
      <c r="G315" s="78">
        <v>126906</v>
      </c>
      <c r="H315" s="56"/>
      <c r="I315" s="87"/>
    </row>
    <row r="316" customHeight="1" spans="1:9">
      <c r="A316" s="87">
        <f t="shared" si="26"/>
        <v>52000</v>
      </c>
      <c r="B316" s="83">
        <v>2</v>
      </c>
      <c r="C316" s="83">
        <v>5</v>
      </c>
      <c r="D316" s="78"/>
      <c r="E316" s="87" t="s">
        <v>3717</v>
      </c>
      <c r="F316" s="78">
        <v>44400000</v>
      </c>
      <c r="G316" s="78"/>
      <c r="H316" s="66"/>
      <c r="I316" s="87">
        <f t="shared" ref="I316:I345" si="30">A317</f>
        <v>52001</v>
      </c>
    </row>
    <row r="317" customHeight="1" spans="1:9">
      <c r="A317" s="87">
        <f t="shared" si="26"/>
        <v>52001</v>
      </c>
      <c r="B317" s="83">
        <v>2</v>
      </c>
      <c r="C317" s="83">
        <v>5</v>
      </c>
      <c r="D317" s="78">
        <v>1</v>
      </c>
      <c r="E317" s="87" t="s">
        <v>3717</v>
      </c>
      <c r="F317" s="78">
        <v>2075000</v>
      </c>
      <c r="G317" s="78">
        <v>103597</v>
      </c>
      <c r="H317" s="66"/>
      <c r="I317" s="87">
        <f t="shared" si="30"/>
        <v>52002</v>
      </c>
    </row>
    <row r="318" customHeight="1" spans="1:9">
      <c r="A318" s="87">
        <f t="shared" si="26"/>
        <v>52002</v>
      </c>
      <c r="B318" s="83">
        <v>2</v>
      </c>
      <c r="C318" s="83">
        <v>5</v>
      </c>
      <c r="D318" s="78">
        <v>2</v>
      </c>
      <c r="E318" s="87" t="s">
        <v>3717</v>
      </c>
      <c r="F318" s="78">
        <v>2113000</v>
      </c>
      <c r="G318" s="78">
        <v>107914</v>
      </c>
      <c r="H318" s="66"/>
      <c r="I318" s="87">
        <f t="shared" si="30"/>
        <v>52003</v>
      </c>
    </row>
    <row r="319" customHeight="1" spans="1:9">
      <c r="A319" s="87">
        <f t="shared" si="26"/>
        <v>52003</v>
      </c>
      <c r="B319" s="83">
        <v>2</v>
      </c>
      <c r="C319" s="83">
        <v>5</v>
      </c>
      <c r="D319" s="78">
        <v>3</v>
      </c>
      <c r="E319" s="87" t="s">
        <v>3717</v>
      </c>
      <c r="F319" s="78">
        <v>2150000</v>
      </c>
      <c r="G319" s="78">
        <v>112230</v>
      </c>
      <c r="H319" s="66"/>
      <c r="I319" s="87">
        <f t="shared" si="30"/>
        <v>52004</v>
      </c>
    </row>
    <row r="320" customHeight="1" spans="1:9">
      <c r="A320" s="87">
        <f t="shared" si="26"/>
        <v>52004</v>
      </c>
      <c r="B320" s="83">
        <v>2</v>
      </c>
      <c r="C320" s="83">
        <v>5</v>
      </c>
      <c r="D320" s="78">
        <v>4</v>
      </c>
      <c r="E320" s="87" t="s">
        <v>3717</v>
      </c>
      <c r="F320" s="78">
        <v>2188000</v>
      </c>
      <c r="G320" s="78">
        <v>116547</v>
      </c>
      <c r="H320" s="66"/>
      <c r="I320" s="87">
        <f t="shared" si="30"/>
        <v>52005</v>
      </c>
    </row>
    <row r="321" customHeight="1" spans="1:9">
      <c r="A321" s="87">
        <f t="shared" si="26"/>
        <v>52005</v>
      </c>
      <c r="B321" s="83">
        <v>2</v>
      </c>
      <c r="C321" s="83">
        <v>5</v>
      </c>
      <c r="D321" s="78">
        <v>5</v>
      </c>
      <c r="E321" s="87" t="s">
        <v>3717</v>
      </c>
      <c r="F321" s="78">
        <v>2226000</v>
      </c>
      <c r="G321" s="78">
        <v>120863</v>
      </c>
      <c r="H321" s="66"/>
      <c r="I321" s="87">
        <f t="shared" si="30"/>
        <v>52006</v>
      </c>
    </row>
    <row r="322" customHeight="1" spans="1:9">
      <c r="A322" s="87">
        <f t="shared" si="26"/>
        <v>52006</v>
      </c>
      <c r="B322" s="83">
        <v>2</v>
      </c>
      <c r="C322" s="83">
        <v>5</v>
      </c>
      <c r="D322" s="78">
        <v>6</v>
      </c>
      <c r="E322" s="87" t="s">
        <v>3717</v>
      </c>
      <c r="F322" s="78">
        <v>2264000</v>
      </c>
      <c r="G322" s="78">
        <v>125180</v>
      </c>
      <c r="H322" s="66"/>
      <c r="I322" s="87">
        <f t="shared" si="30"/>
        <v>52007</v>
      </c>
    </row>
    <row r="323" customHeight="1" spans="1:9">
      <c r="A323" s="87">
        <f t="shared" si="26"/>
        <v>52007</v>
      </c>
      <c r="B323" s="83">
        <v>2</v>
      </c>
      <c r="C323" s="83">
        <v>5</v>
      </c>
      <c r="D323" s="78">
        <v>7</v>
      </c>
      <c r="E323" s="87" t="s">
        <v>3717</v>
      </c>
      <c r="F323" s="78">
        <v>2302000</v>
      </c>
      <c r="G323" s="78">
        <v>129496</v>
      </c>
      <c r="H323" s="66"/>
      <c r="I323" s="87">
        <f t="shared" si="30"/>
        <v>52008</v>
      </c>
    </row>
    <row r="324" customHeight="1" spans="1:9">
      <c r="A324" s="87">
        <f t="shared" si="26"/>
        <v>52008</v>
      </c>
      <c r="B324" s="83">
        <v>2</v>
      </c>
      <c r="C324" s="83">
        <v>5</v>
      </c>
      <c r="D324" s="78">
        <v>8</v>
      </c>
      <c r="E324" s="87" t="s">
        <v>3717</v>
      </c>
      <c r="F324" s="78">
        <v>3011000</v>
      </c>
      <c r="G324" s="78">
        <v>133813</v>
      </c>
      <c r="H324" s="66"/>
      <c r="I324" s="87">
        <f t="shared" si="30"/>
        <v>52009</v>
      </c>
    </row>
    <row r="325" customHeight="1" spans="1:9">
      <c r="A325" s="87">
        <f t="shared" si="26"/>
        <v>52009</v>
      </c>
      <c r="B325" s="83">
        <v>2</v>
      </c>
      <c r="C325" s="83">
        <v>5</v>
      </c>
      <c r="D325" s="78">
        <v>9</v>
      </c>
      <c r="E325" s="87" t="s">
        <v>3717</v>
      </c>
      <c r="F325" s="78">
        <v>3074000</v>
      </c>
      <c r="G325" s="78">
        <v>138129</v>
      </c>
      <c r="H325" s="66"/>
      <c r="I325" s="87">
        <f t="shared" si="30"/>
        <v>52010</v>
      </c>
    </row>
    <row r="326" customHeight="1" spans="1:9">
      <c r="A326" s="87">
        <f t="shared" ref="A326:A389" si="31">C326*10000+B326*1000+D326</f>
        <v>52010</v>
      </c>
      <c r="B326" s="83">
        <v>2</v>
      </c>
      <c r="C326" s="83">
        <v>5</v>
      </c>
      <c r="D326" s="78">
        <v>10</v>
      </c>
      <c r="E326" s="87" t="s">
        <v>3717</v>
      </c>
      <c r="F326" s="78">
        <v>3137000</v>
      </c>
      <c r="G326" s="78">
        <v>142446</v>
      </c>
      <c r="H326" s="66"/>
      <c r="I326" s="87">
        <f t="shared" si="30"/>
        <v>52011</v>
      </c>
    </row>
    <row r="327" customHeight="1" spans="1:9">
      <c r="A327" s="87">
        <f t="shared" si="31"/>
        <v>52011</v>
      </c>
      <c r="B327" s="83">
        <v>2</v>
      </c>
      <c r="C327" s="83">
        <v>5</v>
      </c>
      <c r="D327" s="78">
        <v>11</v>
      </c>
      <c r="E327" s="87" t="s">
        <v>3717</v>
      </c>
      <c r="F327" s="78">
        <v>3200000</v>
      </c>
      <c r="G327" s="78">
        <v>146763</v>
      </c>
      <c r="H327" s="66"/>
      <c r="I327" s="87">
        <f t="shared" si="30"/>
        <v>52012</v>
      </c>
    </row>
    <row r="328" customHeight="1" spans="1:9">
      <c r="A328" s="87">
        <f t="shared" si="31"/>
        <v>52012</v>
      </c>
      <c r="B328" s="83">
        <v>2</v>
      </c>
      <c r="C328" s="83">
        <v>5</v>
      </c>
      <c r="D328" s="78">
        <v>12</v>
      </c>
      <c r="E328" s="87" t="s">
        <v>3717</v>
      </c>
      <c r="F328" s="78">
        <v>3263000</v>
      </c>
      <c r="G328" s="78">
        <v>151079</v>
      </c>
      <c r="H328" s="66"/>
      <c r="I328" s="87">
        <f t="shared" si="30"/>
        <v>52013</v>
      </c>
    </row>
    <row r="329" customHeight="1" spans="1:9">
      <c r="A329" s="87">
        <f t="shared" si="31"/>
        <v>52013</v>
      </c>
      <c r="B329" s="83">
        <v>2</v>
      </c>
      <c r="C329" s="83">
        <v>5</v>
      </c>
      <c r="D329" s="78">
        <v>13</v>
      </c>
      <c r="E329" s="87" t="s">
        <v>3717</v>
      </c>
      <c r="F329" s="78">
        <v>3326000</v>
      </c>
      <c r="G329" s="78">
        <v>155396</v>
      </c>
      <c r="H329" s="66"/>
      <c r="I329" s="87">
        <f t="shared" si="30"/>
        <v>52014</v>
      </c>
    </row>
    <row r="330" customHeight="1" spans="1:9">
      <c r="A330" s="87">
        <f t="shared" si="31"/>
        <v>52014</v>
      </c>
      <c r="B330" s="83">
        <v>2</v>
      </c>
      <c r="C330" s="83">
        <v>5</v>
      </c>
      <c r="D330" s="78">
        <v>14</v>
      </c>
      <c r="E330" s="87" t="s">
        <v>3717</v>
      </c>
      <c r="F330" s="78">
        <v>3389000</v>
      </c>
      <c r="G330" s="78">
        <v>159712</v>
      </c>
      <c r="H330" s="66"/>
      <c r="I330" s="87">
        <f t="shared" si="30"/>
        <v>52015</v>
      </c>
    </row>
    <row r="331" customHeight="1" spans="1:9">
      <c r="A331" s="87">
        <f t="shared" si="31"/>
        <v>52015</v>
      </c>
      <c r="B331" s="83">
        <v>2</v>
      </c>
      <c r="C331" s="83">
        <v>5</v>
      </c>
      <c r="D331" s="78">
        <v>15</v>
      </c>
      <c r="E331" s="87" t="s">
        <v>3717</v>
      </c>
      <c r="F331" s="78">
        <v>3452000</v>
      </c>
      <c r="G331" s="78">
        <v>164029</v>
      </c>
      <c r="H331" s="66"/>
      <c r="I331" s="87">
        <f t="shared" si="30"/>
        <v>52016</v>
      </c>
    </row>
    <row r="332" customHeight="1" spans="1:9">
      <c r="A332" s="87">
        <f t="shared" si="31"/>
        <v>52016</v>
      </c>
      <c r="B332" s="83">
        <v>2</v>
      </c>
      <c r="C332" s="83">
        <v>5</v>
      </c>
      <c r="D332" s="78">
        <v>16</v>
      </c>
      <c r="E332" s="87" t="s">
        <v>3717</v>
      </c>
      <c r="F332" s="78">
        <v>3499000</v>
      </c>
      <c r="G332" s="78">
        <v>168345</v>
      </c>
      <c r="H332" s="66"/>
      <c r="I332" s="87">
        <f t="shared" si="30"/>
        <v>52017</v>
      </c>
    </row>
    <row r="333" customHeight="1" spans="1:9">
      <c r="A333" s="87">
        <f t="shared" si="31"/>
        <v>52017</v>
      </c>
      <c r="B333" s="83">
        <v>2</v>
      </c>
      <c r="C333" s="83">
        <v>5</v>
      </c>
      <c r="D333" s="78">
        <v>17</v>
      </c>
      <c r="E333" s="87" t="s">
        <v>3717</v>
      </c>
      <c r="F333" s="78">
        <v>3545000</v>
      </c>
      <c r="G333" s="78">
        <v>172662</v>
      </c>
      <c r="H333" s="66"/>
      <c r="I333" s="87">
        <f t="shared" si="30"/>
        <v>52018</v>
      </c>
    </row>
    <row r="334" customHeight="1" spans="1:9">
      <c r="A334" s="87">
        <f t="shared" si="31"/>
        <v>52018</v>
      </c>
      <c r="B334" s="83">
        <v>2</v>
      </c>
      <c r="C334" s="83">
        <v>5</v>
      </c>
      <c r="D334" s="78">
        <v>18</v>
      </c>
      <c r="E334" s="87" t="s">
        <v>3717</v>
      </c>
      <c r="F334" s="78">
        <v>3591000</v>
      </c>
      <c r="G334" s="78">
        <v>176978</v>
      </c>
      <c r="H334" s="66"/>
      <c r="I334" s="87">
        <f t="shared" si="30"/>
        <v>52019</v>
      </c>
    </row>
    <row r="335" customHeight="1" spans="1:9">
      <c r="A335" s="87">
        <f t="shared" si="31"/>
        <v>52019</v>
      </c>
      <c r="B335" s="83">
        <v>2</v>
      </c>
      <c r="C335" s="83">
        <v>5</v>
      </c>
      <c r="D335" s="78">
        <v>19</v>
      </c>
      <c r="E335" s="87" t="s">
        <v>3717</v>
      </c>
      <c r="F335" s="78">
        <v>3637000</v>
      </c>
      <c r="G335" s="78">
        <v>181295</v>
      </c>
      <c r="H335" s="66"/>
      <c r="I335" s="87">
        <f t="shared" si="30"/>
        <v>52020</v>
      </c>
    </row>
    <row r="336" customHeight="1" spans="1:9">
      <c r="A336" s="87">
        <f t="shared" si="31"/>
        <v>52020</v>
      </c>
      <c r="B336" s="83">
        <v>2</v>
      </c>
      <c r="C336" s="83">
        <v>5</v>
      </c>
      <c r="D336" s="78">
        <v>20</v>
      </c>
      <c r="E336" s="87" t="s">
        <v>3717</v>
      </c>
      <c r="F336" s="78">
        <v>3683000</v>
      </c>
      <c r="G336" s="78">
        <v>185612</v>
      </c>
      <c r="H336" s="66"/>
      <c r="I336" s="87">
        <f t="shared" si="30"/>
        <v>52021</v>
      </c>
    </row>
    <row r="337" customHeight="1" spans="1:9">
      <c r="A337" s="87">
        <f t="shared" si="31"/>
        <v>52021</v>
      </c>
      <c r="B337" s="83">
        <v>2</v>
      </c>
      <c r="C337" s="83">
        <v>5</v>
      </c>
      <c r="D337" s="78">
        <v>21</v>
      </c>
      <c r="E337" s="87" t="s">
        <v>3717</v>
      </c>
      <c r="F337" s="78">
        <v>3730000</v>
      </c>
      <c r="G337" s="78">
        <v>189928</v>
      </c>
      <c r="H337" s="66"/>
      <c r="I337" s="87">
        <f t="shared" si="30"/>
        <v>52022</v>
      </c>
    </row>
    <row r="338" customHeight="1" spans="1:9">
      <c r="A338" s="87">
        <f t="shared" si="31"/>
        <v>52022</v>
      </c>
      <c r="B338" s="83">
        <v>2</v>
      </c>
      <c r="C338" s="83">
        <v>5</v>
      </c>
      <c r="D338" s="78">
        <v>22</v>
      </c>
      <c r="E338" s="87" t="s">
        <v>3717</v>
      </c>
      <c r="F338" s="78">
        <v>3776000</v>
      </c>
      <c r="G338" s="78">
        <v>194245</v>
      </c>
      <c r="H338" s="66"/>
      <c r="I338" s="87">
        <f t="shared" si="30"/>
        <v>52023</v>
      </c>
    </row>
    <row r="339" customHeight="1" spans="1:9">
      <c r="A339" s="87">
        <f t="shared" si="31"/>
        <v>52023</v>
      </c>
      <c r="B339" s="83">
        <v>2</v>
      </c>
      <c r="C339" s="83">
        <v>5</v>
      </c>
      <c r="D339" s="78">
        <v>23</v>
      </c>
      <c r="E339" s="87" t="s">
        <v>3717</v>
      </c>
      <c r="F339" s="78">
        <v>3822000</v>
      </c>
      <c r="G339" s="78">
        <v>198561</v>
      </c>
      <c r="H339" s="66"/>
      <c r="I339" s="87">
        <f t="shared" si="30"/>
        <v>52024</v>
      </c>
    </row>
    <row r="340" customHeight="1" spans="1:9">
      <c r="A340" s="87">
        <f t="shared" si="31"/>
        <v>52024</v>
      </c>
      <c r="B340" s="83">
        <v>2</v>
      </c>
      <c r="C340" s="83">
        <v>5</v>
      </c>
      <c r="D340" s="78">
        <v>24</v>
      </c>
      <c r="E340" s="87" t="s">
        <v>3717</v>
      </c>
      <c r="F340" s="78">
        <v>3868000</v>
      </c>
      <c r="G340" s="78">
        <v>202878</v>
      </c>
      <c r="H340" s="66"/>
      <c r="I340" s="87">
        <f t="shared" si="30"/>
        <v>52025</v>
      </c>
    </row>
    <row r="341" customHeight="1" spans="1:9">
      <c r="A341" s="87">
        <f t="shared" si="31"/>
        <v>52025</v>
      </c>
      <c r="B341" s="83">
        <v>2</v>
      </c>
      <c r="C341" s="83">
        <v>5</v>
      </c>
      <c r="D341" s="78">
        <v>25</v>
      </c>
      <c r="E341" s="87" t="s">
        <v>3717</v>
      </c>
      <c r="F341" s="78">
        <v>3914000</v>
      </c>
      <c r="G341" s="78">
        <v>207194</v>
      </c>
      <c r="H341" s="66"/>
      <c r="I341" s="87">
        <f t="shared" si="30"/>
        <v>52026</v>
      </c>
    </row>
    <row r="342" customHeight="1" spans="1:9">
      <c r="A342" s="87">
        <f t="shared" si="31"/>
        <v>52026</v>
      </c>
      <c r="B342" s="83">
        <v>2</v>
      </c>
      <c r="C342" s="83">
        <v>5</v>
      </c>
      <c r="D342" s="78">
        <v>26</v>
      </c>
      <c r="E342" s="87" t="s">
        <v>3717</v>
      </c>
      <c r="F342" s="78">
        <v>3961000</v>
      </c>
      <c r="G342" s="78">
        <v>211511</v>
      </c>
      <c r="H342" s="66"/>
      <c r="I342" s="87">
        <f t="shared" si="30"/>
        <v>52027</v>
      </c>
    </row>
    <row r="343" customHeight="1" spans="1:9">
      <c r="A343" s="87">
        <f t="shared" si="31"/>
        <v>52027</v>
      </c>
      <c r="B343" s="83">
        <v>2</v>
      </c>
      <c r="C343" s="83">
        <v>5</v>
      </c>
      <c r="D343" s="78">
        <v>27</v>
      </c>
      <c r="E343" s="87" t="s">
        <v>3717</v>
      </c>
      <c r="F343" s="78">
        <v>4007000</v>
      </c>
      <c r="G343" s="78">
        <v>215827</v>
      </c>
      <c r="H343" s="66"/>
      <c r="I343" s="87">
        <f t="shared" si="30"/>
        <v>52028</v>
      </c>
    </row>
    <row r="344" customHeight="1" spans="1:9">
      <c r="A344" s="87">
        <f t="shared" si="31"/>
        <v>52028</v>
      </c>
      <c r="B344" s="83">
        <v>2</v>
      </c>
      <c r="C344" s="83">
        <v>5</v>
      </c>
      <c r="D344" s="78">
        <v>28</v>
      </c>
      <c r="E344" s="87" t="s">
        <v>3717</v>
      </c>
      <c r="F344" s="78">
        <v>4053000</v>
      </c>
      <c r="G344" s="78">
        <v>220144</v>
      </c>
      <c r="H344" s="66"/>
      <c r="I344" s="87">
        <f t="shared" si="30"/>
        <v>52029</v>
      </c>
    </row>
    <row r="345" customHeight="1" spans="1:9">
      <c r="A345" s="87">
        <f t="shared" si="31"/>
        <v>52029</v>
      </c>
      <c r="B345" s="83">
        <v>2</v>
      </c>
      <c r="C345" s="83">
        <v>5</v>
      </c>
      <c r="D345" s="78">
        <v>29</v>
      </c>
      <c r="E345" s="87" t="s">
        <v>3717</v>
      </c>
      <c r="F345" s="78">
        <v>4099000</v>
      </c>
      <c r="G345" s="78">
        <v>224460</v>
      </c>
      <c r="H345" s="66"/>
      <c r="I345" s="87">
        <f t="shared" si="30"/>
        <v>52030</v>
      </c>
    </row>
    <row r="346" customHeight="1" spans="1:9">
      <c r="A346" s="87">
        <f t="shared" si="31"/>
        <v>52030</v>
      </c>
      <c r="B346" s="83">
        <v>2</v>
      </c>
      <c r="C346" s="83">
        <v>5</v>
      </c>
      <c r="D346" s="78">
        <v>30</v>
      </c>
      <c r="E346" s="87" t="s">
        <v>3717</v>
      </c>
      <c r="F346" s="78"/>
      <c r="G346" s="78">
        <v>228777</v>
      </c>
      <c r="H346" s="66"/>
      <c r="I346" s="87"/>
    </row>
    <row r="347" customHeight="1" spans="1:9">
      <c r="A347" s="87">
        <f t="shared" si="31"/>
        <v>62000</v>
      </c>
      <c r="B347" s="83">
        <v>2</v>
      </c>
      <c r="C347" s="83">
        <v>6</v>
      </c>
      <c r="D347" s="78"/>
      <c r="E347" s="87" t="s">
        <v>3717</v>
      </c>
      <c r="F347" s="78">
        <v>98600000</v>
      </c>
      <c r="G347" s="78"/>
      <c r="H347" s="66"/>
      <c r="I347" s="87">
        <f t="shared" ref="I347:I376" si="32">A348</f>
        <v>62001</v>
      </c>
    </row>
    <row r="348" customHeight="1" spans="1:9">
      <c r="A348" s="87">
        <f t="shared" si="31"/>
        <v>62001</v>
      </c>
      <c r="B348" s="83">
        <v>2</v>
      </c>
      <c r="C348" s="83">
        <v>6</v>
      </c>
      <c r="D348" s="78">
        <v>1</v>
      </c>
      <c r="E348" s="87" t="s">
        <v>3717</v>
      </c>
      <c r="F348" s="78">
        <v>3442000</v>
      </c>
      <c r="G348" s="78">
        <v>172662</v>
      </c>
      <c r="H348" s="66"/>
      <c r="I348" s="87">
        <f t="shared" si="32"/>
        <v>62002</v>
      </c>
    </row>
    <row r="349" customHeight="1" spans="1:9">
      <c r="A349" s="87">
        <f t="shared" si="31"/>
        <v>62002</v>
      </c>
      <c r="B349" s="83">
        <v>2</v>
      </c>
      <c r="C349" s="83">
        <v>6</v>
      </c>
      <c r="D349" s="78">
        <v>2</v>
      </c>
      <c r="E349" s="87" t="s">
        <v>3717</v>
      </c>
      <c r="F349" s="78">
        <v>3514000</v>
      </c>
      <c r="G349" s="78">
        <v>179137</v>
      </c>
      <c r="H349" s="66"/>
      <c r="I349" s="87">
        <f t="shared" si="32"/>
        <v>62003</v>
      </c>
    </row>
    <row r="350" customHeight="1" spans="1:9">
      <c r="A350" s="87">
        <f t="shared" si="31"/>
        <v>62003</v>
      </c>
      <c r="B350" s="83">
        <v>2</v>
      </c>
      <c r="C350" s="83">
        <v>6</v>
      </c>
      <c r="D350" s="78">
        <v>3</v>
      </c>
      <c r="E350" s="87" t="s">
        <v>3717</v>
      </c>
      <c r="F350" s="78">
        <v>3586000</v>
      </c>
      <c r="G350" s="78">
        <v>185612</v>
      </c>
      <c r="H350" s="66"/>
      <c r="I350" s="87">
        <f t="shared" si="32"/>
        <v>62004</v>
      </c>
    </row>
    <row r="351" customHeight="1" spans="1:9">
      <c r="A351" s="87">
        <f t="shared" si="31"/>
        <v>62004</v>
      </c>
      <c r="B351" s="83">
        <v>2</v>
      </c>
      <c r="C351" s="83">
        <v>6</v>
      </c>
      <c r="D351" s="78">
        <v>4</v>
      </c>
      <c r="E351" s="87" t="s">
        <v>3717</v>
      </c>
      <c r="F351" s="78">
        <v>3658000</v>
      </c>
      <c r="G351" s="78">
        <v>192086</v>
      </c>
      <c r="H351" s="66"/>
      <c r="I351" s="87">
        <f t="shared" si="32"/>
        <v>62005</v>
      </c>
    </row>
    <row r="352" customHeight="1" spans="1:9">
      <c r="A352" s="87">
        <f t="shared" si="31"/>
        <v>62005</v>
      </c>
      <c r="B352" s="83">
        <v>2</v>
      </c>
      <c r="C352" s="83">
        <v>6</v>
      </c>
      <c r="D352" s="78">
        <v>5</v>
      </c>
      <c r="E352" s="87" t="s">
        <v>3717</v>
      </c>
      <c r="F352" s="78">
        <v>3730000</v>
      </c>
      <c r="G352" s="78">
        <v>198561</v>
      </c>
      <c r="H352" s="66"/>
      <c r="I352" s="87">
        <f t="shared" si="32"/>
        <v>62006</v>
      </c>
    </row>
    <row r="353" customHeight="1" spans="1:9">
      <c r="A353" s="87">
        <f t="shared" si="31"/>
        <v>62006</v>
      </c>
      <c r="B353" s="83">
        <v>2</v>
      </c>
      <c r="C353" s="83">
        <v>6</v>
      </c>
      <c r="D353" s="78">
        <v>6</v>
      </c>
      <c r="E353" s="87" t="s">
        <v>3717</v>
      </c>
      <c r="F353" s="78">
        <v>3802000</v>
      </c>
      <c r="G353" s="78">
        <v>205036</v>
      </c>
      <c r="H353" s="66"/>
      <c r="I353" s="87">
        <f t="shared" si="32"/>
        <v>62007</v>
      </c>
    </row>
    <row r="354" customHeight="1" spans="1:9">
      <c r="A354" s="87">
        <f t="shared" si="31"/>
        <v>62007</v>
      </c>
      <c r="B354" s="83">
        <v>2</v>
      </c>
      <c r="C354" s="83">
        <v>6</v>
      </c>
      <c r="D354" s="78">
        <v>7</v>
      </c>
      <c r="E354" s="87" t="s">
        <v>3717</v>
      </c>
      <c r="F354" s="78">
        <v>3874000</v>
      </c>
      <c r="G354" s="78">
        <v>211511</v>
      </c>
      <c r="H354" s="66"/>
      <c r="I354" s="87">
        <f t="shared" si="32"/>
        <v>62008</v>
      </c>
    </row>
    <row r="355" customHeight="1" spans="1:9">
      <c r="A355" s="87">
        <f t="shared" si="31"/>
        <v>62008</v>
      </c>
      <c r="B355" s="83">
        <v>2</v>
      </c>
      <c r="C355" s="83">
        <v>6</v>
      </c>
      <c r="D355" s="78">
        <v>8</v>
      </c>
      <c r="E355" s="87" t="s">
        <v>3717</v>
      </c>
      <c r="F355" s="78">
        <v>3946000</v>
      </c>
      <c r="G355" s="78">
        <v>217986</v>
      </c>
      <c r="H355" s="66"/>
      <c r="I355" s="87">
        <f t="shared" si="32"/>
        <v>62009</v>
      </c>
    </row>
    <row r="356" customHeight="1" spans="1:9">
      <c r="A356" s="87">
        <f t="shared" si="31"/>
        <v>62009</v>
      </c>
      <c r="B356" s="83">
        <v>2</v>
      </c>
      <c r="C356" s="83">
        <v>6</v>
      </c>
      <c r="D356" s="78">
        <v>9</v>
      </c>
      <c r="E356" s="87" t="s">
        <v>3717</v>
      </c>
      <c r="F356" s="78">
        <v>3998000</v>
      </c>
      <c r="G356" s="78">
        <v>224460</v>
      </c>
      <c r="H356" s="66"/>
      <c r="I356" s="87">
        <f t="shared" si="32"/>
        <v>62010</v>
      </c>
    </row>
    <row r="357" customHeight="1" spans="1:9">
      <c r="A357" s="87">
        <f t="shared" si="31"/>
        <v>62010</v>
      </c>
      <c r="B357" s="83">
        <v>2</v>
      </c>
      <c r="C357" s="83">
        <v>6</v>
      </c>
      <c r="D357" s="78">
        <v>10</v>
      </c>
      <c r="E357" s="87" t="s">
        <v>3717</v>
      </c>
      <c r="F357" s="78">
        <v>4051000</v>
      </c>
      <c r="G357" s="78">
        <v>230935</v>
      </c>
      <c r="H357" s="66"/>
      <c r="I357" s="87">
        <f t="shared" si="32"/>
        <v>62011</v>
      </c>
    </row>
    <row r="358" customHeight="1" spans="1:9">
      <c r="A358" s="87">
        <f t="shared" si="31"/>
        <v>62011</v>
      </c>
      <c r="B358" s="83">
        <v>2</v>
      </c>
      <c r="C358" s="83">
        <v>6</v>
      </c>
      <c r="D358" s="78">
        <v>11</v>
      </c>
      <c r="E358" s="87" t="s">
        <v>3717</v>
      </c>
      <c r="F358" s="78">
        <v>4104000</v>
      </c>
      <c r="G358" s="78">
        <v>237410</v>
      </c>
      <c r="H358" s="66"/>
      <c r="I358" s="87">
        <f t="shared" si="32"/>
        <v>62012</v>
      </c>
    </row>
    <row r="359" customHeight="1" spans="1:9">
      <c r="A359" s="87">
        <f t="shared" si="31"/>
        <v>62012</v>
      </c>
      <c r="B359" s="83">
        <v>2</v>
      </c>
      <c r="C359" s="83">
        <v>6</v>
      </c>
      <c r="D359" s="78">
        <v>12</v>
      </c>
      <c r="E359" s="87" t="s">
        <v>3717</v>
      </c>
      <c r="F359" s="78">
        <v>4157000</v>
      </c>
      <c r="G359" s="78">
        <v>243885</v>
      </c>
      <c r="H359" s="66"/>
      <c r="I359" s="87">
        <f t="shared" si="32"/>
        <v>62013</v>
      </c>
    </row>
    <row r="360" customHeight="1" spans="1:9">
      <c r="A360" s="87">
        <f t="shared" si="31"/>
        <v>62013</v>
      </c>
      <c r="B360" s="83">
        <v>2</v>
      </c>
      <c r="C360" s="83">
        <v>6</v>
      </c>
      <c r="D360" s="78">
        <v>13</v>
      </c>
      <c r="E360" s="87" t="s">
        <v>3717</v>
      </c>
      <c r="F360" s="78">
        <v>4210000</v>
      </c>
      <c r="G360" s="78">
        <v>250360</v>
      </c>
      <c r="H360" s="66"/>
      <c r="I360" s="87">
        <f t="shared" si="32"/>
        <v>62014</v>
      </c>
    </row>
    <row r="361" customHeight="1" spans="1:9">
      <c r="A361" s="87">
        <f t="shared" si="31"/>
        <v>62014</v>
      </c>
      <c r="B361" s="83">
        <v>2</v>
      </c>
      <c r="C361" s="83">
        <v>6</v>
      </c>
      <c r="D361" s="78">
        <v>14</v>
      </c>
      <c r="E361" s="87" t="s">
        <v>3717</v>
      </c>
      <c r="F361" s="78">
        <v>4262000</v>
      </c>
      <c r="G361" s="78">
        <v>256835</v>
      </c>
      <c r="H361" s="66"/>
      <c r="I361" s="87">
        <f t="shared" si="32"/>
        <v>62015</v>
      </c>
    </row>
    <row r="362" customHeight="1" spans="1:9">
      <c r="A362" s="87">
        <f t="shared" si="31"/>
        <v>62015</v>
      </c>
      <c r="B362" s="83">
        <v>2</v>
      </c>
      <c r="C362" s="83">
        <v>6</v>
      </c>
      <c r="D362" s="78">
        <v>15</v>
      </c>
      <c r="E362" s="87" t="s">
        <v>3717</v>
      </c>
      <c r="F362" s="78">
        <v>4315000</v>
      </c>
      <c r="G362" s="78">
        <v>263309</v>
      </c>
      <c r="H362" s="66"/>
      <c r="I362" s="87">
        <f t="shared" si="32"/>
        <v>62016</v>
      </c>
    </row>
    <row r="363" customHeight="1" spans="1:9">
      <c r="A363" s="87">
        <f t="shared" si="31"/>
        <v>62016</v>
      </c>
      <c r="B363" s="83">
        <v>2</v>
      </c>
      <c r="C363" s="83">
        <v>6</v>
      </c>
      <c r="D363" s="78">
        <v>16</v>
      </c>
      <c r="E363" s="87" t="s">
        <v>3717</v>
      </c>
      <c r="F363" s="78">
        <v>4368000</v>
      </c>
      <c r="G363" s="78">
        <v>269784</v>
      </c>
      <c r="H363" s="66"/>
      <c r="I363" s="87">
        <f t="shared" si="32"/>
        <v>62017</v>
      </c>
    </row>
    <row r="364" customHeight="1" spans="1:9">
      <c r="A364" s="87">
        <f t="shared" si="31"/>
        <v>62017</v>
      </c>
      <c r="B364" s="83">
        <v>2</v>
      </c>
      <c r="C364" s="83">
        <v>6</v>
      </c>
      <c r="D364" s="78">
        <v>17</v>
      </c>
      <c r="E364" s="87" t="s">
        <v>3717</v>
      </c>
      <c r="F364" s="78">
        <v>4421000</v>
      </c>
      <c r="G364" s="78">
        <v>276259</v>
      </c>
      <c r="H364" s="66"/>
      <c r="I364" s="87">
        <f t="shared" si="32"/>
        <v>62018</v>
      </c>
    </row>
    <row r="365" customHeight="1" spans="1:9">
      <c r="A365" s="87">
        <f t="shared" si="31"/>
        <v>62018</v>
      </c>
      <c r="B365" s="83">
        <v>2</v>
      </c>
      <c r="C365" s="83">
        <v>6</v>
      </c>
      <c r="D365" s="78">
        <v>18</v>
      </c>
      <c r="E365" s="87" t="s">
        <v>3717</v>
      </c>
      <c r="F365" s="78">
        <v>4474000</v>
      </c>
      <c r="G365" s="78">
        <v>282734</v>
      </c>
      <c r="H365" s="66"/>
      <c r="I365" s="87">
        <f t="shared" si="32"/>
        <v>62019</v>
      </c>
    </row>
    <row r="366" customHeight="1" spans="1:9">
      <c r="A366" s="87">
        <f t="shared" si="31"/>
        <v>62019</v>
      </c>
      <c r="B366" s="83">
        <v>2</v>
      </c>
      <c r="C366" s="83">
        <v>6</v>
      </c>
      <c r="D366" s="78">
        <v>19</v>
      </c>
      <c r="E366" s="87" t="s">
        <v>3717</v>
      </c>
      <c r="F366" s="78">
        <v>4526000</v>
      </c>
      <c r="G366" s="78">
        <v>289209</v>
      </c>
      <c r="H366" s="66"/>
      <c r="I366" s="87">
        <f t="shared" si="32"/>
        <v>62020</v>
      </c>
    </row>
    <row r="367" customHeight="1" spans="1:9">
      <c r="A367" s="87">
        <f t="shared" si="31"/>
        <v>62020</v>
      </c>
      <c r="B367" s="83">
        <v>2</v>
      </c>
      <c r="C367" s="83">
        <v>6</v>
      </c>
      <c r="D367" s="78">
        <v>20</v>
      </c>
      <c r="E367" s="87" t="s">
        <v>3717</v>
      </c>
      <c r="F367" s="78">
        <v>4579000</v>
      </c>
      <c r="G367" s="78">
        <v>295683</v>
      </c>
      <c r="H367" s="66"/>
      <c r="I367" s="87">
        <f t="shared" si="32"/>
        <v>62021</v>
      </c>
    </row>
    <row r="368" customHeight="1" spans="1:9">
      <c r="A368" s="87">
        <f t="shared" si="31"/>
        <v>62021</v>
      </c>
      <c r="B368" s="83">
        <v>2</v>
      </c>
      <c r="C368" s="83">
        <v>6</v>
      </c>
      <c r="D368" s="78">
        <v>21</v>
      </c>
      <c r="E368" s="87" t="s">
        <v>3717</v>
      </c>
      <c r="F368" s="78">
        <v>4632000</v>
      </c>
      <c r="G368" s="78">
        <v>302158</v>
      </c>
      <c r="H368" s="66"/>
      <c r="I368" s="87">
        <f t="shared" si="32"/>
        <v>62022</v>
      </c>
    </row>
    <row r="369" customHeight="1" spans="1:9">
      <c r="A369" s="87">
        <f t="shared" si="31"/>
        <v>62022</v>
      </c>
      <c r="B369" s="83">
        <v>2</v>
      </c>
      <c r="C369" s="83">
        <v>6</v>
      </c>
      <c r="D369" s="78">
        <v>22</v>
      </c>
      <c r="E369" s="87" t="s">
        <v>3717</v>
      </c>
      <c r="F369" s="78">
        <v>4685000</v>
      </c>
      <c r="G369" s="78">
        <v>308633</v>
      </c>
      <c r="H369" s="66"/>
      <c r="I369" s="87">
        <f t="shared" si="32"/>
        <v>62023</v>
      </c>
    </row>
    <row r="370" customHeight="1" spans="1:9">
      <c r="A370" s="87">
        <f t="shared" si="31"/>
        <v>62023</v>
      </c>
      <c r="B370" s="83">
        <v>2</v>
      </c>
      <c r="C370" s="83">
        <v>6</v>
      </c>
      <c r="D370" s="78">
        <v>23</v>
      </c>
      <c r="E370" s="87" t="s">
        <v>3717</v>
      </c>
      <c r="F370" s="78">
        <v>4738000</v>
      </c>
      <c r="G370" s="78">
        <v>315108</v>
      </c>
      <c r="H370" s="66"/>
      <c r="I370" s="87">
        <f t="shared" si="32"/>
        <v>62024</v>
      </c>
    </row>
    <row r="371" customHeight="1" spans="1:9">
      <c r="A371" s="87">
        <f t="shared" si="31"/>
        <v>62024</v>
      </c>
      <c r="B371" s="83">
        <v>2</v>
      </c>
      <c r="C371" s="83">
        <v>6</v>
      </c>
      <c r="D371" s="78">
        <v>24</v>
      </c>
      <c r="E371" s="87" t="s">
        <v>3717</v>
      </c>
      <c r="F371" s="78">
        <v>4766000</v>
      </c>
      <c r="G371" s="78">
        <v>321583</v>
      </c>
      <c r="H371" s="66"/>
      <c r="I371" s="87">
        <f t="shared" si="32"/>
        <v>62025</v>
      </c>
    </row>
    <row r="372" customHeight="1" spans="1:9">
      <c r="A372" s="87">
        <f t="shared" si="31"/>
        <v>62025</v>
      </c>
      <c r="B372" s="83">
        <v>2</v>
      </c>
      <c r="C372" s="83">
        <v>6</v>
      </c>
      <c r="D372" s="78">
        <v>25</v>
      </c>
      <c r="E372" s="87" t="s">
        <v>3717</v>
      </c>
      <c r="F372" s="78">
        <v>4795000</v>
      </c>
      <c r="G372" s="78">
        <v>328058</v>
      </c>
      <c r="H372" s="66"/>
      <c r="I372" s="87">
        <f t="shared" si="32"/>
        <v>62026</v>
      </c>
    </row>
    <row r="373" customHeight="1" spans="1:9">
      <c r="A373" s="87">
        <f t="shared" si="31"/>
        <v>62026</v>
      </c>
      <c r="B373" s="83">
        <v>2</v>
      </c>
      <c r="C373" s="83">
        <v>6</v>
      </c>
      <c r="D373" s="78">
        <v>26</v>
      </c>
      <c r="E373" s="87" t="s">
        <v>3717</v>
      </c>
      <c r="F373" s="78">
        <v>4824000</v>
      </c>
      <c r="G373" s="78">
        <v>334532</v>
      </c>
      <c r="H373" s="66"/>
      <c r="I373" s="87">
        <f t="shared" si="32"/>
        <v>62027</v>
      </c>
    </row>
    <row r="374" customHeight="1" spans="1:9">
      <c r="A374" s="87">
        <f t="shared" si="31"/>
        <v>62027</v>
      </c>
      <c r="B374" s="83">
        <v>2</v>
      </c>
      <c r="C374" s="83">
        <v>6</v>
      </c>
      <c r="D374" s="78">
        <v>27</v>
      </c>
      <c r="E374" s="87" t="s">
        <v>3717</v>
      </c>
      <c r="F374" s="78">
        <v>4853000</v>
      </c>
      <c r="G374" s="78">
        <v>341007</v>
      </c>
      <c r="H374" s="66"/>
      <c r="I374" s="87">
        <f t="shared" si="32"/>
        <v>62028</v>
      </c>
    </row>
    <row r="375" customHeight="1" spans="1:9">
      <c r="A375" s="87">
        <f t="shared" si="31"/>
        <v>62028</v>
      </c>
      <c r="B375" s="83">
        <v>2</v>
      </c>
      <c r="C375" s="83">
        <v>6</v>
      </c>
      <c r="D375" s="78">
        <v>28</v>
      </c>
      <c r="E375" s="87" t="s">
        <v>3717</v>
      </c>
      <c r="F375" s="78">
        <v>4882000</v>
      </c>
      <c r="G375" s="78">
        <v>347482</v>
      </c>
      <c r="H375" s="66"/>
      <c r="I375" s="87">
        <f t="shared" si="32"/>
        <v>62029</v>
      </c>
    </row>
    <row r="376" customHeight="1" spans="1:9">
      <c r="A376" s="87">
        <f t="shared" si="31"/>
        <v>62029</v>
      </c>
      <c r="B376" s="83">
        <v>2</v>
      </c>
      <c r="C376" s="83">
        <v>6</v>
      </c>
      <c r="D376" s="78">
        <v>29</v>
      </c>
      <c r="E376" s="87" t="s">
        <v>3717</v>
      </c>
      <c r="F376" s="78">
        <v>4910000</v>
      </c>
      <c r="G376" s="78">
        <v>353957</v>
      </c>
      <c r="H376" s="66"/>
      <c r="I376" s="87">
        <f t="shared" si="32"/>
        <v>62030</v>
      </c>
    </row>
    <row r="377" customHeight="1" spans="1:9">
      <c r="A377" s="87">
        <f t="shared" si="31"/>
        <v>62030</v>
      </c>
      <c r="B377" s="83">
        <v>2</v>
      </c>
      <c r="C377" s="83">
        <v>6</v>
      </c>
      <c r="D377" s="78">
        <v>30</v>
      </c>
      <c r="E377" s="87" t="s">
        <v>3717</v>
      </c>
      <c r="F377" s="78"/>
      <c r="G377" s="78">
        <v>360432</v>
      </c>
      <c r="H377" s="66"/>
      <c r="I377" s="87"/>
    </row>
    <row r="378" customHeight="1" spans="1:9">
      <c r="A378" s="87">
        <f t="shared" si="31"/>
        <v>13000</v>
      </c>
      <c r="B378" s="87">
        <v>3</v>
      </c>
      <c r="C378" s="87">
        <v>1</v>
      </c>
      <c r="D378" s="78"/>
      <c r="E378" s="87" t="s">
        <v>3717</v>
      </c>
      <c r="F378" s="78">
        <v>0</v>
      </c>
      <c r="G378" s="78"/>
      <c r="H378" s="56"/>
      <c r="I378" s="87">
        <f t="shared" ref="I378:I407" si="33">A379</f>
        <v>13001</v>
      </c>
    </row>
    <row r="379" customHeight="1" spans="1:9">
      <c r="A379" s="87">
        <f t="shared" si="31"/>
        <v>13001</v>
      </c>
      <c r="B379" s="87">
        <v>3</v>
      </c>
      <c r="C379" s="87">
        <v>1</v>
      </c>
      <c r="D379" s="78">
        <v>1</v>
      </c>
      <c r="E379" s="87" t="s">
        <v>3717</v>
      </c>
      <c r="F379" s="78">
        <v>0</v>
      </c>
      <c r="G379" s="78">
        <v>65789</v>
      </c>
      <c r="H379" s="56"/>
      <c r="I379" s="87">
        <f t="shared" si="33"/>
        <v>13002</v>
      </c>
    </row>
    <row r="380" customHeight="1" spans="1:9">
      <c r="A380" s="87">
        <f t="shared" si="31"/>
        <v>13002</v>
      </c>
      <c r="B380" s="87">
        <v>3</v>
      </c>
      <c r="C380" s="87">
        <f t="shared" ref="C380:C408" si="34">C379</f>
        <v>1</v>
      </c>
      <c r="D380" s="78">
        <v>2</v>
      </c>
      <c r="E380" s="87" t="s">
        <v>3717</v>
      </c>
      <c r="F380" s="78">
        <v>2200000</v>
      </c>
      <c r="G380" s="78">
        <v>78947</v>
      </c>
      <c r="H380" s="56"/>
      <c r="I380" s="87">
        <f t="shared" si="33"/>
        <v>13003</v>
      </c>
    </row>
    <row r="381" customHeight="1" spans="1:9">
      <c r="A381" s="87">
        <f t="shared" si="31"/>
        <v>13003</v>
      </c>
      <c r="B381" s="87">
        <v>3</v>
      </c>
      <c r="C381" s="87">
        <f t="shared" si="34"/>
        <v>1</v>
      </c>
      <c r="D381" s="78">
        <v>3</v>
      </c>
      <c r="E381" s="87" t="s">
        <v>3717</v>
      </c>
      <c r="F381" s="78">
        <v>2500000</v>
      </c>
      <c r="G381" s="78">
        <v>92105</v>
      </c>
      <c r="H381" s="56"/>
      <c r="I381" s="87">
        <f t="shared" si="33"/>
        <v>13004</v>
      </c>
    </row>
    <row r="382" customHeight="1" spans="1:9">
      <c r="A382" s="87">
        <f t="shared" si="31"/>
        <v>13004</v>
      </c>
      <c r="B382" s="87">
        <v>3</v>
      </c>
      <c r="C382" s="87">
        <f t="shared" si="34"/>
        <v>1</v>
      </c>
      <c r="D382" s="78">
        <v>4</v>
      </c>
      <c r="E382" s="87" t="s">
        <v>3717</v>
      </c>
      <c r="F382" s="78">
        <v>2900000</v>
      </c>
      <c r="G382" s="78">
        <v>105263</v>
      </c>
      <c r="H382" s="56"/>
      <c r="I382" s="87">
        <f t="shared" si="33"/>
        <v>13005</v>
      </c>
    </row>
    <row r="383" customHeight="1" spans="1:9">
      <c r="A383" s="87">
        <f t="shared" si="31"/>
        <v>13005</v>
      </c>
      <c r="B383" s="87">
        <v>3</v>
      </c>
      <c r="C383" s="87">
        <f t="shared" si="34"/>
        <v>1</v>
      </c>
      <c r="D383" s="78">
        <v>5</v>
      </c>
      <c r="E383" s="87" t="s">
        <v>3717</v>
      </c>
      <c r="F383" s="78">
        <v>3200000</v>
      </c>
      <c r="G383" s="78">
        <v>118421</v>
      </c>
      <c r="H383" s="56"/>
      <c r="I383" s="87">
        <f t="shared" si="33"/>
        <v>13006</v>
      </c>
    </row>
    <row r="384" customHeight="1" spans="1:9">
      <c r="A384" s="87">
        <f t="shared" si="31"/>
        <v>13006</v>
      </c>
      <c r="B384" s="87">
        <v>3</v>
      </c>
      <c r="C384" s="87">
        <f t="shared" si="34"/>
        <v>1</v>
      </c>
      <c r="D384" s="78">
        <v>6</v>
      </c>
      <c r="E384" s="87" t="s">
        <v>3717</v>
      </c>
      <c r="F384" s="78">
        <v>3600000</v>
      </c>
      <c r="G384" s="78">
        <v>131579</v>
      </c>
      <c r="H384" s="56"/>
      <c r="I384" s="87">
        <f t="shared" si="33"/>
        <v>13007</v>
      </c>
    </row>
    <row r="385" customHeight="1" spans="1:9">
      <c r="A385" s="87">
        <f t="shared" si="31"/>
        <v>13007</v>
      </c>
      <c r="B385" s="87">
        <v>3</v>
      </c>
      <c r="C385" s="87">
        <f t="shared" si="34"/>
        <v>1</v>
      </c>
      <c r="D385" s="78">
        <v>7</v>
      </c>
      <c r="E385" s="87" t="s">
        <v>3717</v>
      </c>
      <c r="F385" s="78">
        <v>4000000</v>
      </c>
      <c r="G385" s="78">
        <v>144737</v>
      </c>
      <c r="H385" s="56"/>
      <c r="I385" s="87">
        <f t="shared" si="33"/>
        <v>13008</v>
      </c>
    </row>
    <row r="386" customHeight="1" spans="1:9">
      <c r="A386" s="87">
        <f t="shared" si="31"/>
        <v>13008</v>
      </c>
      <c r="B386" s="87">
        <v>3</v>
      </c>
      <c r="C386" s="87">
        <f t="shared" si="34"/>
        <v>1</v>
      </c>
      <c r="D386" s="78">
        <v>8</v>
      </c>
      <c r="E386" s="87" t="s">
        <v>3717</v>
      </c>
      <c r="F386" s="78">
        <v>4300000</v>
      </c>
      <c r="G386" s="78">
        <v>157895</v>
      </c>
      <c r="H386" s="56"/>
      <c r="I386" s="87">
        <f t="shared" si="33"/>
        <v>13009</v>
      </c>
    </row>
    <row r="387" customHeight="1" spans="1:9">
      <c r="A387" s="87">
        <f t="shared" si="31"/>
        <v>13009</v>
      </c>
      <c r="B387" s="87">
        <v>3</v>
      </c>
      <c r="C387" s="87">
        <f t="shared" si="34"/>
        <v>1</v>
      </c>
      <c r="D387" s="78">
        <v>9</v>
      </c>
      <c r="E387" s="87" t="s">
        <v>3717</v>
      </c>
      <c r="F387" s="78">
        <v>4700000</v>
      </c>
      <c r="G387" s="78">
        <v>171053</v>
      </c>
      <c r="H387" s="56"/>
      <c r="I387" s="87">
        <f t="shared" si="33"/>
        <v>13010</v>
      </c>
    </row>
    <row r="388" customHeight="1" spans="1:9">
      <c r="A388" s="87">
        <f t="shared" si="31"/>
        <v>13010</v>
      </c>
      <c r="B388" s="87">
        <v>3</v>
      </c>
      <c r="C388" s="87">
        <f t="shared" si="34"/>
        <v>1</v>
      </c>
      <c r="D388" s="78">
        <v>10</v>
      </c>
      <c r="E388" s="87" t="s">
        <v>3717</v>
      </c>
      <c r="F388" s="78">
        <v>10400000</v>
      </c>
      <c r="G388" s="78">
        <v>184211</v>
      </c>
      <c r="H388" s="56"/>
      <c r="I388" s="87">
        <f t="shared" si="33"/>
        <v>13011</v>
      </c>
    </row>
    <row r="389" customHeight="1" spans="1:9">
      <c r="A389" s="87">
        <f t="shared" si="31"/>
        <v>13011</v>
      </c>
      <c r="B389" s="87">
        <v>3</v>
      </c>
      <c r="C389" s="87">
        <f t="shared" si="34"/>
        <v>1</v>
      </c>
      <c r="D389" s="78">
        <v>11</v>
      </c>
      <c r="E389" s="87" t="s">
        <v>3717</v>
      </c>
      <c r="F389" s="78">
        <v>11500000</v>
      </c>
      <c r="G389" s="78">
        <v>197368</v>
      </c>
      <c r="H389" s="56"/>
      <c r="I389" s="87">
        <f t="shared" si="33"/>
        <v>13012</v>
      </c>
    </row>
    <row r="390" customHeight="1" spans="1:9">
      <c r="A390" s="87">
        <f t="shared" ref="A390:A453" si="35">C390*10000+B390*1000+D390</f>
        <v>13012</v>
      </c>
      <c r="B390" s="87">
        <v>3</v>
      </c>
      <c r="C390" s="87">
        <f t="shared" si="34"/>
        <v>1</v>
      </c>
      <c r="D390" s="78">
        <v>12</v>
      </c>
      <c r="E390" s="87" t="s">
        <v>3717</v>
      </c>
      <c r="F390" s="78">
        <v>12600000</v>
      </c>
      <c r="G390" s="78">
        <v>210526</v>
      </c>
      <c r="H390" s="56"/>
      <c r="I390" s="87">
        <f t="shared" si="33"/>
        <v>13013</v>
      </c>
    </row>
    <row r="391" customHeight="1" spans="1:9">
      <c r="A391" s="87">
        <f t="shared" si="35"/>
        <v>13013</v>
      </c>
      <c r="B391" s="87">
        <v>3</v>
      </c>
      <c r="C391" s="87">
        <f t="shared" si="34"/>
        <v>1</v>
      </c>
      <c r="D391" s="78">
        <v>13</v>
      </c>
      <c r="E391" s="87" t="s">
        <v>3717</v>
      </c>
      <c r="F391" s="78">
        <v>13700000</v>
      </c>
      <c r="G391" s="78">
        <v>223684</v>
      </c>
      <c r="H391" s="56"/>
      <c r="I391" s="87">
        <f t="shared" si="33"/>
        <v>13014</v>
      </c>
    </row>
    <row r="392" customHeight="1" spans="1:9">
      <c r="A392" s="87">
        <f t="shared" si="35"/>
        <v>13014</v>
      </c>
      <c r="B392" s="87">
        <v>3</v>
      </c>
      <c r="C392" s="87">
        <f t="shared" si="34"/>
        <v>1</v>
      </c>
      <c r="D392" s="78">
        <v>14</v>
      </c>
      <c r="E392" s="87" t="s">
        <v>3717</v>
      </c>
      <c r="F392" s="78">
        <v>14800000</v>
      </c>
      <c r="G392" s="78">
        <v>236842</v>
      </c>
      <c r="H392" s="56"/>
      <c r="I392" s="87">
        <f t="shared" si="33"/>
        <v>13015</v>
      </c>
    </row>
    <row r="393" customHeight="1" spans="1:9">
      <c r="A393" s="87">
        <f t="shared" si="35"/>
        <v>13015</v>
      </c>
      <c r="B393" s="87">
        <v>3</v>
      </c>
      <c r="C393" s="87">
        <f t="shared" si="34"/>
        <v>1</v>
      </c>
      <c r="D393" s="78">
        <v>15</v>
      </c>
      <c r="E393" s="87" t="s">
        <v>3717</v>
      </c>
      <c r="F393" s="78">
        <v>15800000</v>
      </c>
      <c r="G393" s="78">
        <v>250000</v>
      </c>
      <c r="H393" s="56"/>
      <c r="I393" s="87">
        <f t="shared" si="33"/>
        <v>13016</v>
      </c>
    </row>
    <row r="394" customHeight="1" spans="1:9">
      <c r="A394" s="87">
        <f t="shared" si="35"/>
        <v>13016</v>
      </c>
      <c r="B394" s="87">
        <v>3</v>
      </c>
      <c r="C394" s="87">
        <f t="shared" si="34"/>
        <v>1</v>
      </c>
      <c r="D394" s="78">
        <v>16</v>
      </c>
      <c r="E394" s="87" t="s">
        <v>3717</v>
      </c>
      <c r="F394" s="78">
        <v>16900000</v>
      </c>
      <c r="G394" s="78">
        <v>263158</v>
      </c>
      <c r="H394" s="56"/>
      <c r="I394" s="87">
        <f t="shared" si="33"/>
        <v>13017</v>
      </c>
    </row>
    <row r="395" customHeight="1" spans="1:9">
      <c r="A395" s="87">
        <f t="shared" si="35"/>
        <v>13017</v>
      </c>
      <c r="B395" s="87">
        <v>3</v>
      </c>
      <c r="C395" s="87">
        <f t="shared" si="34"/>
        <v>1</v>
      </c>
      <c r="D395" s="78">
        <v>17</v>
      </c>
      <c r="E395" s="87" t="s">
        <v>3717</v>
      </c>
      <c r="F395" s="78">
        <v>18000000</v>
      </c>
      <c r="G395" s="78">
        <v>276316</v>
      </c>
      <c r="H395" s="56"/>
      <c r="I395" s="87">
        <f t="shared" si="33"/>
        <v>13018</v>
      </c>
    </row>
    <row r="396" customHeight="1" spans="1:9">
      <c r="A396" s="87">
        <f t="shared" si="35"/>
        <v>13018</v>
      </c>
      <c r="B396" s="87">
        <v>3</v>
      </c>
      <c r="C396" s="87">
        <f t="shared" si="34"/>
        <v>1</v>
      </c>
      <c r="D396" s="78">
        <v>18</v>
      </c>
      <c r="E396" s="87" t="s">
        <v>3717</v>
      </c>
      <c r="F396" s="78">
        <v>19100000</v>
      </c>
      <c r="G396" s="78">
        <v>289474</v>
      </c>
      <c r="H396" s="56"/>
      <c r="I396" s="87">
        <f t="shared" si="33"/>
        <v>13019</v>
      </c>
    </row>
    <row r="397" customHeight="1" spans="1:9">
      <c r="A397" s="87">
        <f t="shared" si="35"/>
        <v>13019</v>
      </c>
      <c r="B397" s="87">
        <v>3</v>
      </c>
      <c r="C397" s="87">
        <f t="shared" si="34"/>
        <v>1</v>
      </c>
      <c r="D397" s="78">
        <v>19</v>
      </c>
      <c r="E397" s="87" t="s">
        <v>3717</v>
      </c>
      <c r="F397" s="78">
        <v>20200000</v>
      </c>
      <c r="G397" s="78">
        <v>302632</v>
      </c>
      <c r="H397" s="56"/>
      <c r="I397" s="87">
        <f t="shared" si="33"/>
        <v>13020</v>
      </c>
    </row>
    <row r="398" customHeight="1" spans="1:9">
      <c r="A398" s="87">
        <f t="shared" si="35"/>
        <v>13020</v>
      </c>
      <c r="B398" s="87">
        <v>3</v>
      </c>
      <c r="C398" s="87">
        <f t="shared" si="34"/>
        <v>1</v>
      </c>
      <c r="D398" s="78">
        <v>20</v>
      </c>
      <c r="E398" s="87" t="s">
        <v>3717</v>
      </c>
      <c r="F398" s="78">
        <v>35600000</v>
      </c>
      <c r="G398" s="78">
        <v>315789</v>
      </c>
      <c r="H398" s="56"/>
      <c r="I398" s="87">
        <f t="shared" si="33"/>
        <v>13021</v>
      </c>
    </row>
    <row r="399" customHeight="1" spans="1:9">
      <c r="A399" s="87">
        <f t="shared" si="35"/>
        <v>13021</v>
      </c>
      <c r="B399" s="87">
        <v>3</v>
      </c>
      <c r="C399" s="87">
        <f t="shared" si="34"/>
        <v>1</v>
      </c>
      <c r="D399" s="78">
        <v>21</v>
      </c>
      <c r="E399" s="87" t="s">
        <v>3717</v>
      </c>
      <c r="F399" s="78">
        <v>37800000</v>
      </c>
      <c r="G399" s="78">
        <v>328947</v>
      </c>
      <c r="H399" s="56"/>
      <c r="I399" s="87">
        <f t="shared" si="33"/>
        <v>13022</v>
      </c>
    </row>
    <row r="400" customHeight="1" spans="1:9">
      <c r="A400" s="87">
        <f t="shared" si="35"/>
        <v>13022</v>
      </c>
      <c r="B400" s="87">
        <v>3</v>
      </c>
      <c r="C400" s="87">
        <f t="shared" si="34"/>
        <v>1</v>
      </c>
      <c r="D400" s="78">
        <v>22</v>
      </c>
      <c r="E400" s="87" t="s">
        <v>3717</v>
      </c>
      <c r="F400" s="78">
        <v>40000000</v>
      </c>
      <c r="G400" s="78">
        <v>342105</v>
      </c>
      <c r="H400" s="56"/>
      <c r="I400" s="87">
        <f t="shared" si="33"/>
        <v>13023</v>
      </c>
    </row>
    <row r="401" customHeight="1" spans="1:9">
      <c r="A401" s="87">
        <f t="shared" si="35"/>
        <v>13023</v>
      </c>
      <c r="B401" s="87">
        <v>3</v>
      </c>
      <c r="C401" s="87">
        <f t="shared" si="34"/>
        <v>1</v>
      </c>
      <c r="D401" s="78">
        <v>23</v>
      </c>
      <c r="E401" s="87" t="s">
        <v>3717</v>
      </c>
      <c r="F401" s="78">
        <v>42100000</v>
      </c>
      <c r="G401" s="78">
        <v>355263</v>
      </c>
      <c r="H401" s="56"/>
      <c r="I401" s="87">
        <f t="shared" si="33"/>
        <v>13024</v>
      </c>
    </row>
    <row r="402" customHeight="1" spans="1:9">
      <c r="A402" s="87">
        <f t="shared" si="35"/>
        <v>13024</v>
      </c>
      <c r="B402" s="87">
        <v>3</v>
      </c>
      <c r="C402" s="87">
        <f t="shared" si="34"/>
        <v>1</v>
      </c>
      <c r="D402" s="78">
        <v>24</v>
      </c>
      <c r="E402" s="87" t="s">
        <v>3717</v>
      </c>
      <c r="F402" s="78">
        <v>44300000</v>
      </c>
      <c r="G402" s="78">
        <v>368421</v>
      </c>
      <c r="H402" s="56"/>
      <c r="I402" s="87">
        <f t="shared" si="33"/>
        <v>13025</v>
      </c>
    </row>
    <row r="403" customHeight="1" spans="1:9">
      <c r="A403" s="87">
        <f t="shared" si="35"/>
        <v>13025</v>
      </c>
      <c r="B403" s="87">
        <v>3</v>
      </c>
      <c r="C403" s="87">
        <f t="shared" si="34"/>
        <v>1</v>
      </c>
      <c r="D403" s="78">
        <v>25</v>
      </c>
      <c r="E403" s="87" t="s">
        <v>3717</v>
      </c>
      <c r="F403" s="78">
        <v>46400000</v>
      </c>
      <c r="G403" s="78">
        <v>381579</v>
      </c>
      <c r="H403" s="56"/>
      <c r="I403" s="87">
        <f t="shared" si="33"/>
        <v>13026</v>
      </c>
    </row>
    <row r="404" customHeight="1" spans="1:9">
      <c r="A404" s="87">
        <f t="shared" si="35"/>
        <v>13026</v>
      </c>
      <c r="B404" s="87">
        <v>3</v>
      </c>
      <c r="C404" s="87">
        <f t="shared" si="34"/>
        <v>1</v>
      </c>
      <c r="D404" s="78">
        <v>26</v>
      </c>
      <c r="E404" s="87" t="s">
        <v>3717</v>
      </c>
      <c r="F404" s="78">
        <v>48600000</v>
      </c>
      <c r="G404" s="78">
        <v>394737</v>
      </c>
      <c r="H404" s="56"/>
      <c r="I404" s="87">
        <f t="shared" si="33"/>
        <v>13027</v>
      </c>
    </row>
    <row r="405" customHeight="1" spans="1:9">
      <c r="A405" s="87">
        <f t="shared" si="35"/>
        <v>13027</v>
      </c>
      <c r="B405" s="87">
        <v>3</v>
      </c>
      <c r="C405" s="87">
        <f t="shared" si="34"/>
        <v>1</v>
      </c>
      <c r="D405" s="78">
        <v>27</v>
      </c>
      <c r="E405" s="87" t="s">
        <v>3717</v>
      </c>
      <c r="F405" s="78">
        <v>50800000</v>
      </c>
      <c r="G405" s="78">
        <v>407895</v>
      </c>
      <c r="H405" s="56"/>
      <c r="I405" s="87">
        <f t="shared" si="33"/>
        <v>13028</v>
      </c>
    </row>
    <row r="406" customHeight="1" spans="1:9">
      <c r="A406" s="87">
        <f t="shared" si="35"/>
        <v>13028</v>
      </c>
      <c r="B406" s="87">
        <v>3</v>
      </c>
      <c r="C406" s="87">
        <f t="shared" si="34"/>
        <v>1</v>
      </c>
      <c r="D406" s="78">
        <v>28</v>
      </c>
      <c r="E406" s="87" t="s">
        <v>3717</v>
      </c>
      <c r="F406" s="78">
        <v>52900000</v>
      </c>
      <c r="G406" s="78">
        <v>421053</v>
      </c>
      <c r="H406" s="56"/>
      <c r="I406" s="87">
        <f t="shared" si="33"/>
        <v>13029</v>
      </c>
    </row>
    <row r="407" customHeight="1" spans="1:9">
      <c r="A407" s="87">
        <f t="shared" si="35"/>
        <v>13029</v>
      </c>
      <c r="B407" s="87">
        <v>3</v>
      </c>
      <c r="C407" s="87">
        <f t="shared" si="34"/>
        <v>1</v>
      </c>
      <c r="D407" s="78">
        <v>29</v>
      </c>
      <c r="E407" s="87" t="s">
        <v>3717</v>
      </c>
      <c r="F407" s="78">
        <v>55100000</v>
      </c>
      <c r="G407" s="78">
        <v>434211</v>
      </c>
      <c r="H407" s="56"/>
      <c r="I407" s="87">
        <f t="shared" si="33"/>
        <v>13030</v>
      </c>
    </row>
    <row r="408" customHeight="1" spans="1:9">
      <c r="A408" s="87">
        <f t="shared" si="35"/>
        <v>13030</v>
      </c>
      <c r="B408" s="87">
        <v>3</v>
      </c>
      <c r="C408" s="87">
        <f t="shared" si="34"/>
        <v>1</v>
      </c>
      <c r="D408" s="78">
        <v>30</v>
      </c>
      <c r="E408" s="87" t="s">
        <v>3717</v>
      </c>
      <c r="F408" s="78"/>
      <c r="G408" s="78">
        <v>447368</v>
      </c>
      <c r="H408" s="56"/>
      <c r="I408" s="87"/>
    </row>
    <row r="409" customHeight="1" spans="1:9">
      <c r="A409" s="87">
        <f t="shared" si="35"/>
        <v>23000</v>
      </c>
      <c r="B409" s="87">
        <v>3</v>
      </c>
      <c r="C409" s="87">
        <v>2</v>
      </c>
      <c r="D409" s="78"/>
      <c r="E409" s="87" t="s">
        <v>3717</v>
      </c>
      <c r="F409" s="78">
        <v>40000000</v>
      </c>
      <c r="G409" s="78"/>
      <c r="H409" s="56"/>
      <c r="I409" s="87">
        <f t="shared" ref="I409:I438" si="36">A410</f>
        <v>23001</v>
      </c>
    </row>
    <row r="410" customHeight="1" spans="1:9">
      <c r="A410" s="87">
        <f t="shared" si="35"/>
        <v>23001</v>
      </c>
      <c r="B410" s="87">
        <v>3</v>
      </c>
      <c r="C410" s="87">
        <v>2</v>
      </c>
      <c r="D410" s="78">
        <v>1</v>
      </c>
      <c r="E410" s="87" t="s">
        <v>3717</v>
      </c>
      <c r="F410" s="78">
        <v>7000000</v>
      </c>
      <c r="G410" s="78">
        <v>394737</v>
      </c>
      <c r="H410" s="56"/>
      <c r="I410" s="87">
        <f t="shared" si="36"/>
        <v>23002</v>
      </c>
    </row>
    <row r="411" customHeight="1" spans="1:9">
      <c r="A411" s="87">
        <f t="shared" si="35"/>
        <v>23002</v>
      </c>
      <c r="B411" s="87">
        <v>3</v>
      </c>
      <c r="C411" s="87">
        <f t="shared" ref="C411:C439" si="37">C410</f>
        <v>2</v>
      </c>
      <c r="D411" s="78">
        <v>2</v>
      </c>
      <c r="E411" s="87" t="s">
        <v>3717</v>
      </c>
      <c r="F411" s="78">
        <v>7700000</v>
      </c>
      <c r="G411" s="78">
        <v>447368</v>
      </c>
      <c r="H411" s="56"/>
      <c r="I411" s="87">
        <f t="shared" si="36"/>
        <v>23003</v>
      </c>
    </row>
    <row r="412" customHeight="1" spans="1:9">
      <c r="A412" s="87">
        <f t="shared" si="35"/>
        <v>23003</v>
      </c>
      <c r="B412" s="87">
        <v>3</v>
      </c>
      <c r="C412" s="87">
        <f t="shared" si="37"/>
        <v>2</v>
      </c>
      <c r="D412" s="78">
        <v>3</v>
      </c>
      <c r="E412" s="87" t="s">
        <v>3717</v>
      </c>
      <c r="F412" s="78">
        <v>8400000</v>
      </c>
      <c r="G412" s="78">
        <v>500000</v>
      </c>
      <c r="H412" s="56"/>
      <c r="I412" s="87">
        <f t="shared" si="36"/>
        <v>23004</v>
      </c>
    </row>
    <row r="413" customHeight="1" spans="1:9">
      <c r="A413" s="87">
        <f t="shared" si="35"/>
        <v>23004</v>
      </c>
      <c r="B413" s="87">
        <v>3</v>
      </c>
      <c r="C413" s="87">
        <f t="shared" si="37"/>
        <v>2</v>
      </c>
      <c r="D413" s="78">
        <v>4</v>
      </c>
      <c r="E413" s="87" t="s">
        <v>3717</v>
      </c>
      <c r="F413" s="78">
        <v>9100000</v>
      </c>
      <c r="G413" s="78">
        <v>552632</v>
      </c>
      <c r="H413" s="56"/>
      <c r="I413" s="87">
        <f t="shared" si="36"/>
        <v>23005</v>
      </c>
    </row>
    <row r="414" customHeight="1" spans="1:9">
      <c r="A414" s="87">
        <f t="shared" si="35"/>
        <v>23005</v>
      </c>
      <c r="B414" s="87">
        <v>3</v>
      </c>
      <c r="C414" s="87">
        <f t="shared" si="37"/>
        <v>2</v>
      </c>
      <c r="D414" s="78">
        <v>5</v>
      </c>
      <c r="E414" s="87" t="s">
        <v>3717</v>
      </c>
      <c r="F414" s="78">
        <v>9800000</v>
      </c>
      <c r="G414" s="78">
        <v>605263</v>
      </c>
      <c r="H414" s="56"/>
      <c r="I414" s="87">
        <f t="shared" si="36"/>
        <v>23006</v>
      </c>
    </row>
    <row r="415" customHeight="1" spans="1:9">
      <c r="A415" s="87">
        <f t="shared" si="35"/>
        <v>23006</v>
      </c>
      <c r="B415" s="87">
        <v>3</v>
      </c>
      <c r="C415" s="87">
        <f t="shared" si="37"/>
        <v>2</v>
      </c>
      <c r="D415" s="78">
        <v>6</v>
      </c>
      <c r="E415" s="87" t="s">
        <v>3717</v>
      </c>
      <c r="F415" s="78">
        <v>10600000</v>
      </c>
      <c r="G415" s="78">
        <v>657895</v>
      </c>
      <c r="H415" s="56"/>
      <c r="I415" s="87">
        <f t="shared" si="36"/>
        <v>23007</v>
      </c>
    </row>
    <row r="416" customHeight="1" spans="1:9">
      <c r="A416" s="87">
        <f t="shared" si="35"/>
        <v>23007</v>
      </c>
      <c r="B416" s="87">
        <v>3</v>
      </c>
      <c r="C416" s="87">
        <f t="shared" si="37"/>
        <v>2</v>
      </c>
      <c r="D416" s="78">
        <v>7</v>
      </c>
      <c r="E416" s="87" t="s">
        <v>3717</v>
      </c>
      <c r="F416" s="78">
        <v>11300000</v>
      </c>
      <c r="G416" s="78">
        <v>710526</v>
      </c>
      <c r="H416" s="56"/>
      <c r="I416" s="87">
        <f t="shared" si="36"/>
        <v>23008</v>
      </c>
    </row>
    <row r="417" customHeight="1" spans="1:9">
      <c r="A417" s="87">
        <f t="shared" si="35"/>
        <v>23008</v>
      </c>
      <c r="B417" s="87">
        <v>3</v>
      </c>
      <c r="C417" s="87">
        <f t="shared" si="37"/>
        <v>2</v>
      </c>
      <c r="D417" s="78">
        <v>8</v>
      </c>
      <c r="E417" s="87" t="s">
        <v>3717</v>
      </c>
      <c r="F417" s="78">
        <v>12000000</v>
      </c>
      <c r="G417" s="78">
        <v>763158</v>
      </c>
      <c r="H417" s="56"/>
      <c r="I417" s="87">
        <f t="shared" si="36"/>
        <v>23009</v>
      </c>
    </row>
    <row r="418" customHeight="1" spans="1:9">
      <c r="A418" s="87">
        <f t="shared" si="35"/>
        <v>23009</v>
      </c>
      <c r="B418" s="87">
        <v>3</v>
      </c>
      <c r="C418" s="87">
        <f t="shared" si="37"/>
        <v>2</v>
      </c>
      <c r="D418" s="78">
        <v>9</v>
      </c>
      <c r="E418" s="87" t="s">
        <v>3717</v>
      </c>
      <c r="F418" s="78">
        <v>12700000</v>
      </c>
      <c r="G418" s="78">
        <v>815789</v>
      </c>
      <c r="H418" s="56"/>
      <c r="I418" s="87">
        <f t="shared" si="36"/>
        <v>23010</v>
      </c>
    </row>
    <row r="419" customHeight="1" spans="1:9">
      <c r="A419" s="87">
        <f t="shared" si="35"/>
        <v>23010</v>
      </c>
      <c r="B419" s="87">
        <v>3</v>
      </c>
      <c r="C419" s="87">
        <f t="shared" si="37"/>
        <v>2</v>
      </c>
      <c r="D419" s="78">
        <v>10</v>
      </c>
      <c r="E419" s="87" t="s">
        <v>3717</v>
      </c>
      <c r="F419" s="78">
        <v>13400000</v>
      </c>
      <c r="G419" s="78">
        <v>868421</v>
      </c>
      <c r="H419" s="56"/>
      <c r="I419" s="87">
        <f t="shared" si="36"/>
        <v>23011</v>
      </c>
    </row>
    <row r="420" customHeight="1" spans="1:9">
      <c r="A420" s="87">
        <f t="shared" si="35"/>
        <v>23011</v>
      </c>
      <c r="B420" s="87">
        <v>3</v>
      </c>
      <c r="C420" s="87">
        <f t="shared" si="37"/>
        <v>2</v>
      </c>
      <c r="D420" s="78">
        <v>11</v>
      </c>
      <c r="E420" s="87" t="s">
        <v>3717</v>
      </c>
      <c r="F420" s="78">
        <v>23800000</v>
      </c>
      <c r="G420" s="78">
        <v>921053</v>
      </c>
      <c r="H420" s="56"/>
      <c r="I420" s="87">
        <f t="shared" si="36"/>
        <v>23012</v>
      </c>
    </row>
    <row r="421" customHeight="1" spans="1:9">
      <c r="A421" s="87">
        <f t="shared" si="35"/>
        <v>23012</v>
      </c>
      <c r="B421" s="87">
        <v>3</v>
      </c>
      <c r="C421" s="87">
        <f t="shared" si="37"/>
        <v>2</v>
      </c>
      <c r="D421" s="78">
        <v>12</v>
      </c>
      <c r="E421" s="87" t="s">
        <v>3717</v>
      </c>
      <c r="F421" s="78">
        <v>25200000</v>
      </c>
      <c r="G421" s="78">
        <v>973684</v>
      </c>
      <c r="H421" s="56"/>
      <c r="I421" s="87">
        <f t="shared" si="36"/>
        <v>23013</v>
      </c>
    </row>
    <row r="422" customHeight="1" spans="1:9">
      <c r="A422" s="87">
        <f t="shared" si="35"/>
        <v>23013</v>
      </c>
      <c r="B422" s="87">
        <v>3</v>
      </c>
      <c r="C422" s="87">
        <f t="shared" si="37"/>
        <v>2</v>
      </c>
      <c r="D422" s="78">
        <v>13</v>
      </c>
      <c r="E422" s="87" t="s">
        <v>3717</v>
      </c>
      <c r="F422" s="78">
        <v>26600000</v>
      </c>
      <c r="G422" s="78">
        <v>1026316</v>
      </c>
      <c r="H422" s="56"/>
      <c r="I422" s="87">
        <f t="shared" si="36"/>
        <v>23014</v>
      </c>
    </row>
    <row r="423" customHeight="1" spans="1:9">
      <c r="A423" s="87">
        <f t="shared" si="35"/>
        <v>23014</v>
      </c>
      <c r="B423" s="87">
        <v>3</v>
      </c>
      <c r="C423" s="87">
        <f t="shared" si="37"/>
        <v>2</v>
      </c>
      <c r="D423" s="78">
        <v>14</v>
      </c>
      <c r="E423" s="87" t="s">
        <v>3717</v>
      </c>
      <c r="F423" s="78">
        <v>28100000</v>
      </c>
      <c r="G423" s="78">
        <v>1078947</v>
      </c>
      <c r="H423" s="56"/>
      <c r="I423" s="87">
        <f t="shared" si="36"/>
        <v>23015</v>
      </c>
    </row>
    <row r="424" customHeight="1" spans="1:9">
      <c r="A424" s="87">
        <f t="shared" si="35"/>
        <v>23015</v>
      </c>
      <c r="B424" s="87">
        <v>3</v>
      </c>
      <c r="C424" s="87">
        <f t="shared" si="37"/>
        <v>2</v>
      </c>
      <c r="D424" s="78">
        <v>15</v>
      </c>
      <c r="E424" s="87" t="s">
        <v>3717</v>
      </c>
      <c r="F424" s="78">
        <v>29500000</v>
      </c>
      <c r="G424" s="78">
        <v>1131579</v>
      </c>
      <c r="H424" s="56"/>
      <c r="I424" s="87">
        <f t="shared" si="36"/>
        <v>23016</v>
      </c>
    </row>
    <row r="425" customHeight="1" spans="1:9">
      <c r="A425" s="87">
        <f t="shared" si="35"/>
        <v>23016</v>
      </c>
      <c r="B425" s="87">
        <v>3</v>
      </c>
      <c r="C425" s="87">
        <f t="shared" si="37"/>
        <v>2</v>
      </c>
      <c r="D425" s="78">
        <v>16</v>
      </c>
      <c r="E425" s="87" t="s">
        <v>3717</v>
      </c>
      <c r="F425" s="78">
        <v>31000000</v>
      </c>
      <c r="G425" s="78">
        <v>1184211</v>
      </c>
      <c r="H425" s="56"/>
      <c r="I425" s="87">
        <f t="shared" si="36"/>
        <v>23017</v>
      </c>
    </row>
    <row r="426" customHeight="1" spans="1:9">
      <c r="A426" s="87">
        <f t="shared" si="35"/>
        <v>23017</v>
      </c>
      <c r="B426" s="87">
        <v>3</v>
      </c>
      <c r="C426" s="87">
        <f t="shared" si="37"/>
        <v>2</v>
      </c>
      <c r="D426" s="78">
        <v>17</v>
      </c>
      <c r="E426" s="87" t="s">
        <v>3717</v>
      </c>
      <c r="F426" s="78">
        <v>32400000</v>
      </c>
      <c r="G426" s="78">
        <v>1236842</v>
      </c>
      <c r="H426" s="56"/>
      <c r="I426" s="87">
        <f t="shared" si="36"/>
        <v>23018</v>
      </c>
    </row>
    <row r="427" customHeight="1" spans="1:9">
      <c r="A427" s="87">
        <f t="shared" si="35"/>
        <v>23018</v>
      </c>
      <c r="B427" s="87">
        <v>3</v>
      </c>
      <c r="C427" s="87">
        <f t="shared" si="37"/>
        <v>2</v>
      </c>
      <c r="D427" s="78">
        <v>18</v>
      </c>
      <c r="E427" s="87" t="s">
        <v>3717</v>
      </c>
      <c r="F427" s="78">
        <v>33800000</v>
      </c>
      <c r="G427" s="78">
        <v>1289474</v>
      </c>
      <c r="H427" s="56"/>
      <c r="I427" s="87">
        <f t="shared" si="36"/>
        <v>23019</v>
      </c>
    </row>
    <row r="428" customHeight="1" spans="1:9">
      <c r="A428" s="87">
        <f t="shared" si="35"/>
        <v>23019</v>
      </c>
      <c r="B428" s="87">
        <v>3</v>
      </c>
      <c r="C428" s="87">
        <f t="shared" si="37"/>
        <v>2</v>
      </c>
      <c r="D428" s="78">
        <v>19</v>
      </c>
      <c r="E428" s="87" t="s">
        <v>3717</v>
      </c>
      <c r="F428" s="78">
        <v>35300000</v>
      </c>
      <c r="G428" s="78">
        <v>1342105</v>
      </c>
      <c r="H428" s="56"/>
      <c r="I428" s="87">
        <f t="shared" si="36"/>
        <v>23020</v>
      </c>
    </row>
    <row r="429" customHeight="1" spans="1:9">
      <c r="A429" s="87">
        <f t="shared" si="35"/>
        <v>23020</v>
      </c>
      <c r="B429" s="87">
        <v>3</v>
      </c>
      <c r="C429" s="87">
        <f t="shared" si="37"/>
        <v>2</v>
      </c>
      <c r="D429" s="78">
        <v>20</v>
      </c>
      <c r="E429" s="87" t="s">
        <v>3717</v>
      </c>
      <c r="F429" s="78">
        <v>36700000</v>
      </c>
      <c r="G429" s="78">
        <v>1394737</v>
      </c>
      <c r="H429" s="56"/>
      <c r="I429" s="87">
        <f t="shared" si="36"/>
        <v>23021</v>
      </c>
    </row>
    <row r="430" customHeight="1" spans="1:9">
      <c r="A430" s="87">
        <f t="shared" si="35"/>
        <v>23021</v>
      </c>
      <c r="B430" s="87">
        <v>3</v>
      </c>
      <c r="C430" s="87">
        <f t="shared" si="37"/>
        <v>2</v>
      </c>
      <c r="D430" s="78">
        <v>21</v>
      </c>
      <c r="E430" s="87" t="s">
        <v>3717</v>
      </c>
      <c r="F430" s="78">
        <v>38200000</v>
      </c>
      <c r="G430" s="78">
        <v>1447368</v>
      </c>
      <c r="H430" s="56"/>
      <c r="I430" s="87">
        <f t="shared" si="36"/>
        <v>23022</v>
      </c>
    </row>
    <row r="431" customHeight="1" spans="1:9">
      <c r="A431" s="87">
        <f t="shared" si="35"/>
        <v>23022</v>
      </c>
      <c r="B431" s="87">
        <v>3</v>
      </c>
      <c r="C431" s="87">
        <f t="shared" si="37"/>
        <v>2</v>
      </c>
      <c r="D431" s="78">
        <v>22</v>
      </c>
      <c r="E431" s="87" t="s">
        <v>3717</v>
      </c>
      <c r="F431" s="78">
        <v>39400000</v>
      </c>
      <c r="G431" s="78">
        <v>1500000</v>
      </c>
      <c r="H431" s="56"/>
      <c r="I431" s="87">
        <f t="shared" si="36"/>
        <v>23023</v>
      </c>
    </row>
    <row r="432" customHeight="1" spans="1:9">
      <c r="A432" s="87">
        <f t="shared" si="35"/>
        <v>23023</v>
      </c>
      <c r="B432" s="87">
        <v>3</v>
      </c>
      <c r="C432" s="87">
        <f t="shared" si="37"/>
        <v>2</v>
      </c>
      <c r="D432" s="78">
        <v>23</v>
      </c>
      <c r="E432" s="87" t="s">
        <v>3717</v>
      </c>
      <c r="F432" s="78">
        <v>40600000</v>
      </c>
      <c r="G432" s="78">
        <v>1552632</v>
      </c>
      <c r="H432" s="56"/>
      <c r="I432" s="87">
        <f t="shared" si="36"/>
        <v>23024</v>
      </c>
    </row>
    <row r="433" customHeight="1" spans="1:9">
      <c r="A433" s="87">
        <f t="shared" si="35"/>
        <v>23024</v>
      </c>
      <c r="B433" s="87">
        <v>3</v>
      </c>
      <c r="C433" s="87">
        <f t="shared" si="37"/>
        <v>2</v>
      </c>
      <c r="D433" s="78">
        <v>24</v>
      </c>
      <c r="E433" s="87" t="s">
        <v>3717</v>
      </c>
      <c r="F433" s="78">
        <v>41800000</v>
      </c>
      <c r="G433" s="78">
        <v>1605263</v>
      </c>
      <c r="H433" s="56"/>
      <c r="I433" s="87">
        <f t="shared" si="36"/>
        <v>23025</v>
      </c>
    </row>
    <row r="434" customHeight="1" spans="1:9">
      <c r="A434" s="87">
        <f t="shared" si="35"/>
        <v>23025</v>
      </c>
      <c r="B434" s="87">
        <v>3</v>
      </c>
      <c r="C434" s="87">
        <f t="shared" si="37"/>
        <v>2</v>
      </c>
      <c r="D434" s="78">
        <v>25</v>
      </c>
      <c r="E434" s="87" t="s">
        <v>3717</v>
      </c>
      <c r="F434" s="78">
        <v>43000000</v>
      </c>
      <c r="G434" s="78">
        <v>1657895</v>
      </c>
      <c r="H434" s="56"/>
      <c r="I434" s="87">
        <f t="shared" si="36"/>
        <v>23026</v>
      </c>
    </row>
    <row r="435" customHeight="1" spans="1:9">
      <c r="A435" s="87">
        <f t="shared" si="35"/>
        <v>23026</v>
      </c>
      <c r="B435" s="87">
        <v>3</v>
      </c>
      <c r="C435" s="87">
        <f t="shared" si="37"/>
        <v>2</v>
      </c>
      <c r="D435" s="78">
        <v>26</v>
      </c>
      <c r="E435" s="87" t="s">
        <v>3717</v>
      </c>
      <c r="F435" s="78">
        <v>63400000</v>
      </c>
      <c r="G435" s="78">
        <v>1710526</v>
      </c>
      <c r="H435" s="56"/>
      <c r="I435" s="87">
        <f t="shared" si="36"/>
        <v>23027</v>
      </c>
    </row>
    <row r="436" customHeight="1" spans="1:9">
      <c r="A436" s="87">
        <f t="shared" si="35"/>
        <v>23027</v>
      </c>
      <c r="B436" s="87">
        <v>3</v>
      </c>
      <c r="C436" s="87">
        <f t="shared" si="37"/>
        <v>2</v>
      </c>
      <c r="D436" s="78">
        <v>27</v>
      </c>
      <c r="E436" s="87" t="s">
        <v>3717</v>
      </c>
      <c r="F436" s="78">
        <v>65500000</v>
      </c>
      <c r="G436" s="78">
        <v>1763158</v>
      </c>
      <c r="H436" s="56"/>
      <c r="I436" s="87">
        <f t="shared" si="36"/>
        <v>23028</v>
      </c>
    </row>
    <row r="437" customHeight="1" spans="1:9">
      <c r="A437" s="87">
        <f t="shared" si="35"/>
        <v>23028</v>
      </c>
      <c r="B437" s="87">
        <v>3</v>
      </c>
      <c r="C437" s="87">
        <f t="shared" si="37"/>
        <v>2</v>
      </c>
      <c r="D437" s="78">
        <v>28</v>
      </c>
      <c r="E437" s="87" t="s">
        <v>3717</v>
      </c>
      <c r="F437" s="78">
        <v>67700000</v>
      </c>
      <c r="G437" s="78">
        <v>1815789</v>
      </c>
      <c r="H437" s="56"/>
      <c r="I437" s="87">
        <f t="shared" si="36"/>
        <v>23029</v>
      </c>
    </row>
    <row r="438" customHeight="1" spans="1:9">
      <c r="A438" s="87">
        <f t="shared" si="35"/>
        <v>23029</v>
      </c>
      <c r="B438" s="87">
        <v>3</v>
      </c>
      <c r="C438" s="87">
        <f t="shared" si="37"/>
        <v>2</v>
      </c>
      <c r="D438" s="78">
        <v>29</v>
      </c>
      <c r="E438" s="87" t="s">
        <v>3717</v>
      </c>
      <c r="F438" s="78">
        <v>69800000</v>
      </c>
      <c r="G438" s="78">
        <v>1868421</v>
      </c>
      <c r="H438" s="56"/>
      <c r="I438" s="87">
        <f t="shared" si="36"/>
        <v>23030</v>
      </c>
    </row>
    <row r="439" customHeight="1" spans="1:9">
      <c r="A439" s="87">
        <f t="shared" si="35"/>
        <v>23030</v>
      </c>
      <c r="B439" s="87">
        <v>3</v>
      </c>
      <c r="C439" s="87">
        <f t="shared" si="37"/>
        <v>2</v>
      </c>
      <c r="D439" s="78">
        <v>30</v>
      </c>
      <c r="E439" s="87" t="s">
        <v>3717</v>
      </c>
      <c r="F439" s="78"/>
      <c r="G439" s="78">
        <v>1921053</v>
      </c>
      <c r="H439" s="56"/>
      <c r="I439" s="87"/>
    </row>
    <row r="440" customHeight="1" spans="1:9">
      <c r="A440" s="87">
        <f t="shared" si="35"/>
        <v>33000</v>
      </c>
      <c r="B440" s="87">
        <v>3</v>
      </c>
      <c r="C440" s="87">
        <v>3</v>
      </c>
      <c r="D440" s="78"/>
      <c r="E440" s="87" t="s">
        <v>3717</v>
      </c>
      <c r="F440" s="78">
        <v>240000000</v>
      </c>
      <c r="G440" s="78"/>
      <c r="H440" s="56"/>
      <c r="I440" s="87">
        <f t="shared" ref="I440:I469" si="38">A441</f>
        <v>33001</v>
      </c>
    </row>
    <row r="441" customHeight="1" spans="1:9">
      <c r="A441" s="87">
        <f t="shared" si="35"/>
        <v>33001</v>
      </c>
      <c r="B441" s="87">
        <v>3</v>
      </c>
      <c r="C441" s="87">
        <v>3</v>
      </c>
      <c r="D441" s="78">
        <v>1</v>
      </c>
      <c r="E441" s="87" t="s">
        <v>3717</v>
      </c>
      <c r="F441" s="78">
        <v>29700000</v>
      </c>
      <c r="G441" s="78">
        <v>1578947</v>
      </c>
      <c r="H441" s="56"/>
      <c r="I441" s="87">
        <f t="shared" si="38"/>
        <v>33002</v>
      </c>
    </row>
    <row r="442" customHeight="1" spans="1:9">
      <c r="A442" s="87">
        <f t="shared" si="35"/>
        <v>33002</v>
      </c>
      <c r="B442" s="87">
        <v>3</v>
      </c>
      <c r="C442" s="87">
        <f t="shared" ref="C442:C470" si="39">C441</f>
        <v>3</v>
      </c>
      <c r="D442" s="78">
        <v>2</v>
      </c>
      <c r="E442" s="87" t="s">
        <v>3717</v>
      </c>
      <c r="F442" s="78">
        <v>31500000</v>
      </c>
      <c r="G442" s="78">
        <v>1697368</v>
      </c>
      <c r="H442" s="56"/>
      <c r="I442" s="87">
        <f t="shared" si="38"/>
        <v>33003</v>
      </c>
    </row>
    <row r="443" customHeight="1" spans="1:9">
      <c r="A443" s="87">
        <f t="shared" si="35"/>
        <v>33003</v>
      </c>
      <c r="B443" s="87">
        <v>3</v>
      </c>
      <c r="C443" s="87">
        <f t="shared" si="39"/>
        <v>3</v>
      </c>
      <c r="D443" s="78">
        <v>3</v>
      </c>
      <c r="E443" s="87" t="s">
        <v>3717</v>
      </c>
      <c r="F443" s="78">
        <v>33300000</v>
      </c>
      <c r="G443" s="78">
        <v>1815789</v>
      </c>
      <c r="H443" s="56"/>
      <c r="I443" s="87">
        <f t="shared" si="38"/>
        <v>33004</v>
      </c>
    </row>
    <row r="444" customHeight="1" spans="1:9">
      <c r="A444" s="87">
        <f t="shared" si="35"/>
        <v>33004</v>
      </c>
      <c r="B444" s="87">
        <v>3</v>
      </c>
      <c r="C444" s="87">
        <f t="shared" si="39"/>
        <v>3</v>
      </c>
      <c r="D444" s="78">
        <v>4</v>
      </c>
      <c r="E444" s="87" t="s">
        <v>3717</v>
      </c>
      <c r="F444" s="78">
        <v>35100000</v>
      </c>
      <c r="G444" s="78">
        <v>1934211</v>
      </c>
      <c r="H444" s="56"/>
      <c r="I444" s="87">
        <f t="shared" si="38"/>
        <v>33005</v>
      </c>
    </row>
    <row r="445" customHeight="1" spans="1:9">
      <c r="A445" s="87">
        <f t="shared" si="35"/>
        <v>33005</v>
      </c>
      <c r="B445" s="87">
        <v>3</v>
      </c>
      <c r="C445" s="87">
        <f t="shared" si="39"/>
        <v>3</v>
      </c>
      <c r="D445" s="78">
        <v>5</v>
      </c>
      <c r="E445" s="87" t="s">
        <v>3717</v>
      </c>
      <c r="F445" s="78">
        <v>36900000</v>
      </c>
      <c r="G445" s="78">
        <v>2052632</v>
      </c>
      <c r="H445" s="56"/>
      <c r="I445" s="87">
        <f t="shared" si="38"/>
        <v>33006</v>
      </c>
    </row>
    <row r="446" customHeight="1" spans="1:9">
      <c r="A446" s="87">
        <f t="shared" si="35"/>
        <v>33006</v>
      </c>
      <c r="B446" s="87">
        <v>3</v>
      </c>
      <c r="C446" s="87">
        <f t="shared" si="39"/>
        <v>3</v>
      </c>
      <c r="D446" s="78">
        <v>6</v>
      </c>
      <c r="E446" s="87" t="s">
        <v>3717</v>
      </c>
      <c r="F446" s="78">
        <v>38700000</v>
      </c>
      <c r="G446" s="78">
        <v>2171053</v>
      </c>
      <c r="H446" s="56"/>
      <c r="I446" s="87">
        <f t="shared" si="38"/>
        <v>33007</v>
      </c>
    </row>
    <row r="447" customHeight="1" spans="1:9">
      <c r="A447" s="87">
        <f t="shared" si="35"/>
        <v>33007</v>
      </c>
      <c r="B447" s="87">
        <v>3</v>
      </c>
      <c r="C447" s="87">
        <f t="shared" si="39"/>
        <v>3</v>
      </c>
      <c r="D447" s="78">
        <v>7</v>
      </c>
      <c r="E447" s="87" t="s">
        <v>3717</v>
      </c>
      <c r="F447" s="78">
        <v>40500000</v>
      </c>
      <c r="G447" s="78">
        <v>2289474</v>
      </c>
      <c r="H447" s="56"/>
      <c r="I447" s="87">
        <f t="shared" si="38"/>
        <v>33008</v>
      </c>
    </row>
    <row r="448" customHeight="1" spans="1:9">
      <c r="A448" s="87">
        <f t="shared" si="35"/>
        <v>33008</v>
      </c>
      <c r="B448" s="87">
        <v>3</v>
      </c>
      <c r="C448" s="87">
        <f t="shared" si="39"/>
        <v>3</v>
      </c>
      <c r="D448" s="78">
        <v>8</v>
      </c>
      <c r="E448" s="87" t="s">
        <v>3717</v>
      </c>
      <c r="F448" s="78">
        <v>42300000</v>
      </c>
      <c r="G448" s="78">
        <v>2407895</v>
      </c>
      <c r="H448" s="56"/>
      <c r="I448" s="87">
        <f t="shared" si="38"/>
        <v>33009</v>
      </c>
    </row>
    <row r="449" customHeight="1" spans="1:9">
      <c r="A449" s="87">
        <f t="shared" si="35"/>
        <v>33009</v>
      </c>
      <c r="B449" s="87">
        <v>3</v>
      </c>
      <c r="C449" s="87">
        <f t="shared" si="39"/>
        <v>3</v>
      </c>
      <c r="D449" s="78">
        <v>9</v>
      </c>
      <c r="E449" s="87" t="s">
        <v>3717</v>
      </c>
      <c r="F449" s="78">
        <v>44100000</v>
      </c>
      <c r="G449" s="78">
        <v>2526316</v>
      </c>
      <c r="H449" s="56"/>
      <c r="I449" s="87">
        <f t="shared" si="38"/>
        <v>33010</v>
      </c>
    </row>
    <row r="450" customHeight="1" spans="1:9">
      <c r="A450" s="87">
        <f t="shared" si="35"/>
        <v>33010</v>
      </c>
      <c r="B450" s="87">
        <v>3</v>
      </c>
      <c r="C450" s="87">
        <f t="shared" si="39"/>
        <v>3</v>
      </c>
      <c r="D450" s="78">
        <v>10</v>
      </c>
      <c r="E450" s="87" t="s">
        <v>3717</v>
      </c>
      <c r="F450" s="78">
        <v>45900000</v>
      </c>
      <c r="G450" s="78">
        <v>2644737</v>
      </c>
      <c r="H450" s="56"/>
      <c r="I450" s="87">
        <f t="shared" si="38"/>
        <v>33011</v>
      </c>
    </row>
    <row r="451" customHeight="1" spans="1:9">
      <c r="A451" s="87">
        <f t="shared" si="35"/>
        <v>33011</v>
      </c>
      <c r="B451" s="87">
        <v>3</v>
      </c>
      <c r="C451" s="87">
        <f t="shared" si="39"/>
        <v>3</v>
      </c>
      <c r="D451" s="78">
        <v>11</v>
      </c>
      <c r="E451" s="87" t="s">
        <v>3717</v>
      </c>
      <c r="F451" s="78">
        <v>47700000</v>
      </c>
      <c r="G451" s="78">
        <v>2763158</v>
      </c>
      <c r="H451" s="56"/>
      <c r="I451" s="87">
        <f t="shared" si="38"/>
        <v>33012</v>
      </c>
    </row>
    <row r="452" customHeight="1" spans="1:9">
      <c r="A452" s="87">
        <f t="shared" si="35"/>
        <v>33012</v>
      </c>
      <c r="B452" s="87">
        <v>3</v>
      </c>
      <c r="C452" s="87">
        <f t="shared" si="39"/>
        <v>3</v>
      </c>
      <c r="D452" s="78">
        <v>12</v>
      </c>
      <c r="E452" s="87" t="s">
        <v>3717</v>
      </c>
      <c r="F452" s="78">
        <v>49200000</v>
      </c>
      <c r="G452" s="78">
        <v>2881579</v>
      </c>
      <c r="H452" s="56"/>
      <c r="I452" s="87">
        <f t="shared" si="38"/>
        <v>33013</v>
      </c>
    </row>
    <row r="453" customHeight="1" spans="1:9">
      <c r="A453" s="87">
        <f t="shared" si="35"/>
        <v>33013</v>
      </c>
      <c r="B453" s="87">
        <v>3</v>
      </c>
      <c r="C453" s="87">
        <f t="shared" si="39"/>
        <v>3</v>
      </c>
      <c r="D453" s="78">
        <v>13</v>
      </c>
      <c r="E453" s="87" t="s">
        <v>3717</v>
      </c>
      <c r="F453" s="78">
        <v>50700000</v>
      </c>
      <c r="G453" s="78">
        <v>3000000</v>
      </c>
      <c r="H453" s="56"/>
      <c r="I453" s="87">
        <f t="shared" si="38"/>
        <v>33014</v>
      </c>
    </row>
    <row r="454" customHeight="1" spans="1:9">
      <c r="A454" s="87">
        <f t="shared" ref="A454:A517" si="40">C454*10000+B454*1000+D454</f>
        <v>33014</v>
      </c>
      <c r="B454" s="87">
        <v>3</v>
      </c>
      <c r="C454" s="87">
        <f t="shared" si="39"/>
        <v>3</v>
      </c>
      <c r="D454" s="78">
        <v>14</v>
      </c>
      <c r="E454" s="87" t="s">
        <v>3717</v>
      </c>
      <c r="F454" s="78">
        <v>52200000</v>
      </c>
      <c r="G454" s="78">
        <v>3118421</v>
      </c>
      <c r="H454" s="56"/>
      <c r="I454" s="87">
        <f t="shared" si="38"/>
        <v>33015</v>
      </c>
    </row>
    <row r="455" customHeight="1" spans="1:9">
      <c r="A455" s="87">
        <f t="shared" si="40"/>
        <v>33015</v>
      </c>
      <c r="B455" s="87">
        <v>3</v>
      </c>
      <c r="C455" s="87">
        <f t="shared" si="39"/>
        <v>3</v>
      </c>
      <c r="D455" s="78">
        <v>15</v>
      </c>
      <c r="E455" s="87" t="s">
        <v>3717</v>
      </c>
      <c r="F455" s="78">
        <v>53700000</v>
      </c>
      <c r="G455" s="78">
        <v>3236842</v>
      </c>
      <c r="H455" s="56"/>
      <c r="I455" s="87">
        <f t="shared" si="38"/>
        <v>33016</v>
      </c>
    </row>
    <row r="456" customHeight="1" spans="1:9">
      <c r="A456" s="87">
        <f t="shared" si="40"/>
        <v>33016</v>
      </c>
      <c r="B456" s="87">
        <v>3</v>
      </c>
      <c r="C456" s="87">
        <f t="shared" si="39"/>
        <v>3</v>
      </c>
      <c r="D456" s="78">
        <v>16</v>
      </c>
      <c r="E456" s="87" t="s">
        <v>3717</v>
      </c>
      <c r="F456" s="78">
        <v>79200000</v>
      </c>
      <c r="G456" s="78">
        <v>3355263</v>
      </c>
      <c r="H456" s="56"/>
      <c r="I456" s="87">
        <f t="shared" si="38"/>
        <v>33017</v>
      </c>
    </row>
    <row r="457" customHeight="1" spans="1:9">
      <c r="A457" s="87">
        <f t="shared" si="40"/>
        <v>33017</v>
      </c>
      <c r="B457" s="87">
        <v>3</v>
      </c>
      <c r="C457" s="87">
        <f t="shared" si="39"/>
        <v>3</v>
      </c>
      <c r="D457" s="78">
        <v>17</v>
      </c>
      <c r="E457" s="87" t="s">
        <v>3717</v>
      </c>
      <c r="F457" s="78">
        <v>81900000</v>
      </c>
      <c r="G457" s="78">
        <v>3473684</v>
      </c>
      <c r="H457" s="56"/>
      <c r="I457" s="87">
        <f t="shared" si="38"/>
        <v>33018</v>
      </c>
    </row>
    <row r="458" customHeight="1" spans="1:9">
      <c r="A458" s="87">
        <f t="shared" si="40"/>
        <v>33018</v>
      </c>
      <c r="B458" s="87">
        <v>3</v>
      </c>
      <c r="C458" s="87">
        <f t="shared" si="39"/>
        <v>3</v>
      </c>
      <c r="D458" s="78">
        <v>18</v>
      </c>
      <c r="E458" s="87" t="s">
        <v>3717</v>
      </c>
      <c r="F458" s="78">
        <v>84600000</v>
      </c>
      <c r="G458" s="78">
        <v>3592105</v>
      </c>
      <c r="H458" s="56"/>
      <c r="I458" s="87">
        <f t="shared" si="38"/>
        <v>33019</v>
      </c>
    </row>
    <row r="459" customHeight="1" spans="1:9">
      <c r="A459" s="87">
        <f t="shared" si="40"/>
        <v>33019</v>
      </c>
      <c r="B459" s="87">
        <v>3</v>
      </c>
      <c r="C459" s="87">
        <f t="shared" si="39"/>
        <v>3</v>
      </c>
      <c r="D459" s="78">
        <v>19</v>
      </c>
      <c r="E459" s="87" t="s">
        <v>3717</v>
      </c>
      <c r="F459" s="78">
        <v>87300000</v>
      </c>
      <c r="G459" s="78">
        <v>3710526</v>
      </c>
      <c r="H459" s="56"/>
      <c r="I459" s="87">
        <f t="shared" si="38"/>
        <v>33020</v>
      </c>
    </row>
    <row r="460" customHeight="1" spans="1:9">
      <c r="A460" s="87">
        <f t="shared" si="40"/>
        <v>33020</v>
      </c>
      <c r="B460" s="87">
        <v>3</v>
      </c>
      <c r="C460" s="87">
        <f t="shared" si="39"/>
        <v>3</v>
      </c>
      <c r="D460" s="78">
        <v>20</v>
      </c>
      <c r="E460" s="87" t="s">
        <v>3717</v>
      </c>
      <c r="F460" s="78">
        <v>90000000</v>
      </c>
      <c r="G460" s="78">
        <v>3828947</v>
      </c>
      <c r="H460" s="56"/>
      <c r="I460" s="87">
        <f t="shared" si="38"/>
        <v>33021</v>
      </c>
    </row>
    <row r="461" customHeight="1" spans="1:9">
      <c r="A461" s="87">
        <f t="shared" si="40"/>
        <v>33021</v>
      </c>
      <c r="B461" s="87">
        <v>3</v>
      </c>
      <c r="C461" s="87">
        <f t="shared" si="39"/>
        <v>3</v>
      </c>
      <c r="D461" s="78">
        <v>21</v>
      </c>
      <c r="E461" s="87" t="s">
        <v>3717</v>
      </c>
      <c r="F461" s="78">
        <v>92100000</v>
      </c>
      <c r="G461" s="78">
        <v>3947368</v>
      </c>
      <c r="H461" s="56"/>
      <c r="I461" s="87">
        <f t="shared" si="38"/>
        <v>33022</v>
      </c>
    </row>
    <row r="462" customHeight="1" spans="1:9">
      <c r="A462" s="87">
        <f t="shared" si="40"/>
        <v>33022</v>
      </c>
      <c r="B462" s="87">
        <v>3</v>
      </c>
      <c r="C462" s="87">
        <f t="shared" si="39"/>
        <v>3</v>
      </c>
      <c r="D462" s="78">
        <v>22</v>
      </c>
      <c r="E462" s="87" t="s">
        <v>3717</v>
      </c>
      <c r="F462" s="78">
        <v>94200000</v>
      </c>
      <c r="G462" s="78">
        <v>4065789</v>
      </c>
      <c r="H462" s="56"/>
      <c r="I462" s="87">
        <f t="shared" si="38"/>
        <v>33023</v>
      </c>
    </row>
    <row r="463" customHeight="1" spans="1:9">
      <c r="A463" s="87">
        <f t="shared" si="40"/>
        <v>33023</v>
      </c>
      <c r="B463" s="87">
        <v>3</v>
      </c>
      <c r="C463" s="87">
        <f t="shared" si="39"/>
        <v>3</v>
      </c>
      <c r="D463" s="78">
        <v>23</v>
      </c>
      <c r="E463" s="87" t="s">
        <v>3717</v>
      </c>
      <c r="F463" s="78">
        <v>96300000</v>
      </c>
      <c r="G463" s="78">
        <v>4184211</v>
      </c>
      <c r="H463" s="56"/>
      <c r="I463" s="87">
        <f t="shared" si="38"/>
        <v>33024</v>
      </c>
    </row>
    <row r="464" customHeight="1" spans="1:9">
      <c r="A464" s="87">
        <f t="shared" si="40"/>
        <v>33024</v>
      </c>
      <c r="B464" s="87">
        <v>3</v>
      </c>
      <c r="C464" s="87">
        <f t="shared" si="39"/>
        <v>3</v>
      </c>
      <c r="D464" s="78">
        <v>24</v>
      </c>
      <c r="E464" s="87" t="s">
        <v>3717</v>
      </c>
      <c r="F464" s="78">
        <v>98400000</v>
      </c>
      <c r="G464" s="78">
        <v>4302632</v>
      </c>
      <c r="H464" s="56"/>
      <c r="I464" s="87">
        <f t="shared" si="38"/>
        <v>33025</v>
      </c>
    </row>
    <row r="465" customHeight="1" spans="1:9">
      <c r="A465" s="87">
        <f t="shared" si="40"/>
        <v>33025</v>
      </c>
      <c r="B465" s="87">
        <v>3</v>
      </c>
      <c r="C465" s="87">
        <f t="shared" si="39"/>
        <v>3</v>
      </c>
      <c r="D465" s="78">
        <v>25</v>
      </c>
      <c r="E465" s="87" t="s">
        <v>3717</v>
      </c>
      <c r="F465" s="78">
        <v>100500000</v>
      </c>
      <c r="G465" s="78">
        <v>4421053</v>
      </c>
      <c r="H465" s="56"/>
      <c r="I465" s="87">
        <f t="shared" si="38"/>
        <v>33026</v>
      </c>
    </row>
    <row r="466" customHeight="1" spans="1:9">
      <c r="A466" s="87">
        <f t="shared" si="40"/>
        <v>33026</v>
      </c>
      <c r="B466" s="87">
        <v>3</v>
      </c>
      <c r="C466" s="87">
        <f t="shared" si="39"/>
        <v>3</v>
      </c>
      <c r="D466" s="78">
        <v>26</v>
      </c>
      <c r="E466" s="87" t="s">
        <v>3717</v>
      </c>
      <c r="F466" s="78">
        <v>102600000</v>
      </c>
      <c r="G466" s="78">
        <v>4539474</v>
      </c>
      <c r="H466" s="56"/>
      <c r="I466" s="87">
        <f t="shared" si="38"/>
        <v>33027</v>
      </c>
    </row>
    <row r="467" customHeight="1" spans="1:9">
      <c r="A467" s="87">
        <f t="shared" si="40"/>
        <v>33027</v>
      </c>
      <c r="B467" s="87">
        <v>3</v>
      </c>
      <c r="C467" s="87">
        <f t="shared" si="39"/>
        <v>3</v>
      </c>
      <c r="D467" s="78">
        <v>27</v>
      </c>
      <c r="E467" s="87" t="s">
        <v>3717</v>
      </c>
      <c r="F467" s="78">
        <v>104700000</v>
      </c>
      <c r="G467" s="78">
        <v>4657895</v>
      </c>
      <c r="H467" s="56"/>
      <c r="I467" s="87">
        <f t="shared" si="38"/>
        <v>33028</v>
      </c>
    </row>
    <row r="468" customHeight="1" spans="1:9">
      <c r="A468" s="87">
        <f t="shared" si="40"/>
        <v>33028</v>
      </c>
      <c r="B468" s="87">
        <v>3</v>
      </c>
      <c r="C468" s="87">
        <f t="shared" si="39"/>
        <v>3</v>
      </c>
      <c r="D468" s="78">
        <v>28</v>
      </c>
      <c r="E468" s="87" t="s">
        <v>3717</v>
      </c>
      <c r="F468" s="78">
        <v>106800000</v>
      </c>
      <c r="G468" s="78">
        <v>4776316</v>
      </c>
      <c r="H468" s="56"/>
      <c r="I468" s="87">
        <f t="shared" si="38"/>
        <v>33029</v>
      </c>
    </row>
    <row r="469" customHeight="1" spans="1:9">
      <c r="A469" s="87">
        <f t="shared" si="40"/>
        <v>33029</v>
      </c>
      <c r="B469" s="87">
        <v>3</v>
      </c>
      <c r="C469" s="87">
        <f t="shared" si="39"/>
        <v>3</v>
      </c>
      <c r="D469" s="78">
        <v>29</v>
      </c>
      <c r="E469" s="87" t="s">
        <v>3717</v>
      </c>
      <c r="F469" s="78">
        <v>108900000</v>
      </c>
      <c r="G469" s="78">
        <v>4894737</v>
      </c>
      <c r="H469" s="56"/>
      <c r="I469" s="87">
        <f t="shared" si="38"/>
        <v>33030</v>
      </c>
    </row>
    <row r="470" customHeight="1" spans="1:9">
      <c r="A470" s="87">
        <f t="shared" si="40"/>
        <v>33030</v>
      </c>
      <c r="B470" s="87">
        <v>3</v>
      </c>
      <c r="C470" s="87">
        <f t="shared" si="39"/>
        <v>3</v>
      </c>
      <c r="D470" s="78">
        <v>30</v>
      </c>
      <c r="E470" s="87" t="s">
        <v>3717</v>
      </c>
      <c r="F470" s="78"/>
      <c r="G470" s="78">
        <v>5013158</v>
      </c>
      <c r="H470" s="56"/>
      <c r="I470" s="87"/>
    </row>
    <row r="471" customHeight="1" spans="1:9">
      <c r="A471" s="87">
        <f t="shared" si="40"/>
        <v>43000</v>
      </c>
      <c r="B471" s="87">
        <v>3</v>
      </c>
      <c r="C471" s="87">
        <v>4</v>
      </c>
      <c r="D471" s="78"/>
      <c r="E471" s="87" t="s">
        <v>3717</v>
      </c>
      <c r="F471" s="78">
        <v>1070000000</v>
      </c>
      <c r="G471" s="78"/>
      <c r="H471" s="56"/>
      <c r="I471" s="87">
        <f t="shared" ref="I471:I500" si="41">A472</f>
        <v>43001</v>
      </c>
    </row>
    <row r="472" customHeight="1" spans="1:9">
      <c r="A472" s="87">
        <f t="shared" si="40"/>
        <v>43001</v>
      </c>
      <c r="B472" s="87">
        <v>3</v>
      </c>
      <c r="C472" s="87">
        <v>4</v>
      </c>
      <c r="D472" s="78">
        <v>1</v>
      </c>
      <c r="E472" s="87" t="s">
        <v>3717</v>
      </c>
      <c r="F472" s="78">
        <v>95000000</v>
      </c>
      <c r="G472" s="78">
        <v>4736842</v>
      </c>
      <c r="H472" s="56"/>
      <c r="I472" s="87">
        <f t="shared" si="41"/>
        <v>43002</v>
      </c>
    </row>
    <row r="473" customHeight="1" spans="1:9">
      <c r="A473" s="87">
        <f t="shared" si="40"/>
        <v>43002</v>
      </c>
      <c r="B473" s="87">
        <v>3</v>
      </c>
      <c r="C473" s="87">
        <f t="shared" ref="C473:C501" si="42">C472</f>
        <v>4</v>
      </c>
      <c r="D473" s="78">
        <v>2</v>
      </c>
      <c r="E473" s="87" t="s">
        <v>3717</v>
      </c>
      <c r="F473" s="78">
        <v>98300000</v>
      </c>
      <c r="G473" s="78">
        <v>4973684</v>
      </c>
      <c r="H473" s="56"/>
      <c r="I473" s="87">
        <f t="shared" si="41"/>
        <v>43003</v>
      </c>
    </row>
    <row r="474" customHeight="1" spans="1:9">
      <c r="A474" s="87">
        <f t="shared" si="40"/>
        <v>43003</v>
      </c>
      <c r="B474" s="87">
        <v>3</v>
      </c>
      <c r="C474" s="87">
        <f t="shared" si="42"/>
        <v>4</v>
      </c>
      <c r="D474" s="78">
        <v>3</v>
      </c>
      <c r="E474" s="87" t="s">
        <v>3717</v>
      </c>
      <c r="F474" s="78">
        <v>101500000</v>
      </c>
      <c r="G474" s="78">
        <v>5210526</v>
      </c>
      <c r="H474" s="56"/>
      <c r="I474" s="87">
        <f t="shared" si="41"/>
        <v>43004</v>
      </c>
    </row>
    <row r="475" customHeight="1" spans="1:9">
      <c r="A475" s="87">
        <f t="shared" si="40"/>
        <v>43004</v>
      </c>
      <c r="B475" s="87">
        <v>3</v>
      </c>
      <c r="C475" s="87">
        <f t="shared" si="42"/>
        <v>4</v>
      </c>
      <c r="D475" s="78">
        <v>4</v>
      </c>
      <c r="E475" s="87" t="s">
        <v>3717</v>
      </c>
      <c r="F475" s="78">
        <v>104800000</v>
      </c>
      <c r="G475" s="78">
        <v>5447368</v>
      </c>
      <c r="H475" s="56"/>
      <c r="I475" s="87">
        <f t="shared" si="41"/>
        <v>43005</v>
      </c>
    </row>
    <row r="476" customHeight="1" spans="1:9">
      <c r="A476" s="87">
        <f t="shared" si="40"/>
        <v>43005</v>
      </c>
      <c r="B476" s="87">
        <v>3</v>
      </c>
      <c r="C476" s="87">
        <f t="shared" si="42"/>
        <v>4</v>
      </c>
      <c r="D476" s="78">
        <v>5</v>
      </c>
      <c r="E476" s="87" t="s">
        <v>3717</v>
      </c>
      <c r="F476" s="78">
        <v>108000000</v>
      </c>
      <c r="G476" s="78">
        <v>5684211</v>
      </c>
      <c r="H476" s="56"/>
      <c r="I476" s="87">
        <f t="shared" si="41"/>
        <v>43006</v>
      </c>
    </row>
    <row r="477" customHeight="1" spans="1:9">
      <c r="A477" s="87">
        <f t="shared" si="40"/>
        <v>43006</v>
      </c>
      <c r="B477" s="87">
        <v>3</v>
      </c>
      <c r="C477" s="87">
        <f t="shared" si="42"/>
        <v>4</v>
      </c>
      <c r="D477" s="78">
        <v>6</v>
      </c>
      <c r="E477" s="87" t="s">
        <v>3717</v>
      </c>
      <c r="F477" s="78">
        <v>110500000</v>
      </c>
      <c r="G477" s="78">
        <v>5921053</v>
      </c>
      <c r="H477" s="56"/>
      <c r="I477" s="87">
        <f t="shared" si="41"/>
        <v>43007</v>
      </c>
    </row>
    <row r="478" customHeight="1" spans="1:9">
      <c r="A478" s="87">
        <f t="shared" si="40"/>
        <v>43007</v>
      </c>
      <c r="B478" s="87">
        <v>3</v>
      </c>
      <c r="C478" s="87">
        <f t="shared" si="42"/>
        <v>4</v>
      </c>
      <c r="D478" s="78">
        <v>7</v>
      </c>
      <c r="E478" s="87" t="s">
        <v>3717</v>
      </c>
      <c r="F478" s="78">
        <v>113000000</v>
      </c>
      <c r="G478" s="78">
        <v>6157895</v>
      </c>
      <c r="H478" s="56"/>
      <c r="I478" s="87">
        <f t="shared" si="41"/>
        <v>43008</v>
      </c>
    </row>
    <row r="479" customHeight="1" spans="1:9">
      <c r="A479" s="87">
        <f t="shared" si="40"/>
        <v>43008</v>
      </c>
      <c r="B479" s="87">
        <v>3</v>
      </c>
      <c r="C479" s="87">
        <f t="shared" si="42"/>
        <v>4</v>
      </c>
      <c r="D479" s="78">
        <v>8</v>
      </c>
      <c r="E479" s="87" t="s">
        <v>3717</v>
      </c>
      <c r="F479" s="78">
        <v>115600000</v>
      </c>
      <c r="G479" s="78">
        <v>6394737</v>
      </c>
      <c r="H479" s="56"/>
      <c r="I479" s="87">
        <f t="shared" si="41"/>
        <v>43009</v>
      </c>
    </row>
    <row r="480" customHeight="1" spans="1:9">
      <c r="A480" s="87">
        <f t="shared" si="40"/>
        <v>43009</v>
      </c>
      <c r="B480" s="87">
        <v>3</v>
      </c>
      <c r="C480" s="87">
        <f t="shared" si="42"/>
        <v>4</v>
      </c>
      <c r="D480" s="78">
        <v>9</v>
      </c>
      <c r="E480" s="87" t="s">
        <v>3717</v>
      </c>
      <c r="F480" s="78">
        <v>118100000</v>
      </c>
      <c r="G480" s="78">
        <v>6631579</v>
      </c>
      <c r="H480" s="56"/>
      <c r="I480" s="87">
        <f t="shared" si="41"/>
        <v>43010</v>
      </c>
    </row>
    <row r="481" customHeight="1" spans="1:9">
      <c r="A481" s="87">
        <f t="shared" si="40"/>
        <v>43010</v>
      </c>
      <c r="B481" s="87">
        <v>3</v>
      </c>
      <c r="C481" s="87">
        <f t="shared" si="42"/>
        <v>4</v>
      </c>
      <c r="D481" s="78">
        <v>10</v>
      </c>
      <c r="E481" s="87" t="s">
        <v>3717</v>
      </c>
      <c r="F481" s="78">
        <v>120600000</v>
      </c>
      <c r="G481" s="78">
        <v>6868421</v>
      </c>
      <c r="H481" s="56"/>
      <c r="I481" s="87">
        <f t="shared" si="41"/>
        <v>43011</v>
      </c>
    </row>
    <row r="482" customHeight="1" spans="1:9">
      <c r="A482" s="87">
        <f t="shared" si="40"/>
        <v>43011</v>
      </c>
      <c r="B482" s="87">
        <v>3</v>
      </c>
      <c r="C482" s="87">
        <f t="shared" si="42"/>
        <v>4</v>
      </c>
      <c r="D482" s="78">
        <v>11</v>
      </c>
      <c r="E482" s="87" t="s">
        <v>3717</v>
      </c>
      <c r="F482" s="78">
        <v>123100000</v>
      </c>
      <c r="G482" s="78">
        <v>7105263</v>
      </c>
      <c r="H482" s="56"/>
      <c r="I482" s="87">
        <f t="shared" si="41"/>
        <v>43012</v>
      </c>
    </row>
    <row r="483" customHeight="1" spans="1:9">
      <c r="A483" s="87">
        <f t="shared" si="40"/>
        <v>43012</v>
      </c>
      <c r="B483" s="87">
        <v>3</v>
      </c>
      <c r="C483" s="87">
        <f t="shared" si="42"/>
        <v>4</v>
      </c>
      <c r="D483" s="78">
        <v>12</v>
      </c>
      <c r="E483" s="87" t="s">
        <v>3717</v>
      </c>
      <c r="F483" s="78">
        <v>125600000</v>
      </c>
      <c r="G483" s="78">
        <v>7342105</v>
      </c>
      <c r="H483" s="56"/>
      <c r="I483" s="87">
        <f t="shared" si="41"/>
        <v>43013</v>
      </c>
    </row>
    <row r="484" customHeight="1" spans="1:9">
      <c r="A484" s="87">
        <f t="shared" si="40"/>
        <v>43013</v>
      </c>
      <c r="B484" s="87">
        <v>3</v>
      </c>
      <c r="C484" s="87">
        <f t="shared" si="42"/>
        <v>4</v>
      </c>
      <c r="D484" s="78">
        <v>13</v>
      </c>
      <c r="E484" s="87" t="s">
        <v>3717</v>
      </c>
      <c r="F484" s="78">
        <v>128200000</v>
      </c>
      <c r="G484" s="78">
        <v>7578947</v>
      </c>
      <c r="H484" s="56"/>
      <c r="I484" s="87">
        <f t="shared" si="41"/>
        <v>43014</v>
      </c>
    </row>
    <row r="485" customHeight="1" spans="1:9">
      <c r="A485" s="87">
        <f t="shared" si="40"/>
        <v>43014</v>
      </c>
      <c r="B485" s="87">
        <v>3</v>
      </c>
      <c r="C485" s="87">
        <f t="shared" si="42"/>
        <v>4</v>
      </c>
      <c r="D485" s="78">
        <v>14</v>
      </c>
      <c r="E485" s="87" t="s">
        <v>3717</v>
      </c>
      <c r="F485" s="78">
        <v>130700000</v>
      </c>
      <c r="G485" s="78">
        <v>7815789</v>
      </c>
      <c r="H485" s="56"/>
      <c r="I485" s="87">
        <f t="shared" si="41"/>
        <v>43015</v>
      </c>
    </row>
    <row r="486" customHeight="1" spans="1:9">
      <c r="A486" s="87">
        <f t="shared" si="40"/>
        <v>43015</v>
      </c>
      <c r="B486" s="87">
        <v>3</v>
      </c>
      <c r="C486" s="87">
        <f t="shared" si="42"/>
        <v>4</v>
      </c>
      <c r="D486" s="78">
        <v>15</v>
      </c>
      <c r="E486" s="87" t="s">
        <v>3717</v>
      </c>
      <c r="F486" s="78">
        <v>133200000</v>
      </c>
      <c r="G486" s="78">
        <v>8052632</v>
      </c>
      <c r="H486" s="56"/>
      <c r="I486" s="87">
        <f t="shared" si="41"/>
        <v>43016</v>
      </c>
    </row>
    <row r="487" customHeight="1" spans="1:9">
      <c r="A487" s="87">
        <f t="shared" si="40"/>
        <v>43016</v>
      </c>
      <c r="B487" s="87">
        <v>3</v>
      </c>
      <c r="C487" s="87">
        <f t="shared" si="42"/>
        <v>4</v>
      </c>
      <c r="D487" s="78">
        <v>16</v>
      </c>
      <c r="E487" s="87" t="s">
        <v>3717</v>
      </c>
      <c r="F487" s="78">
        <v>177800000</v>
      </c>
      <c r="G487" s="78">
        <v>8289474</v>
      </c>
      <c r="H487" s="56"/>
      <c r="I487" s="87">
        <f t="shared" si="41"/>
        <v>43017</v>
      </c>
    </row>
    <row r="488" customHeight="1" spans="1:9">
      <c r="A488" s="87">
        <f t="shared" si="40"/>
        <v>43017</v>
      </c>
      <c r="B488" s="87">
        <v>3</v>
      </c>
      <c r="C488" s="87">
        <f t="shared" si="42"/>
        <v>4</v>
      </c>
      <c r="D488" s="78">
        <v>17</v>
      </c>
      <c r="E488" s="87" t="s">
        <v>3717</v>
      </c>
      <c r="F488" s="78">
        <v>181100000</v>
      </c>
      <c r="G488" s="78">
        <v>8526316</v>
      </c>
      <c r="H488" s="56"/>
      <c r="I488" s="87">
        <f t="shared" si="41"/>
        <v>43018</v>
      </c>
    </row>
    <row r="489" customHeight="1" spans="1:9">
      <c r="A489" s="87">
        <f t="shared" si="40"/>
        <v>43018</v>
      </c>
      <c r="B489" s="87">
        <v>3</v>
      </c>
      <c r="C489" s="87">
        <f t="shared" si="42"/>
        <v>4</v>
      </c>
      <c r="D489" s="78">
        <v>18</v>
      </c>
      <c r="E489" s="87" t="s">
        <v>3717</v>
      </c>
      <c r="F489" s="78">
        <v>184300000</v>
      </c>
      <c r="G489" s="78">
        <v>8763158</v>
      </c>
      <c r="H489" s="56"/>
      <c r="I489" s="87">
        <f t="shared" si="41"/>
        <v>43019</v>
      </c>
    </row>
    <row r="490" customHeight="1" spans="1:9">
      <c r="A490" s="87">
        <f t="shared" si="40"/>
        <v>43019</v>
      </c>
      <c r="B490" s="87">
        <v>3</v>
      </c>
      <c r="C490" s="87">
        <f t="shared" si="42"/>
        <v>4</v>
      </c>
      <c r="D490" s="78">
        <v>19</v>
      </c>
      <c r="E490" s="87" t="s">
        <v>3717</v>
      </c>
      <c r="F490" s="78">
        <v>187600000</v>
      </c>
      <c r="G490" s="78">
        <v>9000000</v>
      </c>
      <c r="H490" s="56"/>
      <c r="I490" s="87">
        <f t="shared" si="41"/>
        <v>43020</v>
      </c>
    </row>
    <row r="491" customHeight="1" spans="1:9">
      <c r="A491" s="87">
        <f t="shared" si="40"/>
        <v>43020</v>
      </c>
      <c r="B491" s="87">
        <v>3</v>
      </c>
      <c r="C491" s="87">
        <f t="shared" si="42"/>
        <v>4</v>
      </c>
      <c r="D491" s="78">
        <v>20</v>
      </c>
      <c r="E491" s="87" t="s">
        <v>3717</v>
      </c>
      <c r="F491" s="78">
        <v>190800000</v>
      </c>
      <c r="G491" s="78">
        <v>9236842</v>
      </c>
      <c r="H491" s="56"/>
      <c r="I491" s="87">
        <f t="shared" si="41"/>
        <v>43021</v>
      </c>
    </row>
    <row r="492" customHeight="1" spans="1:9">
      <c r="A492" s="87">
        <f t="shared" si="40"/>
        <v>43021</v>
      </c>
      <c r="B492" s="87">
        <v>3</v>
      </c>
      <c r="C492" s="87">
        <f t="shared" si="42"/>
        <v>4</v>
      </c>
      <c r="D492" s="78">
        <v>21</v>
      </c>
      <c r="E492" s="87" t="s">
        <v>3717</v>
      </c>
      <c r="F492" s="78">
        <v>194000000</v>
      </c>
      <c r="G492" s="78">
        <v>9473684</v>
      </c>
      <c r="H492" s="56"/>
      <c r="I492" s="87">
        <f t="shared" si="41"/>
        <v>43022</v>
      </c>
    </row>
    <row r="493" customHeight="1" spans="1:9">
      <c r="A493" s="87">
        <f t="shared" si="40"/>
        <v>43022</v>
      </c>
      <c r="B493" s="87">
        <v>3</v>
      </c>
      <c r="C493" s="87">
        <f t="shared" si="42"/>
        <v>4</v>
      </c>
      <c r="D493" s="78">
        <v>22</v>
      </c>
      <c r="E493" s="87" t="s">
        <v>3717</v>
      </c>
      <c r="F493" s="78">
        <v>197300000</v>
      </c>
      <c r="G493" s="78">
        <v>9710526</v>
      </c>
      <c r="H493" s="56"/>
      <c r="I493" s="87">
        <f t="shared" si="41"/>
        <v>43023</v>
      </c>
    </row>
    <row r="494" customHeight="1" spans="1:9">
      <c r="A494" s="87">
        <f t="shared" si="40"/>
        <v>43023</v>
      </c>
      <c r="B494" s="87">
        <v>3</v>
      </c>
      <c r="C494" s="87">
        <f t="shared" si="42"/>
        <v>4</v>
      </c>
      <c r="D494" s="78">
        <v>23</v>
      </c>
      <c r="E494" s="87" t="s">
        <v>3717</v>
      </c>
      <c r="F494" s="78">
        <v>258100000</v>
      </c>
      <c r="G494" s="78">
        <v>9947368</v>
      </c>
      <c r="H494" s="56"/>
      <c r="I494" s="87">
        <f t="shared" si="41"/>
        <v>43024</v>
      </c>
    </row>
    <row r="495" customHeight="1" spans="1:9">
      <c r="A495" s="87">
        <f t="shared" si="40"/>
        <v>43024</v>
      </c>
      <c r="B495" s="87">
        <v>3</v>
      </c>
      <c r="C495" s="87">
        <f t="shared" si="42"/>
        <v>4</v>
      </c>
      <c r="D495" s="78">
        <v>24</v>
      </c>
      <c r="E495" s="87" t="s">
        <v>3717</v>
      </c>
      <c r="F495" s="78">
        <v>263500000</v>
      </c>
      <c r="G495" s="78">
        <v>10184211</v>
      </c>
      <c r="H495" s="56"/>
      <c r="I495" s="87">
        <f t="shared" si="41"/>
        <v>43025</v>
      </c>
    </row>
    <row r="496" customHeight="1" spans="1:9">
      <c r="A496" s="87">
        <f t="shared" si="40"/>
        <v>43025</v>
      </c>
      <c r="B496" s="87">
        <v>3</v>
      </c>
      <c r="C496" s="87">
        <f t="shared" si="42"/>
        <v>4</v>
      </c>
      <c r="D496" s="78">
        <v>25</v>
      </c>
      <c r="E496" s="87" t="s">
        <v>3717</v>
      </c>
      <c r="F496" s="78">
        <v>268900000</v>
      </c>
      <c r="G496" s="78">
        <v>10421053</v>
      </c>
      <c r="H496" s="56"/>
      <c r="I496" s="87">
        <f t="shared" si="41"/>
        <v>43026</v>
      </c>
    </row>
    <row r="497" customHeight="1" spans="1:9">
      <c r="A497" s="87">
        <f t="shared" si="40"/>
        <v>43026</v>
      </c>
      <c r="B497" s="87">
        <v>3</v>
      </c>
      <c r="C497" s="87">
        <f t="shared" si="42"/>
        <v>4</v>
      </c>
      <c r="D497" s="78">
        <v>26</v>
      </c>
      <c r="E497" s="87" t="s">
        <v>3717</v>
      </c>
      <c r="F497" s="78">
        <v>274300000</v>
      </c>
      <c r="G497" s="78">
        <v>10657895</v>
      </c>
      <c r="H497" s="56"/>
      <c r="I497" s="87">
        <f t="shared" si="41"/>
        <v>43027</v>
      </c>
    </row>
    <row r="498" customHeight="1" spans="1:9">
      <c r="A498" s="87">
        <f t="shared" si="40"/>
        <v>43027</v>
      </c>
      <c r="B498" s="87">
        <v>3</v>
      </c>
      <c r="C498" s="87">
        <f t="shared" si="42"/>
        <v>4</v>
      </c>
      <c r="D498" s="78">
        <v>27</v>
      </c>
      <c r="E498" s="87" t="s">
        <v>3717</v>
      </c>
      <c r="F498" s="78">
        <v>279700000</v>
      </c>
      <c r="G498" s="78">
        <v>10894737</v>
      </c>
      <c r="H498" s="56"/>
      <c r="I498" s="87">
        <f t="shared" si="41"/>
        <v>43028</v>
      </c>
    </row>
    <row r="499" customHeight="1" spans="1:9">
      <c r="A499" s="87">
        <f t="shared" si="40"/>
        <v>43028</v>
      </c>
      <c r="B499" s="87">
        <v>3</v>
      </c>
      <c r="C499" s="87">
        <f t="shared" si="42"/>
        <v>4</v>
      </c>
      <c r="D499" s="78">
        <v>28</v>
      </c>
      <c r="E499" s="87" t="s">
        <v>3717</v>
      </c>
      <c r="F499" s="78">
        <v>285100000</v>
      </c>
      <c r="G499" s="78">
        <v>11131579</v>
      </c>
      <c r="H499" s="56"/>
      <c r="I499" s="87">
        <f t="shared" si="41"/>
        <v>43029</v>
      </c>
    </row>
    <row r="500" customHeight="1" spans="1:9">
      <c r="A500" s="87">
        <f t="shared" si="40"/>
        <v>43029</v>
      </c>
      <c r="B500" s="87">
        <v>3</v>
      </c>
      <c r="C500" s="87">
        <f t="shared" si="42"/>
        <v>4</v>
      </c>
      <c r="D500" s="78">
        <v>29</v>
      </c>
      <c r="E500" s="87" t="s">
        <v>3717</v>
      </c>
      <c r="F500" s="78">
        <v>290500000</v>
      </c>
      <c r="G500" s="78">
        <v>11368421</v>
      </c>
      <c r="H500" s="56"/>
      <c r="I500" s="87">
        <f t="shared" si="41"/>
        <v>43030</v>
      </c>
    </row>
    <row r="501" customHeight="1" spans="1:9">
      <c r="A501" s="87">
        <f t="shared" si="40"/>
        <v>43030</v>
      </c>
      <c r="B501" s="87">
        <v>3</v>
      </c>
      <c r="C501" s="87">
        <f t="shared" si="42"/>
        <v>4</v>
      </c>
      <c r="D501" s="78">
        <v>30</v>
      </c>
      <c r="E501" s="87" t="s">
        <v>3717</v>
      </c>
      <c r="F501" s="78"/>
      <c r="G501" s="78">
        <v>11605263</v>
      </c>
      <c r="H501" s="56"/>
      <c r="I501" s="87"/>
    </row>
    <row r="502" customHeight="1" spans="1:9">
      <c r="A502" s="87">
        <f t="shared" si="40"/>
        <v>53000</v>
      </c>
      <c r="B502" s="87">
        <v>3</v>
      </c>
      <c r="C502" s="83">
        <v>5</v>
      </c>
      <c r="D502" s="78"/>
      <c r="E502" s="87" t="s">
        <v>3717</v>
      </c>
      <c r="F502" s="78">
        <v>4440000000</v>
      </c>
      <c r="G502" s="78"/>
      <c r="H502" s="66"/>
      <c r="I502" s="87">
        <f t="shared" ref="I502:I531" si="43">A503</f>
        <v>53001</v>
      </c>
    </row>
    <row r="503" customHeight="1" spans="1:9">
      <c r="A503" s="87">
        <f t="shared" si="40"/>
        <v>53001</v>
      </c>
      <c r="B503" s="87">
        <v>3</v>
      </c>
      <c r="C503" s="83">
        <v>5</v>
      </c>
      <c r="D503" s="78">
        <v>1</v>
      </c>
      <c r="E503" s="87" t="s">
        <v>3717</v>
      </c>
      <c r="F503" s="78">
        <v>207500000</v>
      </c>
      <c r="G503" s="78">
        <v>9473684</v>
      </c>
      <c r="H503" s="66"/>
      <c r="I503" s="87">
        <f t="shared" si="43"/>
        <v>53002</v>
      </c>
    </row>
    <row r="504" customHeight="1" spans="1:9">
      <c r="A504" s="87">
        <f t="shared" si="40"/>
        <v>53002</v>
      </c>
      <c r="B504" s="87">
        <v>3</v>
      </c>
      <c r="C504" s="83">
        <v>5</v>
      </c>
      <c r="D504" s="78">
        <v>2</v>
      </c>
      <c r="E504" s="87" t="s">
        <v>3717</v>
      </c>
      <c r="F504" s="78">
        <v>211300000</v>
      </c>
      <c r="G504" s="78">
        <v>9868421</v>
      </c>
      <c r="H504" s="66"/>
      <c r="I504" s="87">
        <f t="shared" si="43"/>
        <v>53003</v>
      </c>
    </row>
    <row r="505" customHeight="1" spans="1:9">
      <c r="A505" s="87">
        <f t="shared" si="40"/>
        <v>53003</v>
      </c>
      <c r="B505" s="87">
        <v>3</v>
      </c>
      <c r="C505" s="83">
        <v>5</v>
      </c>
      <c r="D505" s="78">
        <v>3</v>
      </c>
      <c r="E505" s="87" t="s">
        <v>3717</v>
      </c>
      <c r="F505" s="78">
        <v>215000000</v>
      </c>
      <c r="G505" s="78">
        <v>10263158</v>
      </c>
      <c r="H505" s="66"/>
      <c r="I505" s="87">
        <f t="shared" si="43"/>
        <v>53004</v>
      </c>
    </row>
    <row r="506" customHeight="1" spans="1:9">
      <c r="A506" s="87">
        <f t="shared" si="40"/>
        <v>53004</v>
      </c>
      <c r="B506" s="87">
        <v>3</v>
      </c>
      <c r="C506" s="83">
        <v>5</v>
      </c>
      <c r="D506" s="78">
        <v>4</v>
      </c>
      <c r="E506" s="87" t="s">
        <v>3717</v>
      </c>
      <c r="F506" s="78">
        <v>218800000</v>
      </c>
      <c r="G506" s="78">
        <v>10657895</v>
      </c>
      <c r="H506" s="66"/>
      <c r="I506" s="87">
        <f t="shared" si="43"/>
        <v>53005</v>
      </c>
    </row>
    <row r="507" customHeight="1" spans="1:9">
      <c r="A507" s="87">
        <f t="shared" si="40"/>
        <v>53005</v>
      </c>
      <c r="B507" s="87">
        <v>3</v>
      </c>
      <c r="C507" s="83">
        <v>5</v>
      </c>
      <c r="D507" s="78">
        <v>5</v>
      </c>
      <c r="E507" s="87" t="s">
        <v>3717</v>
      </c>
      <c r="F507" s="78">
        <v>222600000</v>
      </c>
      <c r="G507" s="78">
        <v>11052632</v>
      </c>
      <c r="H507" s="66"/>
      <c r="I507" s="87">
        <f t="shared" si="43"/>
        <v>53006</v>
      </c>
    </row>
    <row r="508" customHeight="1" spans="1:9">
      <c r="A508" s="87">
        <f t="shared" si="40"/>
        <v>53006</v>
      </c>
      <c r="B508" s="87">
        <v>3</v>
      </c>
      <c r="C508" s="83">
        <v>5</v>
      </c>
      <c r="D508" s="78">
        <v>6</v>
      </c>
      <c r="E508" s="87" t="s">
        <v>3717</v>
      </c>
      <c r="F508" s="78">
        <v>226400000</v>
      </c>
      <c r="G508" s="78">
        <v>11447368</v>
      </c>
      <c r="H508" s="66"/>
      <c r="I508" s="87">
        <f t="shared" si="43"/>
        <v>53007</v>
      </c>
    </row>
    <row r="509" customHeight="1" spans="1:9">
      <c r="A509" s="87">
        <f t="shared" si="40"/>
        <v>53007</v>
      </c>
      <c r="B509" s="87">
        <v>3</v>
      </c>
      <c r="C509" s="83">
        <v>5</v>
      </c>
      <c r="D509" s="78">
        <v>7</v>
      </c>
      <c r="E509" s="87" t="s">
        <v>3717</v>
      </c>
      <c r="F509" s="78">
        <v>230200000</v>
      </c>
      <c r="G509" s="78">
        <v>11842105</v>
      </c>
      <c r="H509" s="66"/>
      <c r="I509" s="87">
        <f t="shared" si="43"/>
        <v>53008</v>
      </c>
    </row>
    <row r="510" customHeight="1" spans="1:9">
      <c r="A510" s="87">
        <f t="shared" si="40"/>
        <v>53008</v>
      </c>
      <c r="B510" s="87">
        <v>3</v>
      </c>
      <c r="C510" s="83">
        <v>5</v>
      </c>
      <c r="D510" s="78">
        <v>8</v>
      </c>
      <c r="E510" s="87" t="s">
        <v>3717</v>
      </c>
      <c r="F510" s="78">
        <v>301100000</v>
      </c>
      <c r="G510" s="78">
        <v>12236842</v>
      </c>
      <c r="H510" s="66"/>
      <c r="I510" s="87">
        <f t="shared" si="43"/>
        <v>53009</v>
      </c>
    </row>
    <row r="511" customHeight="1" spans="1:9">
      <c r="A511" s="87">
        <f t="shared" si="40"/>
        <v>53009</v>
      </c>
      <c r="B511" s="87">
        <v>3</v>
      </c>
      <c r="C511" s="83">
        <v>5</v>
      </c>
      <c r="D511" s="78">
        <v>9</v>
      </c>
      <c r="E511" s="87" t="s">
        <v>3717</v>
      </c>
      <c r="F511" s="78">
        <v>307400000</v>
      </c>
      <c r="G511" s="78">
        <v>12631579</v>
      </c>
      <c r="H511" s="66"/>
      <c r="I511" s="87">
        <f t="shared" si="43"/>
        <v>53010</v>
      </c>
    </row>
    <row r="512" customHeight="1" spans="1:9">
      <c r="A512" s="87">
        <f t="shared" si="40"/>
        <v>53010</v>
      </c>
      <c r="B512" s="87">
        <v>3</v>
      </c>
      <c r="C512" s="83">
        <v>5</v>
      </c>
      <c r="D512" s="78">
        <v>10</v>
      </c>
      <c r="E512" s="87" t="s">
        <v>3717</v>
      </c>
      <c r="F512" s="78">
        <v>313700000</v>
      </c>
      <c r="G512" s="78">
        <v>13026316</v>
      </c>
      <c r="H512" s="66"/>
      <c r="I512" s="87">
        <f t="shared" si="43"/>
        <v>53011</v>
      </c>
    </row>
    <row r="513" customHeight="1" spans="1:9">
      <c r="A513" s="87">
        <f t="shared" si="40"/>
        <v>53011</v>
      </c>
      <c r="B513" s="87">
        <v>3</v>
      </c>
      <c r="C513" s="83">
        <v>5</v>
      </c>
      <c r="D513" s="78">
        <v>11</v>
      </c>
      <c r="E513" s="87" t="s">
        <v>3717</v>
      </c>
      <c r="F513" s="78">
        <v>320000000</v>
      </c>
      <c r="G513" s="78">
        <v>13421053</v>
      </c>
      <c r="H513" s="66"/>
      <c r="I513" s="87">
        <f t="shared" si="43"/>
        <v>53012</v>
      </c>
    </row>
    <row r="514" customHeight="1" spans="1:9">
      <c r="A514" s="87">
        <f t="shared" si="40"/>
        <v>53012</v>
      </c>
      <c r="B514" s="87">
        <v>3</v>
      </c>
      <c r="C514" s="83">
        <v>5</v>
      </c>
      <c r="D514" s="78">
        <v>12</v>
      </c>
      <c r="E514" s="87" t="s">
        <v>3717</v>
      </c>
      <c r="F514" s="78">
        <v>326300000</v>
      </c>
      <c r="G514" s="78">
        <v>13815789</v>
      </c>
      <c r="H514" s="66"/>
      <c r="I514" s="87">
        <f t="shared" si="43"/>
        <v>53013</v>
      </c>
    </row>
    <row r="515" customHeight="1" spans="1:9">
      <c r="A515" s="87">
        <f t="shared" si="40"/>
        <v>53013</v>
      </c>
      <c r="B515" s="87">
        <v>3</v>
      </c>
      <c r="C515" s="83">
        <v>5</v>
      </c>
      <c r="D515" s="78">
        <v>13</v>
      </c>
      <c r="E515" s="87" t="s">
        <v>3717</v>
      </c>
      <c r="F515" s="78">
        <v>332600000</v>
      </c>
      <c r="G515" s="78">
        <v>14210526</v>
      </c>
      <c r="H515" s="66"/>
      <c r="I515" s="87">
        <f t="shared" si="43"/>
        <v>53014</v>
      </c>
    </row>
    <row r="516" customHeight="1" spans="1:9">
      <c r="A516" s="87">
        <f t="shared" si="40"/>
        <v>53014</v>
      </c>
      <c r="B516" s="87">
        <v>3</v>
      </c>
      <c r="C516" s="83">
        <v>5</v>
      </c>
      <c r="D516" s="78">
        <v>14</v>
      </c>
      <c r="E516" s="87" t="s">
        <v>3717</v>
      </c>
      <c r="F516" s="78">
        <v>338900000</v>
      </c>
      <c r="G516" s="78">
        <v>14605263</v>
      </c>
      <c r="H516" s="66"/>
      <c r="I516" s="87">
        <f t="shared" si="43"/>
        <v>53015</v>
      </c>
    </row>
    <row r="517" customHeight="1" spans="1:9">
      <c r="A517" s="87">
        <f t="shared" si="40"/>
        <v>53015</v>
      </c>
      <c r="B517" s="87">
        <v>3</v>
      </c>
      <c r="C517" s="83">
        <v>5</v>
      </c>
      <c r="D517" s="78">
        <v>15</v>
      </c>
      <c r="E517" s="87" t="s">
        <v>3717</v>
      </c>
      <c r="F517" s="78">
        <v>345200000</v>
      </c>
      <c r="G517" s="78">
        <v>15000000</v>
      </c>
      <c r="H517" s="66"/>
      <c r="I517" s="87">
        <f t="shared" si="43"/>
        <v>53016</v>
      </c>
    </row>
    <row r="518" customHeight="1" spans="1:9">
      <c r="A518" s="87">
        <f t="shared" ref="A518:A563" si="44">C518*10000+B518*1000+D518</f>
        <v>53016</v>
      </c>
      <c r="B518" s="87">
        <v>3</v>
      </c>
      <c r="C518" s="83">
        <v>5</v>
      </c>
      <c r="D518" s="78">
        <v>16</v>
      </c>
      <c r="E518" s="87" t="s">
        <v>3717</v>
      </c>
      <c r="F518" s="78">
        <v>349900000</v>
      </c>
      <c r="G518" s="78">
        <v>15394737</v>
      </c>
      <c r="H518" s="66"/>
      <c r="I518" s="87">
        <f t="shared" si="43"/>
        <v>53017</v>
      </c>
    </row>
    <row r="519" customHeight="1" spans="1:9">
      <c r="A519" s="87">
        <f t="shared" si="44"/>
        <v>53017</v>
      </c>
      <c r="B519" s="87">
        <v>3</v>
      </c>
      <c r="C519" s="83">
        <v>5</v>
      </c>
      <c r="D519" s="78">
        <v>17</v>
      </c>
      <c r="E519" s="87" t="s">
        <v>3717</v>
      </c>
      <c r="F519" s="78">
        <v>354500000</v>
      </c>
      <c r="G519" s="78">
        <v>15789474</v>
      </c>
      <c r="H519" s="66"/>
      <c r="I519" s="87">
        <f t="shared" si="43"/>
        <v>53018</v>
      </c>
    </row>
    <row r="520" customHeight="1" spans="1:9">
      <c r="A520" s="87">
        <f t="shared" si="44"/>
        <v>53018</v>
      </c>
      <c r="B520" s="87">
        <v>3</v>
      </c>
      <c r="C520" s="83">
        <v>5</v>
      </c>
      <c r="D520" s="78">
        <v>18</v>
      </c>
      <c r="E520" s="87" t="s">
        <v>3717</v>
      </c>
      <c r="F520" s="78">
        <v>359100000</v>
      </c>
      <c r="G520" s="78">
        <v>16184211</v>
      </c>
      <c r="H520" s="66"/>
      <c r="I520" s="87">
        <f t="shared" si="43"/>
        <v>53019</v>
      </c>
    </row>
    <row r="521" customHeight="1" spans="1:9">
      <c r="A521" s="87">
        <f t="shared" si="44"/>
        <v>53019</v>
      </c>
      <c r="B521" s="87">
        <v>3</v>
      </c>
      <c r="C521" s="83">
        <v>5</v>
      </c>
      <c r="D521" s="78">
        <v>19</v>
      </c>
      <c r="E521" s="87" t="s">
        <v>3717</v>
      </c>
      <c r="F521" s="78">
        <v>363700000</v>
      </c>
      <c r="G521" s="78">
        <v>16578947</v>
      </c>
      <c r="H521" s="66"/>
      <c r="I521" s="87">
        <f t="shared" si="43"/>
        <v>53020</v>
      </c>
    </row>
    <row r="522" customHeight="1" spans="1:9">
      <c r="A522" s="87">
        <f t="shared" si="44"/>
        <v>53020</v>
      </c>
      <c r="B522" s="87">
        <v>3</v>
      </c>
      <c r="C522" s="83">
        <v>5</v>
      </c>
      <c r="D522" s="78">
        <v>20</v>
      </c>
      <c r="E522" s="87" t="s">
        <v>3717</v>
      </c>
      <c r="F522" s="78">
        <v>368300000</v>
      </c>
      <c r="G522" s="78">
        <v>16973684</v>
      </c>
      <c r="H522" s="66"/>
      <c r="I522" s="87">
        <f t="shared" si="43"/>
        <v>53021</v>
      </c>
    </row>
    <row r="523" customHeight="1" spans="1:9">
      <c r="A523" s="87">
        <f t="shared" si="44"/>
        <v>53021</v>
      </c>
      <c r="B523" s="87">
        <v>3</v>
      </c>
      <c r="C523" s="83">
        <v>5</v>
      </c>
      <c r="D523" s="78">
        <v>21</v>
      </c>
      <c r="E523" s="87" t="s">
        <v>3717</v>
      </c>
      <c r="F523" s="78">
        <v>373000000</v>
      </c>
      <c r="G523" s="78">
        <v>17368421</v>
      </c>
      <c r="H523" s="66"/>
      <c r="I523" s="87">
        <f t="shared" si="43"/>
        <v>53022</v>
      </c>
    </row>
    <row r="524" customHeight="1" spans="1:9">
      <c r="A524" s="87">
        <f t="shared" si="44"/>
        <v>53022</v>
      </c>
      <c r="B524" s="87">
        <v>3</v>
      </c>
      <c r="C524" s="83">
        <v>5</v>
      </c>
      <c r="D524" s="78">
        <v>22</v>
      </c>
      <c r="E524" s="87" t="s">
        <v>3717</v>
      </c>
      <c r="F524" s="78">
        <v>377600000</v>
      </c>
      <c r="G524" s="78">
        <v>17763158</v>
      </c>
      <c r="H524" s="66"/>
      <c r="I524" s="87">
        <f t="shared" si="43"/>
        <v>53023</v>
      </c>
    </row>
    <row r="525" customHeight="1" spans="1:9">
      <c r="A525" s="87">
        <f t="shared" si="44"/>
        <v>53023</v>
      </c>
      <c r="B525" s="87">
        <v>3</v>
      </c>
      <c r="C525" s="83">
        <v>5</v>
      </c>
      <c r="D525" s="78">
        <v>23</v>
      </c>
      <c r="E525" s="87" t="s">
        <v>3717</v>
      </c>
      <c r="F525" s="78">
        <v>382200000</v>
      </c>
      <c r="G525" s="78">
        <v>18157895</v>
      </c>
      <c r="H525" s="66"/>
      <c r="I525" s="87">
        <f t="shared" si="43"/>
        <v>53024</v>
      </c>
    </row>
    <row r="526" customHeight="1" spans="1:9">
      <c r="A526" s="87">
        <f t="shared" si="44"/>
        <v>53024</v>
      </c>
      <c r="B526" s="87">
        <v>3</v>
      </c>
      <c r="C526" s="83">
        <v>5</v>
      </c>
      <c r="D526" s="78">
        <v>24</v>
      </c>
      <c r="E526" s="87" t="s">
        <v>3717</v>
      </c>
      <c r="F526" s="78">
        <v>386800000</v>
      </c>
      <c r="G526" s="78">
        <v>18552632</v>
      </c>
      <c r="H526" s="66"/>
      <c r="I526" s="87">
        <f t="shared" si="43"/>
        <v>53025</v>
      </c>
    </row>
    <row r="527" customHeight="1" spans="1:9">
      <c r="A527" s="87">
        <f t="shared" si="44"/>
        <v>53025</v>
      </c>
      <c r="B527" s="87">
        <v>3</v>
      </c>
      <c r="C527" s="83">
        <v>5</v>
      </c>
      <c r="D527" s="78">
        <v>25</v>
      </c>
      <c r="E527" s="87" t="s">
        <v>3717</v>
      </c>
      <c r="F527" s="78">
        <v>391400000</v>
      </c>
      <c r="G527" s="78">
        <v>18947368</v>
      </c>
      <c r="H527" s="66"/>
      <c r="I527" s="87">
        <f t="shared" si="43"/>
        <v>53026</v>
      </c>
    </row>
    <row r="528" customHeight="1" spans="1:9">
      <c r="A528" s="87">
        <f t="shared" si="44"/>
        <v>53026</v>
      </c>
      <c r="B528" s="87">
        <v>3</v>
      </c>
      <c r="C528" s="83">
        <v>5</v>
      </c>
      <c r="D528" s="78">
        <v>26</v>
      </c>
      <c r="E528" s="87" t="s">
        <v>3717</v>
      </c>
      <c r="F528" s="78">
        <v>396100000</v>
      </c>
      <c r="G528" s="78">
        <v>19342105</v>
      </c>
      <c r="H528" s="66"/>
      <c r="I528" s="87">
        <f t="shared" si="43"/>
        <v>53027</v>
      </c>
    </row>
    <row r="529" customHeight="1" spans="1:9">
      <c r="A529" s="87">
        <f t="shared" si="44"/>
        <v>53027</v>
      </c>
      <c r="B529" s="87">
        <v>3</v>
      </c>
      <c r="C529" s="83">
        <v>5</v>
      </c>
      <c r="D529" s="78">
        <v>27</v>
      </c>
      <c r="E529" s="87" t="s">
        <v>3717</v>
      </c>
      <c r="F529" s="78">
        <v>400700000</v>
      </c>
      <c r="G529" s="78">
        <v>19736842</v>
      </c>
      <c r="H529" s="66"/>
      <c r="I529" s="87">
        <f t="shared" si="43"/>
        <v>53028</v>
      </c>
    </row>
    <row r="530" customHeight="1" spans="1:9">
      <c r="A530" s="87">
        <f t="shared" si="44"/>
        <v>53028</v>
      </c>
      <c r="B530" s="87">
        <v>3</v>
      </c>
      <c r="C530" s="83">
        <v>5</v>
      </c>
      <c r="D530" s="78">
        <v>28</v>
      </c>
      <c r="E530" s="87" t="s">
        <v>3717</v>
      </c>
      <c r="F530" s="78">
        <v>405300000</v>
      </c>
      <c r="G530" s="78">
        <v>20131579</v>
      </c>
      <c r="H530" s="66"/>
      <c r="I530" s="87">
        <f t="shared" si="43"/>
        <v>53029</v>
      </c>
    </row>
    <row r="531" customHeight="1" spans="1:9">
      <c r="A531" s="87">
        <f t="shared" si="44"/>
        <v>53029</v>
      </c>
      <c r="B531" s="87">
        <v>3</v>
      </c>
      <c r="C531" s="83">
        <v>5</v>
      </c>
      <c r="D531" s="78">
        <v>29</v>
      </c>
      <c r="E531" s="87" t="s">
        <v>3717</v>
      </c>
      <c r="F531" s="78">
        <v>409900000</v>
      </c>
      <c r="G531" s="78">
        <v>20526316</v>
      </c>
      <c r="H531" s="66"/>
      <c r="I531" s="87">
        <f t="shared" si="43"/>
        <v>53030</v>
      </c>
    </row>
    <row r="532" customHeight="1" spans="1:9">
      <c r="A532" s="87">
        <f t="shared" si="44"/>
        <v>53030</v>
      </c>
      <c r="B532" s="87">
        <v>3</v>
      </c>
      <c r="C532" s="83">
        <v>5</v>
      </c>
      <c r="D532" s="78">
        <v>30</v>
      </c>
      <c r="E532" s="87" t="s">
        <v>3717</v>
      </c>
      <c r="F532" s="78"/>
      <c r="G532" s="78">
        <v>20921053</v>
      </c>
      <c r="H532" s="66"/>
      <c r="I532" s="87"/>
    </row>
    <row r="533" customHeight="1" spans="1:9">
      <c r="A533" s="87">
        <f t="shared" si="44"/>
        <v>63000</v>
      </c>
      <c r="B533" s="87">
        <v>3</v>
      </c>
      <c r="C533" s="83">
        <v>6</v>
      </c>
      <c r="D533" s="78"/>
      <c r="E533" s="87" t="s">
        <v>3717</v>
      </c>
      <c r="F533" s="78">
        <v>9860000000</v>
      </c>
      <c r="G533" s="78"/>
      <c r="H533" s="66"/>
      <c r="I533" s="87">
        <f t="shared" ref="I533:I562" si="45">A534</f>
        <v>63001</v>
      </c>
    </row>
    <row r="534" customHeight="1" spans="1:9">
      <c r="A534" s="87">
        <f t="shared" si="44"/>
        <v>63001</v>
      </c>
      <c r="B534" s="87">
        <v>3</v>
      </c>
      <c r="C534" s="83">
        <v>6</v>
      </c>
      <c r="D534" s="78">
        <v>1</v>
      </c>
      <c r="E534" s="87" t="s">
        <v>3717</v>
      </c>
      <c r="F534" s="78">
        <v>344200000</v>
      </c>
      <c r="G534" s="78">
        <v>15789474</v>
      </c>
      <c r="H534" s="66"/>
      <c r="I534" s="87">
        <f t="shared" si="45"/>
        <v>63002</v>
      </c>
    </row>
    <row r="535" customHeight="1" spans="1:9">
      <c r="A535" s="87">
        <f t="shared" si="44"/>
        <v>63002</v>
      </c>
      <c r="B535" s="87">
        <v>3</v>
      </c>
      <c r="C535" s="83">
        <v>6</v>
      </c>
      <c r="D535" s="78">
        <v>2</v>
      </c>
      <c r="E535" s="87" t="s">
        <v>3717</v>
      </c>
      <c r="F535" s="78">
        <v>351400000</v>
      </c>
      <c r="G535" s="78">
        <v>16381579</v>
      </c>
      <c r="H535" s="66"/>
      <c r="I535" s="87">
        <f t="shared" si="45"/>
        <v>63003</v>
      </c>
    </row>
    <row r="536" customHeight="1" spans="1:9">
      <c r="A536" s="87">
        <f t="shared" si="44"/>
        <v>63003</v>
      </c>
      <c r="B536" s="87">
        <v>3</v>
      </c>
      <c r="C536" s="83">
        <v>6</v>
      </c>
      <c r="D536" s="78">
        <v>3</v>
      </c>
      <c r="E536" s="87" t="s">
        <v>3717</v>
      </c>
      <c r="F536" s="78">
        <v>358600000</v>
      </c>
      <c r="G536" s="78">
        <v>16973684</v>
      </c>
      <c r="H536" s="66"/>
      <c r="I536" s="87">
        <f t="shared" si="45"/>
        <v>63004</v>
      </c>
    </row>
    <row r="537" customHeight="1" spans="1:9">
      <c r="A537" s="87">
        <f t="shared" si="44"/>
        <v>63004</v>
      </c>
      <c r="B537" s="87">
        <v>3</v>
      </c>
      <c r="C537" s="83">
        <v>6</v>
      </c>
      <c r="D537" s="78">
        <v>4</v>
      </c>
      <c r="E537" s="87" t="s">
        <v>3717</v>
      </c>
      <c r="F537" s="78">
        <v>365800000</v>
      </c>
      <c r="G537" s="78">
        <v>17565789</v>
      </c>
      <c r="H537" s="66"/>
      <c r="I537" s="87">
        <f t="shared" si="45"/>
        <v>63005</v>
      </c>
    </row>
    <row r="538" customHeight="1" spans="1:9">
      <c r="A538" s="87">
        <f t="shared" si="44"/>
        <v>63005</v>
      </c>
      <c r="B538" s="87">
        <v>3</v>
      </c>
      <c r="C538" s="83">
        <v>6</v>
      </c>
      <c r="D538" s="78">
        <v>5</v>
      </c>
      <c r="E538" s="87" t="s">
        <v>3717</v>
      </c>
      <c r="F538" s="78">
        <v>373000000</v>
      </c>
      <c r="G538" s="78">
        <v>18157895</v>
      </c>
      <c r="H538" s="66"/>
      <c r="I538" s="87">
        <f t="shared" si="45"/>
        <v>63006</v>
      </c>
    </row>
    <row r="539" customHeight="1" spans="1:9">
      <c r="A539" s="87">
        <f t="shared" si="44"/>
        <v>63006</v>
      </c>
      <c r="B539" s="87">
        <v>3</v>
      </c>
      <c r="C539" s="83">
        <v>6</v>
      </c>
      <c r="D539" s="78">
        <v>6</v>
      </c>
      <c r="E539" s="87" t="s">
        <v>3717</v>
      </c>
      <c r="F539" s="78">
        <v>380200000</v>
      </c>
      <c r="G539" s="78">
        <v>18750000</v>
      </c>
      <c r="H539" s="66"/>
      <c r="I539" s="87">
        <f t="shared" si="45"/>
        <v>63007</v>
      </c>
    </row>
    <row r="540" customHeight="1" spans="1:9">
      <c r="A540" s="87">
        <f t="shared" si="44"/>
        <v>63007</v>
      </c>
      <c r="B540" s="87">
        <v>3</v>
      </c>
      <c r="C540" s="83">
        <v>6</v>
      </c>
      <c r="D540" s="78">
        <v>7</v>
      </c>
      <c r="E540" s="87" t="s">
        <v>3717</v>
      </c>
      <c r="F540" s="78">
        <v>387400000</v>
      </c>
      <c r="G540" s="78">
        <v>19342105</v>
      </c>
      <c r="H540" s="66"/>
      <c r="I540" s="87">
        <f t="shared" si="45"/>
        <v>63008</v>
      </c>
    </row>
    <row r="541" customHeight="1" spans="1:9">
      <c r="A541" s="87">
        <f t="shared" si="44"/>
        <v>63008</v>
      </c>
      <c r="B541" s="87">
        <v>3</v>
      </c>
      <c r="C541" s="83">
        <v>6</v>
      </c>
      <c r="D541" s="78">
        <v>8</v>
      </c>
      <c r="E541" s="87" t="s">
        <v>3717</v>
      </c>
      <c r="F541" s="78">
        <v>394600000</v>
      </c>
      <c r="G541" s="78">
        <v>19934211</v>
      </c>
      <c r="H541" s="66"/>
      <c r="I541" s="87">
        <f t="shared" si="45"/>
        <v>63009</v>
      </c>
    </row>
    <row r="542" customHeight="1" spans="1:9">
      <c r="A542" s="87">
        <f t="shared" si="44"/>
        <v>63009</v>
      </c>
      <c r="B542" s="87">
        <v>3</v>
      </c>
      <c r="C542" s="83">
        <v>6</v>
      </c>
      <c r="D542" s="78">
        <v>9</v>
      </c>
      <c r="E542" s="87" t="s">
        <v>3717</v>
      </c>
      <c r="F542" s="78">
        <v>399800000</v>
      </c>
      <c r="G542" s="78">
        <v>20526316</v>
      </c>
      <c r="H542" s="66"/>
      <c r="I542" s="87">
        <f t="shared" si="45"/>
        <v>63010</v>
      </c>
    </row>
    <row r="543" customHeight="1" spans="1:9">
      <c r="A543" s="87">
        <f t="shared" si="44"/>
        <v>63010</v>
      </c>
      <c r="B543" s="87">
        <v>3</v>
      </c>
      <c r="C543" s="83">
        <v>6</v>
      </c>
      <c r="D543" s="78">
        <v>10</v>
      </c>
      <c r="E543" s="87" t="s">
        <v>3717</v>
      </c>
      <c r="F543" s="78">
        <v>405100000</v>
      </c>
      <c r="G543" s="78">
        <v>21118421</v>
      </c>
      <c r="H543" s="66"/>
      <c r="I543" s="87">
        <f t="shared" si="45"/>
        <v>63011</v>
      </c>
    </row>
    <row r="544" customHeight="1" spans="1:9">
      <c r="A544" s="87">
        <f t="shared" si="44"/>
        <v>63011</v>
      </c>
      <c r="B544" s="87">
        <v>3</v>
      </c>
      <c r="C544" s="83">
        <v>6</v>
      </c>
      <c r="D544" s="78">
        <v>11</v>
      </c>
      <c r="E544" s="87" t="s">
        <v>3717</v>
      </c>
      <c r="F544" s="78">
        <v>410400000</v>
      </c>
      <c r="G544" s="78">
        <v>21710526</v>
      </c>
      <c r="H544" s="66"/>
      <c r="I544" s="87">
        <f t="shared" si="45"/>
        <v>63012</v>
      </c>
    </row>
    <row r="545" customHeight="1" spans="1:9">
      <c r="A545" s="87">
        <f t="shared" si="44"/>
        <v>63012</v>
      </c>
      <c r="B545" s="87">
        <v>3</v>
      </c>
      <c r="C545" s="83">
        <v>6</v>
      </c>
      <c r="D545" s="78">
        <v>12</v>
      </c>
      <c r="E545" s="87" t="s">
        <v>3717</v>
      </c>
      <c r="F545" s="78">
        <v>415700000</v>
      </c>
      <c r="G545" s="78">
        <v>22302632</v>
      </c>
      <c r="H545" s="66"/>
      <c r="I545" s="87">
        <f t="shared" si="45"/>
        <v>63013</v>
      </c>
    </row>
    <row r="546" customHeight="1" spans="1:9">
      <c r="A546" s="87">
        <f t="shared" si="44"/>
        <v>63013</v>
      </c>
      <c r="B546" s="87">
        <v>3</v>
      </c>
      <c r="C546" s="83">
        <v>6</v>
      </c>
      <c r="D546" s="78">
        <v>13</v>
      </c>
      <c r="E546" s="87" t="s">
        <v>3717</v>
      </c>
      <c r="F546" s="78">
        <v>421000000</v>
      </c>
      <c r="G546" s="78">
        <v>22894737</v>
      </c>
      <c r="H546" s="66"/>
      <c r="I546" s="87">
        <f t="shared" si="45"/>
        <v>63014</v>
      </c>
    </row>
    <row r="547" customHeight="1" spans="1:9">
      <c r="A547" s="87">
        <f t="shared" si="44"/>
        <v>63014</v>
      </c>
      <c r="B547" s="87">
        <v>3</v>
      </c>
      <c r="C547" s="83">
        <v>6</v>
      </c>
      <c r="D547" s="78">
        <v>14</v>
      </c>
      <c r="E547" s="87" t="s">
        <v>3717</v>
      </c>
      <c r="F547" s="78">
        <v>426200000</v>
      </c>
      <c r="G547" s="78">
        <v>23486842</v>
      </c>
      <c r="H547" s="66"/>
      <c r="I547" s="87">
        <f t="shared" si="45"/>
        <v>63015</v>
      </c>
    </row>
    <row r="548" customHeight="1" spans="1:9">
      <c r="A548" s="87">
        <f t="shared" si="44"/>
        <v>63015</v>
      </c>
      <c r="B548" s="87">
        <v>3</v>
      </c>
      <c r="C548" s="83">
        <v>6</v>
      </c>
      <c r="D548" s="78">
        <v>15</v>
      </c>
      <c r="E548" s="87" t="s">
        <v>3717</v>
      </c>
      <c r="F548" s="78">
        <v>431500000</v>
      </c>
      <c r="G548" s="78">
        <v>24078947</v>
      </c>
      <c r="H548" s="66"/>
      <c r="I548" s="87">
        <f t="shared" si="45"/>
        <v>63016</v>
      </c>
    </row>
    <row r="549" customHeight="1" spans="1:9">
      <c r="A549" s="87">
        <f t="shared" si="44"/>
        <v>63016</v>
      </c>
      <c r="B549" s="87">
        <v>3</v>
      </c>
      <c r="C549" s="83">
        <v>6</v>
      </c>
      <c r="D549" s="78">
        <v>16</v>
      </c>
      <c r="E549" s="87" t="s">
        <v>3717</v>
      </c>
      <c r="F549" s="78">
        <v>436800000</v>
      </c>
      <c r="G549" s="78">
        <v>24671053</v>
      </c>
      <c r="H549" s="66"/>
      <c r="I549" s="87">
        <f t="shared" si="45"/>
        <v>63017</v>
      </c>
    </row>
    <row r="550" customHeight="1" spans="1:9">
      <c r="A550" s="87">
        <f t="shared" si="44"/>
        <v>63017</v>
      </c>
      <c r="B550" s="87">
        <v>3</v>
      </c>
      <c r="C550" s="83">
        <v>6</v>
      </c>
      <c r="D550" s="78">
        <v>17</v>
      </c>
      <c r="E550" s="87" t="s">
        <v>3717</v>
      </c>
      <c r="F550" s="78">
        <v>442100000</v>
      </c>
      <c r="G550" s="78">
        <v>25263158</v>
      </c>
      <c r="H550" s="66"/>
      <c r="I550" s="87">
        <f t="shared" si="45"/>
        <v>63018</v>
      </c>
    </row>
    <row r="551" customHeight="1" spans="1:9">
      <c r="A551" s="87">
        <f t="shared" si="44"/>
        <v>63018</v>
      </c>
      <c r="B551" s="87">
        <v>3</v>
      </c>
      <c r="C551" s="83">
        <v>6</v>
      </c>
      <c r="D551" s="78">
        <v>18</v>
      </c>
      <c r="E551" s="87" t="s">
        <v>3717</v>
      </c>
      <c r="F551" s="78">
        <v>447400000</v>
      </c>
      <c r="G551" s="78">
        <v>25855263</v>
      </c>
      <c r="H551" s="66"/>
      <c r="I551" s="87">
        <f t="shared" si="45"/>
        <v>63019</v>
      </c>
    </row>
    <row r="552" customHeight="1" spans="1:9">
      <c r="A552" s="87">
        <f t="shared" si="44"/>
        <v>63019</v>
      </c>
      <c r="B552" s="87">
        <v>3</v>
      </c>
      <c r="C552" s="83">
        <v>6</v>
      </c>
      <c r="D552" s="78">
        <v>19</v>
      </c>
      <c r="E552" s="87" t="s">
        <v>3717</v>
      </c>
      <c r="F552" s="78">
        <v>452600000</v>
      </c>
      <c r="G552" s="78">
        <v>26447368</v>
      </c>
      <c r="H552" s="66"/>
      <c r="I552" s="87">
        <f t="shared" si="45"/>
        <v>63020</v>
      </c>
    </row>
    <row r="553" customHeight="1" spans="1:9">
      <c r="A553" s="87">
        <f t="shared" si="44"/>
        <v>63020</v>
      </c>
      <c r="B553" s="87">
        <v>3</v>
      </c>
      <c r="C553" s="83">
        <v>6</v>
      </c>
      <c r="D553" s="78">
        <v>20</v>
      </c>
      <c r="E553" s="87" t="s">
        <v>3717</v>
      </c>
      <c r="F553" s="78">
        <v>457900000</v>
      </c>
      <c r="G553" s="78">
        <v>27039474</v>
      </c>
      <c r="H553" s="66"/>
      <c r="I553" s="87">
        <f t="shared" si="45"/>
        <v>63021</v>
      </c>
    </row>
    <row r="554" customHeight="1" spans="1:9">
      <c r="A554" s="87">
        <f t="shared" si="44"/>
        <v>63021</v>
      </c>
      <c r="B554" s="87">
        <v>3</v>
      </c>
      <c r="C554" s="83">
        <v>6</v>
      </c>
      <c r="D554" s="78">
        <v>21</v>
      </c>
      <c r="E554" s="87" t="s">
        <v>3717</v>
      </c>
      <c r="F554" s="78">
        <v>463200000</v>
      </c>
      <c r="G554" s="78">
        <v>27631579</v>
      </c>
      <c r="H554" s="66"/>
      <c r="I554" s="87">
        <f t="shared" si="45"/>
        <v>63022</v>
      </c>
    </row>
    <row r="555" customHeight="1" spans="1:9">
      <c r="A555" s="87">
        <f t="shared" si="44"/>
        <v>63022</v>
      </c>
      <c r="B555" s="87">
        <v>3</v>
      </c>
      <c r="C555" s="83">
        <v>6</v>
      </c>
      <c r="D555" s="78">
        <v>22</v>
      </c>
      <c r="E555" s="87" t="s">
        <v>3717</v>
      </c>
      <c r="F555" s="78">
        <v>468500000</v>
      </c>
      <c r="G555" s="78">
        <v>28223684</v>
      </c>
      <c r="H555" s="66"/>
      <c r="I555" s="87">
        <f t="shared" si="45"/>
        <v>63023</v>
      </c>
    </row>
    <row r="556" customHeight="1" spans="1:9">
      <c r="A556" s="87">
        <f t="shared" si="44"/>
        <v>63023</v>
      </c>
      <c r="B556" s="87">
        <v>3</v>
      </c>
      <c r="C556" s="83">
        <v>6</v>
      </c>
      <c r="D556" s="78">
        <v>23</v>
      </c>
      <c r="E556" s="87" t="s">
        <v>3717</v>
      </c>
      <c r="F556" s="78">
        <v>473800000</v>
      </c>
      <c r="G556" s="78">
        <v>28815789</v>
      </c>
      <c r="H556" s="66"/>
      <c r="I556" s="87">
        <f t="shared" si="45"/>
        <v>63024</v>
      </c>
    </row>
    <row r="557" customHeight="1" spans="1:9">
      <c r="A557" s="87">
        <f t="shared" si="44"/>
        <v>63024</v>
      </c>
      <c r="B557" s="87">
        <v>3</v>
      </c>
      <c r="C557" s="83">
        <v>6</v>
      </c>
      <c r="D557" s="78">
        <v>24</v>
      </c>
      <c r="E557" s="87" t="s">
        <v>3717</v>
      </c>
      <c r="F557" s="78">
        <v>476600000</v>
      </c>
      <c r="G557" s="78">
        <v>29407895</v>
      </c>
      <c r="H557" s="66"/>
      <c r="I557" s="87">
        <f t="shared" si="45"/>
        <v>63025</v>
      </c>
    </row>
    <row r="558" customHeight="1" spans="1:9">
      <c r="A558" s="87">
        <f t="shared" si="44"/>
        <v>63025</v>
      </c>
      <c r="B558" s="87">
        <v>3</v>
      </c>
      <c r="C558" s="83">
        <v>6</v>
      </c>
      <c r="D558" s="78">
        <v>25</v>
      </c>
      <c r="E558" s="87" t="s">
        <v>3717</v>
      </c>
      <c r="F558" s="78">
        <v>479500000</v>
      </c>
      <c r="G558" s="78">
        <v>30000000</v>
      </c>
      <c r="H558" s="66"/>
      <c r="I558" s="87">
        <f t="shared" si="45"/>
        <v>63026</v>
      </c>
    </row>
    <row r="559" customHeight="1" spans="1:9">
      <c r="A559" s="87">
        <f t="shared" si="44"/>
        <v>63026</v>
      </c>
      <c r="B559" s="87">
        <v>3</v>
      </c>
      <c r="C559" s="83">
        <v>6</v>
      </c>
      <c r="D559" s="78">
        <v>26</v>
      </c>
      <c r="E559" s="87" t="s">
        <v>3717</v>
      </c>
      <c r="F559" s="78">
        <v>482400000</v>
      </c>
      <c r="G559" s="78">
        <v>30592105</v>
      </c>
      <c r="H559" s="66"/>
      <c r="I559" s="87">
        <f t="shared" si="45"/>
        <v>63027</v>
      </c>
    </row>
    <row r="560" customHeight="1" spans="1:9">
      <c r="A560" s="87">
        <f t="shared" si="44"/>
        <v>63027</v>
      </c>
      <c r="B560" s="87">
        <v>3</v>
      </c>
      <c r="C560" s="83">
        <v>6</v>
      </c>
      <c r="D560" s="78">
        <v>27</v>
      </c>
      <c r="E560" s="87" t="s">
        <v>3717</v>
      </c>
      <c r="F560" s="78">
        <v>485300000</v>
      </c>
      <c r="G560" s="78">
        <v>31184211</v>
      </c>
      <c r="H560" s="66"/>
      <c r="I560" s="87">
        <f t="shared" si="45"/>
        <v>63028</v>
      </c>
    </row>
    <row r="561" customHeight="1" spans="1:9">
      <c r="A561" s="87">
        <f t="shared" si="44"/>
        <v>63028</v>
      </c>
      <c r="B561" s="87">
        <v>3</v>
      </c>
      <c r="C561" s="83">
        <v>6</v>
      </c>
      <c r="D561" s="78">
        <v>28</v>
      </c>
      <c r="E561" s="87" t="s">
        <v>3717</v>
      </c>
      <c r="F561" s="78">
        <v>488200000</v>
      </c>
      <c r="G561" s="78">
        <v>31776316</v>
      </c>
      <c r="H561" s="66"/>
      <c r="I561" s="87">
        <f t="shared" si="45"/>
        <v>63029</v>
      </c>
    </row>
    <row r="562" customHeight="1" spans="1:9">
      <c r="A562" s="87">
        <f t="shared" si="44"/>
        <v>63029</v>
      </c>
      <c r="B562" s="87">
        <v>3</v>
      </c>
      <c r="C562" s="83">
        <v>6</v>
      </c>
      <c r="D562" s="78">
        <v>29</v>
      </c>
      <c r="E562" s="87" t="s">
        <v>3717</v>
      </c>
      <c r="F562" s="78">
        <v>491000000</v>
      </c>
      <c r="G562" s="78">
        <v>32368421</v>
      </c>
      <c r="H562" s="66"/>
      <c r="I562" s="87">
        <f t="shared" si="45"/>
        <v>63030</v>
      </c>
    </row>
    <row r="563" customHeight="1" spans="1:9">
      <c r="A563" s="87">
        <f t="shared" si="44"/>
        <v>63030</v>
      </c>
      <c r="B563" s="87">
        <v>3</v>
      </c>
      <c r="C563" s="83">
        <v>6</v>
      </c>
      <c r="D563" s="78">
        <v>30</v>
      </c>
      <c r="E563" s="87" t="s">
        <v>3717</v>
      </c>
      <c r="F563" s="78"/>
      <c r="G563" s="78">
        <v>32960526</v>
      </c>
      <c r="H563" s="66"/>
      <c r="I563" s="87"/>
    </row>
    <row r="564" customHeight="1" spans="1:9">
      <c r="A564" s="87">
        <f t="shared" ref="A564:A595" si="46">C564*10000+B564*1000+D564</f>
        <v>14000</v>
      </c>
      <c r="B564" s="83">
        <v>4</v>
      </c>
      <c r="C564" s="87">
        <v>1</v>
      </c>
      <c r="D564" s="78"/>
      <c r="E564" s="87" t="s">
        <v>3717</v>
      </c>
      <c r="F564" s="78">
        <v>0</v>
      </c>
      <c r="G564" s="78"/>
      <c r="I564" s="87">
        <f t="shared" ref="I564:I593" si="47">A565</f>
        <v>14001</v>
      </c>
    </row>
    <row r="565" customHeight="1" spans="1:9">
      <c r="A565" s="87">
        <f t="shared" si="46"/>
        <v>14001</v>
      </c>
      <c r="B565" s="83">
        <v>4</v>
      </c>
      <c r="C565" s="87">
        <v>1</v>
      </c>
      <c r="D565" s="78">
        <v>1</v>
      </c>
      <c r="E565" s="87" t="s">
        <v>3717</v>
      </c>
      <c r="F565" s="78">
        <v>0</v>
      </c>
      <c r="G565" s="78">
        <v>6060606</v>
      </c>
      <c r="I565" s="87">
        <f t="shared" si="47"/>
        <v>14002</v>
      </c>
    </row>
    <row r="566" customHeight="1" spans="1:9">
      <c r="A566" s="87">
        <f t="shared" si="46"/>
        <v>14002</v>
      </c>
      <c r="B566" s="83">
        <v>4</v>
      </c>
      <c r="C566" s="87">
        <f t="shared" ref="C566:C594" si="48">C565</f>
        <v>1</v>
      </c>
      <c r="D566" s="78">
        <v>2</v>
      </c>
      <c r="E566" s="87" t="s">
        <v>3717</v>
      </c>
      <c r="F566" s="78">
        <v>220000000</v>
      </c>
      <c r="G566" s="78">
        <v>7272727</v>
      </c>
      <c r="I566" s="87">
        <f t="shared" si="47"/>
        <v>14003</v>
      </c>
    </row>
    <row r="567" customHeight="1" spans="1:9">
      <c r="A567" s="87">
        <f t="shared" si="46"/>
        <v>14003</v>
      </c>
      <c r="B567" s="83">
        <v>4</v>
      </c>
      <c r="C567" s="87">
        <f t="shared" si="48"/>
        <v>1</v>
      </c>
      <c r="D567" s="78">
        <v>3</v>
      </c>
      <c r="E567" s="87" t="s">
        <v>3717</v>
      </c>
      <c r="F567" s="78">
        <v>250000000</v>
      </c>
      <c r="G567" s="78">
        <v>8484848</v>
      </c>
      <c r="I567" s="87">
        <f t="shared" si="47"/>
        <v>14004</v>
      </c>
    </row>
    <row r="568" customHeight="1" spans="1:9">
      <c r="A568" s="87">
        <f t="shared" si="46"/>
        <v>14004</v>
      </c>
      <c r="B568" s="83">
        <v>4</v>
      </c>
      <c r="C568" s="87">
        <f t="shared" si="48"/>
        <v>1</v>
      </c>
      <c r="D568" s="78">
        <v>4</v>
      </c>
      <c r="E568" s="87" t="s">
        <v>3717</v>
      </c>
      <c r="F568" s="78">
        <v>290000000</v>
      </c>
      <c r="G568" s="78">
        <v>9696970</v>
      </c>
      <c r="I568" s="87">
        <f t="shared" si="47"/>
        <v>14005</v>
      </c>
    </row>
    <row r="569" customHeight="1" spans="1:9">
      <c r="A569" s="87">
        <f t="shared" si="46"/>
        <v>14005</v>
      </c>
      <c r="B569" s="83">
        <v>4</v>
      </c>
      <c r="C569" s="87">
        <f t="shared" si="48"/>
        <v>1</v>
      </c>
      <c r="D569" s="78">
        <v>5</v>
      </c>
      <c r="E569" s="87" t="s">
        <v>3717</v>
      </c>
      <c r="F569" s="78">
        <v>320000000</v>
      </c>
      <c r="G569" s="78">
        <v>10909091</v>
      </c>
      <c r="I569" s="87">
        <f t="shared" si="47"/>
        <v>14006</v>
      </c>
    </row>
    <row r="570" customHeight="1" spans="1:9">
      <c r="A570" s="87">
        <f t="shared" si="46"/>
        <v>14006</v>
      </c>
      <c r="B570" s="83">
        <v>4</v>
      </c>
      <c r="C570" s="87">
        <f t="shared" si="48"/>
        <v>1</v>
      </c>
      <c r="D570" s="78">
        <v>6</v>
      </c>
      <c r="E570" s="87" t="s">
        <v>3717</v>
      </c>
      <c r="F570" s="78">
        <v>360000000</v>
      </c>
      <c r="G570" s="78">
        <v>12121212</v>
      </c>
      <c r="I570" s="87">
        <f t="shared" si="47"/>
        <v>14007</v>
      </c>
    </row>
    <row r="571" customHeight="1" spans="1:9">
      <c r="A571" s="87">
        <f t="shared" si="46"/>
        <v>14007</v>
      </c>
      <c r="B571" s="83">
        <v>4</v>
      </c>
      <c r="C571" s="87">
        <f t="shared" si="48"/>
        <v>1</v>
      </c>
      <c r="D571" s="78">
        <v>7</v>
      </c>
      <c r="E571" s="87" t="s">
        <v>3717</v>
      </c>
      <c r="F571" s="78">
        <v>400000000</v>
      </c>
      <c r="G571" s="78">
        <v>13333333</v>
      </c>
      <c r="I571" s="87">
        <f t="shared" si="47"/>
        <v>14008</v>
      </c>
    </row>
    <row r="572" customHeight="1" spans="1:9">
      <c r="A572" s="87">
        <f t="shared" si="46"/>
        <v>14008</v>
      </c>
      <c r="B572" s="83">
        <v>4</v>
      </c>
      <c r="C572" s="87">
        <f t="shared" si="48"/>
        <v>1</v>
      </c>
      <c r="D572" s="78">
        <v>8</v>
      </c>
      <c r="E572" s="87" t="s">
        <v>3717</v>
      </c>
      <c r="F572" s="78">
        <v>430000000</v>
      </c>
      <c r="G572" s="78">
        <v>14545455</v>
      </c>
      <c r="I572" s="87">
        <f t="shared" si="47"/>
        <v>14009</v>
      </c>
    </row>
    <row r="573" customHeight="1" spans="1:9">
      <c r="A573" s="87">
        <f t="shared" si="46"/>
        <v>14009</v>
      </c>
      <c r="B573" s="83">
        <v>4</v>
      </c>
      <c r="C573" s="87">
        <f t="shared" si="48"/>
        <v>1</v>
      </c>
      <c r="D573" s="78">
        <v>9</v>
      </c>
      <c r="E573" s="87" t="s">
        <v>3717</v>
      </c>
      <c r="F573" s="78">
        <v>470000000</v>
      </c>
      <c r="G573" s="78">
        <v>15757576</v>
      </c>
      <c r="I573" s="87">
        <f t="shared" si="47"/>
        <v>14010</v>
      </c>
    </row>
    <row r="574" customHeight="1" spans="1:9">
      <c r="A574" s="87">
        <f t="shared" si="46"/>
        <v>14010</v>
      </c>
      <c r="B574" s="83">
        <v>4</v>
      </c>
      <c r="C574" s="87">
        <f t="shared" si="48"/>
        <v>1</v>
      </c>
      <c r="D574" s="78">
        <v>10</v>
      </c>
      <c r="E574" s="87" t="s">
        <v>3717</v>
      </c>
      <c r="F574" s="78">
        <v>1040000000</v>
      </c>
      <c r="G574" s="78">
        <v>16969697</v>
      </c>
      <c r="I574" s="87">
        <f t="shared" si="47"/>
        <v>14011</v>
      </c>
    </row>
    <row r="575" customHeight="1" spans="1:9">
      <c r="A575" s="87">
        <f t="shared" si="46"/>
        <v>14011</v>
      </c>
      <c r="B575" s="83">
        <v>4</v>
      </c>
      <c r="C575" s="87">
        <f t="shared" si="48"/>
        <v>1</v>
      </c>
      <c r="D575" s="78">
        <v>11</v>
      </c>
      <c r="E575" s="87" t="s">
        <v>3717</v>
      </c>
      <c r="F575" s="78">
        <v>1150000000</v>
      </c>
      <c r="G575" s="78">
        <v>18181818</v>
      </c>
      <c r="I575" s="87">
        <f t="shared" si="47"/>
        <v>14012</v>
      </c>
    </row>
    <row r="576" customHeight="1" spans="1:9">
      <c r="A576" s="87">
        <f t="shared" si="46"/>
        <v>14012</v>
      </c>
      <c r="B576" s="83">
        <v>4</v>
      </c>
      <c r="C576" s="87">
        <f t="shared" si="48"/>
        <v>1</v>
      </c>
      <c r="D576" s="78">
        <v>12</v>
      </c>
      <c r="E576" s="87" t="s">
        <v>3717</v>
      </c>
      <c r="F576" s="78">
        <v>1260000000</v>
      </c>
      <c r="G576" s="78">
        <v>19393939</v>
      </c>
      <c r="I576" s="87">
        <f t="shared" si="47"/>
        <v>14013</v>
      </c>
    </row>
    <row r="577" customHeight="1" spans="1:9">
      <c r="A577" s="87">
        <f t="shared" si="46"/>
        <v>14013</v>
      </c>
      <c r="B577" s="83">
        <v>4</v>
      </c>
      <c r="C577" s="87">
        <f t="shared" si="48"/>
        <v>1</v>
      </c>
      <c r="D577" s="78">
        <v>13</v>
      </c>
      <c r="E577" s="87" t="s">
        <v>3717</v>
      </c>
      <c r="F577" s="78">
        <v>1370000000</v>
      </c>
      <c r="G577" s="78">
        <v>20606061</v>
      </c>
      <c r="I577" s="87">
        <f t="shared" si="47"/>
        <v>14014</v>
      </c>
    </row>
    <row r="578" customHeight="1" spans="1:9">
      <c r="A578" s="87">
        <f t="shared" si="46"/>
        <v>14014</v>
      </c>
      <c r="B578" s="83">
        <v>4</v>
      </c>
      <c r="C578" s="87">
        <f t="shared" si="48"/>
        <v>1</v>
      </c>
      <c r="D578" s="78">
        <v>14</v>
      </c>
      <c r="E578" s="87" t="s">
        <v>3717</v>
      </c>
      <c r="F578" s="78">
        <v>1480000000</v>
      </c>
      <c r="G578" s="78">
        <v>21818182</v>
      </c>
      <c r="I578" s="87">
        <f t="shared" si="47"/>
        <v>14015</v>
      </c>
    </row>
    <row r="579" customHeight="1" spans="1:9">
      <c r="A579" s="87">
        <f t="shared" si="46"/>
        <v>14015</v>
      </c>
      <c r="B579" s="83">
        <v>4</v>
      </c>
      <c r="C579" s="87">
        <f t="shared" si="48"/>
        <v>1</v>
      </c>
      <c r="D579" s="78">
        <v>15</v>
      </c>
      <c r="E579" s="87" t="s">
        <v>3717</v>
      </c>
      <c r="F579" s="78">
        <v>1580000000</v>
      </c>
      <c r="G579" s="78">
        <v>23030303</v>
      </c>
      <c r="I579" s="87">
        <f t="shared" si="47"/>
        <v>14016</v>
      </c>
    </row>
    <row r="580" customHeight="1" spans="1:9">
      <c r="A580" s="87">
        <f t="shared" si="46"/>
        <v>14016</v>
      </c>
      <c r="B580" s="83">
        <v>4</v>
      </c>
      <c r="C580" s="87">
        <f t="shared" si="48"/>
        <v>1</v>
      </c>
      <c r="D580" s="78">
        <v>16</v>
      </c>
      <c r="E580" s="87" t="s">
        <v>3717</v>
      </c>
      <c r="F580" s="78">
        <v>1690000000</v>
      </c>
      <c r="G580" s="78">
        <v>24242424</v>
      </c>
      <c r="I580" s="87">
        <f t="shared" si="47"/>
        <v>14017</v>
      </c>
    </row>
    <row r="581" customHeight="1" spans="1:9">
      <c r="A581" s="87">
        <f t="shared" si="46"/>
        <v>14017</v>
      </c>
      <c r="B581" s="83">
        <v>4</v>
      </c>
      <c r="C581" s="87">
        <f t="shared" si="48"/>
        <v>1</v>
      </c>
      <c r="D581" s="78">
        <v>17</v>
      </c>
      <c r="E581" s="87" t="s">
        <v>3717</v>
      </c>
      <c r="F581" s="78">
        <v>1800000000</v>
      </c>
      <c r="G581" s="78">
        <v>25454545</v>
      </c>
      <c r="I581" s="87">
        <f t="shared" si="47"/>
        <v>14018</v>
      </c>
    </row>
    <row r="582" customHeight="1" spans="1:9">
      <c r="A582" s="87">
        <f t="shared" si="46"/>
        <v>14018</v>
      </c>
      <c r="B582" s="83">
        <v>4</v>
      </c>
      <c r="C582" s="87">
        <f t="shared" si="48"/>
        <v>1</v>
      </c>
      <c r="D582" s="78">
        <v>18</v>
      </c>
      <c r="E582" s="87" t="s">
        <v>3717</v>
      </c>
      <c r="F582" s="78">
        <v>1910000000</v>
      </c>
      <c r="G582" s="78">
        <v>26666667</v>
      </c>
      <c r="I582" s="87">
        <f t="shared" si="47"/>
        <v>14019</v>
      </c>
    </row>
    <row r="583" customHeight="1" spans="1:9">
      <c r="A583" s="87">
        <f t="shared" si="46"/>
        <v>14019</v>
      </c>
      <c r="B583" s="83">
        <v>4</v>
      </c>
      <c r="C583" s="87">
        <f t="shared" si="48"/>
        <v>1</v>
      </c>
      <c r="D583" s="78">
        <v>19</v>
      </c>
      <c r="E583" s="87" t="s">
        <v>3717</v>
      </c>
      <c r="F583" s="78">
        <v>2020000000</v>
      </c>
      <c r="G583" s="78">
        <v>27878788</v>
      </c>
      <c r="I583" s="87">
        <f t="shared" si="47"/>
        <v>14020</v>
      </c>
    </row>
    <row r="584" customHeight="1" spans="1:9">
      <c r="A584" s="87">
        <f t="shared" si="46"/>
        <v>14020</v>
      </c>
      <c r="B584" s="83">
        <v>4</v>
      </c>
      <c r="C584" s="87">
        <f t="shared" si="48"/>
        <v>1</v>
      </c>
      <c r="D584" s="78">
        <v>20</v>
      </c>
      <c r="E584" s="87" t="s">
        <v>3717</v>
      </c>
      <c r="F584" s="78">
        <v>3560000000</v>
      </c>
      <c r="G584" s="78">
        <v>29090909</v>
      </c>
      <c r="I584" s="87">
        <f t="shared" si="47"/>
        <v>14021</v>
      </c>
    </row>
    <row r="585" customHeight="1" spans="1:9">
      <c r="A585" s="87">
        <f t="shared" si="46"/>
        <v>14021</v>
      </c>
      <c r="B585" s="83">
        <v>4</v>
      </c>
      <c r="C585" s="87">
        <f t="shared" si="48"/>
        <v>1</v>
      </c>
      <c r="D585" s="78">
        <v>21</v>
      </c>
      <c r="E585" s="87" t="s">
        <v>3717</v>
      </c>
      <c r="F585" s="78">
        <v>3780000000</v>
      </c>
      <c r="G585" s="78">
        <v>30303030</v>
      </c>
      <c r="I585" s="87">
        <f t="shared" si="47"/>
        <v>14022</v>
      </c>
    </row>
    <row r="586" customHeight="1" spans="1:9">
      <c r="A586" s="87">
        <f t="shared" si="46"/>
        <v>14022</v>
      </c>
      <c r="B586" s="83">
        <v>4</v>
      </c>
      <c r="C586" s="87">
        <f t="shared" si="48"/>
        <v>1</v>
      </c>
      <c r="D586" s="78">
        <v>22</v>
      </c>
      <c r="E586" s="87" t="s">
        <v>3717</v>
      </c>
      <c r="F586" s="78">
        <v>4000000000</v>
      </c>
      <c r="G586" s="78">
        <v>31515152</v>
      </c>
      <c r="I586" s="87">
        <f t="shared" si="47"/>
        <v>14023</v>
      </c>
    </row>
    <row r="587" customHeight="1" spans="1:9">
      <c r="A587" s="87">
        <f t="shared" si="46"/>
        <v>14023</v>
      </c>
      <c r="B587" s="83">
        <v>4</v>
      </c>
      <c r="C587" s="87">
        <f t="shared" si="48"/>
        <v>1</v>
      </c>
      <c r="D587" s="78">
        <v>23</v>
      </c>
      <c r="E587" s="87" t="s">
        <v>3717</v>
      </c>
      <c r="F587" s="78">
        <v>4210000000</v>
      </c>
      <c r="G587" s="78">
        <v>32727273</v>
      </c>
      <c r="I587" s="87">
        <f t="shared" si="47"/>
        <v>14024</v>
      </c>
    </row>
    <row r="588" customHeight="1" spans="1:9">
      <c r="A588" s="87">
        <f t="shared" si="46"/>
        <v>14024</v>
      </c>
      <c r="B588" s="83">
        <v>4</v>
      </c>
      <c r="C588" s="87">
        <f t="shared" si="48"/>
        <v>1</v>
      </c>
      <c r="D588" s="78">
        <v>24</v>
      </c>
      <c r="E588" s="87" t="s">
        <v>3717</v>
      </c>
      <c r="F588" s="78">
        <v>4430000000</v>
      </c>
      <c r="G588" s="78">
        <v>33939394</v>
      </c>
      <c r="I588" s="87">
        <f t="shared" si="47"/>
        <v>14025</v>
      </c>
    </row>
    <row r="589" customHeight="1" spans="1:9">
      <c r="A589" s="87">
        <f t="shared" si="46"/>
        <v>14025</v>
      </c>
      <c r="B589" s="83">
        <v>4</v>
      </c>
      <c r="C589" s="87">
        <f t="shared" si="48"/>
        <v>1</v>
      </c>
      <c r="D589" s="78">
        <v>25</v>
      </c>
      <c r="E589" s="87" t="s">
        <v>3717</v>
      </c>
      <c r="F589" s="78">
        <v>4640000000</v>
      </c>
      <c r="G589" s="78">
        <v>35151515</v>
      </c>
      <c r="I589" s="87">
        <f t="shared" si="47"/>
        <v>14026</v>
      </c>
    </row>
    <row r="590" customHeight="1" spans="1:9">
      <c r="A590" s="87">
        <f t="shared" si="46"/>
        <v>14026</v>
      </c>
      <c r="B590" s="83">
        <v>4</v>
      </c>
      <c r="C590" s="87">
        <f t="shared" si="48"/>
        <v>1</v>
      </c>
      <c r="D590" s="78">
        <v>26</v>
      </c>
      <c r="E590" s="87" t="s">
        <v>3717</v>
      </c>
      <c r="F590" s="78">
        <v>4860000000</v>
      </c>
      <c r="G590" s="78">
        <v>36363636</v>
      </c>
      <c r="I590" s="87">
        <f t="shared" si="47"/>
        <v>14027</v>
      </c>
    </row>
    <row r="591" customHeight="1" spans="1:9">
      <c r="A591" s="87">
        <f t="shared" si="46"/>
        <v>14027</v>
      </c>
      <c r="B591" s="83">
        <v>4</v>
      </c>
      <c r="C591" s="87">
        <f t="shared" si="48"/>
        <v>1</v>
      </c>
      <c r="D591" s="78">
        <v>27</v>
      </c>
      <c r="E591" s="87" t="s">
        <v>3717</v>
      </c>
      <c r="F591" s="78">
        <v>5080000000</v>
      </c>
      <c r="G591" s="78">
        <v>37575758</v>
      </c>
      <c r="I591" s="87">
        <f t="shared" si="47"/>
        <v>14028</v>
      </c>
    </row>
    <row r="592" customHeight="1" spans="1:9">
      <c r="A592" s="87">
        <f t="shared" si="46"/>
        <v>14028</v>
      </c>
      <c r="B592" s="83">
        <v>4</v>
      </c>
      <c r="C592" s="87">
        <f t="shared" si="48"/>
        <v>1</v>
      </c>
      <c r="D592" s="78">
        <v>28</v>
      </c>
      <c r="E592" s="87" t="s">
        <v>3717</v>
      </c>
      <c r="F592" s="78">
        <v>5290000000</v>
      </c>
      <c r="G592" s="78">
        <v>38787879</v>
      </c>
      <c r="I592" s="87">
        <f t="shared" si="47"/>
        <v>14029</v>
      </c>
    </row>
    <row r="593" customHeight="1" spans="1:9">
      <c r="A593" s="87">
        <f t="shared" si="46"/>
        <v>14029</v>
      </c>
      <c r="B593" s="83">
        <v>4</v>
      </c>
      <c r="C593" s="87">
        <f t="shared" si="48"/>
        <v>1</v>
      </c>
      <c r="D593" s="78">
        <v>29</v>
      </c>
      <c r="E593" s="87" t="s">
        <v>3717</v>
      </c>
      <c r="F593" s="78">
        <v>5510000000</v>
      </c>
      <c r="G593" s="78">
        <v>40000000</v>
      </c>
      <c r="I593" s="87">
        <f t="shared" si="47"/>
        <v>14030</v>
      </c>
    </row>
    <row r="594" customHeight="1" spans="1:9">
      <c r="A594" s="87">
        <f t="shared" si="46"/>
        <v>14030</v>
      </c>
      <c r="B594" s="83">
        <v>4</v>
      </c>
      <c r="C594" s="87">
        <f t="shared" si="48"/>
        <v>1</v>
      </c>
      <c r="D594" s="78">
        <v>30</v>
      </c>
      <c r="E594" s="87" t="s">
        <v>3717</v>
      </c>
      <c r="F594" s="78"/>
      <c r="G594" s="78">
        <v>41212121</v>
      </c>
      <c r="I594" s="87"/>
    </row>
    <row r="595" customHeight="1" spans="1:9">
      <c r="A595" s="87">
        <f t="shared" si="46"/>
        <v>24000</v>
      </c>
      <c r="B595" s="83">
        <v>4</v>
      </c>
      <c r="C595" s="87">
        <v>2</v>
      </c>
      <c r="D595" s="78"/>
      <c r="E595" s="87" t="s">
        <v>3717</v>
      </c>
      <c r="F595" s="78">
        <v>4000000000</v>
      </c>
      <c r="G595" s="78"/>
      <c r="I595" s="87">
        <f t="shared" ref="I595:I624" si="49">A596</f>
        <v>24001</v>
      </c>
    </row>
    <row r="596" customHeight="1" spans="1:9">
      <c r="A596" s="87">
        <f t="shared" ref="A596:A627" si="50">C596*10000+B596*1000+D596</f>
        <v>24001</v>
      </c>
      <c r="B596" s="83">
        <v>4</v>
      </c>
      <c r="C596" s="87">
        <v>2</v>
      </c>
      <c r="D596" s="78">
        <v>1</v>
      </c>
      <c r="E596" s="87" t="s">
        <v>3717</v>
      </c>
      <c r="F596" s="78">
        <v>700000000</v>
      </c>
      <c r="G596" s="78">
        <v>36363636</v>
      </c>
      <c r="I596" s="87">
        <f t="shared" si="49"/>
        <v>24002</v>
      </c>
    </row>
    <row r="597" customHeight="1" spans="1:9">
      <c r="A597" s="87">
        <f t="shared" si="50"/>
        <v>24002</v>
      </c>
      <c r="B597" s="83">
        <v>4</v>
      </c>
      <c r="C597" s="87">
        <f t="shared" ref="C597:C625" si="51">C596</f>
        <v>2</v>
      </c>
      <c r="D597" s="78">
        <v>2</v>
      </c>
      <c r="E597" s="87" t="s">
        <v>3717</v>
      </c>
      <c r="F597" s="78">
        <v>770000000</v>
      </c>
      <c r="G597" s="78">
        <v>41212121</v>
      </c>
      <c r="I597" s="87">
        <f t="shared" si="49"/>
        <v>24003</v>
      </c>
    </row>
    <row r="598" customHeight="1" spans="1:9">
      <c r="A598" s="87">
        <f t="shared" si="50"/>
        <v>24003</v>
      </c>
      <c r="B598" s="83">
        <v>4</v>
      </c>
      <c r="C598" s="87">
        <f t="shared" si="51"/>
        <v>2</v>
      </c>
      <c r="D598" s="78">
        <v>3</v>
      </c>
      <c r="E598" s="87" t="s">
        <v>3717</v>
      </c>
      <c r="F598" s="78">
        <v>840000000</v>
      </c>
      <c r="G598" s="78">
        <v>46060606</v>
      </c>
      <c r="I598" s="87">
        <f t="shared" si="49"/>
        <v>24004</v>
      </c>
    </row>
    <row r="599" customHeight="1" spans="1:9">
      <c r="A599" s="87">
        <f t="shared" si="50"/>
        <v>24004</v>
      </c>
      <c r="B599" s="83">
        <v>4</v>
      </c>
      <c r="C599" s="87">
        <f t="shared" si="51"/>
        <v>2</v>
      </c>
      <c r="D599" s="78">
        <v>4</v>
      </c>
      <c r="E599" s="87" t="s">
        <v>3717</v>
      </c>
      <c r="F599" s="78">
        <v>910000000</v>
      </c>
      <c r="G599" s="78">
        <v>50909091</v>
      </c>
      <c r="I599" s="87">
        <f t="shared" si="49"/>
        <v>24005</v>
      </c>
    </row>
    <row r="600" customHeight="1" spans="1:9">
      <c r="A600" s="87">
        <f t="shared" si="50"/>
        <v>24005</v>
      </c>
      <c r="B600" s="83">
        <v>4</v>
      </c>
      <c r="C600" s="87">
        <f t="shared" si="51"/>
        <v>2</v>
      </c>
      <c r="D600" s="78">
        <v>5</v>
      </c>
      <c r="E600" s="87" t="s">
        <v>3717</v>
      </c>
      <c r="F600" s="78">
        <v>980000000</v>
      </c>
      <c r="G600" s="78">
        <v>55757576</v>
      </c>
      <c r="I600" s="87">
        <f t="shared" si="49"/>
        <v>24006</v>
      </c>
    </row>
    <row r="601" customHeight="1" spans="1:9">
      <c r="A601" s="87">
        <f t="shared" si="50"/>
        <v>24006</v>
      </c>
      <c r="B601" s="83">
        <v>4</v>
      </c>
      <c r="C601" s="87">
        <f t="shared" si="51"/>
        <v>2</v>
      </c>
      <c r="D601" s="78">
        <v>6</v>
      </c>
      <c r="E601" s="87" t="s">
        <v>3717</v>
      </c>
      <c r="F601" s="78">
        <v>1060000000</v>
      </c>
      <c r="G601" s="78">
        <v>60606061</v>
      </c>
      <c r="I601" s="87">
        <f t="shared" si="49"/>
        <v>24007</v>
      </c>
    </row>
    <row r="602" customHeight="1" spans="1:9">
      <c r="A602" s="87">
        <f t="shared" si="50"/>
        <v>24007</v>
      </c>
      <c r="B602" s="83">
        <v>4</v>
      </c>
      <c r="C602" s="87">
        <f t="shared" si="51"/>
        <v>2</v>
      </c>
      <c r="D602" s="78">
        <v>7</v>
      </c>
      <c r="E602" s="87" t="s">
        <v>3717</v>
      </c>
      <c r="F602" s="78">
        <v>1130000000</v>
      </c>
      <c r="G602" s="78">
        <v>65454545</v>
      </c>
      <c r="I602" s="87">
        <f t="shared" si="49"/>
        <v>24008</v>
      </c>
    </row>
    <row r="603" customHeight="1" spans="1:9">
      <c r="A603" s="87">
        <f t="shared" si="50"/>
        <v>24008</v>
      </c>
      <c r="B603" s="83">
        <v>4</v>
      </c>
      <c r="C603" s="87">
        <f t="shared" si="51"/>
        <v>2</v>
      </c>
      <c r="D603" s="78">
        <v>8</v>
      </c>
      <c r="E603" s="87" t="s">
        <v>3717</v>
      </c>
      <c r="F603" s="78">
        <v>1200000000</v>
      </c>
      <c r="G603" s="78">
        <v>70303030</v>
      </c>
      <c r="I603" s="87">
        <f t="shared" si="49"/>
        <v>24009</v>
      </c>
    </row>
    <row r="604" customHeight="1" spans="1:9">
      <c r="A604" s="87">
        <f t="shared" si="50"/>
        <v>24009</v>
      </c>
      <c r="B604" s="83">
        <v>4</v>
      </c>
      <c r="C604" s="87">
        <f t="shared" si="51"/>
        <v>2</v>
      </c>
      <c r="D604" s="78">
        <v>9</v>
      </c>
      <c r="E604" s="87" t="s">
        <v>3717</v>
      </c>
      <c r="F604" s="78">
        <v>1270000000</v>
      </c>
      <c r="G604" s="78">
        <v>75151515</v>
      </c>
      <c r="I604" s="87">
        <f t="shared" si="49"/>
        <v>24010</v>
      </c>
    </row>
    <row r="605" customHeight="1" spans="1:9">
      <c r="A605" s="87">
        <f t="shared" si="50"/>
        <v>24010</v>
      </c>
      <c r="B605" s="83">
        <v>4</v>
      </c>
      <c r="C605" s="87">
        <f t="shared" si="51"/>
        <v>2</v>
      </c>
      <c r="D605" s="78">
        <v>10</v>
      </c>
      <c r="E605" s="87" t="s">
        <v>3717</v>
      </c>
      <c r="F605" s="78">
        <v>1340000000</v>
      </c>
      <c r="G605" s="78">
        <v>80000000</v>
      </c>
      <c r="I605" s="87">
        <f t="shared" si="49"/>
        <v>24011</v>
      </c>
    </row>
    <row r="606" customHeight="1" spans="1:9">
      <c r="A606" s="87">
        <f t="shared" si="50"/>
        <v>24011</v>
      </c>
      <c r="B606" s="83">
        <v>4</v>
      </c>
      <c r="C606" s="87">
        <f t="shared" si="51"/>
        <v>2</v>
      </c>
      <c r="D606" s="78">
        <v>11</v>
      </c>
      <c r="E606" s="87" t="s">
        <v>3717</v>
      </c>
      <c r="F606" s="78">
        <v>2380000000</v>
      </c>
      <c r="G606" s="78">
        <v>84848485</v>
      </c>
      <c r="I606" s="87">
        <f t="shared" si="49"/>
        <v>24012</v>
      </c>
    </row>
    <row r="607" customHeight="1" spans="1:9">
      <c r="A607" s="87">
        <f t="shared" si="50"/>
        <v>24012</v>
      </c>
      <c r="B607" s="83">
        <v>4</v>
      </c>
      <c r="C607" s="87">
        <f t="shared" si="51"/>
        <v>2</v>
      </c>
      <c r="D607" s="78">
        <v>12</v>
      </c>
      <c r="E607" s="87" t="s">
        <v>3717</v>
      </c>
      <c r="F607" s="78">
        <v>2520000000</v>
      </c>
      <c r="G607" s="78">
        <v>89696970</v>
      </c>
      <c r="I607" s="87">
        <f t="shared" si="49"/>
        <v>24013</v>
      </c>
    </row>
    <row r="608" customHeight="1" spans="1:9">
      <c r="A608" s="87">
        <f t="shared" si="50"/>
        <v>24013</v>
      </c>
      <c r="B608" s="83">
        <v>4</v>
      </c>
      <c r="C608" s="87">
        <f t="shared" si="51"/>
        <v>2</v>
      </c>
      <c r="D608" s="78">
        <v>13</v>
      </c>
      <c r="E608" s="87" t="s">
        <v>3717</v>
      </c>
      <c r="F608" s="78">
        <v>2660000000</v>
      </c>
      <c r="G608" s="78">
        <v>94545455</v>
      </c>
      <c r="I608" s="87">
        <f t="shared" si="49"/>
        <v>24014</v>
      </c>
    </row>
    <row r="609" customHeight="1" spans="1:9">
      <c r="A609" s="87">
        <f t="shared" si="50"/>
        <v>24014</v>
      </c>
      <c r="B609" s="83">
        <v>4</v>
      </c>
      <c r="C609" s="87">
        <f t="shared" si="51"/>
        <v>2</v>
      </c>
      <c r="D609" s="78">
        <v>14</v>
      </c>
      <c r="E609" s="87" t="s">
        <v>3717</v>
      </c>
      <c r="F609" s="78">
        <v>2810000000</v>
      </c>
      <c r="G609" s="78">
        <v>99393939</v>
      </c>
      <c r="I609" s="87">
        <f t="shared" si="49"/>
        <v>24015</v>
      </c>
    </row>
    <row r="610" customHeight="1" spans="1:9">
      <c r="A610" s="87">
        <f t="shared" si="50"/>
        <v>24015</v>
      </c>
      <c r="B610" s="83">
        <v>4</v>
      </c>
      <c r="C610" s="87">
        <f t="shared" si="51"/>
        <v>2</v>
      </c>
      <c r="D610" s="78">
        <v>15</v>
      </c>
      <c r="E610" s="87" t="s">
        <v>3717</v>
      </c>
      <c r="F610" s="78">
        <v>2950000000</v>
      </c>
      <c r="G610" s="78">
        <v>104242424</v>
      </c>
      <c r="I610" s="87">
        <f t="shared" si="49"/>
        <v>24016</v>
      </c>
    </row>
    <row r="611" customHeight="1" spans="1:9">
      <c r="A611" s="87">
        <f t="shared" si="50"/>
        <v>24016</v>
      </c>
      <c r="B611" s="83">
        <v>4</v>
      </c>
      <c r="C611" s="87">
        <f t="shared" si="51"/>
        <v>2</v>
      </c>
      <c r="D611" s="78">
        <v>16</v>
      </c>
      <c r="E611" s="87" t="s">
        <v>3717</v>
      </c>
      <c r="F611" s="78">
        <v>3100000000</v>
      </c>
      <c r="G611" s="78">
        <v>109090909</v>
      </c>
      <c r="I611" s="87">
        <f t="shared" si="49"/>
        <v>24017</v>
      </c>
    </row>
    <row r="612" customHeight="1" spans="1:9">
      <c r="A612" s="87">
        <f t="shared" si="50"/>
        <v>24017</v>
      </c>
      <c r="B612" s="83">
        <v>4</v>
      </c>
      <c r="C612" s="87">
        <f t="shared" si="51"/>
        <v>2</v>
      </c>
      <c r="D612" s="78">
        <v>17</v>
      </c>
      <c r="E612" s="87" t="s">
        <v>3717</v>
      </c>
      <c r="F612" s="78">
        <v>3240000000</v>
      </c>
      <c r="G612" s="78">
        <v>113939394</v>
      </c>
      <c r="I612" s="87">
        <f t="shared" si="49"/>
        <v>24018</v>
      </c>
    </row>
    <row r="613" customHeight="1" spans="1:9">
      <c r="A613" s="87">
        <f t="shared" si="50"/>
        <v>24018</v>
      </c>
      <c r="B613" s="83">
        <v>4</v>
      </c>
      <c r="C613" s="87">
        <f t="shared" si="51"/>
        <v>2</v>
      </c>
      <c r="D613" s="78">
        <v>18</v>
      </c>
      <c r="E613" s="87" t="s">
        <v>3717</v>
      </c>
      <c r="F613" s="78">
        <v>3380000000</v>
      </c>
      <c r="G613" s="78">
        <v>118787879</v>
      </c>
      <c r="I613" s="87">
        <f t="shared" si="49"/>
        <v>24019</v>
      </c>
    </row>
    <row r="614" customHeight="1" spans="1:9">
      <c r="A614" s="87">
        <f t="shared" si="50"/>
        <v>24019</v>
      </c>
      <c r="B614" s="83">
        <v>4</v>
      </c>
      <c r="C614" s="87">
        <f t="shared" si="51"/>
        <v>2</v>
      </c>
      <c r="D614" s="78">
        <v>19</v>
      </c>
      <c r="E614" s="87" t="s">
        <v>3717</v>
      </c>
      <c r="F614" s="78">
        <v>3530000000</v>
      </c>
      <c r="G614" s="78">
        <v>123636364</v>
      </c>
      <c r="I614" s="87">
        <f t="shared" si="49"/>
        <v>24020</v>
      </c>
    </row>
    <row r="615" customHeight="1" spans="1:9">
      <c r="A615" s="87">
        <f t="shared" si="50"/>
        <v>24020</v>
      </c>
      <c r="B615" s="83">
        <v>4</v>
      </c>
      <c r="C615" s="87">
        <f t="shared" si="51"/>
        <v>2</v>
      </c>
      <c r="D615" s="78">
        <v>20</v>
      </c>
      <c r="E615" s="87" t="s">
        <v>3717</v>
      </c>
      <c r="F615" s="78">
        <v>3670000000</v>
      </c>
      <c r="G615" s="78">
        <v>128484848</v>
      </c>
      <c r="I615" s="87">
        <f t="shared" si="49"/>
        <v>24021</v>
      </c>
    </row>
    <row r="616" customHeight="1" spans="1:9">
      <c r="A616" s="87">
        <f t="shared" si="50"/>
        <v>24021</v>
      </c>
      <c r="B616" s="83">
        <v>4</v>
      </c>
      <c r="C616" s="87">
        <f t="shared" si="51"/>
        <v>2</v>
      </c>
      <c r="D616" s="78">
        <v>21</v>
      </c>
      <c r="E616" s="87" t="s">
        <v>3717</v>
      </c>
      <c r="F616" s="78">
        <v>3820000000</v>
      </c>
      <c r="G616" s="78">
        <v>133333333</v>
      </c>
      <c r="I616" s="87">
        <f t="shared" si="49"/>
        <v>24022</v>
      </c>
    </row>
    <row r="617" customHeight="1" spans="1:9">
      <c r="A617" s="87">
        <f t="shared" si="50"/>
        <v>24022</v>
      </c>
      <c r="B617" s="83">
        <v>4</v>
      </c>
      <c r="C617" s="87">
        <f t="shared" si="51"/>
        <v>2</v>
      </c>
      <c r="D617" s="78">
        <v>22</v>
      </c>
      <c r="E617" s="87" t="s">
        <v>3717</v>
      </c>
      <c r="F617" s="78">
        <v>3940000000</v>
      </c>
      <c r="G617" s="78">
        <v>138181818</v>
      </c>
      <c r="I617" s="87">
        <f t="shared" si="49"/>
        <v>24023</v>
      </c>
    </row>
    <row r="618" customHeight="1" spans="1:9">
      <c r="A618" s="87">
        <f t="shared" si="50"/>
        <v>24023</v>
      </c>
      <c r="B618" s="83">
        <v>4</v>
      </c>
      <c r="C618" s="87">
        <f t="shared" si="51"/>
        <v>2</v>
      </c>
      <c r="D618" s="78">
        <v>23</v>
      </c>
      <c r="E618" s="87" t="s">
        <v>3717</v>
      </c>
      <c r="F618" s="78">
        <v>4060000000</v>
      </c>
      <c r="G618" s="78">
        <v>143030303</v>
      </c>
      <c r="I618" s="87">
        <f t="shared" si="49"/>
        <v>24024</v>
      </c>
    </row>
    <row r="619" customHeight="1" spans="1:9">
      <c r="A619" s="87">
        <f t="shared" si="50"/>
        <v>24024</v>
      </c>
      <c r="B619" s="83">
        <v>4</v>
      </c>
      <c r="C619" s="87">
        <f t="shared" si="51"/>
        <v>2</v>
      </c>
      <c r="D619" s="78">
        <v>24</v>
      </c>
      <c r="E619" s="87" t="s">
        <v>3717</v>
      </c>
      <c r="F619" s="78">
        <v>4180000000</v>
      </c>
      <c r="G619" s="78">
        <v>147878788</v>
      </c>
      <c r="I619" s="87">
        <f t="shared" si="49"/>
        <v>24025</v>
      </c>
    </row>
    <row r="620" customHeight="1" spans="1:9">
      <c r="A620" s="87">
        <f t="shared" si="50"/>
        <v>24025</v>
      </c>
      <c r="B620" s="83">
        <v>4</v>
      </c>
      <c r="C620" s="87">
        <f t="shared" si="51"/>
        <v>2</v>
      </c>
      <c r="D620" s="78">
        <v>25</v>
      </c>
      <c r="E620" s="87" t="s">
        <v>3717</v>
      </c>
      <c r="F620" s="78">
        <v>4300000000</v>
      </c>
      <c r="G620" s="78">
        <v>152727273</v>
      </c>
      <c r="I620" s="87">
        <f t="shared" si="49"/>
        <v>24026</v>
      </c>
    </row>
    <row r="621" customHeight="1" spans="1:9">
      <c r="A621" s="87">
        <f t="shared" si="50"/>
        <v>24026</v>
      </c>
      <c r="B621" s="83">
        <v>4</v>
      </c>
      <c r="C621" s="87">
        <f t="shared" si="51"/>
        <v>2</v>
      </c>
      <c r="D621" s="78">
        <v>26</v>
      </c>
      <c r="E621" s="87" t="s">
        <v>3717</v>
      </c>
      <c r="F621" s="78">
        <v>6340000000</v>
      </c>
      <c r="G621" s="78">
        <v>157575758</v>
      </c>
      <c r="I621" s="87">
        <f t="shared" si="49"/>
        <v>24027</v>
      </c>
    </row>
    <row r="622" customHeight="1" spans="1:9">
      <c r="A622" s="87">
        <f t="shared" si="50"/>
        <v>24027</v>
      </c>
      <c r="B622" s="83">
        <v>4</v>
      </c>
      <c r="C622" s="87">
        <f t="shared" si="51"/>
        <v>2</v>
      </c>
      <c r="D622" s="78">
        <v>27</v>
      </c>
      <c r="E622" s="87" t="s">
        <v>3717</v>
      </c>
      <c r="F622" s="78">
        <v>6550000000</v>
      </c>
      <c r="G622" s="78">
        <v>162424242</v>
      </c>
      <c r="I622" s="87">
        <f t="shared" si="49"/>
        <v>24028</v>
      </c>
    </row>
    <row r="623" customHeight="1" spans="1:9">
      <c r="A623" s="87">
        <f t="shared" si="50"/>
        <v>24028</v>
      </c>
      <c r="B623" s="83">
        <v>4</v>
      </c>
      <c r="C623" s="87">
        <f t="shared" si="51"/>
        <v>2</v>
      </c>
      <c r="D623" s="78">
        <v>28</v>
      </c>
      <c r="E623" s="87" t="s">
        <v>3717</v>
      </c>
      <c r="F623" s="78">
        <v>6770000000</v>
      </c>
      <c r="G623" s="78">
        <v>167272727</v>
      </c>
      <c r="I623" s="87">
        <f t="shared" si="49"/>
        <v>24029</v>
      </c>
    </row>
    <row r="624" customHeight="1" spans="1:9">
      <c r="A624" s="87">
        <f t="shared" si="50"/>
        <v>24029</v>
      </c>
      <c r="B624" s="83">
        <v>4</v>
      </c>
      <c r="C624" s="87">
        <f t="shared" si="51"/>
        <v>2</v>
      </c>
      <c r="D624" s="78">
        <v>29</v>
      </c>
      <c r="E624" s="87" t="s">
        <v>3717</v>
      </c>
      <c r="F624" s="78">
        <v>6980000000</v>
      </c>
      <c r="G624" s="78">
        <v>172121212</v>
      </c>
      <c r="I624" s="87">
        <f t="shared" si="49"/>
        <v>24030</v>
      </c>
    </row>
    <row r="625" customHeight="1" spans="1:9">
      <c r="A625" s="87">
        <f t="shared" si="50"/>
        <v>24030</v>
      </c>
      <c r="B625" s="83">
        <v>4</v>
      </c>
      <c r="C625" s="87">
        <f t="shared" si="51"/>
        <v>2</v>
      </c>
      <c r="D625" s="78">
        <v>30</v>
      </c>
      <c r="E625" s="87" t="s">
        <v>3717</v>
      </c>
      <c r="F625" s="78"/>
      <c r="G625" s="78">
        <v>176969697</v>
      </c>
      <c r="I625" s="87"/>
    </row>
    <row r="626" customHeight="1" spans="1:9">
      <c r="A626" s="87">
        <f t="shared" si="50"/>
        <v>34000</v>
      </c>
      <c r="B626" s="83">
        <v>4</v>
      </c>
      <c r="C626" s="87">
        <v>3</v>
      </c>
      <c r="D626" s="78"/>
      <c r="E626" s="87" t="s">
        <v>3717</v>
      </c>
      <c r="F626" s="78">
        <v>24000000000</v>
      </c>
      <c r="G626" s="78"/>
      <c r="I626" s="87">
        <f t="shared" ref="I626:I655" si="52">A627</f>
        <v>34001</v>
      </c>
    </row>
    <row r="627" customHeight="1" spans="1:9">
      <c r="A627" s="87">
        <f t="shared" si="50"/>
        <v>34001</v>
      </c>
      <c r="B627" s="83">
        <v>4</v>
      </c>
      <c r="C627" s="87">
        <v>3</v>
      </c>
      <c r="D627" s="78">
        <v>1</v>
      </c>
      <c r="E627" s="87" t="s">
        <v>3717</v>
      </c>
      <c r="F627" s="78">
        <v>2970000000</v>
      </c>
      <c r="G627" s="78">
        <v>145454545</v>
      </c>
      <c r="I627" s="87">
        <f t="shared" si="52"/>
        <v>34002</v>
      </c>
    </row>
    <row r="628" customHeight="1" spans="1:9">
      <c r="A628" s="87">
        <f t="shared" ref="A628:A659" si="53">C628*10000+B628*1000+D628</f>
        <v>34002</v>
      </c>
      <c r="B628" s="83">
        <v>4</v>
      </c>
      <c r="C628" s="87">
        <f t="shared" ref="C628:C656" si="54">C627</f>
        <v>3</v>
      </c>
      <c r="D628" s="78">
        <v>2</v>
      </c>
      <c r="E628" s="87" t="s">
        <v>3717</v>
      </c>
      <c r="F628" s="78">
        <v>3150000000</v>
      </c>
      <c r="G628" s="78">
        <v>156363636</v>
      </c>
      <c r="I628" s="87">
        <f t="shared" si="52"/>
        <v>34003</v>
      </c>
    </row>
    <row r="629" customHeight="1" spans="1:9">
      <c r="A629" s="87">
        <f t="shared" si="53"/>
        <v>34003</v>
      </c>
      <c r="B629" s="83">
        <v>4</v>
      </c>
      <c r="C629" s="87">
        <f t="shared" si="54"/>
        <v>3</v>
      </c>
      <c r="D629" s="78">
        <v>3</v>
      </c>
      <c r="E629" s="87" t="s">
        <v>3717</v>
      </c>
      <c r="F629" s="78">
        <v>3330000000</v>
      </c>
      <c r="G629" s="78">
        <v>167272727</v>
      </c>
      <c r="I629" s="87">
        <f t="shared" si="52"/>
        <v>34004</v>
      </c>
    </row>
    <row r="630" customHeight="1" spans="1:9">
      <c r="A630" s="87">
        <f t="shared" si="53"/>
        <v>34004</v>
      </c>
      <c r="B630" s="83">
        <v>4</v>
      </c>
      <c r="C630" s="87">
        <f t="shared" si="54"/>
        <v>3</v>
      </c>
      <c r="D630" s="78">
        <v>4</v>
      </c>
      <c r="E630" s="87" t="s">
        <v>3717</v>
      </c>
      <c r="F630" s="78">
        <v>3510000000</v>
      </c>
      <c r="G630" s="78">
        <v>178181818</v>
      </c>
      <c r="I630" s="87">
        <f t="shared" si="52"/>
        <v>34005</v>
      </c>
    </row>
    <row r="631" customHeight="1" spans="1:9">
      <c r="A631" s="87">
        <f t="shared" si="53"/>
        <v>34005</v>
      </c>
      <c r="B631" s="83">
        <v>4</v>
      </c>
      <c r="C631" s="87">
        <f t="shared" si="54"/>
        <v>3</v>
      </c>
      <c r="D631" s="78">
        <v>5</v>
      </c>
      <c r="E631" s="87" t="s">
        <v>3717</v>
      </c>
      <c r="F631" s="78">
        <v>3690000000</v>
      </c>
      <c r="G631" s="78">
        <v>189090909</v>
      </c>
      <c r="I631" s="87">
        <f t="shared" si="52"/>
        <v>34006</v>
      </c>
    </row>
    <row r="632" customHeight="1" spans="1:9">
      <c r="A632" s="87">
        <f t="shared" si="53"/>
        <v>34006</v>
      </c>
      <c r="B632" s="83">
        <v>4</v>
      </c>
      <c r="C632" s="87">
        <f t="shared" si="54"/>
        <v>3</v>
      </c>
      <c r="D632" s="78">
        <v>6</v>
      </c>
      <c r="E632" s="87" t="s">
        <v>3717</v>
      </c>
      <c r="F632" s="78">
        <v>3870000000</v>
      </c>
      <c r="G632" s="78">
        <v>200000000</v>
      </c>
      <c r="I632" s="87">
        <f t="shared" si="52"/>
        <v>34007</v>
      </c>
    </row>
    <row r="633" customHeight="1" spans="1:9">
      <c r="A633" s="87">
        <f t="shared" si="53"/>
        <v>34007</v>
      </c>
      <c r="B633" s="83">
        <v>4</v>
      </c>
      <c r="C633" s="87">
        <f t="shared" si="54"/>
        <v>3</v>
      </c>
      <c r="D633" s="78">
        <v>7</v>
      </c>
      <c r="E633" s="87" t="s">
        <v>3717</v>
      </c>
      <c r="F633" s="78">
        <v>4050000000</v>
      </c>
      <c r="G633" s="78">
        <v>210909091</v>
      </c>
      <c r="I633" s="87">
        <f t="shared" si="52"/>
        <v>34008</v>
      </c>
    </row>
    <row r="634" customHeight="1" spans="1:9">
      <c r="A634" s="87">
        <f t="shared" si="53"/>
        <v>34008</v>
      </c>
      <c r="B634" s="83">
        <v>4</v>
      </c>
      <c r="C634" s="87">
        <f t="shared" si="54"/>
        <v>3</v>
      </c>
      <c r="D634" s="78">
        <v>8</v>
      </c>
      <c r="E634" s="87" t="s">
        <v>3717</v>
      </c>
      <c r="F634" s="78">
        <v>4230000000</v>
      </c>
      <c r="G634" s="78">
        <v>221818182</v>
      </c>
      <c r="I634" s="87">
        <f t="shared" si="52"/>
        <v>34009</v>
      </c>
    </row>
    <row r="635" customHeight="1" spans="1:9">
      <c r="A635" s="87">
        <f t="shared" si="53"/>
        <v>34009</v>
      </c>
      <c r="B635" s="83">
        <v>4</v>
      </c>
      <c r="C635" s="87">
        <f t="shared" si="54"/>
        <v>3</v>
      </c>
      <c r="D635" s="78">
        <v>9</v>
      </c>
      <c r="E635" s="87" t="s">
        <v>3717</v>
      </c>
      <c r="F635" s="78">
        <v>4410000000</v>
      </c>
      <c r="G635" s="78">
        <v>232727273</v>
      </c>
      <c r="I635" s="87">
        <f t="shared" si="52"/>
        <v>34010</v>
      </c>
    </row>
    <row r="636" customHeight="1" spans="1:9">
      <c r="A636" s="87">
        <f t="shared" si="53"/>
        <v>34010</v>
      </c>
      <c r="B636" s="83">
        <v>4</v>
      </c>
      <c r="C636" s="87">
        <f t="shared" si="54"/>
        <v>3</v>
      </c>
      <c r="D636" s="78">
        <v>10</v>
      </c>
      <c r="E636" s="87" t="s">
        <v>3717</v>
      </c>
      <c r="F636" s="78">
        <v>4590000000</v>
      </c>
      <c r="G636" s="78">
        <v>243636364</v>
      </c>
      <c r="I636" s="87">
        <f t="shared" si="52"/>
        <v>34011</v>
      </c>
    </row>
    <row r="637" customHeight="1" spans="1:9">
      <c r="A637" s="87">
        <f t="shared" si="53"/>
        <v>34011</v>
      </c>
      <c r="B637" s="83">
        <v>4</v>
      </c>
      <c r="C637" s="87">
        <f t="shared" si="54"/>
        <v>3</v>
      </c>
      <c r="D637" s="78">
        <v>11</v>
      </c>
      <c r="E637" s="87" t="s">
        <v>3717</v>
      </c>
      <c r="F637" s="78">
        <v>4770000000</v>
      </c>
      <c r="G637" s="78">
        <v>254545455</v>
      </c>
      <c r="I637" s="87">
        <f t="shared" si="52"/>
        <v>34012</v>
      </c>
    </row>
    <row r="638" customHeight="1" spans="1:9">
      <c r="A638" s="87">
        <f t="shared" si="53"/>
        <v>34012</v>
      </c>
      <c r="B638" s="83">
        <v>4</v>
      </c>
      <c r="C638" s="87">
        <f t="shared" si="54"/>
        <v>3</v>
      </c>
      <c r="D638" s="78">
        <v>12</v>
      </c>
      <c r="E638" s="87" t="s">
        <v>3717</v>
      </c>
      <c r="F638" s="78">
        <v>4920000000</v>
      </c>
      <c r="G638" s="78">
        <v>265454545</v>
      </c>
      <c r="I638" s="87">
        <f t="shared" si="52"/>
        <v>34013</v>
      </c>
    </row>
    <row r="639" customHeight="1" spans="1:9">
      <c r="A639" s="87">
        <f t="shared" si="53"/>
        <v>34013</v>
      </c>
      <c r="B639" s="83">
        <v>4</v>
      </c>
      <c r="C639" s="87">
        <f t="shared" si="54"/>
        <v>3</v>
      </c>
      <c r="D639" s="78">
        <v>13</v>
      </c>
      <c r="E639" s="87" t="s">
        <v>3717</v>
      </c>
      <c r="F639" s="78">
        <v>5070000000</v>
      </c>
      <c r="G639" s="78">
        <v>276363636</v>
      </c>
      <c r="I639" s="87">
        <f t="shared" si="52"/>
        <v>34014</v>
      </c>
    </row>
    <row r="640" customHeight="1" spans="1:9">
      <c r="A640" s="87">
        <f t="shared" si="53"/>
        <v>34014</v>
      </c>
      <c r="B640" s="83">
        <v>4</v>
      </c>
      <c r="C640" s="87">
        <f t="shared" si="54"/>
        <v>3</v>
      </c>
      <c r="D640" s="78">
        <v>14</v>
      </c>
      <c r="E640" s="87" t="s">
        <v>3717</v>
      </c>
      <c r="F640" s="78">
        <v>5220000000</v>
      </c>
      <c r="G640" s="78">
        <v>287272727</v>
      </c>
      <c r="I640" s="87">
        <f t="shared" si="52"/>
        <v>34015</v>
      </c>
    </row>
    <row r="641" customHeight="1" spans="1:9">
      <c r="A641" s="87">
        <f t="shared" si="53"/>
        <v>34015</v>
      </c>
      <c r="B641" s="83">
        <v>4</v>
      </c>
      <c r="C641" s="87">
        <f t="shared" si="54"/>
        <v>3</v>
      </c>
      <c r="D641" s="78">
        <v>15</v>
      </c>
      <c r="E641" s="87" t="s">
        <v>3717</v>
      </c>
      <c r="F641" s="78">
        <v>5370000000</v>
      </c>
      <c r="G641" s="78">
        <v>298181818</v>
      </c>
      <c r="I641" s="87">
        <f t="shared" si="52"/>
        <v>34016</v>
      </c>
    </row>
    <row r="642" customHeight="1" spans="1:9">
      <c r="A642" s="87">
        <f t="shared" si="53"/>
        <v>34016</v>
      </c>
      <c r="B642" s="83">
        <v>4</v>
      </c>
      <c r="C642" s="87">
        <f t="shared" si="54"/>
        <v>3</v>
      </c>
      <c r="D642" s="78">
        <v>16</v>
      </c>
      <c r="E642" s="87" t="s">
        <v>3717</v>
      </c>
      <c r="F642" s="78">
        <v>7920000000</v>
      </c>
      <c r="G642" s="78">
        <v>309090909</v>
      </c>
      <c r="I642" s="87">
        <f t="shared" si="52"/>
        <v>34017</v>
      </c>
    </row>
    <row r="643" customHeight="1" spans="1:9">
      <c r="A643" s="87">
        <f t="shared" si="53"/>
        <v>34017</v>
      </c>
      <c r="B643" s="83">
        <v>4</v>
      </c>
      <c r="C643" s="87">
        <f t="shared" si="54"/>
        <v>3</v>
      </c>
      <c r="D643" s="78">
        <v>17</v>
      </c>
      <c r="E643" s="87" t="s">
        <v>3717</v>
      </c>
      <c r="F643" s="78">
        <v>8190000000</v>
      </c>
      <c r="G643" s="78">
        <v>320000000</v>
      </c>
      <c r="I643" s="87">
        <f t="shared" si="52"/>
        <v>34018</v>
      </c>
    </row>
    <row r="644" customHeight="1" spans="1:9">
      <c r="A644" s="87">
        <f t="shared" si="53"/>
        <v>34018</v>
      </c>
      <c r="B644" s="83">
        <v>4</v>
      </c>
      <c r="C644" s="87">
        <f t="shared" si="54"/>
        <v>3</v>
      </c>
      <c r="D644" s="78">
        <v>18</v>
      </c>
      <c r="E644" s="87" t="s">
        <v>3717</v>
      </c>
      <c r="F644" s="78">
        <v>8460000000</v>
      </c>
      <c r="G644" s="78">
        <v>330909091</v>
      </c>
      <c r="I644" s="87">
        <f t="shared" si="52"/>
        <v>34019</v>
      </c>
    </row>
    <row r="645" customHeight="1" spans="1:9">
      <c r="A645" s="87">
        <f t="shared" si="53"/>
        <v>34019</v>
      </c>
      <c r="B645" s="83">
        <v>4</v>
      </c>
      <c r="C645" s="87">
        <f t="shared" si="54"/>
        <v>3</v>
      </c>
      <c r="D645" s="78">
        <v>19</v>
      </c>
      <c r="E645" s="87" t="s">
        <v>3717</v>
      </c>
      <c r="F645" s="78">
        <v>8730000000</v>
      </c>
      <c r="G645" s="78">
        <v>341818182</v>
      </c>
      <c r="I645" s="87">
        <f t="shared" si="52"/>
        <v>34020</v>
      </c>
    </row>
    <row r="646" customHeight="1" spans="1:9">
      <c r="A646" s="87">
        <f t="shared" si="53"/>
        <v>34020</v>
      </c>
      <c r="B646" s="83">
        <v>4</v>
      </c>
      <c r="C646" s="87">
        <f t="shared" si="54"/>
        <v>3</v>
      </c>
      <c r="D646" s="78">
        <v>20</v>
      </c>
      <c r="E646" s="87" t="s">
        <v>3717</v>
      </c>
      <c r="F646" s="78">
        <v>9000000000</v>
      </c>
      <c r="G646" s="78">
        <v>352727273</v>
      </c>
      <c r="I646" s="87">
        <f t="shared" si="52"/>
        <v>34021</v>
      </c>
    </row>
    <row r="647" customHeight="1" spans="1:9">
      <c r="A647" s="87">
        <f t="shared" si="53"/>
        <v>34021</v>
      </c>
      <c r="B647" s="83">
        <v>4</v>
      </c>
      <c r="C647" s="87">
        <f t="shared" si="54"/>
        <v>3</v>
      </c>
      <c r="D647" s="78">
        <v>21</v>
      </c>
      <c r="E647" s="87" t="s">
        <v>3717</v>
      </c>
      <c r="F647" s="78">
        <v>9210000000</v>
      </c>
      <c r="G647" s="78">
        <v>363636364</v>
      </c>
      <c r="I647" s="87">
        <f t="shared" si="52"/>
        <v>34022</v>
      </c>
    </row>
    <row r="648" customHeight="1" spans="1:9">
      <c r="A648" s="87">
        <f t="shared" si="53"/>
        <v>34022</v>
      </c>
      <c r="B648" s="83">
        <v>4</v>
      </c>
      <c r="C648" s="87">
        <f t="shared" si="54"/>
        <v>3</v>
      </c>
      <c r="D648" s="78">
        <v>22</v>
      </c>
      <c r="E648" s="87" t="s">
        <v>3717</v>
      </c>
      <c r="F648" s="78">
        <v>9420000000</v>
      </c>
      <c r="G648" s="78">
        <v>374545455</v>
      </c>
      <c r="I648" s="87">
        <f t="shared" si="52"/>
        <v>34023</v>
      </c>
    </row>
    <row r="649" customHeight="1" spans="1:9">
      <c r="A649" s="87">
        <f t="shared" si="53"/>
        <v>34023</v>
      </c>
      <c r="B649" s="83">
        <v>4</v>
      </c>
      <c r="C649" s="87">
        <f t="shared" si="54"/>
        <v>3</v>
      </c>
      <c r="D649" s="78">
        <v>23</v>
      </c>
      <c r="E649" s="87" t="s">
        <v>3717</v>
      </c>
      <c r="F649" s="78">
        <v>9630000000</v>
      </c>
      <c r="G649" s="78">
        <v>385454545</v>
      </c>
      <c r="I649" s="87">
        <f t="shared" si="52"/>
        <v>34024</v>
      </c>
    </row>
    <row r="650" customHeight="1" spans="1:9">
      <c r="A650" s="87">
        <f t="shared" si="53"/>
        <v>34024</v>
      </c>
      <c r="B650" s="83">
        <v>4</v>
      </c>
      <c r="C650" s="87">
        <f t="shared" si="54"/>
        <v>3</v>
      </c>
      <c r="D650" s="78">
        <v>24</v>
      </c>
      <c r="E650" s="87" t="s">
        <v>3717</v>
      </c>
      <c r="F650" s="78">
        <v>9840000000</v>
      </c>
      <c r="G650" s="78">
        <v>396363636</v>
      </c>
      <c r="I650" s="87">
        <f t="shared" si="52"/>
        <v>34025</v>
      </c>
    </row>
    <row r="651" customHeight="1" spans="1:9">
      <c r="A651" s="87">
        <f t="shared" si="53"/>
        <v>34025</v>
      </c>
      <c r="B651" s="83">
        <v>4</v>
      </c>
      <c r="C651" s="87">
        <f t="shared" si="54"/>
        <v>3</v>
      </c>
      <c r="D651" s="78">
        <v>25</v>
      </c>
      <c r="E651" s="87" t="s">
        <v>3717</v>
      </c>
      <c r="F651" s="78">
        <v>10050000000</v>
      </c>
      <c r="G651" s="78">
        <v>407272727</v>
      </c>
      <c r="I651" s="87">
        <f t="shared" si="52"/>
        <v>34026</v>
      </c>
    </row>
    <row r="652" customHeight="1" spans="1:9">
      <c r="A652" s="87">
        <f t="shared" si="53"/>
        <v>34026</v>
      </c>
      <c r="B652" s="83">
        <v>4</v>
      </c>
      <c r="C652" s="87">
        <f t="shared" si="54"/>
        <v>3</v>
      </c>
      <c r="D652" s="78">
        <v>26</v>
      </c>
      <c r="E652" s="87" t="s">
        <v>3717</v>
      </c>
      <c r="F652" s="78">
        <v>10260000000</v>
      </c>
      <c r="G652" s="78">
        <v>418181818</v>
      </c>
      <c r="I652" s="87">
        <f t="shared" si="52"/>
        <v>34027</v>
      </c>
    </row>
    <row r="653" customHeight="1" spans="1:9">
      <c r="A653" s="87">
        <f t="shared" si="53"/>
        <v>34027</v>
      </c>
      <c r="B653" s="83">
        <v>4</v>
      </c>
      <c r="C653" s="87">
        <f t="shared" si="54"/>
        <v>3</v>
      </c>
      <c r="D653" s="78">
        <v>27</v>
      </c>
      <c r="E653" s="87" t="s">
        <v>3717</v>
      </c>
      <c r="F653" s="78">
        <v>10470000000</v>
      </c>
      <c r="G653" s="78">
        <v>429090909</v>
      </c>
      <c r="I653" s="87">
        <f t="shared" si="52"/>
        <v>34028</v>
      </c>
    </row>
    <row r="654" customHeight="1" spans="1:9">
      <c r="A654" s="87">
        <f t="shared" si="53"/>
        <v>34028</v>
      </c>
      <c r="B654" s="83">
        <v>4</v>
      </c>
      <c r="C654" s="87">
        <f t="shared" si="54"/>
        <v>3</v>
      </c>
      <c r="D654" s="78">
        <v>28</v>
      </c>
      <c r="E654" s="87" t="s">
        <v>3717</v>
      </c>
      <c r="F654" s="78">
        <v>10680000000</v>
      </c>
      <c r="G654" s="78">
        <v>440000000</v>
      </c>
      <c r="I654" s="87">
        <f t="shared" si="52"/>
        <v>34029</v>
      </c>
    </row>
    <row r="655" customHeight="1" spans="1:9">
      <c r="A655" s="87">
        <f t="shared" si="53"/>
        <v>34029</v>
      </c>
      <c r="B655" s="83">
        <v>4</v>
      </c>
      <c r="C655" s="87">
        <f t="shared" si="54"/>
        <v>3</v>
      </c>
      <c r="D655" s="78">
        <v>29</v>
      </c>
      <c r="E655" s="87" t="s">
        <v>3717</v>
      </c>
      <c r="F655" s="78">
        <v>10890000000</v>
      </c>
      <c r="G655" s="78">
        <v>450909091</v>
      </c>
      <c r="I655" s="87">
        <f t="shared" si="52"/>
        <v>34030</v>
      </c>
    </row>
    <row r="656" customHeight="1" spans="1:9">
      <c r="A656" s="87">
        <f t="shared" si="53"/>
        <v>34030</v>
      </c>
      <c r="B656" s="83">
        <v>4</v>
      </c>
      <c r="C656" s="87">
        <f t="shared" si="54"/>
        <v>3</v>
      </c>
      <c r="D656" s="78">
        <v>30</v>
      </c>
      <c r="E656" s="87" t="s">
        <v>3717</v>
      </c>
      <c r="F656" s="78"/>
      <c r="G656" s="78">
        <v>461818182</v>
      </c>
      <c r="I656" s="87"/>
    </row>
    <row r="657" customHeight="1" spans="1:9">
      <c r="A657" s="87">
        <f t="shared" si="53"/>
        <v>44000</v>
      </c>
      <c r="B657" s="83">
        <v>4</v>
      </c>
      <c r="C657" s="87">
        <v>4</v>
      </c>
      <c r="D657" s="78"/>
      <c r="E657" s="87" t="s">
        <v>3717</v>
      </c>
      <c r="F657" s="78">
        <v>107000000000</v>
      </c>
      <c r="G657" s="78"/>
      <c r="I657" s="87">
        <f t="shared" ref="I657:I686" si="55">A658</f>
        <v>44001</v>
      </c>
    </row>
    <row r="658" customHeight="1" spans="1:9">
      <c r="A658" s="87">
        <f t="shared" si="53"/>
        <v>44001</v>
      </c>
      <c r="B658" s="83">
        <v>4</v>
      </c>
      <c r="C658" s="87">
        <v>4</v>
      </c>
      <c r="D658" s="78">
        <v>1</v>
      </c>
      <c r="E658" s="87" t="s">
        <v>3717</v>
      </c>
      <c r="F658" s="78">
        <v>9500000000</v>
      </c>
      <c r="G658" s="78">
        <v>436363636</v>
      </c>
      <c r="I658" s="87">
        <f t="shared" si="55"/>
        <v>44002</v>
      </c>
    </row>
    <row r="659" customHeight="1" spans="1:9">
      <c r="A659" s="87">
        <f t="shared" si="53"/>
        <v>44002</v>
      </c>
      <c r="B659" s="83">
        <v>4</v>
      </c>
      <c r="C659" s="87">
        <f t="shared" ref="C659:C687" si="56">C658</f>
        <v>4</v>
      </c>
      <c r="D659" s="78">
        <v>2</v>
      </c>
      <c r="E659" s="87" t="s">
        <v>3717</v>
      </c>
      <c r="F659" s="78">
        <v>9830000000</v>
      </c>
      <c r="G659" s="78">
        <v>458181818</v>
      </c>
      <c r="I659" s="87">
        <f t="shared" si="55"/>
        <v>44003</v>
      </c>
    </row>
    <row r="660" customHeight="1" spans="1:9">
      <c r="A660" s="87">
        <f t="shared" ref="A660:A691" si="57">C660*10000+B660*1000+D660</f>
        <v>44003</v>
      </c>
      <c r="B660" s="83">
        <v>4</v>
      </c>
      <c r="C660" s="87">
        <f t="shared" si="56"/>
        <v>4</v>
      </c>
      <c r="D660" s="78">
        <v>3</v>
      </c>
      <c r="E660" s="87" t="s">
        <v>3717</v>
      </c>
      <c r="F660" s="78">
        <v>10150000000</v>
      </c>
      <c r="G660" s="78">
        <v>480000000</v>
      </c>
      <c r="I660" s="87">
        <f t="shared" si="55"/>
        <v>44004</v>
      </c>
    </row>
    <row r="661" customHeight="1" spans="1:9">
      <c r="A661" s="87">
        <f t="shared" si="57"/>
        <v>44004</v>
      </c>
      <c r="B661" s="83">
        <v>4</v>
      </c>
      <c r="C661" s="87">
        <f t="shared" si="56"/>
        <v>4</v>
      </c>
      <c r="D661" s="78">
        <v>4</v>
      </c>
      <c r="E661" s="87" t="s">
        <v>3717</v>
      </c>
      <c r="F661" s="78">
        <v>10480000000</v>
      </c>
      <c r="G661" s="78">
        <v>501818182</v>
      </c>
      <c r="I661" s="87">
        <f t="shared" si="55"/>
        <v>44005</v>
      </c>
    </row>
    <row r="662" customHeight="1" spans="1:9">
      <c r="A662" s="87">
        <f t="shared" si="57"/>
        <v>44005</v>
      </c>
      <c r="B662" s="83">
        <v>4</v>
      </c>
      <c r="C662" s="87">
        <f t="shared" si="56"/>
        <v>4</v>
      </c>
      <c r="D662" s="78">
        <v>5</v>
      </c>
      <c r="E662" s="87" t="s">
        <v>3717</v>
      </c>
      <c r="F662" s="78">
        <v>10800000000</v>
      </c>
      <c r="G662" s="78">
        <v>523636364</v>
      </c>
      <c r="I662" s="87">
        <f t="shared" si="55"/>
        <v>44006</v>
      </c>
    </row>
    <row r="663" customHeight="1" spans="1:9">
      <c r="A663" s="87">
        <f t="shared" si="57"/>
        <v>44006</v>
      </c>
      <c r="B663" s="83">
        <v>4</v>
      </c>
      <c r="C663" s="87">
        <f t="shared" si="56"/>
        <v>4</v>
      </c>
      <c r="D663" s="78">
        <v>6</v>
      </c>
      <c r="E663" s="87" t="s">
        <v>3717</v>
      </c>
      <c r="F663" s="78">
        <v>11050000000</v>
      </c>
      <c r="G663" s="78">
        <v>545454545</v>
      </c>
      <c r="I663" s="87">
        <f t="shared" si="55"/>
        <v>44007</v>
      </c>
    </row>
    <row r="664" customHeight="1" spans="1:9">
      <c r="A664" s="87">
        <f t="shared" si="57"/>
        <v>44007</v>
      </c>
      <c r="B664" s="83">
        <v>4</v>
      </c>
      <c r="C664" s="87">
        <f t="shared" si="56"/>
        <v>4</v>
      </c>
      <c r="D664" s="78">
        <v>7</v>
      </c>
      <c r="E664" s="87" t="s">
        <v>3717</v>
      </c>
      <c r="F664" s="78">
        <v>11300000000</v>
      </c>
      <c r="G664" s="78">
        <v>567272727</v>
      </c>
      <c r="I664" s="87">
        <f t="shared" si="55"/>
        <v>44008</v>
      </c>
    </row>
    <row r="665" customHeight="1" spans="1:9">
      <c r="A665" s="87">
        <f t="shared" si="57"/>
        <v>44008</v>
      </c>
      <c r="B665" s="83">
        <v>4</v>
      </c>
      <c r="C665" s="87">
        <f t="shared" si="56"/>
        <v>4</v>
      </c>
      <c r="D665" s="78">
        <v>8</v>
      </c>
      <c r="E665" s="87" t="s">
        <v>3717</v>
      </c>
      <c r="F665" s="78">
        <v>11560000000</v>
      </c>
      <c r="G665" s="78">
        <v>589090909</v>
      </c>
      <c r="I665" s="87">
        <f t="shared" si="55"/>
        <v>44009</v>
      </c>
    </row>
    <row r="666" customHeight="1" spans="1:9">
      <c r="A666" s="87">
        <f t="shared" si="57"/>
        <v>44009</v>
      </c>
      <c r="B666" s="83">
        <v>4</v>
      </c>
      <c r="C666" s="87">
        <f t="shared" si="56"/>
        <v>4</v>
      </c>
      <c r="D666" s="78">
        <v>9</v>
      </c>
      <c r="E666" s="87" t="s">
        <v>3717</v>
      </c>
      <c r="F666" s="78">
        <v>11810000000</v>
      </c>
      <c r="G666" s="78">
        <v>610909091</v>
      </c>
      <c r="I666" s="87">
        <f t="shared" si="55"/>
        <v>44010</v>
      </c>
    </row>
    <row r="667" customHeight="1" spans="1:9">
      <c r="A667" s="87">
        <f t="shared" si="57"/>
        <v>44010</v>
      </c>
      <c r="B667" s="83">
        <v>4</v>
      </c>
      <c r="C667" s="87">
        <f t="shared" si="56"/>
        <v>4</v>
      </c>
      <c r="D667" s="78">
        <v>10</v>
      </c>
      <c r="E667" s="87" t="s">
        <v>3717</v>
      </c>
      <c r="F667" s="78">
        <v>12060000000</v>
      </c>
      <c r="G667" s="78">
        <v>632727273</v>
      </c>
      <c r="I667" s="87">
        <f t="shared" si="55"/>
        <v>44011</v>
      </c>
    </row>
    <row r="668" customHeight="1" spans="1:9">
      <c r="A668" s="87">
        <f t="shared" si="57"/>
        <v>44011</v>
      </c>
      <c r="B668" s="83">
        <v>4</v>
      </c>
      <c r="C668" s="87">
        <f t="shared" si="56"/>
        <v>4</v>
      </c>
      <c r="D668" s="78">
        <v>11</v>
      </c>
      <c r="E668" s="87" t="s">
        <v>3717</v>
      </c>
      <c r="F668" s="78">
        <v>12310000000</v>
      </c>
      <c r="G668" s="78">
        <v>654545455</v>
      </c>
      <c r="I668" s="87">
        <f t="shared" si="55"/>
        <v>44012</v>
      </c>
    </row>
    <row r="669" customHeight="1" spans="1:9">
      <c r="A669" s="87">
        <f t="shared" si="57"/>
        <v>44012</v>
      </c>
      <c r="B669" s="83">
        <v>4</v>
      </c>
      <c r="C669" s="87">
        <f t="shared" si="56"/>
        <v>4</v>
      </c>
      <c r="D669" s="78">
        <v>12</v>
      </c>
      <c r="E669" s="87" t="s">
        <v>3717</v>
      </c>
      <c r="F669" s="78">
        <v>12560000000</v>
      </c>
      <c r="G669" s="78">
        <v>676363636</v>
      </c>
      <c r="I669" s="87">
        <f t="shared" si="55"/>
        <v>44013</v>
      </c>
    </row>
    <row r="670" customHeight="1" spans="1:9">
      <c r="A670" s="87">
        <f t="shared" si="57"/>
        <v>44013</v>
      </c>
      <c r="B670" s="83">
        <v>4</v>
      </c>
      <c r="C670" s="87">
        <f t="shared" si="56"/>
        <v>4</v>
      </c>
      <c r="D670" s="78">
        <v>13</v>
      </c>
      <c r="E670" s="87" t="s">
        <v>3717</v>
      </c>
      <c r="F670" s="78">
        <v>12820000000</v>
      </c>
      <c r="G670" s="78">
        <v>698181818</v>
      </c>
      <c r="I670" s="87">
        <f t="shared" si="55"/>
        <v>44014</v>
      </c>
    </row>
    <row r="671" customHeight="1" spans="1:9">
      <c r="A671" s="87">
        <f t="shared" si="57"/>
        <v>44014</v>
      </c>
      <c r="B671" s="83">
        <v>4</v>
      </c>
      <c r="C671" s="87">
        <f t="shared" si="56"/>
        <v>4</v>
      </c>
      <c r="D671" s="78">
        <v>14</v>
      </c>
      <c r="E671" s="87" t="s">
        <v>3717</v>
      </c>
      <c r="F671" s="78">
        <v>13070000000</v>
      </c>
      <c r="G671" s="78">
        <v>720000000</v>
      </c>
      <c r="I671" s="87">
        <f t="shared" si="55"/>
        <v>44015</v>
      </c>
    </row>
    <row r="672" customHeight="1" spans="1:9">
      <c r="A672" s="87">
        <f t="shared" si="57"/>
        <v>44015</v>
      </c>
      <c r="B672" s="83">
        <v>4</v>
      </c>
      <c r="C672" s="87">
        <f t="shared" si="56"/>
        <v>4</v>
      </c>
      <c r="D672" s="78">
        <v>15</v>
      </c>
      <c r="E672" s="87" t="s">
        <v>3717</v>
      </c>
      <c r="F672" s="78">
        <v>13320000000</v>
      </c>
      <c r="G672" s="78">
        <v>741818182</v>
      </c>
      <c r="I672" s="87">
        <f t="shared" si="55"/>
        <v>44016</v>
      </c>
    </row>
    <row r="673" customHeight="1" spans="1:9">
      <c r="A673" s="87">
        <f t="shared" si="57"/>
        <v>44016</v>
      </c>
      <c r="B673" s="83">
        <v>4</v>
      </c>
      <c r="C673" s="87">
        <f t="shared" si="56"/>
        <v>4</v>
      </c>
      <c r="D673" s="78">
        <v>16</v>
      </c>
      <c r="E673" s="87" t="s">
        <v>3717</v>
      </c>
      <c r="F673" s="78">
        <v>17780000000</v>
      </c>
      <c r="G673" s="78">
        <v>763636364</v>
      </c>
      <c r="I673" s="87">
        <f t="shared" si="55"/>
        <v>44017</v>
      </c>
    </row>
    <row r="674" customHeight="1" spans="1:9">
      <c r="A674" s="87">
        <f t="shared" si="57"/>
        <v>44017</v>
      </c>
      <c r="B674" s="83">
        <v>4</v>
      </c>
      <c r="C674" s="87">
        <f t="shared" si="56"/>
        <v>4</v>
      </c>
      <c r="D674" s="78">
        <v>17</v>
      </c>
      <c r="E674" s="87" t="s">
        <v>3717</v>
      </c>
      <c r="F674" s="78">
        <v>18110000000</v>
      </c>
      <c r="G674" s="78">
        <v>785454545</v>
      </c>
      <c r="I674" s="87">
        <f t="shared" si="55"/>
        <v>44018</v>
      </c>
    </row>
    <row r="675" customHeight="1" spans="1:9">
      <c r="A675" s="87">
        <f t="shared" si="57"/>
        <v>44018</v>
      </c>
      <c r="B675" s="83">
        <v>4</v>
      </c>
      <c r="C675" s="87">
        <f t="shared" si="56"/>
        <v>4</v>
      </c>
      <c r="D675" s="78">
        <v>18</v>
      </c>
      <c r="E675" s="87" t="s">
        <v>3717</v>
      </c>
      <c r="F675" s="78">
        <v>18430000000</v>
      </c>
      <c r="G675" s="78">
        <v>807272727</v>
      </c>
      <c r="I675" s="87">
        <f t="shared" si="55"/>
        <v>44019</v>
      </c>
    </row>
    <row r="676" customHeight="1" spans="1:9">
      <c r="A676" s="87">
        <f t="shared" si="57"/>
        <v>44019</v>
      </c>
      <c r="B676" s="83">
        <v>4</v>
      </c>
      <c r="C676" s="87">
        <f t="shared" si="56"/>
        <v>4</v>
      </c>
      <c r="D676" s="78">
        <v>19</v>
      </c>
      <c r="E676" s="87" t="s">
        <v>3717</v>
      </c>
      <c r="F676" s="78">
        <v>18760000000</v>
      </c>
      <c r="G676" s="78">
        <v>829090909</v>
      </c>
      <c r="I676" s="87">
        <f t="shared" si="55"/>
        <v>44020</v>
      </c>
    </row>
    <row r="677" customHeight="1" spans="1:9">
      <c r="A677" s="87">
        <f t="shared" si="57"/>
        <v>44020</v>
      </c>
      <c r="B677" s="83">
        <v>4</v>
      </c>
      <c r="C677" s="87">
        <f t="shared" si="56"/>
        <v>4</v>
      </c>
      <c r="D677" s="78">
        <v>20</v>
      </c>
      <c r="E677" s="87" t="s">
        <v>3717</v>
      </c>
      <c r="F677" s="78">
        <v>19080000000</v>
      </c>
      <c r="G677" s="78">
        <v>850909091</v>
      </c>
      <c r="I677" s="87">
        <f t="shared" si="55"/>
        <v>44021</v>
      </c>
    </row>
    <row r="678" customHeight="1" spans="1:9">
      <c r="A678" s="87">
        <f t="shared" si="57"/>
        <v>44021</v>
      </c>
      <c r="B678" s="83">
        <v>4</v>
      </c>
      <c r="C678" s="87">
        <f t="shared" si="56"/>
        <v>4</v>
      </c>
      <c r="D678" s="78">
        <v>21</v>
      </c>
      <c r="E678" s="87" t="s">
        <v>3717</v>
      </c>
      <c r="F678" s="78">
        <v>19400000000</v>
      </c>
      <c r="G678" s="78">
        <v>872727273</v>
      </c>
      <c r="I678" s="87">
        <f t="shared" si="55"/>
        <v>44022</v>
      </c>
    </row>
    <row r="679" customHeight="1" spans="1:9">
      <c r="A679" s="87">
        <f t="shared" si="57"/>
        <v>44022</v>
      </c>
      <c r="B679" s="83">
        <v>4</v>
      </c>
      <c r="C679" s="87">
        <f t="shared" si="56"/>
        <v>4</v>
      </c>
      <c r="D679" s="78">
        <v>22</v>
      </c>
      <c r="E679" s="87" t="s">
        <v>3717</v>
      </c>
      <c r="F679" s="78">
        <v>19730000000</v>
      </c>
      <c r="G679" s="78">
        <v>894545455</v>
      </c>
      <c r="I679" s="87">
        <f t="shared" si="55"/>
        <v>44023</v>
      </c>
    </row>
    <row r="680" customHeight="1" spans="1:9">
      <c r="A680" s="87">
        <f t="shared" si="57"/>
        <v>44023</v>
      </c>
      <c r="B680" s="83">
        <v>4</v>
      </c>
      <c r="C680" s="87">
        <f t="shared" si="56"/>
        <v>4</v>
      </c>
      <c r="D680" s="78">
        <v>23</v>
      </c>
      <c r="E680" s="87" t="s">
        <v>3717</v>
      </c>
      <c r="F680" s="78">
        <v>25810000000</v>
      </c>
      <c r="G680" s="78">
        <v>916363636</v>
      </c>
      <c r="I680" s="87">
        <f t="shared" si="55"/>
        <v>44024</v>
      </c>
    </row>
    <row r="681" customHeight="1" spans="1:9">
      <c r="A681" s="87">
        <f t="shared" si="57"/>
        <v>44024</v>
      </c>
      <c r="B681" s="83">
        <v>4</v>
      </c>
      <c r="C681" s="87">
        <f t="shared" si="56"/>
        <v>4</v>
      </c>
      <c r="D681" s="78">
        <v>24</v>
      </c>
      <c r="E681" s="87" t="s">
        <v>3717</v>
      </c>
      <c r="F681" s="78">
        <v>26350000000</v>
      </c>
      <c r="G681" s="78">
        <v>938181818</v>
      </c>
      <c r="I681" s="87">
        <f t="shared" si="55"/>
        <v>44025</v>
      </c>
    </row>
    <row r="682" customHeight="1" spans="1:9">
      <c r="A682" s="87">
        <f t="shared" si="57"/>
        <v>44025</v>
      </c>
      <c r="B682" s="83">
        <v>4</v>
      </c>
      <c r="C682" s="87">
        <f t="shared" si="56"/>
        <v>4</v>
      </c>
      <c r="D682" s="78">
        <v>25</v>
      </c>
      <c r="E682" s="87" t="s">
        <v>3717</v>
      </c>
      <c r="F682" s="78">
        <v>26890000000</v>
      </c>
      <c r="G682" s="78">
        <v>960000000</v>
      </c>
      <c r="I682" s="87">
        <f t="shared" si="55"/>
        <v>44026</v>
      </c>
    </row>
    <row r="683" customHeight="1" spans="1:9">
      <c r="A683" s="87">
        <f t="shared" si="57"/>
        <v>44026</v>
      </c>
      <c r="B683" s="83">
        <v>4</v>
      </c>
      <c r="C683" s="87">
        <f t="shared" si="56"/>
        <v>4</v>
      </c>
      <c r="D683" s="78">
        <v>26</v>
      </c>
      <c r="E683" s="87" t="s">
        <v>3717</v>
      </c>
      <c r="F683" s="78">
        <v>27430000000</v>
      </c>
      <c r="G683" s="78">
        <v>981818182</v>
      </c>
      <c r="I683" s="87">
        <f t="shared" si="55"/>
        <v>44027</v>
      </c>
    </row>
    <row r="684" customHeight="1" spans="1:9">
      <c r="A684" s="87">
        <f t="shared" si="57"/>
        <v>44027</v>
      </c>
      <c r="B684" s="83">
        <v>4</v>
      </c>
      <c r="C684" s="87">
        <f t="shared" si="56"/>
        <v>4</v>
      </c>
      <c r="D684" s="78">
        <v>27</v>
      </c>
      <c r="E684" s="87" t="s">
        <v>3717</v>
      </c>
      <c r="F684" s="78">
        <v>27970000000</v>
      </c>
      <c r="G684" s="78">
        <v>1003636364</v>
      </c>
      <c r="I684" s="87">
        <f t="shared" si="55"/>
        <v>44028</v>
      </c>
    </row>
    <row r="685" customHeight="1" spans="1:9">
      <c r="A685" s="87">
        <f t="shared" si="57"/>
        <v>44028</v>
      </c>
      <c r="B685" s="83">
        <v>4</v>
      </c>
      <c r="C685" s="87">
        <f t="shared" si="56"/>
        <v>4</v>
      </c>
      <c r="D685" s="78">
        <v>28</v>
      </c>
      <c r="E685" s="87" t="s">
        <v>3717</v>
      </c>
      <c r="F685" s="78">
        <v>28510000000</v>
      </c>
      <c r="G685" s="78">
        <v>1025454545</v>
      </c>
      <c r="I685" s="87">
        <f t="shared" si="55"/>
        <v>44029</v>
      </c>
    </row>
    <row r="686" customHeight="1" spans="1:9">
      <c r="A686" s="87">
        <f t="shared" si="57"/>
        <v>44029</v>
      </c>
      <c r="B686" s="83">
        <v>4</v>
      </c>
      <c r="C686" s="87">
        <f t="shared" si="56"/>
        <v>4</v>
      </c>
      <c r="D686" s="78">
        <v>29</v>
      </c>
      <c r="E686" s="87" t="s">
        <v>3717</v>
      </c>
      <c r="F686" s="78">
        <v>29050000000</v>
      </c>
      <c r="G686" s="78">
        <v>1047272727</v>
      </c>
      <c r="I686" s="87">
        <f t="shared" si="55"/>
        <v>44030</v>
      </c>
    </row>
    <row r="687" customHeight="1" spans="1:9">
      <c r="A687" s="87">
        <f t="shared" si="57"/>
        <v>44030</v>
      </c>
      <c r="B687" s="83">
        <v>4</v>
      </c>
      <c r="C687" s="87">
        <f t="shared" si="56"/>
        <v>4</v>
      </c>
      <c r="D687" s="78">
        <v>30</v>
      </c>
      <c r="E687" s="87" t="s">
        <v>3717</v>
      </c>
      <c r="F687" s="78"/>
      <c r="G687" s="78">
        <v>1069090909</v>
      </c>
      <c r="I687" s="87"/>
    </row>
    <row r="688" customHeight="1" spans="1:9">
      <c r="A688" s="87">
        <f t="shared" si="57"/>
        <v>54000</v>
      </c>
      <c r="B688" s="83">
        <v>4</v>
      </c>
      <c r="C688" s="83">
        <v>5</v>
      </c>
      <c r="D688" s="78"/>
      <c r="E688" s="87" t="s">
        <v>3717</v>
      </c>
      <c r="F688" s="78">
        <v>444000000000</v>
      </c>
      <c r="G688" s="78"/>
      <c r="I688" s="87">
        <f t="shared" ref="I688:I717" si="58">A689</f>
        <v>54001</v>
      </c>
    </row>
    <row r="689" customHeight="1" spans="1:9">
      <c r="A689" s="87">
        <f t="shared" si="57"/>
        <v>54001</v>
      </c>
      <c r="B689" s="83">
        <v>4</v>
      </c>
      <c r="C689" s="83">
        <v>5</v>
      </c>
      <c r="D689" s="78">
        <v>1</v>
      </c>
      <c r="E689" s="87" t="s">
        <v>3717</v>
      </c>
      <c r="F689" s="78">
        <v>20750000000</v>
      </c>
      <c r="G689" s="78">
        <v>872727273</v>
      </c>
      <c r="I689" s="87">
        <f t="shared" si="58"/>
        <v>54002</v>
      </c>
    </row>
    <row r="690" customHeight="1" spans="1:9">
      <c r="A690" s="87">
        <f t="shared" si="57"/>
        <v>54002</v>
      </c>
      <c r="B690" s="83">
        <v>4</v>
      </c>
      <c r="C690" s="83">
        <v>5</v>
      </c>
      <c r="D690" s="78">
        <v>2</v>
      </c>
      <c r="E690" s="87" t="s">
        <v>3717</v>
      </c>
      <c r="F690" s="78">
        <v>21130000000</v>
      </c>
      <c r="G690" s="78">
        <v>909090909</v>
      </c>
      <c r="I690" s="87">
        <f t="shared" si="58"/>
        <v>54003</v>
      </c>
    </row>
    <row r="691" customHeight="1" spans="1:9">
      <c r="A691" s="87">
        <f t="shared" si="57"/>
        <v>54003</v>
      </c>
      <c r="B691" s="83">
        <v>4</v>
      </c>
      <c r="C691" s="83">
        <v>5</v>
      </c>
      <c r="D691" s="78">
        <v>3</v>
      </c>
      <c r="E691" s="87" t="s">
        <v>3717</v>
      </c>
      <c r="F691" s="78">
        <v>21500000000</v>
      </c>
      <c r="G691" s="78">
        <v>945454545</v>
      </c>
      <c r="I691" s="87">
        <f t="shared" si="58"/>
        <v>54004</v>
      </c>
    </row>
    <row r="692" customHeight="1" spans="1:9">
      <c r="A692" s="87">
        <f t="shared" ref="A692:A732" si="59">C692*10000+B692*1000+D692</f>
        <v>54004</v>
      </c>
      <c r="B692" s="83">
        <v>4</v>
      </c>
      <c r="C692" s="83">
        <v>5</v>
      </c>
      <c r="D692" s="78">
        <v>4</v>
      </c>
      <c r="E692" s="87" t="s">
        <v>3717</v>
      </c>
      <c r="F692" s="78">
        <v>21880000000</v>
      </c>
      <c r="G692" s="78">
        <v>981818182</v>
      </c>
      <c r="I692" s="87">
        <f t="shared" si="58"/>
        <v>54005</v>
      </c>
    </row>
    <row r="693" customHeight="1" spans="1:9">
      <c r="A693" s="87">
        <f t="shared" si="59"/>
        <v>54005</v>
      </c>
      <c r="B693" s="83">
        <v>4</v>
      </c>
      <c r="C693" s="83">
        <v>5</v>
      </c>
      <c r="D693" s="78">
        <v>5</v>
      </c>
      <c r="E693" s="87" t="s">
        <v>3717</v>
      </c>
      <c r="F693" s="78">
        <v>22260000000</v>
      </c>
      <c r="G693" s="78">
        <v>1018181818</v>
      </c>
      <c r="I693" s="87">
        <f t="shared" si="58"/>
        <v>54006</v>
      </c>
    </row>
    <row r="694" customHeight="1" spans="1:9">
      <c r="A694" s="87">
        <f t="shared" si="59"/>
        <v>54006</v>
      </c>
      <c r="B694" s="83">
        <v>4</v>
      </c>
      <c r="C694" s="83">
        <v>5</v>
      </c>
      <c r="D694" s="78">
        <v>6</v>
      </c>
      <c r="E694" s="87" t="s">
        <v>3717</v>
      </c>
      <c r="F694" s="78">
        <v>22640000000</v>
      </c>
      <c r="G694" s="78">
        <v>1054545455</v>
      </c>
      <c r="I694" s="87">
        <f t="shared" si="58"/>
        <v>54007</v>
      </c>
    </row>
    <row r="695" customHeight="1" spans="1:9">
      <c r="A695" s="87">
        <f t="shared" si="59"/>
        <v>54007</v>
      </c>
      <c r="B695" s="83">
        <v>4</v>
      </c>
      <c r="C695" s="83">
        <v>5</v>
      </c>
      <c r="D695" s="78">
        <v>7</v>
      </c>
      <c r="E695" s="87" t="s">
        <v>3717</v>
      </c>
      <c r="F695" s="78">
        <v>23020000000</v>
      </c>
      <c r="G695" s="78">
        <v>1090909091</v>
      </c>
      <c r="I695" s="87">
        <f t="shared" si="58"/>
        <v>54008</v>
      </c>
    </row>
    <row r="696" customHeight="1" spans="1:9">
      <c r="A696" s="87">
        <f t="shared" si="59"/>
        <v>54008</v>
      </c>
      <c r="B696" s="83">
        <v>4</v>
      </c>
      <c r="C696" s="83">
        <v>5</v>
      </c>
      <c r="D696" s="78">
        <v>8</v>
      </c>
      <c r="E696" s="87" t="s">
        <v>3717</v>
      </c>
      <c r="F696" s="78">
        <v>30110000000</v>
      </c>
      <c r="G696" s="78">
        <v>1127272727</v>
      </c>
      <c r="I696" s="87">
        <f t="shared" si="58"/>
        <v>54009</v>
      </c>
    </row>
    <row r="697" customHeight="1" spans="1:9">
      <c r="A697" s="87">
        <f t="shared" si="59"/>
        <v>54009</v>
      </c>
      <c r="B697" s="83">
        <v>4</v>
      </c>
      <c r="C697" s="83">
        <v>5</v>
      </c>
      <c r="D697" s="78">
        <v>9</v>
      </c>
      <c r="E697" s="87" t="s">
        <v>3717</v>
      </c>
      <c r="F697" s="78">
        <v>30740000000</v>
      </c>
      <c r="G697" s="78">
        <v>1163636364</v>
      </c>
      <c r="I697" s="87">
        <f t="shared" si="58"/>
        <v>54010</v>
      </c>
    </row>
    <row r="698" customHeight="1" spans="1:9">
      <c r="A698" s="87">
        <f t="shared" si="59"/>
        <v>54010</v>
      </c>
      <c r="B698" s="83">
        <v>4</v>
      </c>
      <c r="C698" s="83">
        <v>5</v>
      </c>
      <c r="D698" s="78">
        <v>10</v>
      </c>
      <c r="E698" s="87" t="s">
        <v>3717</v>
      </c>
      <c r="F698" s="78">
        <v>31370000000</v>
      </c>
      <c r="G698" s="78">
        <v>1200000000</v>
      </c>
      <c r="I698" s="87">
        <f t="shared" si="58"/>
        <v>54011</v>
      </c>
    </row>
    <row r="699" customHeight="1" spans="1:9">
      <c r="A699" s="87">
        <f t="shared" si="59"/>
        <v>54011</v>
      </c>
      <c r="B699" s="83">
        <v>4</v>
      </c>
      <c r="C699" s="83">
        <v>5</v>
      </c>
      <c r="D699" s="78">
        <v>11</v>
      </c>
      <c r="E699" s="87" t="s">
        <v>3717</v>
      </c>
      <c r="F699" s="78">
        <v>32000000000</v>
      </c>
      <c r="G699" s="78">
        <v>1236363636</v>
      </c>
      <c r="I699" s="87">
        <f t="shared" si="58"/>
        <v>54012</v>
      </c>
    </row>
    <row r="700" customHeight="1" spans="1:9">
      <c r="A700" s="87">
        <f t="shared" si="59"/>
        <v>54012</v>
      </c>
      <c r="B700" s="83">
        <v>4</v>
      </c>
      <c r="C700" s="83">
        <v>5</v>
      </c>
      <c r="D700" s="78">
        <v>12</v>
      </c>
      <c r="E700" s="87" t="s">
        <v>3717</v>
      </c>
      <c r="F700" s="78">
        <v>32630000000</v>
      </c>
      <c r="G700" s="78">
        <v>1272727273</v>
      </c>
      <c r="I700" s="87">
        <f t="shared" si="58"/>
        <v>54013</v>
      </c>
    </row>
    <row r="701" customHeight="1" spans="1:9">
      <c r="A701" s="87">
        <f t="shared" si="59"/>
        <v>54013</v>
      </c>
      <c r="B701" s="83">
        <v>4</v>
      </c>
      <c r="C701" s="83">
        <v>5</v>
      </c>
      <c r="D701" s="78">
        <v>13</v>
      </c>
      <c r="E701" s="87" t="s">
        <v>3717</v>
      </c>
      <c r="F701" s="78">
        <v>33260000000</v>
      </c>
      <c r="G701" s="78">
        <v>1309090909</v>
      </c>
      <c r="I701" s="87">
        <f t="shared" si="58"/>
        <v>54014</v>
      </c>
    </row>
    <row r="702" customHeight="1" spans="1:9">
      <c r="A702" s="87">
        <f t="shared" si="59"/>
        <v>54014</v>
      </c>
      <c r="B702" s="83">
        <v>4</v>
      </c>
      <c r="C702" s="83">
        <v>5</v>
      </c>
      <c r="D702" s="78">
        <v>14</v>
      </c>
      <c r="E702" s="87" t="s">
        <v>3717</v>
      </c>
      <c r="F702" s="78">
        <v>33890000000</v>
      </c>
      <c r="G702" s="78">
        <v>1345454545</v>
      </c>
      <c r="I702" s="87">
        <f t="shared" si="58"/>
        <v>54015</v>
      </c>
    </row>
    <row r="703" customHeight="1" spans="1:9">
      <c r="A703" s="87">
        <f t="shared" si="59"/>
        <v>54015</v>
      </c>
      <c r="B703" s="83">
        <v>4</v>
      </c>
      <c r="C703" s="83">
        <v>5</v>
      </c>
      <c r="D703" s="78">
        <v>15</v>
      </c>
      <c r="E703" s="87" t="s">
        <v>3717</v>
      </c>
      <c r="F703" s="78">
        <v>34520000000</v>
      </c>
      <c r="G703" s="78">
        <v>1381818182</v>
      </c>
      <c r="I703" s="87">
        <f t="shared" si="58"/>
        <v>54016</v>
      </c>
    </row>
    <row r="704" customHeight="1" spans="1:9">
      <c r="A704" s="87">
        <f t="shared" si="59"/>
        <v>54016</v>
      </c>
      <c r="B704" s="83">
        <v>4</v>
      </c>
      <c r="C704" s="83">
        <v>5</v>
      </c>
      <c r="D704" s="78">
        <v>16</v>
      </c>
      <c r="E704" s="87" t="s">
        <v>3717</v>
      </c>
      <c r="F704" s="78">
        <v>34990000000</v>
      </c>
      <c r="G704" s="78">
        <v>1418181818</v>
      </c>
      <c r="I704" s="87">
        <f t="shared" si="58"/>
        <v>54017</v>
      </c>
    </row>
    <row r="705" customHeight="1" spans="1:9">
      <c r="A705" s="87">
        <f t="shared" si="59"/>
        <v>54017</v>
      </c>
      <c r="B705" s="83">
        <v>4</v>
      </c>
      <c r="C705" s="83">
        <v>5</v>
      </c>
      <c r="D705" s="78">
        <v>17</v>
      </c>
      <c r="E705" s="87" t="s">
        <v>3717</v>
      </c>
      <c r="F705" s="78">
        <v>35450000000</v>
      </c>
      <c r="G705" s="78">
        <v>1454545455</v>
      </c>
      <c r="I705" s="87">
        <f t="shared" si="58"/>
        <v>54018</v>
      </c>
    </row>
    <row r="706" customHeight="1" spans="1:9">
      <c r="A706" s="87">
        <f t="shared" si="59"/>
        <v>54018</v>
      </c>
      <c r="B706" s="83">
        <v>4</v>
      </c>
      <c r="C706" s="83">
        <v>5</v>
      </c>
      <c r="D706" s="78">
        <v>18</v>
      </c>
      <c r="E706" s="87" t="s">
        <v>3717</v>
      </c>
      <c r="F706" s="78">
        <v>35910000000</v>
      </c>
      <c r="G706" s="78">
        <v>1490909091</v>
      </c>
      <c r="I706" s="87">
        <f t="shared" si="58"/>
        <v>54019</v>
      </c>
    </row>
    <row r="707" customHeight="1" spans="1:9">
      <c r="A707" s="87">
        <f t="shared" si="59"/>
        <v>54019</v>
      </c>
      <c r="B707" s="83">
        <v>4</v>
      </c>
      <c r="C707" s="83">
        <v>5</v>
      </c>
      <c r="D707" s="78">
        <v>19</v>
      </c>
      <c r="E707" s="87" t="s">
        <v>3717</v>
      </c>
      <c r="F707" s="78">
        <v>36370000000</v>
      </c>
      <c r="G707" s="78">
        <v>1527272727</v>
      </c>
      <c r="I707" s="87">
        <f t="shared" si="58"/>
        <v>54020</v>
      </c>
    </row>
    <row r="708" customHeight="1" spans="1:9">
      <c r="A708" s="87">
        <f t="shared" si="59"/>
        <v>54020</v>
      </c>
      <c r="B708" s="83">
        <v>4</v>
      </c>
      <c r="C708" s="83">
        <v>5</v>
      </c>
      <c r="D708" s="78">
        <v>20</v>
      </c>
      <c r="E708" s="87" t="s">
        <v>3717</v>
      </c>
      <c r="F708" s="78">
        <v>36830000000</v>
      </c>
      <c r="G708" s="78">
        <v>1563636364</v>
      </c>
      <c r="I708" s="87">
        <f t="shared" si="58"/>
        <v>54021</v>
      </c>
    </row>
    <row r="709" customHeight="1" spans="1:9">
      <c r="A709" s="87">
        <f t="shared" si="59"/>
        <v>54021</v>
      </c>
      <c r="B709" s="83">
        <v>4</v>
      </c>
      <c r="C709" s="83">
        <v>5</v>
      </c>
      <c r="D709" s="78">
        <v>21</v>
      </c>
      <c r="E709" s="87" t="s">
        <v>3717</v>
      </c>
      <c r="F709" s="78">
        <v>37300000000</v>
      </c>
      <c r="G709" s="78">
        <v>1600000000</v>
      </c>
      <c r="I709" s="87">
        <f t="shared" si="58"/>
        <v>54022</v>
      </c>
    </row>
    <row r="710" customHeight="1" spans="1:9">
      <c r="A710" s="87">
        <f t="shared" si="59"/>
        <v>54022</v>
      </c>
      <c r="B710" s="83">
        <v>4</v>
      </c>
      <c r="C710" s="83">
        <v>5</v>
      </c>
      <c r="D710" s="78">
        <v>22</v>
      </c>
      <c r="E710" s="87" t="s">
        <v>3717</v>
      </c>
      <c r="F710" s="78">
        <v>37760000000</v>
      </c>
      <c r="G710" s="78">
        <v>1636363636</v>
      </c>
      <c r="I710" s="87">
        <f t="shared" si="58"/>
        <v>54023</v>
      </c>
    </row>
    <row r="711" customHeight="1" spans="1:9">
      <c r="A711" s="87">
        <f t="shared" si="59"/>
        <v>54023</v>
      </c>
      <c r="B711" s="83">
        <v>4</v>
      </c>
      <c r="C711" s="83">
        <v>5</v>
      </c>
      <c r="D711" s="78">
        <v>23</v>
      </c>
      <c r="E711" s="87" t="s">
        <v>3717</v>
      </c>
      <c r="F711" s="78">
        <v>38220000000</v>
      </c>
      <c r="G711" s="78">
        <v>1672727273</v>
      </c>
      <c r="I711" s="87">
        <f t="shared" si="58"/>
        <v>54024</v>
      </c>
    </row>
    <row r="712" customHeight="1" spans="1:9">
      <c r="A712" s="87">
        <f t="shared" si="59"/>
        <v>54024</v>
      </c>
      <c r="B712" s="83">
        <v>4</v>
      </c>
      <c r="C712" s="83">
        <v>5</v>
      </c>
      <c r="D712" s="78">
        <v>24</v>
      </c>
      <c r="E712" s="87" t="s">
        <v>3717</v>
      </c>
      <c r="F712" s="78">
        <v>38680000000</v>
      </c>
      <c r="G712" s="78">
        <v>1709090909</v>
      </c>
      <c r="I712" s="87">
        <f t="shared" si="58"/>
        <v>54025</v>
      </c>
    </row>
    <row r="713" customHeight="1" spans="1:9">
      <c r="A713" s="87">
        <f t="shared" si="59"/>
        <v>54025</v>
      </c>
      <c r="B713" s="83">
        <v>4</v>
      </c>
      <c r="C713" s="83">
        <v>5</v>
      </c>
      <c r="D713" s="78">
        <v>25</v>
      </c>
      <c r="E713" s="87" t="s">
        <v>3717</v>
      </c>
      <c r="F713" s="78">
        <v>39140000000</v>
      </c>
      <c r="G713" s="78">
        <v>1745454545</v>
      </c>
      <c r="I713" s="87">
        <f t="shared" si="58"/>
        <v>54026</v>
      </c>
    </row>
    <row r="714" customHeight="1" spans="1:9">
      <c r="A714" s="87">
        <f t="shared" si="59"/>
        <v>54026</v>
      </c>
      <c r="B714" s="83">
        <v>4</v>
      </c>
      <c r="C714" s="83">
        <v>5</v>
      </c>
      <c r="D714" s="78">
        <v>26</v>
      </c>
      <c r="E714" s="87" t="s">
        <v>3717</v>
      </c>
      <c r="F714" s="78">
        <v>39610000000</v>
      </c>
      <c r="G714" s="78">
        <v>1781818182</v>
      </c>
      <c r="I714" s="87">
        <f t="shared" si="58"/>
        <v>54027</v>
      </c>
    </row>
    <row r="715" customHeight="1" spans="1:9">
      <c r="A715" s="87">
        <f t="shared" si="59"/>
        <v>54027</v>
      </c>
      <c r="B715" s="83">
        <v>4</v>
      </c>
      <c r="C715" s="83">
        <v>5</v>
      </c>
      <c r="D715" s="78">
        <v>27</v>
      </c>
      <c r="E715" s="87" t="s">
        <v>3717</v>
      </c>
      <c r="F715" s="78">
        <v>40070000000</v>
      </c>
      <c r="G715" s="78">
        <v>1818181818</v>
      </c>
      <c r="I715" s="87">
        <f t="shared" si="58"/>
        <v>54028</v>
      </c>
    </row>
    <row r="716" customHeight="1" spans="1:9">
      <c r="A716" s="87">
        <f t="shared" si="59"/>
        <v>54028</v>
      </c>
      <c r="B716" s="83">
        <v>4</v>
      </c>
      <c r="C716" s="83">
        <v>5</v>
      </c>
      <c r="D716" s="78">
        <v>28</v>
      </c>
      <c r="E716" s="87" t="s">
        <v>3717</v>
      </c>
      <c r="F716" s="78">
        <v>40530000000</v>
      </c>
      <c r="G716" s="78">
        <v>1854545455</v>
      </c>
      <c r="I716" s="87">
        <f t="shared" si="58"/>
        <v>54029</v>
      </c>
    </row>
    <row r="717" customHeight="1" spans="1:9">
      <c r="A717" s="87">
        <f t="shared" si="59"/>
        <v>54029</v>
      </c>
      <c r="B717" s="83">
        <v>4</v>
      </c>
      <c r="C717" s="83">
        <v>5</v>
      </c>
      <c r="D717" s="78">
        <v>29</v>
      </c>
      <c r="E717" s="87" t="s">
        <v>3717</v>
      </c>
      <c r="F717" s="78">
        <v>40990000000</v>
      </c>
      <c r="G717" s="78">
        <v>1890909091</v>
      </c>
      <c r="I717" s="87">
        <f t="shared" si="58"/>
        <v>54030</v>
      </c>
    </row>
    <row r="718" customHeight="1" spans="1:9">
      <c r="A718" s="87">
        <f t="shared" si="59"/>
        <v>54030</v>
      </c>
      <c r="B718" s="83">
        <v>4</v>
      </c>
      <c r="C718" s="83">
        <v>5</v>
      </c>
      <c r="D718" s="78">
        <v>30</v>
      </c>
      <c r="E718" s="87" t="s">
        <v>3717</v>
      </c>
      <c r="F718" s="78"/>
      <c r="G718" s="78">
        <v>1927272727</v>
      </c>
      <c r="I718" s="87"/>
    </row>
    <row r="719" customHeight="1" spans="1:9">
      <c r="A719" s="87">
        <f t="shared" si="59"/>
        <v>64000</v>
      </c>
      <c r="B719" s="83">
        <v>4</v>
      </c>
      <c r="C719" s="83">
        <v>6</v>
      </c>
      <c r="D719" s="78"/>
      <c r="E719" s="87" t="s">
        <v>3717</v>
      </c>
      <c r="F719" s="78">
        <v>986000000000</v>
      </c>
      <c r="G719" s="78"/>
      <c r="I719" s="87">
        <f t="shared" ref="I719:I748" si="60">A720</f>
        <v>64001</v>
      </c>
    </row>
    <row r="720" customHeight="1" spans="1:9">
      <c r="A720" s="87">
        <f t="shared" si="59"/>
        <v>64001</v>
      </c>
      <c r="B720" s="83">
        <v>4</v>
      </c>
      <c r="C720" s="83">
        <v>6</v>
      </c>
      <c r="D720" s="78">
        <v>1</v>
      </c>
      <c r="E720" s="87" t="s">
        <v>3717</v>
      </c>
      <c r="F720" s="78">
        <v>34420000000</v>
      </c>
      <c r="G720" s="78">
        <v>1454545455</v>
      </c>
      <c r="I720" s="87">
        <f t="shared" si="60"/>
        <v>64002</v>
      </c>
    </row>
    <row r="721" customHeight="1" spans="1:9">
      <c r="A721" s="87">
        <f t="shared" si="59"/>
        <v>64002</v>
      </c>
      <c r="B721" s="83">
        <v>4</v>
      </c>
      <c r="C721" s="83">
        <v>6</v>
      </c>
      <c r="D721" s="78">
        <v>2</v>
      </c>
      <c r="E721" s="87" t="s">
        <v>3717</v>
      </c>
      <c r="F721" s="78">
        <v>35140000000</v>
      </c>
      <c r="G721" s="78">
        <v>1509090909</v>
      </c>
      <c r="I721" s="87">
        <f t="shared" si="60"/>
        <v>64003</v>
      </c>
    </row>
    <row r="722" customHeight="1" spans="1:9">
      <c r="A722" s="87">
        <f t="shared" si="59"/>
        <v>64003</v>
      </c>
      <c r="B722" s="83">
        <v>4</v>
      </c>
      <c r="C722" s="83">
        <v>6</v>
      </c>
      <c r="D722" s="78">
        <v>3</v>
      </c>
      <c r="E722" s="87" t="s">
        <v>3717</v>
      </c>
      <c r="F722" s="78">
        <v>35860000000</v>
      </c>
      <c r="G722" s="78">
        <v>1563636364</v>
      </c>
      <c r="I722" s="87">
        <f t="shared" si="60"/>
        <v>64004</v>
      </c>
    </row>
    <row r="723" customHeight="1" spans="1:9">
      <c r="A723" s="87">
        <f t="shared" si="59"/>
        <v>64004</v>
      </c>
      <c r="B723" s="83">
        <v>4</v>
      </c>
      <c r="C723" s="83">
        <v>6</v>
      </c>
      <c r="D723" s="78">
        <v>4</v>
      </c>
      <c r="E723" s="87" t="s">
        <v>3717</v>
      </c>
      <c r="F723" s="78">
        <v>36580000000</v>
      </c>
      <c r="G723" s="78">
        <v>1618181818</v>
      </c>
      <c r="I723" s="87">
        <f t="shared" si="60"/>
        <v>64005</v>
      </c>
    </row>
    <row r="724" customHeight="1" spans="1:9">
      <c r="A724" s="87">
        <f t="shared" si="59"/>
        <v>64005</v>
      </c>
      <c r="B724" s="83">
        <v>4</v>
      </c>
      <c r="C724" s="83">
        <v>6</v>
      </c>
      <c r="D724" s="78">
        <v>5</v>
      </c>
      <c r="E724" s="87" t="s">
        <v>3717</v>
      </c>
      <c r="F724" s="78">
        <v>37300000000</v>
      </c>
      <c r="G724" s="78">
        <v>1672727273</v>
      </c>
      <c r="I724" s="87">
        <f t="shared" si="60"/>
        <v>64006</v>
      </c>
    </row>
    <row r="725" customHeight="1" spans="1:9">
      <c r="A725" s="87">
        <f t="shared" si="59"/>
        <v>64006</v>
      </c>
      <c r="B725" s="83">
        <v>4</v>
      </c>
      <c r="C725" s="83">
        <v>6</v>
      </c>
      <c r="D725" s="78">
        <v>6</v>
      </c>
      <c r="E725" s="87" t="s">
        <v>3717</v>
      </c>
      <c r="F725" s="78">
        <v>38020000000</v>
      </c>
      <c r="G725" s="78">
        <v>1727272727</v>
      </c>
      <c r="I725" s="87">
        <f t="shared" si="60"/>
        <v>64007</v>
      </c>
    </row>
    <row r="726" customHeight="1" spans="1:9">
      <c r="A726" s="87">
        <f t="shared" si="59"/>
        <v>64007</v>
      </c>
      <c r="B726" s="83">
        <v>4</v>
      </c>
      <c r="C726" s="83">
        <v>6</v>
      </c>
      <c r="D726" s="78">
        <v>7</v>
      </c>
      <c r="E726" s="87" t="s">
        <v>3717</v>
      </c>
      <c r="F726" s="78">
        <v>38740000000</v>
      </c>
      <c r="G726" s="78">
        <v>1781818182</v>
      </c>
      <c r="I726" s="87">
        <f t="shared" si="60"/>
        <v>64008</v>
      </c>
    </row>
    <row r="727" customHeight="1" spans="1:9">
      <c r="A727" s="87">
        <f t="shared" si="59"/>
        <v>64008</v>
      </c>
      <c r="B727" s="83">
        <v>4</v>
      </c>
      <c r="C727" s="83">
        <v>6</v>
      </c>
      <c r="D727" s="78">
        <v>8</v>
      </c>
      <c r="E727" s="87" t="s">
        <v>3717</v>
      </c>
      <c r="F727" s="78">
        <v>39460000000</v>
      </c>
      <c r="G727" s="78">
        <v>1836363636</v>
      </c>
      <c r="I727" s="87">
        <f t="shared" si="60"/>
        <v>64009</v>
      </c>
    </row>
    <row r="728" customHeight="1" spans="1:9">
      <c r="A728" s="87">
        <f t="shared" si="59"/>
        <v>64009</v>
      </c>
      <c r="B728" s="83">
        <v>4</v>
      </c>
      <c r="C728" s="83">
        <v>6</v>
      </c>
      <c r="D728" s="78">
        <v>9</v>
      </c>
      <c r="E728" s="87" t="s">
        <v>3717</v>
      </c>
      <c r="F728" s="78">
        <v>39980000000</v>
      </c>
      <c r="G728" s="78">
        <v>1890909091</v>
      </c>
      <c r="I728" s="87">
        <f t="shared" si="60"/>
        <v>64010</v>
      </c>
    </row>
    <row r="729" customHeight="1" spans="1:9">
      <c r="A729" s="87">
        <f t="shared" si="59"/>
        <v>64010</v>
      </c>
      <c r="B729" s="83">
        <v>4</v>
      </c>
      <c r="C729" s="83">
        <v>6</v>
      </c>
      <c r="D729" s="78">
        <v>10</v>
      </c>
      <c r="E729" s="87" t="s">
        <v>3717</v>
      </c>
      <c r="F729" s="78">
        <v>40510000000</v>
      </c>
      <c r="G729" s="78">
        <v>1945454545</v>
      </c>
      <c r="I729" s="87">
        <f t="shared" si="60"/>
        <v>64011</v>
      </c>
    </row>
    <row r="730" customHeight="1" spans="1:9">
      <c r="A730" s="87">
        <f t="shared" si="59"/>
        <v>64011</v>
      </c>
      <c r="B730" s="83">
        <v>4</v>
      </c>
      <c r="C730" s="83">
        <v>6</v>
      </c>
      <c r="D730" s="78">
        <v>11</v>
      </c>
      <c r="E730" s="87" t="s">
        <v>3717</v>
      </c>
      <c r="F730" s="78">
        <v>41040000000</v>
      </c>
      <c r="G730" s="78">
        <v>2000000000</v>
      </c>
      <c r="I730" s="87">
        <f t="shared" si="60"/>
        <v>64012</v>
      </c>
    </row>
    <row r="731" customHeight="1" spans="1:9">
      <c r="A731" s="87">
        <f t="shared" si="59"/>
        <v>64012</v>
      </c>
      <c r="B731" s="83">
        <v>4</v>
      </c>
      <c r="C731" s="83">
        <v>6</v>
      </c>
      <c r="D731" s="78">
        <v>12</v>
      </c>
      <c r="E731" s="87" t="s">
        <v>3717</v>
      </c>
      <c r="F731" s="78">
        <v>41570000000</v>
      </c>
      <c r="G731" s="78">
        <v>2054545455</v>
      </c>
      <c r="I731" s="87">
        <f t="shared" si="60"/>
        <v>64013</v>
      </c>
    </row>
    <row r="732" customHeight="1" spans="1:9">
      <c r="A732" s="87">
        <f t="shared" si="59"/>
        <v>64013</v>
      </c>
      <c r="B732" s="83">
        <v>4</v>
      </c>
      <c r="C732" s="83">
        <v>6</v>
      </c>
      <c r="D732" s="78">
        <v>13</v>
      </c>
      <c r="E732" s="87" t="s">
        <v>3717</v>
      </c>
      <c r="F732" s="78">
        <v>42100000000</v>
      </c>
      <c r="G732" s="78">
        <v>2109090909</v>
      </c>
      <c r="I732" s="87">
        <f t="shared" si="60"/>
        <v>64014</v>
      </c>
    </row>
    <row r="733" customHeight="1" spans="1:9">
      <c r="A733" s="87">
        <f t="shared" ref="A733:A749" si="61">C733*10000+B733*1000+D733</f>
        <v>64014</v>
      </c>
      <c r="B733" s="83">
        <v>4</v>
      </c>
      <c r="C733" s="83">
        <v>6</v>
      </c>
      <c r="D733" s="78">
        <v>14</v>
      </c>
      <c r="E733" s="87" t="s">
        <v>3717</v>
      </c>
      <c r="F733" s="78">
        <v>42620000000</v>
      </c>
      <c r="G733" s="78">
        <v>2163636364</v>
      </c>
      <c r="I733" s="87">
        <f t="shared" si="60"/>
        <v>64015</v>
      </c>
    </row>
    <row r="734" customHeight="1" spans="1:9">
      <c r="A734" s="87">
        <f t="shared" si="61"/>
        <v>64015</v>
      </c>
      <c r="B734" s="83">
        <v>4</v>
      </c>
      <c r="C734" s="83">
        <v>6</v>
      </c>
      <c r="D734" s="78">
        <v>15</v>
      </c>
      <c r="E734" s="87" t="s">
        <v>3717</v>
      </c>
      <c r="F734" s="78">
        <v>43150000000</v>
      </c>
      <c r="G734" s="78">
        <v>2218181818</v>
      </c>
      <c r="I734" s="87">
        <f t="shared" si="60"/>
        <v>64016</v>
      </c>
    </row>
    <row r="735" customHeight="1" spans="1:9">
      <c r="A735" s="87">
        <f t="shared" si="61"/>
        <v>64016</v>
      </c>
      <c r="B735" s="83">
        <v>4</v>
      </c>
      <c r="C735" s="83">
        <v>6</v>
      </c>
      <c r="D735" s="78">
        <v>16</v>
      </c>
      <c r="E735" s="87" t="s">
        <v>3717</v>
      </c>
      <c r="F735" s="78">
        <v>43680000000</v>
      </c>
      <c r="G735" s="78">
        <v>2272727273</v>
      </c>
      <c r="I735" s="87">
        <f t="shared" si="60"/>
        <v>64017</v>
      </c>
    </row>
    <row r="736" customHeight="1" spans="1:9">
      <c r="A736" s="87">
        <f t="shared" si="61"/>
        <v>64017</v>
      </c>
      <c r="B736" s="83">
        <v>4</v>
      </c>
      <c r="C736" s="83">
        <v>6</v>
      </c>
      <c r="D736" s="78">
        <v>17</v>
      </c>
      <c r="E736" s="87" t="s">
        <v>3717</v>
      </c>
      <c r="F736" s="78">
        <v>44210000000</v>
      </c>
      <c r="G736" s="78">
        <v>2327272727</v>
      </c>
      <c r="I736" s="87">
        <f t="shared" si="60"/>
        <v>64018</v>
      </c>
    </row>
    <row r="737" customHeight="1" spans="1:9">
      <c r="A737" s="87">
        <f t="shared" si="61"/>
        <v>64018</v>
      </c>
      <c r="B737" s="83">
        <v>4</v>
      </c>
      <c r="C737" s="83">
        <v>6</v>
      </c>
      <c r="D737" s="78">
        <v>18</v>
      </c>
      <c r="E737" s="87" t="s">
        <v>3717</v>
      </c>
      <c r="F737" s="78">
        <v>44740000000</v>
      </c>
      <c r="G737" s="78">
        <v>2381818182</v>
      </c>
      <c r="I737" s="87">
        <f t="shared" si="60"/>
        <v>64019</v>
      </c>
    </row>
    <row r="738" customHeight="1" spans="1:9">
      <c r="A738" s="87">
        <f t="shared" si="61"/>
        <v>64019</v>
      </c>
      <c r="B738" s="83">
        <v>4</v>
      </c>
      <c r="C738" s="83">
        <v>6</v>
      </c>
      <c r="D738" s="78">
        <v>19</v>
      </c>
      <c r="E738" s="87" t="s">
        <v>3717</v>
      </c>
      <c r="F738" s="78">
        <v>45260000000</v>
      </c>
      <c r="G738" s="78">
        <v>2436363636</v>
      </c>
      <c r="I738" s="87">
        <f t="shared" si="60"/>
        <v>64020</v>
      </c>
    </row>
    <row r="739" customHeight="1" spans="1:9">
      <c r="A739" s="87">
        <f t="shared" si="61"/>
        <v>64020</v>
      </c>
      <c r="B739" s="83">
        <v>4</v>
      </c>
      <c r="C739" s="83">
        <v>6</v>
      </c>
      <c r="D739" s="78">
        <v>20</v>
      </c>
      <c r="E739" s="87" t="s">
        <v>3717</v>
      </c>
      <c r="F739" s="78">
        <v>45790000000</v>
      </c>
      <c r="G739" s="78">
        <v>2490909091</v>
      </c>
      <c r="I739" s="87">
        <f t="shared" si="60"/>
        <v>64021</v>
      </c>
    </row>
    <row r="740" customHeight="1" spans="1:9">
      <c r="A740" s="87">
        <f t="shared" si="61"/>
        <v>64021</v>
      </c>
      <c r="B740" s="83">
        <v>4</v>
      </c>
      <c r="C740" s="83">
        <v>6</v>
      </c>
      <c r="D740" s="78">
        <v>21</v>
      </c>
      <c r="E740" s="87" t="s">
        <v>3717</v>
      </c>
      <c r="F740" s="78">
        <v>46320000000</v>
      </c>
      <c r="G740" s="78">
        <v>2545454545</v>
      </c>
      <c r="I740" s="87">
        <f t="shared" si="60"/>
        <v>64022</v>
      </c>
    </row>
    <row r="741" customHeight="1" spans="1:9">
      <c r="A741" s="87">
        <f t="shared" si="61"/>
        <v>64022</v>
      </c>
      <c r="B741" s="83">
        <v>4</v>
      </c>
      <c r="C741" s="83">
        <v>6</v>
      </c>
      <c r="D741" s="78">
        <v>22</v>
      </c>
      <c r="E741" s="87" t="s">
        <v>3717</v>
      </c>
      <c r="F741" s="78">
        <v>46850000000</v>
      </c>
      <c r="G741" s="78">
        <v>2600000000</v>
      </c>
      <c r="I741" s="87">
        <f t="shared" si="60"/>
        <v>64023</v>
      </c>
    </row>
    <row r="742" customHeight="1" spans="1:9">
      <c r="A742" s="87">
        <f t="shared" si="61"/>
        <v>64023</v>
      </c>
      <c r="B742" s="83">
        <v>4</v>
      </c>
      <c r="C742" s="83">
        <v>6</v>
      </c>
      <c r="D742" s="78">
        <v>23</v>
      </c>
      <c r="E742" s="87" t="s">
        <v>3717</v>
      </c>
      <c r="F742" s="78">
        <v>47380000000</v>
      </c>
      <c r="G742" s="78">
        <v>2654545455</v>
      </c>
      <c r="I742" s="87">
        <f t="shared" si="60"/>
        <v>64024</v>
      </c>
    </row>
    <row r="743" customHeight="1" spans="1:9">
      <c r="A743" s="87">
        <f t="shared" si="61"/>
        <v>64024</v>
      </c>
      <c r="B743" s="83">
        <v>4</v>
      </c>
      <c r="C743" s="83">
        <v>6</v>
      </c>
      <c r="D743" s="78">
        <v>24</v>
      </c>
      <c r="E743" s="87" t="s">
        <v>3717</v>
      </c>
      <c r="F743" s="78">
        <v>47660000000</v>
      </c>
      <c r="G743" s="78">
        <v>2709090909</v>
      </c>
      <c r="I743" s="87">
        <f t="shared" si="60"/>
        <v>64025</v>
      </c>
    </row>
    <row r="744" customHeight="1" spans="1:9">
      <c r="A744" s="87">
        <f t="shared" si="61"/>
        <v>64025</v>
      </c>
      <c r="B744" s="83">
        <v>4</v>
      </c>
      <c r="C744" s="83">
        <v>6</v>
      </c>
      <c r="D744" s="78">
        <v>25</v>
      </c>
      <c r="E744" s="87" t="s">
        <v>3717</v>
      </c>
      <c r="F744" s="78">
        <v>47950000000</v>
      </c>
      <c r="G744" s="78">
        <v>2763636364</v>
      </c>
      <c r="I744" s="87">
        <f t="shared" si="60"/>
        <v>64026</v>
      </c>
    </row>
    <row r="745" customHeight="1" spans="1:9">
      <c r="A745" s="87">
        <f t="shared" si="61"/>
        <v>64026</v>
      </c>
      <c r="B745" s="83">
        <v>4</v>
      </c>
      <c r="C745" s="83">
        <v>6</v>
      </c>
      <c r="D745" s="78">
        <v>26</v>
      </c>
      <c r="E745" s="87" t="s">
        <v>3717</v>
      </c>
      <c r="F745" s="78">
        <v>48240000000</v>
      </c>
      <c r="G745" s="78">
        <v>2818181818</v>
      </c>
      <c r="I745" s="87">
        <f t="shared" si="60"/>
        <v>64027</v>
      </c>
    </row>
    <row r="746" customHeight="1" spans="1:9">
      <c r="A746" s="87">
        <f t="shared" si="61"/>
        <v>64027</v>
      </c>
      <c r="B746" s="83">
        <v>4</v>
      </c>
      <c r="C746" s="83">
        <v>6</v>
      </c>
      <c r="D746" s="78">
        <v>27</v>
      </c>
      <c r="E746" s="87" t="s">
        <v>3717</v>
      </c>
      <c r="F746" s="78">
        <v>48530000000</v>
      </c>
      <c r="G746" s="78">
        <v>2872727273</v>
      </c>
      <c r="I746" s="87">
        <f t="shared" si="60"/>
        <v>64028</v>
      </c>
    </row>
    <row r="747" customHeight="1" spans="1:9">
      <c r="A747" s="87">
        <f t="shared" si="61"/>
        <v>64028</v>
      </c>
      <c r="B747" s="83">
        <v>4</v>
      </c>
      <c r="C747" s="83">
        <v>6</v>
      </c>
      <c r="D747" s="78">
        <v>28</v>
      </c>
      <c r="E747" s="87" t="s">
        <v>3717</v>
      </c>
      <c r="F747" s="78">
        <v>48820000000</v>
      </c>
      <c r="G747" s="78">
        <v>2927272727</v>
      </c>
      <c r="I747" s="87">
        <f t="shared" si="60"/>
        <v>64029</v>
      </c>
    </row>
    <row r="748" customHeight="1" spans="1:9">
      <c r="A748" s="87">
        <f t="shared" si="61"/>
        <v>64029</v>
      </c>
      <c r="B748" s="83">
        <v>4</v>
      </c>
      <c r="C748" s="83">
        <v>6</v>
      </c>
      <c r="D748" s="78">
        <v>29</v>
      </c>
      <c r="E748" s="87" t="s">
        <v>3717</v>
      </c>
      <c r="F748" s="78">
        <v>49100000000</v>
      </c>
      <c r="G748" s="78">
        <v>2981818182</v>
      </c>
      <c r="I748" s="87">
        <f t="shared" si="60"/>
        <v>64030</v>
      </c>
    </row>
    <row r="749" customHeight="1" spans="1:7">
      <c r="A749" s="87">
        <f t="shared" si="61"/>
        <v>64030</v>
      </c>
      <c r="B749" s="83">
        <v>4</v>
      </c>
      <c r="C749" s="83">
        <v>6</v>
      </c>
      <c r="D749" s="78">
        <v>30</v>
      </c>
      <c r="E749" s="87" t="s">
        <v>3717</v>
      </c>
      <c r="G749" s="78">
        <v>3036363636</v>
      </c>
    </row>
  </sheetData>
  <conditionalFormatting sqref="A1:A5">
    <cfRule type="duplicateValues" dxfId="9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205"/>
  <sheetViews>
    <sheetView workbookViewId="0">
      <selection activeCell="B6" sqref="B6"/>
    </sheetView>
  </sheetViews>
  <sheetFormatPr defaultColWidth="9" defaultRowHeight="13.85" outlineLevelCol="1"/>
  <cols>
    <col min="2" max="2" width="14.5044247787611" customWidth="1"/>
  </cols>
  <sheetData>
    <row r="1" spans="1:1">
      <c r="A1" s="79" t="s">
        <v>3718</v>
      </c>
    </row>
    <row r="2" ht="55.5" spans="1:2">
      <c r="A2" s="79" t="s">
        <v>2815</v>
      </c>
      <c r="B2" s="80" t="s">
        <v>3475</v>
      </c>
    </row>
    <row r="3" spans="1:2">
      <c r="A3" s="79" t="s">
        <v>109</v>
      </c>
      <c r="B3" s="79" t="s">
        <v>109</v>
      </c>
    </row>
    <row r="4" spans="1:2">
      <c r="A4" s="79" t="s">
        <v>62</v>
      </c>
      <c r="B4" s="81" t="s">
        <v>3487</v>
      </c>
    </row>
    <row r="5" spans="1:2">
      <c r="A5" s="79" t="s">
        <v>62</v>
      </c>
      <c r="B5" s="81" t="s">
        <v>3487</v>
      </c>
    </row>
    <row r="6" spans="1:2">
      <c r="A6">
        <v>1</v>
      </c>
      <c r="B6">
        <f>50*A6</f>
        <v>50</v>
      </c>
    </row>
    <row r="7" spans="1:2">
      <c r="A7">
        <v>2</v>
      </c>
      <c r="B7">
        <f t="shared" ref="B7:B38" si="0">50*A7</f>
        <v>100</v>
      </c>
    </row>
    <row r="8" spans="1:2">
      <c r="A8">
        <v>3</v>
      </c>
      <c r="B8">
        <f t="shared" si="0"/>
        <v>150</v>
      </c>
    </row>
    <row r="9" spans="1:2">
      <c r="A9">
        <v>4</v>
      </c>
      <c r="B9">
        <f t="shared" si="0"/>
        <v>200</v>
      </c>
    </row>
    <row r="10" spans="1:2">
      <c r="A10">
        <v>5</v>
      </c>
      <c r="B10">
        <f t="shared" si="0"/>
        <v>250</v>
      </c>
    </row>
    <row r="11" spans="1:2">
      <c r="A11">
        <v>6</v>
      </c>
      <c r="B11">
        <f t="shared" si="0"/>
        <v>300</v>
      </c>
    </row>
    <row r="12" spans="1:2">
      <c r="A12">
        <v>7</v>
      </c>
      <c r="B12">
        <f t="shared" si="0"/>
        <v>350</v>
      </c>
    </row>
    <row r="13" spans="1:2">
      <c r="A13">
        <v>8</v>
      </c>
      <c r="B13">
        <f t="shared" si="0"/>
        <v>400</v>
      </c>
    </row>
    <row r="14" spans="1:2">
      <c r="A14">
        <v>9</v>
      </c>
      <c r="B14">
        <f t="shared" si="0"/>
        <v>450</v>
      </c>
    </row>
    <row r="15" spans="1:2">
      <c r="A15">
        <v>10</v>
      </c>
      <c r="B15">
        <f t="shared" si="0"/>
        <v>500</v>
      </c>
    </row>
    <row r="16" spans="1:2">
      <c r="A16">
        <v>11</v>
      </c>
      <c r="B16">
        <f t="shared" si="0"/>
        <v>550</v>
      </c>
    </row>
    <row r="17" spans="1:2">
      <c r="A17">
        <v>12</v>
      </c>
      <c r="B17">
        <f t="shared" si="0"/>
        <v>600</v>
      </c>
    </row>
    <row r="18" spans="1:2">
      <c r="A18">
        <v>13</v>
      </c>
      <c r="B18">
        <f t="shared" si="0"/>
        <v>650</v>
      </c>
    </row>
    <row r="19" spans="1:2">
      <c r="A19">
        <v>14</v>
      </c>
      <c r="B19">
        <f t="shared" si="0"/>
        <v>700</v>
      </c>
    </row>
    <row r="20" spans="1:2">
      <c r="A20">
        <v>15</v>
      </c>
      <c r="B20">
        <f t="shared" si="0"/>
        <v>750</v>
      </c>
    </row>
    <row r="21" spans="1:2">
      <c r="A21">
        <v>16</v>
      </c>
      <c r="B21">
        <f t="shared" si="0"/>
        <v>800</v>
      </c>
    </row>
    <row r="22" spans="1:2">
      <c r="A22">
        <v>17</v>
      </c>
      <c r="B22">
        <f t="shared" si="0"/>
        <v>850</v>
      </c>
    </row>
    <row r="23" spans="1:2">
      <c r="A23">
        <v>18</v>
      </c>
      <c r="B23">
        <f t="shared" si="0"/>
        <v>900</v>
      </c>
    </row>
    <row r="24" spans="1:2">
      <c r="A24">
        <v>19</v>
      </c>
      <c r="B24">
        <f t="shared" si="0"/>
        <v>950</v>
      </c>
    </row>
    <row r="25" spans="1:2">
      <c r="A25">
        <v>20</v>
      </c>
      <c r="B25">
        <f t="shared" si="0"/>
        <v>1000</v>
      </c>
    </row>
    <row r="26" spans="1:2">
      <c r="A26">
        <v>21</v>
      </c>
      <c r="B26">
        <f t="shared" si="0"/>
        <v>1050</v>
      </c>
    </row>
    <row r="27" spans="1:2">
      <c r="A27">
        <v>22</v>
      </c>
      <c r="B27">
        <f t="shared" si="0"/>
        <v>1100</v>
      </c>
    </row>
    <row r="28" spans="1:2">
      <c r="A28">
        <v>23</v>
      </c>
      <c r="B28">
        <f t="shared" si="0"/>
        <v>1150</v>
      </c>
    </row>
    <row r="29" spans="1:2">
      <c r="A29">
        <v>24</v>
      </c>
      <c r="B29">
        <f t="shared" si="0"/>
        <v>1200</v>
      </c>
    </row>
    <row r="30" spans="1:2">
      <c r="A30">
        <v>25</v>
      </c>
      <c r="B30">
        <f t="shared" si="0"/>
        <v>1250</v>
      </c>
    </row>
    <row r="31" spans="1:2">
      <c r="A31">
        <v>26</v>
      </c>
      <c r="B31">
        <f t="shared" si="0"/>
        <v>1300</v>
      </c>
    </row>
    <row r="32" spans="1:2">
      <c r="A32">
        <v>27</v>
      </c>
      <c r="B32">
        <f t="shared" si="0"/>
        <v>1350</v>
      </c>
    </row>
    <row r="33" spans="1:2">
      <c r="A33">
        <v>28</v>
      </c>
      <c r="B33">
        <f t="shared" si="0"/>
        <v>1400</v>
      </c>
    </row>
    <row r="34" spans="1:2">
      <c r="A34">
        <v>29</v>
      </c>
      <c r="B34">
        <f t="shared" si="0"/>
        <v>1450</v>
      </c>
    </row>
    <row r="35" spans="1:2">
      <c r="A35">
        <v>30</v>
      </c>
      <c r="B35">
        <f t="shared" si="0"/>
        <v>1500</v>
      </c>
    </row>
    <row r="36" spans="1:2">
      <c r="A36">
        <v>31</v>
      </c>
      <c r="B36">
        <f t="shared" si="0"/>
        <v>1550</v>
      </c>
    </row>
    <row r="37" spans="1:2">
      <c r="A37">
        <v>32</v>
      </c>
      <c r="B37">
        <f t="shared" si="0"/>
        <v>1600</v>
      </c>
    </row>
    <row r="38" spans="1:2">
      <c r="A38">
        <v>33</v>
      </c>
      <c r="B38">
        <f t="shared" si="0"/>
        <v>1650</v>
      </c>
    </row>
    <row r="39" spans="1:2">
      <c r="A39">
        <v>34</v>
      </c>
      <c r="B39">
        <f t="shared" ref="B39:B70" si="1">50*A39</f>
        <v>1700</v>
      </c>
    </row>
    <row r="40" spans="1:2">
      <c r="A40">
        <v>35</v>
      </c>
      <c r="B40">
        <f t="shared" si="1"/>
        <v>1750</v>
      </c>
    </row>
    <row r="41" spans="1:2">
      <c r="A41">
        <v>36</v>
      </c>
      <c r="B41">
        <f t="shared" si="1"/>
        <v>1800</v>
      </c>
    </row>
    <row r="42" spans="1:2">
      <c r="A42">
        <v>37</v>
      </c>
      <c r="B42">
        <f t="shared" si="1"/>
        <v>1850</v>
      </c>
    </row>
    <row r="43" spans="1:2">
      <c r="A43">
        <v>38</v>
      </c>
      <c r="B43">
        <f t="shared" si="1"/>
        <v>1900</v>
      </c>
    </row>
    <row r="44" spans="1:2">
      <c r="A44">
        <v>39</v>
      </c>
      <c r="B44">
        <f t="shared" si="1"/>
        <v>1950</v>
      </c>
    </row>
    <row r="45" spans="1:2">
      <c r="A45">
        <v>40</v>
      </c>
      <c r="B45">
        <f t="shared" si="1"/>
        <v>2000</v>
      </c>
    </row>
    <row r="46" spans="1:2">
      <c r="A46">
        <v>41</v>
      </c>
      <c r="B46">
        <f t="shared" si="1"/>
        <v>2050</v>
      </c>
    </row>
    <row r="47" spans="1:2">
      <c r="A47">
        <v>42</v>
      </c>
      <c r="B47">
        <f t="shared" si="1"/>
        <v>2100</v>
      </c>
    </row>
    <row r="48" spans="1:2">
      <c r="A48">
        <v>43</v>
      </c>
      <c r="B48">
        <f t="shared" si="1"/>
        <v>2150</v>
      </c>
    </row>
    <row r="49" spans="1:2">
      <c r="A49">
        <v>44</v>
      </c>
      <c r="B49">
        <f t="shared" si="1"/>
        <v>2200</v>
      </c>
    </row>
    <row r="50" spans="1:2">
      <c r="A50">
        <v>45</v>
      </c>
      <c r="B50">
        <f t="shared" si="1"/>
        <v>2250</v>
      </c>
    </row>
    <row r="51" spans="1:2">
      <c r="A51">
        <v>46</v>
      </c>
      <c r="B51">
        <f t="shared" si="1"/>
        <v>2300</v>
      </c>
    </row>
    <row r="52" spans="1:2">
      <c r="A52">
        <v>47</v>
      </c>
      <c r="B52">
        <f t="shared" si="1"/>
        <v>2350</v>
      </c>
    </row>
    <row r="53" spans="1:2">
      <c r="A53">
        <v>48</v>
      </c>
      <c r="B53">
        <f t="shared" si="1"/>
        <v>2400</v>
      </c>
    </row>
    <row r="54" spans="1:2">
      <c r="A54">
        <v>49</v>
      </c>
      <c r="B54">
        <f t="shared" si="1"/>
        <v>2450</v>
      </c>
    </row>
    <row r="55" spans="1:2">
      <c r="A55">
        <v>50</v>
      </c>
      <c r="B55">
        <f t="shared" si="1"/>
        <v>2500</v>
      </c>
    </row>
    <row r="56" spans="1:2">
      <c r="A56">
        <v>51</v>
      </c>
      <c r="B56">
        <f t="shared" si="1"/>
        <v>2550</v>
      </c>
    </row>
    <row r="57" spans="1:2">
      <c r="A57">
        <v>52</v>
      </c>
      <c r="B57">
        <f t="shared" si="1"/>
        <v>2600</v>
      </c>
    </row>
    <row r="58" spans="1:2">
      <c r="A58">
        <v>53</v>
      </c>
      <c r="B58">
        <f t="shared" si="1"/>
        <v>2650</v>
      </c>
    </row>
    <row r="59" spans="1:2">
      <c r="A59">
        <v>54</v>
      </c>
      <c r="B59">
        <f t="shared" si="1"/>
        <v>2700</v>
      </c>
    </row>
    <row r="60" spans="1:2">
      <c r="A60">
        <v>55</v>
      </c>
      <c r="B60">
        <f t="shared" si="1"/>
        <v>2750</v>
      </c>
    </row>
    <row r="61" spans="1:2">
      <c r="A61">
        <v>56</v>
      </c>
      <c r="B61">
        <f t="shared" si="1"/>
        <v>2800</v>
      </c>
    </row>
    <row r="62" spans="1:2">
      <c r="A62">
        <v>57</v>
      </c>
      <c r="B62">
        <f t="shared" si="1"/>
        <v>2850</v>
      </c>
    </row>
    <row r="63" spans="1:2">
      <c r="A63">
        <v>58</v>
      </c>
      <c r="B63">
        <f t="shared" si="1"/>
        <v>2900</v>
      </c>
    </row>
    <row r="64" spans="1:2">
      <c r="A64">
        <v>59</v>
      </c>
      <c r="B64">
        <f t="shared" si="1"/>
        <v>2950</v>
      </c>
    </row>
    <row r="65" spans="1:2">
      <c r="A65">
        <v>60</v>
      </c>
      <c r="B65">
        <f t="shared" si="1"/>
        <v>3000</v>
      </c>
    </row>
    <row r="66" spans="1:2">
      <c r="A66">
        <v>61</v>
      </c>
      <c r="B66">
        <f t="shared" si="1"/>
        <v>3050</v>
      </c>
    </row>
    <row r="67" spans="1:2">
      <c r="A67">
        <v>62</v>
      </c>
      <c r="B67">
        <f t="shared" si="1"/>
        <v>3100</v>
      </c>
    </row>
    <row r="68" spans="1:2">
      <c r="A68">
        <v>63</v>
      </c>
      <c r="B68">
        <f t="shared" si="1"/>
        <v>3150</v>
      </c>
    </row>
    <row r="69" spans="1:2">
      <c r="A69">
        <v>64</v>
      </c>
      <c r="B69">
        <f t="shared" si="1"/>
        <v>3200</v>
      </c>
    </row>
    <row r="70" spans="1:2">
      <c r="A70">
        <v>65</v>
      </c>
      <c r="B70">
        <f t="shared" si="1"/>
        <v>3250</v>
      </c>
    </row>
    <row r="71" spans="1:2">
      <c r="A71">
        <v>66</v>
      </c>
      <c r="B71">
        <f t="shared" ref="B71:B102" si="2">50*A71</f>
        <v>3300</v>
      </c>
    </row>
    <row r="72" spans="1:2">
      <c r="A72">
        <v>67</v>
      </c>
      <c r="B72">
        <f t="shared" si="2"/>
        <v>3350</v>
      </c>
    </row>
    <row r="73" spans="1:2">
      <c r="A73">
        <v>68</v>
      </c>
      <c r="B73">
        <f t="shared" si="2"/>
        <v>3400</v>
      </c>
    </row>
    <row r="74" spans="1:2">
      <c r="A74">
        <v>69</v>
      </c>
      <c r="B74">
        <f t="shared" si="2"/>
        <v>3450</v>
      </c>
    </row>
    <row r="75" spans="1:2">
      <c r="A75">
        <v>70</v>
      </c>
      <c r="B75">
        <f t="shared" si="2"/>
        <v>3500</v>
      </c>
    </row>
    <row r="76" spans="1:2">
      <c r="A76">
        <v>71</v>
      </c>
      <c r="B76">
        <f t="shared" si="2"/>
        <v>3550</v>
      </c>
    </row>
    <row r="77" spans="1:2">
      <c r="A77">
        <v>72</v>
      </c>
      <c r="B77">
        <f t="shared" si="2"/>
        <v>3600</v>
      </c>
    </row>
    <row r="78" spans="1:2">
      <c r="A78">
        <v>73</v>
      </c>
      <c r="B78">
        <f t="shared" si="2"/>
        <v>3650</v>
      </c>
    </row>
    <row r="79" spans="1:2">
      <c r="A79">
        <v>74</v>
      </c>
      <c r="B79">
        <f t="shared" si="2"/>
        <v>3700</v>
      </c>
    </row>
    <row r="80" spans="1:2">
      <c r="A80">
        <v>75</v>
      </c>
      <c r="B80">
        <f t="shared" si="2"/>
        <v>3750</v>
      </c>
    </row>
    <row r="81" spans="1:2">
      <c r="A81">
        <v>76</v>
      </c>
      <c r="B81">
        <f t="shared" si="2"/>
        <v>3800</v>
      </c>
    </row>
    <row r="82" spans="1:2">
      <c r="A82">
        <v>77</v>
      </c>
      <c r="B82">
        <f t="shared" si="2"/>
        <v>3850</v>
      </c>
    </row>
    <row r="83" spans="1:2">
      <c r="A83">
        <v>78</v>
      </c>
      <c r="B83">
        <f t="shared" si="2"/>
        <v>3900</v>
      </c>
    </row>
    <row r="84" spans="1:2">
      <c r="A84">
        <v>79</v>
      </c>
      <c r="B84">
        <f t="shared" si="2"/>
        <v>3950</v>
      </c>
    </row>
    <row r="85" spans="1:2">
      <c r="A85">
        <v>80</v>
      </c>
      <c r="B85">
        <f t="shared" si="2"/>
        <v>4000</v>
      </c>
    </row>
    <row r="86" spans="1:2">
      <c r="A86">
        <v>81</v>
      </c>
      <c r="B86">
        <f t="shared" si="2"/>
        <v>4050</v>
      </c>
    </row>
    <row r="87" spans="1:2">
      <c r="A87">
        <v>82</v>
      </c>
      <c r="B87">
        <f t="shared" si="2"/>
        <v>4100</v>
      </c>
    </row>
    <row r="88" spans="1:2">
      <c r="A88">
        <v>83</v>
      </c>
      <c r="B88">
        <f t="shared" si="2"/>
        <v>4150</v>
      </c>
    </row>
    <row r="89" spans="1:2">
      <c r="A89">
        <v>84</v>
      </c>
      <c r="B89">
        <f t="shared" si="2"/>
        <v>4200</v>
      </c>
    </row>
    <row r="90" spans="1:2">
      <c r="A90">
        <v>85</v>
      </c>
      <c r="B90">
        <f t="shared" si="2"/>
        <v>4250</v>
      </c>
    </row>
    <row r="91" spans="1:2">
      <c r="A91">
        <v>86</v>
      </c>
      <c r="B91">
        <f t="shared" si="2"/>
        <v>4300</v>
      </c>
    </row>
    <row r="92" spans="1:2">
      <c r="A92">
        <v>87</v>
      </c>
      <c r="B92">
        <f t="shared" si="2"/>
        <v>4350</v>
      </c>
    </row>
    <row r="93" spans="1:2">
      <c r="A93">
        <v>88</v>
      </c>
      <c r="B93">
        <f t="shared" si="2"/>
        <v>4400</v>
      </c>
    </row>
    <row r="94" spans="1:2">
      <c r="A94">
        <v>89</v>
      </c>
      <c r="B94">
        <f t="shared" si="2"/>
        <v>4450</v>
      </c>
    </row>
    <row r="95" spans="1:2">
      <c r="A95">
        <v>90</v>
      </c>
      <c r="B95">
        <f t="shared" si="2"/>
        <v>4500</v>
      </c>
    </row>
    <row r="96" spans="1:2">
      <c r="A96">
        <v>91</v>
      </c>
      <c r="B96">
        <f t="shared" si="2"/>
        <v>4550</v>
      </c>
    </row>
    <row r="97" spans="1:2">
      <c r="A97">
        <v>92</v>
      </c>
      <c r="B97">
        <f t="shared" si="2"/>
        <v>4600</v>
      </c>
    </row>
    <row r="98" spans="1:2">
      <c r="A98">
        <v>93</v>
      </c>
      <c r="B98">
        <f t="shared" si="2"/>
        <v>4650</v>
      </c>
    </row>
    <row r="99" spans="1:2">
      <c r="A99">
        <v>94</v>
      </c>
      <c r="B99">
        <f t="shared" si="2"/>
        <v>4700</v>
      </c>
    </row>
    <row r="100" spans="1:2">
      <c r="A100">
        <v>95</v>
      </c>
      <c r="B100">
        <f t="shared" si="2"/>
        <v>4750</v>
      </c>
    </row>
    <row r="101" spans="1:2">
      <c r="A101">
        <v>96</v>
      </c>
      <c r="B101">
        <f t="shared" si="2"/>
        <v>4800</v>
      </c>
    </row>
    <row r="102" spans="1:2">
      <c r="A102">
        <v>97</v>
      </c>
      <c r="B102">
        <f t="shared" si="2"/>
        <v>4850</v>
      </c>
    </row>
    <row r="103" spans="1:2">
      <c r="A103">
        <v>98</v>
      </c>
      <c r="B103">
        <f t="shared" ref="B103:B134" si="3">50*A103</f>
        <v>4900</v>
      </c>
    </row>
    <row r="104" spans="1:2">
      <c r="A104">
        <v>99</v>
      </c>
      <c r="B104">
        <f t="shared" si="3"/>
        <v>4950</v>
      </c>
    </row>
    <row r="105" spans="1:2">
      <c r="A105">
        <v>100</v>
      </c>
      <c r="B105">
        <f t="shared" si="3"/>
        <v>5000</v>
      </c>
    </row>
    <row r="106" spans="1:2">
      <c r="A106">
        <v>101</v>
      </c>
      <c r="B106">
        <f t="shared" si="3"/>
        <v>5050</v>
      </c>
    </row>
    <row r="107" spans="1:2">
      <c r="A107">
        <v>102</v>
      </c>
      <c r="B107">
        <f t="shared" si="3"/>
        <v>5100</v>
      </c>
    </row>
    <row r="108" spans="1:2">
      <c r="A108">
        <v>103</v>
      </c>
      <c r="B108">
        <f t="shared" si="3"/>
        <v>5150</v>
      </c>
    </row>
    <row r="109" spans="1:2">
      <c r="A109">
        <v>104</v>
      </c>
      <c r="B109">
        <f t="shared" si="3"/>
        <v>5200</v>
      </c>
    </row>
    <row r="110" spans="1:2">
      <c r="A110">
        <v>105</v>
      </c>
      <c r="B110">
        <f t="shared" si="3"/>
        <v>5250</v>
      </c>
    </row>
    <row r="111" spans="1:2">
      <c r="A111">
        <v>106</v>
      </c>
      <c r="B111">
        <f t="shared" si="3"/>
        <v>5300</v>
      </c>
    </row>
    <row r="112" spans="1:2">
      <c r="A112">
        <v>107</v>
      </c>
      <c r="B112">
        <f t="shared" si="3"/>
        <v>5350</v>
      </c>
    </row>
    <row r="113" spans="1:2">
      <c r="A113">
        <v>108</v>
      </c>
      <c r="B113">
        <f t="shared" si="3"/>
        <v>5400</v>
      </c>
    </row>
    <row r="114" spans="1:2">
      <c r="A114">
        <v>109</v>
      </c>
      <c r="B114">
        <f t="shared" si="3"/>
        <v>5450</v>
      </c>
    </row>
    <row r="115" spans="1:2">
      <c r="A115">
        <v>110</v>
      </c>
      <c r="B115">
        <f t="shared" si="3"/>
        <v>5500</v>
      </c>
    </row>
    <row r="116" spans="1:2">
      <c r="A116">
        <v>111</v>
      </c>
      <c r="B116">
        <f t="shared" si="3"/>
        <v>5550</v>
      </c>
    </row>
    <row r="117" spans="1:2">
      <c r="A117">
        <v>112</v>
      </c>
      <c r="B117">
        <f t="shared" si="3"/>
        <v>5600</v>
      </c>
    </row>
    <row r="118" spans="1:2">
      <c r="A118">
        <v>113</v>
      </c>
      <c r="B118">
        <f t="shared" si="3"/>
        <v>5650</v>
      </c>
    </row>
    <row r="119" spans="1:2">
      <c r="A119">
        <v>114</v>
      </c>
      <c r="B119">
        <f t="shared" si="3"/>
        <v>5700</v>
      </c>
    </row>
    <row r="120" spans="1:2">
      <c r="A120">
        <v>115</v>
      </c>
      <c r="B120">
        <f t="shared" si="3"/>
        <v>5750</v>
      </c>
    </row>
    <row r="121" spans="1:2">
      <c r="A121">
        <v>116</v>
      </c>
      <c r="B121">
        <f t="shared" si="3"/>
        <v>5800</v>
      </c>
    </row>
    <row r="122" spans="1:2">
      <c r="A122">
        <v>117</v>
      </c>
      <c r="B122">
        <f t="shared" si="3"/>
        <v>5850</v>
      </c>
    </row>
    <row r="123" spans="1:2">
      <c r="A123">
        <v>118</v>
      </c>
      <c r="B123">
        <f t="shared" si="3"/>
        <v>5900</v>
      </c>
    </row>
    <row r="124" spans="1:2">
      <c r="A124">
        <v>119</v>
      </c>
      <c r="B124">
        <f t="shared" si="3"/>
        <v>5950</v>
      </c>
    </row>
    <row r="125" spans="1:2">
      <c r="A125">
        <v>120</v>
      </c>
      <c r="B125">
        <f t="shared" si="3"/>
        <v>6000</v>
      </c>
    </row>
    <row r="126" spans="1:2">
      <c r="A126">
        <v>121</v>
      </c>
      <c r="B126">
        <f t="shared" si="3"/>
        <v>6050</v>
      </c>
    </row>
    <row r="127" spans="1:2">
      <c r="A127">
        <v>122</v>
      </c>
      <c r="B127">
        <f t="shared" si="3"/>
        <v>6100</v>
      </c>
    </row>
    <row r="128" spans="1:2">
      <c r="A128">
        <v>123</v>
      </c>
      <c r="B128">
        <f t="shared" si="3"/>
        <v>6150</v>
      </c>
    </row>
    <row r="129" spans="1:2">
      <c r="A129">
        <v>124</v>
      </c>
      <c r="B129">
        <f t="shared" si="3"/>
        <v>6200</v>
      </c>
    </row>
    <row r="130" spans="1:2">
      <c r="A130">
        <v>125</v>
      </c>
      <c r="B130">
        <f t="shared" si="3"/>
        <v>6250</v>
      </c>
    </row>
    <row r="131" spans="1:2">
      <c r="A131">
        <v>126</v>
      </c>
      <c r="B131">
        <f t="shared" si="3"/>
        <v>6300</v>
      </c>
    </row>
    <row r="132" spans="1:2">
      <c r="A132">
        <v>127</v>
      </c>
      <c r="B132">
        <f t="shared" si="3"/>
        <v>6350</v>
      </c>
    </row>
    <row r="133" spans="1:2">
      <c r="A133">
        <v>128</v>
      </c>
      <c r="B133">
        <f t="shared" si="3"/>
        <v>6400</v>
      </c>
    </row>
    <row r="134" spans="1:2">
      <c r="A134">
        <v>129</v>
      </c>
      <c r="B134">
        <f t="shared" si="3"/>
        <v>6450</v>
      </c>
    </row>
    <row r="135" spans="1:2">
      <c r="A135">
        <v>130</v>
      </c>
      <c r="B135">
        <f t="shared" ref="B135:B166" si="4">50*A135</f>
        <v>6500</v>
      </c>
    </row>
    <row r="136" spans="1:2">
      <c r="A136">
        <v>131</v>
      </c>
      <c r="B136">
        <f t="shared" si="4"/>
        <v>6550</v>
      </c>
    </row>
    <row r="137" spans="1:2">
      <c r="A137">
        <v>132</v>
      </c>
      <c r="B137">
        <f t="shared" si="4"/>
        <v>6600</v>
      </c>
    </row>
    <row r="138" spans="1:2">
      <c r="A138">
        <v>133</v>
      </c>
      <c r="B138">
        <f t="shared" si="4"/>
        <v>6650</v>
      </c>
    </row>
    <row r="139" spans="1:2">
      <c r="A139">
        <v>134</v>
      </c>
      <c r="B139">
        <f t="shared" si="4"/>
        <v>6700</v>
      </c>
    </row>
    <row r="140" spans="1:2">
      <c r="A140">
        <v>135</v>
      </c>
      <c r="B140">
        <f t="shared" si="4"/>
        <v>6750</v>
      </c>
    </row>
    <row r="141" spans="1:2">
      <c r="A141">
        <v>136</v>
      </c>
      <c r="B141">
        <f t="shared" si="4"/>
        <v>6800</v>
      </c>
    </row>
    <row r="142" spans="1:2">
      <c r="A142">
        <v>137</v>
      </c>
      <c r="B142">
        <f t="shared" si="4"/>
        <v>6850</v>
      </c>
    </row>
    <row r="143" spans="1:2">
      <c r="A143">
        <v>138</v>
      </c>
      <c r="B143">
        <f t="shared" si="4"/>
        <v>6900</v>
      </c>
    </row>
    <row r="144" spans="1:2">
      <c r="A144">
        <v>139</v>
      </c>
      <c r="B144">
        <f t="shared" si="4"/>
        <v>6950</v>
      </c>
    </row>
    <row r="145" spans="1:2">
      <c r="A145">
        <v>140</v>
      </c>
      <c r="B145">
        <f t="shared" si="4"/>
        <v>7000</v>
      </c>
    </row>
    <row r="146" spans="1:2">
      <c r="A146">
        <v>141</v>
      </c>
      <c r="B146">
        <f t="shared" si="4"/>
        <v>7050</v>
      </c>
    </row>
    <row r="147" spans="1:2">
      <c r="A147">
        <v>142</v>
      </c>
      <c r="B147">
        <f t="shared" si="4"/>
        <v>7100</v>
      </c>
    </row>
    <row r="148" spans="1:2">
      <c r="A148">
        <v>143</v>
      </c>
      <c r="B148">
        <f t="shared" si="4"/>
        <v>7150</v>
      </c>
    </row>
    <row r="149" spans="1:2">
      <c r="A149">
        <v>144</v>
      </c>
      <c r="B149">
        <f t="shared" si="4"/>
        <v>7200</v>
      </c>
    </row>
    <row r="150" spans="1:2">
      <c r="A150">
        <v>145</v>
      </c>
      <c r="B150">
        <f t="shared" si="4"/>
        <v>7250</v>
      </c>
    </row>
    <row r="151" spans="1:2">
      <c r="A151">
        <v>146</v>
      </c>
      <c r="B151">
        <f t="shared" si="4"/>
        <v>7300</v>
      </c>
    </row>
    <row r="152" spans="1:2">
      <c r="A152">
        <v>147</v>
      </c>
      <c r="B152">
        <f t="shared" si="4"/>
        <v>7350</v>
      </c>
    </row>
    <row r="153" spans="1:2">
      <c r="A153">
        <v>148</v>
      </c>
      <c r="B153">
        <f t="shared" si="4"/>
        <v>7400</v>
      </c>
    </row>
    <row r="154" spans="1:2">
      <c r="A154">
        <v>149</v>
      </c>
      <c r="B154">
        <f t="shared" si="4"/>
        <v>7450</v>
      </c>
    </row>
    <row r="155" spans="1:2">
      <c r="A155">
        <v>150</v>
      </c>
      <c r="B155">
        <f t="shared" si="4"/>
        <v>7500</v>
      </c>
    </row>
    <row r="156" spans="1:2">
      <c r="A156">
        <v>151</v>
      </c>
      <c r="B156">
        <f t="shared" si="4"/>
        <v>7550</v>
      </c>
    </row>
    <row r="157" spans="1:2">
      <c r="A157">
        <v>152</v>
      </c>
      <c r="B157">
        <f t="shared" si="4"/>
        <v>7600</v>
      </c>
    </row>
    <row r="158" spans="1:2">
      <c r="A158">
        <v>153</v>
      </c>
      <c r="B158">
        <f t="shared" si="4"/>
        <v>7650</v>
      </c>
    </row>
    <row r="159" spans="1:2">
      <c r="A159">
        <v>154</v>
      </c>
      <c r="B159">
        <f t="shared" si="4"/>
        <v>7700</v>
      </c>
    </row>
    <row r="160" spans="1:2">
      <c r="A160">
        <v>155</v>
      </c>
      <c r="B160">
        <f t="shared" si="4"/>
        <v>7750</v>
      </c>
    </row>
    <row r="161" spans="1:2">
      <c r="A161">
        <v>156</v>
      </c>
      <c r="B161">
        <f t="shared" si="4"/>
        <v>7800</v>
      </c>
    </row>
    <row r="162" spans="1:2">
      <c r="A162">
        <v>157</v>
      </c>
      <c r="B162">
        <f t="shared" si="4"/>
        <v>7850</v>
      </c>
    </row>
    <row r="163" spans="1:2">
      <c r="A163">
        <v>158</v>
      </c>
      <c r="B163">
        <f t="shared" si="4"/>
        <v>7900</v>
      </c>
    </row>
    <row r="164" spans="1:2">
      <c r="A164">
        <v>159</v>
      </c>
      <c r="B164">
        <f t="shared" si="4"/>
        <v>7950</v>
      </c>
    </row>
    <row r="165" spans="1:2">
      <c r="A165">
        <v>160</v>
      </c>
      <c r="B165">
        <f t="shared" si="4"/>
        <v>8000</v>
      </c>
    </row>
    <row r="166" spans="1:2">
      <c r="A166">
        <v>161</v>
      </c>
      <c r="B166">
        <f t="shared" si="4"/>
        <v>8050</v>
      </c>
    </row>
    <row r="167" spans="1:2">
      <c r="A167">
        <v>162</v>
      </c>
      <c r="B167">
        <f t="shared" ref="B167:B176" si="5">50*A167</f>
        <v>8100</v>
      </c>
    </row>
    <row r="168" spans="1:2">
      <c r="A168">
        <v>163</v>
      </c>
      <c r="B168">
        <f t="shared" si="5"/>
        <v>8150</v>
      </c>
    </row>
    <row r="169" spans="1:2">
      <c r="A169">
        <v>164</v>
      </c>
      <c r="B169">
        <f t="shared" si="5"/>
        <v>8200</v>
      </c>
    </row>
    <row r="170" spans="1:2">
      <c r="A170">
        <v>165</v>
      </c>
      <c r="B170">
        <f t="shared" si="5"/>
        <v>8250</v>
      </c>
    </row>
    <row r="171" spans="1:2">
      <c r="A171">
        <v>166</v>
      </c>
      <c r="B171">
        <f t="shared" si="5"/>
        <v>8300</v>
      </c>
    </row>
    <row r="172" spans="1:2">
      <c r="A172">
        <v>167</v>
      </c>
      <c r="B172">
        <f t="shared" si="5"/>
        <v>8350</v>
      </c>
    </row>
    <row r="173" spans="1:2">
      <c r="A173">
        <v>168</v>
      </c>
      <c r="B173">
        <f t="shared" si="5"/>
        <v>8400</v>
      </c>
    </row>
    <row r="174" spans="1:2">
      <c r="A174">
        <v>169</v>
      </c>
      <c r="B174">
        <f t="shared" si="5"/>
        <v>8450</v>
      </c>
    </row>
    <row r="175" spans="1:2">
      <c r="A175">
        <v>170</v>
      </c>
      <c r="B175">
        <f t="shared" si="5"/>
        <v>8500</v>
      </c>
    </row>
    <row r="176" spans="1:2">
      <c r="A176">
        <v>171</v>
      </c>
      <c r="B176">
        <f t="shared" si="5"/>
        <v>8550</v>
      </c>
    </row>
    <row r="177" spans="1:2">
      <c r="A177">
        <v>172</v>
      </c>
      <c r="B177">
        <f t="shared" ref="B177:B205" si="6">50*A177</f>
        <v>8600</v>
      </c>
    </row>
    <row r="178" spans="1:2">
      <c r="A178">
        <v>173</v>
      </c>
      <c r="B178">
        <f t="shared" si="6"/>
        <v>8650</v>
      </c>
    </row>
    <row r="179" spans="1:2">
      <c r="A179">
        <v>174</v>
      </c>
      <c r="B179">
        <f t="shared" si="6"/>
        <v>8700</v>
      </c>
    </row>
    <row r="180" spans="1:2">
      <c r="A180">
        <v>175</v>
      </c>
      <c r="B180">
        <f t="shared" si="6"/>
        <v>8750</v>
      </c>
    </row>
    <row r="181" spans="1:2">
      <c r="A181">
        <v>176</v>
      </c>
      <c r="B181">
        <f t="shared" si="6"/>
        <v>8800</v>
      </c>
    </row>
    <row r="182" spans="1:2">
      <c r="A182">
        <v>177</v>
      </c>
      <c r="B182">
        <f t="shared" si="6"/>
        <v>8850</v>
      </c>
    </row>
    <row r="183" spans="1:2">
      <c r="A183">
        <v>178</v>
      </c>
      <c r="B183">
        <f t="shared" si="6"/>
        <v>8900</v>
      </c>
    </row>
    <row r="184" spans="1:2">
      <c r="A184">
        <v>179</v>
      </c>
      <c r="B184">
        <f t="shared" si="6"/>
        <v>8950</v>
      </c>
    </row>
    <row r="185" spans="1:2">
      <c r="A185">
        <v>180</v>
      </c>
      <c r="B185">
        <f t="shared" si="6"/>
        <v>9000</v>
      </c>
    </row>
    <row r="186" spans="1:2">
      <c r="A186">
        <v>181</v>
      </c>
      <c r="B186">
        <f t="shared" si="6"/>
        <v>9050</v>
      </c>
    </row>
    <row r="187" spans="1:2">
      <c r="A187">
        <v>182</v>
      </c>
      <c r="B187">
        <f t="shared" si="6"/>
        <v>9100</v>
      </c>
    </row>
    <row r="188" spans="1:2">
      <c r="A188">
        <v>183</v>
      </c>
      <c r="B188">
        <f t="shared" si="6"/>
        <v>9150</v>
      </c>
    </row>
    <row r="189" spans="1:2">
      <c r="A189">
        <v>184</v>
      </c>
      <c r="B189">
        <f t="shared" si="6"/>
        <v>9200</v>
      </c>
    </row>
    <row r="190" spans="1:2">
      <c r="A190">
        <v>185</v>
      </c>
      <c r="B190">
        <f t="shared" si="6"/>
        <v>9250</v>
      </c>
    </row>
    <row r="191" spans="1:2">
      <c r="A191">
        <v>186</v>
      </c>
      <c r="B191">
        <f t="shared" si="6"/>
        <v>9300</v>
      </c>
    </row>
    <row r="192" spans="1:2">
      <c r="A192">
        <v>187</v>
      </c>
      <c r="B192">
        <f t="shared" si="6"/>
        <v>9350</v>
      </c>
    </row>
    <row r="193" spans="1:2">
      <c r="A193">
        <v>188</v>
      </c>
      <c r="B193">
        <f t="shared" si="6"/>
        <v>9400</v>
      </c>
    </row>
    <row r="194" spans="1:2">
      <c r="A194">
        <v>189</v>
      </c>
      <c r="B194">
        <f t="shared" si="6"/>
        <v>9450</v>
      </c>
    </row>
    <row r="195" spans="1:2">
      <c r="A195">
        <v>190</v>
      </c>
      <c r="B195">
        <f t="shared" si="6"/>
        <v>9500</v>
      </c>
    </row>
    <row r="196" spans="1:2">
      <c r="A196">
        <v>191</v>
      </c>
      <c r="B196">
        <f t="shared" si="6"/>
        <v>9550</v>
      </c>
    </row>
    <row r="197" spans="1:2">
      <c r="A197">
        <v>192</v>
      </c>
      <c r="B197">
        <f t="shared" si="6"/>
        <v>9600</v>
      </c>
    </row>
    <row r="198" spans="1:2">
      <c r="A198">
        <v>193</v>
      </c>
      <c r="B198">
        <f t="shared" si="6"/>
        <v>9650</v>
      </c>
    </row>
    <row r="199" spans="1:2">
      <c r="A199">
        <v>194</v>
      </c>
      <c r="B199">
        <f t="shared" si="6"/>
        <v>9700</v>
      </c>
    </row>
    <row r="200" spans="1:2">
      <c r="A200">
        <v>195</v>
      </c>
      <c r="B200">
        <f t="shared" si="6"/>
        <v>9750</v>
      </c>
    </row>
    <row r="201" spans="1:2">
      <c r="A201">
        <v>196</v>
      </c>
      <c r="B201">
        <f t="shared" si="6"/>
        <v>9800</v>
      </c>
    </row>
    <row r="202" spans="1:2">
      <c r="A202">
        <v>197</v>
      </c>
      <c r="B202">
        <f t="shared" si="6"/>
        <v>9850</v>
      </c>
    </row>
    <row r="203" spans="1:2">
      <c r="A203">
        <v>198</v>
      </c>
      <c r="B203">
        <f t="shared" si="6"/>
        <v>9900</v>
      </c>
    </row>
    <row r="204" spans="1:2">
      <c r="A204">
        <v>199</v>
      </c>
      <c r="B204">
        <f t="shared" si="6"/>
        <v>9950</v>
      </c>
    </row>
    <row r="205" spans="1:2">
      <c r="A205">
        <v>200</v>
      </c>
      <c r="B205">
        <f t="shared" si="6"/>
        <v>10000</v>
      </c>
    </row>
  </sheetData>
  <conditionalFormatting sqref="A1:A2">
    <cfRule type="duplicateValues" dxfId="9" priority="1"/>
  </conditionalFormatting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26"/>
  <dimension ref="A1:T97"/>
  <sheetViews>
    <sheetView workbookViewId="0">
      <pane xSplit="1" ySplit="5" topLeftCell="B51" activePane="bottomRight" state="frozen"/>
      <selection/>
      <selection pane="topRight"/>
      <selection pane="bottomLeft"/>
      <selection pane="bottomRight" activeCell="B62" sqref="B62"/>
    </sheetView>
  </sheetViews>
  <sheetFormatPr defaultColWidth="9" defaultRowHeight="15"/>
  <cols>
    <col min="1" max="1" width="11.2477876106195" customWidth="1"/>
    <col min="2" max="2" width="13" customWidth="1"/>
    <col min="3" max="3" width="13.5044247787611" customWidth="1"/>
    <col min="4" max="4" width="12" customWidth="1"/>
    <col min="5" max="6" width="14.6283185840708" customWidth="1"/>
    <col min="7" max="7" width="39.1238938053097" customWidth="1"/>
    <col min="8" max="8" width="41.7522123893805" customWidth="1"/>
    <col min="9" max="9" width="13.5044247787611" customWidth="1"/>
    <col min="10" max="10" width="19" customWidth="1"/>
    <col min="11" max="12" width="12.1238938053097" customWidth="1"/>
    <col min="13" max="13" width="11.5044247787611" style="1" customWidth="1"/>
    <col min="14" max="14" width="15" style="1" customWidth="1"/>
  </cols>
  <sheetData>
    <row r="1" spans="1:12">
      <c r="A1" s="50" t="s">
        <v>31</v>
      </c>
      <c r="B1" s="51"/>
      <c r="K1" s="51"/>
      <c r="L1" s="68"/>
    </row>
    <row r="2" ht="30" spans="1:14">
      <c r="A2" s="52" t="s">
        <v>3719</v>
      </c>
      <c r="B2" s="53" t="s">
        <v>997</v>
      </c>
      <c r="C2" s="52" t="s">
        <v>3720</v>
      </c>
      <c r="D2" s="52" t="s">
        <v>3721</v>
      </c>
      <c r="E2" s="52" t="s">
        <v>3722</v>
      </c>
      <c r="F2" s="54" t="s">
        <v>2950</v>
      </c>
      <c r="G2" s="55" t="s">
        <v>3723</v>
      </c>
      <c r="H2" s="55" t="s">
        <v>2952</v>
      </c>
      <c r="I2" s="52" t="s">
        <v>3724</v>
      </c>
      <c r="J2" s="53" t="s">
        <v>3725</v>
      </c>
      <c r="K2" s="69" t="s">
        <v>3726</v>
      </c>
      <c r="L2" s="70"/>
      <c r="M2" s="3" t="s">
        <v>2962</v>
      </c>
      <c r="N2" s="3" t="s">
        <v>2954</v>
      </c>
    </row>
    <row r="3" spans="1:14">
      <c r="A3" s="50" t="s">
        <v>109</v>
      </c>
      <c r="B3" s="51" t="s">
        <v>109</v>
      </c>
      <c r="C3" s="50" t="s">
        <v>110</v>
      </c>
      <c r="D3" s="50" t="s">
        <v>109</v>
      </c>
      <c r="E3" s="50" t="s">
        <v>109</v>
      </c>
      <c r="F3" s="56" t="s">
        <v>109</v>
      </c>
      <c r="G3" s="51" t="s">
        <v>110</v>
      </c>
      <c r="H3" s="57" t="s">
        <v>110</v>
      </c>
      <c r="I3" s="50" t="s">
        <v>109</v>
      </c>
      <c r="J3" s="51" t="s">
        <v>109</v>
      </c>
      <c r="K3" s="71" t="s">
        <v>109</v>
      </c>
      <c r="L3" s="72"/>
      <c r="M3" s="1" t="s">
        <v>109</v>
      </c>
      <c r="N3" s="1" t="s">
        <v>109</v>
      </c>
    </row>
    <row r="4" spans="1:14">
      <c r="A4" s="58" t="s">
        <v>62</v>
      </c>
      <c r="B4" s="59" t="s">
        <v>2973</v>
      </c>
      <c r="C4" s="58" t="s">
        <v>64</v>
      </c>
      <c r="D4" s="58" t="s">
        <v>2977</v>
      </c>
      <c r="E4" s="58" t="s">
        <v>2978</v>
      </c>
      <c r="F4" s="60" t="s">
        <v>2979</v>
      </c>
      <c r="G4" s="59" t="s">
        <v>2980</v>
      </c>
      <c r="H4" s="61" t="s">
        <v>2981</v>
      </c>
      <c r="I4" s="58" t="s">
        <v>2985</v>
      </c>
      <c r="J4" s="59" t="s">
        <v>2986</v>
      </c>
      <c r="K4" s="73" t="s">
        <v>3727</v>
      </c>
      <c r="L4" s="74"/>
      <c r="M4" s="1" t="s">
        <v>2991</v>
      </c>
      <c r="N4" s="1" t="s">
        <v>2983</v>
      </c>
    </row>
    <row r="5" spans="1:14">
      <c r="A5" s="58" t="s">
        <v>62</v>
      </c>
      <c r="B5" s="59" t="s">
        <v>2973</v>
      </c>
      <c r="C5" s="58"/>
      <c r="D5" s="58" t="s">
        <v>2977</v>
      </c>
      <c r="E5" s="58" t="s">
        <v>2978</v>
      </c>
      <c r="F5" s="60" t="s">
        <v>2979</v>
      </c>
      <c r="G5" s="59"/>
      <c r="H5" s="61"/>
      <c r="I5" s="58" t="s">
        <v>2985</v>
      </c>
      <c r="J5" s="59" t="s">
        <v>2986</v>
      </c>
      <c r="K5" s="73" t="s">
        <v>3727</v>
      </c>
      <c r="L5" s="74"/>
      <c r="M5" s="1" t="s">
        <v>2991</v>
      </c>
      <c r="N5" s="1" t="s">
        <v>2983</v>
      </c>
    </row>
    <row r="6" spans="1:20">
      <c r="A6" s="47">
        <v>203001</v>
      </c>
      <c r="B6" s="1">
        <v>1</v>
      </c>
      <c r="C6" s="62" t="s">
        <v>3728</v>
      </c>
      <c r="D6" s="1">
        <v>400007</v>
      </c>
      <c r="E6">
        <v>17</v>
      </c>
      <c r="F6">
        <v>680</v>
      </c>
      <c r="G6" s="63" t="s">
        <v>3004</v>
      </c>
      <c r="H6" s="64" t="s">
        <v>3005</v>
      </c>
      <c r="I6">
        <v>17</v>
      </c>
      <c r="J6" s="61"/>
      <c r="K6" s="75">
        <f>B6*1000+L6-1</f>
        <v>1000</v>
      </c>
      <c r="L6" s="75">
        <v>1</v>
      </c>
      <c r="M6" s="76"/>
      <c r="N6" s="76">
        <v>10</v>
      </c>
      <c r="Q6">
        <v>144</v>
      </c>
      <c r="R6">
        <v>288</v>
      </c>
      <c r="S6">
        <v>432</v>
      </c>
      <c r="T6">
        <v>576</v>
      </c>
    </row>
    <row r="7" spans="1:20">
      <c r="A7" s="47">
        <v>203002</v>
      </c>
      <c r="B7" s="1">
        <v>1</v>
      </c>
      <c r="C7" s="62" t="s">
        <v>3729</v>
      </c>
      <c r="D7" s="1">
        <v>400007</v>
      </c>
      <c r="E7">
        <v>22</v>
      </c>
      <c r="F7">
        <v>1760</v>
      </c>
      <c r="G7" s="63" t="s">
        <v>3004</v>
      </c>
      <c r="H7" s="64" t="s">
        <v>3005</v>
      </c>
      <c r="I7">
        <v>22</v>
      </c>
      <c r="J7" s="61"/>
      <c r="K7" s="75">
        <f t="shared" ref="K7:K38" si="0">B7*1000+L7-1</f>
        <v>1003</v>
      </c>
      <c r="L7" s="77">
        <v>4</v>
      </c>
      <c r="M7" s="76"/>
      <c r="N7" s="76">
        <v>10</v>
      </c>
      <c r="Q7">
        <v>240</v>
      </c>
      <c r="R7">
        <v>480</v>
      </c>
      <c r="S7">
        <v>720</v>
      </c>
      <c r="T7">
        <v>960</v>
      </c>
    </row>
    <row r="8" spans="1:14">
      <c r="A8" s="47">
        <v>203003</v>
      </c>
      <c r="B8" s="1">
        <v>1</v>
      </c>
      <c r="C8" s="62" t="s">
        <v>3730</v>
      </c>
      <c r="D8" s="1">
        <v>400007</v>
      </c>
      <c r="E8">
        <v>26</v>
      </c>
      <c r="F8">
        <v>3120</v>
      </c>
      <c r="G8" s="63" t="s">
        <v>3004</v>
      </c>
      <c r="H8" s="64" t="s">
        <v>3005</v>
      </c>
      <c r="I8">
        <v>26</v>
      </c>
      <c r="J8" s="61"/>
      <c r="K8" s="75">
        <f t="shared" si="0"/>
        <v>1006</v>
      </c>
      <c r="L8" s="77">
        <v>7</v>
      </c>
      <c r="M8" s="76"/>
      <c r="N8" s="76">
        <v>10</v>
      </c>
    </row>
    <row r="9" spans="1:14">
      <c r="A9" s="47">
        <v>203004</v>
      </c>
      <c r="B9" s="1">
        <v>1</v>
      </c>
      <c r="C9" s="62" t="s">
        <v>3731</v>
      </c>
      <c r="D9" s="1">
        <v>400007</v>
      </c>
      <c r="E9">
        <v>35</v>
      </c>
      <c r="F9">
        <v>5600</v>
      </c>
      <c r="G9" s="63" t="s">
        <v>3004</v>
      </c>
      <c r="H9" s="64" t="s">
        <v>3005</v>
      </c>
      <c r="I9">
        <v>35</v>
      </c>
      <c r="J9" s="61"/>
      <c r="K9" s="75">
        <f t="shared" si="0"/>
        <v>1008</v>
      </c>
      <c r="L9" s="77">
        <v>9</v>
      </c>
      <c r="M9" s="76"/>
      <c r="N9" s="76">
        <v>10</v>
      </c>
    </row>
    <row r="10" spans="1:14">
      <c r="A10" s="47">
        <v>203005</v>
      </c>
      <c r="B10" s="1">
        <v>1</v>
      </c>
      <c r="C10" s="62" t="s">
        <v>3732</v>
      </c>
      <c r="D10" s="1">
        <v>400008</v>
      </c>
      <c r="E10">
        <v>17</v>
      </c>
      <c r="F10">
        <v>680</v>
      </c>
      <c r="G10" s="63" t="s">
        <v>3004</v>
      </c>
      <c r="H10" s="64" t="s">
        <v>3005</v>
      </c>
      <c r="I10">
        <v>17</v>
      </c>
      <c r="J10" s="61"/>
      <c r="K10" s="75">
        <f t="shared" si="0"/>
        <v>1001</v>
      </c>
      <c r="L10" s="75">
        <v>2</v>
      </c>
      <c r="M10" s="76"/>
      <c r="N10" s="1">
        <v>10</v>
      </c>
    </row>
    <row r="11" spans="1:14">
      <c r="A11" s="47">
        <v>203006</v>
      </c>
      <c r="B11" s="1">
        <v>1</v>
      </c>
      <c r="C11" s="62" t="s">
        <v>3733</v>
      </c>
      <c r="D11" s="1">
        <v>400008</v>
      </c>
      <c r="E11">
        <v>22</v>
      </c>
      <c r="F11">
        <v>1760</v>
      </c>
      <c r="G11" s="63" t="s">
        <v>3004</v>
      </c>
      <c r="H11" s="64" t="s">
        <v>3005</v>
      </c>
      <c r="I11">
        <v>22</v>
      </c>
      <c r="J11" s="61"/>
      <c r="K11" s="75">
        <f t="shared" si="0"/>
        <v>1004</v>
      </c>
      <c r="L11" s="77">
        <v>5</v>
      </c>
      <c r="M11" s="76"/>
      <c r="N11" s="1">
        <v>10</v>
      </c>
    </row>
    <row r="12" spans="1:14">
      <c r="A12" s="47">
        <v>203007</v>
      </c>
      <c r="B12" s="1">
        <v>1</v>
      </c>
      <c r="C12" s="62" t="s">
        <v>3734</v>
      </c>
      <c r="D12" s="1">
        <v>400008</v>
      </c>
      <c r="E12">
        <v>26</v>
      </c>
      <c r="F12">
        <v>3120</v>
      </c>
      <c r="G12" s="63" t="s">
        <v>3004</v>
      </c>
      <c r="H12" s="64" t="s">
        <v>3005</v>
      </c>
      <c r="I12">
        <v>26</v>
      </c>
      <c r="J12" s="61"/>
      <c r="K12" s="75">
        <f t="shared" si="0"/>
        <v>1007</v>
      </c>
      <c r="L12" s="77">
        <v>8</v>
      </c>
      <c r="M12" s="76"/>
      <c r="N12" s="1">
        <v>10</v>
      </c>
    </row>
    <row r="13" spans="1:16">
      <c r="A13" s="47">
        <v>203008</v>
      </c>
      <c r="B13" s="1">
        <v>1</v>
      </c>
      <c r="C13" s="62" t="s">
        <v>3735</v>
      </c>
      <c r="D13" s="1">
        <v>400008</v>
      </c>
      <c r="E13">
        <v>35</v>
      </c>
      <c r="F13">
        <v>5600</v>
      </c>
      <c r="G13" s="63" t="s">
        <v>3004</v>
      </c>
      <c r="H13" s="64" t="s">
        <v>3005</v>
      </c>
      <c r="I13">
        <v>35</v>
      </c>
      <c r="J13" s="61"/>
      <c r="K13" s="75">
        <f t="shared" si="0"/>
        <v>1009</v>
      </c>
      <c r="L13" s="77">
        <v>10</v>
      </c>
      <c r="M13" s="76"/>
      <c r="N13" s="1">
        <v>10</v>
      </c>
      <c r="P13" s="1" t="s">
        <v>3736</v>
      </c>
    </row>
    <row r="14" spans="1:16">
      <c r="A14" s="47">
        <v>203009</v>
      </c>
      <c r="B14" s="1">
        <v>1</v>
      </c>
      <c r="C14" s="62" t="s">
        <v>3737</v>
      </c>
      <c r="D14" s="1">
        <v>400009</v>
      </c>
      <c r="E14">
        <v>17</v>
      </c>
      <c r="F14">
        <v>680</v>
      </c>
      <c r="G14" s="63" t="s">
        <v>3004</v>
      </c>
      <c r="H14" s="64" t="s">
        <v>3005</v>
      </c>
      <c r="I14">
        <v>17</v>
      </c>
      <c r="J14" s="61"/>
      <c r="K14" s="75">
        <f t="shared" si="0"/>
        <v>1002</v>
      </c>
      <c r="L14" s="75">
        <v>3</v>
      </c>
      <c r="M14" s="76"/>
      <c r="N14" s="76">
        <v>10</v>
      </c>
      <c r="P14" s="1" t="s">
        <v>3738</v>
      </c>
    </row>
    <row r="15" spans="1:16">
      <c r="A15" s="47">
        <v>203010</v>
      </c>
      <c r="B15" s="1">
        <v>1</v>
      </c>
      <c r="C15" s="62" t="s">
        <v>3739</v>
      </c>
      <c r="D15" s="1">
        <v>400009</v>
      </c>
      <c r="E15">
        <v>22</v>
      </c>
      <c r="F15">
        <v>1760</v>
      </c>
      <c r="G15" s="63" t="s">
        <v>3004</v>
      </c>
      <c r="H15" s="64" t="s">
        <v>3005</v>
      </c>
      <c r="I15">
        <v>22</v>
      </c>
      <c r="J15" s="61"/>
      <c r="K15" s="75">
        <f t="shared" si="0"/>
        <v>1005</v>
      </c>
      <c r="L15" s="77">
        <v>6</v>
      </c>
      <c r="M15" s="76"/>
      <c r="N15" s="76">
        <v>10</v>
      </c>
      <c r="P15" s="1" t="s">
        <v>3740</v>
      </c>
    </row>
    <row r="16" spans="1:16">
      <c r="A16" s="47">
        <v>203011</v>
      </c>
      <c r="B16" s="1">
        <v>1</v>
      </c>
      <c r="C16" s="62" t="s">
        <v>3741</v>
      </c>
      <c r="D16" s="1">
        <v>400009</v>
      </c>
      <c r="E16">
        <v>26</v>
      </c>
      <c r="F16">
        <v>3120</v>
      </c>
      <c r="G16" s="63" t="s">
        <v>3004</v>
      </c>
      <c r="H16" s="64" t="s">
        <v>3005</v>
      </c>
      <c r="I16">
        <v>26</v>
      </c>
      <c r="J16" s="61"/>
      <c r="K16" s="75">
        <f t="shared" si="0"/>
        <v>1008</v>
      </c>
      <c r="L16" s="77">
        <v>9</v>
      </c>
      <c r="M16" s="76"/>
      <c r="N16" s="76">
        <v>10</v>
      </c>
      <c r="P16" s="1" t="s">
        <v>3742</v>
      </c>
    </row>
    <row r="17" spans="1:16">
      <c r="A17" s="47">
        <v>203012</v>
      </c>
      <c r="B17" s="1">
        <v>1</v>
      </c>
      <c r="C17" s="62" t="s">
        <v>3743</v>
      </c>
      <c r="D17" s="1">
        <v>400009</v>
      </c>
      <c r="E17">
        <v>35</v>
      </c>
      <c r="F17">
        <v>5600</v>
      </c>
      <c r="G17" s="63" t="s">
        <v>3004</v>
      </c>
      <c r="H17" s="64" t="s">
        <v>3005</v>
      </c>
      <c r="I17">
        <v>35</v>
      </c>
      <c r="J17" s="61"/>
      <c r="K17" s="75">
        <f t="shared" si="0"/>
        <v>1009</v>
      </c>
      <c r="L17" s="77">
        <v>10</v>
      </c>
      <c r="M17" s="76"/>
      <c r="N17" s="76">
        <v>10</v>
      </c>
      <c r="P17" s="1" t="s">
        <v>3744</v>
      </c>
    </row>
    <row r="18" spans="1:14">
      <c r="A18" s="47">
        <v>203013</v>
      </c>
      <c r="B18" s="1">
        <v>2</v>
      </c>
      <c r="C18" s="65" t="s">
        <v>3745</v>
      </c>
      <c r="D18" s="1">
        <v>400007</v>
      </c>
      <c r="E18">
        <v>35</v>
      </c>
      <c r="F18">
        <v>7000</v>
      </c>
      <c r="G18" s="63" t="s">
        <v>3004</v>
      </c>
      <c r="H18" s="64" t="s">
        <v>3005</v>
      </c>
      <c r="I18">
        <v>18</v>
      </c>
      <c r="J18" s="61"/>
      <c r="K18" s="75">
        <f t="shared" si="0"/>
        <v>2000</v>
      </c>
      <c r="L18" s="77">
        <v>1</v>
      </c>
      <c r="M18" s="76"/>
      <c r="N18" s="1">
        <v>10</v>
      </c>
    </row>
    <row r="19" spans="1:14">
      <c r="A19" s="47">
        <v>203014</v>
      </c>
      <c r="B19" s="1">
        <v>2</v>
      </c>
      <c r="C19" s="65" t="s">
        <v>3746</v>
      </c>
      <c r="D19" s="1">
        <v>400007</v>
      </c>
      <c r="E19">
        <v>43</v>
      </c>
      <c r="F19">
        <v>12900</v>
      </c>
      <c r="G19" s="63" t="s">
        <v>3004</v>
      </c>
      <c r="H19" s="64" t="s">
        <v>3005</v>
      </c>
      <c r="I19">
        <v>22</v>
      </c>
      <c r="J19" s="61"/>
      <c r="K19" s="75">
        <f t="shared" si="0"/>
        <v>2002</v>
      </c>
      <c r="L19" s="77">
        <v>3</v>
      </c>
      <c r="M19" s="76"/>
      <c r="N19" s="1">
        <v>10</v>
      </c>
    </row>
    <row r="20" spans="1:14">
      <c r="A20" s="47">
        <v>203015</v>
      </c>
      <c r="B20" s="1">
        <v>2</v>
      </c>
      <c r="C20" s="65" t="s">
        <v>3747</v>
      </c>
      <c r="D20" s="1">
        <v>400007</v>
      </c>
      <c r="E20">
        <v>52</v>
      </c>
      <c r="F20">
        <v>20800</v>
      </c>
      <c r="G20" s="63" t="s">
        <v>3004</v>
      </c>
      <c r="H20" s="64" t="s">
        <v>3005</v>
      </c>
      <c r="I20">
        <v>26</v>
      </c>
      <c r="J20" s="61"/>
      <c r="K20" s="75">
        <f t="shared" si="0"/>
        <v>2005</v>
      </c>
      <c r="L20" s="77">
        <v>6</v>
      </c>
      <c r="M20" s="76"/>
      <c r="N20" s="1">
        <v>10</v>
      </c>
    </row>
    <row r="21" spans="1:14">
      <c r="A21" s="47">
        <v>203016</v>
      </c>
      <c r="B21" s="1">
        <v>2</v>
      </c>
      <c r="C21" s="65" t="s">
        <v>3748</v>
      </c>
      <c r="D21" s="1">
        <v>400007</v>
      </c>
      <c r="E21">
        <v>70</v>
      </c>
      <c r="F21">
        <v>35000</v>
      </c>
      <c r="G21" s="63" t="s">
        <v>3004</v>
      </c>
      <c r="H21" s="64" t="s">
        <v>3005</v>
      </c>
      <c r="I21">
        <v>35</v>
      </c>
      <c r="J21" s="61"/>
      <c r="K21" s="75">
        <f t="shared" si="0"/>
        <v>2007</v>
      </c>
      <c r="L21" s="77">
        <v>8</v>
      </c>
      <c r="M21" s="76"/>
      <c r="N21" s="1">
        <v>10</v>
      </c>
    </row>
    <row r="22" spans="1:14">
      <c r="A22" s="47">
        <v>203017</v>
      </c>
      <c r="B22" s="1">
        <v>2</v>
      </c>
      <c r="C22" s="65" t="s">
        <v>3749</v>
      </c>
      <c r="D22" s="1">
        <v>400008</v>
      </c>
      <c r="E22">
        <v>35</v>
      </c>
      <c r="F22">
        <v>7000</v>
      </c>
      <c r="G22" s="63" t="s">
        <v>3004</v>
      </c>
      <c r="H22" s="64" t="s">
        <v>3005</v>
      </c>
      <c r="I22">
        <v>18</v>
      </c>
      <c r="J22" s="61"/>
      <c r="K22" s="75">
        <f t="shared" si="0"/>
        <v>2000</v>
      </c>
      <c r="L22" s="77">
        <v>1</v>
      </c>
      <c r="M22" s="76"/>
      <c r="N22" s="1">
        <v>10</v>
      </c>
    </row>
    <row r="23" spans="1:14">
      <c r="A23" s="47">
        <v>203018</v>
      </c>
      <c r="B23" s="1">
        <v>2</v>
      </c>
      <c r="C23" s="65" t="s">
        <v>3750</v>
      </c>
      <c r="D23" s="1">
        <v>400008</v>
      </c>
      <c r="E23">
        <v>43</v>
      </c>
      <c r="F23">
        <v>12900</v>
      </c>
      <c r="G23" s="63" t="s">
        <v>3004</v>
      </c>
      <c r="H23" s="64" t="s">
        <v>3005</v>
      </c>
      <c r="I23">
        <v>22</v>
      </c>
      <c r="J23" s="61"/>
      <c r="K23" s="75">
        <f t="shared" si="0"/>
        <v>2003</v>
      </c>
      <c r="L23" s="77">
        <v>4</v>
      </c>
      <c r="M23" s="76"/>
      <c r="N23" s="1">
        <v>10</v>
      </c>
    </row>
    <row r="24" spans="1:14">
      <c r="A24" s="47">
        <v>203019</v>
      </c>
      <c r="B24" s="1">
        <v>2</v>
      </c>
      <c r="C24" s="65" t="s">
        <v>3751</v>
      </c>
      <c r="D24" s="1">
        <v>400008</v>
      </c>
      <c r="E24">
        <v>52</v>
      </c>
      <c r="F24">
        <v>20800</v>
      </c>
      <c r="G24" s="63" t="s">
        <v>3004</v>
      </c>
      <c r="H24" s="64" t="s">
        <v>3005</v>
      </c>
      <c r="I24">
        <v>26</v>
      </c>
      <c r="J24" s="61"/>
      <c r="K24" s="75">
        <f t="shared" si="0"/>
        <v>2005</v>
      </c>
      <c r="L24" s="77">
        <v>6</v>
      </c>
      <c r="M24" s="76"/>
      <c r="N24" s="1">
        <v>10</v>
      </c>
    </row>
    <row r="25" spans="1:14">
      <c r="A25" s="47">
        <v>203020</v>
      </c>
      <c r="B25" s="1">
        <v>2</v>
      </c>
      <c r="C25" s="65" t="s">
        <v>3752</v>
      </c>
      <c r="D25" s="1">
        <v>400008</v>
      </c>
      <c r="E25">
        <v>70</v>
      </c>
      <c r="F25">
        <v>35000</v>
      </c>
      <c r="G25" s="63" t="s">
        <v>3004</v>
      </c>
      <c r="H25" s="64" t="s">
        <v>3005</v>
      </c>
      <c r="I25">
        <v>35</v>
      </c>
      <c r="J25" s="61"/>
      <c r="K25" s="75">
        <f t="shared" si="0"/>
        <v>2008</v>
      </c>
      <c r="L25" s="77">
        <v>9</v>
      </c>
      <c r="M25" s="76"/>
      <c r="N25" s="1">
        <v>10</v>
      </c>
    </row>
    <row r="26" spans="1:14">
      <c r="A26" s="47">
        <v>203021</v>
      </c>
      <c r="B26" s="1">
        <v>2</v>
      </c>
      <c r="C26" s="65" t="s">
        <v>3753</v>
      </c>
      <c r="D26" s="1">
        <v>400009</v>
      </c>
      <c r="E26">
        <v>35</v>
      </c>
      <c r="F26">
        <v>7000</v>
      </c>
      <c r="G26" s="63" t="s">
        <v>3004</v>
      </c>
      <c r="H26" s="64" t="s">
        <v>3005</v>
      </c>
      <c r="I26">
        <v>18</v>
      </c>
      <c r="J26" s="61"/>
      <c r="K26" s="75">
        <f t="shared" si="0"/>
        <v>2001</v>
      </c>
      <c r="L26" s="77">
        <v>2</v>
      </c>
      <c r="M26" s="76"/>
      <c r="N26" s="1">
        <v>10</v>
      </c>
    </row>
    <row r="27" spans="1:14">
      <c r="A27" s="47">
        <v>203022</v>
      </c>
      <c r="B27" s="1">
        <v>2</v>
      </c>
      <c r="C27" s="65" t="s">
        <v>3754</v>
      </c>
      <c r="D27" s="1">
        <v>400009</v>
      </c>
      <c r="E27">
        <v>43</v>
      </c>
      <c r="F27">
        <v>12900</v>
      </c>
      <c r="G27" s="63" t="s">
        <v>3004</v>
      </c>
      <c r="H27" s="64" t="s">
        <v>3005</v>
      </c>
      <c r="I27">
        <v>22</v>
      </c>
      <c r="J27" s="61"/>
      <c r="K27" s="75">
        <f t="shared" si="0"/>
        <v>2003</v>
      </c>
      <c r="L27" s="77">
        <v>4</v>
      </c>
      <c r="M27" s="76"/>
      <c r="N27" s="1">
        <v>10</v>
      </c>
    </row>
    <row r="28" spans="1:14">
      <c r="A28" s="47">
        <v>203023</v>
      </c>
      <c r="B28" s="1">
        <v>2</v>
      </c>
      <c r="C28" s="66" t="s">
        <v>3755</v>
      </c>
      <c r="D28" s="1">
        <v>400009</v>
      </c>
      <c r="E28">
        <v>52</v>
      </c>
      <c r="F28">
        <v>20800</v>
      </c>
      <c r="G28" s="63" t="s">
        <v>3004</v>
      </c>
      <c r="H28" s="64" t="s">
        <v>3005</v>
      </c>
      <c r="I28">
        <v>26</v>
      </c>
      <c r="J28" s="61"/>
      <c r="K28" s="75">
        <f t="shared" si="0"/>
        <v>2006</v>
      </c>
      <c r="L28" s="77">
        <v>7</v>
      </c>
      <c r="M28" s="76"/>
      <c r="N28" s="1">
        <v>10</v>
      </c>
    </row>
    <row r="29" spans="1:14">
      <c r="A29" s="47">
        <v>203024</v>
      </c>
      <c r="B29" s="1">
        <v>2</v>
      </c>
      <c r="C29" s="66" t="s">
        <v>3756</v>
      </c>
      <c r="D29" s="1">
        <v>400009</v>
      </c>
      <c r="E29">
        <v>70</v>
      </c>
      <c r="F29">
        <v>35000</v>
      </c>
      <c r="G29" s="63" t="s">
        <v>3004</v>
      </c>
      <c r="H29" s="64" t="s">
        <v>3005</v>
      </c>
      <c r="I29">
        <v>35</v>
      </c>
      <c r="J29" s="61"/>
      <c r="K29" s="75">
        <f t="shared" si="0"/>
        <v>2008</v>
      </c>
      <c r="L29" s="77">
        <v>9</v>
      </c>
      <c r="M29" s="76"/>
      <c r="N29" s="1">
        <v>10</v>
      </c>
    </row>
    <row r="30" spans="1:14">
      <c r="A30" s="47">
        <v>203025</v>
      </c>
      <c r="B30" s="1">
        <v>2</v>
      </c>
      <c r="C30" s="66" t="s">
        <v>3757</v>
      </c>
      <c r="D30" s="1">
        <v>400010</v>
      </c>
      <c r="E30">
        <v>35</v>
      </c>
      <c r="F30">
        <v>7000</v>
      </c>
      <c r="G30" s="63" t="s">
        <v>3004</v>
      </c>
      <c r="H30" s="64" t="s">
        <v>3005</v>
      </c>
      <c r="I30">
        <v>18</v>
      </c>
      <c r="J30" s="61"/>
      <c r="K30" s="75">
        <f t="shared" si="0"/>
        <v>2001</v>
      </c>
      <c r="L30" s="77">
        <v>2</v>
      </c>
      <c r="M30" s="76"/>
      <c r="N30" s="1">
        <v>15</v>
      </c>
    </row>
    <row r="31" spans="1:14">
      <c r="A31" s="47">
        <v>203026</v>
      </c>
      <c r="B31" s="1">
        <v>2</v>
      </c>
      <c r="C31" s="66" t="s">
        <v>3758</v>
      </c>
      <c r="D31" s="1">
        <v>400010</v>
      </c>
      <c r="E31">
        <v>43</v>
      </c>
      <c r="F31">
        <v>12900</v>
      </c>
      <c r="G31" s="63" t="s">
        <v>3004</v>
      </c>
      <c r="H31" s="64" t="s">
        <v>3005</v>
      </c>
      <c r="I31">
        <v>22</v>
      </c>
      <c r="J31" s="61"/>
      <c r="K31" s="75">
        <f t="shared" si="0"/>
        <v>2004</v>
      </c>
      <c r="L31" s="77">
        <v>5</v>
      </c>
      <c r="M31" s="76"/>
      <c r="N31" s="1">
        <v>15</v>
      </c>
    </row>
    <row r="32" spans="1:14">
      <c r="A32" s="47">
        <v>203027</v>
      </c>
      <c r="B32" s="1">
        <v>2</v>
      </c>
      <c r="C32" s="66" t="s">
        <v>3759</v>
      </c>
      <c r="D32" s="1">
        <v>400010</v>
      </c>
      <c r="E32">
        <v>52</v>
      </c>
      <c r="F32">
        <v>20800</v>
      </c>
      <c r="G32" s="63" t="s">
        <v>3004</v>
      </c>
      <c r="H32" s="64" t="s">
        <v>3005</v>
      </c>
      <c r="I32">
        <v>26</v>
      </c>
      <c r="J32" s="61"/>
      <c r="K32" s="75">
        <f t="shared" si="0"/>
        <v>2006</v>
      </c>
      <c r="L32" s="77">
        <v>7</v>
      </c>
      <c r="M32" s="76"/>
      <c r="N32" s="1">
        <v>15</v>
      </c>
    </row>
    <row r="33" spans="1:14">
      <c r="A33" s="47">
        <v>203028</v>
      </c>
      <c r="B33" s="1">
        <v>2</v>
      </c>
      <c r="C33" s="66" t="s">
        <v>3760</v>
      </c>
      <c r="D33" s="1">
        <v>400010</v>
      </c>
      <c r="E33">
        <v>70</v>
      </c>
      <c r="F33">
        <v>35000</v>
      </c>
      <c r="G33" s="63" t="s">
        <v>3004</v>
      </c>
      <c r="H33" s="64" t="s">
        <v>3005</v>
      </c>
      <c r="I33">
        <v>35</v>
      </c>
      <c r="J33" s="61"/>
      <c r="K33" s="75">
        <f t="shared" si="0"/>
        <v>2009</v>
      </c>
      <c r="L33" s="77">
        <v>10</v>
      </c>
      <c r="M33" s="76"/>
      <c r="N33" s="1">
        <v>15</v>
      </c>
    </row>
    <row r="34" spans="1:14">
      <c r="A34" s="47">
        <v>203029</v>
      </c>
      <c r="B34" s="1">
        <v>2</v>
      </c>
      <c r="C34" s="11" t="s">
        <v>3761</v>
      </c>
      <c r="D34" s="1">
        <v>400011</v>
      </c>
      <c r="E34">
        <v>35</v>
      </c>
      <c r="F34">
        <v>7000</v>
      </c>
      <c r="G34" s="63" t="s">
        <v>3004</v>
      </c>
      <c r="H34" s="64" t="s">
        <v>3005</v>
      </c>
      <c r="I34">
        <v>18</v>
      </c>
      <c r="J34" s="61"/>
      <c r="K34" s="75">
        <f t="shared" si="0"/>
        <v>2002</v>
      </c>
      <c r="L34" s="77">
        <v>3</v>
      </c>
      <c r="M34" s="76"/>
      <c r="N34" s="1">
        <v>15</v>
      </c>
    </row>
    <row r="35" spans="1:14">
      <c r="A35" s="47">
        <v>203030</v>
      </c>
      <c r="B35" s="1">
        <v>2</v>
      </c>
      <c r="C35" s="11" t="s">
        <v>3762</v>
      </c>
      <c r="D35" s="1">
        <v>400011</v>
      </c>
      <c r="E35">
        <v>43</v>
      </c>
      <c r="F35">
        <v>12900</v>
      </c>
      <c r="G35" s="63" t="s">
        <v>3004</v>
      </c>
      <c r="H35" s="64" t="s">
        <v>3005</v>
      </c>
      <c r="I35">
        <v>22</v>
      </c>
      <c r="J35" s="61"/>
      <c r="K35" s="75">
        <f t="shared" si="0"/>
        <v>2004</v>
      </c>
      <c r="L35" s="77">
        <v>5</v>
      </c>
      <c r="M35" s="76"/>
      <c r="N35" s="1">
        <v>15</v>
      </c>
    </row>
    <row r="36" spans="1:14">
      <c r="A36" s="47">
        <v>203031</v>
      </c>
      <c r="B36" s="1">
        <v>2</v>
      </c>
      <c r="C36" s="11" t="s">
        <v>3763</v>
      </c>
      <c r="D36" s="1">
        <v>400011</v>
      </c>
      <c r="E36">
        <v>52</v>
      </c>
      <c r="F36">
        <v>20800</v>
      </c>
      <c r="G36" s="63" t="s">
        <v>3004</v>
      </c>
      <c r="H36" s="64" t="s">
        <v>3005</v>
      </c>
      <c r="I36">
        <v>26</v>
      </c>
      <c r="J36" s="61"/>
      <c r="K36" s="75">
        <f t="shared" si="0"/>
        <v>2007</v>
      </c>
      <c r="L36" s="77">
        <v>8</v>
      </c>
      <c r="M36" s="76"/>
      <c r="N36" s="1">
        <v>15</v>
      </c>
    </row>
    <row r="37" spans="1:14">
      <c r="A37" s="47">
        <v>203032</v>
      </c>
      <c r="B37" s="1">
        <v>2</v>
      </c>
      <c r="C37" s="11" t="s">
        <v>3764</v>
      </c>
      <c r="D37" s="1">
        <v>400011</v>
      </c>
      <c r="E37">
        <v>70</v>
      </c>
      <c r="F37">
        <v>35000</v>
      </c>
      <c r="G37" s="63" t="s">
        <v>3004</v>
      </c>
      <c r="H37" s="64" t="s">
        <v>3005</v>
      </c>
      <c r="I37">
        <v>35</v>
      </c>
      <c r="J37" s="61"/>
      <c r="K37" s="75">
        <f t="shared" si="0"/>
        <v>2009</v>
      </c>
      <c r="L37" s="77">
        <v>10</v>
      </c>
      <c r="M37" s="76"/>
      <c r="N37" s="1">
        <v>15</v>
      </c>
    </row>
    <row r="38" spans="1:14">
      <c r="A38" s="47">
        <v>203033</v>
      </c>
      <c r="B38" s="1">
        <v>3</v>
      </c>
      <c r="C38" s="66" t="s">
        <v>3765</v>
      </c>
      <c r="D38" s="1">
        <v>400007</v>
      </c>
      <c r="E38">
        <v>44</v>
      </c>
      <c r="F38">
        <v>44000</v>
      </c>
      <c r="G38" s="63" t="s">
        <v>3004</v>
      </c>
      <c r="H38" s="64" t="s">
        <v>3005</v>
      </c>
      <c r="I38">
        <v>22</v>
      </c>
      <c r="J38" s="61"/>
      <c r="K38" s="75">
        <f t="shared" si="0"/>
        <v>3000</v>
      </c>
      <c r="L38" s="77">
        <v>1</v>
      </c>
      <c r="M38" s="76"/>
      <c r="N38" s="1">
        <v>10</v>
      </c>
    </row>
    <row r="39" spans="1:14">
      <c r="A39" s="47">
        <v>203034</v>
      </c>
      <c r="B39" s="1">
        <v>3</v>
      </c>
      <c r="C39" s="66" t="s">
        <v>3766</v>
      </c>
      <c r="D39" s="1">
        <v>400007</v>
      </c>
      <c r="E39">
        <v>55</v>
      </c>
      <c r="F39">
        <v>66000</v>
      </c>
      <c r="G39" s="63" t="s">
        <v>3004</v>
      </c>
      <c r="H39" s="64" t="s">
        <v>3005</v>
      </c>
      <c r="I39">
        <v>28</v>
      </c>
      <c r="J39" s="61"/>
      <c r="K39" s="75">
        <f t="shared" ref="K39:K57" si="1">B39*1000+L39-1</f>
        <v>3002</v>
      </c>
      <c r="L39" s="77">
        <v>3</v>
      </c>
      <c r="M39" s="76"/>
      <c r="N39" s="1">
        <v>10</v>
      </c>
    </row>
    <row r="40" spans="1:14">
      <c r="A40" s="47">
        <v>203035</v>
      </c>
      <c r="B40" s="1">
        <v>3</v>
      </c>
      <c r="C40" s="66" t="s">
        <v>3767</v>
      </c>
      <c r="D40" s="1">
        <v>400007</v>
      </c>
      <c r="E40">
        <v>67</v>
      </c>
      <c r="F40">
        <v>93800</v>
      </c>
      <c r="G40" s="63" t="s">
        <v>3004</v>
      </c>
      <c r="H40" s="64" t="s">
        <v>3005</v>
      </c>
      <c r="I40">
        <v>34</v>
      </c>
      <c r="J40" s="61"/>
      <c r="K40" s="75">
        <f t="shared" si="1"/>
        <v>3005</v>
      </c>
      <c r="L40" s="77">
        <v>6</v>
      </c>
      <c r="M40" s="76"/>
      <c r="N40" s="1">
        <v>10</v>
      </c>
    </row>
    <row r="41" spans="1:14">
      <c r="A41" s="47">
        <v>203036</v>
      </c>
      <c r="B41" s="1">
        <v>3</v>
      </c>
      <c r="C41" s="66" t="s">
        <v>3768</v>
      </c>
      <c r="D41" s="1">
        <v>400007</v>
      </c>
      <c r="E41">
        <v>89</v>
      </c>
      <c r="F41">
        <v>142400</v>
      </c>
      <c r="G41" s="63" t="s">
        <v>3004</v>
      </c>
      <c r="H41" s="64" t="s">
        <v>3005</v>
      </c>
      <c r="I41">
        <v>45</v>
      </c>
      <c r="J41" s="61"/>
      <c r="K41" s="75">
        <f t="shared" si="1"/>
        <v>3007</v>
      </c>
      <c r="L41" s="77">
        <v>8</v>
      </c>
      <c r="M41" s="76"/>
      <c r="N41" s="1">
        <v>10</v>
      </c>
    </row>
    <row r="42" spans="1:14">
      <c r="A42" s="47">
        <v>203037</v>
      </c>
      <c r="B42" s="1">
        <v>3</v>
      </c>
      <c r="C42" s="66" t="s">
        <v>3769</v>
      </c>
      <c r="D42" s="1">
        <v>400008</v>
      </c>
      <c r="E42">
        <v>44</v>
      </c>
      <c r="F42">
        <v>100000</v>
      </c>
      <c r="G42" s="63" t="s">
        <v>3004</v>
      </c>
      <c r="H42" s="64" t="s">
        <v>3005</v>
      </c>
      <c r="I42">
        <v>22</v>
      </c>
      <c r="J42" s="61"/>
      <c r="K42" s="75">
        <f t="shared" si="1"/>
        <v>3000</v>
      </c>
      <c r="L42" s="77">
        <v>1</v>
      </c>
      <c r="M42" s="76"/>
      <c r="N42" s="1">
        <v>10</v>
      </c>
    </row>
    <row r="43" spans="1:14">
      <c r="A43" s="47">
        <v>203038</v>
      </c>
      <c r="B43" s="1">
        <v>3</v>
      </c>
      <c r="C43" s="66" t="s">
        <v>3770</v>
      </c>
      <c r="D43" s="1">
        <v>400008</v>
      </c>
      <c r="E43">
        <v>55</v>
      </c>
      <c r="F43">
        <v>240000</v>
      </c>
      <c r="G43" s="63" t="s">
        <v>3004</v>
      </c>
      <c r="H43" s="64" t="s">
        <v>3005</v>
      </c>
      <c r="I43">
        <v>28</v>
      </c>
      <c r="J43" s="61"/>
      <c r="K43" s="75">
        <f t="shared" si="1"/>
        <v>3003</v>
      </c>
      <c r="L43" s="77">
        <v>4</v>
      </c>
      <c r="M43" s="76"/>
      <c r="N43" s="1">
        <v>10</v>
      </c>
    </row>
    <row r="44" spans="1:14">
      <c r="A44" s="47">
        <v>203039</v>
      </c>
      <c r="B44" s="1">
        <v>3</v>
      </c>
      <c r="C44" s="66" t="s">
        <v>3771</v>
      </c>
      <c r="D44" s="1">
        <v>400008</v>
      </c>
      <c r="E44">
        <v>67</v>
      </c>
      <c r="F44">
        <v>420000</v>
      </c>
      <c r="G44" s="63" t="s">
        <v>3004</v>
      </c>
      <c r="H44" s="64" t="s">
        <v>3005</v>
      </c>
      <c r="I44">
        <v>34</v>
      </c>
      <c r="J44" s="61"/>
      <c r="K44" s="75">
        <f t="shared" si="1"/>
        <v>3005</v>
      </c>
      <c r="L44" s="77">
        <v>6</v>
      </c>
      <c r="M44" s="76"/>
      <c r="N44" s="1">
        <v>10</v>
      </c>
    </row>
    <row r="45" spans="1:14">
      <c r="A45" s="47">
        <v>203040</v>
      </c>
      <c r="B45" s="1">
        <v>3</v>
      </c>
      <c r="C45" s="66" t="s">
        <v>3772</v>
      </c>
      <c r="D45" s="1">
        <v>400008</v>
      </c>
      <c r="E45">
        <v>89</v>
      </c>
      <c r="F45">
        <v>640000</v>
      </c>
      <c r="G45" s="63" t="s">
        <v>3004</v>
      </c>
      <c r="H45" s="64" t="s">
        <v>3005</v>
      </c>
      <c r="I45">
        <v>45</v>
      </c>
      <c r="J45" s="61"/>
      <c r="K45" s="75">
        <f t="shared" si="1"/>
        <v>3008</v>
      </c>
      <c r="L45" s="77">
        <v>9</v>
      </c>
      <c r="M45" s="76"/>
      <c r="N45" s="1">
        <v>10</v>
      </c>
    </row>
    <row r="46" spans="1:14">
      <c r="A46" s="47">
        <v>203041</v>
      </c>
      <c r="B46" s="1">
        <v>3</v>
      </c>
      <c r="C46" s="66" t="s">
        <v>3773</v>
      </c>
      <c r="D46" s="1">
        <v>400009</v>
      </c>
      <c r="E46">
        <v>44</v>
      </c>
      <c r="F46">
        <v>100000</v>
      </c>
      <c r="G46" s="63" t="s">
        <v>3004</v>
      </c>
      <c r="H46" s="64" t="s">
        <v>3005</v>
      </c>
      <c r="I46">
        <v>22</v>
      </c>
      <c r="J46" s="61"/>
      <c r="K46" s="75">
        <f t="shared" si="1"/>
        <v>3001</v>
      </c>
      <c r="L46" s="77">
        <v>2</v>
      </c>
      <c r="M46" s="76"/>
      <c r="N46" s="1">
        <v>10</v>
      </c>
    </row>
    <row r="47" spans="1:14">
      <c r="A47" s="47">
        <v>203042</v>
      </c>
      <c r="B47" s="1">
        <v>3</v>
      </c>
      <c r="C47" s="66" t="s">
        <v>3774</v>
      </c>
      <c r="D47" s="1">
        <v>400009</v>
      </c>
      <c r="E47">
        <v>55</v>
      </c>
      <c r="F47">
        <v>240000</v>
      </c>
      <c r="G47" s="63" t="s">
        <v>3004</v>
      </c>
      <c r="H47" s="64" t="s">
        <v>3005</v>
      </c>
      <c r="I47">
        <v>28</v>
      </c>
      <c r="J47" s="61"/>
      <c r="K47" s="75">
        <f t="shared" si="1"/>
        <v>3003</v>
      </c>
      <c r="L47" s="77">
        <v>4</v>
      </c>
      <c r="M47" s="76"/>
      <c r="N47" s="1">
        <v>10</v>
      </c>
    </row>
    <row r="48" spans="1:14">
      <c r="A48" s="47">
        <v>203043</v>
      </c>
      <c r="B48" s="1">
        <v>3</v>
      </c>
      <c r="C48" s="66" t="s">
        <v>3775</v>
      </c>
      <c r="D48" s="1">
        <v>400009</v>
      </c>
      <c r="E48">
        <v>67</v>
      </c>
      <c r="F48">
        <v>420000</v>
      </c>
      <c r="G48" s="63" t="s">
        <v>3004</v>
      </c>
      <c r="H48" s="64" t="s">
        <v>3005</v>
      </c>
      <c r="I48">
        <v>34</v>
      </c>
      <c r="J48" s="61"/>
      <c r="K48" s="75">
        <f t="shared" si="1"/>
        <v>3006</v>
      </c>
      <c r="L48" s="77">
        <v>7</v>
      </c>
      <c r="M48" s="76"/>
      <c r="N48" s="1">
        <v>10</v>
      </c>
    </row>
    <row r="49" spans="1:14">
      <c r="A49" s="47">
        <v>203044</v>
      </c>
      <c r="B49" s="1">
        <v>3</v>
      </c>
      <c r="C49" s="66" t="s">
        <v>3776</v>
      </c>
      <c r="D49" s="1">
        <v>400009</v>
      </c>
      <c r="E49">
        <v>89</v>
      </c>
      <c r="F49">
        <v>640000</v>
      </c>
      <c r="G49" s="63" t="s">
        <v>3004</v>
      </c>
      <c r="H49" s="64" t="s">
        <v>3005</v>
      </c>
      <c r="I49">
        <v>45</v>
      </c>
      <c r="J49" s="61"/>
      <c r="K49" s="75">
        <f t="shared" si="1"/>
        <v>3008</v>
      </c>
      <c r="L49" s="77">
        <v>9</v>
      </c>
      <c r="M49" s="76"/>
      <c r="N49" s="1">
        <v>10</v>
      </c>
    </row>
    <row r="50" spans="1:14">
      <c r="A50" s="47">
        <v>203045</v>
      </c>
      <c r="B50" s="1">
        <v>3</v>
      </c>
      <c r="C50" s="66" t="s">
        <v>3777</v>
      </c>
      <c r="D50" s="1">
        <v>400010</v>
      </c>
      <c r="E50">
        <v>44</v>
      </c>
      <c r="F50">
        <v>100000</v>
      </c>
      <c r="G50" s="63" t="s">
        <v>3004</v>
      </c>
      <c r="H50" s="64" t="s">
        <v>3005</v>
      </c>
      <c r="I50">
        <v>22</v>
      </c>
      <c r="J50" s="61"/>
      <c r="K50" s="75">
        <f t="shared" si="1"/>
        <v>3001</v>
      </c>
      <c r="L50" s="77">
        <v>2</v>
      </c>
      <c r="M50" s="76"/>
      <c r="N50" s="1">
        <v>10</v>
      </c>
    </row>
    <row r="51" spans="1:14">
      <c r="A51" s="47">
        <v>203046</v>
      </c>
      <c r="B51" s="1">
        <v>3</v>
      </c>
      <c r="C51" s="66" t="s">
        <v>3778</v>
      </c>
      <c r="D51" s="1">
        <v>400010</v>
      </c>
      <c r="E51">
        <v>55</v>
      </c>
      <c r="F51">
        <v>240000</v>
      </c>
      <c r="G51" s="63" t="s">
        <v>3004</v>
      </c>
      <c r="H51" s="64" t="s">
        <v>3005</v>
      </c>
      <c r="I51">
        <v>28</v>
      </c>
      <c r="J51" s="61"/>
      <c r="K51" s="75">
        <f t="shared" si="1"/>
        <v>3004</v>
      </c>
      <c r="L51" s="77">
        <v>5</v>
      </c>
      <c r="M51" s="76"/>
      <c r="N51" s="1">
        <v>10</v>
      </c>
    </row>
    <row r="52" spans="1:14">
      <c r="A52" s="47">
        <v>203047</v>
      </c>
      <c r="B52" s="1">
        <v>3</v>
      </c>
      <c r="C52" s="66" t="s">
        <v>3779</v>
      </c>
      <c r="D52" s="1">
        <v>400010</v>
      </c>
      <c r="E52">
        <v>67</v>
      </c>
      <c r="F52">
        <v>420000</v>
      </c>
      <c r="G52" s="63" t="s">
        <v>3004</v>
      </c>
      <c r="H52" s="64" t="s">
        <v>3005</v>
      </c>
      <c r="I52">
        <v>34</v>
      </c>
      <c r="J52" s="61"/>
      <c r="K52" s="75">
        <f t="shared" si="1"/>
        <v>3006</v>
      </c>
      <c r="L52" s="77">
        <v>7</v>
      </c>
      <c r="M52" s="76"/>
      <c r="N52" s="1">
        <v>10</v>
      </c>
    </row>
    <row r="53" spans="1:14">
      <c r="A53" s="47">
        <v>203048</v>
      </c>
      <c r="B53" s="1">
        <v>3</v>
      </c>
      <c r="C53" s="66" t="s">
        <v>3780</v>
      </c>
      <c r="D53" s="1">
        <v>400010</v>
      </c>
      <c r="E53">
        <v>89</v>
      </c>
      <c r="F53">
        <v>640000</v>
      </c>
      <c r="G53" s="63" t="s">
        <v>3004</v>
      </c>
      <c r="H53" s="64" t="s">
        <v>3005</v>
      </c>
      <c r="I53">
        <v>45</v>
      </c>
      <c r="J53" s="61"/>
      <c r="K53" s="75">
        <f t="shared" si="1"/>
        <v>3009</v>
      </c>
      <c r="L53" s="77">
        <v>10</v>
      </c>
      <c r="M53" s="76"/>
      <c r="N53" s="1">
        <v>10</v>
      </c>
    </row>
    <row r="54" spans="1:14">
      <c r="A54" s="47">
        <v>203049</v>
      </c>
      <c r="B54" s="1">
        <v>3</v>
      </c>
      <c r="C54" s="66" t="s">
        <v>3781</v>
      </c>
      <c r="D54" s="1">
        <v>400011</v>
      </c>
      <c r="E54">
        <v>44</v>
      </c>
      <c r="F54">
        <v>100000</v>
      </c>
      <c r="G54" s="63" t="s">
        <v>3004</v>
      </c>
      <c r="H54" s="64" t="s">
        <v>3005</v>
      </c>
      <c r="I54">
        <v>22</v>
      </c>
      <c r="J54" s="61"/>
      <c r="K54" s="75">
        <f t="shared" si="1"/>
        <v>3002</v>
      </c>
      <c r="L54" s="77">
        <v>3</v>
      </c>
      <c r="M54" s="76"/>
      <c r="N54" s="1">
        <v>10</v>
      </c>
    </row>
    <row r="55" spans="1:14">
      <c r="A55" s="47">
        <v>203050</v>
      </c>
      <c r="B55" s="1">
        <v>3</v>
      </c>
      <c r="C55" s="66" t="s">
        <v>3782</v>
      </c>
      <c r="D55" s="1">
        <v>400011</v>
      </c>
      <c r="E55">
        <v>55</v>
      </c>
      <c r="F55">
        <v>240000</v>
      </c>
      <c r="G55" s="63" t="s">
        <v>3004</v>
      </c>
      <c r="H55" s="64" t="s">
        <v>3005</v>
      </c>
      <c r="I55">
        <v>28</v>
      </c>
      <c r="J55" s="61"/>
      <c r="K55" s="75">
        <f t="shared" si="1"/>
        <v>3004</v>
      </c>
      <c r="L55" s="77">
        <v>5</v>
      </c>
      <c r="M55" s="76"/>
      <c r="N55" s="1">
        <v>10</v>
      </c>
    </row>
    <row r="56" spans="1:14">
      <c r="A56" s="47">
        <v>203051</v>
      </c>
      <c r="B56" s="1">
        <v>3</v>
      </c>
      <c r="C56" s="66" t="s">
        <v>3783</v>
      </c>
      <c r="D56" s="1">
        <v>400011</v>
      </c>
      <c r="E56">
        <v>67</v>
      </c>
      <c r="F56">
        <v>420000</v>
      </c>
      <c r="G56" s="63" t="s">
        <v>3004</v>
      </c>
      <c r="H56" s="64" t="s">
        <v>3005</v>
      </c>
      <c r="I56">
        <v>34</v>
      </c>
      <c r="J56" s="61"/>
      <c r="K56" s="75">
        <f t="shared" si="1"/>
        <v>3007</v>
      </c>
      <c r="L56" s="77">
        <v>8</v>
      </c>
      <c r="M56" s="76"/>
      <c r="N56" s="1">
        <v>10</v>
      </c>
    </row>
    <row r="57" spans="1:14">
      <c r="A57" s="47">
        <v>203052</v>
      </c>
      <c r="B57" s="1">
        <v>3</v>
      </c>
      <c r="C57" s="66" t="s">
        <v>3784</v>
      </c>
      <c r="D57" s="1">
        <v>400011</v>
      </c>
      <c r="E57">
        <v>89</v>
      </c>
      <c r="F57">
        <v>640000</v>
      </c>
      <c r="G57" s="63" t="s">
        <v>3004</v>
      </c>
      <c r="H57" s="64" t="s">
        <v>3005</v>
      </c>
      <c r="I57">
        <v>45</v>
      </c>
      <c r="J57" s="61"/>
      <c r="K57" s="75">
        <f t="shared" si="1"/>
        <v>3009</v>
      </c>
      <c r="L57" s="77">
        <v>10</v>
      </c>
      <c r="M57" s="76"/>
      <c r="N57" s="1">
        <v>10</v>
      </c>
    </row>
    <row r="58" spans="1:14">
      <c r="A58" s="47">
        <v>203053</v>
      </c>
      <c r="B58">
        <v>4</v>
      </c>
      <c r="C58" s="67" t="s">
        <v>3785</v>
      </c>
      <c r="D58" s="1">
        <v>400007</v>
      </c>
      <c r="E58">
        <v>62</v>
      </c>
      <c r="F58">
        <v>40300</v>
      </c>
      <c r="G58" s="63" t="s">
        <v>3004</v>
      </c>
      <c r="H58" s="64" t="s">
        <v>3005</v>
      </c>
      <c r="I58">
        <v>31</v>
      </c>
      <c r="K58" s="75">
        <f t="shared" ref="K58:K77" si="2">B58*1000+L58-1</f>
        <v>4000</v>
      </c>
      <c r="L58" s="78">
        <v>1</v>
      </c>
      <c r="N58" s="1">
        <v>10</v>
      </c>
    </row>
    <row r="59" spans="1:14">
      <c r="A59" s="47">
        <v>203054</v>
      </c>
      <c r="B59">
        <v>4</v>
      </c>
      <c r="C59" s="67" t="s">
        <v>3786</v>
      </c>
      <c r="D59" s="1">
        <v>400007</v>
      </c>
      <c r="E59">
        <v>77</v>
      </c>
      <c r="F59">
        <v>74690</v>
      </c>
      <c r="G59" s="63" t="s">
        <v>3004</v>
      </c>
      <c r="H59" s="64" t="s">
        <v>3005</v>
      </c>
      <c r="I59">
        <v>39</v>
      </c>
      <c r="K59" s="75">
        <f t="shared" si="2"/>
        <v>4002</v>
      </c>
      <c r="L59" s="78">
        <v>3</v>
      </c>
      <c r="N59" s="1">
        <v>10</v>
      </c>
    </row>
    <row r="60" spans="1:14">
      <c r="A60" s="47">
        <v>203055</v>
      </c>
      <c r="B60">
        <v>4</v>
      </c>
      <c r="C60" s="67" t="s">
        <v>3787</v>
      </c>
      <c r="D60" s="1">
        <v>400007</v>
      </c>
      <c r="E60">
        <v>93</v>
      </c>
      <c r="F60">
        <v>120900</v>
      </c>
      <c r="G60" s="63" t="s">
        <v>3004</v>
      </c>
      <c r="H60" s="64" t="s">
        <v>3005</v>
      </c>
      <c r="I60">
        <v>47</v>
      </c>
      <c r="K60" s="75">
        <f t="shared" si="2"/>
        <v>4005</v>
      </c>
      <c r="L60" s="78">
        <v>6</v>
      </c>
      <c r="N60" s="1">
        <v>10</v>
      </c>
    </row>
    <row r="61" spans="1:14">
      <c r="A61" s="47">
        <v>203056</v>
      </c>
      <c r="B61">
        <v>4</v>
      </c>
      <c r="C61" s="67" t="s">
        <v>3788</v>
      </c>
      <c r="D61" s="1">
        <v>400007</v>
      </c>
      <c r="E61">
        <v>123</v>
      </c>
      <c r="F61">
        <v>199260</v>
      </c>
      <c r="G61" s="63" t="s">
        <v>3004</v>
      </c>
      <c r="H61" s="64" t="s">
        <v>3005</v>
      </c>
      <c r="I61">
        <v>62</v>
      </c>
      <c r="K61" s="75">
        <f t="shared" si="2"/>
        <v>4007</v>
      </c>
      <c r="L61" s="78">
        <v>8</v>
      </c>
      <c r="N61" s="1">
        <v>10</v>
      </c>
    </row>
    <row r="62" spans="1:14">
      <c r="A62" s="47">
        <v>203057</v>
      </c>
      <c r="B62">
        <v>4</v>
      </c>
      <c r="C62" s="67" t="s">
        <v>3789</v>
      </c>
      <c r="D62" s="1">
        <v>400008</v>
      </c>
      <c r="E62">
        <v>62</v>
      </c>
      <c r="F62">
        <v>65000</v>
      </c>
      <c r="G62" s="63" t="s">
        <v>3004</v>
      </c>
      <c r="H62" s="64" t="s">
        <v>3005</v>
      </c>
      <c r="I62">
        <v>31</v>
      </c>
      <c r="K62" s="75">
        <f t="shared" si="2"/>
        <v>4000</v>
      </c>
      <c r="L62" s="78">
        <v>1</v>
      </c>
      <c r="N62" s="1">
        <v>10</v>
      </c>
    </row>
    <row r="63" spans="1:14">
      <c r="A63" s="47">
        <v>203058</v>
      </c>
      <c r="B63">
        <v>4</v>
      </c>
      <c r="C63" s="67" t="s">
        <v>3790</v>
      </c>
      <c r="D63" s="1">
        <v>400008</v>
      </c>
      <c r="E63">
        <v>77</v>
      </c>
      <c r="F63">
        <v>194000</v>
      </c>
      <c r="G63" s="63" t="s">
        <v>3004</v>
      </c>
      <c r="H63" s="64" t="s">
        <v>3005</v>
      </c>
      <c r="I63">
        <v>39</v>
      </c>
      <c r="K63" s="75">
        <f t="shared" si="2"/>
        <v>4003</v>
      </c>
      <c r="L63" s="78">
        <v>4</v>
      </c>
      <c r="N63" s="1">
        <v>10</v>
      </c>
    </row>
    <row r="64" spans="1:14">
      <c r="A64" s="47">
        <v>203059</v>
      </c>
      <c r="B64">
        <v>4</v>
      </c>
      <c r="C64" s="67" t="s">
        <v>3791</v>
      </c>
      <c r="D64" s="1">
        <v>400008</v>
      </c>
      <c r="E64">
        <v>93</v>
      </c>
      <c r="F64">
        <v>390000</v>
      </c>
      <c r="G64" s="63" t="s">
        <v>3004</v>
      </c>
      <c r="H64" s="64" t="s">
        <v>3005</v>
      </c>
      <c r="I64">
        <v>47</v>
      </c>
      <c r="K64" s="75">
        <f t="shared" si="2"/>
        <v>4005</v>
      </c>
      <c r="L64" s="78">
        <v>6</v>
      </c>
      <c r="N64" s="1">
        <v>10</v>
      </c>
    </row>
    <row r="65" spans="1:14">
      <c r="A65" s="47">
        <v>203060</v>
      </c>
      <c r="B65">
        <v>4</v>
      </c>
      <c r="C65" s="67" t="s">
        <v>3792</v>
      </c>
      <c r="D65" s="1">
        <v>400008</v>
      </c>
      <c r="E65">
        <v>123</v>
      </c>
      <c r="F65">
        <v>648000</v>
      </c>
      <c r="G65" s="63" t="s">
        <v>3004</v>
      </c>
      <c r="H65" s="64" t="s">
        <v>3005</v>
      </c>
      <c r="I65">
        <v>62</v>
      </c>
      <c r="K65" s="75">
        <f t="shared" si="2"/>
        <v>4008</v>
      </c>
      <c r="L65" s="78">
        <v>9</v>
      </c>
      <c r="N65" s="1">
        <v>10</v>
      </c>
    </row>
    <row r="66" spans="1:14">
      <c r="A66" s="47">
        <v>203061</v>
      </c>
      <c r="B66">
        <v>4</v>
      </c>
      <c r="C66" s="67" t="s">
        <v>3793</v>
      </c>
      <c r="D66" s="1">
        <v>400009</v>
      </c>
      <c r="E66">
        <v>62</v>
      </c>
      <c r="F66">
        <v>65000</v>
      </c>
      <c r="G66" s="63" t="s">
        <v>3004</v>
      </c>
      <c r="H66" s="64" t="s">
        <v>3005</v>
      </c>
      <c r="I66">
        <v>31</v>
      </c>
      <c r="K66" s="75">
        <f t="shared" si="2"/>
        <v>4001</v>
      </c>
      <c r="L66" s="78">
        <v>2</v>
      </c>
      <c r="N66" s="1">
        <v>10</v>
      </c>
    </row>
    <row r="67" spans="1:14">
      <c r="A67" s="47">
        <v>203062</v>
      </c>
      <c r="B67">
        <v>4</v>
      </c>
      <c r="C67" s="67" t="s">
        <v>3794</v>
      </c>
      <c r="D67" s="1">
        <v>400009</v>
      </c>
      <c r="E67">
        <v>77</v>
      </c>
      <c r="F67">
        <v>194000</v>
      </c>
      <c r="G67" s="63" t="s">
        <v>3004</v>
      </c>
      <c r="H67" s="64" t="s">
        <v>3005</v>
      </c>
      <c r="I67">
        <v>39</v>
      </c>
      <c r="K67" s="75">
        <f t="shared" si="2"/>
        <v>4003</v>
      </c>
      <c r="L67" s="78">
        <v>4</v>
      </c>
      <c r="N67" s="1">
        <v>10</v>
      </c>
    </row>
    <row r="68" spans="1:14">
      <c r="A68" s="47">
        <v>203063</v>
      </c>
      <c r="B68">
        <v>4</v>
      </c>
      <c r="C68" s="67" t="s">
        <v>3795</v>
      </c>
      <c r="D68" s="1">
        <v>400009</v>
      </c>
      <c r="E68">
        <v>93</v>
      </c>
      <c r="F68">
        <v>390000</v>
      </c>
      <c r="G68" s="63" t="s">
        <v>3004</v>
      </c>
      <c r="H68" s="64" t="s">
        <v>3005</v>
      </c>
      <c r="I68">
        <v>47</v>
      </c>
      <c r="K68" s="75">
        <f t="shared" si="2"/>
        <v>4006</v>
      </c>
      <c r="L68" s="78">
        <v>7</v>
      </c>
      <c r="N68" s="1">
        <v>10</v>
      </c>
    </row>
    <row r="69" spans="1:14">
      <c r="A69" s="47">
        <v>203064</v>
      </c>
      <c r="B69">
        <v>4</v>
      </c>
      <c r="C69" s="67" t="s">
        <v>3796</v>
      </c>
      <c r="D69" s="1">
        <v>400009</v>
      </c>
      <c r="E69">
        <v>123</v>
      </c>
      <c r="F69">
        <v>648000</v>
      </c>
      <c r="G69" s="63" t="s">
        <v>3004</v>
      </c>
      <c r="H69" s="64" t="s">
        <v>3005</v>
      </c>
      <c r="I69">
        <v>62</v>
      </c>
      <c r="K69" s="75">
        <f t="shared" si="2"/>
        <v>4008</v>
      </c>
      <c r="L69" s="78">
        <v>9</v>
      </c>
      <c r="N69" s="1">
        <v>10</v>
      </c>
    </row>
    <row r="70" spans="1:14">
      <c r="A70" s="47">
        <v>203065</v>
      </c>
      <c r="B70">
        <v>4</v>
      </c>
      <c r="C70" s="67" t="s">
        <v>3797</v>
      </c>
      <c r="D70" s="1">
        <v>400010</v>
      </c>
      <c r="E70">
        <v>62</v>
      </c>
      <c r="F70">
        <v>65000</v>
      </c>
      <c r="G70" s="63" t="s">
        <v>3004</v>
      </c>
      <c r="H70" s="64" t="s">
        <v>3005</v>
      </c>
      <c r="I70">
        <v>31</v>
      </c>
      <c r="K70" s="75">
        <f t="shared" si="2"/>
        <v>4001</v>
      </c>
      <c r="L70" s="78">
        <v>2</v>
      </c>
      <c r="N70" s="1">
        <v>10</v>
      </c>
    </row>
    <row r="71" spans="1:14">
      <c r="A71" s="47">
        <v>203066</v>
      </c>
      <c r="B71">
        <v>4</v>
      </c>
      <c r="C71" s="67" t="s">
        <v>3798</v>
      </c>
      <c r="D71" s="1">
        <v>400010</v>
      </c>
      <c r="E71">
        <v>77</v>
      </c>
      <c r="F71">
        <v>194000</v>
      </c>
      <c r="G71" s="63" t="s">
        <v>3004</v>
      </c>
      <c r="H71" s="64" t="s">
        <v>3005</v>
      </c>
      <c r="I71">
        <v>39</v>
      </c>
      <c r="K71" s="75">
        <f t="shared" si="2"/>
        <v>4004</v>
      </c>
      <c r="L71" s="78">
        <v>5</v>
      </c>
      <c r="N71" s="1">
        <v>10</v>
      </c>
    </row>
    <row r="72" spans="1:14">
      <c r="A72" s="47">
        <v>203067</v>
      </c>
      <c r="B72">
        <v>4</v>
      </c>
      <c r="C72" s="67" t="s">
        <v>3799</v>
      </c>
      <c r="D72" s="1">
        <v>400010</v>
      </c>
      <c r="E72">
        <v>93</v>
      </c>
      <c r="F72">
        <v>390000</v>
      </c>
      <c r="G72" s="63" t="s">
        <v>3004</v>
      </c>
      <c r="H72" s="64" t="s">
        <v>3005</v>
      </c>
      <c r="I72">
        <v>47</v>
      </c>
      <c r="K72" s="75">
        <f t="shared" si="2"/>
        <v>4006</v>
      </c>
      <c r="L72" s="78">
        <v>7</v>
      </c>
      <c r="N72" s="1">
        <v>10</v>
      </c>
    </row>
    <row r="73" spans="1:14">
      <c r="A73" s="47">
        <v>203068</v>
      </c>
      <c r="B73">
        <v>4</v>
      </c>
      <c r="C73" s="67" t="s">
        <v>3800</v>
      </c>
      <c r="D73" s="1">
        <v>400010</v>
      </c>
      <c r="E73">
        <v>123</v>
      </c>
      <c r="F73">
        <v>648000</v>
      </c>
      <c r="G73" s="63" t="s">
        <v>3004</v>
      </c>
      <c r="H73" s="64" t="s">
        <v>3005</v>
      </c>
      <c r="I73">
        <v>62</v>
      </c>
      <c r="K73" s="75">
        <f t="shared" si="2"/>
        <v>4009</v>
      </c>
      <c r="L73" s="78">
        <v>10</v>
      </c>
      <c r="N73" s="1">
        <v>10</v>
      </c>
    </row>
    <row r="74" spans="1:14">
      <c r="A74" s="47">
        <v>203069</v>
      </c>
      <c r="B74">
        <v>4</v>
      </c>
      <c r="C74" s="67" t="s">
        <v>3801</v>
      </c>
      <c r="D74" s="1">
        <v>400011</v>
      </c>
      <c r="E74">
        <v>62</v>
      </c>
      <c r="F74">
        <v>65000</v>
      </c>
      <c r="G74" s="63" t="s">
        <v>3004</v>
      </c>
      <c r="H74" s="64" t="s">
        <v>3005</v>
      </c>
      <c r="I74">
        <v>31</v>
      </c>
      <c r="K74" s="75">
        <f t="shared" si="2"/>
        <v>4002</v>
      </c>
      <c r="L74" s="78">
        <v>3</v>
      </c>
      <c r="N74" s="1">
        <v>10</v>
      </c>
    </row>
    <row r="75" spans="1:14">
      <c r="A75" s="47">
        <v>203070</v>
      </c>
      <c r="B75">
        <v>4</v>
      </c>
      <c r="C75" s="67" t="s">
        <v>3802</v>
      </c>
      <c r="D75" s="1">
        <v>400011</v>
      </c>
      <c r="E75">
        <v>77</v>
      </c>
      <c r="F75">
        <v>194000</v>
      </c>
      <c r="G75" s="63" t="s">
        <v>3004</v>
      </c>
      <c r="H75" s="64" t="s">
        <v>3005</v>
      </c>
      <c r="I75">
        <v>39</v>
      </c>
      <c r="K75" s="75">
        <f t="shared" si="2"/>
        <v>4004</v>
      </c>
      <c r="L75" s="78">
        <v>5</v>
      </c>
      <c r="N75" s="1">
        <v>10</v>
      </c>
    </row>
    <row r="76" spans="1:14">
      <c r="A76" s="47">
        <v>203071</v>
      </c>
      <c r="B76">
        <v>4</v>
      </c>
      <c r="C76" s="67" t="s">
        <v>3803</v>
      </c>
      <c r="D76" s="1">
        <v>400011</v>
      </c>
      <c r="E76">
        <v>93</v>
      </c>
      <c r="F76">
        <v>390000</v>
      </c>
      <c r="G76" s="63" t="s">
        <v>3004</v>
      </c>
      <c r="H76" s="64" t="s">
        <v>3005</v>
      </c>
      <c r="I76">
        <v>47</v>
      </c>
      <c r="K76" s="75">
        <f t="shared" si="2"/>
        <v>4007</v>
      </c>
      <c r="L76" s="78">
        <v>8</v>
      </c>
      <c r="N76" s="1">
        <v>10</v>
      </c>
    </row>
    <row r="77" spans="1:14">
      <c r="A77" s="47">
        <v>203072</v>
      </c>
      <c r="B77">
        <v>4</v>
      </c>
      <c r="C77" s="67" t="s">
        <v>3804</v>
      </c>
      <c r="D77" s="1">
        <v>400011</v>
      </c>
      <c r="E77">
        <v>123</v>
      </c>
      <c r="F77">
        <v>648000</v>
      </c>
      <c r="G77" s="63" t="s">
        <v>3004</v>
      </c>
      <c r="H77" s="64" t="s">
        <v>3005</v>
      </c>
      <c r="I77">
        <v>62</v>
      </c>
      <c r="K77" s="75">
        <f t="shared" si="2"/>
        <v>4009</v>
      </c>
      <c r="L77" s="78">
        <v>10</v>
      </c>
      <c r="N77" s="1">
        <v>10</v>
      </c>
    </row>
    <row r="78" spans="1:4">
      <c r="A78" s="47"/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</sheetData>
  <conditionalFormatting sqref="A1:A5">
    <cfRule type="duplicateValues" dxfId="9" priority="8"/>
  </conditionalFormatting>
  <conditionalFormatting sqref="A6:A78">
    <cfRule type="duplicateValues" dxfId="9" priority="1"/>
  </conditionalFormatting>
  <conditionalFormatting sqref="C6:C27">
    <cfRule type="duplicateValues" dxfId="9" priority="2"/>
    <cfRule type="duplicateValues" dxfId="9" priority="3"/>
  </conditionalFormatting>
  <conditionalFormatting sqref="C28:C33 C38:C41">
    <cfRule type="duplicateValues" dxfId="9" priority="4"/>
  </conditionalFormatting>
  <pageMargins left="0.7" right="0.7" top="0.75" bottom="0.75" header="0.3" footer="0.3"/>
  <pageSetup paperSize="9" orientation="portrait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P39"/>
  <sheetViews>
    <sheetView workbookViewId="0">
      <selection activeCell="I21" sqref="I21"/>
    </sheetView>
  </sheetViews>
  <sheetFormatPr defaultColWidth="9" defaultRowHeight="15"/>
  <cols>
    <col min="1" max="1" width="8" style="45" customWidth="1"/>
    <col min="2" max="3" width="11.1238938053097" style="45" customWidth="1"/>
    <col min="4" max="4" width="10.3716814159292" style="45" customWidth="1"/>
    <col min="5" max="5" width="13.1238938053097" style="45" customWidth="1"/>
    <col min="6" max="6" width="16" style="46" customWidth="1"/>
    <col min="7" max="7" width="15.8761061946903" style="46" customWidth="1"/>
    <col min="8" max="11" width="9" style="47"/>
    <col min="12" max="12" width="9" style="46"/>
    <col min="13" max="13" width="10.3716814159292" style="46" customWidth="1"/>
    <col min="14" max="16" width="9" style="46"/>
    <col min="17" max="16384" width="9" style="47"/>
  </cols>
  <sheetData>
    <row r="1" spans="1:11">
      <c r="A1" s="48" t="s">
        <v>3805</v>
      </c>
      <c r="B1" s="48"/>
      <c r="C1" s="48"/>
      <c r="D1" s="48"/>
      <c r="E1" s="48"/>
      <c r="H1" s="46"/>
      <c r="I1" s="46"/>
      <c r="J1" s="46"/>
      <c r="K1" s="46"/>
    </row>
    <row r="2" ht="30" spans="1:16">
      <c r="A2" s="45" t="s">
        <v>2760</v>
      </c>
      <c r="B2" s="45" t="s">
        <v>3806</v>
      </c>
      <c r="C2" s="45" t="s">
        <v>1508</v>
      </c>
      <c r="E2" s="45" t="s">
        <v>3807</v>
      </c>
      <c r="F2" s="49" t="s">
        <v>3808</v>
      </c>
      <c r="G2" s="49" t="s">
        <v>3809</v>
      </c>
      <c r="H2" s="49"/>
      <c r="I2" s="49"/>
      <c r="J2" s="49"/>
      <c r="K2" s="49"/>
      <c r="L2" s="49"/>
      <c r="M2" s="49"/>
      <c r="N2" s="49"/>
      <c r="O2" s="49"/>
      <c r="P2" s="49"/>
    </row>
    <row r="3" spans="1:11">
      <c r="A3" s="45" t="s">
        <v>109</v>
      </c>
      <c r="B3" s="45" t="s">
        <v>109</v>
      </c>
      <c r="C3" s="45" t="s">
        <v>109</v>
      </c>
      <c r="E3" s="45" t="s">
        <v>109</v>
      </c>
      <c r="F3" s="45" t="s">
        <v>109</v>
      </c>
      <c r="G3" s="45" t="s">
        <v>109</v>
      </c>
      <c r="H3" s="46"/>
      <c r="I3" s="46"/>
      <c r="J3" s="46"/>
      <c r="K3" s="46"/>
    </row>
    <row r="4" ht="30" spans="1:11">
      <c r="A4" s="45" t="s">
        <v>62</v>
      </c>
      <c r="B4" s="45" t="s">
        <v>3810</v>
      </c>
      <c r="C4" s="45" t="s">
        <v>1521</v>
      </c>
      <c r="E4" s="45" t="s">
        <v>2801</v>
      </c>
      <c r="F4" s="46" t="s">
        <v>3811</v>
      </c>
      <c r="G4" s="46" t="s">
        <v>3812</v>
      </c>
      <c r="H4" s="46"/>
      <c r="I4" s="46"/>
      <c r="J4" s="46"/>
      <c r="K4" s="46"/>
    </row>
    <row r="5" ht="30" spans="1:11">
      <c r="A5" s="45" t="s">
        <v>62</v>
      </c>
      <c r="B5" s="45" t="s">
        <v>3810</v>
      </c>
      <c r="C5" s="45" t="s">
        <v>1521</v>
      </c>
      <c r="E5" s="45" t="s">
        <v>2801</v>
      </c>
      <c r="F5" s="46" t="s">
        <v>3811</v>
      </c>
      <c r="G5" s="46" t="s">
        <v>3812</v>
      </c>
      <c r="H5" s="46"/>
      <c r="I5" s="46"/>
      <c r="J5" s="46"/>
      <c r="K5" s="46"/>
    </row>
    <row r="6" spans="1:16">
      <c r="A6" s="45">
        <f>B6*1000+C6*100+E6</f>
        <v>1101</v>
      </c>
      <c r="B6" s="45">
        <v>1</v>
      </c>
      <c r="C6" s="45">
        <v>1</v>
      </c>
      <c r="D6" s="46" t="str">
        <f>"凡人难度"&amp;C6</f>
        <v>凡人难度1</v>
      </c>
      <c r="E6" s="46">
        <v>1</v>
      </c>
      <c r="F6" s="46">
        <v>1</v>
      </c>
      <c r="G6" s="46">
        <v>1</v>
      </c>
      <c r="H6" s="46"/>
      <c r="I6" s="46"/>
      <c r="J6" s="45">
        <f>K6*1000+L6*100+N6</f>
        <v>4101</v>
      </c>
      <c r="K6" s="45">
        <v>4</v>
      </c>
      <c r="L6" s="45">
        <v>1</v>
      </c>
      <c r="M6" s="46" t="str">
        <f>"金丹难度"&amp;L6</f>
        <v>金丹难度1</v>
      </c>
      <c r="N6" s="45">
        <v>1</v>
      </c>
      <c r="O6" s="46">
        <v>9</v>
      </c>
      <c r="P6" s="46">
        <v>10</v>
      </c>
    </row>
    <row r="7" spans="1:16">
      <c r="A7" s="45">
        <f>B7*1000+C7*100+E7</f>
        <v>1201</v>
      </c>
      <c r="B7" s="45">
        <v>1</v>
      </c>
      <c r="C7" s="45">
        <v>2</v>
      </c>
      <c r="D7" s="46" t="str">
        <f>"凡人难度"&amp;C7</f>
        <v>凡人难度2</v>
      </c>
      <c r="E7" s="46">
        <v>1</v>
      </c>
      <c r="F7" s="46">
        <v>1</v>
      </c>
      <c r="G7" s="46">
        <v>1</v>
      </c>
      <c r="H7" s="46"/>
      <c r="I7" s="46"/>
      <c r="J7" s="45">
        <f t="shared" ref="J7:J27" si="0">K7*1000+L7*100+N7</f>
        <v>4102</v>
      </c>
      <c r="K7" s="45">
        <v>4</v>
      </c>
      <c r="L7" s="45">
        <v>1</v>
      </c>
      <c r="M7" s="46" t="str">
        <f>"金丹难度"&amp;L7</f>
        <v>金丹难度1</v>
      </c>
      <c r="N7" s="45">
        <v>2</v>
      </c>
      <c r="O7" s="46">
        <v>7</v>
      </c>
      <c r="P7" s="46">
        <v>8</v>
      </c>
    </row>
    <row r="8" spans="1:16">
      <c r="A8" s="45">
        <f>B8*1000+C8*100+E8</f>
        <v>1301</v>
      </c>
      <c r="B8" s="45">
        <v>1</v>
      </c>
      <c r="C8" s="45">
        <v>3</v>
      </c>
      <c r="D8" s="46" t="str">
        <f>"凡人难度"&amp;C8</f>
        <v>凡人难度3</v>
      </c>
      <c r="E8" s="46">
        <v>1</v>
      </c>
      <c r="F8" s="46">
        <v>1</v>
      </c>
      <c r="G8" s="46">
        <v>1</v>
      </c>
      <c r="H8" s="46"/>
      <c r="I8" s="46"/>
      <c r="J8" s="45">
        <f t="shared" si="0"/>
        <v>4103</v>
      </c>
      <c r="K8" s="45">
        <v>4</v>
      </c>
      <c r="L8" s="45">
        <v>1</v>
      </c>
      <c r="M8" s="46" t="str">
        <f>"金丹难度"&amp;L8</f>
        <v>金丹难度1</v>
      </c>
      <c r="N8" s="45">
        <v>3</v>
      </c>
      <c r="O8" s="46">
        <v>4</v>
      </c>
      <c r="P8" s="46">
        <v>6</v>
      </c>
    </row>
    <row r="9" spans="1:16">
      <c r="A9" s="45">
        <f t="shared" ref="A9:A23" si="1">B9*1000+C9*100+E9</f>
        <v>2101</v>
      </c>
      <c r="B9" s="45">
        <v>2</v>
      </c>
      <c r="C9" s="45">
        <v>1</v>
      </c>
      <c r="D9" s="46" t="str">
        <f t="shared" ref="D9:D14" si="2">"筑基难度"&amp;C9</f>
        <v>筑基难度1</v>
      </c>
      <c r="E9" s="45">
        <v>1</v>
      </c>
      <c r="F9" s="46">
        <v>1</v>
      </c>
      <c r="G9" s="46">
        <v>1</v>
      </c>
      <c r="H9" s="46"/>
      <c r="I9" s="46"/>
      <c r="J9" s="45">
        <f t="shared" si="0"/>
        <v>4104</v>
      </c>
      <c r="K9" s="45">
        <v>4</v>
      </c>
      <c r="L9" s="45">
        <v>1</v>
      </c>
      <c r="M9" s="46" t="str">
        <f>"金丹难度"&amp;L9</f>
        <v>金丹难度1</v>
      </c>
      <c r="N9" s="45">
        <v>4</v>
      </c>
      <c r="O9" s="46">
        <v>1</v>
      </c>
      <c r="P9" s="46">
        <v>3</v>
      </c>
    </row>
    <row r="10" spans="1:16">
      <c r="A10" s="45">
        <f t="shared" si="1"/>
        <v>2102</v>
      </c>
      <c r="B10" s="45">
        <v>2</v>
      </c>
      <c r="C10" s="45">
        <v>1</v>
      </c>
      <c r="D10" s="46" t="str">
        <f t="shared" si="2"/>
        <v>筑基难度1</v>
      </c>
      <c r="E10" s="45">
        <v>2</v>
      </c>
      <c r="F10" s="46">
        <v>1</v>
      </c>
      <c r="G10" s="46">
        <v>1</v>
      </c>
      <c r="H10" s="46"/>
      <c r="I10" s="46"/>
      <c r="J10" s="45">
        <f t="shared" si="0"/>
        <v>5101</v>
      </c>
      <c r="K10" s="45">
        <v>5</v>
      </c>
      <c r="L10" s="45">
        <v>1</v>
      </c>
      <c r="M10" s="46" t="str">
        <f>"元婴难度"&amp;L10</f>
        <v>元婴难度1</v>
      </c>
      <c r="N10" s="45">
        <v>1</v>
      </c>
      <c r="O10" s="46">
        <v>11</v>
      </c>
      <c r="P10" s="46">
        <v>12</v>
      </c>
    </row>
    <row r="11" spans="1:16">
      <c r="A11" s="45">
        <f t="shared" si="1"/>
        <v>2201</v>
      </c>
      <c r="B11" s="45">
        <v>2</v>
      </c>
      <c r="C11" s="45">
        <v>2</v>
      </c>
      <c r="D11" s="46" t="str">
        <f t="shared" si="2"/>
        <v>筑基难度2</v>
      </c>
      <c r="E11" s="45">
        <v>1</v>
      </c>
      <c r="F11" s="46">
        <v>1</v>
      </c>
      <c r="G11" s="46">
        <v>1</v>
      </c>
      <c r="H11" s="46"/>
      <c r="I11" s="46"/>
      <c r="J11" s="45">
        <f t="shared" si="0"/>
        <v>5102</v>
      </c>
      <c r="K11" s="45">
        <v>5</v>
      </c>
      <c r="L11" s="45">
        <v>1</v>
      </c>
      <c r="M11" s="46" t="str">
        <f>"元婴难度"&amp;L11</f>
        <v>元婴难度1</v>
      </c>
      <c r="N11" s="45">
        <v>2</v>
      </c>
      <c r="O11" s="46">
        <v>9</v>
      </c>
      <c r="P11" s="46">
        <v>10</v>
      </c>
    </row>
    <row r="12" spans="1:16">
      <c r="A12" s="45">
        <f t="shared" si="1"/>
        <v>2202</v>
      </c>
      <c r="B12" s="45">
        <v>2</v>
      </c>
      <c r="C12" s="45">
        <v>2</v>
      </c>
      <c r="D12" s="46" t="str">
        <f t="shared" si="2"/>
        <v>筑基难度2</v>
      </c>
      <c r="E12" s="45">
        <v>2</v>
      </c>
      <c r="F12" s="46">
        <v>1</v>
      </c>
      <c r="G12" s="46">
        <v>1</v>
      </c>
      <c r="H12" s="46"/>
      <c r="I12" s="46"/>
      <c r="J12" s="45">
        <f t="shared" si="0"/>
        <v>5103</v>
      </c>
      <c r="K12" s="45">
        <v>5</v>
      </c>
      <c r="L12" s="45">
        <v>1</v>
      </c>
      <c r="M12" s="46" t="str">
        <f>"元婴难度"&amp;L12</f>
        <v>元婴难度1</v>
      </c>
      <c r="N12" s="45">
        <v>3</v>
      </c>
      <c r="O12" s="46">
        <v>7</v>
      </c>
      <c r="P12" s="46">
        <v>8</v>
      </c>
    </row>
    <row r="13" spans="1:16">
      <c r="A13" s="45">
        <f t="shared" si="1"/>
        <v>2301</v>
      </c>
      <c r="B13" s="45">
        <v>2</v>
      </c>
      <c r="C13" s="45">
        <v>3</v>
      </c>
      <c r="D13" s="46" t="str">
        <f t="shared" si="2"/>
        <v>筑基难度3</v>
      </c>
      <c r="E13" s="45">
        <v>1</v>
      </c>
      <c r="F13" s="46">
        <v>1</v>
      </c>
      <c r="G13" s="46">
        <v>1</v>
      </c>
      <c r="H13" s="46"/>
      <c r="I13" s="46"/>
      <c r="J13" s="45">
        <f t="shared" si="0"/>
        <v>5104</v>
      </c>
      <c r="K13" s="45">
        <v>5</v>
      </c>
      <c r="L13" s="45">
        <v>1</v>
      </c>
      <c r="M13" s="46" t="str">
        <f>"元婴难度"&amp;L13</f>
        <v>元婴难度1</v>
      </c>
      <c r="N13" s="45">
        <v>4</v>
      </c>
      <c r="O13" s="46">
        <v>4</v>
      </c>
      <c r="P13" s="46">
        <v>6</v>
      </c>
    </row>
    <row r="14" spans="1:16">
      <c r="A14" s="45">
        <f t="shared" si="1"/>
        <v>2302</v>
      </c>
      <c r="B14" s="45">
        <v>2</v>
      </c>
      <c r="C14" s="45">
        <v>3</v>
      </c>
      <c r="D14" s="46" t="str">
        <f t="shared" si="2"/>
        <v>筑基难度3</v>
      </c>
      <c r="E14" s="45">
        <v>2</v>
      </c>
      <c r="F14" s="46">
        <v>1</v>
      </c>
      <c r="G14" s="46">
        <v>1</v>
      </c>
      <c r="H14" s="46"/>
      <c r="I14" s="46"/>
      <c r="J14" s="45">
        <f t="shared" si="0"/>
        <v>5105</v>
      </c>
      <c r="K14" s="45">
        <v>5</v>
      </c>
      <c r="L14" s="45">
        <v>1</v>
      </c>
      <c r="M14" s="46" t="str">
        <f>"元婴难度"&amp;L14</f>
        <v>元婴难度1</v>
      </c>
      <c r="N14" s="45">
        <v>5</v>
      </c>
      <c r="O14" s="46">
        <v>1</v>
      </c>
      <c r="P14" s="46">
        <v>3</v>
      </c>
    </row>
    <row r="15" spans="1:16">
      <c r="A15" s="45">
        <f t="shared" si="1"/>
        <v>3101</v>
      </c>
      <c r="B15" s="45">
        <v>3</v>
      </c>
      <c r="C15" s="45">
        <v>1</v>
      </c>
      <c r="D15" s="46" t="str">
        <f>"炼气难度"&amp;C15</f>
        <v>炼气难度1</v>
      </c>
      <c r="E15" s="45">
        <v>1</v>
      </c>
      <c r="F15" s="46">
        <v>1</v>
      </c>
      <c r="G15" s="46">
        <v>1</v>
      </c>
      <c r="H15" s="46"/>
      <c r="I15" s="46"/>
      <c r="J15" s="45">
        <f t="shared" si="0"/>
        <v>6101</v>
      </c>
      <c r="K15" s="45">
        <v>6</v>
      </c>
      <c r="L15" s="45">
        <v>1</v>
      </c>
      <c r="M15" s="46" t="str">
        <f t="shared" ref="M15:M20" si="3">"化神难度"&amp;L15</f>
        <v>化神难度1</v>
      </c>
      <c r="N15" s="45">
        <v>1</v>
      </c>
      <c r="O15" s="46">
        <v>13</v>
      </c>
      <c r="P15" s="46">
        <v>14</v>
      </c>
    </row>
    <row r="16" spans="1:16">
      <c r="A16" s="45">
        <f t="shared" si="1"/>
        <v>3102</v>
      </c>
      <c r="B16" s="45">
        <v>3</v>
      </c>
      <c r="C16" s="45">
        <v>1</v>
      </c>
      <c r="D16" s="46" t="str">
        <f t="shared" ref="D16:D23" si="4">"炼气难度"&amp;C16</f>
        <v>炼气难度1</v>
      </c>
      <c r="E16" s="45">
        <v>2</v>
      </c>
      <c r="F16" s="46">
        <v>1</v>
      </c>
      <c r="G16" s="46">
        <v>1</v>
      </c>
      <c r="H16" s="46"/>
      <c r="I16" s="46"/>
      <c r="J16" s="45">
        <f t="shared" si="0"/>
        <v>6102</v>
      </c>
      <c r="K16" s="45">
        <v>6</v>
      </c>
      <c r="L16" s="45">
        <v>1</v>
      </c>
      <c r="M16" s="46" t="str">
        <f t="shared" si="3"/>
        <v>化神难度1</v>
      </c>
      <c r="N16" s="45">
        <v>2</v>
      </c>
      <c r="O16" s="46">
        <v>11</v>
      </c>
      <c r="P16" s="46">
        <v>12</v>
      </c>
    </row>
    <row r="17" spans="1:16">
      <c r="A17" s="45">
        <f t="shared" si="1"/>
        <v>3103</v>
      </c>
      <c r="B17" s="45">
        <v>3</v>
      </c>
      <c r="C17" s="45">
        <v>1</v>
      </c>
      <c r="D17" s="46" t="str">
        <f t="shared" si="4"/>
        <v>炼气难度1</v>
      </c>
      <c r="E17" s="45">
        <v>3</v>
      </c>
      <c r="F17" s="46">
        <v>1</v>
      </c>
      <c r="G17" s="46">
        <v>1</v>
      </c>
      <c r="H17" s="46"/>
      <c r="I17" s="46"/>
      <c r="J17" s="45">
        <f t="shared" si="0"/>
        <v>6103</v>
      </c>
      <c r="K17" s="45">
        <v>6</v>
      </c>
      <c r="L17" s="45">
        <v>1</v>
      </c>
      <c r="M17" s="46" t="str">
        <f t="shared" si="3"/>
        <v>化神难度1</v>
      </c>
      <c r="N17" s="45">
        <v>3</v>
      </c>
      <c r="O17" s="46">
        <v>9</v>
      </c>
      <c r="P17" s="46">
        <v>10</v>
      </c>
    </row>
    <row r="18" spans="1:16">
      <c r="A18" s="45">
        <f t="shared" si="1"/>
        <v>3201</v>
      </c>
      <c r="B18" s="45">
        <v>3</v>
      </c>
      <c r="C18" s="45">
        <v>2</v>
      </c>
      <c r="D18" s="46" t="str">
        <f t="shared" si="4"/>
        <v>炼气难度2</v>
      </c>
      <c r="E18" s="45">
        <v>1</v>
      </c>
      <c r="F18" s="46">
        <v>1</v>
      </c>
      <c r="G18" s="46">
        <v>1</v>
      </c>
      <c r="H18" s="46"/>
      <c r="I18" s="46"/>
      <c r="J18" s="45">
        <f t="shared" si="0"/>
        <v>6104</v>
      </c>
      <c r="K18" s="45">
        <v>6</v>
      </c>
      <c r="L18" s="45">
        <v>1</v>
      </c>
      <c r="M18" s="46" t="str">
        <f t="shared" si="3"/>
        <v>化神难度1</v>
      </c>
      <c r="N18" s="45">
        <v>4</v>
      </c>
      <c r="O18" s="46">
        <v>7</v>
      </c>
      <c r="P18" s="46">
        <v>8</v>
      </c>
    </row>
    <row r="19" spans="1:16">
      <c r="A19" s="45">
        <f t="shared" si="1"/>
        <v>3202</v>
      </c>
      <c r="B19" s="45">
        <v>3</v>
      </c>
      <c r="C19" s="45">
        <v>2</v>
      </c>
      <c r="D19" s="46" t="str">
        <f t="shared" si="4"/>
        <v>炼气难度2</v>
      </c>
      <c r="E19" s="45">
        <v>2</v>
      </c>
      <c r="F19" s="46">
        <v>1</v>
      </c>
      <c r="G19" s="46">
        <v>1</v>
      </c>
      <c r="H19" s="46"/>
      <c r="I19" s="46"/>
      <c r="J19" s="45">
        <f t="shared" si="0"/>
        <v>6105</v>
      </c>
      <c r="K19" s="45">
        <v>6</v>
      </c>
      <c r="L19" s="45">
        <v>1</v>
      </c>
      <c r="M19" s="46" t="str">
        <f t="shared" si="3"/>
        <v>化神难度1</v>
      </c>
      <c r="N19" s="45">
        <v>5</v>
      </c>
      <c r="O19" s="46">
        <v>4</v>
      </c>
      <c r="P19" s="46">
        <v>6</v>
      </c>
    </row>
    <row r="20" spans="1:16">
      <c r="A20" s="45">
        <f t="shared" si="1"/>
        <v>3203</v>
      </c>
      <c r="B20" s="45">
        <v>3</v>
      </c>
      <c r="C20" s="45">
        <v>2</v>
      </c>
      <c r="D20" s="46" t="str">
        <f t="shared" si="4"/>
        <v>炼气难度2</v>
      </c>
      <c r="E20" s="45">
        <v>3</v>
      </c>
      <c r="F20" s="46">
        <v>1</v>
      </c>
      <c r="G20" s="46">
        <v>1</v>
      </c>
      <c r="H20" s="46"/>
      <c r="I20" s="46"/>
      <c r="J20" s="45">
        <f t="shared" si="0"/>
        <v>6106</v>
      </c>
      <c r="K20" s="45">
        <v>6</v>
      </c>
      <c r="L20" s="45">
        <v>1</v>
      </c>
      <c r="M20" s="46" t="str">
        <f t="shared" si="3"/>
        <v>化神难度1</v>
      </c>
      <c r="N20" s="45">
        <v>6</v>
      </c>
      <c r="O20" s="46">
        <v>1</v>
      </c>
      <c r="P20" s="46">
        <v>3</v>
      </c>
    </row>
    <row r="21" spans="1:16">
      <c r="A21" s="45">
        <f t="shared" si="1"/>
        <v>3301</v>
      </c>
      <c r="B21" s="45">
        <v>3</v>
      </c>
      <c r="C21" s="45">
        <v>3</v>
      </c>
      <c r="D21" s="46" t="str">
        <f t="shared" si="4"/>
        <v>炼气难度3</v>
      </c>
      <c r="E21" s="45">
        <v>1</v>
      </c>
      <c r="F21" s="46">
        <v>1</v>
      </c>
      <c r="G21" s="46">
        <v>1</v>
      </c>
      <c r="H21" s="46"/>
      <c r="I21" s="46"/>
      <c r="J21" s="45">
        <f t="shared" si="0"/>
        <v>7101</v>
      </c>
      <c r="K21" s="45">
        <v>7</v>
      </c>
      <c r="L21" s="45">
        <v>1</v>
      </c>
      <c r="M21" s="46" t="str">
        <f>"大乘难度"&amp;L21</f>
        <v>大乘难度1</v>
      </c>
      <c r="N21" s="45">
        <v>1</v>
      </c>
      <c r="O21" s="46">
        <v>15</v>
      </c>
      <c r="P21" s="46">
        <v>16</v>
      </c>
    </row>
    <row r="22" spans="1:16">
      <c r="A22" s="45">
        <f t="shared" si="1"/>
        <v>3302</v>
      </c>
      <c r="B22" s="45">
        <v>3</v>
      </c>
      <c r="C22" s="45">
        <v>3</v>
      </c>
      <c r="D22" s="46" t="str">
        <f t="shared" si="4"/>
        <v>炼气难度3</v>
      </c>
      <c r="E22" s="45">
        <v>2</v>
      </c>
      <c r="F22" s="46">
        <v>1</v>
      </c>
      <c r="G22" s="46">
        <v>1</v>
      </c>
      <c r="H22" s="46"/>
      <c r="I22" s="46"/>
      <c r="J22" s="45">
        <f t="shared" si="0"/>
        <v>7102</v>
      </c>
      <c r="K22" s="45">
        <v>7</v>
      </c>
      <c r="L22" s="45">
        <v>1</v>
      </c>
      <c r="M22" s="46" t="str">
        <f t="shared" ref="M22:M27" si="5">"大乘难度"&amp;L22</f>
        <v>大乘难度1</v>
      </c>
      <c r="N22" s="45">
        <v>2</v>
      </c>
      <c r="O22" s="46">
        <v>13</v>
      </c>
      <c r="P22" s="46">
        <v>14</v>
      </c>
    </row>
    <row r="23" spans="1:16">
      <c r="A23" s="45">
        <f t="shared" si="1"/>
        <v>3303</v>
      </c>
      <c r="B23" s="45">
        <v>3</v>
      </c>
      <c r="C23" s="45">
        <v>3</v>
      </c>
      <c r="D23" s="46" t="str">
        <f t="shared" si="4"/>
        <v>炼气难度3</v>
      </c>
      <c r="E23" s="45">
        <v>3</v>
      </c>
      <c r="F23" s="46">
        <v>1</v>
      </c>
      <c r="G23" s="46">
        <v>1</v>
      </c>
      <c r="H23" s="46"/>
      <c r="I23" s="46"/>
      <c r="J23" s="45">
        <f t="shared" si="0"/>
        <v>7103</v>
      </c>
      <c r="K23" s="45">
        <v>7</v>
      </c>
      <c r="L23" s="45">
        <v>1</v>
      </c>
      <c r="M23" s="46" t="str">
        <f t="shared" si="5"/>
        <v>大乘难度1</v>
      </c>
      <c r="N23" s="45">
        <v>3</v>
      </c>
      <c r="O23" s="46">
        <v>11</v>
      </c>
      <c r="P23" s="46">
        <v>12</v>
      </c>
    </row>
    <row r="24" spans="1:16">
      <c r="A24" s="46"/>
      <c r="B24" s="46"/>
      <c r="C24" s="46"/>
      <c r="D24" s="46"/>
      <c r="E24" s="46"/>
      <c r="H24" s="46"/>
      <c r="I24" s="46"/>
      <c r="J24" s="45">
        <f t="shared" si="0"/>
        <v>7104</v>
      </c>
      <c r="K24" s="45">
        <v>7</v>
      </c>
      <c r="L24" s="45">
        <v>1</v>
      </c>
      <c r="M24" s="46" t="str">
        <f t="shared" si="5"/>
        <v>大乘难度1</v>
      </c>
      <c r="N24" s="45">
        <v>4</v>
      </c>
      <c r="O24" s="46">
        <v>9</v>
      </c>
      <c r="P24" s="46">
        <v>10</v>
      </c>
    </row>
    <row r="25" spans="1:16">
      <c r="A25" s="46"/>
      <c r="B25" s="46"/>
      <c r="C25" s="46"/>
      <c r="D25" s="46"/>
      <c r="E25" s="46"/>
      <c r="H25" s="46"/>
      <c r="I25" s="46"/>
      <c r="J25" s="45">
        <f t="shared" si="0"/>
        <v>7105</v>
      </c>
      <c r="K25" s="45">
        <v>7</v>
      </c>
      <c r="L25" s="45">
        <v>1</v>
      </c>
      <c r="M25" s="46" t="str">
        <f t="shared" si="5"/>
        <v>大乘难度1</v>
      </c>
      <c r="N25" s="45">
        <v>5</v>
      </c>
      <c r="O25" s="46">
        <v>7</v>
      </c>
      <c r="P25" s="46">
        <v>8</v>
      </c>
    </row>
    <row r="26" spans="1:16">
      <c r="A26" s="46"/>
      <c r="B26" s="46"/>
      <c r="C26" s="46"/>
      <c r="D26" s="46"/>
      <c r="E26" s="46"/>
      <c r="H26" s="46"/>
      <c r="I26" s="46"/>
      <c r="J26" s="45">
        <f t="shared" si="0"/>
        <v>7106</v>
      </c>
      <c r="K26" s="45">
        <v>7</v>
      </c>
      <c r="L26" s="45">
        <v>1</v>
      </c>
      <c r="M26" s="46" t="str">
        <f t="shared" si="5"/>
        <v>大乘难度1</v>
      </c>
      <c r="N26" s="45">
        <v>6</v>
      </c>
      <c r="O26" s="46">
        <v>4</v>
      </c>
      <c r="P26" s="46">
        <v>6</v>
      </c>
    </row>
    <row r="27" spans="1:16">
      <c r="A27" s="46"/>
      <c r="B27" s="46"/>
      <c r="C27" s="46"/>
      <c r="D27" s="46"/>
      <c r="E27" s="46"/>
      <c r="H27" s="46"/>
      <c r="I27" s="46"/>
      <c r="J27" s="45">
        <f t="shared" si="0"/>
        <v>7107</v>
      </c>
      <c r="K27" s="45">
        <v>7</v>
      </c>
      <c r="L27" s="45">
        <v>1</v>
      </c>
      <c r="M27" s="46" t="str">
        <f t="shared" si="5"/>
        <v>大乘难度1</v>
      </c>
      <c r="N27" s="45">
        <v>7</v>
      </c>
      <c r="O27" s="46">
        <v>1</v>
      </c>
      <c r="P27" s="46">
        <v>3</v>
      </c>
    </row>
    <row r="28" spans="1:11">
      <c r="A28" s="46"/>
      <c r="B28" s="46"/>
      <c r="C28" s="46"/>
      <c r="D28" s="46"/>
      <c r="E28" s="46"/>
      <c r="H28" s="46"/>
      <c r="I28" s="46"/>
      <c r="J28" s="46"/>
      <c r="K28" s="46"/>
    </row>
    <row r="33" spans="1:11">
      <c r="A33" s="46"/>
      <c r="B33" s="46"/>
      <c r="C33" s="46"/>
      <c r="D33" s="46"/>
      <c r="E33" s="46"/>
      <c r="H33" s="46"/>
      <c r="I33" s="46"/>
      <c r="J33" s="46"/>
      <c r="K33" s="46"/>
    </row>
    <row r="39" spans="1:11">
      <c r="A39" s="46"/>
      <c r="B39" s="46"/>
      <c r="C39" s="46"/>
      <c r="D39" s="46"/>
      <c r="E39" s="46"/>
      <c r="H39" s="46"/>
      <c r="I39" s="46"/>
      <c r="J39" s="46"/>
      <c r="K39" s="46"/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O1651"/>
  <sheetViews>
    <sheetView zoomScale="85" zoomScaleNormal="85" workbookViewId="0">
      <pane ySplit="5" topLeftCell="A6" activePane="bottomLeft" state="frozen"/>
      <selection/>
      <selection pane="bottomLeft" activeCell="F2" sqref="F2"/>
    </sheetView>
  </sheetViews>
  <sheetFormatPr defaultColWidth="9" defaultRowHeight="13.85"/>
  <cols>
    <col min="1" max="1" width="9" style="7"/>
    <col min="2" max="2" width="14.8761061946903" style="7" customWidth="1"/>
    <col min="3" max="3" width="15.8761061946903" style="7" customWidth="1"/>
    <col min="4" max="4" width="21.3716814159292" style="7" customWidth="1"/>
    <col min="5" max="5" width="24.5044247787611" style="7" customWidth="1"/>
    <col min="6" max="6" width="27" style="7" customWidth="1"/>
    <col min="7" max="7" width="15.1238938053097" style="7" customWidth="1"/>
    <col min="8" max="8" width="14.3716814159292" style="7" customWidth="1"/>
    <col min="9" max="9" width="28.2477876106195" style="7" customWidth="1"/>
    <col min="10" max="10" width="35.7522123893805" style="7" customWidth="1"/>
    <col min="11" max="11" width="22.3716814159292" style="7" customWidth="1"/>
    <col min="12" max="12" width="17.2477876106195" style="7" customWidth="1"/>
    <col min="13" max="16384" width="9" style="7"/>
  </cols>
  <sheetData>
    <row r="1" spans="1:1">
      <c r="A1" s="7" t="s">
        <v>27</v>
      </c>
    </row>
    <row r="2" s="4" customFormat="1" ht="152.25" customHeight="1" spans="1:13">
      <c r="A2" s="4" t="s">
        <v>270</v>
      </c>
      <c r="B2" s="4" t="s">
        <v>3813</v>
      </c>
      <c r="C2" s="4" t="s">
        <v>3814</v>
      </c>
      <c r="D2" s="4" t="s">
        <v>3815</v>
      </c>
      <c r="E2" s="4" t="s">
        <v>3816</v>
      </c>
      <c r="F2" s="4" t="s">
        <v>3817</v>
      </c>
      <c r="G2" s="4" t="s">
        <v>3818</v>
      </c>
      <c r="H2" s="4" t="s">
        <v>3819</v>
      </c>
      <c r="I2" s="4" t="s">
        <v>3820</v>
      </c>
      <c r="L2" s="4" t="s">
        <v>3821</v>
      </c>
      <c r="M2" s="4" t="s">
        <v>3822</v>
      </c>
    </row>
    <row r="3" spans="1:13">
      <c r="A3" s="7" t="s">
        <v>109</v>
      </c>
      <c r="B3" s="7" t="s">
        <v>109</v>
      </c>
      <c r="C3" s="7" t="s">
        <v>109</v>
      </c>
      <c r="D3" s="7" t="s">
        <v>109</v>
      </c>
      <c r="E3" s="7" t="s">
        <v>109</v>
      </c>
      <c r="F3" s="7" t="s">
        <v>109</v>
      </c>
      <c r="G3" s="7" t="s">
        <v>109</v>
      </c>
      <c r="H3" s="7" t="s">
        <v>109</v>
      </c>
      <c r="I3" s="7" t="s">
        <v>3823</v>
      </c>
      <c r="L3" s="7" t="s">
        <v>109</v>
      </c>
      <c r="M3" s="7" t="s">
        <v>109</v>
      </c>
    </row>
    <row r="4" spans="1:13">
      <c r="A4" s="7" t="s">
        <v>62</v>
      </c>
      <c r="B4" s="7" t="s">
        <v>3824</v>
      </c>
      <c r="C4" s="7" t="s">
        <v>3825</v>
      </c>
      <c r="D4" s="7" t="s">
        <v>3826</v>
      </c>
      <c r="E4" s="7" t="s">
        <v>3827</v>
      </c>
      <c r="F4" s="7" t="s">
        <v>3828</v>
      </c>
      <c r="G4" s="7" t="s">
        <v>3829</v>
      </c>
      <c r="H4" s="7" t="s">
        <v>3830</v>
      </c>
      <c r="I4" s="7" t="s">
        <v>3831</v>
      </c>
      <c r="L4" s="7" t="s">
        <v>3832</v>
      </c>
      <c r="M4" s="7" t="s">
        <v>3833</v>
      </c>
    </row>
    <row r="5" spans="1:13">
      <c r="A5" s="7" t="s">
        <v>62</v>
      </c>
      <c r="B5" s="7" t="s">
        <v>3824</v>
      </c>
      <c r="C5" s="7" t="s">
        <v>3825</v>
      </c>
      <c r="D5" s="7" t="s">
        <v>3826</v>
      </c>
      <c r="E5" s="7" t="s">
        <v>3827</v>
      </c>
      <c r="F5" s="7" t="s">
        <v>3828</v>
      </c>
      <c r="G5" s="7" t="s">
        <v>3829</v>
      </c>
      <c r="H5" s="7" t="s">
        <v>3830</v>
      </c>
      <c r="I5" s="7" t="s">
        <v>3831</v>
      </c>
      <c r="L5" s="7" t="s">
        <v>3832</v>
      </c>
      <c r="M5" s="7" t="s">
        <v>3833</v>
      </c>
    </row>
    <row r="6" spans="1:8">
      <c r="A6" s="7">
        <v>1</v>
      </c>
      <c r="B6" s="7">
        <v>10000</v>
      </c>
      <c r="C6" s="7">
        <v>1</v>
      </c>
      <c r="G6" s="7">
        <v>21000</v>
      </c>
      <c r="H6" s="7">
        <v>0</v>
      </c>
    </row>
    <row r="7" spans="1:8">
      <c r="A7" s="7">
        <v>2</v>
      </c>
      <c r="B7" s="7">
        <v>10000</v>
      </c>
      <c r="C7" s="7">
        <v>1</v>
      </c>
      <c r="G7" s="7">
        <v>21000</v>
      </c>
      <c r="H7" s="7">
        <v>0</v>
      </c>
    </row>
    <row r="8" spans="1:8">
      <c r="A8" s="7">
        <v>3</v>
      </c>
      <c r="B8" s="7">
        <v>10000</v>
      </c>
      <c r="C8" s="7">
        <v>1</v>
      </c>
      <c r="G8" s="7">
        <v>31000</v>
      </c>
      <c r="H8" s="7">
        <v>1500</v>
      </c>
    </row>
    <row r="9" spans="1:8">
      <c r="A9" s="7">
        <v>4</v>
      </c>
      <c r="B9" s="7">
        <v>10000</v>
      </c>
      <c r="C9" s="7">
        <v>1</v>
      </c>
      <c r="G9" s="7">
        <v>41000</v>
      </c>
      <c r="H9" s="7">
        <v>0</v>
      </c>
    </row>
    <row r="10" s="5" customFormat="1" spans="1:8">
      <c r="A10" s="7">
        <v>5</v>
      </c>
      <c r="B10" s="5">
        <v>10000</v>
      </c>
      <c r="C10" s="7">
        <v>1</v>
      </c>
      <c r="G10" s="7">
        <v>911031</v>
      </c>
      <c r="H10" s="5">
        <v>10000</v>
      </c>
    </row>
    <row r="11" s="5" customFormat="1" spans="1:8">
      <c r="A11" s="7">
        <v>6</v>
      </c>
      <c r="B11" s="7">
        <v>10000</v>
      </c>
      <c r="C11" s="7">
        <v>1</v>
      </c>
      <c r="G11" s="7">
        <v>911032</v>
      </c>
      <c r="H11" s="5">
        <v>10000</v>
      </c>
    </row>
    <row r="12" s="5" customFormat="1" spans="1:13">
      <c r="A12" s="7">
        <v>7</v>
      </c>
      <c r="B12" s="5">
        <v>10000</v>
      </c>
      <c r="C12" s="7">
        <v>1</v>
      </c>
      <c r="G12" s="7">
        <v>51000</v>
      </c>
      <c r="H12" s="5">
        <v>5000</v>
      </c>
      <c r="M12" s="5">
        <v>10</v>
      </c>
    </row>
    <row r="13" s="5" customFormat="1" spans="1:13">
      <c r="A13" s="7">
        <v>8</v>
      </c>
      <c r="B13" s="7">
        <v>10000</v>
      </c>
      <c r="C13" s="7">
        <v>1</v>
      </c>
      <c r="G13" s="5">
        <v>440018</v>
      </c>
      <c r="H13" s="5">
        <v>5000</v>
      </c>
      <c r="J13" s="10" t="s">
        <v>3834</v>
      </c>
      <c r="M13" s="5">
        <v>2</v>
      </c>
    </row>
    <row r="14" s="5" customFormat="1" spans="1:13">
      <c r="A14" s="7">
        <v>9</v>
      </c>
      <c r="B14" s="5">
        <v>10000</v>
      </c>
      <c r="C14" s="7">
        <v>1</v>
      </c>
      <c r="G14" s="5">
        <v>440018</v>
      </c>
      <c r="H14" s="5">
        <v>4000</v>
      </c>
      <c r="J14" s="10" t="s">
        <v>3834</v>
      </c>
      <c r="M14" s="5">
        <v>4</v>
      </c>
    </row>
    <row r="15" s="5" customFormat="1" spans="1:13">
      <c r="A15" s="7">
        <v>10</v>
      </c>
      <c r="B15" s="7">
        <v>10000</v>
      </c>
      <c r="C15" s="7">
        <v>1</v>
      </c>
      <c r="G15" s="5">
        <v>440018</v>
      </c>
      <c r="H15" s="5">
        <v>3500</v>
      </c>
      <c r="J15" s="10" t="s">
        <v>3834</v>
      </c>
      <c r="M15" s="5">
        <v>6</v>
      </c>
    </row>
    <row r="16" spans="1:8">
      <c r="A16" s="7">
        <v>11</v>
      </c>
      <c r="B16" s="7">
        <f t="shared" ref="B16:B35" si="0">B6+10000</f>
        <v>20000</v>
      </c>
      <c r="C16" s="7">
        <v>1</v>
      </c>
      <c r="G16" s="7">
        <v>131000</v>
      </c>
      <c r="H16" s="7">
        <v>0</v>
      </c>
    </row>
    <row r="17" spans="1:8">
      <c r="A17" s="7">
        <v>12</v>
      </c>
      <c r="B17" s="7">
        <f t="shared" si="0"/>
        <v>20000</v>
      </c>
      <c r="C17" s="7">
        <v>1</v>
      </c>
      <c r="G17" s="7">
        <v>141000</v>
      </c>
      <c r="H17" s="7">
        <v>0</v>
      </c>
    </row>
    <row r="18" spans="1:8">
      <c r="A18" s="7">
        <v>13</v>
      </c>
      <c r="B18" s="7">
        <f t="shared" si="0"/>
        <v>20000</v>
      </c>
      <c r="C18" s="7">
        <v>1</v>
      </c>
      <c r="G18" s="7">
        <v>151000</v>
      </c>
      <c r="H18" s="7">
        <v>700</v>
      </c>
    </row>
    <row r="19" spans="1:8">
      <c r="A19" s="7">
        <v>14</v>
      </c>
      <c r="B19" s="7">
        <f t="shared" si="0"/>
        <v>20000</v>
      </c>
      <c r="C19" s="7">
        <v>1</v>
      </c>
      <c r="G19" s="7">
        <v>161000</v>
      </c>
      <c r="H19" s="7">
        <v>0</v>
      </c>
    </row>
    <row r="20" s="5" customFormat="1" spans="1:8">
      <c r="A20" s="7">
        <v>15</v>
      </c>
      <c r="B20" s="7">
        <f t="shared" si="0"/>
        <v>20000</v>
      </c>
      <c r="C20" s="7">
        <v>1</v>
      </c>
      <c r="G20" s="7">
        <v>911031</v>
      </c>
      <c r="H20" s="5">
        <v>10000</v>
      </c>
    </row>
    <row r="21" s="5" customFormat="1" spans="1:8">
      <c r="A21" s="7">
        <v>16</v>
      </c>
      <c r="B21" s="7">
        <f t="shared" si="0"/>
        <v>20000</v>
      </c>
      <c r="C21" s="7">
        <v>1</v>
      </c>
      <c r="G21" s="7">
        <v>911032</v>
      </c>
      <c r="H21" s="5">
        <v>10000</v>
      </c>
    </row>
    <row r="22" s="5" customFormat="1" spans="1:13">
      <c r="A22" s="7">
        <v>17</v>
      </c>
      <c r="B22" s="7">
        <f t="shared" si="0"/>
        <v>20000</v>
      </c>
      <c r="C22" s="7">
        <v>1</v>
      </c>
      <c r="D22" s="7"/>
      <c r="E22" s="7"/>
      <c r="F22" s="7"/>
      <c r="G22" s="7">
        <v>171000</v>
      </c>
      <c r="H22" s="5">
        <v>5000</v>
      </c>
      <c r="M22" s="5">
        <v>10</v>
      </c>
    </row>
    <row r="23" s="5" customFormat="1" spans="1:13">
      <c r="A23" s="7">
        <v>18</v>
      </c>
      <c r="B23" s="7">
        <f t="shared" si="0"/>
        <v>20000</v>
      </c>
      <c r="C23" s="7">
        <v>1</v>
      </c>
      <c r="D23" s="7"/>
      <c r="E23" s="7"/>
      <c r="F23" s="7"/>
      <c r="G23" s="7">
        <v>440027</v>
      </c>
      <c r="H23" s="5">
        <v>5000</v>
      </c>
      <c r="J23" s="10" t="s">
        <v>3835</v>
      </c>
      <c r="M23" s="5">
        <v>2</v>
      </c>
    </row>
    <row r="24" s="5" customFormat="1" spans="1:13">
      <c r="A24" s="7">
        <v>19</v>
      </c>
      <c r="B24" s="7">
        <f t="shared" si="0"/>
        <v>20000</v>
      </c>
      <c r="C24" s="7">
        <v>1</v>
      </c>
      <c r="D24" s="7"/>
      <c r="E24" s="7"/>
      <c r="F24" s="7"/>
      <c r="G24" s="7">
        <v>440027</v>
      </c>
      <c r="H24" s="5">
        <v>3500</v>
      </c>
      <c r="J24" s="10" t="s">
        <v>3835</v>
      </c>
      <c r="M24" s="5">
        <v>4</v>
      </c>
    </row>
    <row r="25" s="5" customFormat="1" spans="1:13">
      <c r="A25" s="7">
        <v>20</v>
      </c>
      <c r="B25" s="7">
        <f t="shared" si="0"/>
        <v>20000</v>
      </c>
      <c r="C25" s="7">
        <v>1</v>
      </c>
      <c r="D25" s="7"/>
      <c r="E25" s="7"/>
      <c r="F25" s="7"/>
      <c r="G25" s="7">
        <v>440027</v>
      </c>
      <c r="H25" s="5">
        <v>2500</v>
      </c>
      <c r="J25" s="10" t="s">
        <v>3835</v>
      </c>
      <c r="M25" s="5">
        <v>6</v>
      </c>
    </row>
    <row r="26" spans="1:8">
      <c r="A26" s="7">
        <v>21</v>
      </c>
      <c r="B26" s="7">
        <f t="shared" si="0"/>
        <v>30000</v>
      </c>
      <c r="C26" s="7">
        <v>1</v>
      </c>
      <c r="G26" s="7">
        <v>251000</v>
      </c>
      <c r="H26" s="7">
        <v>0</v>
      </c>
    </row>
    <row r="27" spans="1:8">
      <c r="A27" s="7">
        <v>22</v>
      </c>
      <c r="B27" s="7">
        <f t="shared" si="0"/>
        <v>30000</v>
      </c>
      <c r="C27" s="7">
        <v>1</v>
      </c>
      <c r="G27" s="7">
        <v>261000</v>
      </c>
      <c r="H27" s="7">
        <v>0</v>
      </c>
    </row>
    <row r="28" spans="1:8">
      <c r="A28" s="7">
        <v>23</v>
      </c>
      <c r="B28" s="7">
        <f t="shared" si="0"/>
        <v>30000</v>
      </c>
      <c r="C28" s="7">
        <v>1</v>
      </c>
      <c r="G28" s="7">
        <v>271000</v>
      </c>
      <c r="H28" s="7">
        <v>600</v>
      </c>
    </row>
    <row r="29" spans="1:8">
      <c r="A29" s="7">
        <v>24</v>
      </c>
      <c r="B29" s="7">
        <f t="shared" si="0"/>
        <v>30000</v>
      </c>
      <c r="C29" s="7">
        <v>1</v>
      </c>
      <c r="G29" s="7">
        <v>281000</v>
      </c>
      <c r="H29" s="7">
        <v>0</v>
      </c>
    </row>
    <row r="30" s="5" customFormat="1" spans="1:8">
      <c r="A30" s="7">
        <v>25</v>
      </c>
      <c r="B30" s="7">
        <f t="shared" si="0"/>
        <v>30000</v>
      </c>
      <c r="C30" s="7">
        <v>1</v>
      </c>
      <c r="G30" s="7">
        <v>911031</v>
      </c>
      <c r="H30" s="5">
        <v>10000</v>
      </c>
    </row>
    <row r="31" s="5" customFormat="1" spans="1:8">
      <c r="A31" s="7">
        <v>26</v>
      </c>
      <c r="B31" s="7">
        <f t="shared" si="0"/>
        <v>30000</v>
      </c>
      <c r="C31" s="7">
        <v>1</v>
      </c>
      <c r="G31" s="7">
        <v>911032</v>
      </c>
      <c r="H31" s="5">
        <v>10000</v>
      </c>
    </row>
    <row r="32" s="5" customFormat="1" spans="1:13">
      <c r="A32" s="7">
        <v>27</v>
      </c>
      <c r="B32" s="7">
        <f t="shared" si="0"/>
        <v>30000</v>
      </c>
      <c r="C32" s="7">
        <v>1</v>
      </c>
      <c r="D32" s="7"/>
      <c r="E32" s="7"/>
      <c r="F32" s="7"/>
      <c r="G32" s="7">
        <v>291000</v>
      </c>
      <c r="H32" s="5">
        <v>5000</v>
      </c>
      <c r="M32" s="5">
        <v>10</v>
      </c>
    </row>
    <row r="33" s="5" customFormat="1" spans="1:13">
      <c r="A33" s="7">
        <v>28</v>
      </c>
      <c r="B33" s="7">
        <f t="shared" si="0"/>
        <v>30000</v>
      </c>
      <c r="C33" s="7">
        <v>1</v>
      </c>
      <c r="D33" s="7"/>
      <c r="E33" s="7"/>
      <c r="F33" s="7"/>
      <c r="G33" s="5">
        <v>440036</v>
      </c>
      <c r="H33" s="5">
        <v>4500</v>
      </c>
      <c r="J33" s="10" t="s">
        <v>3836</v>
      </c>
      <c r="M33" s="5">
        <v>1</v>
      </c>
    </row>
    <row r="34" s="5" customFormat="1" spans="1:13">
      <c r="A34" s="7">
        <v>29</v>
      </c>
      <c r="B34" s="7">
        <f t="shared" si="0"/>
        <v>30000</v>
      </c>
      <c r="C34" s="7">
        <v>1</v>
      </c>
      <c r="D34" s="7"/>
      <c r="E34" s="7"/>
      <c r="F34" s="7"/>
      <c r="G34" s="5">
        <v>440036</v>
      </c>
      <c r="H34" s="5">
        <v>3500</v>
      </c>
      <c r="J34" s="10" t="s">
        <v>3836</v>
      </c>
      <c r="M34" s="5">
        <v>3</v>
      </c>
    </row>
    <row r="35" s="5" customFormat="1" spans="1:13">
      <c r="A35" s="7">
        <v>30</v>
      </c>
      <c r="B35" s="7">
        <f t="shared" si="0"/>
        <v>30000</v>
      </c>
      <c r="C35" s="7">
        <v>1</v>
      </c>
      <c r="D35" s="7"/>
      <c r="E35" s="7"/>
      <c r="F35" s="7"/>
      <c r="G35" s="5">
        <v>440036</v>
      </c>
      <c r="H35" s="5">
        <v>3000</v>
      </c>
      <c r="J35" s="10" t="s">
        <v>3836</v>
      </c>
      <c r="M35" s="5">
        <v>5</v>
      </c>
    </row>
    <row r="36" spans="1:10">
      <c r="A36" s="7">
        <v>31</v>
      </c>
      <c r="B36" s="7">
        <v>11000</v>
      </c>
      <c r="C36" s="7">
        <v>3</v>
      </c>
      <c r="D36" s="8">
        <v>201001</v>
      </c>
      <c r="E36" s="7">
        <v>1</v>
      </c>
      <c r="F36" s="7">
        <v>1</v>
      </c>
      <c r="J36" s="11" t="s">
        <v>3837</v>
      </c>
    </row>
    <row r="37" spans="1:10">
      <c r="A37" s="7">
        <v>32</v>
      </c>
      <c r="B37" s="7">
        <v>21000</v>
      </c>
      <c r="C37" s="7">
        <v>3</v>
      </c>
      <c r="D37" s="8">
        <v>201002</v>
      </c>
      <c r="E37" s="7">
        <v>1</v>
      </c>
      <c r="F37" s="7">
        <v>1</v>
      </c>
      <c r="J37" s="11" t="s">
        <v>3837</v>
      </c>
    </row>
    <row r="38" spans="1:10">
      <c r="A38" s="7">
        <v>33</v>
      </c>
      <c r="B38" s="7">
        <v>31000</v>
      </c>
      <c r="C38" s="7">
        <v>3</v>
      </c>
      <c r="D38" s="8">
        <v>201003</v>
      </c>
      <c r="E38" s="7">
        <v>1</v>
      </c>
      <c r="F38" s="7">
        <v>1</v>
      </c>
      <c r="J38" s="11" t="s">
        <v>3837</v>
      </c>
    </row>
    <row r="39" spans="1:10">
      <c r="A39" s="7">
        <v>34</v>
      </c>
      <c r="B39" s="7">
        <v>41000</v>
      </c>
      <c r="C39" s="7">
        <v>3</v>
      </c>
      <c r="D39" s="8">
        <v>201004</v>
      </c>
      <c r="E39" s="7">
        <v>1</v>
      </c>
      <c r="F39" s="7">
        <v>1</v>
      </c>
      <c r="J39" s="11" t="s">
        <v>3837</v>
      </c>
    </row>
    <row r="40" spans="1:10">
      <c r="A40" s="7">
        <v>35</v>
      </c>
      <c r="B40" s="7">
        <v>51000</v>
      </c>
      <c r="C40" s="7">
        <v>3</v>
      </c>
      <c r="D40" s="8">
        <v>2600001</v>
      </c>
      <c r="E40" s="7">
        <v>1</v>
      </c>
      <c r="F40" s="7">
        <v>1</v>
      </c>
      <c r="J40" s="12" t="s">
        <v>3838</v>
      </c>
    </row>
    <row r="41" spans="1:10">
      <c r="A41" s="7">
        <v>36</v>
      </c>
      <c r="B41" s="7">
        <v>61000</v>
      </c>
      <c r="C41" s="7">
        <v>3</v>
      </c>
      <c r="D41" s="8">
        <v>100006</v>
      </c>
      <c r="E41" s="7">
        <v>1</v>
      </c>
      <c r="F41" s="7">
        <v>1</v>
      </c>
      <c r="J41" s="13" t="s">
        <v>3839</v>
      </c>
    </row>
    <row r="42" spans="1:10">
      <c r="A42" s="7">
        <v>37</v>
      </c>
      <c r="B42" s="7">
        <v>71000</v>
      </c>
      <c r="C42" s="7">
        <v>3</v>
      </c>
      <c r="D42" s="8">
        <v>100007</v>
      </c>
      <c r="E42" s="7">
        <v>1</v>
      </c>
      <c r="F42" s="7">
        <v>1</v>
      </c>
      <c r="J42" s="13" t="s">
        <v>3840</v>
      </c>
    </row>
    <row r="43" spans="1:10">
      <c r="A43" s="7">
        <v>38</v>
      </c>
      <c r="B43" s="7">
        <v>81000</v>
      </c>
      <c r="C43" s="7">
        <v>3</v>
      </c>
      <c r="D43" s="8">
        <v>100008</v>
      </c>
      <c r="E43" s="7">
        <v>1</v>
      </c>
      <c r="F43" s="7">
        <v>1</v>
      </c>
      <c r="J43" s="13" t="s">
        <v>3841</v>
      </c>
    </row>
    <row r="44" spans="1:10">
      <c r="A44" s="7">
        <v>39</v>
      </c>
      <c r="B44" s="9">
        <v>91000</v>
      </c>
      <c r="C44" s="9">
        <v>3</v>
      </c>
      <c r="D44" s="8">
        <v>100009</v>
      </c>
      <c r="E44" s="9">
        <v>1</v>
      </c>
      <c r="F44" s="9">
        <v>1</v>
      </c>
      <c r="G44" s="9"/>
      <c r="H44" s="9"/>
      <c r="I44" s="9"/>
      <c r="J44" s="13" t="s">
        <v>3842</v>
      </c>
    </row>
    <row r="45" spans="1:10">
      <c r="A45" s="7">
        <v>40</v>
      </c>
      <c r="B45" s="9">
        <v>101000</v>
      </c>
      <c r="C45" s="9">
        <v>3</v>
      </c>
      <c r="D45" s="8">
        <v>100010</v>
      </c>
      <c r="E45" s="9">
        <v>1</v>
      </c>
      <c r="F45" s="9">
        <v>1</v>
      </c>
      <c r="G45" s="9"/>
      <c r="H45" s="9"/>
      <c r="I45" s="9"/>
      <c r="J45" s="13" t="s">
        <v>3843</v>
      </c>
    </row>
    <row r="46" spans="1:10">
      <c r="A46" s="7">
        <v>41</v>
      </c>
      <c r="B46" s="9">
        <v>111000</v>
      </c>
      <c r="C46" s="9">
        <v>3</v>
      </c>
      <c r="D46" s="8">
        <v>100011</v>
      </c>
      <c r="E46" s="9">
        <v>1</v>
      </c>
      <c r="F46" s="9">
        <v>1</v>
      </c>
      <c r="G46" s="9"/>
      <c r="H46" s="9"/>
      <c r="I46" s="9"/>
      <c r="J46" s="13" t="s">
        <v>3844</v>
      </c>
    </row>
    <row r="47" spans="1:10">
      <c r="A47" s="7">
        <v>42</v>
      </c>
      <c r="B47" s="9">
        <v>121000</v>
      </c>
      <c r="C47" s="9">
        <v>3</v>
      </c>
      <c r="D47" s="8">
        <v>100012</v>
      </c>
      <c r="E47" s="9">
        <v>1</v>
      </c>
      <c r="F47" s="9">
        <v>1</v>
      </c>
      <c r="G47" s="9"/>
      <c r="H47" s="9"/>
      <c r="I47" s="9"/>
      <c r="J47" s="13" t="s">
        <v>3845</v>
      </c>
    </row>
    <row r="48" spans="1:10">
      <c r="A48" s="7">
        <v>43</v>
      </c>
      <c r="B48" s="7">
        <v>131000</v>
      </c>
      <c r="C48" s="7">
        <v>3</v>
      </c>
      <c r="D48" s="8">
        <v>201011</v>
      </c>
      <c r="E48" s="7">
        <v>1</v>
      </c>
      <c r="F48" s="7">
        <v>1</v>
      </c>
      <c r="J48" s="11" t="s">
        <v>3846</v>
      </c>
    </row>
    <row r="49" spans="1:10">
      <c r="A49" s="7">
        <v>44</v>
      </c>
      <c r="B49" s="7">
        <v>141000</v>
      </c>
      <c r="C49" s="7">
        <v>3</v>
      </c>
      <c r="D49" s="8">
        <v>201012</v>
      </c>
      <c r="E49" s="7">
        <v>1</v>
      </c>
      <c r="F49" s="7">
        <v>1</v>
      </c>
      <c r="J49" s="11" t="s">
        <v>3846</v>
      </c>
    </row>
    <row r="50" spans="1:10">
      <c r="A50" s="7">
        <v>45</v>
      </c>
      <c r="B50" s="7">
        <v>151000</v>
      </c>
      <c r="C50" s="7">
        <v>3</v>
      </c>
      <c r="D50" s="8">
        <v>201013</v>
      </c>
      <c r="E50" s="7">
        <v>1</v>
      </c>
      <c r="F50" s="7">
        <v>1</v>
      </c>
      <c r="J50" s="11" t="s">
        <v>3846</v>
      </c>
    </row>
    <row r="51" spans="1:10">
      <c r="A51" s="7">
        <v>46</v>
      </c>
      <c r="B51" s="7">
        <v>161000</v>
      </c>
      <c r="C51" s="7">
        <v>3</v>
      </c>
      <c r="D51" s="8">
        <v>201014</v>
      </c>
      <c r="E51" s="7">
        <v>1</v>
      </c>
      <c r="F51" s="7">
        <v>1</v>
      </c>
      <c r="J51" s="11" t="s">
        <v>3846</v>
      </c>
    </row>
    <row r="52" spans="1:10">
      <c r="A52" s="7">
        <v>47</v>
      </c>
      <c r="B52" s="7">
        <v>171000</v>
      </c>
      <c r="C52" s="7">
        <v>3</v>
      </c>
      <c r="D52" s="8">
        <v>2600002</v>
      </c>
      <c r="E52" s="7">
        <v>1</v>
      </c>
      <c r="F52" s="7">
        <v>1</v>
      </c>
      <c r="J52" s="12" t="s">
        <v>3847</v>
      </c>
    </row>
    <row r="53" spans="1:10">
      <c r="A53" s="7">
        <v>48</v>
      </c>
      <c r="B53" s="7">
        <v>181000</v>
      </c>
      <c r="C53" s="7">
        <v>3</v>
      </c>
      <c r="D53" s="8">
        <v>100022</v>
      </c>
      <c r="E53" s="7">
        <v>1</v>
      </c>
      <c r="F53" s="7">
        <v>1</v>
      </c>
      <c r="J53" s="13" t="s">
        <v>3848</v>
      </c>
    </row>
    <row r="54" spans="1:10">
      <c r="A54" s="7">
        <v>49</v>
      </c>
      <c r="B54" s="7">
        <v>191000</v>
      </c>
      <c r="C54" s="7">
        <v>3</v>
      </c>
      <c r="D54" s="8">
        <v>100023</v>
      </c>
      <c r="E54" s="7">
        <v>1</v>
      </c>
      <c r="F54" s="7">
        <v>1</v>
      </c>
      <c r="J54" s="13" t="s">
        <v>3849</v>
      </c>
    </row>
    <row r="55" spans="1:10">
      <c r="A55" s="7">
        <v>50</v>
      </c>
      <c r="B55" s="7">
        <v>201000</v>
      </c>
      <c r="C55" s="7">
        <v>3</v>
      </c>
      <c r="D55" s="8">
        <v>100024</v>
      </c>
      <c r="E55" s="7">
        <v>1</v>
      </c>
      <c r="F55" s="7">
        <v>1</v>
      </c>
      <c r="J55" s="13" t="s">
        <v>3850</v>
      </c>
    </row>
    <row r="56" spans="1:10">
      <c r="A56" s="7">
        <v>51</v>
      </c>
      <c r="B56" s="9">
        <v>211000</v>
      </c>
      <c r="C56" s="9">
        <v>3</v>
      </c>
      <c r="D56" s="8">
        <v>100025</v>
      </c>
      <c r="E56" s="9">
        <v>1</v>
      </c>
      <c r="F56" s="9">
        <v>1</v>
      </c>
      <c r="G56" s="9"/>
      <c r="H56" s="9"/>
      <c r="I56" s="9"/>
      <c r="J56" s="13" t="s">
        <v>3851</v>
      </c>
    </row>
    <row r="57" spans="1:10">
      <c r="A57" s="7">
        <v>52</v>
      </c>
      <c r="B57" s="9">
        <v>221000</v>
      </c>
      <c r="C57" s="9">
        <v>3</v>
      </c>
      <c r="D57" s="8">
        <v>100026</v>
      </c>
      <c r="E57" s="9">
        <v>1</v>
      </c>
      <c r="F57" s="9">
        <v>1</v>
      </c>
      <c r="G57" s="9"/>
      <c r="H57" s="9"/>
      <c r="I57" s="9"/>
      <c r="J57" s="13" t="s">
        <v>3852</v>
      </c>
    </row>
    <row r="58" spans="1:10">
      <c r="A58" s="7">
        <v>53</v>
      </c>
      <c r="B58" s="9">
        <v>231000</v>
      </c>
      <c r="C58" s="9">
        <v>3</v>
      </c>
      <c r="D58" s="8">
        <v>100027</v>
      </c>
      <c r="E58" s="9">
        <v>1</v>
      </c>
      <c r="F58" s="9">
        <v>1</v>
      </c>
      <c r="G58" s="9"/>
      <c r="H58" s="9"/>
      <c r="I58" s="9"/>
      <c r="J58" s="13" t="s">
        <v>3853</v>
      </c>
    </row>
    <row r="59" spans="1:10">
      <c r="A59" s="7">
        <v>54</v>
      </c>
      <c r="B59" s="9">
        <v>241000</v>
      </c>
      <c r="C59" s="9">
        <v>3</v>
      </c>
      <c r="D59" s="8">
        <v>100028</v>
      </c>
      <c r="E59" s="9">
        <v>1</v>
      </c>
      <c r="F59" s="9">
        <v>1</v>
      </c>
      <c r="G59" s="9"/>
      <c r="H59" s="9"/>
      <c r="I59" s="9"/>
      <c r="J59" s="13" t="s">
        <v>3854</v>
      </c>
    </row>
    <row r="60" spans="1:10">
      <c r="A60" s="7">
        <v>55</v>
      </c>
      <c r="B60" s="7">
        <v>251000</v>
      </c>
      <c r="C60" s="7">
        <v>3</v>
      </c>
      <c r="D60" s="8">
        <v>201021</v>
      </c>
      <c r="E60" s="7">
        <v>1</v>
      </c>
      <c r="F60" s="7">
        <v>1</v>
      </c>
      <c r="J60" s="11" t="s">
        <v>3855</v>
      </c>
    </row>
    <row r="61" spans="1:10">
      <c r="A61" s="7">
        <v>56</v>
      </c>
      <c r="B61" s="7">
        <v>261000</v>
      </c>
      <c r="C61" s="7">
        <v>3</v>
      </c>
      <c r="D61" s="8">
        <v>201022</v>
      </c>
      <c r="E61" s="7">
        <v>1</v>
      </c>
      <c r="F61" s="7">
        <v>1</v>
      </c>
      <c r="J61" s="11" t="s">
        <v>3855</v>
      </c>
    </row>
    <row r="62" spans="1:10">
      <c r="A62" s="7">
        <v>57</v>
      </c>
      <c r="B62" s="7">
        <v>271000</v>
      </c>
      <c r="C62" s="7">
        <v>3</v>
      </c>
      <c r="D62" s="8">
        <v>201023</v>
      </c>
      <c r="E62" s="7">
        <v>1</v>
      </c>
      <c r="F62" s="7">
        <v>1</v>
      </c>
      <c r="J62" s="11" t="s">
        <v>3855</v>
      </c>
    </row>
    <row r="63" spans="1:10">
      <c r="A63" s="7">
        <v>58</v>
      </c>
      <c r="B63" s="7">
        <v>281000</v>
      </c>
      <c r="C63" s="7">
        <v>3</v>
      </c>
      <c r="D63" s="8">
        <v>201024</v>
      </c>
      <c r="E63" s="7">
        <v>1</v>
      </c>
      <c r="F63" s="7">
        <v>1</v>
      </c>
      <c r="J63" s="11" t="s">
        <v>3855</v>
      </c>
    </row>
    <row r="64" spans="1:10">
      <c r="A64" s="7">
        <v>59</v>
      </c>
      <c r="B64" s="7">
        <v>291000</v>
      </c>
      <c r="C64" s="7">
        <v>3</v>
      </c>
      <c r="D64" s="8">
        <v>2600003</v>
      </c>
      <c r="E64" s="7">
        <v>1</v>
      </c>
      <c r="F64" s="7">
        <v>1</v>
      </c>
      <c r="J64" s="14" t="s">
        <v>3856</v>
      </c>
    </row>
    <row r="65" spans="1:10">
      <c r="A65" s="7">
        <v>60</v>
      </c>
      <c r="B65" s="7">
        <v>301000</v>
      </c>
      <c r="C65" s="7">
        <v>3</v>
      </c>
      <c r="D65" s="8">
        <v>100038</v>
      </c>
      <c r="E65" s="7">
        <v>1</v>
      </c>
      <c r="F65" s="7">
        <v>1</v>
      </c>
      <c r="J65" s="13" t="s">
        <v>3857</v>
      </c>
    </row>
    <row r="66" spans="1:10">
      <c r="A66" s="7">
        <v>61</v>
      </c>
      <c r="B66" s="7">
        <v>311000</v>
      </c>
      <c r="C66" s="7">
        <v>3</v>
      </c>
      <c r="D66" s="8">
        <v>100039</v>
      </c>
      <c r="E66" s="7">
        <v>1</v>
      </c>
      <c r="F66" s="7">
        <v>1</v>
      </c>
      <c r="J66" s="13" t="s">
        <v>3858</v>
      </c>
    </row>
    <row r="67" spans="1:10">
      <c r="A67" s="7">
        <v>62</v>
      </c>
      <c r="B67" s="7">
        <v>321000</v>
      </c>
      <c r="C67" s="7">
        <v>3</v>
      </c>
      <c r="D67" s="8">
        <v>100040</v>
      </c>
      <c r="E67" s="7">
        <v>1</v>
      </c>
      <c r="F67" s="7">
        <v>1</v>
      </c>
      <c r="J67" s="13" t="s">
        <v>3859</v>
      </c>
    </row>
    <row r="68" spans="1:10">
      <c r="A68" s="7">
        <v>63</v>
      </c>
      <c r="B68" s="7">
        <v>331000</v>
      </c>
      <c r="C68" s="9">
        <v>3</v>
      </c>
      <c r="D68" s="8">
        <v>100041</v>
      </c>
      <c r="E68" s="9">
        <v>1</v>
      </c>
      <c r="F68" s="9">
        <v>1</v>
      </c>
      <c r="G68" s="9"/>
      <c r="H68" s="9"/>
      <c r="I68" s="9"/>
      <c r="J68" s="13" t="s">
        <v>3860</v>
      </c>
    </row>
    <row r="69" spans="1:10">
      <c r="A69" s="7">
        <v>64</v>
      </c>
      <c r="B69" s="7">
        <v>341000</v>
      </c>
      <c r="C69" s="9">
        <v>3</v>
      </c>
      <c r="D69" s="8">
        <v>100042</v>
      </c>
      <c r="E69" s="9">
        <v>1</v>
      </c>
      <c r="F69" s="9">
        <v>1</v>
      </c>
      <c r="G69" s="9"/>
      <c r="H69" s="9"/>
      <c r="I69" s="9"/>
      <c r="J69" s="13" t="s">
        <v>3861</v>
      </c>
    </row>
    <row r="70" spans="1:10">
      <c r="A70" s="7">
        <v>65</v>
      </c>
      <c r="B70" s="7">
        <v>351000</v>
      </c>
      <c r="C70" s="9">
        <v>3</v>
      </c>
      <c r="D70" s="8">
        <v>100043</v>
      </c>
      <c r="E70" s="9">
        <v>1</v>
      </c>
      <c r="F70" s="9">
        <v>1</v>
      </c>
      <c r="G70" s="9"/>
      <c r="H70" s="9"/>
      <c r="I70" s="9"/>
      <c r="J70" s="13" t="s">
        <v>3862</v>
      </c>
    </row>
    <row r="71" spans="1:10">
      <c r="A71" s="7">
        <v>66</v>
      </c>
      <c r="B71" s="7">
        <v>361000</v>
      </c>
      <c r="C71" s="9">
        <v>3</v>
      </c>
      <c r="D71" s="8">
        <v>100044</v>
      </c>
      <c r="E71" s="9">
        <v>1</v>
      </c>
      <c r="F71" s="9">
        <v>1</v>
      </c>
      <c r="G71" s="9"/>
      <c r="H71" s="9"/>
      <c r="I71" s="9"/>
      <c r="J71" s="13" t="s">
        <v>3863</v>
      </c>
    </row>
    <row r="72" spans="1:10">
      <c r="A72" s="7">
        <v>67</v>
      </c>
      <c r="B72" s="7">
        <v>911031</v>
      </c>
      <c r="C72" s="7">
        <v>3</v>
      </c>
      <c r="D72" s="8">
        <v>400003</v>
      </c>
      <c r="E72" s="7">
        <v>0</v>
      </c>
      <c r="F72" s="7">
        <v>0</v>
      </c>
      <c r="J72" s="18" t="s">
        <v>3864</v>
      </c>
    </row>
    <row r="73" spans="1:10">
      <c r="A73" s="7">
        <v>68</v>
      </c>
      <c r="B73" s="7">
        <v>911032</v>
      </c>
      <c r="C73" s="7">
        <v>3</v>
      </c>
      <c r="D73" s="8">
        <v>400015</v>
      </c>
      <c r="E73" s="7">
        <v>95</v>
      </c>
      <c r="F73" s="7">
        <v>105</v>
      </c>
      <c r="J73" s="18" t="s">
        <v>3865</v>
      </c>
    </row>
    <row r="74" spans="1:13">
      <c r="A74" s="7">
        <v>69</v>
      </c>
      <c r="B74" s="7">
        <v>1300001</v>
      </c>
      <c r="C74" s="7">
        <v>2</v>
      </c>
      <c r="D74" s="10"/>
      <c r="G74" s="5">
        <v>440018</v>
      </c>
      <c r="H74" s="7">
        <v>10</v>
      </c>
      <c r="K74" s="10" t="s">
        <v>3834</v>
      </c>
      <c r="M74" s="7">
        <v>9</v>
      </c>
    </row>
    <row r="75" spans="1:13">
      <c r="A75" s="7">
        <v>70</v>
      </c>
      <c r="B75" s="7">
        <v>1300002</v>
      </c>
      <c r="C75" s="7">
        <v>2</v>
      </c>
      <c r="D75" s="10"/>
      <c r="G75" s="7">
        <v>440019</v>
      </c>
      <c r="H75" s="7">
        <v>10</v>
      </c>
      <c r="K75" s="10" t="s">
        <v>3866</v>
      </c>
      <c r="M75" s="7">
        <v>6</v>
      </c>
    </row>
    <row r="76" spans="1:13">
      <c r="A76" s="7">
        <v>71</v>
      </c>
      <c r="B76" s="7">
        <v>1300003</v>
      </c>
      <c r="C76" s="7">
        <v>2</v>
      </c>
      <c r="D76" s="10"/>
      <c r="G76" s="7">
        <v>440027</v>
      </c>
      <c r="H76" s="7">
        <v>10</v>
      </c>
      <c r="K76" s="10" t="s">
        <v>3835</v>
      </c>
      <c r="M76" s="7">
        <v>9</v>
      </c>
    </row>
    <row r="77" spans="1:13">
      <c r="A77" s="7">
        <v>72</v>
      </c>
      <c r="B77" s="7">
        <v>1300004</v>
      </c>
      <c r="C77" s="7">
        <v>2</v>
      </c>
      <c r="D77" s="10"/>
      <c r="G77" s="7">
        <v>440028</v>
      </c>
      <c r="H77" s="7">
        <v>10</v>
      </c>
      <c r="K77" s="10" t="s">
        <v>3867</v>
      </c>
      <c r="M77" s="7">
        <v>6</v>
      </c>
    </row>
    <row r="78" spans="1:13">
      <c r="A78" s="7">
        <v>73</v>
      </c>
      <c r="B78" s="7">
        <v>1300005</v>
      </c>
      <c r="C78" s="7">
        <v>2</v>
      </c>
      <c r="D78" s="10"/>
      <c r="G78" s="5">
        <v>440036</v>
      </c>
      <c r="H78" s="7">
        <v>10</v>
      </c>
      <c r="K78" s="10" t="s">
        <v>3836</v>
      </c>
      <c r="M78" s="7">
        <v>9</v>
      </c>
    </row>
    <row r="79" spans="1:13">
      <c r="A79" s="7">
        <v>74</v>
      </c>
      <c r="B79" s="7">
        <v>1300006</v>
      </c>
      <c r="C79" s="7">
        <v>2</v>
      </c>
      <c r="D79" s="10"/>
      <c r="G79" s="5">
        <v>440037</v>
      </c>
      <c r="H79" s="7">
        <v>10</v>
      </c>
      <c r="K79" s="10" t="s">
        <v>3868</v>
      </c>
      <c r="M79" s="7">
        <v>6</v>
      </c>
    </row>
    <row r="80" spans="1:13">
      <c r="A80" s="7">
        <v>75</v>
      </c>
      <c r="B80" s="7">
        <v>1300007</v>
      </c>
      <c r="C80" s="7">
        <v>2</v>
      </c>
      <c r="D80" s="10"/>
      <c r="G80" s="15">
        <v>440036</v>
      </c>
      <c r="H80" s="7">
        <v>10</v>
      </c>
      <c r="K80" s="10" t="s">
        <v>3869</v>
      </c>
      <c r="M80" s="7">
        <v>9</v>
      </c>
    </row>
    <row r="81" spans="1:13">
      <c r="A81" s="7">
        <v>76</v>
      </c>
      <c r="B81" s="7">
        <v>1300008</v>
      </c>
      <c r="C81" s="7">
        <v>2</v>
      </c>
      <c r="D81" s="10"/>
      <c r="G81" s="15">
        <v>440037</v>
      </c>
      <c r="H81" s="7">
        <v>10</v>
      </c>
      <c r="K81" s="10" t="s">
        <v>3870</v>
      </c>
      <c r="M81" s="7">
        <v>6</v>
      </c>
    </row>
    <row r="82" ht="15.75" spans="1:13">
      <c r="A82" s="7">
        <v>77</v>
      </c>
      <c r="B82" s="7">
        <v>1400001</v>
      </c>
      <c r="C82" s="7">
        <v>2</v>
      </c>
      <c r="D82" s="16"/>
      <c r="G82" s="5">
        <v>440014</v>
      </c>
      <c r="H82" s="7">
        <v>10</v>
      </c>
      <c r="K82" s="19" t="s">
        <v>3871</v>
      </c>
      <c r="M82" s="20">
        <v>10</v>
      </c>
    </row>
    <row r="83" ht="15.75" spans="1:13">
      <c r="A83" s="7">
        <v>78</v>
      </c>
      <c r="B83" s="7">
        <v>1400002</v>
      </c>
      <c r="C83" s="7">
        <v>2</v>
      </c>
      <c r="D83" s="16"/>
      <c r="G83" s="5">
        <v>440015</v>
      </c>
      <c r="H83" s="7">
        <v>10</v>
      </c>
      <c r="K83" s="19" t="s">
        <v>3872</v>
      </c>
      <c r="M83" s="20">
        <v>8</v>
      </c>
    </row>
    <row r="84" ht="15.75" spans="1:13">
      <c r="A84" s="7">
        <v>79</v>
      </c>
      <c r="B84" s="7">
        <v>1400003</v>
      </c>
      <c r="C84" s="7">
        <v>2</v>
      </c>
      <c r="D84" s="16"/>
      <c r="G84" s="5">
        <v>440016</v>
      </c>
      <c r="H84" s="7">
        <v>10</v>
      </c>
      <c r="K84" s="19" t="s">
        <v>3873</v>
      </c>
      <c r="M84" s="20">
        <v>6</v>
      </c>
    </row>
    <row r="85" ht="15.75" spans="1:13">
      <c r="A85" s="7">
        <v>80</v>
      </c>
      <c r="B85" s="7">
        <v>1400004</v>
      </c>
      <c r="C85" s="7">
        <v>2</v>
      </c>
      <c r="D85" s="16"/>
      <c r="G85" s="5">
        <v>440023</v>
      </c>
      <c r="H85" s="7">
        <v>10</v>
      </c>
      <c r="K85" s="19" t="s">
        <v>3874</v>
      </c>
      <c r="M85" s="20">
        <v>10</v>
      </c>
    </row>
    <row r="86" ht="15.75" spans="1:13">
      <c r="A86" s="7">
        <v>81</v>
      </c>
      <c r="B86" s="7">
        <v>1400005</v>
      </c>
      <c r="C86" s="7">
        <v>2</v>
      </c>
      <c r="D86" s="16"/>
      <c r="G86" s="5">
        <v>440024</v>
      </c>
      <c r="H86" s="7">
        <v>10</v>
      </c>
      <c r="K86" s="19" t="s">
        <v>3875</v>
      </c>
      <c r="M86" s="20">
        <v>8</v>
      </c>
    </row>
    <row r="87" ht="15.75" spans="1:13">
      <c r="A87" s="7">
        <v>82</v>
      </c>
      <c r="B87" s="7">
        <v>1400006</v>
      </c>
      <c r="C87" s="7">
        <v>2</v>
      </c>
      <c r="D87" s="16"/>
      <c r="G87" s="5">
        <v>440025</v>
      </c>
      <c r="H87" s="7">
        <v>10</v>
      </c>
      <c r="K87" s="19" t="s">
        <v>3876</v>
      </c>
      <c r="M87" s="20">
        <v>6</v>
      </c>
    </row>
    <row r="88" ht="15.75" spans="1:13">
      <c r="A88" s="7">
        <v>83</v>
      </c>
      <c r="B88" s="7">
        <v>1400007</v>
      </c>
      <c r="C88" s="7">
        <v>2</v>
      </c>
      <c r="D88" s="16"/>
      <c r="G88" s="5">
        <v>440032</v>
      </c>
      <c r="H88" s="7">
        <v>10</v>
      </c>
      <c r="K88" s="19" t="s">
        <v>3877</v>
      </c>
      <c r="M88" s="20">
        <v>10</v>
      </c>
    </row>
    <row r="89" ht="15.75" spans="1:13">
      <c r="A89" s="7">
        <v>84</v>
      </c>
      <c r="B89" s="7">
        <v>1400008</v>
      </c>
      <c r="C89" s="7">
        <v>2</v>
      </c>
      <c r="D89" s="16"/>
      <c r="G89" s="5">
        <v>440033</v>
      </c>
      <c r="H89" s="7">
        <v>10</v>
      </c>
      <c r="K89" s="19" t="s">
        <v>3878</v>
      </c>
      <c r="M89" s="20">
        <v>8</v>
      </c>
    </row>
    <row r="90" ht="15.75" spans="1:13">
      <c r="A90" s="7">
        <v>85</v>
      </c>
      <c r="B90" s="7">
        <v>1400009</v>
      </c>
      <c r="C90" s="7">
        <v>2</v>
      </c>
      <c r="D90" s="16"/>
      <c r="G90" s="5">
        <v>440034</v>
      </c>
      <c r="H90" s="7">
        <v>10</v>
      </c>
      <c r="K90" s="19" t="s">
        <v>3879</v>
      </c>
      <c r="M90" s="20">
        <v>6</v>
      </c>
    </row>
    <row r="91" ht="15.75" spans="1:13">
      <c r="A91" s="7">
        <v>86</v>
      </c>
      <c r="B91" s="7">
        <v>1400010</v>
      </c>
      <c r="C91" s="7">
        <v>2</v>
      </c>
      <c r="D91" s="16"/>
      <c r="G91" s="15">
        <v>440032</v>
      </c>
      <c r="H91" s="7">
        <v>10</v>
      </c>
      <c r="K91" s="19" t="s">
        <v>3880</v>
      </c>
      <c r="M91" s="20">
        <v>10</v>
      </c>
    </row>
    <row r="92" ht="15.75" spans="1:13">
      <c r="A92" s="7">
        <v>87</v>
      </c>
      <c r="B92" s="7">
        <v>1400011</v>
      </c>
      <c r="C92" s="7">
        <v>2</v>
      </c>
      <c r="D92" s="16"/>
      <c r="G92" s="15">
        <v>440033</v>
      </c>
      <c r="H92" s="7">
        <v>10</v>
      </c>
      <c r="K92" s="19" t="s">
        <v>3881</v>
      </c>
      <c r="M92" s="20">
        <v>8</v>
      </c>
    </row>
    <row r="93" ht="15.75" spans="1:13">
      <c r="A93" s="7">
        <v>88</v>
      </c>
      <c r="B93" s="7">
        <v>1400012</v>
      </c>
      <c r="C93" s="7">
        <v>2</v>
      </c>
      <c r="D93" s="16"/>
      <c r="G93" s="15">
        <v>440034</v>
      </c>
      <c r="H93" s="7">
        <v>10</v>
      </c>
      <c r="K93" s="19" t="s">
        <v>3882</v>
      </c>
      <c r="M93" s="20">
        <v>6</v>
      </c>
    </row>
    <row r="94" ht="15.75" spans="1:13">
      <c r="A94" s="7">
        <v>89</v>
      </c>
      <c r="B94" s="7">
        <v>1400050</v>
      </c>
      <c r="C94" s="7">
        <v>2</v>
      </c>
      <c r="D94" s="16"/>
      <c r="G94" s="7">
        <v>1300001</v>
      </c>
      <c r="H94" s="7">
        <v>15</v>
      </c>
      <c r="K94" s="21" t="s">
        <v>3883</v>
      </c>
      <c r="M94" s="20"/>
    </row>
    <row r="95" ht="15.75" spans="1:13">
      <c r="A95" s="7">
        <v>90</v>
      </c>
      <c r="B95" s="7">
        <v>1400050</v>
      </c>
      <c r="C95" s="7">
        <v>2</v>
      </c>
      <c r="D95" s="16"/>
      <c r="G95" s="7">
        <v>1300002</v>
      </c>
      <c r="H95" s="7">
        <v>10</v>
      </c>
      <c r="K95" s="21" t="s">
        <v>3883</v>
      </c>
      <c r="M95" s="20"/>
    </row>
    <row r="96" ht="15.75" spans="1:13">
      <c r="A96" s="7">
        <v>91</v>
      </c>
      <c r="B96" s="7">
        <v>1400050</v>
      </c>
      <c r="C96" s="7">
        <v>2</v>
      </c>
      <c r="D96" s="16"/>
      <c r="G96" s="7">
        <v>1400001</v>
      </c>
      <c r="H96" s="7">
        <v>20</v>
      </c>
      <c r="K96" s="21" t="s">
        <v>3883</v>
      </c>
      <c r="M96" s="20"/>
    </row>
    <row r="97" ht="15.75" spans="1:13">
      <c r="A97" s="7">
        <v>92</v>
      </c>
      <c r="B97" s="7">
        <v>1400050</v>
      </c>
      <c r="C97" s="7">
        <v>2</v>
      </c>
      <c r="D97" s="16"/>
      <c r="G97" s="7">
        <v>1400002</v>
      </c>
      <c r="H97" s="7">
        <v>10</v>
      </c>
      <c r="K97" s="21" t="s">
        <v>3883</v>
      </c>
      <c r="M97" s="20"/>
    </row>
    <row r="98" ht="15.75" spans="1:13">
      <c r="A98" s="7">
        <v>93</v>
      </c>
      <c r="B98" s="7">
        <v>1400050</v>
      </c>
      <c r="C98" s="7">
        <v>2</v>
      </c>
      <c r="D98" s="16"/>
      <c r="G98" s="7">
        <v>1400003</v>
      </c>
      <c r="H98" s="7">
        <v>5</v>
      </c>
      <c r="K98" s="21" t="s">
        <v>3883</v>
      </c>
      <c r="M98" s="20"/>
    </row>
    <row r="99" ht="15.75" spans="1:13">
      <c r="A99" s="7">
        <v>94</v>
      </c>
      <c r="B99" s="7">
        <v>1400050</v>
      </c>
      <c r="C99" s="7">
        <v>2</v>
      </c>
      <c r="D99" s="16"/>
      <c r="G99" s="7">
        <v>1400099</v>
      </c>
      <c r="H99" s="7">
        <v>76</v>
      </c>
      <c r="K99" s="21" t="s">
        <v>3883</v>
      </c>
      <c r="M99" s="20"/>
    </row>
    <row r="100" ht="15.75" spans="1:13">
      <c r="A100" s="7">
        <v>95</v>
      </c>
      <c r="B100" s="7">
        <v>1400051</v>
      </c>
      <c r="C100" s="7">
        <v>2</v>
      </c>
      <c r="D100" s="16"/>
      <c r="G100" s="7">
        <v>1300003</v>
      </c>
      <c r="H100" s="7">
        <v>15</v>
      </c>
      <c r="K100" s="21" t="s">
        <v>3884</v>
      </c>
      <c r="M100" s="20"/>
    </row>
    <row r="101" ht="15.75" spans="1:13">
      <c r="A101" s="7">
        <v>96</v>
      </c>
      <c r="B101" s="7">
        <v>1400051</v>
      </c>
      <c r="C101" s="7">
        <v>2</v>
      </c>
      <c r="D101" s="16"/>
      <c r="G101" s="7">
        <v>1300004</v>
      </c>
      <c r="H101" s="7">
        <v>10</v>
      </c>
      <c r="K101" s="21" t="s">
        <v>3884</v>
      </c>
      <c r="M101" s="20"/>
    </row>
    <row r="102" ht="15.75" spans="1:13">
      <c r="A102" s="7">
        <v>97</v>
      </c>
      <c r="B102" s="7">
        <v>1400051</v>
      </c>
      <c r="C102" s="7">
        <v>2</v>
      </c>
      <c r="D102" s="16"/>
      <c r="G102" s="7">
        <v>1400004</v>
      </c>
      <c r="H102" s="7">
        <v>20</v>
      </c>
      <c r="K102" s="21" t="s">
        <v>3884</v>
      </c>
      <c r="M102" s="20"/>
    </row>
    <row r="103" ht="15.75" spans="1:13">
      <c r="A103" s="7">
        <v>98</v>
      </c>
      <c r="B103" s="7">
        <v>1400051</v>
      </c>
      <c r="C103" s="7">
        <v>2</v>
      </c>
      <c r="D103" s="16"/>
      <c r="G103" s="7">
        <v>1400005</v>
      </c>
      <c r="H103" s="7">
        <v>10</v>
      </c>
      <c r="K103" s="21" t="s">
        <v>3884</v>
      </c>
      <c r="M103" s="20"/>
    </row>
    <row r="104" ht="15.75" spans="1:13">
      <c r="A104" s="7">
        <v>99</v>
      </c>
      <c r="B104" s="7">
        <v>1400051</v>
      </c>
      <c r="C104" s="7">
        <v>2</v>
      </c>
      <c r="D104" s="16"/>
      <c r="G104" s="7">
        <v>1400006</v>
      </c>
      <c r="H104" s="7">
        <v>5</v>
      </c>
      <c r="K104" s="21" t="s">
        <v>3884</v>
      </c>
      <c r="M104" s="20"/>
    </row>
    <row r="105" ht="15.75" spans="1:13">
      <c r="A105" s="7">
        <v>100</v>
      </c>
      <c r="B105" s="7">
        <v>1400051</v>
      </c>
      <c r="C105" s="7">
        <v>2</v>
      </c>
      <c r="D105" s="16"/>
      <c r="G105" s="7">
        <v>1400099</v>
      </c>
      <c r="H105" s="7">
        <v>76</v>
      </c>
      <c r="K105" s="21" t="s">
        <v>3884</v>
      </c>
      <c r="M105" s="20"/>
    </row>
    <row r="106" ht="15.75" spans="1:13">
      <c r="A106" s="7">
        <v>101</v>
      </c>
      <c r="B106" s="7">
        <v>1400052</v>
      </c>
      <c r="C106" s="7">
        <v>2</v>
      </c>
      <c r="D106" s="16"/>
      <c r="G106" s="7">
        <v>1300005</v>
      </c>
      <c r="H106" s="7">
        <v>15</v>
      </c>
      <c r="K106" s="21" t="s">
        <v>3885</v>
      </c>
      <c r="M106" s="20"/>
    </row>
    <row r="107" ht="15.75" spans="1:13">
      <c r="A107" s="7">
        <v>102</v>
      </c>
      <c r="B107" s="7">
        <v>1400052</v>
      </c>
      <c r="C107" s="7">
        <v>2</v>
      </c>
      <c r="D107" s="16"/>
      <c r="G107" s="7">
        <v>1300006</v>
      </c>
      <c r="H107" s="7">
        <v>10</v>
      </c>
      <c r="K107" s="21" t="s">
        <v>3885</v>
      </c>
      <c r="M107" s="20"/>
    </row>
    <row r="108" ht="15.75" spans="1:13">
      <c r="A108" s="7">
        <v>103</v>
      </c>
      <c r="B108" s="7">
        <v>1400052</v>
      </c>
      <c r="C108" s="7">
        <v>2</v>
      </c>
      <c r="D108" s="16"/>
      <c r="G108" s="7">
        <v>1400007</v>
      </c>
      <c r="H108" s="7">
        <v>20</v>
      </c>
      <c r="K108" s="21" t="s">
        <v>3885</v>
      </c>
      <c r="M108" s="20"/>
    </row>
    <row r="109" ht="15.75" spans="1:13">
      <c r="A109" s="7">
        <v>104</v>
      </c>
      <c r="B109" s="7">
        <v>1400052</v>
      </c>
      <c r="C109" s="7">
        <v>2</v>
      </c>
      <c r="D109" s="16"/>
      <c r="G109" s="7">
        <v>1400008</v>
      </c>
      <c r="H109" s="7">
        <v>10</v>
      </c>
      <c r="K109" s="21" t="s">
        <v>3885</v>
      </c>
      <c r="M109" s="20"/>
    </row>
    <row r="110" ht="15.75" spans="1:13">
      <c r="A110" s="7">
        <v>105</v>
      </c>
      <c r="B110" s="7">
        <v>1400052</v>
      </c>
      <c r="C110" s="7">
        <v>2</v>
      </c>
      <c r="D110" s="16"/>
      <c r="G110" s="7">
        <v>1400009</v>
      </c>
      <c r="H110" s="7">
        <v>5</v>
      </c>
      <c r="K110" s="21" t="s">
        <v>3885</v>
      </c>
      <c r="M110" s="20"/>
    </row>
    <row r="111" ht="15.75" spans="1:13">
      <c r="A111" s="7">
        <v>106</v>
      </c>
      <c r="B111" s="7">
        <v>1400052</v>
      </c>
      <c r="C111" s="7">
        <v>2</v>
      </c>
      <c r="D111" s="16"/>
      <c r="G111" s="7">
        <v>1400099</v>
      </c>
      <c r="H111" s="7">
        <v>76</v>
      </c>
      <c r="K111" s="21" t="s">
        <v>3885</v>
      </c>
      <c r="M111" s="20"/>
    </row>
    <row r="112" ht="15.75" spans="1:13">
      <c r="A112" s="7">
        <v>107</v>
      </c>
      <c r="B112" s="7">
        <v>1400053</v>
      </c>
      <c r="C112" s="7">
        <v>2</v>
      </c>
      <c r="D112" s="16"/>
      <c r="G112" s="7">
        <v>1300007</v>
      </c>
      <c r="H112" s="7">
        <v>15</v>
      </c>
      <c r="K112" s="21" t="s">
        <v>3886</v>
      </c>
      <c r="M112" s="20"/>
    </row>
    <row r="113" ht="15.75" spans="1:13">
      <c r="A113" s="7">
        <v>108</v>
      </c>
      <c r="B113" s="7">
        <v>1400053</v>
      </c>
      <c r="C113" s="7">
        <v>2</v>
      </c>
      <c r="D113" s="16"/>
      <c r="G113" s="7">
        <v>1300008</v>
      </c>
      <c r="H113" s="7">
        <v>10</v>
      </c>
      <c r="K113" s="21" t="s">
        <v>3886</v>
      </c>
      <c r="M113" s="20"/>
    </row>
    <row r="114" ht="15.75" spans="1:13">
      <c r="A114" s="7">
        <v>109</v>
      </c>
      <c r="B114" s="7">
        <v>1400053</v>
      </c>
      <c r="C114" s="7">
        <v>2</v>
      </c>
      <c r="D114" s="16"/>
      <c r="G114" s="7">
        <v>1400010</v>
      </c>
      <c r="H114" s="7">
        <v>20</v>
      </c>
      <c r="K114" s="21" t="s">
        <v>3886</v>
      </c>
      <c r="M114" s="20"/>
    </row>
    <row r="115" ht="15.75" spans="1:13">
      <c r="A115" s="7">
        <v>110</v>
      </c>
      <c r="B115" s="7">
        <v>1400053</v>
      </c>
      <c r="C115" s="7">
        <v>2</v>
      </c>
      <c r="D115" s="16"/>
      <c r="G115" s="7">
        <v>1400011</v>
      </c>
      <c r="H115" s="7">
        <v>10</v>
      </c>
      <c r="K115" s="21" t="s">
        <v>3886</v>
      </c>
      <c r="M115" s="20"/>
    </row>
    <row r="116" ht="15.75" spans="1:13">
      <c r="A116" s="7">
        <v>111</v>
      </c>
      <c r="B116" s="7">
        <v>1400053</v>
      </c>
      <c r="C116" s="7">
        <v>2</v>
      </c>
      <c r="D116" s="16"/>
      <c r="G116" s="7">
        <v>1400012</v>
      </c>
      <c r="H116" s="7">
        <v>5</v>
      </c>
      <c r="K116" s="21" t="s">
        <v>3886</v>
      </c>
      <c r="M116" s="20"/>
    </row>
    <row r="117" ht="15.75" spans="1:13">
      <c r="A117" s="7">
        <v>112</v>
      </c>
      <c r="B117" s="7">
        <v>1400053</v>
      </c>
      <c r="C117" s="7">
        <v>2</v>
      </c>
      <c r="D117" s="16"/>
      <c r="G117" s="7">
        <v>1400099</v>
      </c>
      <c r="H117" s="7">
        <v>76</v>
      </c>
      <c r="K117" s="21" t="s">
        <v>3886</v>
      </c>
      <c r="M117" s="20"/>
    </row>
    <row r="118" ht="15" spans="1:13">
      <c r="A118" s="7">
        <v>113</v>
      </c>
      <c r="B118" s="7">
        <v>1400099</v>
      </c>
      <c r="C118" s="7">
        <v>2</v>
      </c>
      <c r="D118" s="16"/>
      <c r="G118" s="5">
        <v>440005</v>
      </c>
      <c r="H118" s="17">
        <v>15</v>
      </c>
      <c r="K118" s="22" t="s">
        <v>3887</v>
      </c>
      <c r="M118" s="20">
        <v>1</v>
      </c>
    </row>
    <row r="119" ht="15" spans="1:13">
      <c r="A119" s="7">
        <v>114</v>
      </c>
      <c r="B119" s="7">
        <v>1400099</v>
      </c>
      <c r="C119" s="7">
        <v>2</v>
      </c>
      <c r="D119" s="16"/>
      <c r="G119" s="5">
        <v>440006</v>
      </c>
      <c r="H119" s="17">
        <v>10</v>
      </c>
      <c r="K119" s="22" t="s">
        <v>3888</v>
      </c>
      <c r="M119" s="20">
        <v>1</v>
      </c>
    </row>
    <row r="120" ht="15" spans="1:13">
      <c r="A120" s="7">
        <v>115</v>
      </c>
      <c r="B120" s="7">
        <v>1400099</v>
      </c>
      <c r="C120" s="7">
        <v>2</v>
      </c>
      <c r="D120" s="16"/>
      <c r="G120" s="5">
        <v>440007</v>
      </c>
      <c r="H120" s="17">
        <v>15</v>
      </c>
      <c r="K120" s="22" t="s">
        <v>3889</v>
      </c>
      <c r="M120" s="20">
        <v>1</v>
      </c>
    </row>
    <row r="121" ht="15" spans="1:13">
      <c r="A121" s="7">
        <v>116</v>
      </c>
      <c r="B121" s="7">
        <v>1400099</v>
      </c>
      <c r="C121" s="7">
        <v>2</v>
      </c>
      <c r="D121" s="16"/>
      <c r="G121" s="5">
        <v>440009</v>
      </c>
      <c r="H121" s="17">
        <v>10</v>
      </c>
      <c r="K121" s="22" t="s">
        <v>3890</v>
      </c>
      <c r="M121" s="20">
        <v>1000</v>
      </c>
    </row>
    <row r="122" ht="15.75" spans="1:13">
      <c r="A122" s="7">
        <v>117</v>
      </c>
      <c r="B122" s="7">
        <v>1400099</v>
      </c>
      <c r="C122" s="7">
        <v>2</v>
      </c>
      <c r="D122" s="16"/>
      <c r="G122" s="6">
        <v>440011</v>
      </c>
      <c r="H122" s="17">
        <v>10</v>
      </c>
      <c r="K122" s="19" t="s">
        <v>3891</v>
      </c>
      <c r="M122" s="20">
        <v>5000</v>
      </c>
    </row>
    <row r="123" ht="15.75" spans="1:13">
      <c r="A123" s="7">
        <v>118</v>
      </c>
      <c r="B123" s="7">
        <v>1400099</v>
      </c>
      <c r="C123" s="7">
        <v>2</v>
      </c>
      <c r="D123" s="16"/>
      <c r="G123" s="7">
        <v>1400088</v>
      </c>
      <c r="H123" s="17">
        <v>8</v>
      </c>
      <c r="K123" s="19" t="s">
        <v>3892</v>
      </c>
      <c r="M123" s="20">
        <v>50</v>
      </c>
    </row>
    <row r="124" ht="15.75" spans="1:13">
      <c r="A124" s="7">
        <v>119</v>
      </c>
      <c r="B124" s="7">
        <v>1400099</v>
      </c>
      <c r="C124" s="7">
        <v>2</v>
      </c>
      <c r="D124" s="16"/>
      <c r="G124" s="7">
        <v>1400088</v>
      </c>
      <c r="H124" s="7">
        <v>8</v>
      </c>
      <c r="K124" s="19" t="s">
        <v>3893</v>
      </c>
      <c r="M124" s="20">
        <v>30</v>
      </c>
    </row>
    <row r="125" ht="15.75" spans="1:13">
      <c r="A125" s="7">
        <v>120</v>
      </c>
      <c r="B125" s="7">
        <v>1400088</v>
      </c>
      <c r="C125" s="7">
        <v>3</v>
      </c>
      <c r="D125" s="15">
        <v>400013</v>
      </c>
      <c r="E125" s="7">
        <v>1</v>
      </c>
      <c r="F125" s="7">
        <v>1</v>
      </c>
      <c r="K125" s="19" t="s">
        <v>3894</v>
      </c>
      <c r="M125" s="20"/>
    </row>
    <row r="126" spans="1:11">
      <c r="A126" s="7">
        <v>121</v>
      </c>
      <c r="B126" s="7">
        <v>1500001</v>
      </c>
      <c r="C126" s="7">
        <v>3</v>
      </c>
      <c r="D126" s="7">
        <v>310001</v>
      </c>
      <c r="E126" s="7">
        <v>8</v>
      </c>
      <c r="F126" s="7">
        <v>8</v>
      </c>
      <c r="K126" s="7" t="s">
        <v>3895</v>
      </c>
    </row>
    <row r="127" spans="1:11">
      <c r="A127" s="7">
        <v>122</v>
      </c>
      <c r="B127" s="7">
        <v>1500001</v>
      </c>
      <c r="C127" s="7">
        <v>3</v>
      </c>
      <c r="D127" s="7">
        <v>310002</v>
      </c>
      <c r="E127" s="7">
        <v>3</v>
      </c>
      <c r="F127" s="7">
        <v>3</v>
      </c>
      <c r="K127" s="7" t="s">
        <v>3895</v>
      </c>
    </row>
    <row r="128" spans="1:11">
      <c r="A128" s="7">
        <v>123</v>
      </c>
      <c r="B128" s="7">
        <v>1500002</v>
      </c>
      <c r="C128" s="7">
        <v>3</v>
      </c>
      <c r="D128" s="7">
        <v>310001</v>
      </c>
      <c r="E128" s="7">
        <v>8</v>
      </c>
      <c r="F128" s="7">
        <v>8</v>
      </c>
      <c r="K128" s="7" t="s">
        <v>3896</v>
      </c>
    </row>
    <row r="129" spans="1:11">
      <c r="A129" s="7">
        <v>124</v>
      </c>
      <c r="B129" s="7">
        <v>1500002</v>
      </c>
      <c r="C129" s="7">
        <v>3</v>
      </c>
      <c r="D129" s="7">
        <v>310002</v>
      </c>
      <c r="E129" s="7">
        <v>3</v>
      </c>
      <c r="F129" s="7">
        <v>3</v>
      </c>
      <c r="K129" s="7" t="s">
        <v>3896</v>
      </c>
    </row>
    <row r="130" spans="1:11">
      <c r="A130" s="7">
        <v>125</v>
      </c>
      <c r="B130" s="7">
        <v>1500003</v>
      </c>
      <c r="C130" s="7">
        <v>3</v>
      </c>
      <c r="D130" s="7">
        <v>310001</v>
      </c>
      <c r="E130" s="7">
        <v>8</v>
      </c>
      <c r="F130" s="7">
        <v>8</v>
      </c>
      <c r="K130" s="7" t="s">
        <v>3897</v>
      </c>
    </row>
    <row r="131" spans="1:11">
      <c r="A131" s="7">
        <v>126</v>
      </c>
      <c r="B131" s="7">
        <v>1500003</v>
      </c>
      <c r="C131" s="7">
        <v>3</v>
      </c>
      <c r="D131" s="7">
        <v>310002</v>
      </c>
      <c r="E131" s="7">
        <v>3</v>
      </c>
      <c r="F131" s="7">
        <v>3</v>
      </c>
      <c r="K131" s="7" t="s">
        <v>3897</v>
      </c>
    </row>
    <row r="132" spans="1:11">
      <c r="A132" s="7">
        <v>127</v>
      </c>
      <c r="B132" s="7">
        <v>1500004</v>
      </c>
      <c r="C132" s="7">
        <v>3</v>
      </c>
      <c r="D132" s="7">
        <v>310001</v>
      </c>
      <c r="E132" s="7">
        <v>8</v>
      </c>
      <c r="F132" s="7">
        <v>8</v>
      </c>
      <c r="K132" s="7" t="s">
        <v>3898</v>
      </c>
    </row>
    <row r="133" spans="1:11">
      <c r="A133" s="7">
        <v>128</v>
      </c>
      <c r="B133" s="7">
        <v>1500004</v>
      </c>
      <c r="C133" s="7">
        <v>3</v>
      </c>
      <c r="D133" s="7">
        <v>310002</v>
      </c>
      <c r="E133" s="7">
        <v>3</v>
      </c>
      <c r="F133" s="7">
        <v>3</v>
      </c>
      <c r="K133" s="7" t="s">
        <v>3898</v>
      </c>
    </row>
    <row r="134" spans="1:11">
      <c r="A134" s="7">
        <v>129</v>
      </c>
      <c r="B134" s="7">
        <v>1500005</v>
      </c>
      <c r="C134" s="7">
        <v>3</v>
      </c>
      <c r="D134" s="7">
        <v>310001</v>
      </c>
      <c r="E134" s="7">
        <v>8</v>
      </c>
      <c r="F134" s="7">
        <v>8</v>
      </c>
      <c r="K134" s="7" t="s">
        <v>3899</v>
      </c>
    </row>
    <row r="135" spans="1:11">
      <c r="A135" s="7">
        <v>130</v>
      </c>
      <c r="B135" s="7">
        <v>1500005</v>
      </c>
      <c r="C135" s="7">
        <v>3</v>
      </c>
      <c r="D135" s="7">
        <v>310002</v>
      </c>
      <c r="E135" s="7">
        <v>3</v>
      </c>
      <c r="F135" s="7">
        <v>3</v>
      </c>
      <c r="K135" s="7" t="s">
        <v>3899</v>
      </c>
    </row>
    <row r="136" spans="1:11">
      <c r="A136" s="7">
        <v>131</v>
      </c>
      <c r="B136" s="7">
        <v>1500006</v>
      </c>
      <c r="C136" s="7">
        <v>3</v>
      </c>
      <c r="D136" s="7">
        <v>310001</v>
      </c>
      <c r="E136" s="7">
        <v>8</v>
      </c>
      <c r="F136" s="7">
        <v>8</v>
      </c>
      <c r="K136" s="7" t="s">
        <v>3900</v>
      </c>
    </row>
    <row r="137" spans="1:11">
      <c r="A137" s="7">
        <v>132</v>
      </c>
      <c r="B137" s="7">
        <v>1500006</v>
      </c>
      <c r="C137" s="7">
        <v>3</v>
      </c>
      <c r="D137" s="7">
        <v>310002</v>
      </c>
      <c r="E137" s="7">
        <v>3</v>
      </c>
      <c r="F137" s="7">
        <v>3</v>
      </c>
      <c r="K137" s="7" t="s">
        <v>3900</v>
      </c>
    </row>
    <row r="138" spans="1:11">
      <c r="A138" s="7">
        <v>133</v>
      </c>
      <c r="B138" s="7">
        <v>1500011</v>
      </c>
      <c r="C138" s="7">
        <v>3</v>
      </c>
      <c r="D138" s="7">
        <v>310003</v>
      </c>
      <c r="E138" s="7">
        <v>2</v>
      </c>
      <c r="F138" s="7">
        <v>2</v>
      </c>
      <c r="K138" s="7" t="s">
        <v>3901</v>
      </c>
    </row>
    <row r="139" spans="1:11">
      <c r="A139" s="7">
        <v>134</v>
      </c>
      <c r="B139" s="7">
        <v>1500011</v>
      </c>
      <c r="C139" s="7">
        <v>3</v>
      </c>
      <c r="D139" s="7">
        <v>400022</v>
      </c>
      <c r="E139" s="7">
        <v>2</v>
      </c>
      <c r="F139" s="7">
        <v>2</v>
      </c>
      <c r="K139" s="7" t="s">
        <v>3901</v>
      </c>
    </row>
    <row r="140" spans="1:11">
      <c r="A140" s="7">
        <v>135</v>
      </c>
      <c r="B140" s="7">
        <v>1500012</v>
      </c>
      <c r="C140" s="7">
        <v>3</v>
      </c>
      <c r="D140" s="7">
        <v>310003</v>
      </c>
      <c r="E140" s="7">
        <v>2</v>
      </c>
      <c r="F140" s="7">
        <v>2</v>
      </c>
      <c r="K140" s="7" t="s">
        <v>3901</v>
      </c>
    </row>
    <row r="141" spans="1:11">
      <c r="A141" s="7">
        <v>136</v>
      </c>
      <c r="B141" s="7">
        <v>1500012</v>
      </c>
      <c r="C141" s="7">
        <v>3</v>
      </c>
      <c r="D141" s="7">
        <v>400022</v>
      </c>
      <c r="E141" s="7">
        <v>2</v>
      </c>
      <c r="F141" s="7">
        <v>2</v>
      </c>
      <c r="K141" s="7" t="s">
        <v>3901</v>
      </c>
    </row>
    <row r="142" spans="1:11">
      <c r="A142" s="7">
        <v>137</v>
      </c>
      <c r="B142" s="7">
        <v>1500013</v>
      </c>
      <c r="C142" s="7">
        <v>3</v>
      </c>
      <c r="D142" s="7">
        <v>310003</v>
      </c>
      <c r="E142" s="7">
        <v>2</v>
      </c>
      <c r="F142" s="7">
        <v>2</v>
      </c>
      <c r="K142" s="7" t="s">
        <v>3901</v>
      </c>
    </row>
    <row r="143" spans="1:11">
      <c r="A143" s="7">
        <v>138</v>
      </c>
      <c r="B143" s="7">
        <v>1500013</v>
      </c>
      <c r="C143" s="7">
        <v>3</v>
      </c>
      <c r="D143" s="7">
        <v>400022</v>
      </c>
      <c r="E143" s="7">
        <v>2</v>
      </c>
      <c r="F143" s="7">
        <v>2</v>
      </c>
      <c r="K143" s="7" t="s">
        <v>3901</v>
      </c>
    </row>
    <row r="144" spans="1:11">
      <c r="A144" s="7">
        <v>139</v>
      </c>
      <c r="B144" s="7">
        <v>1500014</v>
      </c>
      <c r="C144" s="7">
        <v>3</v>
      </c>
      <c r="D144" s="7">
        <v>310003</v>
      </c>
      <c r="E144" s="7">
        <v>2</v>
      </c>
      <c r="F144" s="7">
        <v>2</v>
      </c>
      <c r="K144" s="7" t="s">
        <v>3901</v>
      </c>
    </row>
    <row r="145" spans="1:11">
      <c r="A145" s="7">
        <v>140</v>
      </c>
      <c r="B145" s="7">
        <v>1500014</v>
      </c>
      <c r="C145" s="7">
        <v>3</v>
      </c>
      <c r="D145" s="7">
        <v>400022</v>
      </c>
      <c r="E145" s="7">
        <v>2</v>
      </c>
      <c r="F145" s="7">
        <v>2</v>
      </c>
      <c r="K145" s="7" t="s">
        <v>3901</v>
      </c>
    </row>
    <row r="146" spans="1:11">
      <c r="A146" s="7">
        <v>141</v>
      </c>
      <c r="B146" s="7">
        <v>1500015</v>
      </c>
      <c r="C146" s="7">
        <v>3</v>
      </c>
      <c r="D146" s="7">
        <v>310003</v>
      </c>
      <c r="E146" s="7">
        <v>2</v>
      </c>
      <c r="F146" s="7">
        <v>2</v>
      </c>
      <c r="K146" s="7" t="s">
        <v>3901</v>
      </c>
    </row>
    <row r="147" spans="1:11">
      <c r="A147" s="7">
        <v>142</v>
      </c>
      <c r="B147" s="7">
        <v>1500015</v>
      </c>
      <c r="C147" s="7">
        <v>3</v>
      </c>
      <c r="D147" s="7">
        <v>400022</v>
      </c>
      <c r="E147" s="7">
        <v>2</v>
      </c>
      <c r="F147" s="7">
        <v>2</v>
      </c>
      <c r="K147" s="7" t="s">
        <v>3901</v>
      </c>
    </row>
    <row r="148" spans="1:11">
      <c r="A148" s="7">
        <v>143</v>
      </c>
      <c r="B148" s="7">
        <v>1500016</v>
      </c>
      <c r="C148" s="7">
        <v>3</v>
      </c>
      <c r="D148" s="7">
        <v>310003</v>
      </c>
      <c r="E148" s="7">
        <v>2</v>
      </c>
      <c r="F148" s="7">
        <v>2</v>
      </c>
      <c r="K148" s="7" t="s">
        <v>3901</v>
      </c>
    </row>
    <row r="149" spans="1:11">
      <c r="A149" s="7">
        <v>144</v>
      </c>
      <c r="B149" s="7">
        <v>1500016</v>
      </c>
      <c r="C149" s="7">
        <v>3</v>
      </c>
      <c r="D149" s="7">
        <v>400022</v>
      </c>
      <c r="E149" s="7">
        <v>2</v>
      </c>
      <c r="F149" s="7">
        <v>2</v>
      </c>
      <c r="K149" s="7" t="s">
        <v>3901</v>
      </c>
    </row>
    <row r="150" ht="15" spans="1:15">
      <c r="A150" s="7">
        <v>145</v>
      </c>
      <c r="B150" s="6">
        <v>440001</v>
      </c>
      <c r="C150" s="6">
        <v>3</v>
      </c>
      <c r="D150" s="6">
        <v>310001</v>
      </c>
      <c r="E150" s="6">
        <v>1</v>
      </c>
      <c r="F150" s="6">
        <v>1</v>
      </c>
      <c r="G150" s="6"/>
      <c r="H150" s="6"/>
      <c r="I150" s="6"/>
      <c r="J150" s="23" t="s">
        <v>3902</v>
      </c>
      <c r="K150" s="6"/>
      <c r="L150" s="6"/>
      <c r="M150" s="6"/>
      <c r="N150" s="6"/>
      <c r="O150" s="6"/>
    </row>
    <row r="151" ht="15" spans="1:15">
      <c r="A151" s="7">
        <v>146</v>
      </c>
      <c r="B151" s="6">
        <v>440002</v>
      </c>
      <c r="C151" s="6">
        <v>3</v>
      </c>
      <c r="D151" s="6">
        <v>310002</v>
      </c>
      <c r="E151" s="6">
        <v>1</v>
      </c>
      <c r="F151" s="6">
        <v>1</v>
      </c>
      <c r="G151" s="6"/>
      <c r="H151" s="6"/>
      <c r="I151" s="6"/>
      <c r="J151" s="23" t="s">
        <v>3903</v>
      </c>
      <c r="K151" s="6"/>
      <c r="L151" s="6"/>
      <c r="M151" s="6"/>
      <c r="N151" s="6"/>
      <c r="O151" s="6"/>
    </row>
    <row r="152" ht="15" spans="1:15">
      <c r="A152" s="7">
        <v>147</v>
      </c>
      <c r="B152" s="6">
        <v>440003</v>
      </c>
      <c r="C152" s="6">
        <v>3</v>
      </c>
      <c r="D152" s="6">
        <v>310003</v>
      </c>
      <c r="E152" s="6">
        <v>1</v>
      </c>
      <c r="F152" s="6">
        <v>1</v>
      </c>
      <c r="G152" s="6"/>
      <c r="H152" s="6"/>
      <c r="I152" s="6"/>
      <c r="J152" s="23" t="s">
        <v>3904</v>
      </c>
      <c r="K152" s="6"/>
      <c r="L152" s="6"/>
      <c r="M152" s="6"/>
      <c r="N152" s="6"/>
      <c r="O152" s="6"/>
    </row>
    <row r="153" ht="15" spans="1:15">
      <c r="A153" s="7">
        <v>148</v>
      </c>
      <c r="B153" s="6">
        <v>440004</v>
      </c>
      <c r="C153" s="6">
        <v>3</v>
      </c>
      <c r="D153" s="6">
        <v>310004</v>
      </c>
      <c r="E153" s="6">
        <v>1</v>
      </c>
      <c r="F153" s="6">
        <v>1</v>
      </c>
      <c r="G153" s="6"/>
      <c r="H153" s="6"/>
      <c r="I153" s="6"/>
      <c r="J153" s="23" t="s">
        <v>3905</v>
      </c>
      <c r="K153" s="6"/>
      <c r="L153" s="6"/>
      <c r="M153" s="6"/>
      <c r="N153" s="6"/>
      <c r="O153" s="6"/>
    </row>
    <row r="154" ht="15" spans="1:15">
      <c r="A154" s="7">
        <v>149</v>
      </c>
      <c r="B154" s="6">
        <v>440005</v>
      </c>
      <c r="C154" s="6">
        <v>3</v>
      </c>
      <c r="D154" s="6">
        <v>2000002</v>
      </c>
      <c r="E154" s="6">
        <v>1</v>
      </c>
      <c r="F154" s="6">
        <v>1</v>
      </c>
      <c r="G154" s="6"/>
      <c r="H154" s="6"/>
      <c r="I154" s="6"/>
      <c r="J154" s="1" t="s">
        <v>3906</v>
      </c>
      <c r="K154" s="6"/>
      <c r="L154" s="6"/>
      <c r="M154" s="6"/>
      <c r="N154" s="6"/>
      <c r="O154" s="6"/>
    </row>
    <row r="155" ht="15" spans="1:15">
      <c r="A155" s="7">
        <v>150</v>
      </c>
      <c r="B155" s="6">
        <v>440006</v>
      </c>
      <c r="C155" s="6">
        <v>3</v>
      </c>
      <c r="D155" s="6">
        <v>2000004</v>
      </c>
      <c r="E155" s="6">
        <v>1</v>
      </c>
      <c r="F155" s="6">
        <v>1</v>
      </c>
      <c r="G155" s="6"/>
      <c r="H155" s="6"/>
      <c r="I155" s="6"/>
      <c r="J155" s="1" t="s">
        <v>3907</v>
      </c>
      <c r="K155" s="6"/>
      <c r="L155" s="6"/>
      <c r="M155" s="6"/>
      <c r="N155" s="6"/>
      <c r="O155" s="6"/>
    </row>
    <row r="156" ht="15" spans="1:15">
      <c r="A156" s="7">
        <v>151</v>
      </c>
      <c r="B156" s="6">
        <v>440007</v>
      </c>
      <c r="C156" s="6">
        <v>3</v>
      </c>
      <c r="D156" s="6">
        <v>2100003</v>
      </c>
      <c r="E156" s="6">
        <v>1</v>
      </c>
      <c r="F156" s="6">
        <v>1</v>
      </c>
      <c r="G156" s="6"/>
      <c r="H156" s="6"/>
      <c r="I156" s="6"/>
      <c r="J156" s="1" t="s">
        <v>3908</v>
      </c>
      <c r="K156" s="6"/>
      <c r="L156" s="6"/>
      <c r="M156" s="6"/>
      <c r="N156" s="6"/>
      <c r="O156" s="6"/>
    </row>
    <row r="157" ht="15" spans="1:15">
      <c r="A157" s="7">
        <v>152</v>
      </c>
      <c r="B157" s="6">
        <v>440008</v>
      </c>
      <c r="C157" s="6">
        <v>3</v>
      </c>
      <c r="D157" s="6">
        <v>400015</v>
      </c>
      <c r="E157" s="6">
        <v>1</v>
      </c>
      <c r="F157" s="6">
        <v>1</v>
      </c>
      <c r="G157" s="6"/>
      <c r="H157" s="6"/>
      <c r="I157" s="6"/>
      <c r="J157" s="1" t="s">
        <v>3909</v>
      </c>
      <c r="K157" s="6"/>
      <c r="L157" s="6"/>
      <c r="M157" s="6"/>
      <c r="N157" s="6"/>
      <c r="O157" s="6"/>
    </row>
    <row r="158" ht="15" spans="1:15">
      <c r="A158" s="7">
        <v>153</v>
      </c>
      <c r="B158" s="6">
        <v>440009</v>
      </c>
      <c r="C158" s="6">
        <v>3</v>
      </c>
      <c r="D158" s="6">
        <v>400015</v>
      </c>
      <c r="E158" s="6">
        <v>1</v>
      </c>
      <c r="F158" s="6">
        <v>1</v>
      </c>
      <c r="G158" s="6"/>
      <c r="H158" s="6"/>
      <c r="I158" s="6"/>
      <c r="J158" s="1" t="s">
        <v>3910</v>
      </c>
      <c r="K158" s="6"/>
      <c r="L158" s="6"/>
      <c r="M158" s="6"/>
      <c r="N158" s="6"/>
      <c r="O158" s="6"/>
    </row>
    <row r="159" ht="15" spans="1:15">
      <c r="A159" s="7">
        <v>154</v>
      </c>
      <c r="B159" s="6">
        <v>440010</v>
      </c>
      <c r="C159" s="6">
        <v>3</v>
      </c>
      <c r="D159" s="6">
        <v>400015</v>
      </c>
      <c r="E159" s="6">
        <v>1</v>
      </c>
      <c r="F159" s="6">
        <v>1</v>
      </c>
      <c r="G159" s="6"/>
      <c r="H159" s="6"/>
      <c r="I159" s="6"/>
      <c r="J159" s="1" t="s">
        <v>3911</v>
      </c>
      <c r="K159" s="6"/>
      <c r="L159" s="6"/>
      <c r="M159" s="6"/>
      <c r="N159" s="6"/>
      <c r="O159" s="6"/>
    </row>
    <row r="160" ht="15" spans="1:15">
      <c r="A160" s="7">
        <v>155</v>
      </c>
      <c r="B160" s="6">
        <v>440011</v>
      </c>
      <c r="C160" s="6">
        <v>3</v>
      </c>
      <c r="D160" s="6">
        <v>400023</v>
      </c>
      <c r="E160" s="6">
        <v>1</v>
      </c>
      <c r="F160" s="6">
        <v>1</v>
      </c>
      <c r="G160" s="6"/>
      <c r="H160" s="6"/>
      <c r="I160" s="6"/>
      <c r="J160" s="1" t="s">
        <v>3912</v>
      </c>
      <c r="K160" s="6"/>
      <c r="L160" s="6"/>
      <c r="M160" s="6"/>
      <c r="N160" s="6"/>
      <c r="O160" s="6"/>
    </row>
    <row r="161" ht="15" spans="1:15">
      <c r="A161" s="7">
        <v>156</v>
      </c>
      <c r="B161" s="6">
        <v>440012</v>
      </c>
      <c r="C161" s="6">
        <v>3</v>
      </c>
      <c r="D161" s="6">
        <v>400023</v>
      </c>
      <c r="E161" s="6">
        <v>1</v>
      </c>
      <c r="F161" s="6">
        <v>1</v>
      </c>
      <c r="G161" s="6"/>
      <c r="H161" s="6"/>
      <c r="I161" s="6"/>
      <c r="J161" s="1" t="s">
        <v>3913</v>
      </c>
      <c r="K161" s="6"/>
      <c r="L161" s="6"/>
      <c r="M161" s="6"/>
      <c r="N161" s="6"/>
      <c r="O161" s="6"/>
    </row>
    <row r="162" ht="15" spans="1:15">
      <c r="A162" s="7">
        <v>157</v>
      </c>
      <c r="B162" s="6">
        <v>440013</v>
      </c>
      <c r="C162" s="6">
        <v>3</v>
      </c>
      <c r="D162" s="6">
        <v>400023</v>
      </c>
      <c r="E162" s="6">
        <v>1</v>
      </c>
      <c r="F162" s="6">
        <v>1</v>
      </c>
      <c r="G162" s="6"/>
      <c r="H162" s="6"/>
      <c r="I162" s="6"/>
      <c r="J162" s="1" t="s">
        <v>3914</v>
      </c>
      <c r="K162" s="6"/>
      <c r="L162" s="6"/>
      <c r="M162" s="6"/>
      <c r="N162" s="6"/>
      <c r="O162" s="6"/>
    </row>
    <row r="163" ht="15.75" spans="1:15">
      <c r="A163" s="7">
        <v>158</v>
      </c>
      <c r="B163" s="6">
        <v>440014</v>
      </c>
      <c r="C163" s="6">
        <v>2</v>
      </c>
      <c r="D163" s="6"/>
      <c r="E163" s="6"/>
      <c r="F163" s="6"/>
      <c r="G163" s="6">
        <v>441001</v>
      </c>
      <c r="H163" s="6">
        <v>10</v>
      </c>
      <c r="I163" s="6"/>
      <c r="J163" s="24" t="s">
        <v>3915</v>
      </c>
      <c r="K163" s="6"/>
      <c r="L163" s="6"/>
      <c r="M163" s="6"/>
      <c r="N163" s="6"/>
      <c r="O163" s="6"/>
    </row>
    <row r="164" ht="15.75" spans="1:15">
      <c r="A164" s="7">
        <v>159</v>
      </c>
      <c r="B164" s="6">
        <v>440014</v>
      </c>
      <c r="C164" s="6">
        <v>2</v>
      </c>
      <c r="D164" s="6"/>
      <c r="E164" s="6"/>
      <c r="F164" s="6"/>
      <c r="G164" s="6">
        <v>441002</v>
      </c>
      <c r="H164" s="6">
        <v>10</v>
      </c>
      <c r="I164" s="6"/>
      <c r="J164" s="24" t="s">
        <v>3915</v>
      </c>
      <c r="K164" s="6"/>
      <c r="L164" s="6"/>
      <c r="M164" s="6"/>
      <c r="N164" s="6"/>
      <c r="O164" s="6"/>
    </row>
    <row r="165" ht="15.75" spans="1:15">
      <c r="A165" s="7">
        <v>160</v>
      </c>
      <c r="B165" s="6">
        <v>440014</v>
      </c>
      <c r="C165" s="6">
        <v>2</v>
      </c>
      <c r="D165" s="6"/>
      <c r="E165" s="6"/>
      <c r="F165" s="6"/>
      <c r="G165" s="6">
        <v>441003</v>
      </c>
      <c r="H165" s="6">
        <v>10</v>
      </c>
      <c r="I165" s="6"/>
      <c r="J165" s="24" t="s">
        <v>3915</v>
      </c>
      <c r="K165" s="6"/>
      <c r="L165" s="6"/>
      <c r="M165" s="6"/>
      <c r="N165" s="6"/>
      <c r="O165" s="6"/>
    </row>
    <row r="166" ht="15.75" spans="1:15">
      <c r="A166" s="7">
        <v>161</v>
      </c>
      <c r="B166" s="6">
        <v>440014</v>
      </c>
      <c r="C166" s="6">
        <v>2</v>
      </c>
      <c r="D166" s="6"/>
      <c r="E166" s="6"/>
      <c r="F166" s="6"/>
      <c r="G166" s="6">
        <v>441004</v>
      </c>
      <c r="H166" s="6">
        <v>10</v>
      </c>
      <c r="I166" s="6"/>
      <c r="J166" s="24" t="s">
        <v>3915</v>
      </c>
      <c r="K166" s="6"/>
      <c r="L166" s="6"/>
      <c r="M166" s="6"/>
      <c r="N166" s="6"/>
      <c r="O166" s="6"/>
    </row>
    <row r="167" ht="15.75" spans="1:15">
      <c r="A167" s="7">
        <v>162</v>
      </c>
      <c r="B167" s="6">
        <v>440014</v>
      </c>
      <c r="C167" s="6">
        <v>2</v>
      </c>
      <c r="D167" s="6"/>
      <c r="E167" s="6"/>
      <c r="F167" s="6"/>
      <c r="G167" s="6">
        <v>441005</v>
      </c>
      <c r="H167" s="6">
        <v>10</v>
      </c>
      <c r="I167" s="6"/>
      <c r="J167" s="24" t="s">
        <v>3915</v>
      </c>
      <c r="K167" s="6"/>
      <c r="L167" s="6"/>
      <c r="M167" s="6"/>
      <c r="N167" s="6"/>
      <c r="O167" s="6"/>
    </row>
    <row r="168" ht="15.75" spans="1:15">
      <c r="A168" s="7">
        <v>163</v>
      </c>
      <c r="B168" s="6">
        <v>440014</v>
      </c>
      <c r="C168" s="6">
        <v>2</v>
      </c>
      <c r="D168" s="6"/>
      <c r="E168" s="6"/>
      <c r="F168" s="6"/>
      <c r="G168" s="6">
        <v>441006</v>
      </c>
      <c r="H168" s="6">
        <v>10</v>
      </c>
      <c r="I168" s="6"/>
      <c r="J168" s="24" t="s">
        <v>3915</v>
      </c>
      <c r="K168" s="6"/>
      <c r="L168" s="6"/>
      <c r="M168" s="6"/>
      <c r="N168" s="6"/>
      <c r="O168" s="6"/>
    </row>
    <row r="169" ht="15.75" spans="1:15">
      <c r="A169" s="7">
        <v>164</v>
      </c>
      <c r="B169" s="6">
        <v>440014</v>
      </c>
      <c r="C169" s="6">
        <v>2</v>
      </c>
      <c r="D169" s="6"/>
      <c r="E169" s="6"/>
      <c r="F169" s="6"/>
      <c r="G169" s="6">
        <v>441007</v>
      </c>
      <c r="H169" s="6">
        <v>10</v>
      </c>
      <c r="I169" s="6"/>
      <c r="J169" s="24" t="s">
        <v>3915</v>
      </c>
      <c r="K169" s="6"/>
      <c r="L169" s="6"/>
      <c r="M169" s="6"/>
      <c r="N169" s="6"/>
      <c r="O169" s="6"/>
    </row>
    <row r="170" ht="15.75" spans="1:15">
      <c r="A170" s="7">
        <v>165</v>
      </c>
      <c r="B170" s="6">
        <v>440014</v>
      </c>
      <c r="C170" s="6">
        <v>2</v>
      </c>
      <c r="D170" s="6"/>
      <c r="E170" s="6"/>
      <c r="F170" s="6"/>
      <c r="G170" s="6">
        <v>441008</v>
      </c>
      <c r="H170" s="6">
        <v>10</v>
      </c>
      <c r="I170" s="6"/>
      <c r="J170" s="24" t="s">
        <v>3915</v>
      </c>
      <c r="K170" s="6"/>
      <c r="L170" s="6"/>
      <c r="M170" s="6"/>
      <c r="N170" s="6"/>
      <c r="O170" s="6"/>
    </row>
    <row r="171" ht="15.75" spans="1:15">
      <c r="A171" s="7">
        <v>166</v>
      </c>
      <c r="B171" s="6">
        <v>440014</v>
      </c>
      <c r="C171" s="6">
        <v>2</v>
      </c>
      <c r="D171" s="6"/>
      <c r="E171" s="6"/>
      <c r="F171" s="6"/>
      <c r="G171" s="6">
        <v>441009</v>
      </c>
      <c r="H171" s="6">
        <v>10</v>
      </c>
      <c r="I171" s="6"/>
      <c r="J171" s="24" t="s">
        <v>3915</v>
      </c>
      <c r="K171" s="6"/>
      <c r="L171" s="6"/>
      <c r="M171" s="6"/>
      <c r="N171" s="6"/>
      <c r="O171" s="6"/>
    </row>
    <row r="172" ht="15.75" spans="1:15">
      <c r="A172" s="7">
        <v>167</v>
      </c>
      <c r="B172" s="6">
        <v>440014</v>
      </c>
      <c r="C172" s="6">
        <v>2</v>
      </c>
      <c r="D172" s="6"/>
      <c r="E172" s="6"/>
      <c r="F172" s="6"/>
      <c r="G172" s="6">
        <v>441010</v>
      </c>
      <c r="H172" s="6">
        <v>10</v>
      </c>
      <c r="I172" s="6"/>
      <c r="J172" s="24" t="s">
        <v>3915</v>
      </c>
      <c r="K172" s="6"/>
      <c r="L172" s="6"/>
      <c r="M172" s="6"/>
      <c r="N172" s="6"/>
      <c r="O172" s="6"/>
    </row>
    <row r="173" ht="15.75" spans="1:15">
      <c r="A173" s="7">
        <v>168</v>
      </c>
      <c r="B173" s="6">
        <v>440014</v>
      </c>
      <c r="C173" s="6">
        <v>2</v>
      </c>
      <c r="D173" s="6"/>
      <c r="E173" s="6"/>
      <c r="F173" s="6"/>
      <c r="G173" s="6">
        <v>441011</v>
      </c>
      <c r="H173" s="6">
        <v>10</v>
      </c>
      <c r="I173" s="6"/>
      <c r="J173" s="24" t="s">
        <v>3915</v>
      </c>
      <c r="K173" s="6"/>
      <c r="L173" s="6"/>
      <c r="M173" s="6"/>
      <c r="N173" s="6"/>
      <c r="O173" s="6"/>
    </row>
    <row r="174" ht="15.75" spans="1:15">
      <c r="A174" s="7">
        <v>169</v>
      </c>
      <c r="B174" s="6">
        <v>440014</v>
      </c>
      <c r="C174" s="6">
        <v>2</v>
      </c>
      <c r="D174" s="6"/>
      <c r="E174" s="6"/>
      <c r="F174" s="6"/>
      <c r="G174" s="6">
        <v>441012</v>
      </c>
      <c r="H174" s="6">
        <v>10</v>
      </c>
      <c r="I174" s="6"/>
      <c r="J174" s="24" t="s">
        <v>3915</v>
      </c>
      <c r="K174" s="6"/>
      <c r="L174" s="6"/>
      <c r="M174" s="6"/>
      <c r="N174" s="6"/>
      <c r="O174" s="6"/>
    </row>
    <row r="175" ht="15.75" spans="1:15">
      <c r="A175" s="7">
        <v>170</v>
      </c>
      <c r="B175" s="6">
        <v>440014</v>
      </c>
      <c r="C175" s="6">
        <v>2</v>
      </c>
      <c r="D175" s="6"/>
      <c r="E175" s="6"/>
      <c r="F175" s="6"/>
      <c r="G175" s="6">
        <v>441013</v>
      </c>
      <c r="H175" s="6">
        <v>10</v>
      </c>
      <c r="I175" s="6"/>
      <c r="J175" s="24" t="s">
        <v>3915</v>
      </c>
      <c r="K175" s="6"/>
      <c r="L175" s="6"/>
      <c r="M175" s="6"/>
      <c r="N175" s="6"/>
      <c r="O175" s="6"/>
    </row>
    <row r="176" ht="15.75" spans="1:15">
      <c r="A176" s="7">
        <v>171</v>
      </c>
      <c r="B176" s="6">
        <v>440014</v>
      </c>
      <c r="C176" s="6">
        <v>2</v>
      </c>
      <c r="D176" s="6"/>
      <c r="E176" s="6"/>
      <c r="F176" s="6"/>
      <c r="G176" s="6">
        <v>441014</v>
      </c>
      <c r="H176" s="6">
        <v>10</v>
      </c>
      <c r="I176" s="6"/>
      <c r="J176" s="24" t="s">
        <v>3915</v>
      </c>
      <c r="K176" s="6"/>
      <c r="L176" s="6"/>
      <c r="M176" s="6"/>
      <c r="N176" s="6"/>
      <c r="O176" s="6"/>
    </row>
    <row r="177" ht="15.75" spans="1:15">
      <c r="A177" s="7">
        <v>172</v>
      </c>
      <c r="B177" s="6">
        <v>440014</v>
      </c>
      <c r="C177" s="6">
        <v>2</v>
      </c>
      <c r="D177" s="6"/>
      <c r="E177" s="6"/>
      <c r="F177" s="6"/>
      <c r="G177" s="6">
        <v>441015</v>
      </c>
      <c r="H177" s="6">
        <v>10</v>
      </c>
      <c r="I177" s="6"/>
      <c r="J177" s="24" t="s">
        <v>3915</v>
      </c>
      <c r="K177" s="6"/>
      <c r="L177" s="6"/>
      <c r="M177" s="6"/>
      <c r="N177" s="6"/>
      <c r="O177" s="6"/>
    </row>
    <row r="178" ht="15.75" spans="1:15">
      <c r="A178" s="7">
        <v>173</v>
      </c>
      <c r="B178" s="6">
        <v>440014</v>
      </c>
      <c r="C178" s="6">
        <v>2</v>
      </c>
      <c r="D178" s="6"/>
      <c r="E178" s="6"/>
      <c r="F178" s="6"/>
      <c r="G178" s="6">
        <v>441016</v>
      </c>
      <c r="H178" s="6">
        <v>10</v>
      </c>
      <c r="I178" s="6"/>
      <c r="J178" s="24" t="s">
        <v>3915</v>
      </c>
      <c r="K178" s="6"/>
      <c r="L178" s="6"/>
      <c r="M178" s="6"/>
      <c r="N178" s="6"/>
      <c r="O178" s="6"/>
    </row>
    <row r="179" ht="15.75" spans="1:15">
      <c r="A179" s="7">
        <v>174</v>
      </c>
      <c r="B179" s="6">
        <v>440015</v>
      </c>
      <c r="C179" s="6">
        <v>2</v>
      </c>
      <c r="D179" s="6"/>
      <c r="E179" s="6"/>
      <c r="F179" s="6"/>
      <c r="G179" s="6">
        <v>441017</v>
      </c>
      <c r="H179" s="6">
        <v>10</v>
      </c>
      <c r="I179" s="6"/>
      <c r="J179" s="25" t="s">
        <v>3916</v>
      </c>
      <c r="K179" s="6"/>
      <c r="L179" s="6"/>
      <c r="M179" s="6"/>
      <c r="N179" s="6"/>
      <c r="O179" s="6"/>
    </row>
    <row r="180" ht="15.75" spans="1:15">
      <c r="A180" s="7">
        <v>175</v>
      </c>
      <c r="B180" s="6">
        <v>440015</v>
      </c>
      <c r="C180" s="6">
        <v>2</v>
      </c>
      <c r="D180" s="6"/>
      <c r="E180" s="6"/>
      <c r="F180" s="6"/>
      <c r="G180" s="6">
        <v>441018</v>
      </c>
      <c r="H180" s="6">
        <v>10</v>
      </c>
      <c r="I180" s="6"/>
      <c r="J180" s="25" t="s">
        <v>3916</v>
      </c>
      <c r="K180" s="6"/>
      <c r="L180" s="6"/>
      <c r="M180" s="6"/>
      <c r="N180" s="6"/>
      <c r="O180" s="6"/>
    </row>
    <row r="181" ht="15.75" spans="1:15">
      <c r="A181" s="7">
        <v>176</v>
      </c>
      <c r="B181" s="6">
        <v>440015</v>
      </c>
      <c r="C181" s="6">
        <v>2</v>
      </c>
      <c r="D181" s="6"/>
      <c r="E181" s="6"/>
      <c r="F181" s="6"/>
      <c r="G181" s="6">
        <v>441019</v>
      </c>
      <c r="H181" s="6">
        <v>10</v>
      </c>
      <c r="I181" s="6"/>
      <c r="J181" s="25" t="s">
        <v>3916</v>
      </c>
      <c r="K181" s="6"/>
      <c r="L181" s="6"/>
      <c r="M181" s="6"/>
      <c r="N181" s="6"/>
      <c r="O181" s="6"/>
    </row>
    <row r="182" ht="15.75" spans="1:15">
      <c r="A182" s="7">
        <v>177</v>
      </c>
      <c r="B182" s="6">
        <v>440015</v>
      </c>
      <c r="C182" s="6">
        <v>2</v>
      </c>
      <c r="D182" s="6"/>
      <c r="E182" s="6"/>
      <c r="F182" s="6"/>
      <c r="G182" s="6">
        <v>441020</v>
      </c>
      <c r="H182" s="6">
        <v>10</v>
      </c>
      <c r="I182" s="6"/>
      <c r="J182" s="25" t="s">
        <v>3916</v>
      </c>
      <c r="K182" s="6"/>
      <c r="L182" s="6"/>
      <c r="M182" s="6"/>
      <c r="N182" s="6"/>
      <c r="O182" s="6"/>
    </row>
    <row r="183" ht="15.75" spans="1:15">
      <c r="A183" s="7">
        <v>178</v>
      </c>
      <c r="B183" s="6">
        <v>440015</v>
      </c>
      <c r="C183" s="6">
        <v>2</v>
      </c>
      <c r="D183" s="6"/>
      <c r="E183" s="6"/>
      <c r="F183" s="6"/>
      <c r="G183" s="6">
        <v>441021</v>
      </c>
      <c r="H183" s="6">
        <v>10</v>
      </c>
      <c r="I183" s="6"/>
      <c r="J183" s="25" t="s">
        <v>3916</v>
      </c>
      <c r="K183" s="6"/>
      <c r="L183" s="6"/>
      <c r="M183" s="6"/>
      <c r="N183" s="6"/>
      <c r="O183" s="6"/>
    </row>
    <row r="184" ht="15.75" spans="1:15">
      <c r="A184" s="7">
        <v>179</v>
      </c>
      <c r="B184" s="6">
        <v>440015</v>
      </c>
      <c r="C184" s="6">
        <v>2</v>
      </c>
      <c r="D184" s="6"/>
      <c r="E184" s="6"/>
      <c r="F184" s="6"/>
      <c r="G184" s="6">
        <v>441022</v>
      </c>
      <c r="H184" s="6">
        <v>10</v>
      </c>
      <c r="I184" s="6"/>
      <c r="J184" s="25" t="s">
        <v>3916</v>
      </c>
      <c r="K184" s="6"/>
      <c r="L184" s="6"/>
      <c r="M184" s="6"/>
      <c r="N184" s="6"/>
      <c r="O184" s="6"/>
    </row>
    <row r="185" ht="15.75" spans="1:15">
      <c r="A185" s="7">
        <v>180</v>
      </c>
      <c r="B185" s="6">
        <v>440015</v>
      </c>
      <c r="C185" s="6">
        <v>2</v>
      </c>
      <c r="D185" s="6"/>
      <c r="E185" s="6"/>
      <c r="F185" s="6"/>
      <c r="G185" s="6">
        <v>441023</v>
      </c>
      <c r="H185" s="6">
        <v>10</v>
      </c>
      <c r="I185" s="6"/>
      <c r="J185" s="25" t="s">
        <v>3916</v>
      </c>
      <c r="K185" s="6"/>
      <c r="L185" s="6"/>
      <c r="M185" s="6"/>
      <c r="N185" s="6"/>
      <c r="O185" s="6"/>
    </row>
    <row r="186" ht="15.75" spans="1:15">
      <c r="A186" s="7">
        <v>181</v>
      </c>
      <c r="B186" s="6">
        <v>440015</v>
      </c>
      <c r="C186" s="6">
        <v>2</v>
      </c>
      <c r="D186" s="6"/>
      <c r="E186" s="6"/>
      <c r="F186" s="6"/>
      <c r="G186" s="6">
        <v>441024</v>
      </c>
      <c r="H186" s="6">
        <v>10</v>
      </c>
      <c r="I186" s="6"/>
      <c r="J186" s="25" t="s">
        <v>3916</v>
      </c>
      <c r="K186" s="6"/>
      <c r="L186" s="6"/>
      <c r="M186" s="6"/>
      <c r="N186" s="6"/>
      <c r="O186" s="6"/>
    </row>
    <row r="187" ht="15.75" spans="1:15">
      <c r="A187" s="7">
        <v>182</v>
      </c>
      <c r="B187" s="6">
        <v>440015</v>
      </c>
      <c r="C187" s="6">
        <v>2</v>
      </c>
      <c r="D187" s="6"/>
      <c r="E187" s="6"/>
      <c r="F187" s="6"/>
      <c r="G187" s="6">
        <v>441025</v>
      </c>
      <c r="H187" s="6">
        <v>10</v>
      </c>
      <c r="I187" s="6"/>
      <c r="J187" s="25" t="s">
        <v>3916</v>
      </c>
      <c r="K187" s="6"/>
      <c r="L187" s="6"/>
      <c r="M187" s="6"/>
      <c r="N187" s="6"/>
      <c r="O187" s="6"/>
    </row>
    <row r="188" ht="15.75" spans="1:15">
      <c r="A188" s="7">
        <v>183</v>
      </c>
      <c r="B188" s="6">
        <v>440015</v>
      </c>
      <c r="C188" s="6">
        <v>2</v>
      </c>
      <c r="D188" s="6"/>
      <c r="E188" s="6"/>
      <c r="F188" s="6"/>
      <c r="G188" s="6">
        <v>441026</v>
      </c>
      <c r="H188" s="6">
        <v>10</v>
      </c>
      <c r="I188" s="6"/>
      <c r="J188" s="25" t="s">
        <v>3916</v>
      </c>
      <c r="K188" s="6"/>
      <c r="L188" s="6"/>
      <c r="M188" s="6"/>
      <c r="N188" s="6"/>
      <c r="O188" s="6"/>
    </row>
    <row r="189" ht="15.75" spans="1:15">
      <c r="A189" s="7">
        <v>184</v>
      </c>
      <c r="B189" s="6">
        <v>440015</v>
      </c>
      <c r="C189" s="6">
        <v>2</v>
      </c>
      <c r="D189" s="6"/>
      <c r="E189" s="6"/>
      <c r="F189" s="6"/>
      <c r="G189" s="6">
        <v>441027</v>
      </c>
      <c r="H189" s="6">
        <v>10</v>
      </c>
      <c r="I189" s="6"/>
      <c r="J189" s="25" t="s">
        <v>3916</v>
      </c>
      <c r="K189" s="6"/>
      <c r="L189" s="6"/>
      <c r="M189" s="6"/>
      <c r="N189" s="6"/>
      <c r="O189" s="6"/>
    </row>
    <row r="190" ht="15.75" spans="1:15">
      <c r="A190" s="7">
        <v>185</v>
      </c>
      <c r="B190" s="6">
        <v>440016</v>
      </c>
      <c r="C190" s="6">
        <v>2</v>
      </c>
      <c r="D190" s="6"/>
      <c r="E190" s="6"/>
      <c r="F190" s="6"/>
      <c r="G190" s="6">
        <v>441028</v>
      </c>
      <c r="H190" s="6">
        <v>10</v>
      </c>
      <c r="I190" s="6"/>
      <c r="J190" s="26" t="s">
        <v>3917</v>
      </c>
      <c r="K190" s="6"/>
      <c r="L190" s="6"/>
      <c r="M190" s="6"/>
      <c r="N190" s="6"/>
      <c r="O190" s="6"/>
    </row>
    <row r="191" ht="15.75" spans="1:15">
      <c r="A191" s="7">
        <v>186</v>
      </c>
      <c r="B191" s="6">
        <v>440016</v>
      </c>
      <c r="C191" s="6">
        <v>2</v>
      </c>
      <c r="D191" s="6"/>
      <c r="E191" s="6"/>
      <c r="F191" s="6"/>
      <c r="G191" s="6">
        <v>441029</v>
      </c>
      <c r="H191" s="6">
        <v>10</v>
      </c>
      <c r="I191" s="6"/>
      <c r="J191" s="26" t="s">
        <v>3917</v>
      </c>
      <c r="K191" s="6"/>
      <c r="L191" s="6"/>
      <c r="M191" s="6"/>
      <c r="N191" s="6"/>
      <c r="O191" s="6"/>
    </row>
    <row r="192" ht="15.75" spans="1:15">
      <c r="A192" s="7">
        <v>187</v>
      </c>
      <c r="B192" s="6">
        <v>440016</v>
      </c>
      <c r="C192" s="6">
        <v>2</v>
      </c>
      <c r="D192" s="6"/>
      <c r="E192" s="6"/>
      <c r="F192" s="6"/>
      <c r="G192" s="6">
        <v>441030</v>
      </c>
      <c r="H192" s="6">
        <v>10</v>
      </c>
      <c r="I192" s="6"/>
      <c r="J192" s="26" t="s">
        <v>3917</v>
      </c>
      <c r="K192" s="6"/>
      <c r="L192" s="6"/>
      <c r="M192" s="6"/>
      <c r="N192" s="6"/>
      <c r="O192" s="6"/>
    </row>
    <row r="193" ht="15.75" spans="1:15">
      <c r="A193" s="7">
        <v>188</v>
      </c>
      <c r="B193" s="6">
        <v>440017</v>
      </c>
      <c r="C193" s="6">
        <v>2</v>
      </c>
      <c r="D193" s="6"/>
      <c r="E193" s="6"/>
      <c r="F193" s="6"/>
      <c r="G193" s="6">
        <v>441031</v>
      </c>
      <c r="H193" s="6">
        <v>10</v>
      </c>
      <c r="I193" s="6"/>
      <c r="J193" s="27" t="s">
        <v>3918</v>
      </c>
      <c r="K193" s="6"/>
      <c r="L193" s="6"/>
      <c r="M193" s="6"/>
      <c r="N193" s="6"/>
      <c r="O193" s="6"/>
    </row>
    <row r="194" ht="15.75" spans="1:15">
      <c r="A194" s="7">
        <v>189</v>
      </c>
      <c r="B194" s="6">
        <v>440017</v>
      </c>
      <c r="C194" s="6">
        <v>2</v>
      </c>
      <c r="D194" s="6"/>
      <c r="E194" s="6"/>
      <c r="F194" s="6"/>
      <c r="G194" s="6">
        <v>441032</v>
      </c>
      <c r="H194" s="6">
        <v>10</v>
      </c>
      <c r="I194" s="6"/>
      <c r="J194" s="27" t="s">
        <v>3918</v>
      </c>
      <c r="K194" s="6"/>
      <c r="L194" s="6"/>
      <c r="M194" s="6"/>
      <c r="N194" s="6"/>
      <c r="O194" s="6"/>
    </row>
    <row r="195" ht="15.75" spans="1:15">
      <c r="A195" s="7">
        <v>190</v>
      </c>
      <c r="B195" s="6">
        <v>440017</v>
      </c>
      <c r="C195" s="6">
        <v>2</v>
      </c>
      <c r="D195" s="6"/>
      <c r="E195" s="6"/>
      <c r="F195" s="6"/>
      <c r="G195" s="6">
        <v>441033</v>
      </c>
      <c r="H195" s="6">
        <v>10</v>
      </c>
      <c r="I195" s="6"/>
      <c r="J195" s="27" t="s">
        <v>3918</v>
      </c>
      <c r="K195" s="6"/>
      <c r="L195" s="6"/>
      <c r="M195" s="6"/>
      <c r="N195" s="6"/>
      <c r="O195" s="6"/>
    </row>
    <row r="196" ht="15.75" spans="1:15">
      <c r="A196" s="7">
        <v>191</v>
      </c>
      <c r="B196" s="6">
        <v>440018</v>
      </c>
      <c r="C196" s="6">
        <v>2</v>
      </c>
      <c r="D196" s="6"/>
      <c r="E196" s="6"/>
      <c r="F196" s="6"/>
      <c r="G196" s="6">
        <v>441034</v>
      </c>
      <c r="H196" s="6">
        <v>10</v>
      </c>
      <c r="I196" s="6"/>
      <c r="J196" s="25" t="s">
        <v>3919</v>
      </c>
      <c r="K196" s="6"/>
      <c r="L196" s="6"/>
      <c r="M196" s="6"/>
      <c r="N196" s="6"/>
      <c r="O196" s="6"/>
    </row>
    <row r="197" ht="15.75" spans="1:15">
      <c r="A197" s="7">
        <v>192</v>
      </c>
      <c r="B197" s="6">
        <v>440018</v>
      </c>
      <c r="C197" s="6">
        <v>2</v>
      </c>
      <c r="D197" s="6"/>
      <c r="E197" s="6"/>
      <c r="F197" s="6"/>
      <c r="G197" s="6">
        <v>441035</v>
      </c>
      <c r="H197" s="6">
        <v>10</v>
      </c>
      <c r="I197" s="6"/>
      <c r="J197" s="25" t="s">
        <v>3919</v>
      </c>
      <c r="K197" s="6"/>
      <c r="L197" s="6"/>
      <c r="M197" s="6"/>
      <c r="N197" s="6"/>
      <c r="O197" s="6"/>
    </row>
    <row r="198" ht="15.75" spans="1:15">
      <c r="A198" s="7">
        <v>193</v>
      </c>
      <c r="B198" s="6">
        <v>440018</v>
      </c>
      <c r="C198" s="6">
        <v>2</v>
      </c>
      <c r="D198" s="6"/>
      <c r="E198" s="6"/>
      <c r="F198" s="6"/>
      <c r="G198" s="6">
        <v>441036</v>
      </c>
      <c r="H198" s="6">
        <v>10</v>
      </c>
      <c r="I198" s="6"/>
      <c r="J198" s="25" t="s">
        <v>3919</v>
      </c>
      <c r="K198" s="6"/>
      <c r="L198" s="6"/>
      <c r="M198" s="6"/>
      <c r="N198" s="6"/>
      <c r="O198" s="6"/>
    </row>
    <row r="199" ht="15.75" spans="1:15">
      <c r="A199" s="7">
        <v>194</v>
      </c>
      <c r="B199" s="6">
        <v>440018</v>
      </c>
      <c r="C199" s="6">
        <v>2</v>
      </c>
      <c r="D199" s="6"/>
      <c r="E199" s="6"/>
      <c r="F199" s="6"/>
      <c r="G199" s="6">
        <v>441037</v>
      </c>
      <c r="H199" s="6">
        <v>10</v>
      </c>
      <c r="I199" s="6"/>
      <c r="J199" s="25" t="s">
        <v>3919</v>
      </c>
      <c r="K199" s="6"/>
      <c r="L199" s="6"/>
      <c r="M199" s="6"/>
      <c r="N199" s="6"/>
      <c r="O199" s="6"/>
    </row>
    <row r="200" ht="15.75" spans="1:15">
      <c r="A200" s="7">
        <v>195</v>
      </c>
      <c r="B200" s="6">
        <v>440018</v>
      </c>
      <c r="C200" s="6">
        <v>2</v>
      </c>
      <c r="D200" s="6"/>
      <c r="E200" s="6"/>
      <c r="F200" s="6"/>
      <c r="G200" s="6">
        <v>441038</v>
      </c>
      <c r="H200" s="6">
        <v>10</v>
      </c>
      <c r="I200" s="6"/>
      <c r="J200" s="25" t="s">
        <v>3919</v>
      </c>
      <c r="K200" s="6"/>
      <c r="L200" s="6"/>
      <c r="M200" s="6"/>
      <c r="N200" s="6"/>
      <c r="O200" s="6"/>
    </row>
    <row r="201" ht="15.75" spans="1:15">
      <c r="A201" s="7">
        <v>196</v>
      </c>
      <c r="B201" s="6">
        <v>440018</v>
      </c>
      <c r="C201" s="6">
        <v>2</v>
      </c>
      <c r="D201" s="6"/>
      <c r="E201" s="6"/>
      <c r="F201" s="6"/>
      <c r="G201" s="6">
        <v>441039</v>
      </c>
      <c r="H201" s="6">
        <v>10</v>
      </c>
      <c r="I201" s="6"/>
      <c r="J201" s="25" t="s">
        <v>3919</v>
      </c>
      <c r="K201" s="6"/>
      <c r="L201" s="6"/>
      <c r="M201" s="6"/>
      <c r="N201" s="6"/>
      <c r="O201" s="6"/>
    </row>
    <row r="202" ht="15.75" spans="1:15">
      <c r="A202" s="7">
        <v>197</v>
      </c>
      <c r="B202" s="6">
        <v>440019</v>
      </c>
      <c r="C202" s="6">
        <v>2</v>
      </c>
      <c r="D202" s="6"/>
      <c r="E202" s="6"/>
      <c r="F202" s="6"/>
      <c r="G202" s="6">
        <v>441040</v>
      </c>
      <c r="H202" s="6">
        <v>10</v>
      </c>
      <c r="I202" s="6"/>
      <c r="J202" s="26" t="s">
        <v>3920</v>
      </c>
      <c r="K202" s="6"/>
      <c r="L202" s="6"/>
      <c r="M202" s="6"/>
      <c r="N202" s="6"/>
      <c r="O202" s="6"/>
    </row>
    <row r="203" ht="15.75" spans="1:15">
      <c r="A203" s="7">
        <v>198</v>
      </c>
      <c r="B203" s="6">
        <v>440019</v>
      </c>
      <c r="C203" s="6">
        <v>2</v>
      </c>
      <c r="D203" s="6"/>
      <c r="E203" s="6"/>
      <c r="F203" s="6"/>
      <c r="G203" s="6">
        <v>441041</v>
      </c>
      <c r="H203" s="6">
        <v>10</v>
      </c>
      <c r="I203" s="6"/>
      <c r="J203" s="26" t="s">
        <v>3920</v>
      </c>
      <c r="K203" s="6"/>
      <c r="L203" s="6"/>
      <c r="M203" s="6"/>
      <c r="N203" s="6"/>
      <c r="O203" s="6"/>
    </row>
    <row r="204" ht="15.75" spans="1:15">
      <c r="A204" s="7">
        <v>199</v>
      </c>
      <c r="B204" s="6">
        <v>440019</v>
      </c>
      <c r="C204" s="6">
        <v>2</v>
      </c>
      <c r="D204" s="6"/>
      <c r="E204" s="6"/>
      <c r="F204" s="6"/>
      <c r="G204" s="6">
        <v>441042</v>
      </c>
      <c r="H204" s="6">
        <v>10</v>
      </c>
      <c r="I204" s="6"/>
      <c r="J204" s="26" t="s">
        <v>3920</v>
      </c>
      <c r="K204" s="6"/>
      <c r="L204" s="6"/>
      <c r="M204" s="6"/>
      <c r="N204" s="6"/>
      <c r="O204" s="6"/>
    </row>
    <row r="205" ht="15.75" spans="1:15">
      <c r="A205" s="7">
        <v>200</v>
      </c>
      <c r="B205" s="6">
        <v>440020</v>
      </c>
      <c r="C205" s="6">
        <v>2</v>
      </c>
      <c r="D205" s="6"/>
      <c r="E205" s="6"/>
      <c r="F205" s="6"/>
      <c r="G205" s="6">
        <v>441043</v>
      </c>
      <c r="H205" s="6">
        <v>10</v>
      </c>
      <c r="I205" s="6"/>
      <c r="J205" s="27" t="s">
        <v>3921</v>
      </c>
      <c r="K205" s="6"/>
      <c r="L205" s="6"/>
      <c r="M205" s="6"/>
      <c r="N205" s="6"/>
      <c r="O205" s="6"/>
    </row>
    <row r="206" ht="15.75" spans="1:15">
      <c r="A206" s="7">
        <v>201</v>
      </c>
      <c r="B206" s="6">
        <v>440020</v>
      </c>
      <c r="C206" s="6">
        <v>2</v>
      </c>
      <c r="D206" s="6"/>
      <c r="E206" s="6"/>
      <c r="F206" s="6"/>
      <c r="G206" s="6">
        <v>441044</v>
      </c>
      <c r="H206" s="6">
        <v>10</v>
      </c>
      <c r="I206" s="6"/>
      <c r="J206" s="27" t="s">
        <v>3921</v>
      </c>
      <c r="K206" s="6"/>
      <c r="L206" s="6"/>
      <c r="M206" s="6"/>
      <c r="N206" s="6"/>
      <c r="O206" s="6"/>
    </row>
    <row r="207" ht="15.75" spans="1:15">
      <c r="A207" s="7">
        <v>202</v>
      </c>
      <c r="B207" s="6">
        <v>440020</v>
      </c>
      <c r="C207" s="6">
        <v>2</v>
      </c>
      <c r="D207" s="6"/>
      <c r="E207" s="6"/>
      <c r="F207" s="6"/>
      <c r="G207" s="6">
        <v>441045</v>
      </c>
      <c r="H207" s="6">
        <v>10</v>
      </c>
      <c r="I207" s="6"/>
      <c r="J207" s="27" t="s">
        <v>3921</v>
      </c>
      <c r="K207" s="6"/>
      <c r="L207" s="6"/>
      <c r="M207" s="6"/>
      <c r="N207" s="6"/>
      <c r="O207" s="6"/>
    </row>
    <row r="208" spans="1:15">
      <c r="A208" s="7">
        <v>203</v>
      </c>
      <c r="B208" s="6">
        <v>440021</v>
      </c>
      <c r="C208" s="6">
        <v>2</v>
      </c>
      <c r="D208" s="6"/>
      <c r="E208" s="6"/>
      <c r="F208" s="6"/>
      <c r="G208" s="6">
        <v>441046</v>
      </c>
      <c r="H208" s="6">
        <v>10</v>
      </c>
      <c r="I208" s="6"/>
      <c r="J208" s="6" t="s">
        <v>3922</v>
      </c>
      <c r="K208" s="6"/>
      <c r="L208" s="6"/>
      <c r="M208" s="6"/>
      <c r="N208" s="6"/>
      <c r="O208" s="6"/>
    </row>
    <row r="209" spans="1:15">
      <c r="A209" s="7">
        <v>204</v>
      </c>
      <c r="B209" s="6">
        <v>440022</v>
      </c>
      <c r="C209" s="6">
        <v>2</v>
      </c>
      <c r="D209" s="6"/>
      <c r="E209" s="6"/>
      <c r="F209" s="6"/>
      <c r="G209" s="6">
        <v>441047</v>
      </c>
      <c r="H209" s="6">
        <v>10</v>
      </c>
      <c r="I209" s="6"/>
      <c r="J209" s="6" t="s">
        <v>3923</v>
      </c>
      <c r="K209" s="6"/>
      <c r="L209" s="6"/>
      <c r="M209" s="6"/>
      <c r="N209" s="6"/>
      <c r="O209" s="6"/>
    </row>
    <row r="210" ht="15.75" spans="1:15">
      <c r="A210" s="7">
        <v>205</v>
      </c>
      <c r="B210" s="6">
        <v>440023</v>
      </c>
      <c r="C210" s="6">
        <v>2</v>
      </c>
      <c r="D210" s="6"/>
      <c r="E210" s="6"/>
      <c r="F210" s="6"/>
      <c r="G210" s="6">
        <v>441048</v>
      </c>
      <c r="H210" s="6">
        <v>10</v>
      </c>
      <c r="I210" s="6"/>
      <c r="J210" s="24" t="s">
        <v>3924</v>
      </c>
      <c r="K210" s="6"/>
      <c r="L210" s="6"/>
      <c r="M210" s="6"/>
      <c r="N210" s="6"/>
      <c r="O210" s="6"/>
    </row>
    <row r="211" ht="15.75" spans="1:15">
      <c r="A211" s="7">
        <v>206</v>
      </c>
      <c r="B211" s="6">
        <v>440023</v>
      </c>
      <c r="C211" s="6">
        <v>2</v>
      </c>
      <c r="D211" s="6"/>
      <c r="E211" s="6"/>
      <c r="F211" s="6"/>
      <c r="G211" s="6">
        <v>441049</v>
      </c>
      <c r="H211" s="6">
        <v>10</v>
      </c>
      <c r="I211" s="6"/>
      <c r="J211" s="24" t="s">
        <v>3924</v>
      </c>
      <c r="K211" s="6"/>
      <c r="L211" s="6"/>
      <c r="M211" s="6"/>
      <c r="N211" s="6"/>
      <c r="O211" s="6"/>
    </row>
    <row r="212" ht="15.75" spans="1:15">
      <c r="A212" s="7">
        <v>207</v>
      </c>
      <c r="B212" s="6">
        <v>440023</v>
      </c>
      <c r="C212" s="6">
        <v>2</v>
      </c>
      <c r="D212" s="6"/>
      <c r="E212" s="6"/>
      <c r="F212" s="6"/>
      <c r="G212" s="6">
        <v>441050</v>
      </c>
      <c r="H212" s="6">
        <v>10</v>
      </c>
      <c r="I212" s="6"/>
      <c r="J212" s="24" t="s">
        <v>3924</v>
      </c>
      <c r="K212" s="6"/>
      <c r="L212" s="6"/>
      <c r="M212" s="6"/>
      <c r="N212" s="6"/>
      <c r="O212" s="6"/>
    </row>
    <row r="213" ht="15.75" spans="1:15">
      <c r="A213" s="7">
        <v>208</v>
      </c>
      <c r="B213" s="6">
        <v>440023</v>
      </c>
      <c r="C213" s="6">
        <v>2</v>
      </c>
      <c r="D213" s="6"/>
      <c r="E213" s="6"/>
      <c r="F213" s="6"/>
      <c r="G213" s="6">
        <v>441051</v>
      </c>
      <c r="H213" s="6">
        <v>10</v>
      </c>
      <c r="I213" s="6"/>
      <c r="J213" s="24" t="s">
        <v>3924</v>
      </c>
      <c r="K213" s="6"/>
      <c r="L213" s="6"/>
      <c r="M213" s="6"/>
      <c r="N213" s="6"/>
      <c r="O213" s="6"/>
    </row>
    <row r="214" ht="15.75" spans="1:15">
      <c r="A214" s="7">
        <v>209</v>
      </c>
      <c r="B214" s="6">
        <v>440023</v>
      </c>
      <c r="C214" s="6">
        <v>2</v>
      </c>
      <c r="D214" s="6"/>
      <c r="E214" s="6"/>
      <c r="F214" s="6"/>
      <c r="G214" s="6">
        <v>441052</v>
      </c>
      <c r="H214" s="6">
        <v>10</v>
      </c>
      <c r="I214" s="6"/>
      <c r="J214" s="24" t="s">
        <v>3924</v>
      </c>
      <c r="K214" s="6"/>
      <c r="L214" s="6"/>
      <c r="M214" s="6"/>
      <c r="N214" s="6"/>
      <c r="O214" s="6"/>
    </row>
    <row r="215" ht="15.75" spans="1:15">
      <c r="A215" s="7">
        <v>210</v>
      </c>
      <c r="B215" s="6">
        <v>440023</v>
      </c>
      <c r="C215" s="6">
        <v>2</v>
      </c>
      <c r="D215" s="6"/>
      <c r="E215" s="6"/>
      <c r="F215" s="6"/>
      <c r="G215" s="6">
        <v>441053</v>
      </c>
      <c r="H215" s="6">
        <v>10</v>
      </c>
      <c r="I215" s="6"/>
      <c r="J215" s="24" t="s">
        <v>3924</v>
      </c>
      <c r="K215" s="6"/>
      <c r="L215" s="6"/>
      <c r="M215" s="6"/>
      <c r="N215" s="6"/>
      <c r="O215" s="6"/>
    </row>
    <row r="216" ht="15.75" spans="1:15">
      <c r="A216" s="7">
        <v>211</v>
      </c>
      <c r="B216" s="6">
        <v>440023</v>
      </c>
      <c r="C216" s="6">
        <v>2</v>
      </c>
      <c r="D216" s="6"/>
      <c r="E216" s="6"/>
      <c r="F216" s="6"/>
      <c r="G216" s="6">
        <v>441054</v>
      </c>
      <c r="H216" s="6">
        <v>10</v>
      </c>
      <c r="I216" s="6"/>
      <c r="J216" s="24" t="s">
        <v>3924</v>
      </c>
      <c r="K216" s="6"/>
      <c r="L216" s="6"/>
      <c r="M216" s="6"/>
      <c r="N216" s="6"/>
      <c r="O216" s="6"/>
    </row>
    <row r="217" ht="15.75" spans="1:15">
      <c r="A217" s="7">
        <v>212</v>
      </c>
      <c r="B217" s="6">
        <v>440023</v>
      </c>
      <c r="C217" s="6">
        <v>2</v>
      </c>
      <c r="D217" s="6"/>
      <c r="E217" s="6"/>
      <c r="F217" s="6"/>
      <c r="G217" s="6">
        <v>441055</v>
      </c>
      <c r="H217" s="6">
        <v>10</v>
      </c>
      <c r="I217" s="6"/>
      <c r="J217" s="24" t="s">
        <v>3924</v>
      </c>
      <c r="K217" s="6"/>
      <c r="L217" s="6"/>
      <c r="M217" s="6"/>
      <c r="N217" s="6"/>
      <c r="O217" s="6"/>
    </row>
    <row r="218" ht="15.75" spans="1:15">
      <c r="A218" s="7">
        <v>213</v>
      </c>
      <c r="B218" s="6">
        <v>440023</v>
      </c>
      <c r="C218" s="6">
        <v>2</v>
      </c>
      <c r="D218" s="6"/>
      <c r="E218" s="6"/>
      <c r="F218" s="6"/>
      <c r="G218" s="6">
        <v>441056</v>
      </c>
      <c r="H218" s="6">
        <v>10</v>
      </c>
      <c r="I218" s="6"/>
      <c r="J218" s="24" t="s">
        <v>3924</v>
      </c>
      <c r="K218" s="6"/>
      <c r="L218" s="6"/>
      <c r="M218" s="6"/>
      <c r="N218" s="6"/>
      <c r="O218" s="6"/>
    </row>
    <row r="219" ht="15.75" spans="1:15">
      <c r="A219" s="7">
        <v>214</v>
      </c>
      <c r="B219" s="6">
        <v>440023</v>
      </c>
      <c r="C219" s="6">
        <v>2</v>
      </c>
      <c r="D219" s="6"/>
      <c r="E219" s="6"/>
      <c r="F219" s="6"/>
      <c r="G219" s="6">
        <v>441057</v>
      </c>
      <c r="H219" s="6">
        <v>10</v>
      </c>
      <c r="I219" s="6"/>
      <c r="J219" s="24" t="s">
        <v>3924</v>
      </c>
      <c r="K219" s="6"/>
      <c r="L219" s="6"/>
      <c r="M219" s="6"/>
      <c r="N219" s="6"/>
      <c r="O219" s="6"/>
    </row>
    <row r="220" ht="15.75" spans="1:15">
      <c r="A220" s="7">
        <v>215</v>
      </c>
      <c r="B220" s="6">
        <v>440023</v>
      </c>
      <c r="C220" s="6">
        <v>2</v>
      </c>
      <c r="D220" s="6"/>
      <c r="E220" s="6"/>
      <c r="F220" s="6"/>
      <c r="G220" s="6">
        <v>441058</v>
      </c>
      <c r="H220" s="6">
        <v>10</v>
      </c>
      <c r="I220" s="6"/>
      <c r="J220" s="24" t="s">
        <v>3924</v>
      </c>
      <c r="K220" s="6"/>
      <c r="L220" s="6"/>
      <c r="M220" s="6"/>
      <c r="N220" s="6"/>
      <c r="O220" s="6"/>
    </row>
    <row r="221" ht="15.75" spans="1:15">
      <c r="A221" s="7">
        <v>216</v>
      </c>
      <c r="B221" s="6">
        <v>440023</v>
      </c>
      <c r="C221" s="6">
        <v>2</v>
      </c>
      <c r="D221" s="6"/>
      <c r="E221" s="6"/>
      <c r="F221" s="6"/>
      <c r="G221" s="6">
        <v>441059</v>
      </c>
      <c r="H221" s="6">
        <v>10</v>
      </c>
      <c r="I221" s="6"/>
      <c r="J221" s="24" t="s">
        <v>3924</v>
      </c>
      <c r="K221" s="6"/>
      <c r="L221" s="6"/>
      <c r="M221" s="6"/>
      <c r="N221" s="6"/>
      <c r="O221" s="6"/>
    </row>
    <row r="222" ht="15.75" spans="1:15">
      <c r="A222" s="7">
        <v>217</v>
      </c>
      <c r="B222" s="6">
        <v>440023</v>
      </c>
      <c r="C222" s="6">
        <v>2</v>
      </c>
      <c r="D222" s="6"/>
      <c r="E222" s="6"/>
      <c r="F222" s="6"/>
      <c r="G222" s="6">
        <v>441060</v>
      </c>
      <c r="H222" s="6">
        <v>10</v>
      </c>
      <c r="I222" s="6"/>
      <c r="J222" s="24" t="s">
        <v>3924</v>
      </c>
      <c r="K222" s="6"/>
      <c r="L222" s="6"/>
      <c r="M222" s="6"/>
      <c r="N222" s="6"/>
      <c r="O222" s="6"/>
    </row>
    <row r="223" ht="15.75" spans="1:15">
      <c r="A223" s="7">
        <v>218</v>
      </c>
      <c r="B223" s="6">
        <v>440023</v>
      </c>
      <c r="C223" s="6">
        <v>2</v>
      </c>
      <c r="D223" s="6"/>
      <c r="E223" s="6"/>
      <c r="F223" s="6"/>
      <c r="G223" s="6">
        <v>441061</v>
      </c>
      <c r="H223" s="6">
        <v>10</v>
      </c>
      <c r="I223" s="6"/>
      <c r="J223" s="24" t="s">
        <v>3924</v>
      </c>
      <c r="K223" s="6"/>
      <c r="L223" s="6"/>
      <c r="M223" s="6"/>
      <c r="N223" s="6"/>
      <c r="O223" s="6"/>
    </row>
    <row r="224" ht="15.75" spans="1:15">
      <c r="A224" s="7">
        <v>219</v>
      </c>
      <c r="B224" s="6">
        <v>440023</v>
      </c>
      <c r="C224" s="6">
        <v>2</v>
      </c>
      <c r="D224" s="6"/>
      <c r="E224" s="6"/>
      <c r="F224" s="6"/>
      <c r="G224" s="6">
        <v>441062</v>
      </c>
      <c r="H224" s="6">
        <v>10</v>
      </c>
      <c r="I224" s="6"/>
      <c r="J224" s="24" t="s">
        <v>3924</v>
      </c>
      <c r="K224" s="6"/>
      <c r="L224" s="6"/>
      <c r="M224" s="6"/>
      <c r="N224" s="6"/>
      <c r="O224" s="6"/>
    </row>
    <row r="225" ht="15.75" spans="1:15">
      <c r="A225" s="7">
        <v>220</v>
      </c>
      <c r="B225" s="6">
        <v>440023</v>
      </c>
      <c r="C225" s="6">
        <v>2</v>
      </c>
      <c r="D225" s="6"/>
      <c r="E225" s="6"/>
      <c r="F225" s="6"/>
      <c r="G225" s="6">
        <v>441063</v>
      </c>
      <c r="H225" s="6">
        <v>10</v>
      </c>
      <c r="I225" s="6"/>
      <c r="J225" s="24" t="s">
        <v>3924</v>
      </c>
      <c r="K225" s="6"/>
      <c r="L225" s="6"/>
      <c r="M225" s="6"/>
      <c r="N225" s="6"/>
      <c r="O225" s="6"/>
    </row>
    <row r="226" ht="15.75" spans="1:15">
      <c r="A226" s="7">
        <v>221</v>
      </c>
      <c r="B226" s="6">
        <v>440023</v>
      </c>
      <c r="C226" s="6">
        <v>2</v>
      </c>
      <c r="D226" s="6"/>
      <c r="E226" s="6"/>
      <c r="F226" s="6"/>
      <c r="G226" s="6">
        <v>441064</v>
      </c>
      <c r="H226" s="6">
        <v>10</v>
      </c>
      <c r="I226" s="6"/>
      <c r="J226" s="24" t="s">
        <v>3924</v>
      </c>
      <c r="K226" s="6"/>
      <c r="L226" s="6"/>
      <c r="M226" s="6"/>
      <c r="N226" s="6"/>
      <c r="O226" s="6"/>
    </row>
    <row r="227" ht="15.75" spans="1:15">
      <c r="A227" s="7">
        <v>222</v>
      </c>
      <c r="B227" s="6">
        <v>440023</v>
      </c>
      <c r="C227" s="6">
        <v>2</v>
      </c>
      <c r="D227" s="6"/>
      <c r="E227" s="6"/>
      <c r="F227" s="6"/>
      <c r="G227" s="6">
        <v>441065</v>
      </c>
      <c r="H227" s="6">
        <v>10</v>
      </c>
      <c r="I227" s="6"/>
      <c r="J227" s="24" t="s">
        <v>3924</v>
      </c>
      <c r="K227" s="6"/>
      <c r="L227" s="6"/>
      <c r="M227" s="6"/>
      <c r="N227" s="6"/>
      <c r="O227" s="6"/>
    </row>
    <row r="228" ht="15.75" spans="1:15">
      <c r="A228" s="7">
        <v>223</v>
      </c>
      <c r="B228" s="6">
        <v>440023</v>
      </c>
      <c r="C228" s="6">
        <v>2</v>
      </c>
      <c r="D228" s="6"/>
      <c r="E228" s="6"/>
      <c r="F228" s="6"/>
      <c r="G228" s="6">
        <v>441066</v>
      </c>
      <c r="H228" s="6">
        <v>10</v>
      </c>
      <c r="I228" s="6"/>
      <c r="J228" s="24" t="s">
        <v>3924</v>
      </c>
      <c r="K228" s="6"/>
      <c r="L228" s="6"/>
      <c r="M228" s="6"/>
      <c r="N228" s="6"/>
      <c r="O228" s="6"/>
    </row>
    <row r="229" ht="15.75" spans="1:15">
      <c r="A229" s="7">
        <v>224</v>
      </c>
      <c r="B229" s="6">
        <v>440023</v>
      </c>
      <c r="C229" s="6">
        <v>2</v>
      </c>
      <c r="D229" s="6"/>
      <c r="E229" s="6"/>
      <c r="F229" s="6"/>
      <c r="G229" s="6">
        <v>441067</v>
      </c>
      <c r="H229" s="6">
        <v>10</v>
      </c>
      <c r="I229" s="6"/>
      <c r="J229" s="24" t="s">
        <v>3924</v>
      </c>
      <c r="K229" s="6"/>
      <c r="L229" s="6"/>
      <c r="M229" s="6"/>
      <c r="N229" s="6"/>
      <c r="O229" s="6"/>
    </row>
    <row r="230" ht="15.75" spans="1:15">
      <c r="A230" s="7">
        <v>225</v>
      </c>
      <c r="B230" s="6">
        <v>440023</v>
      </c>
      <c r="C230" s="6">
        <v>2</v>
      </c>
      <c r="D230" s="6"/>
      <c r="E230" s="6"/>
      <c r="F230" s="6"/>
      <c r="G230" s="6">
        <v>441068</v>
      </c>
      <c r="H230" s="6">
        <v>10</v>
      </c>
      <c r="I230" s="6"/>
      <c r="J230" s="24" t="s">
        <v>3924</v>
      </c>
      <c r="K230" s="6"/>
      <c r="L230" s="6"/>
      <c r="M230" s="6"/>
      <c r="N230" s="6"/>
      <c r="O230" s="6"/>
    </row>
    <row r="231" ht="15.75" spans="1:15">
      <c r="A231" s="7">
        <v>226</v>
      </c>
      <c r="B231" s="6">
        <v>440023</v>
      </c>
      <c r="C231" s="6">
        <v>2</v>
      </c>
      <c r="D231" s="6"/>
      <c r="E231" s="6"/>
      <c r="F231" s="6"/>
      <c r="G231" s="6">
        <v>441069</v>
      </c>
      <c r="H231" s="6">
        <v>10</v>
      </c>
      <c r="I231" s="6"/>
      <c r="J231" s="24" t="s">
        <v>3924</v>
      </c>
      <c r="K231" s="6"/>
      <c r="L231" s="6"/>
      <c r="M231" s="6"/>
      <c r="N231" s="6"/>
      <c r="O231" s="6"/>
    </row>
    <row r="232" ht="15.75" spans="1:15">
      <c r="A232" s="7">
        <v>227</v>
      </c>
      <c r="B232" s="6">
        <v>440024</v>
      </c>
      <c r="C232" s="6">
        <v>2</v>
      </c>
      <c r="D232" s="6"/>
      <c r="E232" s="6"/>
      <c r="F232" s="6"/>
      <c r="G232" s="6">
        <v>441070</v>
      </c>
      <c r="H232" s="6">
        <v>10</v>
      </c>
      <c r="I232" s="6"/>
      <c r="J232" s="25" t="s">
        <v>3925</v>
      </c>
      <c r="K232" s="6"/>
      <c r="L232" s="6"/>
      <c r="M232" s="6"/>
      <c r="N232" s="6"/>
      <c r="O232" s="6"/>
    </row>
    <row r="233" ht="15.75" spans="1:15">
      <c r="A233" s="7">
        <v>228</v>
      </c>
      <c r="B233" s="6">
        <v>440024</v>
      </c>
      <c r="C233" s="6">
        <v>2</v>
      </c>
      <c r="D233" s="6"/>
      <c r="E233" s="6"/>
      <c r="F233" s="6"/>
      <c r="G233" s="6">
        <v>441071</v>
      </c>
      <c r="H233" s="6">
        <v>10</v>
      </c>
      <c r="I233" s="6"/>
      <c r="J233" s="25" t="s">
        <v>3925</v>
      </c>
      <c r="K233" s="6"/>
      <c r="L233" s="6"/>
      <c r="M233" s="6"/>
      <c r="N233" s="6"/>
      <c r="O233" s="6"/>
    </row>
    <row r="234" ht="15.75" spans="1:15">
      <c r="A234" s="7">
        <v>229</v>
      </c>
      <c r="B234" s="6">
        <v>440024</v>
      </c>
      <c r="C234" s="6">
        <v>2</v>
      </c>
      <c r="D234" s="6"/>
      <c r="E234" s="6"/>
      <c r="F234" s="6"/>
      <c r="G234" s="6">
        <v>441072</v>
      </c>
      <c r="H234" s="6">
        <v>10</v>
      </c>
      <c r="I234" s="6"/>
      <c r="J234" s="25" t="s">
        <v>3925</v>
      </c>
      <c r="K234" s="6"/>
      <c r="L234" s="6"/>
      <c r="M234" s="6"/>
      <c r="N234" s="6"/>
      <c r="O234" s="6"/>
    </row>
    <row r="235" ht="15.75" spans="1:15">
      <c r="A235" s="7">
        <v>230</v>
      </c>
      <c r="B235" s="6">
        <v>440024</v>
      </c>
      <c r="C235" s="6">
        <v>2</v>
      </c>
      <c r="D235" s="6"/>
      <c r="E235" s="6"/>
      <c r="F235" s="6"/>
      <c r="G235" s="6">
        <v>441073</v>
      </c>
      <c r="H235" s="6">
        <v>10</v>
      </c>
      <c r="I235" s="6"/>
      <c r="J235" s="25" t="s">
        <v>3925</v>
      </c>
      <c r="K235" s="6"/>
      <c r="L235" s="6"/>
      <c r="M235" s="6"/>
      <c r="N235" s="6"/>
      <c r="O235" s="6"/>
    </row>
    <row r="236" ht="15.75" spans="1:15">
      <c r="A236" s="7">
        <v>231</v>
      </c>
      <c r="B236" s="6">
        <v>440024</v>
      </c>
      <c r="C236" s="6">
        <v>2</v>
      </c>
      <c r="D236" s="6"/>
      <c r="E236" s="6"/>
      <c r="F236" s="6"/>
      <c r="G236" s="6">
        <v>441074</v>
      </c>
      <c r="H236" s="6">
        <v>10</v>
      </c>
      <c r="I236" s="6"/>
      <c r="J236" s="25" t="s">
        <v>3925</v>
      </c>
      <c r="K236" s="6"/>
      <c r="L236" s="6"/>
      <c r="M236" s="6"/>
      <c r="N236" s="6"/>
      <c r="O236" s="6"/>
    </row>
    <row r="237" ht="15.75" spans="1:15">
      <c r="A237" s="7">
        <v>232</v>
      </c>
      <c r="B237" s="6">
        <v>440024</v>
      </c>
      <c r="C237" s="6">
        <v>2</v>
      </c>
      <c r="D237" s="6"/>
      <c r="E237" s="6"/>
      <c r="F237" s="6"/>
      <c r="G237" s="6">
        <v>441075</v>
      </c>
      <c r="H237" s="6">
        <v>10</v>
      </c>
      <c r="I237" s="6"/>
      <c r="J237" s="25" t="s">
        <v>3925</v>
      </c>
      <c r="K237" s="6"/>
      <c r="L237" s="6"/>
      <c r="M237" s="6"/>
      <c r="N237" s="6"/>
      <c r="O237" s="6"/>
    </row>
    <row r="238" ht="15.75" spans="1:15">
      <c r="A238" s="7">
        <v>233</v>
      </c>
      <c r="B238" s="6">
        <v>440024</v>
      </c>
      <c r="C238" s="6">
        <v>2</v>
      </c>
      <c r="D238" s="6"/>
      <c r="E238" s="6"/>
      <c r="F238" s="6"/>
      <c r="G238" s="6">
        <v>441076</v>
      </c>
      <c r="H238" s="6">
        <v>10</v>
      </c>
      <c r="I238" s="6"/>
      <c r="J238" s="25" t="s">
        <v>3925</v>
      </c>
      <c r="K238" s="6"/>
      <c r="L238" s="6"/>
      <c r="M238" s="6"/>
      <c r="N238" s="6"/>
      <c r="O238" s="6"/>
    </row>
    <row r="239" ht="15.75" spans="1:15">
      <c r="A239" s="7">
        <v>234</v>
      </c>
      <c r="B239" s="6">
        <v>440024</v>
      </c>
      <c r="C239" s="6">
        <v>2</v>
      </c>
      <c r="D239" s="6"/>
      <c r="E239" s="6"/>
      <c r="F239" s="6"/>
      <c r="G239" s="6">
        <v>441077</v>
      </c>
      <c r="H239" s="6">
        <v>10</v>
      </c>
      <c r="I239" s="6"/>
      <c r="J239" s="25" t="s">
        <v>3925</v>
      </c>
      <c r="K239" s="6"/>
      <c r="L239" s="6"/>
      <c r="M239" s="6"/>
      <c r="N239" s="6"/>
      <c r="O239" s="6"/>
    </row>
    <row r="240" ht="15.75" spans="1:15">
      <c r="A240" s="7">
        <v>235</v>
      </c>
      <c r="B240" s="6">
        <v>440024</v>
      </c>
      <c r="C240" s="6">
        <v>2</v>
      </c>
      <c r="D240" s="6"/>
      <c r="E240" s="6"/>
      <c r="F240" s="6"/>
      <c r="G240" s="6">
        <v>441078</v>
      </c>
      <c r="H240" s="6">
        <v>10</v>
      </c>
      <c r="I240" s="6"/>
      <c r="J240" s="25" t="s">
        <v>3925</v>
      </c>
      <c r="K240" s="6"/>
      <c r="L240" s="6"/>
      <c r="M240" s="6"/>
      <c r="N240" s="6"/>
      <c r="O240" s="6"/>
    </row>
    <row r="241" ht="15.75" spans="1:15">
      <c r="A241" s="7">
        <v>236</v>
      </c>
      <c r="B241" s="6">
        <v>440024</v>
      </c>
      <c r="C241" s="6">
        <v>2</v>
      </c>
      <c r="D241" s="6"/>
      <c r="E241" s="6"/>
      <c r="F241" s="6"/>
      <c r="G241" s="6">
        <v>441079</v>
      </c>
      <c r="H241" s="6">
        <v>10</v>
      </c>
      <c r="I241" s="6"/>
      <c r="J241" s="25" t="s">
        <v>3925</v>
      </c>
      <c r="K241" s="6"/>
      <c r="L241" s="6"/>
      <c r="M241" s="6"/>
      <c r="N241" s="6"/>
      <c r="O241" s="6"/>
    </row>
    <row r="242" ht="15.75" spans="1:15">
      <c r="A242" s="7">
        <v>237</v>
      </c>
      <c r="B242" s="6">
        <v>440024</v>
      </c>
      <c r="C242" s="6">
        <v>2</v>
      </c>
      <c r="D242" s="6"/>
      <c r="E242" s="6"/>
      <c r="F242" s="6"/>
      <c r="G242" s="6">
        <v>441080</v>
      </c>
      <c r="H242" s="6">
        <v>10</v>
      </c>
      <c r="I242" s="6"/>
      <c r="J242" s="25" t="s">
        <v>3925</v>
      </c>
      <c r="K242" s="6"/>
      <c r="L242" s="6"/>
      <c r="M242" s="6"/>
      <c r="N242" s="6"/>
      <c r="O242" s="6"/>
    </row>
    <row r="243" ht="15.75" spans="1:15">
      <c r="A243" s="7">
        <v>238</v>
      </c>
      <c r="B243" s="6">
        <v>440024</v>
      </c>
      <c r="C243" s="6">
        <v>2</v>
      </c>
      <c r="D243" s="6"/>
      <c r="E243" s="6"/>
      <c r="F243" s="6"/>
      <c r="G243" s="6">
        <v>441081</v>
      </c>
      <c r="H243" s="6">
        <v>10</v>
      </c>
      <c r="I243" s="6"/>
      <c r="J243" s="25" t="s">
        <v>3925</v>
      </c>
      <c r="K243" s="6"/>
      <c r="L243" s="6"/>
      <c r="M243" s="6"/>
      <c r="N243" s="6"/>
      <c r="O243" s="6"/>
    </row>
    <row r="244" ht="15.75" spans="1:15">
      <c r="A244" s="7">
        <v>239</v>
      </c>
      <c r="B244" s="6">
        <v>440024</v>
      </c>
      <c r="C244" s="6">
        <v>2</v>
      </c>
      <c r="D244" s="6"/>
      <c r="E244" s="6"/>
      <c r="F244" s="6"/>
      <c r="G244" s="6">
        <v>441082</v>
      </c>
      <c r="H244" s="6">
        <v>10</v>
      </c>
      <c r="I244" s="6"/>
      <c r="J244" s="25" t="s">
        <v>3925</v>
      </c>
      <c r="K244" s="6"/>
      <c r="L244" s="6"/>
      <c r="M244" s="6"/>
      <c r="N244" s="6"/>
      <c r="O244" s="6"/>
    </row>
    <row r="245" ht="15.75" spans="1:15">
      <c r="A245" s="7">
        <v>240</v>
      </c>
      <c r="B245" s="6">
        <v>440024</v>
      </c>
      <c r="C245" s="6">
        <v>2</v>
      </c>
      <c r="D245" s="6"/>
      <c r="E245" s="6"/>
      <c r="F245" s="6"/>
      <c r="G245" s="6">
        <v>441083</v>
      </c>
      <c r="H245" s="6">
        <v>10</v>
      </c>
      <c r="I245" s="6"/>
      <c r="J245" s="25" t="s">
        <v>3925</v>
      </c>
      <c r="K245" s="6"/>
      <c r="L245" s="6"/>
      <c r="M245" s="6"/>
      <c r="N245" s="6"/>
      <c r="O245" s="6"/>
    </row>
    <row r="246" ht="15.75" spans="1:15">
      <c r="A246" s="7">
        <v>241</v>
      </c>
      <c r="B246" s="6">
        <v>440025</v>
      </c>
      <c r="C246" s="6">
        <v>2</v>
      </c>
      <c r="D246" s="6"/>
      <c r="E246" s="6"/>
      <c r="F246" s="6"/>
      <c r="G246" s="6">
        <v>441084</v>
      </c>
      <c r="H246" s="6">
        <v>10</v>
      </c>
      <c r="I246" s="6"/>
      <c r="J246" s="26" t="s">
        <v>3926</v>
      </c>
      <c r="K246" s="6"/>
      <c r="L246" s="6"/>
      <c r="M246" s="6"/>
      <c r="N246" s="6"/>
      <c r="O246" s="6"/>
    </row>
    <row r="247" ht="15.75" spans="1:15">
      <c r="A247" s="7">
        <v>242</v>
      </c>
      <c r="B247" s="6">
        <v>440025</v>
      </c>
      <c r="C247" s="6">
        <v>2</v>
      </c>
      <c r="D247" s="6"/>
      <c r="E247" s="6"/>
      <c r="F247" s="6"/>
      <c r="G247" s="6">
        <v>441085</v>
      </c>
      <c r="H247" s="6">
        <v>10</v>
      </c>
      <c r="I247" s="6"/>
      <c r="J247" s="26" t="s">
        <v>3926</v>
      </c>
      <c r="K247" s="6"/>
      <c r="L247" s="6"/>
      <c r="M247" s="6"/>
      <c r="N247" s="6"/>
      <c r="O247" s="6"/>
    </row>
    <row r="248" ht="15.75" spans="1:15">
      <c r="A248" s="7">
        <v>243</v>
      </c>
      <c r="B248" s="6">
        <v>440025</v>
      </c>
      <c r="C248" s="6">
        <v>2</v>
      </c>
      <c r="D248" s="6"/>
      <c r="E248" s="6"/>
      <c r="F248" s="6"/>
      <c r="G248" s="6">
        <v>441086</v>
      </c>
      <c r="H248" s="6">
        <v>10</v>
      </c>
      <c r="I248" s="6"/>
      <c r="J248" s="26" t="s">
        <v>3926</v>
      </c>
      <c r="K248" s="6"/>
      <c r="L248" s="6"/>
      <c r="M248" s="6"/>
      <c r="N248" s="6"/>
      <c r="O248" s="6"/>
    </row>
    <row r="249" ht="15.75" spans="1:15">
      <c r="A249" s="7">
        <v>244</v>
      </c>
      <c r="B249" s="6">
        <v>440025</v>
      </c>
      <c r="C249" s="6">
        <v>2</v>
      </c>
      <c r="D249" s="6"/>
      <c r="E249" s="6"/>
      <c r="F249" s="6"/>
      <c r="G249" s="6">
        <v>441087</v>
      </c>
      <c r="H249" s="6">
        <v>10</v>
      </c>
      <c r="I249" s="6"/>
      <c r="J249" s="26" t="s">
        <v>3926</v>
      </c>
      <c r="K249" s="6"/>
      <c r="L249" s="6"/>
      <c r="M249" s="6"/>
      <c r="N249" s="6"/>
      <c r="O249" s="6"/>
    </row>
    <row r="250" ht="15.75" spans="1:15">
      <c r="A250" s="7">
        <v>245</v>
      </c>
      <c r="B250" s="6">
        <v>440025</v>
      </c>
      <c r="C250" s="6">
        <v>2</v>
      </c>
      <c r="D250" s="6"/>
      <c r="E250" s="6"/>
      <c r="F250" s="6"/>
      <c r="G250" s="6">
        <v>441088</v>
      </c>
      <c r="H250" s="6">
        <v>10</v>
      </c>
      <c r="I250" s="6"/>
      <c r="J250" s="26" t="s">
        <v>3926</v>
      </c>
      <c r="K250" s="6"/>
      <c r="L250" s="6"/>
      <c r="M250" s="6"/>
      <c r="N250" s="6"/>
      <c r="O250" s="6"/>
    </row>
    <row r="251" ht="15.75" spans="1:15">
      <c r="A251" s="7">
        <v>246</v>
      </c>
      <c r="B251" s="6">
        <v>440025</v>
      </c>
      <c r="C251" s="6">
        <v>2</v>
      </c>
      <c r="D251" s="6"/>
      <c r="E251" s="6"/>
      <c r="F251" s="6"/>
      <c r="G251" s="6">
        <v>441089</v>
      </c>
      <c r="H251" s="6">
        <v>10</v>
      </c>
      <c r="I251" s="6"/>
      <c r="J251" s="26" t="s">
        <v>3926</v>
      </c>
      <c r="K251" s="6"/>
      <c r="L251" s="6"/>
      <c r="M251" s="6"/>
      <c r="N251" s="6"/>
      <c r="O251" s="6"/>
    </row>
    <row r="252" ht="15.75" spans="1:15">
      <c r="A252" s="7">
        <v>247</v>
      </c>
      <c r="B252" s="6">
        <v>440026</v>
      </c>
      <c r="C252" s="6">
        <v>2</v>
      </c>
      <c r="D252" s="6"/>
      <c r="E252" s="6"/>
      <c r="F252" s="6"/>
      <c r="G252" s="6">
        <v>441090</v>
      </c>
      <c r="H252" s="6">
        <v>10</v>
      </c>
      <c r="I252" s="6"/>
      <c r="J252" s="27" t="s">
        <v>3927</v>
      </c>
      <c r="K252" s="6"/>
      <c r="L252" s="6"/>
      <c r="M252" s="6"/>
      <c r="N252" s="6"/>
      <c r="O252" s="6"/>
    </row>
    <row r="253" ht="15.75" spans="1:15">
      <c r="A253" s="7">
        <v>248</v>
      </c>
      <c r="B253" s="6">
        <v>440026</v>
      </c>
      <c r="C253" s="6">
        <v>2</v>
      </c>
      <c r="D253" s="6"/>
      <c r="E253" s="6"/>
      <c r="F253" s="6"/>
      <c r="G253" s="6">
        <v>441091</v>
      </c>
      <c r="H253" s="6">
        <v>10</v>
      </c>
      <c r="I253" s="6"/>
      <c r="J253" s="27" t="s">
        <v>3927</v>
      </c>
      <c r="K253" s="6"/>
      <c r="L253" s="6"/>
      <c r="M253" s="6"/>
      <c r="N253" s="6"/>
      <c r="O253" s="6"/>
    </row>
    <row r="254" ht="15.75" spans="1:15">
      <c r="A254" s="7">
        <v>249</v>
      </c>
      <c r="B254" s="6">
        <v>440026</v>
      </c>
      <c r="C254" s="6">
        <v>2</v>
      </c>
      <c r="D254" s="6"/>
      <c r="E254" s="6"/>
      <c r="F254" s="6"/>
      <c r="G254" s="6">
        <v>441092</v>
      </c>
      <c r="H254" s="6">
        <v>10</v>
      </c>
      <c r="I254" s="6"/>
      <c r="J254" s="27" t="s">
        <v>3927</v>
      </c>
      <c r="K254" s="6"/>
      <c r="L254" s="6"/>
      <c r="M254" s="6"/>
      <c r="N254" s="6"/>
      <c r="O254" s="6"/>
    </row>
    <row r="255" ht="15.75" spans="1:15">
      <c r="A255" s="7">
        <v>250</v>
      </c>
      <c r="B255" s="6">
        <v>440027</v>
      </c>
      <c r="C255" s="6">
        <v>2</v>
      </c>
      <c r="D255" s="6"/>
      <c r="E255" s="6"/>
      <c r="F255" s="6"/>
      <c r="G255" s="6">
        <v>441093</v>
      </c>
      <c r="H255" s="6">
        <v>10</v>
      </c>
      <c r="I255" s="6"/>
      <c r="J255" s="25" t="s">
        <v>3928</v>
      </c>
      <c r="K255" s="6"/>
      <c r="L255" s="6"/>
      <c r="M255" s="6"/>
      <c r="N255" s="6"/>
      <c r="O255" s="6"/>
    </row>
    <row r="256" ht="15.75" spans="1:15">
      <c r="A256" s="7">
        <v>251</v>
      </c>
      <c r="B256" s="6">
        <v>440027</v>
      </c>
      <c r="C256" s="6">
        <v>2</v>
      </c>
      <c r="D256" s="6"/>
      <c r="E256" s="6"/>
      <c r="F256" s="6"/>
      <c r="G256" s="6">
        <v>441094</v>
      </c>
      <c r="H256" s="6">
        <v>10</v>
      </c>
      <c r="I256" s="6"/>
      <c r="J256" s="25" t="s">
        <v>3928</v>
      </c>
      <c r="K256" s="6"/>
      <c r="L256" s="6"/>
      <c r="M256" s="6"/>
      <c r="N256" s="6"/>
      <c r="O256" s="6"/>
    </row>
    <row r="257" ht="15.75" spans="1:15">
      <c r="A257" s="7">
        <v>252</v>
      </c>
      <c r="B257" s="6">
        <v>440027</v>
      </c>
      <c r="C257" s="6">
        <v>2</v>
      </c>
      <c r="D257" s="6"/>
      <c r="E257" s="6"/>
      <c r="F257" s="6"/>
      <c r="G257" s="6">
        <v>441095</v>
      </c>
      <c r="H257" s="6">
        <v>10</v>
      </c>
      <c r="I257" s="6"/>
      <c r="J257" s="25" t="s">
        <v>3928</v>
      </c>
      <c r="K257" s="6"/>
      <c r="L257" s="6"/>
      <c r="M257" s="6"/>
      <c r="N257" s="6"/>
      <c r="O257" s="6"/>
    </row>
    <row r="258" ht="15.75" spans="1:15">
      <c r="A258" s="7">
        <v>253</v>
      </c>
      <c r="B258" s="6">
        <v>440027</v>
      </c>
      <c r="C258" s="6">
        <v>2</v>
      </c>
      <c r="D258" s="6"/>
      <c r="E258" s="6"/>
      <c r="F258" s="6"/>
      <c r="G258" s="6">
        <v>441096</v>
      </c>
      <c r="H258" s="6">
        <v>10</v>
      </c>
      <c r="I258" s="6"/>
      <c r="J258" s="25" t="s">
        <v>3928</v>
      </c>
      <c r="K258" s="6"/>
      <c r="L258" s="6"/>
      <c r="M258" s="6"/>
      <c r="N258" s="6"/>
      <c r="O258" s="6"/>
    </row>
    <row r="259" ht="15.75" spans="1:15">
      <c r="A259" s="7">
        <v>254</v>
      </c>
      <c r="B259" s="6">
        <v>440027</v>
      </c>
      <c r="C259" s="6">
        <v>2</v>
      </c>
      <c r="D259" s="6"/>
      <c r="E259" s="6"/>
      <c r="F259" s="6"/>
      <c r="G259" s="6">
        <v>441097</v>
      </c>
      <c r="H259" s="6">
        <v>10</v>
      </c>
      <c r="I259" s="6"/>
      <c r="J259" s="25" t="s">
        <v>3928</v>
      </c>
      <c r="K259" s="6"/>
      <c r="L259" s="6"/>
      <c r="M259" s="6"/>
      <c r="N259" s="6"/>
      <c r="O259" s="6"/>
    </row>
    <row r="260" ht="15.75" spans="1:15">
      <c r="A260" s="7">
        <v>255</v>
      </c>
      <c r="B260" s="6">
        <v>440027</v>
      </c>
      <c r="C260" s="6">
        <v>2</v>
      </c>
      <c r="D260" s="6"/>
      <c r="E260" s="6"/>
      <c r="F260" s="6"/>
      <c r="G260" s="6">
        <v>441098</v>
      </c>
      <c r="H260" s="6">
        <v>10</v>
      </c>
      <c r="I260" s="6"/>
      <c r="J260" s="25" t="s">
        <v>3928</v>
      </c>
      <c r="K260" s="6"/>
      <c r="L260" s="6"/>
      <c r="M260" s="6"/>
      <c r="N260" s="6"/>
      <c r="O260" s="6"/>
    </row>
    <row r="261" ht="15.75" spans="1:15">
      <c r="A261" s="7">
        <v>256</v>
      </c>
      <c r="B261" s="6">
        <v>440027</v>
      </c>
      <c r="C261" s="6">
        <v>2</v>
      </c>
      <c r="D261" s="6"/>
      <c r="E261" s="6"/>
      <c r="F261" s="6"/>
      <c r="G261" s="6">
        <v>441099</v>
      </c>
      <c r="H261" s="6">
        <v>10</v>
      </c>
      <c r="I261" s="6"/>
      <c r="J261" s="25" t="s">
        <v>3928</v>
      </c>
      <c r="K261" s="6"/>
      <c r="L261" s="6"/>
      <c r="M261" s="6"/>
      <c r="N261" s="6"/>
      <c r="O261" s="6"/>
    </row>
    <row r="262" ht="15.75" spans="1:15">
      <c r="A262" s="7">
        <v>257</v>
      </c>
      <c r="B262" s="6">
        <v>440027</v>
      </c>
      <c r="C262" s="6">
        <v>2</v>
      </c>
      <c r="D262" s="6"/>
      <c r="E262" s="6"/>
      <c r="F262" s="6"/>
      <c r="G262" s="6">
        <v>441100</v>
      </c>
      <c r="H262" s="6">
        <v>10</v>
      </c>
      <c r="I262" s="6"/>
      <c r="J262" s="25" t="s">
        <v>3928</v>
      </c>
      <c r="K262" s="6"/>
      <c r="L262" s="6"/>
      <c r="M262" s="6"/>
      <c r="N262" s="6"/>
      <c r="O262" s="6"/>
    </row>
    <row r="263" ht="15.75" spans="1:15">
      <c r="A263" s="7">
        <v>258</v>
      </c>
      <c r="B263" s="6">
        <v>440027</v>
      </c>
      <c r="C263" s="6">
        <v>2</v>
      </c>
      <c r="D263" s="6"/>
      <c r="E263" s="6"/>
      <c r="F263" s="6"/>
      <c r="G263" s="6">
        <v>441101</v>
      </c>
      <c r="H263" s="6">
        <v>10</v>
      </c>
      <c r="I263" s="6"/>
      <c r="J263" s="25" t="s">
        <v>3928</v>
      </c>
      <c r="K263" s="6"/>
      <c r="L263" s="6"/>
      <c r="M263" s="6"/>
      <c r="N263" s="6"/>
      <c r="O263" s="6"/>
    </row>
    <row r="264" ht="15.75" spans="1:15">
      <c r="A264" s="7">
        <v>259</v>
      </c>
      <c r="B264" s="6">
        <v>440028</v>
      </c>
      <c r="C264" s="6">
        <v>2</v>
      </c>
      <c r="D264" s="6"/>
      <c r="E264" s="6"/>
      <c r="F264" s="6"/>
      <c r="G264" s="6">
        <v>441102</v>
      </c>
      <c r="H264" s="6">
        <v>10</v>
      </c>
      <c r="I264" s="6"/>
      <c r="J264" s="26" t="s">
        <v>3929</v>
      </c>
      <c r="K264" s="6"/>
      <c r="L264" s="6"/>
      <c r="M264" s="6"/>
      <c r="N264" s="6"/>
      <c r="O264" s="6"/>
    </row>
    <row r="265" ht="15.75" spans="1:15">
      <c r="A265" s="7">
        <v>260</v>
      </c>
      <c r="B265" s="6">
        <v>440028</v>
      </c>
      <c r="C265" s="6">
        <v>2</v>
      </c>
      <c r="D265" s="6"/>
      <c r="E265" s="6"/>
      <c r="F265" s="6"/>
      <c r="G265" s="6">
        <v>441103</v>
      </c>
      <c r="H265" s="6">
        <v>10</v>
      </c>
      <c r="I265" s="6"/>
      <c r="J265" s="26" t="s">
        <v>3929</v>
      </c>
      <c r="K265" s="6"/>
      <c r="L265" s="6"/>
      <c r="M265" s="6"/>
      <c r="N265" s="6"/>
      <c r="O265" s="6"/>
    </row>
    <row r="266" ht="15.75" spans="1:15">
      <c r="A266" s="7">
        <v>261</v>
      </c>
      <c r="B266" s="6">
        <v>440028</v>
      </c>
      <c r="C266" s="6">
        <v>2</v>
      </c>
      <c r="D266" s="6"/>
      <c r="E266" s="6"/>
      <c r="F266" s="6"/>
      <c r="G266" s="6">
        <v>441104</v>
      </c>
      <c r="H266" s="6">
        <v>10</v>
      </c>
      <c r="I266" s="6"/>
      <c r="J266" s="26" t="s">
        <v>3929</v>
      </c>
      <c r="K266" s="6"/>
      <c r="L266" s="6"/>
      <c r="M266" s="6"/>
      <c r="N266" s="6"/>
      <c r="O266" s="6"/>
    </row>
    <row r="267" ht="15.75" spans="1:15">
      <c r="A267" s="7">
        <v>262</v>
      </c>
      <c r="B267" s="6">
        <v>440028</v>
      </c>
      <c r="C267" s="6">
        <v>2</v>
      </c>
      <c r="D267" s="6"/>
      <c r="E267" s="6"/>
      <c r="F267" s="6"/>
      <c r="G267" s="6">
        <v>441105</v>
      </c>
      <c r="H267" s="6">
        <v>10</v>
      </c>
      <c r="I267" s="6"/>
      <c r="J267" s="26" t="s">
        <v>3929</v>
      </c>
      <c r="K267" s="6"/>
      <c r="L267" s="6"/>
      <c r="M267" s="6"/>
      <c r="N267" s="6"/>
      <c r="O267" s="6"/>
    </row>
    <row r="268" ht="15.75" spans="1:15">
      <c r="A268" s="7">
        <v>263</v>
      </c>
      <c r="B268" s="6">
        <v>440028</v>
      </c>
      <c r="C268" s="6">
        <v>2</v>
      </c>
      <c r="D268" s="6"/>
      <c r="E268" s="6"/>
      <c r="F268" s="6"/>
      <c r="G268" s="6">
        <v>441106</v>
      </c>
      <c r="H268" s="6">
        <v>10</v>
      </c>
      <c r="I268" s="6"/>
      <c r="J268" s="26" t="s">
        <v>3929</v>
      </c>
      <c r="K268" s="6"/>
      <c r="L268" s="6"/>
      <c r="M268" s="6"/>
      <c r="N268" s="6"/>
      <c r="O268" s="6"/>
    </row>
    <row r="269" ht="15.75" spans="1:15">
      <c r="A269" s="7">
        <v>264</v>
      </c>
      <c r="B269" s="6">
        <v>440028</v>
      </c>
      <c r="C269" s="6">
        <v>2</v>
      </c>
      <c r="D269" s="6"/>
      <c r="E269" s="6"/>
      <c r="F269" s="6"/>
      <c r="G269" s="6">
        <v>441107</v>
      </c>
      <c r="H269" s="6">
        <v>10</v>
      </c>
      <c r="I269" s="6"/>
      <c r="J269" s="26" t="s">
        <v>3929</v>
      </c>
      <c r="K269" s="6"/>
      <c r="L269" s="6"/>
      <c r="M269" s="6"/>
      <c r="N269" s="6"/>
      <c r="O269" s="6"/>
    </row>
    <row r="270" ht="15.75" spans="1:15">
      <c r="A270" s="7">
        <v>265</v>
      </c>
      <c r="B270" s="6">
        <v>440029</v>
      </c>
      <c r="C270" s="6">
        <v>2</v>
      </c>
      <c r="D270" s="6"/>
      <c r="E270" s="6"/>
      <c r="F270" s="6"/>
      <c r="G270" s="6">
        <v>441108</v>
      </c>
      <c r="H270" s="6">
        <v>10</v>
      </c>
      <c r="I270" s="6"/>
      <c r="J270" s="27" t="s">
        <v>3930</v>
      </c>
      <c r="K270" s="6"/>
      <c r="L270" s="6"/>
      <c r="M270" s="6"/>
      <c r="N270" s="6"/>
      <c r="O270" s="6"/>
    </row>
    <row r="271" ht="15.75" spans="1:15">
      <c r="A271" s="7">
        <v>266</v>
      </c>
      <c r="B271" s="6">
        <v>440029</v>
      </c>
      <c r="C271" s="6">
        <v>2</v>
      </c>
      <c r="D271" s="6"/>
      <c r="E271" s="6"/>
      <c r="F271" s="6"/>
      <c r="G271" s="6">
        <v>441109</v>
      </c>
      <c r="H271" s="6">
        <v>10</v>
      </c>
      <c r="I271" s="6"/>
      <c r="J271" s="27" t="s">
        <v>3930</v>
      </c>
      <c r="K271" s="6"/>
      <c r="L271" s="6"/>
      <c r="M271" s="6"/>
      <c r="N271" s="6"/>
      <c r="O271" s="6"/>
    </row>
    <row r="272" ht="15.75" spans="1:15">
      <c r="A272" s="7">
        <v>267</v>
      </c>
      <c r="B272" s="6">
        <v>440029</v>
      </c>
      <c r="C272" s="6">
        <v>2</v>
      </c>
      <c r="D272" s="6"/>
      <c r="E272" s="6"/>
      <c r="F272" s="6"/>
      <c r="G272" s="6">
        <v>441110</v>
      </c>
      <c r="H272" s="6">
        <v>10</v>
      </c>
      <c r="I272" s="6"/>
      <c r="J272" s="27" t="s">
        <v>3930</v>
      </c>
      <c r="K272" s="6"/>
      <c r="L272" s="6"/>
      <c r="M272" s="6"/>
      <c r="N272" s="6"/>
      <c r="O272" s="6"/>
    </row>
    <row r="273" spans="1:15">
      <c r="A273" s="7">
        <v>268</v>
      </c>
      <c r="B273" s="6">
        <v>440030</v>
      </c>
      <c r="C273" s="6">
        <v>2</v>
      </c>
      <c r="D273" s="6"/>
      <c r="E273" s="6"/>
      <c r="F273" s="6"/>
      <c r="G273" s="6">
        <v>441111</v>
      </c>
      <c r="H273" s="6">
        <v>10</v>
      </c>
      <c r="I273" s="6"/>
      <c r="J273" s="6" t="s">
        <v>3931</v>
      </c>
      <c r="K273" s="6"/>
      <c r="L273" s="6"/>
      <c r="M273" s="6"/>
      <c r="N273" s="6"/>
      <c r="O273" s="6"/>
    </row>
    <row r="274" spans="1:15">
      <c r="A274" s="7">
        <v>269</v>
      </c>
      <c r="B274" s="6">
        <v>440030</v>
      </c>
      <c r="C274" s="6">
        <v>2</v>
      </c>
      <c r="D274" s="6"/>
      <c r="E274" s="6"/>
      <c r="F274" s="6"/>
      <c r="G274" s="6">
        <v>441087</v>
      </c>
      <c r="H274" s="6">
        <v>10</v>
      </c>
      <c r="I274" s="6"/>
      <c r="J274" s="6" t="s">
        <v>3931</v>
      </c>
      <c r="K274" s="6"/>
      <c r="L274" s="6"/>
      <c r="M274" s="6"/>
      <c r="N274" s="6"/>
      <c r="O274" s="6"/>
    </row>
    <row r="275" spans="1:15">
      <c r="A275" s="7">
        <v>270</v>
      </c>
      <c r="B275" s="6">
        <v>440031</v>
      </c>
      <c r="C275" s="6">
        <v>2</v>
      </c>
      <c r="D275" s="6"/>
      <c r="E275" s="6"/>
      <c r="F275" s="6"/>
      <c r="G275" s="6">
        <v>441112</v>
      </c>
      <c r="H275" s="6">
        <v>10</v>
      </c>
      <c r="I275" s="6"/>
      <c r="J275" s="6" t="s">
        <v>3932</v>
      </c>
      <c r="K275" s="6"/>
      <c r="L275" s="6"/>
      <c r="M275" s="6"/>
      <c r="N275" s="6"/>
      <c r="O275" s="6"/>
    </row>
    <row r="276" spans="1:15">
      <c r="A276" s="7">
        <v>271</v>
      </c>
      <c r="B276" s="6">
        <v>440031</v>
      </c>
      <c r="C276" s="6">
        <v>2</v>
      </c>
      <c r="D276" s="6"/>
      <c r="E276" s="6"/>
      <c r="F276" s="6"/>
      <c r="G276" s="6">
        <v>441113</v>
      </c>
      <c r="H276" s="6">
        <v>10</v>
      </c>
      <c r="I276" s="6"/>
      <c r="J276" s="6" t="s">
        <v>3932</v>
      </c>
      <c r="K276" s="6"/>
      <c r="L276" s="6"/>
      <c r="M276" s="6"/>
      <c r="N276" s="6"/>
      <c r="O276" s="6"/>
    </row>
    <row r="277" spans="1:15">
      <c r="A277" s="7">
        <v>272</v>
      </c>
      <c r="B277" s="6">
        <v>440031</v>
      </c>
      <c r="C277" s="6">
        <v>2</v>
      </c>
      <c r="D277" s="6"/>
      <c r="E277" s="6"/>
      <c r="F277" s="6"/>
      <c r="G277" s="6">
        <v>441088</v>
      </c>
      <c r="H277" s="6">
        <v>10</v>
      </c>
      <c r="I277" s="6"/>
      <c r="J277" s="6" t="s">
        <v>3932</v>
      </c>
      <c r="K277" s="6"/>
      <c r="L277" s="6"/>
      <c r="M277" s="6"/>
      <c r="N277" s="6"/>
      <c r="O277" s="6"/>
    </row>
    <row r="278" spans="1:15">
      <c r="A278" s="7">
        <v>273</v>
      </c>
      <c r="B278" s="6">
        <v>440031</v>
      </c>
      <c r="C278" s="6">
        <v>2</v>
      </c>
      <c r="D278" s="6"/>
      <c r="E278" s="6"/>
      <c r="F278" s="6"/>
      <c r="G278" s="6">
        <v>441089</v>
      </c>
      <c r="H278" s="6">
        <v>10</v>
      </c>
      <c r="I278" s="6"/>
      <c r="J278" s="6" t="s">
        <v>3932</v>
      </c>
      <c r="K278" s="6"/>
      <c r="L278" s="6"/>
      <c r="M278" s="6"/>
      <c r="N278" s="6"/>
      <c r="O278" s="6"/>
    </row>
    <row r="279" ht="15.75" spans="1:15">
      <c r="A279" s="7">
        <v>274</v>
      </c>
      <c r="B279" s="6">
        <v>440032</v>
      </c>
      <c r="C279" s="6">
        <v>2</v>
      </c>
      <c r="D279" s="6"/>
      <c r="E279" s="6"/>
      <c r="F279" s="6"/>
      <c r="G279" s="6">
        <v>441114</v>
      </c>
      <c r="H279" s="6">
        <v>10</v>
      </c>
      <c r="I279" s="6"/>
      <c r="J279" s="24" t="s">
        <v>3933</v>
      </c>
      <c r="K279" s="6"/>
      <c r="L279" s="6"/>
      <c r="M279" s="6"/>
      <c r="N279" s="6"/>
      <c r="O279" s="6"/>
    </row>
    <row r="280" ht="15.75" spans="1:15">
      <c r="A280" s="7">
        <v>275</v>
      </c>
      <c r="B280" s="6">
        <v>440032</v>
      </c>
      <c r="C280" s="6">
        <v>2</v>
      </c>
      <c r="D280" s="6"/>
      <c r="E280" s="6"/>
      <c r="F280" s="6"/>
      <c r="G280" s="6">
        <v>441115</v>
      </c>
      <c r="H280" s="6">
        <v>10</v>
      </c>
      <c r="I280" s="6"/>
      <c r="J280" s="24" t="s">
        <v>3933</v>
      </c>
      <c r="K280" s="6"/>
      <c r="L280" s="6"/>
      <c r="M280" s="6"/>
      <c r="N280" s="6"/>
      <c r="O280" s="6"/>
    </row>
    <row r="281" ht="15.75" spans="1:15">
      <c r="A281" s="7">
        <v>276</v>
      </c>
      <c r="B281" s="6">
        <v>440032</v>
      </c>
      <c r="C281" s="6">
        <v>2</v>
      </c>
      <c r="D281" s="6"/>
      <c r="E281" s="6"/>
      <c r="F281" s="6"/>
      <c r="G281" s="6">
        <v>441116</v>
      </c>
      <c r="H281" s="6">
        <v>10</v>
      </c>
      <c r="I281" s="6"/>
      <c r="J281" s="24" t="s">
        <v>3933</v>
      </c>
      <c r="K281" s="6"/>
      <c r="L281" s="6"/>
      <c r="M281" s="6"/>
      <c r="N281" s="6"/>
      <c r="O281" s="6"/>
    </row>
    <row r="282" ht="15.75" spans="1:15">
      <c r="A282" s="7">
        <v>277</v>
      </c>
      <c r="B282" s="6">
        <v>440032</v>
      </c>
      <c r="C282" s="6">
        <v>2</v>
      </c>
      <c r="D282" s="6"/>
      <c r="E282" s="6"/>
      <c r="F282" s="6"/>
      <c r="G282" s="6">
        <v>441117</v>
      </c>
      <c r="H282" s="6">
        <v>10</v>
      </c>
      <c r="I282" s="6"/>
      <c r="J282" s="24" t="s">
        <v>3933</v>
      </c>
      <c r="K282" s="6"/>
      <c r="L282" s="6"/>
      <c r="M282" s="6"/>
      <c r="N282" s="6"/>
      <c r="O282" s="6"/>
    </row>
    <row r="283" ht="15.75" spans="1:15">
      <c r="A283" s="7">
        <v>278</v>
      </c>
      <c r="B283" s="6">
        <v>440032</v>
      </c>
      <c r="C283" s="6">
        <v>2</v>
      </c>
      <c r="D283" s="6"/>
      <c r="E283" s="6"/>
      <c r="F283" s="6"/>
      <c r="G283" s="6">
        <v>441118</v>
      </c>
      <c r="H283" s="6">
        <v>10</v>
      </c>
      <c r="I283" s="6"/>
      <c r="J283" s="24" t="s">
        <v>3933</v>
      </c>
      <c r="K283" s="6"/>
      <c r="L283" s="6"/>
      <c r="M283" s="6"/>
      <c r="N283" s="6"/>
      <c r="O283" s="6"/>
    </row>
    <row r="284" ht="15.75" spans="1:15">
      <c r="A284" s="7">
        <v>279</v>
      </c>
      <c r="B284" s="6">
        <v>440032</v>
      </c>
      <c r="C284" s="6">
        <v>2</v>
      </c>
      <c r="D284" s="6"/>
      <c r="E284" s="6"/>
      <c r="F284" s="6"/>
      <c r="G284" s="6">
        <v>441119</v>
      </c>
      <c r="H284" s="6">
        <v>10</v>
      </c>
      <c r="I284" s="6"/>
      <c r="J284" s="24" t="s">
        <v>3933</v>
      </c>
      <c r="K284" s="6"/>
      <c r="L284" s="6"/>
      <c r="M284" s="6"/>
      <c r="N284" s="6"/>
      <c r="O284" s="6"/>
    </row>
    <row r="285" ht="15.75" spans="1:15">
      <c r="A285" s="7">
        <v>280</v>
      </c>
      <c r="B285" s="6">
        <v>440032</v>
      </c>
      <c r="C285" s="6">
        <v>2</v>
      </c>
      <c r="D285" s="6"/>
      <c r="E285" s="6"/>
      <c r="F285" s="6"/>
      <c r="G285" s="6">
        <v>441120</v>
      </c>
      <c r="H285" s="6">
        <v>10</v>
      </c>
      <c r="I285" s="6"/>
      <c r="J285" s="24" t="s">
        <v>3933</v>
      </c>
      <c r="K285" s="6"/>
      <c r="L285" s="6"/>
      <c r="M285" s="6"/>
      <c r="N285" s="6"/>
      <c r="O285" s="6"/>
    </row>
    <row r="286" ht="15.75" spans="1:15">
      <c r="A286" s="7">
        <v>281</v>
      </c>
      <c r="B286" s="6">
        <v>440032</v>
      </c>
      <c r="C286" s="6">
        <v>2</v>
      </c>
      <c r="D286" s="6"/>
      <c r="E286" s="6"/>
      <c r="F286" s="6"/>
      <c r="G286" s="6">
        <v>441121</v>
      </c>
      <c r="H286" s="6">
        <v>10</v>
      </c>
      <c r="I286" s="6"/>
      <c r="J286" s="24" t="s">
        <v>3933</v>
      </c>
      <c r="K286" s="6"/>
      <c r="L286" s="6"/>
      <c r="M286" s="6"/>
      <c r="N286" s="6"/>
      <c r="O286" s="6"/>
    </row>
    <row r="287" ht="15.75" spans="1:15">
      <c r="A287" s="7">
        <v>282</v>
      </c>
      <c r="B287" s="6">
        <v>440032</v>
      </c>
      <c r="C287" s="6">
        <v>2</v>
      </c>
      <c r="D287" s="6"/>
      <c r="E287" s="6"/>
      <c r="F287" s="6"/>
      <c r="G287" s="6">
        <v>441122</v>
      </c>
      <c r="H287" s="6">
        <v>10</v>
      </c>
      <c r="I287" s="6"/>
      <c r="J287" s="24" t="s">
        <v>3933</v>
      </c>
      <c r="K287" s="6"/>
      <c r="L287" s="6"/>
      <c r="M287" s="6"/>
      <c r="N287" s="6"/>
      <c r="O287" s="6"/>
    </row>
    <row r="288" ht="15.75" spans="1:15">
      <c r="A288" s="7">
        <v>283</v>
      </c>
      <c r="B288" s="6">
        <v>440032</v>
      </c>
      <c r="C288" s="6">
        <v>2</v>
      </c>
      <c r="D288" s="6"/>
      <c r="E288" s="6"/>
      <c r="F288" s="6"/>
      <c r="G288" s="6">
        <v>441123</v>
      </c>
      <c r="H288" s="6">
        <v>10</v>
      </c>
      <c r="I288" s="6"/>
      <c r="J288" s="24" t="s">
        <v>3933</v>
      </c>
      <c r="K288" s="6"/>
      <c r="L288" s="6"/>
      <c r="M288" s="6"/>
      <c r="N288" s="6"/>
      <c r="O288" s="6"/>
    </row>
    <row r="289" ht="15.75" spans="1:15">
      <c r="A289" s="7">
        <v>284</v>
      </c>
      <c r="B289" s="6">
        <v>440032</v>
      </c>
      <c r="C289" s="6">
        <v>2</v>
      </c>
      <c r="D289" s="6"/>
      <c r="E289" s="6"/>
      <c r="F289" s="6"/>
      <c r="G289" s="6">
        <v>441124</v>
      </c>
      <c r="H289" s="6">
        <v>10</v>
      </c>
      <c r="I289" s="6"/>
      <c r="J289" s="24" t="s">
        <v>3933</v>
      </c>
      <c r="K289" s="6"/>
      <c r="L289" s="6"/>
      <c r="M289" s="6"/>
      <c r="N289" s="6"/>
      <c r="O289" s="6"/>
    </row>
    <row r="290" ht="15.75" spans="1:15">
      <c r="A290" s="7">
        <v>285</v>
      </c>
      <c r="B290" s="6">
        <v>440032</v>
      </c>
      <c r="C290" s="6">
        <v>2</v>
      </c>
      <c r="D290" s="6"/>
      <c r="E290" s="6"/>
      <c r="F290" s="6"/>
      <c r="G290" s="6">
        <v>441125</v>
      </c>
      <c r="H290" s="6">
        <v>10</v>
      </c>
      <c r="I290" s="6"/>
      <c r="J290" s="24" t="s">
        <v>3933</v>
      </c>
      <c r="K290" s="6"/>
      <c r="L290" s="6"/>
      <c r="M290" s="6"/>
      <c r="N290" s="6"/>
      <c r="O290" s="6"/>
    </row>
    <row r="291" ht="15.75" spans="1:15">
      <c r="A291" s="7">
        <v>286</v>
      </c>
      <c r="B291" s="6">
        <v>440032</v>
      </c>
      <c r="C291" s="6">
        <v>2</v>
      </c>
      <c r="D291" s="6"/>
      <c r="E291" s="6"/>
      <c r="F291" s="6"/>
      <c r="G291" s="6">
        <v>441126</v>
      </c>
      <c r="H291" s="6">
        <v>10</v>
      </c>
      <c r="I291" s="6"/>
      <c r="J291" s="24" t="s">
        <v>3933</v>
      </c>
      <c r="K291" s="6"/>
      <c r="L291" s="6"/>
      <c r="M291" s="6"/>
      <c r="N291" s="6"/>
      <c r="O291" s="6"/>
    </row>
    <row r="292" ht="15.75" spans="1:15">
      <c r="A292" s="7">
        <v>287</v>
      </c>
      <c r="B292" s="6">
        <v>440032</v>
      </c>
      <c r="C292" s="6">
        <v>2</v>
      </c>
      <c r="D292" s="6"/>
      <c r="E292" s="6"/>
      <c r="F292" s="6"/>
      <c r="G292" s="6">
        <v>441127</v>
      </c>
      <c r="H292" s="6">
        <v>10</v>
      </c>
      <c r="I292" s="6"/>
      <c r="J292" s="24" t="s">
        <v>3933</v>
      </c>
      <c r="K292" s="6"/>
      <c r="L292" s="6"/>
      <c r="M292" s="6"/>
      <c r="N292" s="6"/>
      <c r="O292" s="6"/>
    </row>
    <row r="293" ht="15.75" spans="1:15">
      <c r="A293" s="7">
        <v>288</v>
      </c>
      <c r="B293" s="6">
        <v>440032</v>
      </c>
      <c r="C293" s="6">
        <v>2</v>
      </c>
      <c r="D293" s="6"/>
      <c r="E293" s="6"/>
      <c r="F293" s="6"/>
      <c r="G293" s="6">
        <v>441128</v>
      </c>
      <c r="H293" s="6">
        <v>10</v>
      </c>
      <c r="I293" s="6"/>
      <c r="J293" s="24" t="s">
        <v>3933</v>
      </c>
      <c r="K293" s="6"/>
      <c r="L293" s="6"/>
      <c r="M293" s="6"/>
      <c r="N293" s="6"/>
      <c r="O293" s="6"/>
    </row>
    <row r="294" ht="15.75" spans="1:15">
      <c r="A294" s="7">
        <v>289</v>
      </c>
      <c r="B294" s="6">
        <v>440032</v>
      </c>
      <c r="C294" s="6">
        <v>2</v>
      </c>
      <c r="D294" s="6"/>
      <c r="E294" s="6"/>
      <c r="F294" s="6"/>
      <c r="G294" s="6">
        <v>441129</v>
      </c>
      <c r="H294" s="6">
        <v>10</v>
      </c>
      <c r="I294" s="6"/>
      <c r="J294" s="24" t="s">
        <v>3933</v>
      </c>
      <c r="K294" s="6"/>
      <c r="L294" s="6"/>
      <c r="M294" s="6"/>
      <c r="N294" s="6"/>
      <c r="O294" s="6"/>
    </row>
    <row r="295" ht="15.75" spans="1:15">
      <c r="A295" s="7">
        <v>290</v>
      </c>
      <c r="B295" s="6">
        <v>440032</v>
      </c>
      <c r="C295" s="6">
        <v>2</v>
      </c>
      <c r="D295" s="6"/>
      <c r="E295" s="6"/>
      <c r="F295" s="6"/>
      <c r="G295" s="6">
        <v>441130</v>
      </c>
      <c r="H295" s="6">
        <v>10</v>
      </c>
      <c r="I295" s="6"/>
      <c r="J295" s="24" t="s">
        <v>3933</v>
      </c>
      <c r="K295" s="6"/>
      <c r="L295" s="6"/>
      <c r="M295" s="6"/>
      <c r="N295" s="6"/>
      <c r="O295" s="6"/>
    </row>
    <row r="296" ht="15.75" spans="1:15">
      <c r="A296" s="7">
        <v>291</v>
      </c>
      <c r="B296" s="6">
        <v>440032</v>
      </c>
      <c r="C296" s="6">
        <v>2</v>
      </c>
      <c r="D296" s="6"/>
      <c r="E296" s="6"/>
      <c r="F296" s="6"/>
      <c r="G296" s="6">
        <v>441131</v>
      </c>
      <c r="H296" s="6">
        <v>10</v>
      </c>
      <c r="I296" s="6"/>
      <c r="J296" s="24" t="s">
        <v>3933</v>
      </c>
      <c r="K296" s="6"/>
      <c r="L296" s="6"/>
      <c r="M296" s="6"/>
      <c r="N296" s="6"/>
      <c r="O296" s="6"/>
    </row>
    <row r="297" ht="15.75" spans="1:15">
      <c r="A297" s="7">
        <v>292</v>
      </c>
      <c r="B297" s="6">
        <v>440032</v>
      </c>
      <c r="C297" s="6">
        <v>2</v>
      </c>
      <c r="D297" s="6"/>
      <c r="E297" s="6"/>
      <c r="F297" s="6"/>
      <c r="G297" s="6">
        <v>441132</v>
      </c>
      <c r="H297" s="6">
        <v>10</v>
      </c>
      <c r="I297" s="6"/>
      <c r="J297" s="24" t="s">
        <v>3933</v>
      </c>
      <c r="K297" s="6"/>
      <c r="L297" s="6"/>
      <c r="M297" s="6"/>
      <c r="N297" s="6"/>
      <c r="O297" s="6"/>
    </row>
    <row r="298" ht="15.75" spans="1:15">
      <c r="A298" s="7">
        <v>293</v>
      </c>
      <c r="B298" s="6">
        <v>440032</v>
      </c>
      <c r="C298" s="6">
        <v>2</v>
      </c>
      <c r="D298" s="6"/>
      <c r="E298" s="6"/>
      <c r="F298" s="6"/>
      <c r="G298" s="6">
        <v>441133</v>
      </c>
      <c r="H298" s="6">
        <v>10</v>
      </c>
      <c r="I298" s="6"/>
      <c r="J298" s="24" t="s">
        <v>3933</v>
      </c>
      <c r="K298" s="6"/>
      <c r="L298" s="6"/>
      <c r="M298" s="6"/>
      <c r="N298" s="6"/>
      <c r="O298" s="6"/>
    </row>
    <row r="299" ht="15.75" spans="1:15">
      <c r="A299" s="7">
        <v>294</v>
      </c>
      <c r="B299" s="6">
        <v>440032</v>
      </c>
      <c r="C299" s="6">
        <v>2</v>
      </c>
      <c r="D299" s="6"/>
      <c r="E299" s="6"/>
      <c r="F299" s="6"/>
      <c r="G299" s="6">
        <v>441134</v>
      </c>
      <c r="H299" s="6">
        <v>10</v>
      </c>
      <c r="I299" s="6"/>
      <c r="J299" s="24" t="s">
        <v>3933</v>
      </c>
      <c r="K299" s="6"/>
      <c r="L299" s="6"/>
      <c r="M299" s="6"/>
      <c r="N299" s="6"/>
      <c r="O299" s="6"/>
    </row>
    <row r="300" ht="15.75" spans="1:15">
      <c r="A300" s="7">
        <v>295</v>
      </c>
      <c r="B300" s="6">
        <v>440032</v>
      </c>
      <c r="C300" s="6">
        <v>2</v>
      </c>
      <c r="D300" s="6"/>
      <c r="E300" s="6"/>
      <c r="F300" s="6"/>
      <c r="G300" s="6">
        <v>441135</v>
      </c>
      <c r="H300" s="6">
        <v>10</v>
      </c>
      <c r="I300" s="6"/>
      <c r="J300" s="24" t="s">
        <v>3933</v>
      </c>
      <c r="K300" s="6"/>
      <c r="L300" s="6"/>
      <c r="M300" s="6"/>
      <c r="N300" s="6"/>
      <c r="O300" s="6"/>
    </row>
    <row r="301" ht="15.75" spans="1:15">
      <c r="A301" s="7">
        <v>296</v>
      </c>
      <c r="B301" s="6">
        <v>440032</v>
      </c>
      <c r="C301" s="6">
        <v>2</v>
      </c>
      <c r="D301" s="6"/>
      <c r="E301" s="6"/>
      <c r="F301" s="6"/>
      <c r="G301" s="6">
        <v>441136</v>
      </c>
      <c r="H301" s="6">
        <v>10</v>
      </c>
      <c r="I301" s="6"/>
      <c r="J301" s="24" t="s">
        <v>3933</v>
      </c>
      <c r="K301" s="6"/>
      <c r="L301" s="6"/>
      <c r="M301" s="6"/>
      <c r="N301" s="6"/>
      <c r="O301" s="6"/>
    </row>
    <row r="302" ht="15.75" spans="1:15">
      <c r="A302" s="7">
        <v>297</v>
      </c>
      <c r="B302" s="6">
        <v>440032</v>
      </c>
      <c r="C302" s="6">
        <v>2</v>
      </c>
      <c r="D302" s="6"/>
      <c r="E302" s="6"/>
      <c r="F302" s="6"/>
      <c r="G302" s="6">
        <v>441137</v>
      </c>
      <c r="H302" s="6">
        <v>10</v>
      </c>
      <c r="I302" s="6"/>
      <c r="J302" s="24" t="s">
        <v>3933</v>
      </c>
      <c r="K302" s="6"/>
      <c r="L302" s="6"/>
      <c r="M302" s="6"/>
      <c r="N302" s="6"/>
      <c r="O302" s="6"/>
    </row>
    <row r="303" ht="15.75" spans="1:15">
      <c r="A303" s="7">
        <v>298</v>
      </c>
      <c r="B303" s="6">
        <v>440032</v>
      </c>
      <c r="C303" s="6">
        <v>2</v>
      </c>
      <c r="D303" s="6"/>
      <c r="E303" s="6"/>
      <c r="F303" s="6"/>
      <c r="G303" s="6">
        <v>441138</v>
      </c>
      <c r="H303" s="6">
        <v>10</v>
      </c>
      <c r="I303" s="6"/>
      <c r="J303" s="24" t="s">
        <v>3933</v>
      </c>
      <c r="K303" s="6"/>
      <c r="L303" s="6"/>
      <c r="M303" s="6"/>
      <c r="N303" s="6"/>
      <c r="O303" s="6"/>
    </row>
    <row r="304" ht="15.75" spans="1:15">
      <c r="A304" s="7">
        <v>299</v>
      </c>
      <c r="B304" s="6">
        <v>440033</v>
      </c>
      <c r="C304" s="6">
        <v>2</v>
      </c>
      <c r="D304" s="6"/>
      <c r="E304" s="6"/>
      <c r="F304" s="6"/>
      <c r="G304" s="6">
        <v>441139</v>
      </c>
      <c r="H304" s="6">
        <v>10</v>
      </c>
      <c r="I304" s="6"/>
      <c r="J304" s="25" t="s">
        <v>3934</v>
      </c>
      <c r="K304" s="6"/>
      <c r="L304" s="6"/>
      <c r="M304" s="6"/>
      <c r="N304" s="6"/>
      <c r="O304" s="6"/>
    </row>
    <row r="305" ht="15.75" spans="1:15">
      <c r="A305" s="7">
        <v>300</v>
      </c>
      <c r="B305" s="6">
        <v>440033</v>
      </c>
      <c r="C305" s="6">
        <v>2</v>
      </c>
      <c r="D305" s="6"/>
      <c r="E305" s="6"/>
      <c r="F305" s="6"/>
      <c r="G305" s="6">
        <v>441140</v>
      </c>
      <c r="H305" s="6">
        <v>10</v>
      </c>
      <c r="I305" s="6"/>
      <c r="J305" s="25" t="s">
        <v>3934</v>
      </c>
      <c r="K305" s="6"/>
      <c r="L305" s="6"/>
      <c r="M305" s="6"/>
      <c r="N305" s="6"/>
      <c r="O305" s="6"/>
    </row>
    <row r="306" ht="15.75" spans="1:15">
      <c r="A306" s="7">
        <v>301</v>
      </c>
      <c r="B306" s="6">
        <v>440033</v>
      </c>
      <c r="C306" s="6">
        <v>2</v>
      </c>
      <c r="D306" s="6"/>
      <c r="E306" s="6"/>
      <c r="F306" s="6"/>
      <c r="G306" s="6">
        <v>441141</v>
      </c>
      <c r="H306" s="6">
        <v>10</v>
      </c>
      <c r="I306" s="6"/>
      <c r="J306" s="25" t="s">
        <v>3934</v>
      </c>
      <c r="K306" s="6"/>
      <c r="L306" s="6"/>
      <c r="M306" s="6"/>
      <c r="N306" s="6"/>
      <c r="O306" s="6"/>
    </row>
    <row r="307" ht="15.75" spans="1:15">
      <c r="A307" s="7">
        <v>302</v>
      </c>
      <c r="B307" s="6">
        <v>440033</v>
      </c>
      <c r="C307" s="6">
        <v>2</v>
      </c>
      <c r="D307" s="6"/>
      <c r="E307" s="6"/>
      <c r="F307" s="6"/>
      <c r="G307" s="6">
        <v>441142</v>
      </c>
      <c r="H307" s="6">
        <v>10</v>
      </c>
      <c r="I307" s="6"/>
      <c r="J307" s="25" t="s">
        <v>3934</v>
      </c>
      <c r="K307" s="6"/>
      <c r="L307" s="6"/>
      <c r="M307" s="6"/>
      <c r="N307" s="6"/>
      <c r="O307" s="6"/>
    </row>
    <row r="308" ht="15.75" spans="1:15">
      <c r="A308" s="7">
        <v>303</v>
      </c>
      <c r="B308" s="6">
        <v>440033</v>
      </c>
      <c r="C308" s="6">
        <v>2</v>
      </c>
      <c r="D308" s="6"/>
      <c r="E308" s="6"/>
      <c r="F308" s="6"/>
      <c r="G308" s="6">
        <v>441143</v>
      </c>
      <c r="H308" s="6">
        <v>10</v>
      </c>
      <c r="I308" s="6"/>
      <c r="J308" s="25" t="s">
        <v>3934</v>
      </c>
      <c r="K308" s="6"/>
      <c r="L308" s="6"/>
      <c r="M308" s="6"/>
      <c r="N308" s="6"/>
      <c r="O308" s="6"/>
    </row>
    <row r="309" ht="15.75" spans="1:15">
      <c r="A309" s="7">
        <v>304</v>
      </c>
      <c r="B309" s="6">
        <v>440033</v>
      </c>
      <c r="C309" s="6">
        <v>2</v>
      </c>
      <c r="D309" s="6"/>
      <c r="E309" s="6"/>
      <c r="F309" s="6"/>
      <c r="G309" s="6">
        <v>441144</v>
      </c>
      <c r="H309" s="6">
        <v>10</v>
      </c>
      <c r="I309" s="6"/>
      <c r="J309" s="25" t="s">
        <v>3934</v>
      </c>
      <c r="K309" s="6"/>
      <c r="L309" s="6"/>
      <c r="M309" s="6"/>
      <c r="N309" s="6"/>
      <c r="O309" s="6"/>
    </row>
    <row r="310" ht="15.75" spans="1:15">
      <c r="A310" s="7">
        <v>305</v>
      </c>
      <c r="B310" s="6">
        <v>440033</v>
      </c>
      <c r="C310" s="6">
        <v>2</v>
      </c>
      <c r="D310" s="6"/>
      <c r="E310" s="6"/>
      <c r="F310" s="6"/>
      <c r="G310" s="6">
        <v>441145</v>
      </c>
      <c r="H310" s="6">
        <v>10</v>
      </c>
      <c r="I310" s="6"/>
      <c r="J310" s="25" t="s">
        <v>3934</v>
      </c>
      <c r="K310" s="6"/>
      <c r="L310" s="6"/>
      <c r="M310" s="6"/>
      <c r="N310" s="6"/>
      <c r="O310" s="6"/>
    </row>
    <row r="311" ht="15.75" spans="1:15">
      <c r="A311" s="7">
        <v>306</v>
      </c>
      <c r="B311" s="6">
        <v>440033</v>
      </c>
      <c r="C311" s="6">
        <v>2</v>
      </c>
      <c r="D311" s="6"/>
      <c r="E311" s="6"/>
      <c r="F311" s="6"/>
      <c r="G311" s="6">
        <v>441146</v>
      </c>
      <c r="H311" s="6">
        <v>10</v>
      </c>
      <c r="I311" s="6"/>
      <c r="J311" s="25" t="s">
        <v>3934</v>
      </c>
      <c r="K311" s="6"/>
      <c r="L311" s="6"/>
      <c r="M311" s="6"/>
      <c r="N311" s="6"/>
      <c r="O311" s="6"/>
    </row>
    <row r="312" ht="15.75" spans="1:15">
      <c r="A312" s="7">
        <v>307</v>
      </c>
      <c r="B312" s="6">
        <v>440033</v>
      </c>
      <c r="C312" s="6">
        <v>2</v>
      </c>
      <c r="D312" s="6"/>
      <c r="E312" s="6"/>
      <c r="F312" s="6"/>
      <c r="G312" s="6">
        <v>441147</v>
      </c>
      <c r="H312" s="6">
        <v>10</v>
      </c>
      <c r="I312" s="6"/>
      <c r="J312" s="25" t="s">
        <v>3934</v>
      </c>
      <c r="K312" s="6"/>
      <c r="L312" s="6"/>
      <c r="M312" s="6"/>
      <c r="N312" s="6"/>
      <c r="O312" s="6"/>
    </row>
    <row r="313" ht="15.75" spans="1:15">
      <c r="A313" s="7">
        <v>308</v>
      </c>
      <c r="B313" s="6">
        <v>440033</v>
      </c>
      <c r="C313" s="6">
        <v>2</v>
      </c>
      <c r="D313" s="6"/>
      <c r="E313" s="6"/>
      <c r="F313" s="6"/>
      <c r="G313" s="6">
        <v>441148</v>
      </c>
      <c r="H313" s="6">
        <v>10</v>
      </c>
      <c r="I313" s="6"/>
      <c r="J313" s="25" t="s">
        <v>3934</v>
      </c>
      <c r="K313" s="6"/>
      <c r="L313" s="6"/>
      <c r="M313" s="6"/>
      <c r="N313" s="6"/>
      <c r="O313" s="6"/>
    </row>
    <row r="314" ht="15.75" spans="1:15">
      <c r="A314" s="7">
        <v>309</v>
      </c>
      <c r="B314" s="6">
        <v>440033</v>
      </c>
      <c r="C314" s="6">
        <v>2</v>
      </c>
      <c r="D314" s="6"/>
      <c r="E314" s="6"/>
      <c r="F314" s="6"/>
      <c r="G314" s="6">
        <v>441149</v>
      </c>
      <c r="H314" s="6">
        <v>10</v>
      </c>
      <c r="I314" s="6"/>
      <c r="J314" s="25" t="s">
        <v>3934</v>
      </c>
      <c r="K314" s="6"/>
      <c r="L314" s="6"/>
      <c r="M314" s="6"/>
      <c r="N314" s="6"/>
      <c r="O314" s="6"/>
    </row>
    <row r="315" ht="15.75" spans="1:15">
      <c r="A315" s="7">
        <v>310</v>
      </c>
      <c r="B315" s="6">
        <v>440033</v>
      </c>
      <c r="C315" s="6">
        <v>2</v>
      </c>
      <c r="D315" s="6"/>
      <c r="E315" s="6"/>
      <c r="F315" s="6"/>
      <c r="G315" s="6">
        <v>441150</v>
      </c>
      <c r="H315" s="6">
        <v>10</v>
      </c>
      <c r="I315" s="6"/>
      <c r="J315" s="25" t="s">
        <v>3934</v>
      </c>
      <c r="K315" s="6"/>
      <c r="L315" s="6"/>
      <c r="M315" s="6"/>
      <c r="N315" s="6"/>
      <c r="O315" s="6"/>
    </row>
    <row r="316" ht="15.75" spans="1:15">
      <c r="A316" s="7">
        <v>311</v>
      </c>
      <c r="B316" s="6">
        <v>440033</v>
      </c>
      <c r="C316" s="6">
        <v>2</v>
      </c>
      <c r="D316" s="6"/>
      <c r="E316" s="6"/>
      <c r="F316" s="6"/>
      <c r="G316" s="6">
        <v>441151</v>
      </c>
      <c r="H316" s="6">
        <v>10</v>
      </c>
      <c r="I316" s="6"/>
      <c r="J316" s="25" t="s">
        <v>3934</v>
      </c>
      <c r="K316" s="6"/>
      <c r="L316" s="6"/>
      <c r="M316" s="6"/>
      <c r="N316" s="6"/>
      <c r="O316" s="6"/>
    </row>
    <row r="317" ht="15.75" spans="1:15">
      <c r="A317" s="7">
        <v>312</v>
      </c>
      <c r="B317" s="6">
        <v>440033</v>
      </c>
      <c r="C317" s="6">
        <v>2</v>
      </c>
      <c r="D317" s="6"/>
      <c r="E317" s="6"/>
      <c r="F317" s="6"/>
      <c r="G317" s="6">
        <v>441152</v>
      </c>
      <c r="H317" s="6">
        <v>10</v>
      </c>
      <c r="I317" s="6"/>
      <c r="J317" s="25" t="s">
        <v>3934</v>
      </c>
      <c r="K317" s="6"/>
      <c r="L317" s="6"/>
      <c r="M317" s="6"/>
      <c r="N317" s="6"/>
      <c r="O317" s="6"/>
    </row>
    <row r="318" ht="15.75" spans="1:15">
      <c r="A318" s="7">
        <v>313</v>
      </c>
      <c r="B318" s="6">
        <v>440033</v>
      </c>
      <c r="C318" s="6">
        <v>2</v>
      </c>
      <c r="D318" s="6"/>
      <c r="E318" s="6"/>
      <c r="F318" s="6"/>
      <c r="G318" s="6">
        <v>441153</v>
      </c>
      <c r="H318" s="6">
        <v>10</v>
      </c>
      <c r="I318" s="6"/>
      <c r="J318" s="25" t="s">
        <v>3934</v>
      </c>
      <c r="K318" s="6"/>
      <c r="L318" s="6"/>
      <c r="M318" s="6"/>
      <c r="N318" s="6"/>
      <c r="O318" s="6"/>
    </row>
    <row r="319" ht="15.75" spans="1:15">
      <c r="A319" s="7">
        <v>314</v>
      </c>
      <c r="B319" s="6">
        <v>440033</v>
      </c>
      <c r="C319" s="6">
        <v>2</v>
      </c>
      <c r="D319" s="6"/>
      <c r="E319" s="6"/>
      <c r="F319" s="6"/>
      <c r="G319" s="6">
        <v>441154</v>
      </c>
      <c r="H319" s="6">
        <v>10</v>
      </c>
      <c r="I319" s="6"/>
      <c r="J319" s="25" t="s">
        <v>3934</v>
      </c>
      <c r="K319" s="6"/>
      <c r="L319" s="6"/>
      <c r="M319" s="6"/>
      <c r="N319" s="6"/>
      <c r="O319" s="6"/>
    </row>
    <row r="320" ht="15.75" spans="1:15">
      <c r="A320" s="7">
        <v>315</v>
      </c>
      <c r="B320" s="6">
        <v>440033</v>
      </c>
      <c r="C320" s="6">
        <v>2</v>
      </c>
      <c r="D320" s="6"/>
      <c r="E320" s="6"/>
      <c r="F320" s="6"/>
      <c r="G320" s="6">
        <v>441155</v>
      </c>
      <c r="H320" s="6">
        <v>10</v>
      </c>
      <c r="I320" s="6"/>
      <c r="J320" s="25" t="s">
        <v>3934</v>
      </c>
      <c r="K320" s="6"/>
      <c r="L320" s="6"/>
      <c r="M320" s="6"/>
      <c r="N320" s="6"/>
      <c r="O320" s="6"/>
    </row>
    <row r="321" ht="15.75" spans="1:15">
      <c r="A321" s="7">
        <v>316</v>
      </c>
      <c r="B321" s="6">
        <v>440033</v>
      </c>
      <c r="C321" s="6">
        <v>2</v>
      </c>
      <c r="D321" s="6"/>
      <c r="E321" s="6"/>
      <c r="F321" s="6"/>
      <c r="G321" s="6">
        <v>441156</v>
      </c>
      <c r="H321" s="6">
        <v>10</v>
      </c>
      <c r="I321" s="6"/>
      <c r="J321" s="25" t="s">
        <v>3934</v>
      </c>
      <c r="K321" s="6"/>
      <c r="L321" s="6"/>
      <c r="M321" s="6"/>
      <c r="N321" s="6"/>
      <c r="O321" s="6"/>
    </row>
    <row r="322" ht="15.75" spans="1:15">
      <c r="A322" s="7">
        <v>317</v>
      </c>
      <c r="B322" s="6">
        <v>440033</v>
      </c>
      <c r="C322" s="6">
        <v>2</v>
      </c>
      <c r="D322" s="6"/>
      <c r="E322" s="6"/>
      <c r="F322" s="6"/>
      <c r="G322" s="6">
        <v>441157</v>
      </c>
      <c r="H322" s="6">
        <v>10</v>
      </c>
      <c r="I322" s="6"/>
      <c r="J322" s="25" t="s">
        <v>3934</v>
      </c>
      <c r="K322" s="6"/>
      <c r="L322" s="6"/>
      <c r="M322" s="6"/>
      <c r="N322" s="6"/>
      <c r="O322" s="6"/>
    </row>
    <row r="323" ht="15.75" spans="1:15">
      <c r="A323" s="7">
        <v>318</v>
      </c>
      <c r="B323" s="6">
        <v>440033</v>
      </c>
      <c r="C323" s="6">
        <v>2</v>
      </c>
      <c r="D323" s="6"/>
      <c r="E323" s="6"/>
      <c r="F323" s="6"/>
      <c r="G323" s="6">
        <v>441158</v>
      </c>
      <c r="H323" s="6">
        <v>10</v>
      </c>
      <c r="I323" s="6"/>
      <c r="J323" s="25" t="s">
        <v>3934</v>
      </c>
      <c r="K323" s="6"/>
      <c r="L323" s="6"/>
      <c r="M323" s="6"/>
      <c r="N323" s="6"/>
      <c r="O323" s="6"/>
    </row>
    <row r="324" ht="15.75" spans="1:15">
      <c r="A324" s="7">
        <v>319</v>
      </c>
      <c r="B324" s="6">
        <v>440034</v>
      </c>
      <c r="C324" s="6">
        <v>2</v>
      </c>
      <c r="D324" s="6"/>
      <c r="E324" s="6"/>
      <c r="F324" s="6"/>
      <c r="G324" s="6">
        <v>441159</v>
      </c>
      <c r="H324" s="6">
        <v>10</v>
      </c>
      <c r="I324" s="6"/>
      <c r="J324" s="26" t="s">
        <v>3935</v>
      </c>
      <c r="K324" s="6"/>
      <c r="L324" s="6"/>
      <c r="M324" s="6"/>
      <c r="N324" s="6"/>
      <c r="O324" s="6"/>
    </row>
    <row r="325" ht="15.75" spans="1:15">
      <c r="A325" s="7">
        <v>320</v>
      </c>
      <c r="B325" s="6">
        <v>440034</v>
      </c>
      <c r="C325" s="6">
        <v>2</v>
      </c>
      <c r="D325" s="6"/>
      <c r="E325" s="6"/>
      <c r="F325" s="6"/>
      <c r="G325" s="6">
        <v>441160</v>
      </c>
      <c r="H325" s="6">
        <v>10</v>
      </c>
      <c r="I325" s="6"/>
      <c r="J325" s="26" t="s">
        <v>3935</v>
      </c>
      <c r="K325" s="6"/>
      <c r="L325" s="6"/>
      <c r="M325" s="6"/>
      <c r="N325" s="6"/>
      <c r="O325" s="6"/>
    </row>
    <row r="326" ht="15.75" spans="1:15">
      <c r="A326" s="7">
        <v>321</v>
      </c>
      <c r="B326" s="6">
        <v>440034</v>
      </c>
      <c r="C326" s="6">
        <v>2</v>
      </c>
      <c r="D326" s="6"/>
      <c r="E326" s="6"/>
      <c r="F326" s="6"/>
      <c r="G326" s="6">
        <v>441161</v>
      </c>
      <c r="H326" s="6">
        <v>10</v>
      </c>
      <c r="I326" s="6"/>
      <c r="J326" s="26" t="s">
        <v>3935</v>
      </c>
      <c r="K326" s="6"/>
      <c r="L326" s="6"/>
      <c r="M326" s="6"/>
      <c r="N326" s="6"/>
      <c r="O326" s="6"/>
    </row>
    <row r="327" ht="15.75" spans="1:15">
      <c r="A327" s="7">
        <v>322</v>
      </c>
      <c r="B327" s="6">
        <v>440034</v>
      </c>
      <c r="C327" s="6">
        <v>2</v>
      </c>
      <c r="D327" s="6"/>
      <c r="E327" s="6"/>
      <c r="F327" s="6"/>
      <c r="G327" s="6">
        <v>441162</v>
      </c>
      <c r="H327" s="6">
        <v>10</v>
      </c>
      <c r="I327" s="6"/>
      <c r="J327" s="26" t="s">
        <v>3935</v>
      </c>
      <c r="K327" s="6"/>
      <c r="L327" s="6"/>
      <c r="M327" s="6"/>
      <c r="N327" s="6"/>
      <c r="O327" s="6"/>
    </row>
    <row r="328" ht="15.75" spans="1:15">
      <c r="A328" s="7">
        <v>323</v>
      </c>
      <c r="B328" s="6">
        <v>440034</v>
      </c>
      <c r="C328" s="6">
        <v>2</v>
      </c>
      <c r="D328" s="6"/>
      <c r="E328" s="6"/>
      <c r="F328" s="6"/>
      <c r="G328" s="6">
        <v>441163</v>
      </c>
      <c r="H328" s="6">
        <v>10</v>
      </c>
      <c r="I328" s="6"/>
      <c r="J328" s="26" t="s">
        <v>3935</v>
      </c>
      <c r="K328" s="6"/>
      <c r="L328" s="6"/>
      <c r="M328" s="6"/>
      <c r="N328" s="6"/>
      <c r="O328" s="6"/>
    </row>
    <row r="329" ht="15.75" spans="1:15">
      <c r="A329" s="7">
        <v>324</v>
      </c>
      <c r="B329" s="6">
        <v>440034</v>
      </c>
      <c r="C329" s="6">
        <v>2</v>
      </c>
      <c r="D329" s="6"/>
      <c r="E329" s="6"/>
      <c r="F329" s="6"/>
      <c r="G329" s="6">
        <v>441164</v>
      </c>
      <c r="H329" s="6">
        <v>10</v>
      </c>
      <c r="I329" s="6"/>
      <c r="J329" s="26" t="s">
        <v>3935</v>
      </c>
      <c r="K329" s="6"/>
      <c r="L329" s="6"/>
      <c r="M329" s="6"/>
      <c r="N329" s="6"/>
      <c r="O329" s="6"/>
    </row>
    <row r="330" ht="15.75" spans="1:15">
      <c r="A330" s="7">
        <v>325</v>
      </c>
      <c r="B330" s="6">
        <v>440034</v>
      </c>
      <c r="C330" s="6">
        <v>2</v>
      </c>
      <c r="D330" s="6"/>
      <c r="E330" s="6"/>
      <c r="F330" s="6"/>
      <c r="G330" s="6">
        <v>441165</v>
      </c>
      <c r="H330" s="6">
        <v>10</v>
      </c>
      <c r="I330" s="6"/>
      <c r="J330" s="26" t="s">
        <v>3935</v>
      </c>
      <c r="K330" s="6"/>
      <c r="L330" s="6"/>
      <c r="M330" s="6"/>
      <c r="N330" s="6"/>
      <c r="O330" s="6"/>
    </row>
    <row r="331" ht="15.75" spans="1:15">
      <c r="A331" s="7">
        <v>326</v>
      </c>
      <c r="B331" s="6">
        <v>440034</v>
      </c>
      <c r="C331" s="6">
        <v>2</v>
      </c>
      <c r="D331" s="6"/>
      <c r="E331" s="6"/>
      <c r="F331" s="6"/>
      <c r="G331" s="6">
        <v>441166</v>
      </c>
      <c r="H331" s="6">
        <v>10</v>
      </c>
      <c r="I331" s="6"/>
      <c r="J331" s="26" t="s">
        <v>3935</v>
      </c>
      <c r="K331" s="6"/>
      <c r="L331" s="6"/>
      <c r="M331" s="6"/>
      <c r="N331" s="6"/>
      <c r="O331" s="6"/>
    </row>
    <row r="332" ht="15.75" spans="1:15">
      <c r="A332" s="7">
        <v>327</v>
      </c>
      <c r="B332" s="6">
        <v>440034</v>
      </c>
      <c r="C332" s="6">
        <v>2</v>
      </c>
      <c r="D332" s="6"/>
      <c r="E332" s="6"/>
      <c r="F332" s="6"/>
      <c r="G332" s="6">
        <v>441167</v>
      </c>
      <c r="H332" s="6">
        <v>10</v>
      </c>
      <c r="I332" s="6"/>
      <c r="J332" s="26" t="s">
        <v>3935</v>
      </c>
      <c r="K332" s="6"/>
      <c r="L332" s="6"/>
      <c r="M332" s="6"/>
      <c r="N332" s="6"/>
      <c r="O332" s="6"/>
    </row>
    <row r="333" ht="15.75" spans="1:15">
      <c r="A333" s="7">
        <v>328</v>
      </c>
      <c r="B333" s="6">
        <v>440035</v>
      </c>
      <c r="C333" s="6">
        <v>2</v>
      </c>
      <c r="D333" s="6"/>
      <c r="E333" s="6"/>
      <c r="F333" s="6"/>
      <c r="G333" s="6">
        <v>441168</v>
      </c>
      <c r="H333" s="6">
        <v>10</v>
      </c>
      <c r="I333" s="6"/>
      <c r="J333" s="27" t="s">
        <v>3936</v>
      </c>
      <c r="K333" s="6"/>
      <c r="L333" s="6"/>
      <c r="M333" s="6"/>
      <c r="N333" s="6"/>
      <c r="O333" s="6"/>
    </row>
    <row r="334" ht="15.75" spans="1:15">
      <c r="A334" s="7">
        <v>329</v>
      </c>
      <c r="B334" s="6">
        <v>440035</v>
      </c>
      <c r="C334" s="6">
        <v>2</v>
      </c>
      <c r="D334" s="6"/>
      <c r="E334" s="6"/>
      <c r="F334" s="6"/>
      <c r="G334" s="6">
        <v>441169</v>
      </c>
      <c r="H334" s="6">
        <v>10</v>
      </c>
      <c r="I334" s="6"/>
      <c r="J334" s="27" t="s">
        <v>3936</v>
      </c>
      <c r="K334" s="6"/>
      <c r="L334" s="6"/>
      <c r="M334" s="6"/>
      <c r="N334" s="6"/>
      <c r="O334" s="6"/>
    </row>
    <row r="335" ht="15.75" spans="1:15">
      <c r="A335" s="7">
        <v>330</v>
      </c>
      <c r="B335" s="6">
        <v>440035</v>
      </c>
      <c r="C335" s="6">
        <v>2</v>
      </c>
      <c r="D335" s="6"/>
      <c r="E335" s="6"/>
      <c r="F335" s="6"/>
      <c r="G335" s="6">
        <v>441170</v>
      </c>
      <c r="H335" s="6">
        <v>10</v>
      </c>
      <c r="I335" s="6"/>
      <c r="J335" s="27" t="s">
        <v>3936</v>
      </c>
      <c r="K335" s="6"/>
      <c r="L335" s="6"/>
      <c r="M335" s="6"/>
      <c r="N335" s="6"/>
      <c r="O335" s="6"/>
    </row>
    <row r="336" ht="15.75" spans="1:15">
      <c r="A336" s="7">
        <v>331</v>
      </c>
      <c r="B336" s="6">
        <v>440035</v>
      </c>
      <c r="C336" s="6">
        <v>2</v>
      </c>
      <c r="D336" s="6"/>
      <c r="E336" s="6"/>
      <c r="F336" s="6"/>
      <c r="G336" s="6">
        <v>441171</v>
      </c>
      <c r="H336" s="6">
        <v>10</v>
      </c>
      <c r="I336" s="6"/>
      <c r="J336" s="27" t="s">
        <v>3936</v>
      </c>
      <c r="K336" s="6"/>
      <c r="L336" s="6"/>
      <c r="M336" s="6"/>
      <c r="N336" s="6"/>
      <c r="O336" s="6"/>
    </row>
    <row r="337" ht="15.75" spans="1:15">
      <c r="A337" s="7">
        <v>332</v>
      </c>
      <c r="B337" s="6">
        <v>440035</v>
      </c>
      <c r="C337" s="6">
        <v>2</v>
      </c>
      <c r="D337" s="6"/>
      <c r="E337" s="6"/>
      <c r="F337" s="6"/>
      <c r="G337" s="6">
        <v>441172</v>
      </c>
      <c r="H337" s="6">
        <v>10</v>
      </c>
      <c r="I337" s="6"/>
      <c r="J337" s="27" t="s">
        <v>3936</v>
      </c>
      <c r="K337" s="6"/>
      <c r="L337" s="6"/>
      <c r="M337" s="6"/>
      <c r="N337" s="6"/>
      <c r="O337" s="6"/>
    </row>
    <row r="338" ht="15.75" spans="1:15">
      <c r="A338" s="7">
        <v>333</v>
      </c>
      <c r="B338" s="6">
        <v>440035</v>
      </c>
      <c r="C338" s="6">
        <v>2</v>
      </c>
      <c r="D338" s="6"/>
      <c r="E338" s="6"/>
      <c r="F338" s="6"/>
      <c r="G338" s="6">
        <v>441173</v>
      </c>
      <c r="H338" s="6">
        <v>10</v>
      </c>
      <c r="I338" s="6"/>
      <c r="J338" s="27" t="s">
        <v>3936</v>
      </c>
      <c r="K338" s="6"/>
      <c r="L338" s="6"/>
      <c r="M338" s="6"/>
      <c r="N338" s="6"/>
      <c r="O338" s="6"/>
    </row>
    <row r="339" ht="15.75" spans="1:15">
      <c r="A339" s="7">
        <v>334</v>
      </c>
      <c r="B339" s="6">
        <v>440036</v>
      </c>
      <c r="C339" s="6">
        <v>2</v>
      </c>
      <c r="D339" s="6"/>
      <c r="E339" s="6"/>
      <c r="F339" s="6"/>
      <c r="G339" s="6">
        <v>441174</v>
      </c>
      <c r="H339" s="6">
        <v>10</v>
      </c>
      <c r="I339" s="6"/>
      <c r="J339" s="25" t="s">
        <v>3937</v>
      </c>
      <c r="K339" s="6"/>
      <c r="L339" s="6"/>
      <c r="M339" s="6"/>
      <c r="N339" s="6"/>
      <c r="O339" s="6"/>
    </row>
    <row r="340" ht="15.75" spans="1:15">
      <c r="A340" s="7">
        <v>335</v>
      </c>
      <c r="B340" s="6">
        <v>440036</v>
      </c>
      <c r="C340" s="6">
        <v>2</v>
      </c>
      <c r="D340" s="6"/>
      <c r="E340" s="6"/>
      <c r="F340" s="6"/>
      <c r="G340" s="6">
        <v>441175</v>
      </c>
      <c r="H340" s="6">
        <v>10</v>
      </c>
      <c r="I340" s="6"/>
      <c r="J340" s="25" t="s">
        <v>3937</v>
      </c>
      <c r="K340" s="6"/>
      <c r="L340" s="6"/>
      <c r="M340" s="6"/>
      <c r="N340" s="6"/>
      <c r="O340" s="6"/>
    </row>
    <row r="341" ht="15.75" spans="1:15">
      <c r="A341" s="7">
        <v>336</v>
      </c>
      <c r="B341" s="6">
        <v>440036</v>
      </c>
      <c r="C341" s="6">
        <v>2</v>
      </c>
      <c r="D341" s="6"/>
      <c r="E341" s="6"/>
      <c r="F341" s="6"/>
      <c r="G341" s="6">
        <v>441176</v>
      </c>
      <c r="H341" s="6">
        <v>10</v>
      </c>
      <c r="I341" s="6"/>
      <c r="J341" s="25" t="s">
        <v>3937</v>
      </c>
      <c r="K341" s="6"/>
      <c r="L341" s="6"/>
      <c r="M341" s="6"/>
      <c r="N341" s="6"/>
      <c r="O341" s="6"/>
    </row>
    <row r="342" ht="15.75" spans="1:15">
      <c r="A342" s="7">
        <v>337</v>
      </c>
      <c r="B342" s="6">
        <v>440036</v>
      </c>
      <c r="C342" s="6">
        <v>2</v>
      </c>
      <c r="D342" s="6"/>
      <c r="E342" s="6"/>
      <c r="F342" s="6"/>
      <c r="G342" s="6">
        <v>441177</v>
      </c>
      <c r="H342" s="6">
        <v>10</v>
      </c>
      <c r="I342" s="6"/>
      <c r="J342" s="25" t="s">
        <v>3937</v>
      </c>
      <c r="K342" s="6"/>
      <c r="L342" s="6"/>
      <c r="M342" s="6"/>
      <c r="N342" s="6"/>
      <c r="O342" s="6"/>
    </row>
    <row r="343" ht="15.75" spans="1:15">
      <c r="A343" s="7">
        <v>338</v>
      </c>
      <c r="B343" s="6">
        <v>440036</v>
      </c>
      <c r="C343" s="6">
        <v>2</v>
      </c>
      <c r="D343" s="6"/>
      <c r="E343" s="6"/>
      <c r="F343" s="6"/>
      <c r="G343" s="6">
        <v>441178</v>
      </c>
      <c r="H343" s="6">
        <v>10</v>
      </c>
      <c r="I343" s="6"/>
      <c r="J343" s="25" t="s">
        <v>3937</v>
      </c>
      <c r="K343" s="6"/>
      <c r="L343" s="6"/>
      <c r="M343" s="6"/>
      <c r="N343" s="6"/>
      <c r="O343" s="6"/>
    </row>
    <row r="344" ht="15.75" spans="1:15">
      <c r="A344" s="7">
        <v>339</v>
      </c>
      <c r="B344" s="6">
        <v>440036</v>
      </c>
      <c r="C344" s="6">
        <v>2</v>
      </c>
      <c r="D344" s="6"/>
      <c r="E344" s="6"/>
      <c r="F344" s="6"/>
      <c r="G344" s="6">
        <v>441179</v>
      </c>
      <c r="H344" s="6">
        <v>10</v>
      </c>
      <c r="I344" s="6"/>
      <c r="J344" s="25" t="s">
        <v>3937</v>
      </c>
      <c r="K344" s="6"/>
      <c r="L344" s="6"/>
      <c r="M344" s="6"/>
      <c r="N344" s="6"/>
      <c r="O344" s="6"/>
    </row>
    <row r="345" ht="15.75" spans="1:15">
      <c r="A345" s="7">
        <v>340</v>
      </c>
      <c r="B345" s="6">
        <v>440036</v>
      </c>
      <c r="C345" s="6">
        <v>2</v>
      </c>
      <c r="D345" s="6"/>
      <c r="E345" s="6"/>
      <c r="F345" s="6"/>
      <c r="G345" s="6">
        <v>441180</v>
      </c>
      <c r="H345" s="6">
        <v>10</v>
      </c>
      <c r="I345" s="6"/>
      <c r="J345" s="25" t="s">
        <v>3937</v>
      </c>
      <c r="K345" s="6"/>
      <c r="L345" s="6"/>
      <c r="M345" s="6"/>
      <c r="N345" s="6"/>
      <c r="O345" s="6"/>
    </row>
    <row r="346" ht="15.75" spans="1:15">
      <c r="A346" s="7">
        <v>341</v>
      </c>
      <c r="B346" s="6">
        <v>440036</v>
      </c>
      <c r="C346" s="6">
        <v>2</v>
      </c>
      <c r="D346" s="6"/>
      <c r="E346" s="6"/>
      <c r="F346" s="6"/>
      <c r="G346" s="6">
        <v>441181</v>
      </c>
      <c r="H346" s="6">
        <v>10</v>
      </c>
      <c r="I346" s="6"/>
      <c r="J346" s="25" t="s">
        <v>3937</v>
      </c>
      <c r="K346" s="6"/>
      <c r="L346" s="6"/>
      <c r="M346" s="6"/>
      <c r="N346" s="6"/>
      <c r="O346" s="6"/>
    </row>
    <row r="347" ht="15.75" spans="1:15">
      <c r="A347" s="7">
        <v>342</v>
      </c>
      <c r="B347" s="6">
        <v>440036</v>
      </c>
      <c r="C347" s="6">
        <v>2</v>
      </c>
      <c r="D347" s="6"/>
      <c r="E347" s="6"/>
      <c r="F347" s="6"/>
      <c r="G347" s="6">
        <v>441182</v>
      </c>
      <c r="H347" s="6">
        <v>10</v>
      </c>
      <c r="I347" s="6"/>
      <c r="J347" s="25" t="s">
        <v>3937</v>
      </c>
      <c r="K347" s="6"/>
      <c r="L347" s="6"/>
      <c r="M347" s="6"/>
      <c r="N347" s="6"/>
      <c r="O347" s="6"/>
    </row>
    <row r="348" ht="15.75" spans="1:15">
      <c r="A348" s="7">
        <v>343</v>
      </c>
      <c r="B348" s="6">
        <v>440036</v>
      </c>
      <c r="C348" s="6">
        <v>2</v>
      </c>
      <c r="D348" s="6"/>
      <c r="E348" s="6"/>
      <c r="F348" s="6"/>
      <c r="G348" s="6">
        <v>441183</v>
      </c>
      <c r="H348" s="6">
        <v>10</v>
      </c>
      <c r="I348" s="6"/>
      <c r="J348" s="25" t="s">
        <v>3937</v>
      </c>
      <c r="K348" s="6"/>
      <c r="L348" s="6"/>
      <c r="M348" s="6"/>
      <c r="N348" s="6"/>
      <c r="O348" s="6"/>
    </row>
    <row r="349" ht="15.75" spans="1:15">
      <c r="A349" s="7">
        <v>344</v>
      </c>
      <c r="B349" s="6">
        <v>440037</v>
      </c>
      <c r="C349" s="6">
        <v>2</v>
      </c>
      <c r="D349" s="6"/>
      <c r="E349" s="6"/>
      <c r="F349" s="6"/>
      <c r="G349" s="6">
        <v>441184</v>
      </c>
      <c r="H349" s="6">
        <v>10</v>
      </c>
      <c r="I349" s="6"/>
      <c r="J349" s="26" t="s">
        <v>3938</v>
      </c>
      <c r="K349" s="6"/>
      <c r="L349" s="6"/>
      <c r="M349" s="6"/>
      <c r="N349" s="6"/>
      <c r="O349" s="6"/>
    </row>
    <row r="350" ht="15.75" spans="1:15">
      <c r="A350" s="7">
        <v>345</v>
      </c>
      <c r="B350" s="6">
        <v>440037</v>
      </c>
      <c r="C350" s="6">
        <v>2</v>
      </c>
      <c r="D350" s="6"/>
      <c r="E350" s="6"/>
      <c r="F350" s="6"/>
      <c r="G350" s="6">
        <v>441185</v>
      </c>
      <c r="H350" s="6">
        <v>10</v>
      </c>
      <c r="I350" s="6"/>
      <c r="J350" s="26" t="s">
        <v>3938</v>
      </c>
      <c r="K350" s="6"/>
      <c r="L350" s="6"/>
      <c r="M350" s="6"/>
      <c r="N350" s="6"/>
      <c r="O350" s="6"/>
    </row>
    <row r="351" ht="15.75" spans="1:15">
      <c r="A351" s="7">
        <v>346</v>
      </c>
      <c r="B351" s="6">
        <v>440037</v>
      </c>
      <c r="C351" s="6">
        <v>2</v>
      </c>
      <c r="D351" s="6"/>
      <c r="E351" s="6"/>
      <c r="F351" s="6"/>
      <c r="G351" s="6">
        <v>441186</v>
      </c>
      <c r="H351" s="6">
        <v>10</v>
      </c>
      <c r="I351" s="6"/>
      <c r="J351" s="26" t="s">
        <v>3938</v>
      </c>
      <c r="K351" s="6"/>
      <c r="L351" s="6"/>
      <c r="M351" s="6"/>
      <c r="N351" s="6"/>
      <c r="O351" s="6"/>
    </row>
    <row r="352" ht="15.75" spans="1:15">
      <c r="A352" s="7">
        <v>347</v>
      </c>
      <c r="B352" s="6">
        <v>440037</v>
      </c>
      <c r="C352" s="6">
        <v>2</v>
      </c>
      <c r="D352" s="6"/>
      <c r="E352" s="6"/>
      <c r="F352" s="6"/>
      <c r="G352" s="6">
        <v>441187</v>
      </c>
      <c r="H352" s="6">
        <v>10</v>
      </c>
      <c r="I352" s="6"/>
      <c r="J352" s="26" t="s">
        <v>3938</v>
      </c>
      <c r="K352" s="6"/>
      <c r="L352" s="6"/>
      <c r="M352" s="6"/>
      <c r="N352" s="6"/>
      <c r="O352" s="6"/>
    </row>
    <row r="353" ht="15.75" spans="1:15">
      <c r="A353" s="7">
        <v>348</v>
      </c>
      <c r="B353" s="6">
        <v>440037</v>
      </c>
      <c r="C353" s="6">
        <v>2</v>
      </c>
      <c r="D353" s="6"/>
      <c r="E353" s="6"/>
      <c r="F353" s="6"/>
      <c r="G353" s="6">
        <v>441188</v>
      </c>
      <c r="H353" s="6">
        <v>10</v>
      </c>
      <c r="I353" s="6"/>
      <c r="J353" s="26" t="s">
        <v>3938</v>
      </c>
      <c r="K353" s="6"/>
      <c r="L353" s="6"/>
      <c r="M353" s="6"/>
      <c r="N353" s="6"/>
      <c r="O353" s="6"/>
    </row>
    <row r="354" ht="15.75" spans="1:15">
      <c r="A354" s="7">
        <v>349</v>
      </c>
      <c r="B354" s="6">
        <v>440037</v>
      </c>
      <c r="C354" s="6">
        <v>2</v>
      </c>
      <c r="D354" s="6"/>
      <c r="E354" s="6"/>
      <c r="F354" s="6"/>
      <c r="G354" s="6">
        <v>441189</v>
      </c>
      <c r="H354" s="6">
        <v>10</v>
      </c>
      <c r="I354" s="6"/>
      <c r="J354" s="26" t="s">
        <v>3938</v>
      </c>
      <c r="K354" s="6"/>
      <c r="L354" s="6"/>
      <c r="M354" s="6"/>
      <c r="N354" s="6"/>
      <c r="O354" s="6"/>
    </row>
    <row r="355" ht="15.75" spans="1:15">
      <c r="A355" s="7">
        <v>350</v>
      </c>
      <c r="B355" s="6">
        <v>440037</v>
      </c>
      <c r="C355" s="6">
        <v>2</v>
      </c>
      <c r="D355" s="6"/>
      <c r="E355" s="6"/>
      <c r="F355" s="6"/>
      <c r="G355" s="6">
        <v>441190</v>
      </c>
      <c r="H355" s="6">
        <v>10</v>
      </c>
      <c r="I355" s="6"/>
      <c r="J355" s="26" t="s">
        <v>3938</v>
      </c>
      <c r="K355" s="6"/>
      <c r="L355" s="6"/>
      <c r="M355" s="6"/>
      <c r="N355" s="6"/>
      <c r="O355" s="6"/>
    </row>
    <row r="356" ht="15.75" spans="1:15">
      <c r="A356" s="7">
        <v>351</v>
      </c>
      <c r="B356" s="6">
        <v>440037</v>
      </c>
      <c r="C356" s="6">
        <v>2</v>
      </c>
      <c r="D356" s="6"/>
      <c r="E356" s="6"/>
      <c r="F356" s="6"/>
      <c r="G356" s="6">
        <v>441191</v>
      </c>
      <c r="H356" s="6">
        <v>10</v>
      </c>
      <c r="I356" s="6"/>
      <c r="J356" s="26" t="s">
        <v>3938</v>
      </c>
      <c r="K356" s="6"/>
      <c r="L356" s="6"/>
      <c r="M356" s="6"/>
      <c r="N356" s="6"/>
      <c r="O356" s="6"/>
    </row>
    <row r="357" ht="15.75" spans="1:15">
      <c r="A357" s="7">
        <v>352</v>
      </c>
      <c r="B357" s="6">
        <v>440038</v>
      </c>
      <c r="C357" s="6">
        <v>2</v>
      </c>
      <c r="D357" s="6"/>
      <c r="E357" s="6"/>
      <c r="F357" s="6"/>
      <c r="G357" s="6">
        <v>441192</v>
      </c>
      <c r="H357" s="6">
        <v>10</v>
      </c>
      <c r="I357" s="6"/>
      <c r="J357" s="27" t="s">
        <v>3939</v>
      </c>
      <c r="K357" s="6"/>
      <c r="L357" s="6"/>
      <c r="M357" s="6"/>
      <c r="N357" s="6"/>
      <c r="O357" s="6"/>
    </row>
    <row r="358" ht="15.75" spans="1:15">
      <c r="A358" s="7">
        <v>353</v>
      </c>
      <c r="B358" s="6">
        <v>440038</v>
      </c>
      <c r="C358" s="6">
        <v>2</v>
      </c>
      <c r="D358" s="6"/>
      <c r="E358" s="6"/>
      <c r="F358" s="6"/>
      <c r="G358" s="6">
        <v>441193</v>
      </c>
      <c r="H358" s="6">
        <v>10</v>
      </c>
      <c r="I358" s="6"/>
      <c r="J358" s="27" t="s">
        <v>3939</v>
      </c>
      <c r="K358" s="6"/>
      <c r="L358" s="6"/>
      <c r="M358" s="6"/>
      <c r="N358" s="6"/>
      <c r="O358" s="6"/>
    </row>
    <row r="359" ht="15.75" spans="1:15">
      <c r="A359" s="7">
        <v>354</v>
      </c>
      <c r="B359" s="6">
        <v>440038</v>
      </c>
      <c r="C359" s="6">
        <v>2</v>
      </c>
      <c r="D359" s="6"/>
      <c r="E359" s="6"/>
      <c r="F359" s="6"/>
      <c r="G359" s="6">
        <v>441194</v>
      </c>
      <c r="H359" s="6">
        <v>10</v>
      </c>
      <c r="I359" s="6"/>
      <c r="J359" s="27" t="s">
        <v>3939</v>
      </c>
      <c r="K359" s="6"/>
      <c r="L359" s="6"/>
      <c r="M359" s="6"/>
      <c r="N359" s="6"/>
      <c r="O359" s="6"/>
    </row>
    <row r="360" spans="1:15">
      <c r="A360" s="7">
        <v>355</v>
      </c>
      <c r="B360" s="6">
        <v>440039</v>
      </c>
      <c r="C360" s="6">
        <v>2</v>
      </c>
      <c r="D360" s="6"/>
      <c r="E360" s="6"/>
      <c r="F360" s="6"/>
      <c r="G360" s="6">
        <v>441195</v>
      </c>
      <c r="H360" s="6">
        <v>10</v>
      </c>
      <c r="I360" s="6"/>
      <c r="J360" s="6" t="s">
        <v>3940</v>
      </c>
      <c r="K360" s="6"/>
      <c r="L360" s="6"/>
      <c r="M360" s="6"/>
      <c r="N360" s="6"/>
      <c r="O360" s="6"/>
    </row>
    <row r="361" spans="1:15">
      <c r="A361" s="7">
        <v>356</v>
      </c>
      <c r="B361" s="6">
        <v>440039</v>
      </c>
      <c r="C361" s="6">
        <v>2</v>
      </c>
      <c r="D361" s="6"/>
      <c r="E361" s="6"/>
      <c r="F361" s="6"/>
      <c r="G361" s="6">
        <v>441111</v>
      </c>
      <c r="H361" s="6">
        <v>10</v>
      </c>
      <c r="I361" s="6"/>
      <c r="J361" s="6" t="s">
        <v>3940</v>
      </c>
      <c r="K361" s="6"/>
      <c r="L361" s="6"/>
      <c r="M361" s="6"/>
      <c r="N361" s="6"/>
      <c r="O361" s="6"/>
    </row>
    <row r="362" spans="1:15">
      <c r="A362" s="7">
        <v>357</v>
      </c>
      <c r="B362" s="6">
        <v>440039</v>
      </c>
      <c r="C362" s="6">
        <v>2</v>
      </c>
      <c r="D362" s="6"/>
      <c r="E362" s="6"/>
      <c r="F362" s="6"/>
      <c r="G362" s="6">
        <v>441087</v>
      </c>
      <c r="H362" s="6">
        <v>10</v>
      </c>
      <c r="I362" s="6"/>
      <c r="J362" s="6" t="s">
        <v>3940</v>
      </c>
      <c r="K362" s="6"/>
      <c r="L362" s="6"/>
      <c r="M362" s="6"/>
      <c r="N362" s="6"/>
      <c r="O362" s="6"/>
    </row>
    <row r="363" spans="1:15">
      <c r="A363" s="7">
        <v>358</v>
      </c>
      <c r="B363" s="6">
        <v>440040</v>
      </c>
      <c r="C363" s="6">
        <v>2</v>
      </c>
      <c r="D363" s="6"/>
      <c r="E363" s="6"/>
      <c r="F363" s="6"/>
      <c r="G363" s="6">
        <v>441196</v>
      </c>
      <c r="H363" s="6">
        <v>10</v>
      </c>
      <c r="I363" s="6"/>
      <c r="J363" s="6" t="s">
        <v>3941</v>
      </c>
      <c r="K363" s="6"/>
      <c r="L363" s="6"/>
      <c r="M363" s="6"/>
      <c r="N363" s="6"/>
      <c r="O363" s="6"/>
    </row>
    <row r="364" spans="1:15">
      <c r="A364" s="7">
        <v>359</v>
      </c>
      <c r="B364" s="6">
        <v>440040</v>
      </c>
      <c r="C364" s="6">
        <v>2</v>
      </c>
      <c r="D364" s="6"/>
      <c r="E364" s="6"/>
      <c r="F364" s="6"/>
      <c r="G364" s="6">
        <v>441197</v>
      </c>
      <c r="H364" s="6">
        <v>10</v>
      </c>
      <c r="I364" s="6"/>
      <c r="J364" s="6" t="s">
        <v>3941</v>
      </c>
      <c r="K364" s="6"/>
      <c r="L364" s="6"/>
      <c r="M364" s="6"/>
      <c r="N364" s="6"/>
      <c r="O364" s="6"/>
    </row>
    <row r="365" spans="1:15">
      <c r="A365" s="7">
        <v>360</v>
      </c>
      <c r="B365" s="6">
        <v>440040</v>
      </c>
      <c r="C365" s="6">
        <v>2</v>
      </c>
      <c r="D365" s="6"/>
      <c r="E365" s="6"/>
      <c r="F365" s="6"/>
      <c r="G365" s="6">
        <v>441112</v>
      </c>
      <c r="H365" s="6">
        <v>10</v>
      </c>
      <c r="I365" s="6"/>
      <c r="J365" s="6" t="s">
        <v>3941</v>
      </c>
      <c r="K365" s="6"/>
      <c r="L365" s="6"/>
      <c r="M365" s="6"/>
      <c r="N365" s="6"/>
      <c r="O365" s="6"/>
    </row>
    <row r="366" spans="1:15">
      <c r="A366" s="7">
        <v>361</v>
      </c>
      <c r="B366" s="6">
        <v>440040</v>
      </c>
      <c r="C366" s="6">
        <v>2</v>
      </c>
      <c r="D366" s="6"/>
      <c r="E366" s="6"/>
      <c r="F366" s="6"/>
      <c r="G366" s="6">
        <v>441113</v>
      </c>
      <c r="H366" s="6">
        <v>10</v>
      </c>
      <c r="I366" s="6"/>
      <c r="J366" s="6" t="s">
        <v>3941</v>
      </c>
      <c r="K366" s="6"/>
      <c r="L366" s="6"/>
      <c r="M366" s="6"/>
      <c r="N366" s="6"/>
      <c r="O366" s="6"/>
    </row>
    <row r="367" spans="1:15">
      <c r="A367" s="7">
        <v>362</v>
      </c>
      <c r="B367" s="6">
        <v>440040</v>
      </c>
      <c r="C367" s="6">
        <v>2</v>
      </c>
      <c r="D367" s="6"/>
      <c r="E367" s="6"/>
      <c r="F367" s="6"/>
      <c r="G367" s="6">
        <v>441088</v>
      </c>
      <c r="H367" s="6">
        <v>10</v>
      </c>
      <c r="I367" s="6"/>
      <c r="J367" s="6" t="s">
        <v>3941</v>
      </c>
      <c r="K367" s="6"/>
      <c r="L367" s="6"/>
      <c r="M367" s="6"/>
      <c r="N367" s="6"/>
      <c r="O367" s="6"/>
    </row>
    <row r="368" spans="1:15">
      <c r="A368" s="7">
        <v>363</v>
      </c>
      <c r="B368" s="6">
        <v>440040</v>
      </c>
      <c r="C368" s="6">
        <v>2</v>
      </c>
      <c r="D368" s="6"/>
      <c r="E368" s="6"/>
      <c r="F368" s="6"/>
      <c r="G368" s="6">
        <v>441089</v>
      </c>
      <c r="H368" s="6">
        <v>10</v>
      </c>
      <c r="I368" s="6"/>
      <c r="J368" s="6" t="s">
        <v>3941</v>
      </c>
      <c r="K368" s="6"/>
      <c r="L368" s="6"/>
      <c r="M368" s="6"/>
      <c r="N368" s="6"/>
      <c r="O368" s="6"/>
    </row>
    <row r="369" ht="15.75" spans="1:15">
      <c r="A369" s="7">
        <v>364</v>
      </c>
      <c r="B369" s="6">
        <v>440041</v>
      </c>
      <c r="C369" s="6">
        <v>2</v>
      </c>
      <c r="D369" s="6"/>
      <c r="E369" s="6"/>
      <c r="F369" s="6"/>
      <c r="G369" s="6">
        <v>441198</v>
      </c>
      <c r="H369" s="6">
        <v>10</v>
      </c>
      <c r="I369" s="6"/>
      <c r="J369" s="24" t="s">
        <v>3942</v>
      </c>
      <c r="K369" s="6"/>
      <c r="L369" s="6"/>
      <c r="M369" s="6"/>
      <c r="N369" s="6"/>
      <c r="O369" s="6"/>
    </row>
    <row r="370" ht="15.75" spans="1:15">
      <c r="A370" s="7">
        <v>365</v>
      </c>
      <c r="B370" s="6">
        <v>440041</v>
      </c>
      <c r="C370" s="6">
        <v>2</v>
      </c>
      <c r="D370" s="6"/>
      <c r="E370" s="6"/>
      <c r="F370" s="6"/>
      <c r="G370" s="6">
        <v>441199</v>
      </c>
      <c r="H370" s="6">
        <v>10</v>
      </c>
      <c r="I370" s="6"/>
      <c r="J370" s="24" t="s">
        <v>3942</v>
      </c>
      <c r="K370" s="6"/>
      <c r="L370" s="6"/>
      <c r="M370" s="6"/>
      <c r="N370" s="6"/>
      <c r="O370" s="6"/>
    </row>
    <row r="371" ht="15.75" spans="1:15">
      <c r="A371" s="7">
        <v>366</v>
      </c>
      <c r="B371" s="6">
        <v>440041</v>
      </c>
      <c r="C371" s="6">
        <v>2</v>
      </c>
      <c r="D371" s="6"/>
      <c r="E371" s="6"/>
      <c r="F371" s="6"/>
      <c r="G371" s="6">
        <v>441200</v>
      </c>
      <c r="H371" s="6">
        <v>10</v>
      </c>
      <c r="I371" s="6"/>
      <c r="J371" s="24" t="s">
        <v>3942</v>
      </c>
      <c r="K371" s="6"/>
      <c r="L371" s="6"/>
      <c r="M371" s="6"/>
      <c r="N371" s="6"/>
      <c r="O371" s="6"/>
    </row>
    <row r="372" ht="15.75" spans="1:15">
      <c r="A372" s="7">
        <v>367</v>
      </c>
      <c r="B372" s="6">
        <v>440041</v>
      </c>
      <c r="C372" s="6">
        <v>2</v>
      </c>
      <c r="D372" s="6"/>
      <c r="E372" s="6"/>
      <c r="F372" s="6"/>
      <c r="G372" s="6">
        <v>441201</v>
      </c>
      <c r="H372" s="6">
        <v>10</v>
      </c>
      <c r="I372" s="6"/>
      <c r="J372" s="24" t="s">
        <v>3942</v>
      </c>
      <c r="K372" s="6"/>
      <c r="L372" s="6"/>
      <c r="M372" s="6"/>
      <c r="N372" s="6"/>
      <c r="O372" s="6"/>
    </row>
    <row r="373" ht="15.75" spans="1:15">
      <c r="A373" s="7">
        <v>368</v>
      </c>
      <c r="B373" s="6">
        <v>440041</v>
      </c>
      <c r="C373" s="6">
        <v>2</v>
      </c>
      <c r="D373" s="6"/>
      <c r="E373" s="6"/>
      <c r="F373" s="6"/>
      <c r="G373" s="6">
        <v>441202</v>
      </c>
      <c r="H373" s="6">
        <v>10</v>
      </c>
      <c r="I373" s="6"/>
      <c r="J373" s="24" t="s">
        <v>3942</v>
      </c>
      <c r="K373" s="6"/>
      <c r="L373" s="6"/>
      <c r="M373" s="6"/>
      <c r="N373" s="6"/>
      <c r="O373" s="6"/>
    </row>
    <row r="374" ht="15.75" spans="1:15">
      <c r="A374" s="7">
        <v>369</v>
      </c>
      <c r="B374" s="6">
        <v>440041</v>
      </c>
      <c r="C374" s="6">
        <v>2</v>
      </c>
      <c r="D374" s="6"/>
      <c r="E374" s="6"/>
      <c r="F374" s="6"/>
      <c r="G374" s="6">
        <v>441203</v>
      </c>
      <c r="H374" s="6">
        <v>10</v>
      </c>
      <c r="I374" s="6"/>
      <c r="J374" s="24" t="s">
        <v>3942</v>
      </c>
      <c r="K374" s="6"/>
      <c r="L374" s="6"/>
      <c r="M374" s="6"/>
      <c r="N374" s="6"/>
      <c r="O374" s="6"/>
    </row>
    <row r="375" ht="15.75" spans="1:15">
      <c r="A375" s="7">
        <v>370</v>
      </c>
      <c r="B375" s="6">
        <v>440041</v>
      </c>
      <c r="C375" s="6">
        <v>2</v>
      </c>
      <c r="D375" s="6"/>
      <c r="E375" s="6"/>
      <c r="F375" s="6"/>
      <c r="G375" s="6">
        <v>441204</v>
      </c>
      <c r="H375" s="6">
        <v>10</v>
      </c>
      <c r="I375" s="6"/>
      <c r="J375" s="24" t="s">
        <v>3942</v>
      </c>
      <c r="K375" s="6"/>
      <c r="L375" s="6"/>
      <c r="M375" s="6"/>
      <c r="N375" s="6"/>
      <c r="O375" s="6"/>
    </row>
    <row r="376" ht="15.75" spans="1:15">
      <c r="A376" s="7">
        <v>371</v>
      </c>
      <c r="B376" s="6">
        <v>440041</v>
      </c>
      <c r="C376" s="6">
        <v>2</v>
      </c>
      <c r="D376" s="6"/>
      <c r="E376" s="6"/>
      <c r="F376" s="6"/>
      <c r="G376" s="6">
        <v>441205</v>
      </c>
      <c r="H376" s="6">
        <v>10</v>
      </c>
      <c r="I376" s="6"/>
      <c r="J376" s="24" t="s">
        <v>3942</v>
      </c>
      <c r="K376" s="6"/>
      <c r="L376" s="6"/>
      <c r="M376" s="6"/>
      <c r="N376" s="6"/>
      <c r="O376" s="6"/>
    </row>
    <row r="377" ht="15.75" spans="1:15">
      <c r="A377" s="7">
        <v>372</v>
      </c>
      <c r="B377" s="6">
        <v>440041</v>
      </c>
      <c r="C377" s="6">
        <v>2</v>
      </c>
      <c r="D377" s="6"/>
      <c r="E377" s="6"/>
      <c r="F377" s="6"/>
      <c r="G377" s="6">
        <v>441206</v>
      </c>
      <c r="H377" s="6">
        <v>10</v>
      </c>
      <c r="I377" s="6"/>
      <c r="J377" s="24" t="s">
        <v>3942</v>
      </c>
      <c r="K377" s="6"/>
      <c r="L377" s="6"/>
      <c r="M377" s="6"/>
      <c r="N377" s="6"/>
      <c r="O377" s="6"/>
    </row>
    <row r="378" ht="15.75" spans="1:15">
      <c r="A378" s="7">
        <v>373</v>
      </c>
      <c r="B378" s="6">
        <v>440041</v>
      </c>
      <c r="C378" s="6">
        <v>2</v>
      </c>
      <c r="D378" s="6"/>
      <c r="E378" s="6"/>
      <c r="F378" s="6"/>
      <c r="G378" s="6">
        <v>441207</v>
      </c>
      <c r="H378" s="6">
        <v>10</v>
      </c>
      <c r="I378" s="6"/>
      <c r="J378" s="24" t="s">
        <v>3942</v>
      </c>
      <c r="K378" s="6"/>
      <c r="L378" s="6"/>
      <c r="M378" s="6"/>
      <c r="N378" s="6"/>
      <c r="O378" s="6"/>
    </row>
    <row r="379" ht="15.75" spans="1:15">
      <c r="A379" s="7">
        <v>374</v>
      </c>
      <c r="B379" s="6">
        <v>440041</v>
      </c>
      <c r="C379" s="6">
        <v>2</v>
      </c>
      <c r="D379" s="6"/>
      <c r="E379" s="6"/>
      <c r="F379" s="6"/>
      <c r="G379" s="6">
        <v>441208</v>
      </c>
      <c r="H379" s="6">
        <v>10</v>
      </c>
      <c r="I379" s="6"/>
      <c r="J379" s="24" t="s">
        <v>3942</v>
      </c>
      <c r="K379" s="6"/>
      <c r="L379" s="6"/>
      <c r="M379" s="6"/>
      <c r="N379" s="6"/>
      <c r="O379" s="6"/>
    </row>
    <row r="380" ht="15.75" spans="1:15">
      <c r="A380" s="7">
        <v>375</v>
      </c>
      <c r="B380" s="6">
        <v>440041</v>
      </c>
      <c r="C380" s="6">
        <v>2</v>
      </c>
      <c r="D380" s="6"/>
      <c r="E380" s="6"/>
      <c r="F380" s="6"/>
      <c r="G380" s="6">
        <v>441209</v>
      </c>
      <c r="H380" s="6">
        <v>10</v>
      </c>
      <c r="I380" s="6"/>
      <c r="J380" s="24" t="s">
        <v>3942</v>
      </c>
      <c r="K380" s="6"/>
      <c r="L380" s="6"/>
      <c r="M380" s="6"/>
      <c r="N380" s="6"/>
      <c r="O380" s="6"/>
    </row>
    <row r="381" ht="15.75" spans="1:15">
      <c r="A381" s="7">
        <v>376</v>
      </c>
      <c r="B381" s="6">
        <v>440041</v>
      </c>
      <c r="C381" s="6">
        <v>2</v>
      </c>
      <c r="D381" s="6"/>
      <c r="E381" s="6"/>
      <c r="F381" s="6"/>
      <c r="G381" s="6">
        <v>441210</v>
      </c>
      <c r="H381" s="6">
        <v>10</v>
      </c>
      <c r="I381" s="6"/>
      <c r="J381" s="24" t="s">
        <v>3942</v>
      </c>
      <c r="K381" s="6"/>
      <c r="L381" s="6"/>
      <c r="M381" s="6"/>
      <c r="N381" s="6"/>
      <c r="O381" s="6"/>
    </row>
    <row r="382" ht="15.75" spans="1:15">
      <c r="A382" s="7">
        <v>377</v>
      </c>
      <c r="B382" s="6">
        <v>440041</v>
      </c>
      <c r="C382" s="6">
        <v>2</v>
      </c>
      <c r="D382" s="6"/>
      <c r="E382" s="6"/>
      <c r="F382" s="6"/>
      <c r="G382" s="6">
        <v>441211</v>
      </c>
      <c r="H382" s="6">
        <v>10</v>
      </c>
      <c r="I382" s="6"/>
      <c r="J382" s="24" t="s">
        <v>3942</v>
      </c>
      <c r="K382" s="6"/>
      <c r="L382" s="6"/>
      <c r="M382" s="6"/>
      <c r="N382" s="6"/>
      <c r="O382" s="6"/>
    </row>
    <row r="383" ht="15.75" spans="1:15">
      <c r="A383" s="7">
        <v>378</v>
      </c>
      <c r="B383" s="6">
        <v>440041</v>
      </c>
      <c r="C383" s="6">
        <v>2</v>
      </c>
      <c r="D383" s="6"/>
      <c r="E383" s="6"/>
      <c r="F383" s="6"/>
      <c r="G383" s="6">
        <v>441212</v>
      </c>
      <c r="H383" s="6">
        <v>10</v>
      </c>
      <c r="I383" s="6"/>
      <c r="J383" s="24" t="s">
        <v>3942</v>
      </c>
      <c r="K383" s="6"/>
      <c r="L383" s="6"/>
      <c r="M383" s="6"/>
      <c r="N383" s="6"/>
      <c r="O383" s="6"/>
    </row>
    <row r="384" ht="15.75" spans="1:15">
      <c r="A384" s="7">
        <v>379</v>
      </c>
      <c r="B384" s="6">
        <v>440041</v>
      </c>
      <c r="C384" s="6">
        <v>2</v>
      </c>
      <c r="D384" s="6"/>
      <c r="E384" s="6"/>
      <c r="F384" s="6"/>
      <c r="G384" s="6">
        <v>441213</v>
      </c>
      <c r="H384" s="6">
        <v>10</v>
      </c>
      <c r="I384" s="6"/>
      <c r="J384" s="24" t="s">
        <v>3942</v>
      </c>
      <c r="K384" s="6"/>
      <c r="L384" s="6"/>
      <c r="M384" s="6"/>
      <c r="N384" s="6"/>
      <c r="O384" s="6"/>
    </row>
    <row r="385" ht="15.75" spans="1:15">
      <c r="A385" s="7">
        <v>380</v>
      </c>
      <c r="B385" s="6">
        <v>440041</v>
      </c>
      <c r="C385" s="6">
        <v>2</v>
      </c>
      <c r="D385" s="6"/>
      <c r="E385" s="6"/>
      <c r="F385" s="6"/>
      <c r="G385" s="6">
        <v>441214</v>
      </c>
      <c r="H385" s="6">
        <v>10</v>
      </c>
      <c r="I385" s="6"/>
      <c r="J385" s="24" t="s">
        <v>3942</v>
      </c>
      <c r="K385" s="6"/>
      <c r="L385" s="6"/>
      <c r="M385" s="6"/>
      <c r="N385" s="6"/>
      <c r="O385" s="6"/>
    </row>
    <row r="386" ht="15.75" spans="1:15">
      <c r="A386" s="7">
        <v>381</v>
      </c>
      <c r="B386" s="6">
        <v>440041</v>
      </c>
      <c r="C386" s="6">
        <v>2</v>
      </c>
      <c r="D386" s="6"/>
      <c r="E386" s="6"/>
      <c r="F386" s="6"/>
      <c r="G386" s="6">
        <v>441215</v>
      </c>
      <c r="H386" s="6">
        <v>10</v>
      </c>
      <c r="I386" s="6"/>
      <c r="J386" s="24" t="s">
        <v>3942</v>
      </c>
      <c r="K386" s="6"/>
      <c r="L386" s="6"/>
      <c r="M386" s="6"/>
      <c r="N386" s="6"/>
      <c r="O386" s="6"/>
    </row>
    <row r="387" ht="15.75" spans="1:15">
      <c r="A387" s="7">
        <v>382</v>
      </c>
      <c r="B387" s="6">
        <v>440041</v>
      </c>
      <c r="C387" s="6">
        <v>2</v>
      </c>
      <c r="D387" s="6"/>
      <c r="E387" s="6"/>
      <c r="F387" s="6"/>
      <c r="G387" s="6">
        <v>441216</v>
      </c>
      <c r="H387" s="6">
        <v>10</v>
      </c>
      <c r="I387" s="6"/>
      <c r="J387" s="24" t="s">
        <v>3942</v>
      </c>
      <c r="K387" s="6"/>
      <c r="L387" s="6"/>
      <c r="M387" s="6"/>
      <c r="N387" s="6"/>
      <c r="O387" s="6"/>
    </row>
    <row r="388" ht="15.75" spans="1:15">
      <c r="A388" s="7">
        <v>383</v>
      </c>
      <c r="B388" s="6">
        <v>440041</v>
      </c>
      <c r="C388" s="6">
        <v>2</v>
      </c>
      <c r="D388" s="6"/>
      <c r="E388" s="6"/>
      <c r="F388" s="6"/>
      <c r="G388" s="6">
        <v>441217</v>
      </c>
      <c r="H388" s="6">
        <v>10</v>
      </c>
      <c r="I388" s="6"/>
      <c r="J388" s="24" t="s">
        <v>3942</v>
      </c>
      <c r="K388" s="6"/>
      <c r="L388" s="6"/>
      <c r="M388" s="6"/>
      <c r="N388" s="6"/>
      <c r="O388" s="6"/>
    </row>
    <row r="389" ht="15.75" spans="1:15">
      <c r="A389" s="7">
        <v>384</v>
      </c>
      <c r="B389" s="6">
        <v>440041</v>
      </c>
      <c r="C389" s="6">
        <v>2</v>
      </c>
      <c r="D389" s="6"/>
      <c r="E389" s="6"/>
      <c r="F389" s="6"/>
      <c r="G389" s="6">
        <v>441218</v>
      </c>
      <c r="H389" s="6">
        <v>10</v>
      </c>
      <c r="I389" s="6"/>
      <c r="J389" s="24" t="s">
        <v>3942</v>
      </c>
      <c r="K389" s="6"/>
      <c r="L389" s="6"/>
      <c r="M389" s="6"/>
      <c r="N389" s="6"/>
      <c r="O389" s="6"/>
    </row>
    <row r="390" ht="15.75" spans="1:15">
      <c r="A390" s="7">
        <v>385</v>
      </c>
      <c r="B390" s="6">
        <v>440041</v>
      </c>
      <c r="C390" s="6">
        <v>2</v>
      </c>
      <c r="D390" s="6"/>
      <c r="E390" s="6"/>
      <c r="F390" s="6"/>
      <c r="G390" s="6">
        <v>441219</v>
      </c>
      <c r="H390" s="6">
        <v>10</v>
      </c>
      <c r="I390" s="6"/>
      <c r="J390" s="24" t="s">
        <v>3942</v>
      </c>
      <c r="K390" s="6"/>
      <c r="L390" s="6"/>
      <c r="M390" s="6"/>
      <c r="N390" s="6"/>
      <c r="O390" s="6"/>
    </row>
    <row r="391" ht="15.75" spans="1:15">
      <c r="A391" s="7">
        <v>386</v>
      </c>
      <c r="B391" s="6">
        <v>440041</v>
      </c>
      <c r="C391" s="6">
        <v>2</v>
      </c>
      <c r="D391" s="6"/>
      <c r="E391" s="6"/>
      <c r="F391" s="6"/>
      <c r="G391" s="6">
        <v>441220</v>
      </c>
      <c r="H391" s="6">
        <v>10</v>
      </c>
      <c r="I391" s="6"/>
      <c r="J391" s="24" t="s">
        <v>3942</v>
      </c>
      <c r="K391" s="6"/>
      <c r="L391" s="6"/>
      <c r="M391" s="6"/>
      <c r="N391" s="6"/>
      <c r="O391" s="6"/>
    </row>
    <row r="392" ht="15.75" spans="1:15">
      <c r="A392" s="7">
        <v>387</v>
      </c>
      <c r="B392" s="6">
        <v>440041</v>
      </c>
      <c r="C392" s="6">
        <v>2</v>
      </c>
      <c r="D392" s="6"/>
      <c r="E392" s="6"/>
      <c r="F392" s="6"/>
      <c r="G392" s="6">
        <v>441221</v>
      </c>
      <c r="H392" s="6">
        <v>10</v>
      </c>
      <c r="I392" s="6"/>
      <c r="J392" s="24" t="s">
        <v>3942</v>
      </c>
      <c r="K392" s="6"/>
      <c r="L392" s="6"/>
      <c r="M392" s="6"/>
      <c r="N392" s="6"/>
      <c r="O392" s="6"/>
    </row>
    <row r="393" ht="15.75" spans="1:15">
      <c r="A393" s="7">
        <v>388</v>
      </c>
      <c r="B393" s="6">
        <v>440041</v>
      </c>
      <c r="C393" s="6">
        <v>2</v>
      </c>
      <c r="D393" s="6"/>
      <c r="E393" s="6"/>
      <c r="F393" s="6"/>
      <c r="G393" s="6">
        <v>441222</v>
      </c>
      <c r="H393" s="6">
        <v>10</v>
      </c>
      <c r="I393" s="6"/>
      <c r="J393" s="24" t="s">
        <v>3942</v>
      </c>
      <c r="K393" s="6"/>
      <c r="L393" s="6"/>
      <c r="M393" s="6"/>
      <c r="N393" s="6"/>
      <c r="O393" s="6"/>
    </row>
    <row r="394" ht="15.75" spans="1:15">
      <c r="A394" s="7">
        <v>389</v>
      </c>
      <c r="B394" s="6">
        <v>440042</v>
      </c>
      <c r="C394" s="6">
        <v>2</v>
      </c>
      <c r="D394" s="6"/>
      <c r="E394" s="6"/>
      <c r="F394" s="6"/>
      <c r="G394" s="6">
        <v>441223</v>
      </c>
      <c r="H394" s="6">
        <v>10</v>
      </c>
      <c r="I394" s="6"/>
      <c r="J394" s="25" t="s">
        <v>3943</v>
      </c>
      <c r="K394" s="6"/>
      <c r="L394" s="6"/>
      <c r="M394" s="6"/>
      <c r="N394" s="6"/>
      <c r="O394" s="6"/>
    </row>
    <row r="395" ht="15.75" spans="1:15">
      <c r="A395" s="7">
        <v>390</v>
      </c>
      <c r="B395" s="6">
        <v>440042</v>
      </c>
      <c r="C395" s="6">
        <v>2</v>
      </c>
      <c r="D395" s="6"/>
      <c r="E395" s="6"/>
      <c r="F395" s="6"/>
      <c r="G395" s="6">
        <v>441224</v>
      </c>
      <c r="H395" s="6">
        <v>10</v>
      </c>
      <c r="I395" s="6"/>
      <c r="J395" s="25" t="s">
        <v>3943</v>
      </c>
      <c r="K395" s="6"/>
      <c r="L395" s="6"/>
      <c r="M395" s="6"/>
      <c r="N395" s="6"/>
      <c r="O395" s="6"/>
    </row>
    <row r="396" ht="15.75" spans="1:15">
      <c r="A396" s="7">
        <v>391</v>
      </c>
      <c r="B396" s="6">
        <v>440042</v>
      </c>
      <c r="C396" s="6">
        <v>2</v>
      </c>
      <c r="D396" s="6"/>
      <c r="E396" s="6"/>
      <c r="F396" s="6"/>
      <c r="G396" s="6">
        <v>441225</v>
      </c>
      <c r="H396" s="6">
        <v>10</v>
      </c>
      <c r="I396" s="6"/>
      <c r="J396" s="25" t="s">
        <v>3943</v>
      </c>
      <c r="K396" s="6"/>
      <c r="L396" s="6"/>
      <c r="M396" s="6"/>
      <c r="N396" s="6"/>
      <c r="O396" s="6"/>
    </row>
    <row r="397" ht="15.75" spans="1:15">
      <c r="A397" s="7">
        <v>392</v>
      </c>
      <c r="B397" s="6">
        <v>440042</v>
      </c>
      <c r="C397" s="6">
        <v>2</v>
      </c>
      <c r="D397" s="6"/>
      <c r="E397" s="6"/>
      <c r="F397" s="6"/>
      <c r="G397" s="6">
        <v>441226</v>
      </c>
      <c r="H397" s="6">
        <v>10</v>
      </c>
      <c r="I397" s="6"/>
      <c r="J397" s="25" t="s">
        <v>3943</v>
      </c>
      <c r="K397" s="6"/>
      <c r="L397" s="6"/>
      <c r="M397" s="6"/>
      <c r="N397" s="6"/>
      <c r="O397" s="6"/>
    </row>
    <row r="398" ht="15.75" spans="1:15">
      <c r="A398" s="7">
        <v>393</v>
      </c>
      <c r="B398" s="6">
        <v>440042</v>
      </c>
      <c r="C398" s="6">
        <v>2</v>
      </c>
      <c r="D398" s="6"/>
      <c r="E398" s="6"/>
      <c r="F398" s="6"/>
      <c r="G398" s="6">
        <v>441227</v>
      </c>
      <c r="H398" s="6">
        <v>10</v>
      </c>
      <c r="I398" s="6"/>
      <c r="J398" s="25" t="s">
        <v>3943</v>
      </c>
      <c r="K398" s="6"/>
      <c r="L398" s="6"/>
      <c r="M398" s="6"/>
      <c r="N398" s="6"/>
      <c r="O398" s="6"/>
    </row>
    <row r="399" ht="15.75" spans="1:15">
      <c r="A399" s="7">
        <v>394</v>
      </c>
      <c r="B399" s="6">
        <v>440042</v>
      </c>
      <c r="C399" s="6">
        <v>2</v>
      </c>
      <c r="D399" s="6"/>
      <c r="E399" s="6"/>
      <c r="F399" s="6"/>
      <c r="G399" s="6">
        <v>441228</v>
      </c>
      <c r="H399" s="6">
        <v>10</v>
      </c>
      <c r="I399" s="6"/>
      <c r="J399" s="25" t="s">
        <v>3943</v>
      </c>
      <c r="K399" s="6"/>
      <c r="L399" s="6"/>
      <c r="M399" s="6"/>
      <c r="N399" s="6"/>
      <c r="O399" s="6"/>
    </row>
    <row r="400" ht="15.75" spans="1:15">
      <c r="A400" s="7">
        <v>395</v>
      </c>
      <c r="B400" s="6">
        <v>440042</v>
      </c>
      <c r="C400" s="6">
        <v>2</v>
      </c>
      <c r="D400" s="6"/>
      <c r="E400" s="6"/>
      <c r="F400" s="6"/>
      <c r="G400" s="6">
        <v>441229</v>
      </c>
      <c r="H400" s="6">
        <v>10</v>
      </c>
      <c r="I400" s="6"/>
      <c r="J400" s="25" t="s">
        <v>3943</v>
      </c>
      <c r="K400" s="6"/>
      <c r="L400" s="6"/>
      <c r="M400" s="6"/>
      <c r="N400" s="6"/>
      <c r="O400" s="6"/>
    </row>
    <row r="401" ht="15.75" spans="1:15">
      <c r="A401" s="7">
        <v>396</v>
      </c>
      <c r="B401" s="6">
        <v>440042</v>
      </c>
      <c r="C401" s="6">
        <v>2</v>
      </c>
      <c r="D401" s="6"/>
      <c r="E401" s="6"/>
      <c r="F401" s="6"/>
      <c r="G401" s="6">
        <v>441230</v>
      </c>
      <c r="H401" s="6">
        <v>10</v>
      </c>
      <c r="I401" s="6"/>
      <c r="J401" s="25" t="s">
        <v>3943</v>
      </c>
      <c r="K401" s="6"/>
      <c r="L401" s="6"/>
      <c r="M401" s="6"/>
      <c r="N401" s="6"/>
      <c r="O401" s="6"/>
    </row>
    <row r="402" ht="15.75" spans="1:15">
      <c r="A402" s="7">
        <v>397</v>
      </c>
      <c r="B402" s="6">
        <v>440042</v>
      </c>
      <c r="C402" s="6">
        <v>2</v>
      </c>
      <c r="D402" s="6"/>
      <c r="E402" s="6"/>
      <c r="F402" s="6"/>
      <c r="G402" s="6">
        <v>441231</v>
      </c>
      <c r="H402" s="6">
        <v>10</v>
      </c>
      <c r="I402" s="6"/>
      <c r="J402" s="25" t="s">
        <v>3943</v>
      </c>
      <c r="K402" s="6"/>
      <c r="L402" s="6"/>
      <c r="M402" s="6"/>
      <c r="N402" s="6"/>
      <c r="O402" s="6"/>
    </row>
    <row r="403" ht="15.75" spans="1:15">
      <c r="A403" s="7">
        <v>398</v>
      </c>
      <c r="B403" s="6">
        <v>440042</v>
      </c>
      <c r="C403" s="6">
        <v>2</v>
      </c>
      <c r="D403" s="6"/>
      <c r="E403" s="6"/>
      <c r="F403" s="6"/>
      <c r="G403" s="6">
        <v>441232</v>
      </c>
      <c r="H403" s="6">
        <v>10</v>
      </c>
      <c r="I403" s="6"/>
      <c r="J403" s="25" t="s">
        <v>3943</v>
      </c>
      <c r="K403" s="6"/>
      <c r="L403" s="6"/>
      <c r="M403" s="6"/>
      <c r="N403" s="6"/>
      <c r="O403" s="6"/>
    </row>
    <row r="404" ht="15.75" spans="1:15">
      <c r="A404" s="7">
        <v>399</v>
      </c>
      <c r="B404" s="6">
        <v>440042</v>
      </c>
      <c r="C404" s="6">
        <v>2</v>
      </c>
      <c r="D404" s="6"/>
      <c r="E404" s="6"/>
      <c r="F404" s="6"/>
      <c r="G404" s="6">
        <v>441233</v>
      </c>
      <c r="H404" s="6">
        <v>10</v>
      </c>
      <c r="I404" s="6"/>
      <c r="J404" s="25" t="s">
        <v>3943</v>
      </c>
      <c r="K404" s="6"/>
      <c r="L404" s="6"/>
      <c r="M404" s="6"/>
      <c r="N404" s="6"/>
      <c r="O404" s="6"/>
    </row>
    <row r="405" ht="15.75" spans="1:15">
      <c r="A405" s="7">
        <v>400</v>
      </c>
      <c r="B405" s="6">
        <v>440042</v>
      </c>
      <c r="C405" s="6">
        <v>2</v>
      </c>
      <c r="D405" s="6"/>
      <c r="E405" s="6"/>
      <c r="F405" s="6"/>
      <c r="G405" s="6">
        <v>441234</v>
      </c>
      <c r="H405" s="6">
        <v>10</v>
      </c>
      <c r="I405" s="6"/>
      <c r="J405" s="25" t="s">
        <v>3943</v>
      </c>
      <c r="K405" s="6"/>
      <c r="L405" s="6"/>
      <c r="M405" s="6"/>
      <c r="N405" s="6"/>
      <c r="O405" s="6"/>
    </row>
    <row r="406" ht="15.75" spans="1:15">
      <c r="A406" s="7">
        <v>401</v>
      </c>
      <c r="B406" s="6">
        <v>440042</v>
      </c>
      <c r="C406" s="6">
        <v>2</v>
      </c>
      <c r="D406" s="6"/>
      <c r="E406" s="6"/>
      <c r="F406" s="6"/>
      <c r="G406" s="6">
        <v>441235</v>
      </c>
      <c r="H406" s="6">
        <v>10</v>
      </c>
      <c r="I406" s="6"/>
      <c r="J406" s="25" t="s">
        <v>3943</v>
      </c>
      <c r="K406" s="6"/>
      <c r="L406" s="6"/>
      <c r="M406" s="6"/>
      <c r="N406" s="6"/>
      <c r="O406" s="6"/>
    </row>
    <row r="407" ht="15.75" spans="1:15">
      <c r="A407" s="7">
        <v>402</v>
      </c>
      <c r="B407" s="6">
        <v>440042</v>
      </c>
      <c r="C407" s="6">
        <v>2</v>
      </c>
      <c r="D407" s="6"/>
      <c r="E407" s="6"/>
      <c r="F407" s="6"/>
      <c r="G407" s="6">
        <v>441236</v>
      </c>
      <c r="H407" s="6">
        <v>10</v>
      </c>
      <c r="I407" s="6"/>
      <c r="J407" s="25" t="s">
        <v>3943</v>
      </c>
      <c r="K407" s="6"/>
      <c r="L407" s="6"/>
      <c r="M407" s="6"/>
      <c r="N407" s="6"/>
      <c r="O407" s="6"/>
    </row>
    <row r="408" ht="15.75" spans="1:15">
      <c r="A408" s="7">
        <v>403</v>
      </c>
      <c r="B408" s="6">
        <v>440042</v>
      </c>
      <c r="C408" s="6">
        <v>2</v>
      </c>
      <c r="D408" s="6"/>
      <c r="E408" s="6"/>
      <c r="F408" s="6"/>
      <c r="G408" s="6">
        <v>441237</v>
      </c>
      <c r="H408" s="6">
        <v>10</v>
      </c>
      <c r="I408" s="6"/>
      <c r="J408" s="25" t="s">
        <v>3943</v>
      </c>
      <c r="K408" s="6"/>
      <c r="L408" s="6"/>
      <c r="M408" s="6"/>
      <c r="N408" s="6"/>
      <c r="O408" s="6"/>
    </row>
    <row r="409" ht="15.75" spans="1:15">
      <c r="A409" s="7">
        <v>404</v>
      </c>
      <c r="B409" s="6">
        <v>440042</v>
      </c>
      <c r="C409" s="6">
        <v>2</v>
      </c>
      <c r="D409" s="6"/>
      <c r="E409" s="6"/>
      <c r="F409" s="6"/>
      <c r="G409" s="6">
        <v>441238</v>
      </c>
      <c r="H409" s="6">
        <v>10</v>
      </c>
      <c r="I409" s="6"/>
      <c r="J409" s="25" t="s">
        <v>3943</v>
      </c>
      <c r="K409" s="6"/>
      <c r="L409" s="6"/>
      <c r="M409" s="6"/>
      <c r="N409" s="6"/>
      <c r="O409" s="6"/>
    </row>
    <row r="410" ht="15.75" spans="1:15">
      <c r="A410" s="7">
        <v>405</v>
      </c>
      <c r="B410" s="6">
        <v>440042</v>
      </c>
      <c r="C410" s="6">
        <v>2</v>
      </c>
      <c r="D410" s="6"/>
      <c r="E410" s="6"/>
      <c r="F410" s="6"/>
      <c r="G410" s="6">
        <v>441239</v>
      </c>
      <c r="H410" s="6">
        <v>10</v>
      </c>
      <c r="I410" s="6"/>
      <c r="J410" s="25" t="s">
        <v>3943</v>
      </c>
      <c r="K410" s="6"/>
      <c r="L410" s="6"/>
      <c r="M410" s="6"/>
      <c r="N410" s="6"/>
      <c r="O410" s="6"/>
    </row>
    <row r="411" ht="15.75" spans="1:15">
      <c r="A411" s="7">
        <v>406</v>
      </c>
      <c r="B411" s="6">
        <v>440042</v>
      </c>
      <c r="C411" s="6">
        <v>2</v>
      </c>
      <c r="D411" s="6"/>
      <c r="E411" s="6"/>
      <c r="F411" s="6"/>
      <c r="G411" s="6">
        <v>441240</v>
      </c>
      <c r="H411" s="6">
        <v>10</v>
      </c>
      <c r="I411" s="6"/>
      <c r="J411" s="25" t="s">
        <v>3943</v>
      </c>
      <c r="K411" s="6"/>
      <c r="L411" s="6"/>
      <c r="M411" s="6"/>
      <c r="N411" s="6"/>
      <c r="O411" s="6"/>
    </row>
    <row r="412" ht="15.75" spans="1:15">
      <c r="A412" s="7">
        <v>407</v>
      </c>
      <c r="B412" s="6">
        <v>440042</v>
      </c>
      <c r="C412" s="6">
        <v>2</v>
      </c>
      <c r="D412" s="6"/>
      <c r="E412" s="6"/>
      <c r="F412" s="6"/>
      <c r="G412" s="6">
        <v>441241</v>
      </c>
      <c r="H412" s="6">
        <v>10</v>
      </c>
      <c r="I412" s="6"/>
      <c r="J412" s="25" t="s">
        <v>3943</v>
      </c>
      <c r="K412" s="6"/>
      <c r="L412" s="6"/>
      <c r="M412" s="6"/>
      <c r="N412" s="6"/>
      <c r="O412" s="6"/>
    </row>
    <row r="413" ht="15.75" spans="1:15">
      <c r="A413" s="7">
        <v>408</v>
      </c>
      <c r="B413" s="6">
        <v>440042</v>
      </c>
      <c r="C413" s="6">
        <v>2</v>
      </c>
      <c r="D413" s="6"/>
      <c r="E413" s="6"/>
      <c r="F413" s="6"/>
      <c r="G413" s="6">
        <v>441242</v>
      </c>
      <c r="H413" s="6">
        <v>10</v>
      </c>
      <c r="I413" s="6"/>
      <c r="J413" s="25" t="s">
        <v>3943</v>
      </c>
      <c r="K413" s="6"/>
      <c r="L413" s="6"/>
      <c r="M413" s="6"/>
      <c r="N413" s="6"/>
      <c r="O413" s="6"/>
    </row>
    <row r="414" ht="15.75" spans="1:15">
      <c r="A414" s="7">
        <v>409</v>
      </c>
      <c r="B414" s="6">
        <v>440042</v>
      </c>
      <c r="C414" s="6">
        <v>2</v>
      </c>
      <c r="D414" s="6"/>
      <c r="E414" s="6"/>
      <c r="F414" s="6"/>
      <c r="G414" s="6">
        <v>441243</v>
      </c>
      <c r="H414" s="6">
        <v>10</v>
      </c>
      <c r="I414" s="6"/>
      <c r="J414" s="25" t="s">
        <v>3943</v>
      </c>
      <c r="K414" s="6"/>
      <c r="L414" s="6"/>
      <c r="M414" s="6"/>
      <c r="N414" s="6"/>
      <c r="O414" s="6"/>
    </row>
    <row r="415" ht="15.75" spans="1:15">
      <c r="A415" s="7">
        <v>410</v>
      </c>
      <c r="B415" s="6">
        <v>440042</v>
      </c>
      <c r="C415" s="6">
        <v>2</v>
      </c>
      <c r="D415" s="6"/>
      <c r="E415" s="6"/>
      <c r="F415" s="6"/>
      <c r="G415" s="6">
        <v>441244</v>
      </c>
      <c r="H415" s="6">
        <v>10</v>
      </c>
      <c r="I415" s="6"/>
      <c r="J415" s="25" t="s">
        <v>3943</v>
      </c>
      <c r="K415" s="6"/>
      <c r="L415" s="6"/>
      <c r="M415" s="6"/>
      <c r="N415" s="6"/>
      <c r="O415" s="6"/>
    </row>
    <row r="416" ht="15.75" spans="1:15">
      <c r="A416" s="7">
        <v>411</v>
      </c>
      <c r="B416" s="6">
        <v>440042</v>
      </c>
      <c r="C416" s="6">
        <v>2</v>
      </c>
      <c r="D416" s="6"/>
      <c r="E416" s="6"/>
      <c r="F416" s="6"/>
      <c r="G416" s="6">
        <v>441245</v>
      </c>
      <c r="H416" s="6">
        <v>10</v>
      </c>
      <c r="I416" s="6"/>
      <c r="J416" s="25" t="s">
        <v>3943</v>
      </c>
      <c r="K416" s="6"/>
      <c r="L416" s="6"/>
      <c r="M416" s="6"/>
      <c r="N416" s="6"/>
      <c r="O416" s="6"/>
    </row>
    <row r="417" ht="15.75" spans="1:15">
      <c r="A417" s="7">
        <v>412</v>
      </c>
      <c r="B417" s="6">
        <v>440042</v>
      </c>
      <c r="C417" s="6">
        <v>2</v>
      </c>
      <c r="D417" s="6"/>
      <c r="E417" s="6"/>
      <c r="F417" s="6"/>
      <c r="G417" s="6">
        <v>441246</v>
      </c>
      <c r="H417" s="6">
        <v>10</v>
      </c>
      <c r="I417" s="6"/>
      <c r="J417" s="25" t="s">
        <v>3943</v>
      </c>
      <c r="K417" s="6"/>
      <c r="L417" s="6"/>
      <c r="M417" s="6"/>
      <c r="N417" s="6"/>
      <c r="O417" s="6"/>
    </row>
    <row r="418" ht="15.75" spans="1:15">
      <c r="A418" s="7">
        <v>413</v>
      </c>
      <c r="B418" s="6">
        <v>440042</v>
      </c>
      <c r="C418" s="6">
        <v>2</v>
      </c>
      <c r="D418" s="6"/>
      <c r="E418" s="6"/>
      <c r="F418" s="6"/>
      <c r="G418" s="6">
        <v>441247</v>
      </c>
      <c r="H418" s="6">
        <v>10</v>
      </c>
      <c r="I418" s="6"/>
      <c r="J418" s="25" t="s">
        <v>3943</v>
      </c>
      <c r="K418" s="6"/>
      <c r="L418" s="6"/>
      <c r="M418" s="6"/>
      <c r="N418" s="6"/>
      <c r="O418" s="6"/>
    </row>
    <row r="419" ht="15.75" spans="1:15">
      <c r="A419" s="7">
        <v>414</v>
      </c>
      <c r="B419" s="6">
        <v>440042</v>
      </c>
      <c r="C419" s="6">
        <v>2</v>
      </c>
      <c r="D419" s="6"/>
      <c r="E419" s="6"/>
      <c r="F419" s="6"/>
      <c r="G419" s="6">
        <v>441248</v>
      </c>
      <c r="H419" s="6">
        <v>10</v>
      </c>
      <c r="I419" s="6"/>
      <c r="J419" s="25" t="s">
        <v>3943</v>
      </c>
      <c r="K419" s="6"/>
      <c r="L419" s="6"/>
      <c r="M419" s="6"/>
      <c r="N419" s="6"/>
      <c r="O419" s="6"/>
    </row>
    <row r="420" ht="15.75" spans="1:15">
      <c r="A420" s="7">
        <v>415</v>
      </c>
      <c r="B420" s="6">
        <v>440042</v>
      </c>
      <c r="C420" s="6">
        <v>2</v>
      </c>
      <c r="D420" s="6"/>
      <c r="E420" s="6"/>
      <c r="F420" s="6"/>
      <c r="G420" s="6">
        <v>441249</v>
      </c>
      <c r="H420" s="6">
        <v>10</v>
      </c>
      <c r="I420" s="6"/>
      <c r="J420" s="25" t="s">
        <v>3943</v>
      </c>
      <c r="K420" s="6"/>
      <c r="L420" s="6"/>
      <c r="M420" s="6"/>
      <c r="N420" s="6"/>
      <c r="O420" s="6"/>
    </row>
    <row r="421" ht="15.75" spans="1:15">
      <c r="A421" s="7">
        <v>416</v>
      </c>
      <c r="B421" s="6">
        <v>440042</v>
      </c>
      <c r="C421" s="6">
        <v>2</v>
      </c>
      <c r="D421" s="6"/>
      <c r="E421" s="6"/>
      <c r="F421" s="6"/>
      <c r="G421" s="6">
        <v>441250</v>
      </c>
      <c r="H421" s="6">
        <v>10</v>
      </c>
      <c r="I421" s="6"/>
      <c r="J421" s="25" t="s">
        <v>3943</v>
      </c>
      <c r="K421" s="6"/>
      <c r="L421" s="6"/>
      <c r="M421" s="6"/>
      <c r="N421" s="6"/>
      <c r="O421" s="6"/>
    </row>
    <row r="422" ht="15.75" spans="1:15">
      <c r="A422" s="7">
        <v>417</v>
      </c>
      <c r="B422" s="6">
        <v>440042</v>
      </c>
      <c r="C422" s="6">
        <v>2</v>
      </c>
      <c r="D422" s="6"/>
      <c r="E422" s="6"/>
      <c r="F422" s="6"/>
      <c r="G422" s="6">
        <v>441251</v>
      </c>
      <c r="H422" s="6">
        <v>10</v>
      </c>
      <c r="I422" s="6"/>
      <c r="J422" s="25" t="s">
        <v>3943</v>
      </c>
      <c r="K422" s="6"/>
      <c r="L422" s="6"/>
      <c r="M422" s="6"/>
      <c r="N422" s="6"/>
      <c r="O422" s="6"/>
    </row>
    <row r="423" ht="15.75" spans="1:15">
      <c r="A423" s="7">
        <v>418</v>
      </c>
      <c r="B423" s="6">
        <v>440043</v>
      </c>
      <c r="C423" s="6">
        <v>2</v>
      </c>
      <c r="D423" s="6"/>
      <c r="E423" s="6"/>
      <c r="F423" s="6"/>
      <c r="G423" s="6">
        <v>441252</v>
      </c>
      <c r="H423" s="6">
        <v>10</v>
      </c>
      <c r="I423" s="6"/>
      <c r="J423" s="26" t="s">
        <v>3944</v>
      </c>
      <c r="K423" s="6"/>
      <c r="L423" s="6"/>
      <c r="M423" s="6"/>
      <c r="N423" s="6"/>
      <c r="O423" s="6"/>
    </row>
    <row r="424" ht="15.75" spans="1:15">
      <c r="A424" s="7">
        <v>419</v>
      </c>
      <c r="B424" s="6">
        <v>440043</v>
      </c>
      <c r="C424" s="6">
        <v>2</v>
      </c>
      <c r="D424" s="6"/>
      <c r="E424" s="6"/>
      <c r="F424" s="6"/>
      <c r="G424" s="6">
        <v>441253</v>
      </c>
      <c r="H424" s="6">
        <v>10</v>
      </c>
      <c r="I424" s="6"/>
      <c r="J424" s="26" t="s">
        <v>3944</v>
      </c>
      <c r="K424" s="6"/>
      <c r="L424" s="6"/>
      <c r="M424" s="6"/>
      <c r="N424" s="6"/>
      <c r="O424" s="6"/>
    </row>
    <row r="425" ht="15.75" spans="1:15">
      <c r="A425" s="7">
        <v>420</v>
      </c>
      <c r="B425" s="6">
        <v>440043</v>
      </c>
      <c r="C425" s="6">
        <v>2</v>
      </c>
      <c r="D425" s="6"/>
      <c r="E425" s="6"/>
      <c r="F425" s="6"/>
      <c r="G425" s="6">
        <v>441254</v>
      </c>
      <c r="H425" s="6">
        <v>10</v>
      </c>
      <c r="I425" s="6"/>
      <c r="J425" s="26" t="s">
        <v>3944</v>
      </c>
      <c r="K425" s="6"/>
      <c r="L425" s="6"/>
      <c r="M425" s="6"/>
      <c r="N425" s="6"/>
      <c r="O425" s="6"/>
    </row>
    <row r="426" ht="15.75" spans="1:15">
      <c r="A426" s="7">
        <v>421</v>
      </c>
      <c r="B426" s="6">
        <v>440043</v>
      </c>
      <c r="C426" s="6">
        <v>2</v>
      </c>
      <c r="D426" s="6"/>
      <c r="E426" s="6"/>
      <c r="F426" s="6"/>
      <c r="G426" s="6">
        <v>441255</v>
      </c>
      <c r="H426" s="6">
        <v>10</v>
      </c>
      <c r="I426" s="6"/>
      <c r="J426" s="26" t="s">
        <v>3944</v>
      </c>
      <c r="K426" s="6"/>
      <c r="L426" s="6"/>
      <c r="M426" s="6"/>
      <c r="N426" s="6"/>
      <c r="O426" s="6"/>
    </row>
    <row r="427" ht="15.75" spans="1:15">
      <c r="A427" s="7">
        <v>422</v>
      </c>
      <c r="B427" s="6">
        <v>440043</v>
      </c>
      <c r="C427" s="6">
        <v>2</v>
      </c>
      <c r="D427" s="6"/>
      <c r="E427" s="6"/>
      <c r="F427" s="6"/>
      <c r="G427" s="6">
        <v>441256</v>
      </c>
      <c r="H427" s="6">
        <v>10</v>
      </c>
      <c r="I427" s="6"/>
      <c r="J427" s="26" t="s">
        <v>3944</v>
      </c>
      <c r="K427" s="6"/>
      <c r="L427" s="6"/>
      <c r="M427" s="6"/>
      <c r="N427" s="6"/>
      <c r="O427" s="6"/>
    </row>
    <row r="428" ht="15.75" spans="1:15">
      <c r="A428" s="7">
        <v>423</v>
      </c>
      <c r="B428" s="6">
        <v>440043</v>
      </c>
      <c r="C428" s="6">
        <v>2</v>
      </c>
      <c r="D428" s="6"/>
      <c r="E428" s="6"/>
      <c r="F428" s="6"/>
      <c r="G428" s="6">
        <v>441257</v>
      </c>
      <c r="H428" s="6">
        <v>10</v>
      </c>
      <c r="I428" s="6"/>
      <c r="J428" s="26" t="s">
        <v>3944</v>
      </c>
      <c r="K428" s="6"/>
      <c r="L428" s="6"/>
      <c r="M428" s="6"/>
      <c r="N428" s="6"/>
      <c r="O428" s="6"/>
    </row>
    <row r="429" ht="15.75" spans="1:15">
      <c r="A429" s="7">
        <v>424</v>
      </c>
      <c r="B429" s="6">
        <v>440043</v>
      </c>
      <c r="C429" s="6">
        <v>2</v>
      </c>
      <c r="D429" s="6"/>
      <c r="E429" s="6"/>
      <c r="F429" s="6"/>
      <c r="G429" s="6">
        <v>441258</v>
      </c>
      <c r="H429" s="6">
        <v>10</v>
      </c>
      <c r="I429" s="6"/>
      <c r="J429" s="26" t="s">
        <v>3944</v>
      </c>
      <c r="K429" s="6"/>
      <c r="L429" s="6"/>
      <c r="M429" s="6"/>
      <c r="N429" s="6"/>
      <c r="O429" s="6"/>
    </row>
    <row r="430" ht="15.75" spans="1:15">
      <c r="A430" s="7">
        <v>425</v>
      </c>
      <c r="B430" s="6">
        <v>440043</v>
      </c>
      <c r="C430" s="6">
        <v>2</v>
      </c>
      <c r="D430" s="6"/>
      <c r="E430" s="6"/>
      <c r="F430" s="6"/>
      <c r="G430" s="6">
        <v>441259</v>
      </c>
      <c r="H430" s="6">
        <v>10</v>
      </c>
      <c r="I430" s="6"/>
      <c r="J430" s="26" t="s">
        <v>3944</v>
      </c>
      <c r="K430" s="6"/>
      <c r="L430" s="6"/>
      <c r="M430" s="6"/>
      <c r="N430" s="6"/>
      <c r="O430" s="6"/>
    </row>
    <row r="431" ht="15.75" spans="1:15">
      <c r="A431" s="7">
        <v>426</v>
      </c>
      <c r="B431" s="6">
        <v>440043</v>
      </c>
      <c r="C431" s="6">
        <v>2</v>
      </c>
      <c r="D431" s="6"/>
      <c r="E431" s="6"/>
      <c r="F431" s="6"/>
      <c r="G431" s="6">
        <v>441260</v>
      </c>
      <c r="H431" s="6">
        <v>10</v>
      </c>
      <c r="I431" s="6"/>
      <c r="J431" s="26" t="s">
        <v>3944</v>
      </c>
      <c r="K431" s="6"/>
      <c r="L431" s="6"/>
      <c r="M431" s="6"/>
      <c r="N431" s="6"/>
      <c r="O431" s="6"/>
    </row>
    <row r="432" ht="15.75" spans="1:15">
      <c r="A432" s="7">
        <v>427</v>
      </c>
      <c r="B432" s="6">
        <v>440043</v>
      </c>
      <c r="C432" s="6">
        <v>2</v>
      </c>
      <c r="D432" s="6"/>
      <c r="E432" s="6"/>
      <c r="F432" s="6"/>
      <c r="G432" s="6">
        <v>441261</v>
      </c>
      <c r="H432" s="6">
        <v>10</v>
      </c>
      <c r="I432" s="6"/>
      <c r="J432" s="26" t="s">
        <v>3944</v>
      </c>
      <c r="K432" s="6"/>
      <c r="L432" s="6"/>
      <c r="M432" s="6"/>
      <c r="N432" s="6"/>
      <c r="O432" s="6"/>
    </row>
    <row r="433" ht="15.75" spans="1:15">
      <c r="A433" s="7">
        <v>428</v>
      </c>
      <c r="B433" s="6">
        <v>440043</v>
      </c>
      <c r="C433" s="6">
        <v>2</v>
      </c>
      <c r="D433" s="6"/>
      <c r="E433" s="6"/>
      <c r="F433" s="6"/>
      <c r="G433" s="6">
        <v>441262</v>
      </c>
      <c r="H433" s="6">
        <v>10</v>
      </c>
      <c r="I433" s="6"/>
      <c r="J433" s="26" t="s">
        <v>3944</v>
      </c>
      <c r="K433" s="6"/>
      <c r="L433" s="6"/>
      <c r="M433" s="6"/>
      <c r="N433" s="6"/>
      <c r="O433" s="6"/>
    </row>
    <row r="434" ht="15.75" spans="1:15">
      <c r="A434" s="7">
        <v>429</v>
      </c>
      <c r="B434" s="6">
        <v>440043</v>
      </c>
      <c r="C434" s="6">
        <v>2</v>
      </c>
      <c r="D434" s="6"/>
      <c r="E434" s="6"/>
      <c r="F434" s="6"/>
      <c r="G434" s="6">
        <v>441263</v>
      </c>
      <c r="H434" s="6">
        <v>10</v>
      </c>
      <c r="I434" s="6"/>
      <c r="J434" s="26" t="s">
        <v>3944</v>
      </c>
      <c r="K434" s="6"/>
      <c r="L434" s="6"/>
      <c r="M434" s="6"/>
      <c r="N434" s="6"/>
      <c r="O434" s="6"/>
    </row>
    <row r="435" ht="15.75" spans="1:15">
      <c r="A435" s="7">
        <v>430</v>
      </c>
      <c r="B435" s="6">
        <v>440044</v>
      </c>
      <c r="C435" s="6">
        <v>2</v>
      </c>
      <c r="D435" s="6"/>
      <c r="E435" s="6"/>
      <c r="F435" s="6"/>
      <c r="G435" s="6">
        <v>441264</v>
      </c>
      <c r="H435" s="6">
        <v>10</v>
      </c>
      <c r="I435" s="6"/>
      <c r="J435" s="27" t="s">
        <v>3945</v>
      </c>
      <c r="K435" s="6"/>
      <c r="L435" s="6"/>
      <c r="M435" s="6"/>
      <c r="N435" s="6"/>
      <c r="O435" s="6"/>
    </row>
    <row r="436" ht="15.75" spans="1:15">
      <c r="A436" s="7">
        <v>431</v>
      </c>
      <c r="B436" s="6">
        <v>440044</v>
      </c>
      <c r="C436" s="6">
        <v>2</v>
      </c>
      <c r="D436" s="6"/>
      <c r="E436" s="6"/>
      <c r="F436" s="6"/>
      <c r="G436" s="6">
        <v>441265</v>
      </c>
      <c r="H436" s="6">
        <v>10</v>
      </c>
      <c r="I436" s="6"/>
      <c r="J436" s="27" t="s">
        <v>3945</v>
      </c>
      <c r="K436" s="6"/>
      <c r="L436" s="6"/>
      <c r="M436" s="6"/>
      <c r="N436" s="6"/>
      <c r="O436" s="6"/>
    </row>
    <row r="437" ht="15.75" spans="1:15">
      <c r="A437" s="7">
        <v>432</v>
      </c>
      <c r="B437" s="6">
        <v>440044</v>
      </c>
      <c r="C437" s="6">
        <v>2</v>
      </c>
      <c r="D437" s="6"/>
      <c r="E437" s="6"/>
      <c r="F437" s="6"/>
      <c r="G437" s="6">
        <v>441266</v>
      </c>
      <c r="H437" s="6">
        <v>10</v>
      </c>
      <c r="I437" s="6"/>
      <c r="J437" s="27" t="s">
        <v>3945</v>
      </c>
      <c r="K437" s="6"/>
      <c r="L437" s="6"/>
      <c r="M437" s="6"/>
      <c r="N437" s="6"/>
      <c r="O437" s="6"/>
    </row>
    <row r="438" ht="15.75" spans="1:15">
      <c r="A438" s="7">
        <v>433</v>
      </c>
      <c r="B438" s="6">
        <v>440044</v>
      </c>
      <c r="C438" s="6">
        <v>2</v>
      </c>
      <c r="D438" s="6"/>
      <c r="E438" s="6"/>
      <c r="F438" s="6"/>
      <c r="G438" s="6">
        <v>441267</v>
      </c>
      <c r="H438" s="6">
        <v>10</v>
      </c>
      <c r="I438" s="6"/>
      <c r="J438" s="27" t="s">
        <v>3945</v>
      </c>
      <c r="K438" s="6"/>
      <c r="L438" s="6"/>
      <c r="M438" s="6"/>
      <c r="N438" s="6"/>
      <c r="O438" s="6"/>
    </row>
    <row r="439" ht="15.75" spans="1:15">
      <c r="A439" s="7">
        <v>434</v>
      </c>
      <c r="B439" s="6">
        <v>440044</v>
      </c>
      <c r="C439" s="6">
        <v>2</v>
      </c>
      <c r="D439" s="6"/>
      <c r="E439" s="6"/>
      <c r="F439" s="6"/>
      <c r="G439" s="6">
        <v>441268</v>
      </c>
      <c r="H439" s="6">
        <v>10</v>
      </c>
      <c r="I439" s="6"/>
      <c r="J439" s="27" t="s">
        <v>3945</v>
      </c>
      <c r="K439" s="6"/>
      <c r="L439" s="6"/>
      <c r="M439" s="6"/>
      <c r="N439" s="6"/>
      <c r="O439" s="6"/>
    </row>
    <row r="440" ht="15.75" spans="1:15">
      <c r="A440" s="7">
        <v>435</v>
      </c>
      <c r="B440" s="6">
        <v>440044</v>
      </c>
      <c r="C440" s="6">
        <v>2</v>
      </c>
      <c r="D440" s="6"/>
      <c r="E440" s="6"/>
      <c r="F440" s="6"/>
      <c r="G440" s="6">
        <v>441269</v>
      </c>
      <c r="H440" s="6">
        <v>10</v>
      </c>
      <c r="I440" s="6"/>
      <c r="J440" s="27" t="s">
        <v>3945</v>
      </c>
      <c r="K440" s="6"/>
      <c r="L440" s="6"/>
      <c r="M440" s="6"/>
      <c r="N440" s="6"/>
      <c r="O440" s="6"/>
    </row>
    <row r="441" ht="15.75" spans="1:15">
      <c r="A441" s="7">
        <v>436</v>
      </c>
      <c r="B441" s="6">
        <v>440044</v>
      </c>
      <c r="C441" s="6">
        <v>2</v>
      </c>
      <c r="D441" s="6"/>
      <c r="E441" s="6"/>
      <c r="F441" s="6"/>
      <c r="G441" s="6">
        <v>441270</v>
      </c>
      <c r="H441" s="6">
        <v>10</v>
      </c>
      <c r="I441" s="6"/>
      <c r="J441" s="27" t="s">
        <v>3945</v>
      </c>
      <c r="K441" s="6"/>
      <c r="L441" s="6"/>
      <c r="M441" s="6"/>
      <c r="N441" s="6"/>
      <c r="O441" s="6"/>
    </row>
    <row r="442" ht="15.75" spans="1:15">
      <c r="A442" s="7">
        <v>437</v>
      </c>
      <c r="B442" s="6">
        <v>440044</v>
      </c>
      <c r="C442" s="6">
        <v>2</v>
      </c>
      <c r="D442" s="6"/>
      <c r="E442" s="6"/>
      <c r="F442" s="6"/>
      <c r="G442" s="6">
        <v>441271</v>
      </c>
      <c r="H442" s="6">
        <v>10</v>
      </c>
      <c r="I442" s="6"/>
      <c r="J442" s="27" t="s">
        <v>3945</v>
      </c>
      <c r="K442" s="6"/>
      <c r="L442" s="6"/>
      <c r="M442" s="6"/>
      <c r="N442" s="6"/>
      <c r="O442" s="6"/>
    </row>
    <row r="443" ht="15.75" spans="1:15">
      <c r="A443" s="7">
        <v>438</v>
      </c>
      <c r="B443" s="6">
        <v>440044</v>
      </c>
      <c r="C443" s="6">
        <v>2</v>
      </c>
      <c r="D443" s="6"/>
      <c r="E443" s="6"/>
      <c r="F443" s="6"/>
      <c r="G443" s="6">
        <v>441272</v>
      </c>
      <c r="H443" s="6">
        <v>10</v>
      </c>
      <c r="I443" s="6"/>
      <c r="J443" s="27" t="s">
        <v>3945</v>
      </c>
      <c r="K443" s="6"/>
      <c r="L443" s="6"/>
      <c r="M443" s="6"/>
      <c r="N443" s="6"/>
      <c r="O443" s="6"/>
    </row>
    <row r="444" ht="15.75" spans="1:15">
      <c r="A444" s="7">
        <v>439</v>
      </c>
      <c r="B444" s="6">
        <v>440045</v>
      </c>
      <c r="C444" s="6">
        <v>2</v>
      </c>
      <c r="D444" s="6"/>
      <c r="E444" s="6"/>
      <c r="F444" s="6"/>
      <c r="G444" s="6">
        <v>441273</v>
      </c>
      <c r="H444" s="6">
        <v>10</v>
      </c>
      <c r="I444" s="6"/>
      <c r="J444" s="28" t="s">
        <v>3946</v>
      </c>
      <c r="K444" s="6"/>
      <c r="L444" s="6"/>
      <c r="M444" s="6"/>
      <c r="N444" s="6"/>
      <c r="O444" s="6"/>
    </row>
    <row r="445" ht="15.75" spans="1:15">
      <c r="A445" s="7">
        <v>440</v>
      </c>
      <c r="B445" s="6">
        <v>440045</v>
      </c>
      <c r="C445" s="6">
        <v>2</v>
      </c>
      <c r="D445" s="6"/>
      <c r="E445" s="6"/>
      <c r="F445" s="6"/>
      <c r="G445" s="6">
        <v>441274</v>
      </c>
      <c r="H445" s="6">
        <v>10</v>
      </c>
      <c r="I445" s="6"/>
      <c r="J445" s="28" t="s">
        <v>3946</v>
      </c>
      <c r="K445" s="6"/>
      <c r="L445" s="6"/>
      <c r="M445" s="6"/>
      <c r="N445" s="6"/>
      <c r="O445" s="6"/>
    </row>
    <row r="446" ht="15.75" spans="1:15">
      <c r="A446" s="7">
        <v>441</v>
      </c>
      <c r="B446" s="6">
        <v>440045</v>
      </c>
      <c r="C446" s="6">
        <v>2</v>
      </c>
      <c r="D446" s="6"/>
      <c r="E446" s="6"/>
      <c r="F446" s="6"/>
      <c r="G446" s="6">
        <v>441275</v>
      </c>
      <c r="H446" s="6">
        <v>10</v>
      </c>
      <c r="I446" s="6"/>
      <c r="J446" s="28" t="s">
        <v>3946</v>
      </c>
      <c r="K446" s="6"/>
      <c r="L446" s="6"/>
      <c r="M446" s="6"/>
      <c r="N446" s="6"/>
      <c r="O446" s="6"/>
    </row>
    <row r="447" ht="15.75" spans="1:15">
      <c r="A447" s="7">
        <v>442</v>
      </c>
      <c r="B447" s="6">
        <v>440045</v>
      </c>
      <c r="C447" s="6">
        <v>2</v>
      </c>
      <c r="D447" s="6"/>
      <c r="E447" s="6"/>
      <c r="F447" s="6"/>
      <c r="G447" s="6">
        <v>441276</v>
      </c>
      <c r="H447" s="6">
        <v>10</v>
      </c>
      <c r="I447" s="6"/>
      <c r="J447" s="28" t="s">
        <v>3946</v>
      </c>
      <c r="K447" s="6"/>
      <c r="L447" s="6"/>
      <c r="M447" s="6"/>
      <c r="N447" s="6"/>
      <c r="O447" s="6"/>
    </row>
    <row r="448" ht="15.75" spans="1:15">
      <c r="A448" s="7">
        <v>443</v>
      </c>
      <c r="B448" s="6">
        <v>440045</v>
      </c>
      <c r="C448" s="6">
        <v>2</v>
      </c>
      <c r="D448" s="6"/>
      <c r="E448" s="6"/>
      <c r="F448" s="6"/>
      <c r="G448" s="6">
        <v>441277</v>
      </c>
      <c r="H448" s="6">
        <v>10</v>
      </c>
      <c r="I448" s="6"/>
      <c r="J448" s="28" t="s">
        <v>3946</v>
      </c>
      <c r="K448" s="6"/>
      <c r="L448" s="6"/>
      <c r="M448" s="6"/>
      <c r="N448" s="6"/>
      <c r="O448" s="6"/>
    </row>
    <row r="449" ht="15.75" spans="1:15">
      <c r="A449" s="7">
        <v>444</v>
      </c>
      <c r="B449" s="6">
        <v>440045</v>
      </c>
      <c r="C449" s="6">
        <v>2</v>
      </c>
      <c r="D449" s="6"/>
      <c r="E449" s="6"/>
      <c r="F449" s="6"/>
      <c r="G449" s="6">
        <v>441278</v>
      </c>
      <c r="H449" s="6">
        <v>10</v>
      </c>
      <c r="I449" s="6"/>
      <c r="J449" s="28" t="s">
        <v>3946</v>
      </c>
      <c r="K449" s="6"/>
      <c r="L449" s="6"/>
      <c r="M449" s="6"/>
      <c r="N449" s="6"/>
      <c r="O449" s="6"/>
    </row>
    <row r="450" ht="15.75" spans="1:15">
      <c r="A450" s="7">
        <v>445</v>
      </c>
      <c r="B450" s="6">
        <v>440045</v>
      </c>
      <c r="C450" s="6">
        <v>2</v>
      </c>
      <c r="D450" s="6"/>
      <c r="E450" s="6"/>
      <c r="F450" s="6"/>
      <c r="G450" s="6">
        <v>441279</v>
      </c>
      <c r="H450" s="6">
        <v>10</v>
      </c>
      <c r="I450" s="6"/>
      <c r="J450" s="28" t="s">
        <v>3946</v>
      </c>
      <c r="K450" s="6"/>
      <c r="L450" s="6"/>
      <c r="M450" s="6"/>
      <c r="N450" s="6"/>
      <c r="O450" s="6"/>
    </row>
    <row r="451" ht="15.75" spans="1:15">
      <c r="A451" s="7">
        <v>446</v>
      </c>
      <c r="B451" s="6">
        <v>440045</v>
      </c>
      <c r="C451" s="6">
        <v>2</v>
      </c>
      <c r="D451" s="6"/>
      <c r="E451" s="6"/>
      <c r="F451" s="6"/>
      <c r="G451" s="6">
        <v>441280</v>
      </c>
      <c r="H451" s="6">
        <v>10</v>
      </c>
      <c r="I451" s="6"/>
      <c r="J451" s="28" t="s">
        <v>3946</v>
      </c>
      <c r="K451" s="6"/>
      <c r="L451" s="6"/>
      <c r="M451" s="6"/>
      <c r="N451" s="6"/>
      <c r="O451" s="6"/>
    </row>
    <row r="452" ht="15.75" spans="1:15">
      <c r="A452" s="7">
        <v>447</v>
      </c>
      <c r="B452" s="6">
        <v>440045</v>
      </c>
      <c r="C452" s="6">
        <v>2</v>
      </c>
      <c r="D452" s="6"/>
      <c r="E452" s="6"/>
      <c r="F452" s="6"/>
      <c r="G452" s="6">
        <v>441281</v>
      </c>
      <c r="H452" s="6">
        <v>10</v>
      </c>
      <c r="I452" s="6"/>
      <c r="J452" s="28" t="s">
        <v>3946</v>
      </c>
      <c r="K452" s="6"/>
      <c r="L452" s="6"/>
      <c r="M452" s="6"/>
      <c r="N452" s="6"/>
      <c r="O452" s="6"/>
    </row>
    <row r="453" ht="15.75" spans="1:15">
      <c r="A453" s="7">
        <v>448</v>
      </c>
      <c r="B453" s="6">
        <v>440045</v>
      </c>
      <c r="C453" s="6">
        <v>2</v>
      </c>
      <c r="D453" s="6"/>
      <c r="E453" s="6"/>
      <c r="F453" s="6"/>
      <c r="G453" s="6">
        <v>441282</v>
      </c>
      <c r="H453" s="6">
        <v>10</v>
      </c>
      <c r="I453" s="6"/>
      <c r="J453" s="28" t="s">
        <v>3946</v>
      </c>
      <c r="K453" s="6"/>
      <c r="L453" s="6"/>
      <c r="M453" s="6"/>
      <c r="N453" s="6"/>
      <c r="O453" s="6"/>
    </row>
    <row r="454" ht="15.75" spans="1:15">
      <c r="A454" s="7">
        <v>449</v>
      </c>
      <c r="B454" s="6">
        <v>440045</v>
      </c>
      <c r="C454" s="6">
        <v>2</v>
      </c>
      <c r="D454" s="6"/>
      <c r="E454" s="6"/>
      <c r="F454" s="6"/>
      <c r="G454" s="6">
        <v>441283</v>
      </c>
      <c r="H454" s="6">
        <v>10</v>
      </c>
      <c r="I454" s="6"/>
      <c r="J454" s="28" t="s">
        <v>3946</v>
      </c>
      <c r="K454" s="6"/>
      <c r="L454" s="6"/>
      <c r="M454" s="6"/>
      <c r="N454" s="6"/>
      <c r="O454" s="6"/>
    </row>
    <row r="455" ht="15.75" spans="1:15">
      <c r="A455" s="7">
        <v>450</v>
      </c>
      <c r="B455" s="6">
        <v>440045</v>
      </c>
      <c r="C455" s="6">
        <v>2</v>
      </c>
      <c r="D455" s="6"/>
      <c r="E455" s="6"/>
      <c r="F455" s="6"/>
      <c r="G455" s="6">
        <v>441284</v>
      </c>
      <c r="H455" s="6">
        <v>10</v>
      </c>
      <c r="I455" s="6"/>
      <c r="J455" s="28" t="s">
        <v>3946</v>
      </c>
      <c r="K455" s="6"/>
      <c r="L455" s="6"/>
      <c r="M455" s="6"/>
      <c r="N455" s="6"/>
      <c r="O455" s="6"/>
    </row>
    <row r="456" ht="15.75" spans="1:15">
      <c r="A456" s="7">
        <v>451</v>
      </c>
      <c r="B456" s="6">
        <v>440045</v>
      </c>
      <c r="C456" s="6">
        <v>2</v>
      </c>
      <c r="D456" s="6"/>
      <c r="E456" s="6"/>
      <c r="F456" s="6"/>
      <c r="G456" s="6">
        <v>441285</v>
      </c>
      <c r="H456" s="6">
        <v>10</v>
      </c>
      <c r="I456" s="6"/>
      <c r="J456" s="28" t="s">
        <v>3946</v>
      </c>
      <c r="K456" s="6"/>
      <c r="L456" s="6"/>
      <c r="M456" s="6"/>
      <c r="N456" s="6"/>
      <c r="O456" s="6"/>
    </row>
    <row r="457" ht="15.75" spans="1:15">
      <c r="A457" s="7">
        <v>452</v>
      </c>
      <c r="B457" s="6">
        <v>440046</v>
      </c>
      <c r="C457" s="6">
        <v>2</v>
      </c>
      <c r="D457" s="6"/>
      <c r="E457" s="6"/>
      <c r="F457" s="6"/>
      <c r="G457" s="6">
        <v>441286</v>
      </c>
      <c r="H457" s="6">
        <v>10</v>
      </c>
      <c r="I457" s="6"/>
      <c r="J457" s="26" t="s">
        <v>3947</v>
      </c>
      <c r="K457" s="6"/>
      <c r="L457" s="6"/>
      <c r="M457" s="6"/>
      <c r="N457" s="6"/>
      <c r="O457" s="6"/>
    </row>
    <row r="458" ht="15.75" spans="1:15">
      <c r="A458" s="7">
        <v>453</v>
      </c>
      <c r="B458" s="6">
        <v>440046</v>
      </c>
      <c r="C458" s="6">
        <v>2</v>
      </c>
      <c r="D458" s="6"/>
      <c r="E458" s="6"/>
      <c r="F458" s="6"/>
      <c r="G458" s="6">
        <v>441287</v>
      </c>
      <c r="H458" s="6">
        <v>10</v>
      </c>
      <c r="I458" s="6"/>
      <c r="J458" s="26" t="s">
        <v>3947</v>
      </c>
      <c r="K458" s="6"/>
      <c r="L458" s="6"/>
      <c r="M458" s="6"/>
      <c r="N458" s="6"/>
      <c r="O458" s="6"/>
    </row>
    <row r="459" ht="15.75" spans="1:15">
      <c r="A459" s="7">
        <v>454</v>
      </c>
      <c r="B459" s="6">
        <v>440046</v>
      </c>
      <c r="C459" s="6">
        <v>2</v>
      </c>
      <c r="D459" s="6"/>
      <c r="E459" s="6"/>
      <c r="F459" s="6"/>
      <c r="G459" s="6">
        <v>441288</v>
      </c>
      <c r="H459" s="6">
        <v>10</v>
      </c>
      <c r="I459" s="6"/>
      <c r="J459" s="26" t="s">
        <v>3947</v>
      </c>
      <c r="K459" s="6"/>
      <c r="L459" s="6"/>
      <c r="M459" s="6"/>
      <c r="N459" s="6"/>
      <c r="O459" s="6"/>
    </row>
    <row r="460" ht="15.75" spans="1:15">
      <c r="A460" s="7">
        <v>455</v>
      </c>
      <c r="B460" s="6">
        <v>440046</v>
      </c>
      <c r="C460" s="6">
        <v>2</v>
      </c>
      <c r="D460" s="6"/>
      <c r="E460" s="6"/>
      <c r="F460" s="6"/>
      <c r="G460" s="6">
        <v>441289</v>
      </c>
      <c r="H460" s="6">
        <v>10</v>
      </c>
      <c r="I460" s="6"/>
      <c r="J460" s="26" t="s">
        <v>3947</v>
      </c>
      <c r="K460" s="6"/>
      <c r="L460" s="6"/>
      <c r="M460" s="6"/>
      <c r="N460" s="6"/>
      <c r="O460" s="6"/>
    </row>
    <row r="461" ht="15.75" spans="1:15">
      <c r="A461" s="7">
        <v>456</v>
      </c>
      <c r="B461" s="6">
        <v>440046</v>
      </c>
      <c r="C461" s="6">
        <v>2</v>
      </c>
      <c r="D461" s="6"/>
      <c r="E461" s="6"/>
      <c r="F461" s="6"/>
      <c r="G461" s="6">
        <v>441290</v>
      </c>
      <c r="H461" s="6">
        <v>10</v>
      </c>
      <c r="I461" s="6"/>
      <c r="J461" s="26" t="s">
        <v>3947</v>
      </c>
      <c r="K461" s="6"/>
      <c r="L461" s="6"/>
      <c r="M461" s="6"/>
      <c r="N461" s="6"/>
      <c r="O461" s="6"/>
    </row>
    <row r="462" ht="15.75" spans="1:15">
      <c r="A462" s="7">
        <v>457</v>
      </c>
      <c r="B462" s="6">
        <v>440046</v>
      </c>
      <c r="C462" s="6">
        <v>2</v>
      </c>
      <c r="D462" s="6"/>
      <c r="E462" s="6"/>
      <c r="F462" s="6"/>
      <c r="G462" s="6">
        <v>441291</v>
      </c>
      <c r="H462" s="6">
        <v>10</v>
      </c>
      <c r="I462" s="6"/>
      <c r="J462" s="26" t="s">
        <v>3947</v>
      </c>
      <c r="K462" s="6"/>
      <c r="L462" s="6"/>
      <c r="M462" s="6"/>
      <c r="N462" s="6"/>
      <c r="O462" s="6"/>
    </row>
    <row r="463" ht="15.75" spans="1:15">
      <c r="A463" s="7">
        <v>458</v>
      </c>
      <c r="B463" s="6">
        <v>440046</v>
      </c>
      <c r="C463" s="6">
        <v>2</v>
      </c>
      <c r="D463" s="6"/>
      <c r="E463" s="6"/>
      <c r="F463" s="6"/>
      <c r="G463" s="6">
        <v>441292</v>
      </c>
      <c r="H463" s="6">
        <v>10</v>
      </c>
      <c r="I463" s="6"/>
      <c r="J463" s="26" t="s">
        <v>3947</v>
      </c>
      <c r="K463" s="6"/>
      <c r="L463" s="6"/>
      <c r="M463" s="6"/>
      <c r="N463" s="6"/>
      <c r="O463" s="6"/>
    </row>
    <row r="464" ht="15.75" spans="1:15">
      <c r="A464" s="7">
        <v>459</v>
      </c>
      <c r="B464" s="6">
        <v>440046</v>
      </c>
      <c r="C464" s="6">
        <v>2</v>
      </c>
      <c r="D464" s="6"/>
      <c r="E464" s="6"/>
      <c r="F464" s="6"/>
      <c r="G464" s="6">
        <v>441293</v>
      </c>
      <c r="H464" s="6">
        <v>10</v>
      </c>
      <c r="I464" s="6"/>
      <c r="J464" s="26" t="s">
        <v>3947</v>
      </c>
      <c r="K464" s="6"/>
      <c r="L464" s="6"/>
      <c r="M464" s="6"/>
      <c r="N464" s="6"/>
      <c r="O464" s="6"/>
    </row>
    <row r="465" ht="15.75" spans="1:15">
      <c r="A465" s="7">
        <v>460</v>
      </c>
      <c r="B465" s="6">
        <v>440047</v>
      </c>
      <c r="C465" s="6">
        <v>2</v>
      </c>
      <c r="D465" s="6"/>
      <c r="E465" s="6"/>
      <c r="F465" s="6"/>
      <c r="G465" s="6">
        <v>441294</v>
      </c>
      <c r="H465" s="6">
        <v>10</v>
      </c>
      <c r="I465" s="6"/>
      <c r="J465" s="27" t="s">
        <v>3948</v>
      </c>
      <c r="K465" s="6"/>
      <c r="L465" s="6"/>
      <c r="M465" s="6"/>
      <c r="N465" s="6"/>
      <c r="O465" s="6"/>
    </row>
    <row r="466" ht="15.75" spans="1:15">
      <c r="A466" s="7">
        <v>461</v>
      </c>
      <c r="B466" s="6">
        <v>440047</v>
      </c>
      <c r="C466" s="6">
        <v>2</v>
      </c>
      <c r="D466" s="6"/>
      <c r="E466" s="6"/>
      <c r="F466" s="6"/>
      <c r="G466" s="6">
        <v>441295</v>
      </c>
      <c r="H466" s="6">
        <v>10</v>
      </c>
      <c r="I466" s="6"/>
      <c r="J466" s="27" t="s">
        <v>3948</v>
      </c>
      <c r="K466" s="6"/>
      <c r="L466" s="6"/>
      <c r="M466" s="6"/>
      <c r="N466" s="6"/>
      <c r="O466" s="6"/>
    </row>
    <row r="467" ht="15.75" spans="1:15">
      <c r="A467" s="7">
        <v>462</v>
      </c>
      <c r="B467" s="6">
        <v>440047</v>
      </c>
      <c r="C467" s="6">
        <v>2</v>
      </c>
      <c r="D467" s="6"/>
      <c r="E467" s="6"/>
      <c r="F467" s="6"/>
      <c r="G467" s="6">
        <v>441296</v>
      </c>
      <c r="H467" s="6">
        <v>10</v>
      </c>
      <c r="I467" s="6"/>
      <c r="J467" s="27" t="s">
        <v>3948</v>
      </c>
      <c r="K467" s="6"/>
      <c r="L467" s="6"/>
      <c r="M467" s="6"/>
      <c r="N467" s="6"/>
      <c r="O467" s="6"/>
    </row>
    <row r="468" spans="1:15">
      <c r="A468" s="7">
        <v>463</v>
      </c>
      <c r="B468" s="6">
        <v>440048</v>
      </c>
      <c r="C468" s="6">
        <v>2</v>
      </c>
      <c r="D468" s="6"/>
      <c r="E468" s="6"/>
      <c r="F468" s="6"/>
      <c r="G468" s="6">
        <v>441297</v>
      </c>
      <c r="H468" s="6">
        <v>10</v>
      </c>
      <c r="I468" s="6"/>
      <c r="J468" s="6" t="s">
        <v>3949</v>
      </c>
      <c r="K468" s="6"/>
      <c r="L468" s="6"/>
      <c r="M468" s="6"/>
      <c r="N468" s="6"/>
      <c r="O468" s="6"/>
    </row>
    <row r="469" spans="1:15">
      <c r="A469" s="7">
        <v>464</v>
      </c>
      <c r="B469" s="6">
        <v>440048</v>
      </c>
      <c r="C469" s="6">
        <v>2</v>
      </c>
      <c r="D469" s="6"/>
      <c r="E469" s="6"/>
      <c r="F469" s="6"/>
      <c r="G469" s="6">
        <v>441298</v>
      </c>
      <c r="H469" s="6">
        <v>10</v>
      </c>
      <c r="I469" s="6"/>
      <c r="J469" s="6" t="s">
        <v>3949</v>
      </c>
      <c r="K469" s="6"/>
      <c r="L469" s="6"/>
      <c r="M469" s="6"/>
      <c r="N469" s="6"/>
      <c r="O469" s="6"/>
    </row>
    <row r="470" spans="1:15">
      <c r="A470" s="7">
        <v>465</v>
      </c>
      <c r="B470" s="6">
        <v>440048</v>
      </c>
      <c r="C470" s="6">
        <v>2</v>
      </c>
      <c r="D470" s="6"/>
      <c r="E470" s="6"/>
      <c r="F470" s="6"/>
      <c r="G470" s="6">
        <v>441299</v>
      </c>
      <c r="H470" s="6">
        <v>10</v>
      </c>
      <c r="I470" s="6"/>
      <c r="J470" s="6" t="s">
        <v>3949</v>
      </c>
      <c r="K470" s="6"/>
      <c r="L470" s="6"/>
      <c r="M470" s="6"/>
      <c r="N470" s="6"/>
      <c r="O470" s="6"/>
    </row>
    <row r="471" spans="1:15">
      <c r="A471" s="7">
        <v>466</v>
      </c>
      <c r="B471" s="6">
        <v>440048</v>
      </c>
      <c r="C471" s="6">
        <v>2</v>
      </c>
      <c r="D471" s="6"/>
      <c r="E471" s="6"/>
      <c r="F471" s="6"/>
      <c r="G471" s="6">
        <v>441300</v>
      </c>
      <c r="H471" s="6">
        <v>10</v>
      </c>
      <c r="I471" s="6"/>
      <c r="J471" s="6" t="s">
        <v>3949</v>
      </c>
      <c r="K471" s="6"/>
      <c r="L471" s="6"/>
      <c r="M471" s="6"/>
      <c r="N471" s="6"/>
      <c r="O471" s="6"/>
    </row>
    <row r="472" spans="1:15">
      <c r="A472" s="7">
        <v>467</v>
      </c>
      <c r="B472" s="6">
        <v>440049</v>
      </c>
      <c r="C472" s="6">
        <v>2</v>
      </c>
      <c r="D472" s="6"/>
      <c r="E472" s="6"/>
      <c r="F472" s="6"/>
      <c r="G472" s="6">
        <v>441301</v>
      </c>
      <c r="H472" s="6">
        <v>10</v>
      </c>
      <c r="I472" s="6"/>
      <c r="J472" s="6" t="s">
        <v>3950</v>
      </c>
      <c r="K472" s="6"/>
      <c r="L472" s="6"/>
      <c r="M472" s="6"/>
      <c r="N472" s="6"/>
      <c r="O472" s="6"/>
    </row>
    <row r="473" spans="1:15">
      <c r="A473" s="7">
        <v>468</v>
      </c>
      <c r="B473" s="6">
        <v>440049</v>
      </c>
      <c r="C473" s="6">
        <v>2</v>
      </c>
      <c r="D473" s="6"/>
      <c r="E473" s="6"/>
      <c r="F473" s="6"/>
      <c r="G473" s="6">
        <v>441302</v>
      </c>
      <c r="H473" s="6">
        <v>10</v>
      </c>
      <c r="I473" s="6"/>
      <c r="J473" s="6" t="s">
        <v>3950</v>
      </c>
      <c r="K473" s="6"/>
      <c r="L473" s="6"/>
      <c r="M473" s="6"/>
      <c r="N473" s="6"/>
      <c r="O473" s="6"/>
    </row>
    <row r="474" spans="1:15">
      <c r="A474" s="7">
        <v>469</v>
      </c>
      <c r="B474" s="6">
        <v>440049</v>
      </c>
      <c r="C474" s="6">
        <v>2</v>
      </c>
      <c r="D474" s="6"/>
      <c r="E474" s="6"/>
      <c r="F474" s="6"/>
      <c r="G474" s="6">
        <v>441303</v>
      </c>
      <c r="H474" s="6">
        <v>10</v>
      </c>
      <c r="I474" s="6"/>
      <c r="J474" s="6" t="s">
        <v>3950</v>
      </c>
      <c r="K474" s="6"/>
      <c r="L474" s="6"/>
      <c r="M474" s="6"/>
      <c r="N474" s="6"/>
      <c r="O474" s="6"/>
    </row>
    <row r="475" spans="1:15">
      <c r="A475" s="7">
        <v>470</v>
      </c>
      <c r="B475" s="6">
        <v>440049</v>
      </c>
      <c r="C475" s="6">
        <v>2</v>
      </c>
      <c r="D475" s="6"/>
      <c r="E475" s="6"/>
      <c r="F475" s="6"/>
      <c r="G475" s="6">
        <v>441304</v>
      </c>
      <c r="H475" s="6">
        <v>10</v>
      </c>
      <c r="I475" s="6"/>
      <c r="J475" s="6" t="s">
        <v>3950</v>
      </c>
      <c r="K475" s="6"/>
      <c r="L475" s="6"/>
      <c r="M475" s="6"/>
      <c r="N475" s="6"/>
      <c r="O475" s="6"/>
    </row>
    <row r="476" spans="1:15">
      <c r="A476" s="7">
        <v>471</v>
      </c>
      <c r="B476" s="6">
        <v>440049</v>
      </c>
      <c r="C476" s="6">
        <v>2</v>
      </c>
      <c r="D476" s="6"/>
      <c r="E476" s="6"/>
      <c r="F476" s="6"/>
      <c r="G476" s="6">
        <v>441305</v>
      </c>
      <c r="H476" s="6">
        <v>10</v>
      </c>
      <c r="I476" s="6"/>
      <c r="J476" s="6" t="s">
        <v>3950</v>
      </c>
      <c r="K476" s="6"/>
      <c r="L476" s="6"/>
      <c r="M476" s="6"/>
      <c r="N476" s="6"/>
      <c r="O476" s="6"/>
    </row>
    <row r="477" spans="1:15">
      <c r="A477" s="7">
        <v>472</v>
      </c>
      <c r="B477" s="6">
        <v>440049</v>
      </c>
      <c r="C477" s="6">
        <v>2</v>
      </c>
      <c r="D477" s="6"/>
      <c r="E477" s="6"/>
      <c r="F477" s="6"/>
      <c r="G477" s="6">
        <v>441306</v>
      </c>
      <c r="H477" s="6">
        <v>10</v>
      </c>
      <c r="I477" s="6"/>
      <c r="J477" s="6" t="s">
        <v>3950</v>
      </c>
      <c r="K477" s="6"/>
      <c r="L477" s="6"/>
      <c r="M477" s="6"/>
      <c r="N477" s="6"/>
      <c r="O477" s="6"/>
    </row>
    <row r="478" spans="1:15">
      <c r="A478" s="7">
        <v>473</v>
      </c>
      <c r="B478" s="6">
        <v>440049</v>
      </c>
      <c r="C478" s="6">
        <v>2</v>
      </c>
      <c r="D478" s="6"/>
      <c r="E478" s="6"/>
      <c r="F478" s="6"/>
      <c r="G478" s="6">
        <v>441307</v>
      </c>
      <c r="H478" s="6">
        <v>10</v>
      </c>
      <c r="I478" s="6"/>
      <c r="J478" s="6" t="s">
        <v>3950</v>
      </c>
      <c r="K478" s="6"/>
      <c r="L478" s="6"/>
      <c r="M478" s="6"/>
      <c r="N478" s="6"/>
      <c r="O478" s="6"/>
    </row>
    <row r="479" spans="1:15">
      <c r="A479" s="7">
        <v>474</v>
      </c>
      <c r="B479" s="6">
        <v>440049</v>
      </c>
      <c r="C479" s="6">
        <v>2</v>
      </c>
      <c r="D479" s="6"/>
      <c r="E479" s="6"/>
      <c r="F479" s="6"/>
      <c r="G479" s="6">
        <v>441308</v>
      </c>
      <c r="H479" s="6">
        <v>10</v>
      </c>
      <c r="I479" s="6"/>
      <c r="J479" s="6" t="s">
        <v>3950</v>
      </c>
      <c r="K479" s="6"/>
      <c r="L479" s="6"/>
      <c r="M479" s="6"/>
      <c r="N479" s="6"/>
      <c r="O479" s="6"/>
    </row>
    <row r="480" ht="15.75" spans="1:15">
      <c r="A480" s="7">
        <v>475</v>
      </c>
      <c r="B480" s="6">
        <v>441001</v>
      </c>
      <c r="C480" s="6">
        <v>3</v>
      </c>
      <c r="D480" s="6">
        <v>301001</v>
      </c>
      <c r="E480" s="6">
        <v>1</v>
      </c>
      <c r="F480" s="6">
        <v>1</v>
      </c>
      <c r="G480" s="6"/>
      <c r="H480" s="6"/>
      <c r="I480" s="6"/>
      <c r="J480" s="29" t="s">
        <v>508</v>
      </c>
      <c r="K480" s="24" t="s">
        <v>3915</v>
      </c>
      <c r="L480" s="6"/>
      <c r="M480" s="6"/>
      <c r="N480" s="6"/>
      <c r="O480" s="6"/>
    </row>
    <row r="481" ht="15.75" spans="1:15">
      <c r="A481" s="7">
        <v>476</v>
      </c>
      <c r="B481" s="6">
        <v>441002</v>
      </c>
      <c r="C481" s="6">
        <v>3</v>
      </c>
      <c r="D481" s="6">
        <v>301002</v>
      </c>
      <c r="E481" s="6">
        <v>1</v>
      </c>
      <c r="F481" s="6">
        <v>1</v>
      </c>
      <c r="G481" s="6"/>
      <c r="H481" s="6"/>
      <c r="I481" s="6"/>
      <c r="J481" s="29" t="s">
        <v>471</v>
      </c>
      <c r="K481" s="24" t="s">
        <v>3915</v>
      </c>
      <c r="L481" s="6"/>
      <c r="M481" s="6"/>
      <c r="N481" s="6"/>
      <c r="O481" s="6"/>
    </row>
    <row r="482" ht="15.75" spans="1:15">
      <c r="A482" s="7">
        <v>477</v>
      </c>
      <c r="B482" s="6">
        <v>441003</v>
      </c>
      <c r="C482" s="6">
        <v>3</v>
      </c>
      <c r="D482" s="6">
        <v>301003</v>
      </c>
      <c r="E482" s="6">
        <v>1</v>
      </c>
      <c r="F482" s="6">
        <v>1</v>
      </c>
      <c r="G482" s="6"/>
      <c r="H482" s="6"/>
      <c r="I482" s="6"/>
      <c r="J482" s="29" t="s">
        <v>589</v>
      </c>
      <c r="K482" s="24" t="s">
        <v>3915</v>
      </c>
      <c r="L482" s="6"/>
      <c r="M482" s="6"/>
      <c r="N482" s="6"/>
      <c r="O482" s="6"/>
    </row>
    <row r="483" ht="15.75" spans="1:15">
      <c r="A483" s="7">
        <v>478</v>
      </c>
      <c r="B483" s="6">
        <v>441004</v>
      </c>
      <c r="C483" s="6">
        <v>3</v>
      </c>
      <c r="D483" s="6">
        <v>302001</v>
      </c>
      <c r="E483" s="6">
        <v>1</v>
      </c>
      <c r="F483" s="6">
        <v>1</v>
      </c>
      <c r="G483" s="6"/>
      <c r="H483" s="6"/>
      <c r="I483" s="6"/>
      <c r="J483" s="29" t="s">
        <v>403</v>
      </c>
      <c r="K483" s="24" t="s">
        <v>3915</v>
      </c>
      <c r="L483" s="6"/>
      <c r="M483" s="6"/>
      <c r="N483" s="6"/>
      <c r="O483" s="6"/>
    </row>
    <row r="484" ht="15.75" spans="1:15">
      <c r="A484" s="7">
        <v>479</v>
      </c>
      <c r="B484" s="6">
        <v>441005</v>
      </c>
      <c r="C484" s="6">
        <v>3</v>
      </c>
      <c r="D484" s="6">
        <v>302002</v>
      </c>
      <c r="E484" s="6">
        <v>1</v>
      </c>
      <c r="F484" s="6">
        <v>1</v>
      </c>
      <c r="G484" s="6"/>
      <c r="H484" s="6"/>
      <c r="I484" s="6"/>
      <c r="J484" s="29" t="s">
        <v>401</v>
      </c>
      <c r="K484" s="24" t="s">
        <v>3915</v>
      </c>
      <c r="L484" s="6"/>
      <c r="M484" s="6"/>
      <c r="N484" s="6"/>
      <c r="O484" s="6"/>
    </row>
    <row r="485" ht="15.75" spans="1:15">
      <c r="A485" s="7">
        <v>480</v>
      </c>
      <c r="B485" s="6">
        <v>441006</v>
      </c>
      <c r="C485" s="6">
        <v>3</v>
      </c>
      <c r="D485" s="6">
        <v>302003</v>
      </c>
      <c r="E485" s="6">
        <v>1</v>
      </c>
      <c r="F485" s="6">
        <v>1</v>
      </c>
      <c r="G485" s="6"/>
      <c r="H485" s="6"/>
      <c r="I485" s="6"/>
      <c r="J485" s="29" t="s">
        <v>379</v>
      </c>
      <c r="K485" s="24" t="s">
        <v>3915</v>
      </c>
      <c r="L485" s="6"/>
      <c r="M485" s="6"/>
      <c r="N485" s="6"/>
      <c r="O485" s="6"/>
    </row>
    <row r="486" ht="15.75" spans="1:15">
      <c r="A486" s="7">
        <v>481</v>
      </c>
      <c r="B486" s="6">
        <v>441007</v>
      </c>
      <c r="C486" s="6">
        <v>3</v>
      </c>
      <c r="D486" s="6">
        <v>302004</v>
      </c>
      <c r="E486" s="6">
        <v>1</v>
      </c>
      <c r="F486" s="6">
        <v>1</v>
      </c>
      <c r="G486" s="6"/>
      <c r="H486" s="6"/>
      <c r="I486" s="6"/>
      <c r="J486" s="29" t="s">
        <v>411</v>
      </c>
      <c r="K486" s="24" t="s">
        <v>3915</v>
      </c>
      <c r="L486" s="6"/>
      <c r="M486" s="6"/>
      <c r="N486" s="6"/>
      <c r="O486" s="6"/>
    </row>
    <row r="487" ht="15.75" spans="1:15">
      <c r="A487" s="7">
        <v>482</v>
      </c>
      <c r="B487" s="6">
        <v>441008</v>
      </c>
      <c r="C487" s="6">
        <v>3</v>
      </c>
      <c r="D487" s="6">
        <v>303001</v>
      </c>
      <c r="E487" s="6">
        <v>1</v>
      </c>
      <c r="F487" s="6">
        <v>1</v>
      </c>
      <c r="G487" s="6"/>
      <c r="H487" s="6"/>
      <c r="I487" s="6"/>
      <c r="J487" s="30" t="s">
        <v>490</v>
      </c>
      <c r="K487" s="24" t="s">
        <v>3915</v>
      </c>
      <c r="L487" s="6"/>
      <c r="M487" s="6"/>
      <c r="N487" s="6"/>
      <c r="O487" s="6"/>
    </row>
    <row r="488" ht="15.75" spans="1:15">
      <c r="A488" s="7">
        <v>483</v>
      </c>
      <c r="B488" s="6">
        <v>441009</v>
      </c>
      <c r="C488" s="6">
        <v>3</v>
      </c>
      <c r="D488" s="6">
        <v>303002</v>
      </c>
      <c r="E488" s="6">
        <v>1</v>
      </c>
      <c r="F488" s="6">
        <v>1</v>
      </c>
      <c r="G488" s="6"/>
      <c r="H488" s="6"/>
      <c r="I488" s="6"/>
      <c r="J488" s="30" t="s">
        <v>494</v>
      </c>
      <c r="K488" s="24" t="s">
        <v>3915</v>
      </c>
      <c r="L488" s="6"/>
      <c r="M488" s="6"/>
      <c r="N488" s="6"/>
      <c r="O488" s="6"/>
    </row>
    <row r="489" ht="15.75" spans="1:15">
      <c r="A489" s="7">
        <v>484</v>
      </c>
      <c r="B489" s="6">
        <v>441010</v>
      </c>
      <c r="C489" s="6">
        <v>3</v>
      </c>
      <c r="D489" s="6">
        <v>303004</v>
      </c>
      <c r="E489" s="6">
        <v>1</v>
      </c>
      <c r="F489" s="6">
        <v>1</v>
      </c>
      <c r="G489" s="6"/>
      <c r="H489" s="6"/>
      <c r="I489" s="6"/>
      <c r="J489" s="30" t="s">
        <v>851</v>
      </c>
      <c r="K489" s="24" t="s">
        <v>3915</v>
      </c>
      <c r="L489" s="6"/>
      <c r="M489" s="6"/>
      <c r="N489" s="6"/>
      <c r="O489" s="6"/>
    </row>
    <row r="490" ht="15.75" spans="1:15">
      <c r="A490" s="7">
        <v>485</v>
      </c>
      <c r="B490" s="6">
        <v>441011</v>
      </c>
      <c r="C490" s="6">
        <v>3</v>
      </c>
      <c r="D490" s="6">
        <v>301006</v>
      </c>
      <c r="E490" s="6">
        <v>1</v>
      </c>
      <c r="F490" s="6">
        <v>1</v>
      </c>
      <c r="G490" s="6"/>
      <c r="H490" s="6"/>
      <c r="I490" s="6"/>
      <c r="J490" s="30" t="s">
        <v>496</v>
      </c>
      <c r="K490" s="24" t="s">
        <v>3915</v>
      </c>
      <c r="L490" s="6"/>
      <c r="M490" s="6"/>
      <c r="N490" s="6"/>
      <c r="O490" s="6"/>
    </row>
    <row r="491" ht="15.75" spans="1:15">
      <c r="A491" s="7">
        <v>486</v>
      </c>
      <c r="B491" s="6">
        <v>441012</v>
      </c>
      <c r="C491" s="6">
        <v>3</v>
      </c>
      <c r="D491" s="6">
        <v>301009</v>
      </c>
      <c r="E491" s="6">
        <v>1</v>
      </c>
      <c r="F491" s="6">
        <v>1</v>
      </c>
      <c r="G491" s="6"/>
      <c r="H491" s="6"/>
      <c r="I491" s="6"/>
      <c r="J491" s="30" t="s">
        <v>619</v>
      </c>
      <c r="K491" s="24" t="s">
        <v>3915</v>
      </c>
      <c r="L491" s="6"/>
      <c r="M491" s="6"/>
      <c r="N491" s="6"/>
      <c r="O491" s="6"/>
    </row>
    <row r="492" ht="15.75" spans="1:15">
      <c r="A492" s="7">
        <v>487</v>
      </c>
      <c r="B492" s="6">
        <v>441013</v>
      </c>
      <c r="C492" s="6">
        <v>3</v>
      </c>
      <c r="D492" s="6">
        <v>302006</v>
      </c>
      <c r="E492" s="6">
        <v>1</v>
      </c>
      <c r="F492" s="6">
        <v>1</v>
      </c>
      <c r="G492" s="6"/>
      <c r="H492" s="6"/>
      <c r="I492" s="6"/>
      <c r="J492" s="31" t="s">
        <v>740</v>
      </c>
      <c r="K492" s="24" t="s">
        <v>3915</v>
      </c>
      <c r="L492" s="6"/>
      <c r="M492" s="6"/>
      <c r="N492" s="6"/>
      <c r="O492" s="6"/>
    </row>
    <row r="493" ht="15.75" spans="1:15">
      <c r="A493" s="7">
        <v>488</v>
      </c>
      <c r="B493" s="6">
        <v>441014</v>
      </c>
      <c r="C493" s="6">
        <v>3</v>
      </c>
      <c r="D493" s="6">
        <v>302007</v>
      </c>
      <c r="E493" s="6">
        <v>1</v>
      </c>
      <c r="F493" s="6">
        <v>1</v>
      </c>
      <c r="G493" s="6"/>
      <c r="H493" s="6"/>
      <c r="I493" s="6"/>
      <c r="J493" s="31" t="s">
        <v>341</v>
      </c>
      <c r="K493" s="24" t="s">
        <v>3915</v>
      </c>
      <c r="L493" s="6"/>
      <c r="M493" s="6"/>
      <c r="N493" s="6"/>
      <c r="O493" s="6"/>
    </row>
    <row r="494" ht="15.75" spans="1:15">
      <c r="A494" s="7">
        <v>489</v>
      </c>
      <c r="B494" s="6">
        <v>441015</v>
      </c>
      <c r="C494" s="6">
        <v>3</v>
      </c>
      <c r="D494" s="6">
        <v>303011</v>
      </c>
      <c r="E494" s="6">
        <v>1</v>
      </c>
      <c r="F494" s="6">
        <v>1</v>
      </c>
      <c r="G494" s="6"/>
      <c r="H494" s="6"/>
      <c r="I494" s="6"/>
      <c r="J494" s="31" t="s">
        <v>880</v>
      </c>
      <c r="K494" s="24" t="s">
        <v>3915</v>
      </c>
      <c r="L494" s="6"/>
      <c r="M494" s="6"/>
      <c r="N494" s="6"/>
      <c r="O494" s="6"/>
    </row>
    <row r="495" ht="15.75" spans="1:15">
      <c r="A495" s="7">
        <v>490</v>
      </c>
      <c r="B495" s="6">
        <v>441016</v>
      </c>
      <c r="C495" s="6">
        <v>3</v>
      </c>
      <c r="D495" s="6">
        <v>303013</v>
      </c>
      <c r="E495" s="6">
        <v>1</v>
      </c>
      <c r="F495" s="6">
        <v>1</v>
      </c>
      <c r="G495" s="6"/>
      <c r="H495" s="6"/>
      <c r="I495" s="6"/>
      <c r="J495" s="31" t="s">
        <v>359</v>
      </c>
      <c r="K495" s="24" t="s">
        <v>3915</v>
      </c>
      <c r="L495" s="6"/>
      <c r="M495" s="6"/>
      <c r="N495" s="6"/>
      <c r="O495" s="6"/>
    </row>
    <row r="496" ht="15.75" spans="1:15">
      <c r="A496" s="7">
        <v>491</v>
      </c>
      <c r="B496" s="6">
        <v>441017</v>
      </c>
      <c r="C496" s="6">
        <v>3</v>
      </c>
      <c r="D496" s="6">
        <v>301004</v>
      </c>
      <c r="E496" s="6">
        <v>1</v>
      </c>
      <c r="F496" s="6">
        <v>1</v>
      </c>
      <c r="G496" s="6"/>
      <c r="H496" s="6"/>
      <c r="I496" s="6"/>
      <c r="J496" s="32" t="s">
        <v>500</v>
      </c>
      <c r="K496" s="25" t="s">
        <v>3916</v>
      </c>
      <c r="L496" s="6"/>
      <c r="M496" s="6"/>
      <c r="N496" s="6"/>
      <c r="O496" s="6"/>
    </row>
    <row r="497" ht="15.75" spans="1:15">
      <c r="A497" s="7">
        <v>492</v>
      </c>
      <c r="B497" s="6">
        <v>441018</v>
      </c>
      <c r="C497" s="6">
        <v>3</v>
      </c>
      <c r="D497" s="6">
        <v>301005</v>
      </c>
      <c r="E497" s="6">
        <v>1</v>
      </c>
      <c r="F497" s="6">
        <v>1</v>
      </c>
      <c r="G497" s="6"/>
      <c r="H497" s="6"/>
      <c r="I497" s="6"/>
      <c r="J497" s="32" t="s">
        <v>516</v>
      </c>
      <c r="K497" s="25" t="s">
        <v>3916</v>
      </c>
      <c r="L497" s="6"/>
      <c r="M497" s="6"/>
      <c r="N497" s="6"/>
      <c r="O497" s="6"/>
    </row>
    <row r="498" ht="15.75" spans="1:15">
      <c r="A498" s="7">
        <v>493</v>
      </c>
      <c r="B498" s="6">
        <v>441019</v>
      </c>
      <c r="C498" s="6">
        <v>3</v>
      </c>
      <c r="D498" s="6">
        <v>302005</v>
      </c>
      <c r="E498" s="6">
        <v>1</v>
      </c>
      <c r="F498" s="6">
        <v>1</v>
      </c>
      <c r="G498" s="6"/>
      <c r="H498" s="6"/>
      <c r="I498" s="6"/>
      <c r="J498" s="32" t="s">
        <v>433</v>
      </c>
      <c r="K498" s="25" t="s">
        <v>3916</v>
      </c>
      <c r="L498" s="6"/>
      <c r="M498" s="6"/>
      <c r="N498" s="6"/>
      <c r="O498" s="6"/>
    </row>
    <row r="499" ht="15.75" spans="1:15">
      <c r="A499" s="7">
        <v>494</v>
      </c>
      <c r="B499" s="6">
        <v>441020</v>
      </c>
      <c r="C499" s="6">
        <v>3</v>
      </c>
      <c r="D499" s="6">
        <v>303003</v>
      </c>
      <c r="E499" s="6">
        <v>1</v>
      </c>
      <c r="F499" s="6">
        <v>1</v>
      </c>
      <c r="G499" s="6"/>
      <c r="H499" s="6"/>
      <c r="I499" s="6"/>
      <c r="J499" s="33" t="s">
        <v>524</v>
      </c>
      <c r="K499" s="25" t="s">
        <v>3916</v>
      </c>
      <c r="L499" s="6"/>
      <c r="M499" s="6"/>
      <c r="N499" s="6"/>
      <c r="O499" s="6"/>
    </row>
    <row r="500" ht="15.75" spans="1:15">
      <c r="A500" s="7">
        <v>495</v>
      </c>
      <c r="B500" s="6">
        <v>441021</v>
      </c>
      <c r="C500" s="6">
        <v>3</v>
      </c>
      <c r="D500" s="6">
        <v>303008</v>
      </c>
      <c r="E500" s="6">
        <v>1</v>
      </c>
      <c r="F500" s="6">
        <v>1</v>
      </c>
      <c r="G500" s="6"/>
      <c r="H500" s="6"/>
      <c r="I500" s="6"/>
      <c r="J500" s="33" t="s">
        <v>298</v>
      </c>
      <c r="K500" s="25" t="s">
        <v>3916</v>
      </c>
      <c r="L500" s="6"/>
      <c r="M500" s="6"/>
      <c r="N500" s="6"/>
      <c r="O500" s="6"/>
    </row>
    <row r="501" ht="15.75" spans="1:15">
      <c r="A501" s="7">
        <v>496</v>
      </c>
      <c r="B501" s="6">
        <v>441022</v>
      </c>
      <c r="C501" s="6">
        <v>3</v>
      </c>
      <c r="D501" s="6">
        <v>301007</v>
      </c>
      <c r="E501" s="6">
        <v>1</v>
      </c>
      <c r="F501" s="6">
        <v>1</v>
      </c>
      <c r="G501" s="6"/>
      <c r="H501" s="6"/>
      <c r="I501" s="6"/>
      <c r="J501" s="33" t="s">
        <v>413</v>
      </c>
      <c r="K501" s="25" t="s">
        <v>3916</v>
      </c>
      <c r="L501" s="6"/>
      <c r="M501" s="6"/>
      <c r="N501" s="6"/>
      <c r="O501" s="6"/>
    </row>
    <row r="502" ht="15.75" spans="1:15">
      <c r="A502" s="7">
        <v>497</v>
      </c>
      <c r="B502" s="6">
        <v>441023</v>
      </c>
      <c r="C502" s="6">
        <v>3</v>
      </c>
      <c r="D502" s="6">
        <v>301008</v>
      </c>
      <c r="E502" s="6">
        <v>1</v>
      </c>
      <c r="F502" s="6">
        <v>1</v>
      </c>
      <c r="G502" s="6"/>
      <c r="H502" s="6"/>
      <c r="I502" s="6"/>
      <c r="J502" s="33" t="s">
        <v>447</v>
      </c>
      <c r="K502" s="25" t="s">
        <v>3916</v>
      </c>
      <c r="L502" s="6"/>
      <c r="M502" s="6"/>
      <c r="N502" s="6"/>
      <c r="O502" s="6"/>
    </row>
    <row r="503" ht="15.75" spans="1:15">
      <c r="A503" s="7">
        <v>498</v>
      </c>
      <c r="B503" s="6">
        <v>441024</v>
      </c>
      <c r="C503" s="6">
        <v>3</v>
      </c>
      <c r="D503" s="6">
        <v>302008</v>
      </c>
      <c r="E503" s="6">
        <v>1</v>
      </c>
      <c r="F503" s="6">
        <v>1</v>
      </c>
      <c r="G503" s="6"/>
      <c r="H503" s="6"/>
      <c r="I503" s="6"/>
      <c r="J503" s="33" t="s">
        <v>353</v>
      </c>
      <c r="K503" s="25" t="s">
        <v>3916</v>
      </c>
      <c r="L503" s="6"/>
      <c r="M503" s="6"/>
      <c r="N503" s="6"/>
      <c r="O503" s="6"/>
    </row>
    <row r="504" ht="15.75" spans="1:15">
      <c r="A504" s="7">
        <v>499</v>
      </c>
      <c r="B504" s="6">
        <v>441025</v>
      </c>
      <c r="C504" s="6">
        <v>3</v>
      </c>
      <c r="D504" s="6">
        <v>302010</v>
      </c>
      <c r="E504" s="6">
        <v>1</v>
      </c>
      <c r="F504" s="6">
        <v>1</v>
      </c>
      <c r="G504" s="6"/>
      <c r="H504" s="6"/>
      <c r="I504" s="6"/>
      <c r="J504" s="33" t="s">
        <v>347</v>
      </c>
      <c r="K504" s="25" t="s">
        <v>3916</v>
      </c>
      <c r="L504" s="6"/>
      <c r="M504" s="6"/>
      <c r="N504" s="6"/>
      <c r="O504" s="6"/>
    </row>
    <row r="505" ht="15.75" spans="1:15">
      <c r="A505" s="7">
        <v>500</v>
      </c>
      <c r="B505" s="6">
        <v>441026</v>
      </c>
      <c r="C505" s="6">
        <v>3</v>
      </c>
      <c r="D505" s="6">
        <v>303010</v>
      </c>
      <c r="E505" s="6">
        <v>1</v>
      </c>
      <c r="F505" s="6">
        <v>1</v>
      </c>
      <c r="G505" s="6"/>
      <c r="H505" s="6"/>
      <c r="I505" s="6"/>
      <c r="J505" s="33" t="s">
        <v>506</v>
      </c>
      <c r="K505" s="25" t="s">
        <v>3916</v>
      </c>
      <c r="L505" s="6"/>
      <c r="M505" s="6"/>
      <c r="N505" s="6"/>
      <c r="O505" s="6"/>
    </row>
    <row r="506" ht="15.75" spans="1:15">
      <c r="A506" s="7">
        <v>501</v>
      </c>
      <c r="B506" s="6">
        <v>441027</v>
      </c>
      <c r="C506" s="6">
        <v>3</v>
      </c>
      <c r="D506" s="6">
        <v>303014</v>
      </c>
      <c r="E506" s="6">
        <v>1</v>
      </c>
      <c r="F506" s="6">
        <v>1</v>
      </c>
      <c r="G506" s="6"/>
      <c r="H506" s="6"/>
      <c r="I506" s="6"/>
      <c r="J506" s="33" t="s">
        <v>361</v>
      </c>
      <c r="K506" s="25" t="s">
        <v>3916</v>
      </c>
      <c r="L506" s="6"/>
      <c r="M506" s="6"/>
      <c r="N506" s="6"/>
      <c r="O506" s="6"/>
    </row>
    <row r="507" ht="15.75" spans="1:15">
      <c r="A507" s="7">
        <v>502</v>
      </c>
      <c r="B507" s="6">
        <v>441028</v>
      </c>
      <c r="C507" s="6">
        <v>3</v>
      </c>
      <c r="D507" s="6">
        <v>301010</v>
      </c>
      <c r="E507" s="6">
        <v>1</v>
      </c>
      <c r="F507" s="6">
        <v>1</v>
      </c>
      <c r="G507" s="6"/>
      <c r="H507" s="6"/>
      <c r="I507" s="6"/>
      <c r="J507" s="34" t="s">
        <v>365</v>
      </c>
      <c r="K507" s="26" t="s">
        <v>3917</v>
      </c>
      <c r="L507" s="6"/>
      <c r="M507" s="6"/>
      <c r="N507" s="6"/>
      <c r="O507" s="6"/>
    </row>
    <row r="508" ht="15.75" spans="1:15">
      <c r="A508" s="7">
        <v>503</v>
      </c>
      <c r="B508" s="6">
        <v>441029</v>
      </c>
      <c r="C508" s="6">
        <v>3</v>
      </c>
      <c r="D508" s="6">
        <v>302009</v>
      </c>
      <c r="E508" s="6">
        <v>1</v>
      </c>
      <c r="F508" s="6">
        <v>1</v>
      </c>
      <c r="G508" s="6"/>
      <c r="H508" s="6"/>
      <c r="I508" s="6"/>
      <c r="J508" s="34" t="s">
        <v>295</v>
      </c>
      <c r="K508" s="26" t="s">
        <v>3917</v>
      </c>
      <c r="L508" s="6"/>
      <c r="M508" s="6"/>
      <c r="N508" s="6"/>
      <c r="O508" s="6"/>
    </row>
    <row r="509" ht="15.75" spans="1:15">
      <c r="A509" s="7">
        <v>504</v>
      </c>
      <c r="B509" s="6">
        <v>441030</v>
      </c>
      <c r="C509" s="6">
        <v>3</v>
      </c>
      <c r="D509" s="6">
        <v>303009</v>
      </c>
      <c r="E509" s="6">
        <v>1</v>
      </c>
      <c r="F509" s="6">
        <v>1</v>
      </c>
      <c r="G509" s="6"/>
      <c r="H509" s="6"/>
      <c r="I509" s="6"/>
      <c r="J509" s="34" t="s">
        <v>502</v>
      </c>
      <c r="K509" s="26" t="s">
        <v>3917</v>
      </c>
      <c r="L509" s="6"/>
      <c r="M509" s="6"/>
      <c r="N509" s="6"/>
      <c r="O509" s="6"/>
    </row>
    <row r="510" ht="15.75" spans="1:15">
      <c r="A510" s="7">
        <v>505</v>
      </c>
      <c r="B510" s="6">
        <v>441031</v>
      </c>
      <c r="C510" s="6">
        <v>3</v>
      </c>
      <c r="D510" s="6">
        <v>301019</v>
      </c>
      <c r="E510" s="6">
        <v>1</v>
      </c>
      <c r="F510" s="6">
        <v>1</v>
      </c>
      <c r="G510" s="6"/>
      <c r="H510" s="6"/>
      <c r="I510" s="6"/>
      <c r="J510" s="35" t="s">
        <v>522</v>
      </c>
      <c r="K510" s="27" t="s">
        <v>3918</v>
      </c>
      <c r="L510" s="6"/>
      <c r="M510" s="6"/>
      <c r="N510" s="6"/>
      <c r="O510" s="6"/>
    </row>
    <row r="511" ht="15.75" spans="1:15">
      <c r="A511" s="7">
        <v>506</v>
      </c>
      <c r="B511" s="6">
        <v>441032</v>
      </c>
      <c r="C511" s="6">
        <v>3</v>
      </c>
      <c r="D511" s="6">
        <v>302013</v>
      </c>
      <c r="E511" s="6">
        <v>1</v>
      </c>
      <c r="F511" s="6">
        <v>1</v>
      </c>
      <c r="G511" s="6"/>
      <c r="H511" s="6"/>
      <c r="I511" s="6"/>
      <c r="J511" s="35" t="s">
        <v>768</v>
      </c>
      <c r="K511" s="27" t="s">
        <v>3918</v>
      </c>
      <c r="L511" s="6"/>
      <c r="M511" s="6"/>
      <c r="N511" s="6"/>
      <c r="O511" s="6"/>
    </row>
    <row r="512" ht="15.75" spans="1:15">
      <c r="A512" s="7">
        <v>507</v>
      </c>
      <c r="B512" s="6">
        <v>441033</v>
      </c>
      <c r="C512" s="6">
        <v>3</v>
      </c>
      <c r="D512" s="6">
        <v>303016</v>
      </c>
      <c r="E512" s="6">
        <v>1</v>
      </c>
      <c r="F512" s="6">
        <v>1</v>
      </c>
      <c r="G512" s="6"/>
      <c r="H512" s="6"/>
      <c r="I512" s="6"/>
      <c r="J512" s="35" t="s">
        <v>369</v>
      </c>
      <c r="K512" s="27" t="s">
        <v>3918</v>
      </c>
      <c r="L512" s="6"/>
      <c r="M512" s="6"/>
      <c r="N512" s="6"/>
      <c r="O512" s="6"/>
    </row>
    <row r="513" ht="15.75" spans="1:15">
      <c r="A513" s="7">
        <v>508</v>
      </c>
      <c r="B513" s="6">
        <v>441034</v>
      </c>
      <c r="C513" s="6">
        <v>3</v>
      </c>
      <c r="D513" s="6">
        <v>1300001</v>
      </c>
      <c r="E513" s="6">
        <v>1</v>
      </c>
      <c r="F513" s="6">
        <v>1</v>
      </c>
      <c r="G513" s="6"/>
      <c r="H513" s="6"/>
      <c r="I513" s="6"/>
      <c r="J513" s="36" t="s">
        <v>1538</v>
      </c>
      <c r="K513" s="25" t="s">
        <v>3919</v>
      </c>
      <c r="L513" s="6"/>
      <c r="M513" s="6"/>
      <c r="N513" s="6"/>
      <c r="O513" s="6"/>
    </row>
    <row r="514" ht="15.75" spans="1:15">
      <c r="A514" s="7">
        <v>509</v>
      </c>
      <c r="B514" s="6">
        <v>441035</v>
      </c>
      <c r="C514" s="6">
        <v>3</v>
      </c>
      <c r="D514" s="6">
        <v>1300002</v>
      </c>
      <c r="E514" s="6">
        <v>1</v>
      </c>
      <c r="F514" s="6">
        <v>1</v>
      </c>
      <c r="G514" s="6"/>
      <c r="H514" s="6"/>
      <c r="I514" s="6"/>
      <c r="J514" s="36" t="s">
        <v>1558</v>
      </c>
      <c r="K514" s="25" t="s">
        <v>3919</v>
      </c>
      <c r="L514" s="6"/>
      <c r="M514" s="6"/>
      <c r="N514" s="6"/>
      <c r="O514" s="6"/>
    </row>
    <row r="515" ht="15.75" spans="1:15">
      <c r="A515" s="7">
        <v>510</v>
      </c>
      <c r="B515" s="6">
        <v>441036</v>
      </c>
      <c r="C515" s="6">
        <v>3</v>
      </c>
      <c r="D515" s="6">
        <v>1300009</v>
      </c>
      <c r="E515" s="6">
        <v>1</v>
      </c>
      <c r="F515" s="6">
        <v>1</v>
      </c>
      <c r="G515" s="6"/>
      <c r="H515" s="6"/>
      <c r="I515" s="6"/>
      <c r="J515" s="36" t="s">
        <v>1553</v>
      </c>
      <c r="K515" s="25" t="s">
        <v>3919</v>
      </c>
      <c r="L515" s="6"/>
      <c r="M515" s="6"/>
      <c r="N515" s="6"/>
      <c r="O515" s="6"/>
    </row>
    <row r="516" ht="15.75" spans="1:15">
      <c r="A516" s="7">
        <v>511</v>
      </c>
      <c r="B516" s="6">
        <v>441037</v>
      </c>
      <c r="C516" s="6">
        <v>3</v>
      </c>
      <c r="D516" s="6">
        <v>1300010</v>
      </c>
      <c r="E516" s="6">
        <v>1</v>
      </c>
      <c r="F516" s="6">
        <v>1</v>
      </c>
      <c r="G516" s="6"/>
      <c r="H516" s="6"/>
      <c r="I516" s="6"/>
      <c r="J516" s="36" t="s">
        <v>1533</v>
      </c>
      <c r="K516" s="25" t="s">
        <v>3919</v>
      </c>
      <c r="L516" s="6"/>
      <c r="M516" s="6"/>
      <c r="N516" s="6"/>
      <c r="O516" s="6"/>
    </row>
    <row r="517" ht="15.75" spans="1:15">
      <c r="A517" s="7">
        <v>512</v>
      </c>
      <c r="B517" s="6">
        <v>441038</v>
      </c>
      <c r="C517" s="6">
        <v>3</v>
      </c>
      <c r="D517" s="6">
        <v>1300017</v>
      </c>
      <c r="E517" s="6">
        <v>1</v>
      </c>
      <c r="F517" s="6">
        <v>1</v>
      </c>
      <c r="G517" s="6"/>
      <c r="H517" s="6"/>
      <c r="I517" s="6"/>
      <c r="J517" s="36" t="s">
        <v>1543</v>
      </c>
      <c r="K517" s="25" t="s">
        <v>3919</v>
      </c>
      <c r="L517" s="6"/>
      <c r="M517" s="6"/>
      <c r="N517" s="6"/>
      <c r="O517" s="6"/>
    </row>
    <row r="518" ht="15.75" spans="1:15">
      <c r="A518" s="7">
        <v>513</v>
      </c>
      <c r="B518" s="6">
        <v>441039</v>
      </c>
      <c r="C518" s="6">
        <v>3</v>
      </c>
      <c r="D518" s="6">
        <v>1300018</v>
      </c>
      <c r="E518" s="6">
        <v>1</v>
      </c>
      <c r="F518" s="6">
        <v>1</v>
      </c>
      <c r="G518" s="6"/>
      <c r="H518" s="6"/>
      <c r="I518" s="6"/>
      <c r="J518" s="36" t="s">
        <v>1548</v>
      </c>
      <c r="K518" s="25" t="s">
        <v>3919</v>
      </c>
      <c r="L518" s="6"/>
      <c r="M518" s="6"/>
      <c r="N518" s="6"/>
      <c r="O518" s="6"/>
    </row>
    <row r="519" ht="15.75" spans="1:15">
      <c r="A519" s="7">
        <v>514</v>
      </c>
      <c r="B519" s="6">
        <v>441040</v>
      </c>
      <c r="C519" s="6">
        <v>3</v>
      </c>
      <c r="D519" s="6">
        <v>1300006</v>
      </c>
      <c r="E519" s="6">
        <v>1</v>
      </c>
      <c r="F519" s="6">
        <v>1</v>
      </c>
      <c r="G519" s="6"/>
      <c r="H519" s="6"/>
      <c r="I519" s="6"/>
      <c r="J519" s="37" t="s">
        <v>2846</v>
      </c>
      <c r="K519" s="26" t="s">
        <v>3920</v>
      </c>
      <c r="L519" s="6"/>
      <c r="M519" s="6"/>
      <c r="N519" s="6"/>
      <c r="O519" s="6"/>
    </row>
    <row r="520" ht="15.75" spans="1:15">
      <c r="A520" s="7">
        <v>515</v>
      </c>
      <c r="B520" s="6">
        <v>441041</v>
      </c>
      <c r="C520" s="6">
        <v>3</v>
      </c>
      <c r="D520" s="6">
        <v>1300014</v>
      </c>
      <c r="E520" s="6">
        <v>1</v>
      </c>
      <c r="F520" s="6">
        <v>1</v>
      </c>
      <c r="G520" s="6"/>
      <c r="H520" s="6"/>
      <c r="I520" s="6"/>
      <c r="J520" s="37" t="s">
        <v>2863</v>
      </c>
      <c r="K520" s="26" t="s">
        <v>3920</v>
      </c>
      <c r="L520" s="6"/>
      <c r="M520" s="6"/>
      <c r="N520" s="6"/>
      <c r="O520" s="6"/>
    </row>
    <row r="521" ht="15.75" spans="1:15">
      <c r="A521" s="7">
        <v>516</v>
      </c>
      <c r="B521" s="6">
        <v>441042</v>
      </c>
      <c r="C521" s="6">
        <v>3</v>
      </c>
      <c r="D521" s="6">
        <v>1300023</v>
      </c>
      <c r="E521" s="6">
        <v>1</v>
      </c>
      <c r="F521" s="6">
        <v>1</v>
      </c>
      <c r="G521" s="6"/>
      <c r="H521" s="6"/>
      <c r="I521" s="6"/>
      <c r="J521" s="37" t="s">
        <v>2878</v>
      </c>
      <c r="K521" s="26" t="s">
        <v>3920</v>
      </c>
      <c r="L521" s="6"/>
      <c r="M521" s="6"/>
      <c r="N521" s="6"/>
      <c r="O521" s="6"/>
    </row>
    <row r="522" ht="15.75" spans="1:15">
      <c r="A522" s="7">
        <v>517</v>
      </c>
      <c r="B522" s="6">
        <v>441043</v>
      </c>
      <c r="C522" s="6">
        <v>3</v>
      </c>
      <c r="D522" s="6">
        <v>1300008</v>
      </c>
      <c r="E522" s="6">
        <v>1</v>
      </c>
      <c r="F522" s="6">
        <v>1</v>
      </c>
      <c r="G522" s="6"/>
      <c r="H522" s="6"/>
      <c r="I522" s="6"/>
      <c r="J522" s="38" t="s">
        <v>2850</v>
      </c>
      <c r="K522" s="27" t="s">
        <v>3921</v>
      </c>
      <c r="L522" s="6"/>
      <c r="M522" s="6"/>
      <c r="N522" s="6"/>
      <c r="O522" s="6"/>
    </row>
    <row r="523" ht="15.75" spans="1:15">
      <c r="A523" s="7">
        <v>518</v>
      </c>
      <c r="B523" s="6">
        <v>441044</v>
      </c>
      <c r="C523" s="6">
        <v>3</v>
      </c>
      <c r="D523" s="6">
        <v>1300016</v>
      </c>
      <c r="E523" s="6">
        <v>1</v>
      </c>
      <c r="F523" s="6">
        <v>1</v>
      </c>
      <c r="G523" s="6"/>
      <c r="H523" s="6"/>
      <c r="I523" s="6"/>
      <c r="J523" s="38" t="s">
        <v>2867</v>
      </c>
      <c r="K523" s="27" t="s">
        <v>3921</v>
      </c>
      <c r="L523" s="6"/>
      <c r="M523" s="6"/>
      <c r="N523" s="6"/>
      <c r="O523" s="6"/>
    </row>
    <row r="524" ht="15.75" spans="1:15">
      <c r="A524" s="7">
        <v>519</v>
      </c>
      <c r="B524" s="6">
        <v>441045</v>
      </c>
      <c r="C524" s="6">
        <v>3</v>
      </c>
      <c r="D524" s="6">
        <v>1300022</v>
      </c>
      <c r="E524" s="6">
        <v>1</v>
      </c>
      <c r="F524" s="6">
        <v>1</v>
      </c>
      <c r="G524" s="6"/>
      <c r="H524" s="6"/>
      <c r="I524" s="6"/>
      <c r="J524" s="38" t="s">
        <v>3951</v>
      </c>
      <c r="K524" s="27" t="s">
        <v>3921</v>
      </c>
      <c r="L524" s="6"/>
      <c r="M524" s="6"/>
      <c r="N524" s="6"/>
      <c r="O524" s="6"/>
    </row>
    <row r="525" ht="15" spans="1:15">
      <c r="A525" s="7">
        <v>520</v>
      </c>
      <c r="B525" s="6">
        <v>441046</v>
      </c>
      <c r="C525" s="6">
        <v>3</v>
      </c>
      <c r="D525" s="6">
        <v>1600001</v>
      </c>
      <c r="E525" s="6">
        <v>1</v>
      </c>
      <c r="F525" s="6">
        <v>1</v>
      </c>
      <c r="G525" s="6"/>
      <c r="H525" s="6"/>
      <c r="I525" s="6"/>
      <c r="J525" s="1" t="s">
        <v>3952</v>
      </c>
      <c r="K525" s="6" t="s">
        <v>3922</v>
      </c>
      <c r="L525" s="6"/>
      <c r="M525" s="6"/>
      <c r="N525" s="6"/>
      <c r="O525" s="6"/>
    </row>
    <row r="526" ht="15" spans="1:15">
      <c r="A526" s="7">
        <v>521</v>
      </c>
      <c r="B526" s="6">
        <v>441047</v>
      </c>
      <c r="C526" s="6">
        <v>3</v>
      </c>
      <c r="D526" s="6">
        <v>1500005</v>
      </c>
      <c r="E526" s="6">
        <v>1</v>
      </c>
      <c r="F526" s="6">
        <v>1</v>
      </c>
      <c r="G526" s="6"/>
      <c r="H526" s="6"/>
      <c r="I526" s="6"/>
      <c r="J526" s="1" t="s">
        <v>3953</v>
      </c>
      <c r="K526" s="6" t="s">
        <v>3923</v>
      </c>
      <c r="L526" s="6"/>
      <c r="M526" s="6"/>
      <c r="N526" s="6"/>
      <c r="O526" s="6"/>
    </row>
    <row r="527" ht="15.75" spans="1:15">
      <c r="A527" s="7">
        <v>522</v>
      </c>
      <c r="B527" s="6">
        <v>441048</v>
      </c>
      <c r="C527" s="6">
        <v>3</v>
      </c>
      <c r="D527" s="6">
        <v>301001</v>
      </c>
      <c r="E527" s="6">
        <v>1</v>
      </c>
      <c r="F527" s="6">
        <v>1</v>
      </c>
      <c r="G527" s="6"/>
      <c r="H527" s="6"/>
      <c r="I527" s="6"/>
      <c r="J527" s="29" t="s">
        <v>508</v>
      </c>
      <c r="K527" s="24" t="s">
        <v>3924</v>
      </c>
      <c r="L527" s="6"/>
      <c r="M527" s="6"/>
      <c r="N527" s="6"/>
      <c r="O527" s="6"/>
    </row>
    <row r="528" ht="15.75" spans="1:15">
      <c r="A528" s="7">
        <v>523</v>
      </c>
      <c r="B528" s="6">
        <v>441049</v>
      </c>
      <c r="C528" s="6">
        <v>3</v>
      </c>
      <c r="D528" s="6">
        <v>301002</v>
      </c>
      <c r="E528" s="6">
        <v>1</v>
      </c>
      <c r="F528" s="6">
        <v>1</v>
      </c>
      <c r="G528" s="6"/>
      <c r="H528" s="6"/>
      <c r="I528" s="6"/>
      <c r="J528" s="29" t="s">
        <v>471</v>
      </c>
      <c r="K528" s="24" t="s">
        <v>3924</v>
      </c>
      <c r="L528" s="6"/>
      <c r="M528" s="6"/>
      <c r="N528" s="6"/>
      <c r="O528" s="6"/>
    </row>
    <row r="529" ht="15.75" spans="1:15">
      <c r="A529" s="7">
        <v>524</v>
      </c>
      <c r="B529" s="6">
        <v>441050</v>
      </c>
      <c r="C529" s="6">
        <v>3</v>
      </c>
      <c r="D529" s="6">
        <v>301003</v>
      </c>
      <c r="E529" s="6">
        <v>1</v>
      </c>
      <c r="F529" s="6">
        <v>1</v>
      </c>
      <c r="G529" s="6"/>
      <c r="H529" s="6"/>
      <c r="I529" s="6"/>
      <c r="J529" s="29" t="s">
        <v>589</v>
      </c>
      <c r="K529" s="24" t="s">
        <v>3924</v>
      </c>
      <c r="L529" s="6"/>
      <c r="M529" s="6"/>
      <c r="N529" s="6"/>
      <c r="O529" s="6"/>
    </row>
    <row r="530" ht="15.75" spans="1:15">
      <c r="A530" s="7">
        <v>525</v>
      </c>
      <c r="B530" s="6">
        <v>441051</v>
      </c>
      <c r="C530" s="6">
        <v>3</v>
      </c>
      <c r="D530" s="6">
        <v>302001</v>
      </c>
      <c r="E530" s="6">
        <v>1</v>
      </c>
      <c r="F530" s="6">
        <v>1</v>
      </c>
      <c r="G530" s="6"/>
      <c r="H530" s="6"/>
      <c r="I530" s="6"/>
      <c r="J530" s="29" t="s">
        <v>403</v>
      </c>
      <c r="K530" s="24" t="s">
        <v>3924</v>
      </c>
      <c r="L530" s="6"/>
      <c r="M530" s="6"/>
      <c r="N530" s="6"/>
      <c r="O530" s="6"/>
    </row>
    <row r="531" ht="15.75" spans="1:15">
      <c r="A531" s="7">
        <v>526</v>
      </c>
      <c r="B531" s="6">
        <v>441052</v>
      </c>
      <c r="C531" s="6">
        <v>3</v>
      </c>
      <c r="D531" s="6">
        <v>302002</v>
      </c>
      <c r="E531" s="6">
        <v>1</v>
      </c>
      <c r="F531" s="6">
        <v>1</v>
      </c>
      <c r="G531" s="6"/>
      <c r="H531" s="6"/>
      <c r="I531" s="6"/>
      <c r="J531" s="29" t="s">
        <v>401</v>
      </c>
      <c r="K531" s="24" t="s">
        <v>3924</v>
      </c>
      <c r="L531" s="6"/>
      <c r="M531" s="6"/>
      <c r="N531" s="6"/>
      <c r="O531" s="6"/>
    </row>
    <row r="532" ht="15.75" spans="1:15">
      <c r="A532" s="7">
        <v>527</v>
      </c>
      <c r="B532" s="6">
        <v>441053</v>
      </c>
      <c r="C532" s="6">
        <v>3</v>
      </c>
      <c r="D532" s="6">
        <v>302003</v>
      </c>
      <c r="E532" s="6">
        <v>1</v>
      </c>
      <c r="F532" s="6">
        <v>1</v>
      </c>
      <c r="G532" s="6"/>
      <c r="H532" s="6"/>
      <c r="I532" s="6"/>
      <c r="J532" s="29" t="s">
        <v>379</v>
      </c>
      <c r="K532" s="24" t="s">
        <v>3924</v>
      </c>
      <c r="L532" s="6"/>
      <c r="M532" s="6"/>
      <c r="N532" s="6"/>
      <c r="O532" s="6"/>
    </row>
    <row r="533" ht="15.75" spans="1:15">
      <c r="A533" s="7">
        <v>528</v>
      </c>
      <c r="B533" s="6">
        <v>441054</v>
      </c>
      <c r="C533" s="6">
        <v>3</v>
      </c>
      <c r="D533" s="6">
        <v>302004</v>
      </c>
      <c r="E533" s="6">
        <v>1</v>
      </c>
      <c r="F533" s="6">
        <v>1</v>
      </c>
      <c r="G533" s="6"/>
      <c r="H533" s="6"/>
      <c r="I533" s="6"/>
      <c r="J533" s="29" t="s">
        <v>411</v>
      </c>
      <c r="K533" s="24" t="s">
        <v>3924</v>
      </c>
      <c r="L533" s="6"/>
      <c r="M533" s="6"/>
      <c r="N533" s="6"/>
      <c r="O533" s="6"/>
    </row>
    <row r="534" ht="15.75" spans="1:15">
      <c r="A534" s="7">
        <v>529</v>
      </c>
      <c r="B534" s="6">
        <v>441055</v>
      </c>
      <c r="C534" s="6">
        <v>3</v>
      </c>
      <c r="D534" s="6">
        <v>303001</v>
      </c>
      <c r="E534" s="6">
        <v>1</v>
      </c>
      <c r="F534" s="6">
        <v>1</v>
      </c>
      <c r="G534" s="6"/>
      <c r="H534" s="6"/>
      <c r="I534" s="6"/>
      <c r="J534" s="30" t="s">
        <v>490</v>
      </c>
      <c r="K534" s="24" t="s">
        <v>3924</v>
      </c>
      <c r="L534" s="6"/>
      <c r="M534" s="6"/>
      <c r="N534" s="6"/>
      <c r="O534" s="6"/>
    </row>
    <row r="535" ht="15.75" spans="1:15">
      <c r="A535" s="7">
        <v>530</v>
      </c>
      <c r="B535" s="6">
        <v>441056</v>
      </c>
      <c r="C535" s="6">
        <v>3</v>
      </c>
      <c r="D535" s="6">
        <v>303002</v>
      </c>
      <c r="E535" s="6">
        <v>1</v>
      </c>
      <c r="F535" s="6">
        <v>1</v>
      </c>
      <c r="G535" s="6"/>
      <c r="H535" s="6"/>
      <c r="I535" s="6"/>
      <c r="J535" s="30" t="s">
        <v>494</v>
      </c>
      <c r="K535" s="24" t="s">
        <v>3924</v>
      </c>
      <c r="L535" s="6"/>
      <c r="M535" s="6"/>
      <c r="N535" s="6"/>
      <c r="O535" s="6"/>
    </row>
    <row r="536" ht="15.75" spans="1:15">
      <c r="A536" s="7">
        <v>531</v>
      </c>
      <c r="B536" s="6">
        <v>441057</v>
      </c>
      <c r="C536" s="6">
        <v>3</v>
      </c>
      <c r="D536" s="6">
        <v>303004</v>
      </c>
      <c r="E536" s="6">
        <v>1</v>
      </c>
      <c r="F536" s="6">
        <v>1</v>
      </c>
      <c r="G536" s="6"/>
      <c r="H536" s="6"/>
      <c r="I536" s="6"/>
      <c r="J536" s="30" t="s">
        <v>851</v>
      </c>
      <c r="K536" s="24" t="s">
        <v>3924</v>
      </c>
      <c r="L536" s="6"/>
      <c r="M536" s="6"/>
      <c r="N536" s="6"/>
      <c r="O536" s="6"/>
    </row>
    <row r="537" ht="15.75" spans="1:15">
      <c r="A537" s="7">
        <v>532</v>
      </c>
      <c r="B537" s="6">
        <v>441058</v>
      </c>
      <c r="C537" s="6">
        <v>3</v>
      </c>
      <c r="D537" s="6">
        <v>301006</v>
      </c>
      <c r="E537" s="6">
        <v>1</v>
      </c>
      <c r="F537" s="6">
        <v>1</v>
      </c>
      <c r="G537" s="6"/>
      <c r="H537" s="6"/>
      <c r="I537" s="6"/>
      <c r="J537" s="30" t="s">
        <v>496</v>
      </c>
      <c r="K537" s="24" t="s">
        <v>3924</v>
      </c>
      <c r="L537" s="6"/>
      <c r="M537" s="6"/>
      <c r="N537" s="6"/>
      <c r="O537" s="6"/>
    </row>
    <row r="538" ht="15.75" spans="1:15">
      <c r="A538" s="7">
        <v>533</v>
      </c>
      <c r="B538" s="6">
        <v>441059</v>
      </c>
      <c r="C538" s="6">
        <v>3</v>
      </c>
      <c r="D538" s="6">
        <v>301009</v>
      </c>
      <c r="E538" s="6">
        <v>1</v>
      </c>
      <c r="F538" s="6">
        <v>1</v>
      </c>
      <c r="G538" s="6"/>
      <c r="H538" s="6"/>
      <c r="I538" s="6"/>
      <c r="J538" s="30" t="s">
        <v>619</v>
      </c>
      <c r="K538" s="24" t="s">
        <v>3924</v>
      </c>
      <c r="L538" s="6"/>
      <c r="M538" s="6"/>
      <c r="N538" s="6"/>
      <c r="O538" s="6"/>
    </row>
    <row r="539" ht="15.75" spans="1:15">
      <c r="A539" s="7">
        <v>534</v>
      </c>
      <c r="B539" s="6">
        <v>441060</v>
      </c>
      <c r="C539" s="6">
        <v>3</v>
      </c>
      <c r="D539" s="6">
        <v>302006</v>
      </c>
      <c r="E539" s="6">
        <v>1</v>
      </c>
      <c r="F539" s="6">
        <v>1</v>
      </c>
      <c r="G539" s="6"/>
      <c r="H539" s="6"/>
      <c r="I539" s="6"/>
      <c r="J539" s="31" t="s">
        <v>740</v>
      </c>
      <c r="K539" s="24" t="s">
        <v>3924</v>
      </c>
      <c r="L539" s="6"/>
      <c r="M539" s="6"/>
      <c r="N539" s="6"/>
      <c r="O539" s="6"/>
    </row>
    <row r="540" ht="15.75" spans="1:15">
      <c r="A540" s="7">
        <v>535</v>
      </c>
      <c r="B540" s="6">
        <v>441061</v>
      </c>
      <c r="C540" s="6">
        <v>3</v>
      </c>
      <c r="D540" s="6">
        <v>302007</v>
      </c>
      <c r="E540" s="6">
        <v>1</v>
      </c>
      <c r="F540" s="6">
        <v>1</v>
      </c>
      <c r="G540" s="6"/>
      <c r="H540" s="6"/>
      <c r="I540" s="6"/>
      <c r="J540" s="31" t="s">
        <v>341</v>
      </c>
      <c r="K540" s="24" t="s">
        <v>3924</v>
      </c>
      <c r="L540" s="6"/>
      <c r="M540" s="6"/>
      <c r="N540" s="6"/>
      <c r="O540" s="6"/>
    </row>
    <row r="541" ht="15.75" spans="1:15">
      <c r="A541" s="7">
        <v>536</v>
      </c>
      <c r="B541" s="6">
        <v>441062</v>
      </c>
      <c r="C541" s="6">
        <v>3</v>
      </c>
      <c r="D541" s="6">
        <v>303011</v>
      </c>
      <c r="E541" s="6">
        <v>1</v>
      </c>
      <c r="F541" s="6">
        <v>1</v>
      </c>
      <c r="G541" s="6"/>
      <c r="H541" s="6"/>
      <c r="I541" s="6"/>
      <c r="J541" s="31" t="s">
        <v>880</v>
      </c>
      <c r="K541" s="24" t="s">
        <v>3924</v>
      </c>
      <c r="L541" s="6"/>
      <c r="M541" s="6"/>
      <c r="N541" s="6"/>
      <c r="O541" s="6"/>
    </row>
    <row r="542" ht="15.75" spans="1:15">
      <c r="A542" s="7">
        <v>537</v>
      </c>
      <c r="B542" s="6">
        <v>441063</v>
      </c>
      <c r="C542" s="6">
        <v>3</v>
      </c>
      <c r="D542" s="6">
        <v>303013</v>
      </c>
      <c r="E542" s="6">
        <v>1</v>
      </c>
      <c r="F542" s="6">
        <v>1</v>
      </c>
      <c r="G542" s="6"/>
      <c r="H542" s="6"/>
      <c r="I542" s="6"/>
      <c r="J542" s="31" t="s">
        <v>359</v>
      </c>
      <c r="K542" s="24" t="s">
        <v>3924</v>
      </c>
      <c r="L542" s="6"/>
      <c r="M542" s="6"/>
      <c r="N542" s="6"/>
      <c r="O542" s="6"/>
    </row>
    <row r="543" ht="15.75" spans="1:15">
      <c r="A543" s="7">
        <v>538</v>
      </c>
      <c r="B543" s="6">
        <v>441064</v>
      </c>
      <c r="C543" s="6">
        <v>3</v>
      </c>
      <c r="D543" s="6">
        <v>301011</v>
      </c>
      <c r="E543" s="6">
        <v>1</v>
      </c>
      <c r="F543" s="6">
        <v>1</v>
      </c>
      <c r="G543" s="6"/>
      <c r="H543" s="6"/>
      <c r="I543" s="6"/>
      <c r="J543" s="31" t="s">
        <v>363</v>
      </c>
      <c r="K543" s="24" t="s">
        <v>3924</v>
      </c>
      <c r="L543" s="6"/>
      <c r="M543" s="6"/>
      <c r="N543" s="6"/>
      <c r="O543" s="6"/>
    </row>
    <row r="544" ht="15.75" spans="1:15">
      <c r="A544" s="7">
        <v>539</v>
      </c>
      <c r="B544" s="6">
        <v>441065</v>
      </c>
      <c r="C544" s="6">
        <v>3</v>
      </c>
      <c r="D544" s="6">
        <v>301014</v>
      </c>
      <c r="E544" s="6">
        <v>1</v>
      </c>
      <c r="F544" s="6">
        <v>1</v>
      </c>
      <c r="G544" s="6"/>
      <c r="H544" s="6"/>
      <c r="I544" s="6"/>
      <c r="J544" s="31" t="s">
        <v>642</v>
      </c>
      <c r="K544" s="24" t="s">
        <v>3924</v>
      </c>
      <c r="L544" s="6"/>
      <c r="M544" s="6"/>
      <c r="N544" s="6"/>
      <c r="O544" s="6"/>
    </row>
    <row r="545" ht="15.75" spans="1:15">
      <c r="A545" s="7">
        <v>540</v>
      </c>
      <c r="B545" s="6">
        <v>441066</v>
      </c>
      <c r="C545" s="6">
        <v>3</v>
      </c>
      <c r="D545" s="6">
        <v>302011</v>
      </c>
      <c r="E545" s="6">
        <v>1</v>
      </c>
      <c r="F545" s="6">
        <v>1</v>
      </c>
      <c r="G545" s="6"/>
      <c r="H545" s="6"/>
      <c r="I545" s="6"/>
      <c r="J545" s="31" t="s">
        <v>760</v>
      </c>
      <c r="K545" s="24" t="s">
        <v>3924</v>
      </c>
      <c r="L545" s="6"/>
      <c r="M545" s="6"/>
      <c r="N545" s="6"/>
      <c r="O545" s="6"/>
    </row>
    <row r="546" ht="15.75" spans="1:15">
      <c r="A546" s="7">
        <v>541</v>
      </c>
      <c r="B546" s="6">
        <v>441067</v>
      </c>
      <c r="C546" s="6">
        <v>3</v>
      </c>
      <c r="D546" s="6">
        <v>302015</v>
      </c>
      <c r="E546" s="6">
        <v>1</v>
      </c>
      <c r="F546" s="6">
        <v>1</v>
      </c>
      <c r="G546" s="6"/>
      <c r="H546" s="6"/>
      <c r="I546" s="6"/>
      <c r="J546" s="31" t="s">
        <v>393</v>
      </c>
      <c r="K546" s="24" t="s">
        <v>3924</v>
      </c>
      <c r="L546" s="6"/>
      <c r="M546" s="6"/>
      <c r="N546" s="6"/>
      <c r="O546" s="6"/>
    </row>
    <row r="547" ht="15.75" spans="1:15">
      <c r="A547" s="7">
        <v>542</v>
      </c>
      <c r="B547" s="6">
        <v>441068</v>
      </c>
      <c r="C547" s="6">
        <v>3</v>
      </c>
      <c r="D547" s="6">
        <v>303015</v>
      </c>
      <c r="E547" s="6">
        <v>1</v>
      </c>
      <c r="F547" s="6">
        <v>1</v>
      </c>
      <c r="G547" s="6"/>
      <c r="H547" s="6"/>
      <c r="I547" s="6"/>
      <c r="J547" s="31" t="s">
        <v>367</v>
      </c>
      <c r="K547" s="24" t="s">
        <v>3924</v>
      </c>
      <c r="L547" s="6"/>
      <c r="M547" s="6"/>
      <c r="N547" s="6"/>
      <c r="O547" s="6"/>
    </row>
    <row r="548" ht="15.75" spans="1:15">
      <c r="A548" s="7">
        <v>543</v>
      </c>
      <c r="B548" s="6">
        <v>441069</v>
      </c>
      <c r="C548" s="6">
        <v>3</v>
      </c>
      <c r="D548" s="6">
        <v>303022</v>
      </c>
      <c r="E548" s="6">
        <v>1</v>
      </c>
      <c r="F548" s="6">
        <v>1</v>
      </c>
      <c r="G548" s="6"/>
      <c r="H548" s="6"/>
      <c r="I548" s="6"/>
      <c r="J548" s="30" t="s">
        <v>476</v>
      </c>
      <c r="K548" s="24" t="s">
        <v>3924</v>
      </c>
      <c r="L548" s="6"/>
      <c r="M548" s="6"/>
      <c r="N548" s="6"/>
      <c r="O548" s="6"/>
    </row>
    <row r="549" ht="15.75" spans="1:15">
      <c r="A549" s="7">
        <v>544</v>
      </c>
      <c r="B549" s="6">
        <v>441070</v>
      </c>
      <c r="C549" s="6">
        <v>3</v>
      </c>
      <c r="D549" s="6">
        <v>301004</v>
      </c>
      <c r="E549" s="6">
        <v>1</v>
      </c>
      <c r="F549" s="6">
        <v>1</v>
      </c>
      <c r="G549" s="6"/>
      <c r="H549" s="6"/>
      <c r="I549" s="6"/>
      <c r="J549" s="32" t="s">
        <v>500</v>
      </c>
      <c r="K549" s="25" t="s">
        <v>3925</v>
      </c>
      <c r="L549" s="6"/>
      <c r="M549" s="6"/>
      <c r="N549" s="6"/>
      <c r="O549" s="6"/>
    </row>
    <row r="550" ht="15.75" spans="1:15">
      <c r="A550" s="7">
        <v>545</v>
      </c>
      <c r="B550" s="6">
        <v>441071</v>
      </c>
      <c r="C550" s="6">
        <v>3</v>
      </c>
      <c r="D550" s="6">
        <v>301005</v>
      </c>
      <c r="E550" s="6">
        <v>1</v>
      </c>
      <c r="F550" s="6">
        <v>1</v>
      </c>
      <c r="G550" s="6"/>
      <c r="H550" s="6"/>
      <c r="I550" s="6"/>
      <c r="J550" s="32" t="s">
        <v>516</v>
      </c>
      <c r="K550" s="25" t="s">
        <v>3925</v>
      </c>
      <c r="L550" s="6"/>
      <c r="M550" s="6"/>
      <c r="N550" s="6"/>
      <c r="O550" s="6"/>
    </row>
    <row r="551" ht="15.75" spans="1:15">
      <c r="A551" s="7">
        <v>546</v>
      </c>
      <c r="B551" s="6">
        <v>441072</v>
      </c>
      <c r="C551" s="6">
        <v>3</v>
      </c>
      <c r="D551" s="6">
        <v>302005</v>
      </c>
      <c r="E551" s="6">
        <v>1</v>
      </c>
      <c r="F551" s="6">
        <v>1</v>
      </c>
      <c r="G551" s="6"/>
      <c r="H551" s="6"/>
      <c r="I551" s="6"/>
      <c r="J551" s="32" t="s">
        <v>433</v>
      </c>
      <c r="K551" s="25" t="s">
        <v>3925</v>
      </c>
      <c r="L551" s="6"/>
      <c r="M551" s="6"/>
      <c r="N551" s="6"/>
      <c r="O551" s="6"/>
    </row>
    <row r="552" ht="15.75" spans="1:15">
      <c r="A552" s="7">
        <v>547</v>
      </c>
      <c r="B552" s="6">
        <v>441073</v>
      </c>
      <c r="C552" s="6">
        <v>3</v>
      </c>
      <c r="D552" s="6">
        <v>303003</v>
      </c>
      <c r="E552" s="6">
        <v>1</v>
      </c>
      <c r="F552" s="6">
        <v>1</v>
      </c>
      <c r="G552" s="6"/>
      <c r="H552" s="6"/>
      <c r="I552" s="6"/>
      <c r="J552" s="33" t="s">
        <v>524</v>
      </c>
      <c r="K552" s="25" t="s">
        <v>3925</v>
      </c>
      <c r="L552" s="6"/>
      <c r="M552" s="6"/>
      <c r="N552" s="6"/>
      <c r="O552" s="6"/>
    </row>
    <row r="553" ht="15.75" spans="1:15">
      <c r="A553" s="7">
        <v>548</v>
      </c>
      <c r="B553" s="6">
        <v>441074</v>
      </c>
      <c r="C553" s="6">
        <v>3</v>
      </c>
      <c r="D553" s="6">
        <v>303008</v>
      </c>
      <c r="E553" s="6">
        <v>1</v>
      </c>
      <c r="F553" s="6">
        <v>1</v>
      </c>
      <c r="G553" s="6"/>
      <c r="H553" s="6"/>
      <c r="I553" s="6"/>
      <c r="J553" s="33" t="s">
        <v>298</v>
      </c>
      <c r="K553" s="25" t="s">
        <v>3925</v>
      </c>
      <c r="L553" s="6"/>
      <c r="M553" s="6"/>
      <c r="N553" s="6"/>
      <c r="O553" s="6"/>
    </row>
    <row r="554" ht="15.75" spans="1:15">
      <c r="A554" s="7">
        <v>549</v>
      </c>
      <c r="B554" s="6">
        <v>441075</v>
      </c>
      <c r="C554" s="6">
        <v>3</v>
      </c>
      <c r="D554" s="6">
        <v>301007</v>
      </c>
      <c r="E554" s="6">
        <v>1</v>
      </c>
      <c r="F554" s="6">
        <v>1</v>
      </c>
      <c r="G554" s="6"/>
      <c r="H554" s="6"/>
      <c r="I554" s="6"/>
      <c r="J554" s="33" t="s">
        <v>413</v>
      </c>
      <c r="K554" s="25" t="s">
        <v>3925</v>
      </c>
      <c r="L554" s="6"/>
      <c r="M554" s="6"/>
      <c r="N554" s="6"/>
      <c r="O554" s="6"/>
    </row>
    <row r="555" ht="15.75" spans="1:15">
      <c r="A555" s="7">
        <v>550</v>
      </c>
      <c r="B555" s="6">
        <v>441076</v>
      </c>
      <c r="C555" s="6">
        <v>3</v>
      </c>
      <c r="D555" s="6">
        <v>301008</v>
      </c>
      <c r="E555" s="6">
        <v>1</v>
      </c>
      <c r="F555" s="6">
        <v>1</v>
      </c>
      <c r="G555" s="6"/>
      <c r="H555" s="6"/>
      <c r="I555" s="6"/>
      <c r="J555" s="33" t="s">
        <v>447</v>
      </c>
      <c r="K555" s="25" t="s">
        <v>3925</v>
      </c>
      <c r="L555" s="6"/>
      <c r="M555" s="6"/>
      <c r="N555" s="6"/>
      <c r="O555" s="6"/>
    </row>
    <row r="556" ht="15.75" spans="1:15">
      <c r="A556" s="7">
        <v>551</v>
      </c>
      <c r="B556" s="6">
        <v>441077</v>
      </c>
      <c r="C556" s="6">
        <v>3</v>
      </c>
      <c r="D556" s="6">
        <v>302008</v>
      </c>
      <c r="E556" s="6">
        <v>1</v>
      </c>
      <c r="F556" s="6">
        <v>1</v>
      </c>
      <c r="G556" s="6"/>
      <c r="H556" s="6"/>
      <c r="I556" s="6"/>
      <c r="J556" s="33" t="s">
        <v>353</v>
      </c>
      <c r="K556" s="25" t="s">
        <v>3925</v>
      </c>
      <c r="L556" s="6"/>
      <c r="M556" s="6"/>
      <c r="N556" s="6"/>
      <c r="O556" s="6"/>
    </row>
    <row r="557" ht="15.75" spans="1:15">
      <c r="A557" s="7">
        <v>552</v>
      </c>
      <c r="B557" s="6">
        <v>441078</v>
      </c>
      <c r="C557" s="6">
        <v>3</v>
      </c>
      <c r="D557" s="6">
        <v>302010</v>
      </c>
      <c r="E557" s="6">
        <v>1</v>
      </c>
      <c r="F557" s="6">
        <v>1</v>
      </c>
      <c r="G557" s="6"/>
      <c r="H557" s="6"/>
      <c r="I557" s="6"/>
      <c r="J557" s="33" t="s">
        <v>347</v>
      </c>
      <c r="K557" s="25" t="s">
        <v>3925</v>
      </c>
      <c r="L557" s="6"/>
      <c r="M557" s="6"/>
      <c r="N557" s="6"/>
      <c r="O557" s="6"/>
    </row>
    <row r="558" ht="15.75" spans="1:15">
      <c r="A558" s="7">
        <v>553</v>
      </c>
      <c r="B558" s="6">
        <v>441079</v>
      </c>
      <c r="C558" s="6">
        <v>3</v>
      </c>
      <c r="D558" s="6">
        <v>303010</v>
      </c>
      <c r="E558" s="6">
        <v>1</v>
      </c>
      <c r="F558" s="6">
        <v>1</v>
      </c>
      <c r="G558" s="6"/>
      <c r="H558" s="6"/>
      <c r="I558" s="6"/>
      <c r="J558" s="33" t="s">
        <v>506</v>
      </c>
      <c r="K558" s="25" t="s">
        <v>3925</v>
      </c>
      <c r="L558" s="6"/>
      <c r="M558" s="6"/>
      <c r="N558" s="6"/>
      <c r="O558" s="6"/>
    </row>
    <row r="559" ht="15.75" spans="1:15">
      <c r="A559" s="7">
        <v>554</v>
      </c>
      <c r="B559" s="6">
        <v>441080</v>
      </c>
      <c r="C559" s="6">
        <v>3</v>
      </c>
      <c r="D559" s="6">
        <v>303014</v>
      </c>
      <c r="E559" s="6">
        <v>1</v>
      </c>
      <c r="F559" s="6">
        <v>1</v>
      </c>
      <c r="G559" s="6"/>
      <c r="H559" s="6"/>
      <c r="I559" s="6"/>
      <c r="J559" s="33" t="s">
        <v>361</v>
      </c>
      <c r="K559" s="25" t="s">
        <v>3925</v>
      </c>
      <c r="L559" s="6"/>
      <c r="M559" s="6"/>
      <c r="N559" s="6"/>
      <c r="O559" s="6"/>
    </row>
    <row r="560" ht="15.75" spans="1:15">
      <c r="A560" s="7">
        <v>555</v>
      </c>
      <c r="B560" s="6">
        <v>441081</v>
      </c>
      <c r="C560" s="6">
        <v>3</v>
      </c>
      <c r="D560" s="6">
        <v>301013</v>
      </c>
      <c r="E560" s="6">
        <v>1</v>
      </c>
      <c r="F560" s="6">
        <v>1</v>
      </c>
      <c r="G560" s="6"/>
      <c r="H560" s="6"/>
      <c r="I560" s="6"/>
      <c r="J560" s="33" t="s">
        <v>377</v>
      </c>
      <c r="K560" s="25" t="s">
        <v>3925</v>
      </c>
      <c r="L560" s="6"/>
      <c r="M560" s="6"/>
      <c r="N560" s="6"/>
      <c r="O560" s="6"/>
    </row>
    <row r="561" ht="15.75" spans="1:15">
      <c r="A561" s="7">
        <v>556</v>
      </c>
      <c r="B561" s="6">
        <v>441082</v>
      </c>
      <c r="C561" s="6">
        <v>3</v>
      </c>
      <c r="D561" s="6">
        <v>302012</v>
      </c>
      <c r="E561" s="6">
        <v>1</v>
      </c>
      <c r="F561" s="6">
        <v>1</v>
      </c>
      <c r="G561" s="6"/>
      <c r="H561" s="6"/>
      <c r="I561" s="6"/>
      <c r="J561" s="33" t="s">
        <v>486</v>
      </c>
      <c r="K561" s="25" t="s">
        <v>3925</v>
      </c>
      <c r="L561" s="6"/>
      <c r="M561" s="6"/>
      <c r="N561" s="6"/>
      <c r="O561" s="6"/>
    </row>
    <row r="562" ht="15.75" spans="1:15">
      <c r="A562" s="7">
        <v>557</v>
      </c>
      <c r="B562" s="6">
        <v>441083</v>
      </c>
      <c r="C562" s="6">
        <v>3</v>
      </c>
      <c r="D562" s="6">
        <v>303005</v>
      </c>
      <c r="E562" s="6">
        <v>1</v>
      </c>
      <c r="F562" s="6">
        <v>1</v>
      </c>
      <c r="G562" s="6"/>
      <c r="H562" s="6"/>
      <c r="I562" s="6"/>
      <c r="J562" s="33" t="s">
        <v>419</v>
      </c>
      <c r="K562" s="25" t="s">
        <v>3925</v>
      </c>
      <c r="L562" s="6"/>
      <c r="M562" s="6"/>
      <c r="N562" s="6"/>
      <c r="O562" s="6"/>
    </row>
    <row r="563" ht="15.75" spans="1:15">
      <c r="A563" s="7">
        <v>558</v>
      </c>
      <c r="B563" s="6">
        <v>441084</v>
      </c>
      <c r="C563" s="6">
        <v>3</v>
      </c>
      <c r="D563" s="6">
        <v>301010</v>
      </c>
      <c r="E563" s="6">
        <v>1</v>
      </c>
      <c r="F563" s="6">
        <v>1</v>
      </c>
      <c r="G563" s="6"/>
      <c r="H563" s="6"/>
      <c r="I563" s="6"/>
      <c r="J563" s="34" t="s">
        <v>365</v>
      </c>
      <c r="K563" s="26" t="s">
        <v>3926</v>
      </c>
      <c r="L563" s="6"/>
      <c r="M563" s="6"/>
      <c r="N563" s="6"/>
      <c r="O563" s="6"/>
    </row>
    <row r="564" ht="15.75" spans="1:15">
      <c r="A564" s="7">
        <v>559</v>
      </c>
      <c r="B564" s="6">
        <v>441085</v>
      </c>
      <c r="C564" s="6">
        <v>3</v>
      </c>
      <c r="D564" s="6">
        <v>302009</v>
      </c>
      <c r="E564" s="6">
        <v>1</v>
      </c>
      <c r="F564" s="6">
        <v>1</v>
      </c>
      <c r="G564" s="6"/>
      <c r="H564" s="6"/>
      <c r="I564" s="6"/>
      <c r="J564" s="34" t="s">
        <v>295</v>
      </c>
      <c r="K564" s="26" t="s">
        <v>3926</v>
      </c>
      <c r="L564" s="6"/>
      <c r="M564" s="6"/>
      <c r="N564" s="6"/>
      <c r="O564" s="6"/>
    </row>
    <row r="565" ht="15.75" spans="1:15">
      <c r="A565" s="7">
        <v>560</v>
      </c>
      <c r="B565" s="6">
        <v>441086</v>
      </c>
      <c r="C565" s="6">
        <v>3</v>
      </c>
      <c r="D565" s="6">
        <v>303009</v>
      </c>
      <c r="E565" s="6">
        <v>1</v>
      </c>
      <c r="F565" s="6">
        <v>1</v>
      </c>
      <c r="G565" s="6"/>
      <c r="H565" s="6"/>
      <c r="I565" s="6"/>
      <c r="J565" s="34" t="s">
        <v>502</v>
      </c>
      <c r="K565" s="26" t="s">
        <v>3926</v>
      </c>
      <c r="L565" s="6"/>
      <c r="M565" s="6"/>
      <c r="N565" s="6"/>
      <c r="O565" s="6"/>
    </row>
    <row r="566" ht="15.75" spans="1:15">
      <c r="A566" s="7">
        <v>561</v>
      </c>
      <c r="B566" s="6">
        <v>441087</v>
      </c>
      <c r="C566" s="6">
        <v>3</v>
      </c>
      <c r="D566" s="6">
        <v>301012</v>
      </c>
      <c r="E566" s="6">
        <v>1</v>
      </c>
      <c r="F566" s="6">
        <v>1</v>
      </c>
      <c r="G566" s="6"/>
      <c r="H566" s="6"/>
      <c r="I566" s="6"/>
      <c r="J566" s="34" t="s">
        <v>633</v>
      </c>
      <c r="K566" s="26" t="s">
        <v>3926</v>
      </c>
      <c r="L566" s="6"/>
      <c r="M566" s="6"/>
      <c r="N566" s="6"/>
      <c r="O566" s="6"/>
    </row>
    <row r="567" ht="15.75" spans="1:15">
      <c r="A567" s="7">
        <v>562</v>
      </c>
      <c r="B567" s="6">
        <v>441088</v>
      </c>
      <c r="C567" s="6">
        <v>3</v>
      </c>
      <c r="D567" s="6">
        <v>302014</v>
      </c>
      <c r="E567" s="6">
        <v>1</v>
      </c>
      <c r="F567" s="6">
        <v>1</v>
      </c>
      <c r="G567" s="6"/>
      <c r="H567" s="6"/>
      <c r="I567" s="6"/>
      <c r="J567" s="39" t="s">
        <v>357</v>
      </c>
      <c r="K567" s="26" t="s">
        <v>3926</v>
      </c>
      <c r="L567" s="6"/>
      <c r="M567" s="6"/>
      <c r="N567" s="6"/>
      <c r="O567" s="6"/>
    </row>
    <row r="568" ht="15.75" spans="1:15">
      <c r="A568" s="7">
        <v>563</v>
      </c>
      <c r="B568" s="6">
        <v>441089</v>
      </c>
      <c r="C568" s="6">
        <v>3</v>
      </c>
      <c r="D568" s="6">
        <v>303024</v>
      </c>
      <c r="E568" s="6">
        <v>1</v>
      </c>
      <c r="F568" s="6">
        <v>1</v>
      </c>
      <c r="G568" s="6"/>
      <c r="H568" s="6"/>
      <c r="I568" s="6"/>
      <c r="J568" s="39" t="s">
        <v>453</v>
      </c>
      <c r="K568" s="26" t="s">
        <v>3926</v>
      </c>
      <c r="L568" s="6"/>
      <c r="M568" s="6"/>
      <c r="N568" s="6"/>
      <c r="O568" s="6"/>
    </row>
    <row r="569" ht="15.75" spans="1:15">
      <c r="A569" s="7">
        <v>564</v>
      </c>
      <c r="B569" s="6">
        <v>441090</v>
      </c>
      <c r="C569" s="6">
        <v>3</v>
      </c>
      <c r="D569" s="6">
        <v>301019</v>
      </c>
      <c r="E569" s="6">
        <v>1</v>
      </c>
      <c r="F569" s="6">
        <v>1</v>
      </c>
      <c r="G569" s="6"/>
      <c r="H569" s="6"/>
      <c r="I569" s="6"/>
      <c r="J569" s="35" t="s">
        <v>522</v>
      </c>
      <c r="K569" s="27" t="s">
        <v>3927</v>
      </c>
      <c r="L569" s="6"/>
      <c r="M569" s="6"/>
      <c r="N569" s="6"/>
      <c r="O569" s="6"/>
    </row>
    <row r="570" ht="15.75" spans="1:15">
      <c r="A570" s="7">
        <v>565</v>
      </c>
      <c r="B570" s="6">
        <v>441091</v>
      </c>
      <c r="C570" s="6">
        <v>3</v>
      </c>
      <c r="D570" s="6">
        <v>302013</v>
      </c>
      <c r="E570" s="6">
        <v>1</v>
      </c>
      <c r="F570" s="6">
        <v>1</v>
      </c>
      <c r="G570" s="6"/>
      <c r="H570" s="6"/>
      <c r="I570" s="6"/>
      <c r="J570" s="35" t="s">
        <v>768</v>
      </c>
      <c r="K570" s="27" t="s">
        <v>3927</v>
      </c>
      <c r="L570" s="6"/>
      <c r="M570" s="6"/>
      <c r="N570" s="6"/>
      <c r="O570" s="6"/>
    </row>
    <row r="571" ht="15.75" spans="1:15">
      <c r="A571" s="7">
        <v>566</v>
      </c>
      <c r="B571" s="6">
        <v>441092</v>
      </c>
      <c r="C571" s="6">
        <v>3</v>
      </c>
      <c r="D571" s="6">
        <v>303016</v>
      </c>
      <c r="E571" s="6">
        <v>1</v>
      </c>
      <c r="F571" s="6">
        <v>1</v>
      </c>
      <c r="G571" s="6"/>
      <c r="H571" s="6"/>
      <c r="I571" s="6"/>
      <c r="J571" s="35" t="s">
        <v>369</v>
      </c>
      <c r="K571" s="27" t="s">
        <v>3927</v>
      </c>
      <c r="L571" s="6"/>
      <c r="M571" s="6"/>
      <c r="N571" s="6"/>
      <c r="O571" s="6"/>
    </row>
    <row r="572" ht="15.75" spans="1:15">
      <c r="A572" s="7">
        <v>567</v>
      </c>
      <c r="B572" s="6">
        <v>441093</v>
      </c>
      <c r="C572" s="6">
        <v>3</v>
      </c>
      <c r="D572" s="6">
        <v>1300001</v>
      </c>
      <c r="E572" s="6">
        <v>1</v>
      </c>
      <c r="F572" s="6">
        <v>1</v>
      </c>
      <c r="G572" s="6"/>
      <c r="H572" s="6"/>
      <c r="I572" s="6"/>
      <c r="J572" s="36" t="s">
        <v>1538</v>
      </c>
      <c r="K572" s="25" t="s">
        <v>3928</v>
      </c>
      <c r="L572" s="6"/>
      <c r="M572" s="6"/>
      <c r="N572" s="6"/>
      <c r="O572" s="6"/>
    </row>
    <row r="573" ht="15.75" spans="1:15">
      <c r="A573" s="7">
        <v>568</v>
      </c>
      <c r="B573" s="6">
        <v>441094</v>
      </c>
      <c r="C573" s="6">
        <v>3</v>
      </c>
      <c r="D573" s="6">
        <v>1300002</v>
      </c>
      <c r="E573" s="6">
        <v>1</v>
      </c>
      <c r="F573" s="6">
        <v>1</v>
      </c>
      <c r="G573" s="6"/>
      <c r="H573" s="6"/>
      <c r="I573" s="6"/>
      <c r="J573" s="36" t="s">
        <v>1558</v>
      </c>
      <c r="K573" s="25" t="s">
        <v>3928</v>
      </c>
      <c r="L573" s="6"/>
      <c r="M573" s="6"/>
      <c r="N573" s="6"/>
      <c r="O573" s="6"/>
    </row>
    <row r="574" ht="15.75" spans="1:15">
      <c r="A574" s="7">
        <v>569</v>
      </c>
      <c r="B574" s="6">
        <v>441095</v>
      </c>
      <c r="C574" s="6">
        <v>3</v>
      </c>
      <c r="D574" s="6">
        <v>1300009</v>
      </c>
      <c r="E574" s="6">
        <v>1</v>
      </c>
      <c r="F574" s="6">
        <v>1</v>
      </c>
      <c r="G574" s="6"/>
      <c r="H574" s="6"/>
      <c r="I574" s="6"/>
      <c r="J574" s="36" t="s">
        <v>1553</v>
      </c>
      <c r="K574" s="25" t="s">
        <v>3928</v>
      </c>
      <c r="L574" s="6"/>
      <c r="M574" s="6"/>
      <c r="N574" s="6"/>
      <c r="O574" s="6"/>
    </row>
    <row r="575" ht="15.75" spans="1:15">
      <c r="A575" s="7">
        <v>570</v>
      </c>
      <c r="B575" s="6">
        <v>441096</v>
      </c>
      <c r="C575" s="6">
        <v>3</v>
      </c>
      <c r="D575" s="6">
        <v>1300010</v>
      </c>
      <c r="E575" s="6">
        <v>1</v>
      </c>
      <c r="F575" s="6">
        <v>1</v>
      </c>
      <c r="G575" s="6"/>
      <c r="H575" s="6"/>
      <c r="I575" s="6"/>
      <c r="J575" s="36" t="s">
        <v>1533</v>
      </c>
      <c r="K575" s="25" t="s">
        <v>3928</v>
      </c>
      <c r="L575" s="6"/>
      <c r="M575" s="6"/>
      <c r="N575" s="6"/>
      <c r="O575" s="6"/>
    </row>
    <row r="576" ht="15.75" spans="1:15">
      <c r="A576" s="7">
        <v>571</v>
      </c>
      <c r="B576" s="6">
        <v>441097</v>
      </c>
      <c r="C576" s="6">
        <v>3</v>
      </c>
      <c r="D576" s="6">
        <v>1300017</v>
      </c>
      <c r="E576" s="6">
        <v>1</v>
      </c>
      <c r="F576" s="6">
        <v>1</v>
      </c>
      <c r="G576" s="6"/>
      <c r="H576" s="6"/>
      <c r="I576" s="6"/>
      <c r="J576" s="36" t="s">
        <v>1543</v>
      </c>
      <c r="K576" s="25" t="s">
        <v>3928</v>
      </c>
      <c r="L576" s="6"/>
      <c r="M576" s="6"/>
      <c r="N576" s="6"/>
      <c r="O576" s="6"/>
    </row>
    <row r="577" ht="15.75" spans="1:15">
      <c r="A577" s="7">
        <v>572</v>
      </c>
      <c r="B577" s="6">
        <v>441098</v>
      </c>
      <c r="C577" s="6">
        <v>3</v>
      </c>
      <c r="D577" s="6">
        <v>1300018</v>
      </c>
      <c r="E577" s="6">
        <v>1</v>
      </c>
      <c r="F577" s="6">
        <v>1</v>
      </c>
      <c r="G577" s="6"/>
      <c r="H577" s="6"/>
      <c r="I577" s="6"/>
      <c r="J577" s="36" t="s">
        <v>1548</v>
      </c>
      <c r="K577" s="25" t="s">
        <v>3928</v>
      </c>
      <c r="L577" s="6"/>
      <c r="M577" s="6"/>
      <c r="N577" s="6"/>
      <c r="O577" s="6"/>
    </row>
    <row r="578" ht="15.75" spans="1:15">
      <c r="A578" s="7">
        <v>573</v>
      </c>
      <c r="B578" s="6">
        <v>441099</v>
      </c>
      <c r="C578" s="6">
        <v>3</v>
      </c>
      <c r="D578" s="6">
        <v>1300003</v>
      </c>
      <c r="E578" s="6">
        <v>1</v>
      </c>
      <c r="F578" s="6">
        <v>1</v>
      </c>
      <c r="G578" s="6"/>
      <c r="H578" s="6"/>
      <c r="I578" s="6"/>
      <c r="J578" s="32" t="s">
        <v>1572</v>
      </c>
      <c r="K578" s="25" t="s">
        <v>3928</v>
      </c>
      <c r="L578" s="6"/>
      <c r="M578" s="6"/>
      <c r="N578" s="6"/>
      <c r="O578" s="6"/>
    </row>
    <row r="579" ht="15.75" spans="1:15">
      <c r="A579" s="7">
        <v>574</v>
      </c>
      <c r="B579" s="6">
        <v>441100</v>
      </c>
      <c r="C579" s="6">
        <v>3</v>
      </c>
      <c r="D579" s="6">
        <v>1300011</v>
      </c>
      <c r="E579" s="6">
        <v>1</v>
      </c>
      <c r="F579" s="6">
        <v>1</v>
      </c>
      <c r="G579" s="6"/>
      <c r="H579" s="6"/>
      <c r="I579" s="6"/>
      <c r="J579" s="40" t="s">
        <v>2858</v>
      </c>
      <c r="K579" s="25" t="s">
        <v>3928</v>
      </c>
      <c r="L579" s="6"/>
      <c r="M579" s="6"/>
      <c r="N579" s="6"/>
      <c r="O579" s="6"/>
    </row>
    <row r="580" ht="15.75" spans="1:15">
      <c r="A580" s="7">
        <v>575</v>
      </c>
      <c r="B580" s="6">
        <v>441101</v>
      </c>
      <c r="C580" s="6">
        <v>3</v>
      </c>
      <c r="D580" s="6">
        <v>1300024</v>
      </c>
      <c r="E580" s="6">
        <v>1</v>
      </c>
      <c r="F580" s="6">
        <v>1</v>
      </c>
      <c r="G580" s="6"/>
      <c r="H580" s="6"/>
      <c r="I580" s="6"/>
      <c r="J580" s="40" t="s">
        <v>2880</v>
      </c>
      <c r="K580" s="25" t="s">
        <v>3928</v>
      </c>
      <c r="L580" s="6"/>
      <c r="M580" s="6"/>
      <c r="N580" s="6"/>
      <c r="O580" s="6"/>
    </row>
    <row r="581" ht="15.75" spans="1:15">
      <c r="A581" s="7">
        <v>576</v>
      </c>
      <c r="B581" s="6">
        <v>441102</v>
      </c>
      <c r="C581" s="6">
        <v>3</v>
      </c>
      <c r="D581" s="6">
        <v>1300006</v>
      </c>
      <c r="E581" s="6">
        <v>1</v>
      </c>
      <c r="F581" s="6">
        <v>1</v>
      </c>
      <c r="G581" s="6"/>
      <c r="H581" s="6"/>
      <c r="I581" s="6"/>
      <c r="J581" s="37" t="s">
        <v>2846</v>
      </c>
      <c r="K581" s="26" t="s">
        <v>3929</v>
      </c>
      <c r="L581" s="6"/>
      <c r="M581" s="6"/>
      <c r="N581" s="6"/>
      <c r="O581" s="6"/>
    </row>
    <row r="582" ht="15.75" spans="1:15">
      <c r="A582" s="7">
        <v>577</v>
      </c>
      <c r="B582" s="6">
        <v>441103</v>
      </c>
      <c r="C582" s="6">
        <v>3</v>
      </c>
      <c r="D582" s="6">
        <v>1300014</v>
      </c>
      <c r="E582" s="6">
        <v>1</v>
      </c>
      <c r="F582" s="6">
        <v>1</v>
      </c>
      <c r="G582" s="6"/>
      <c r="H582" s="6"/>
      <c r="I582" s="6"/>
      <c r="J582" s="37" t="s">
        <v>2863</v>
      </c>
      <c r="K582" s="26" t="s">
        <v>3929</v>
      </c>
      <c r="L582" s="6"/>
      <c r="M582" s="6"/>
      <c r="N582" s="6"/>
      <c r="O582" s="6"/>
    </row>
    <row r="583" ht="15.75" spans="1:15">
      <c r="A583" s="7">
        <v>578</v>
      </c>
      <c r="B583" s="6">
        <v>441104</v>
      </c>
      <c r="C583" s="6">
        <v>3</v>
      </c>
      <c r="D583" s="6">
        <v>1300023</v>
      </c>
      <c r="E583" s="6">
        <v>1</v>
      </c>
      <c r="F583" s="6">
        <v>1</v>
      </c>
      <c r="G583" s="6"/>
      <c r="H583" s="6"/>
      <c r="I583" s="6"/>
      <c r="J583" s="37" t="s">
        <v>2878</v>
      </c>
      <c r="K583" s="26" t="s">
        <v>3929</v>
      </c>
      <c r="L583" s="6"/>
      <c r="M583" s="6"/>
      <c r="N583" s="6"/>
      <c r="O583" s="6"/>
    </row>
    <row r="584" ht="15.75" spans="1:15">
      <c r="A584" s="7">
        <v>579</v>
      </c>
      <c r="B584" s="6">
        <v>441105</v>
      </c>
      <c r="C584" s="6">
        <v>3</v>
      </c>
      <c r="D584" s="6">
        <v>1300007</v>
      </c>
      <c r="E584" s="6">
        <v>1</v>
      </c>
      <c r="F584" s="6">
        <v>1</v>
      </c>
      <c r="G584" s="6"/>
      <c r="H584" s="6"/>
      <c r="I584" s="6"/>
      <c r="J584" s="37" t="s">
        <v>2848</v>
      </c>
      <c r="K584" s="26" t="s">
        <v>3929</v>
      </c>
      <c r="L584" s="6"/>
      <c r="M584" s="6"/>
      <c r="N584" s="6"/>
      <c r="O584" s="6"/>
    </row>
    <row r="585" ht="15.75" spans="1:15">
      <c r="A585" s="7">
        <v>580</v>
      </c>
      <c r="B585" s="6">
        <v>441106</v>
      </c>
      <c r="C585" s="6">
        <v>3</v>
      </c>
      <c r="D585" s="6">
        <v>1300015</v>
      </c>
      <c r="E585" s="6">
        <v>1</v>
      </c>
      <c r="F585" s="6">
        <v>1</v>
      </c>
      <c r="G585" s="6"/>
      <c r="H585" s="6"/>
      <c r="I585" s="6"/>
      <c r="J585" s="37" t="s">
        <v>2865</v>
      </c>
      <c r="K585" s="26" t="s">
        <v>3929</v>
      </c>
      <c r="L585" s="6"/>
      <c r="M585" s="6"/>
      <c r="N585" s="6"/>
      <c r="O585" s="6"/>
    </row>
    <row r="586" ht="15.75" spans="1:15">
      <c r="A586" s="7">
        <v>581</v>
      </c>
      <c r="B586" s="6">
        <v>441107</v>
      </c>
      <c r="C586" s="6">
        <v>3</v>
      </c>
      <c r="D586" s="6">
        <v>1300021</v>
      </c>
      <c r="E586" s="6">
        <v>1</v>
      </c>
      <c r="F586" s="6">
        <v>1</v>
      </c>
      <c r="G586" s="6"/>
      <c r="H586" s="6"/>
      <c r="I586" s="6"/>
      <c r="J586" s="37" t="s">
        <v>1962</v>
      </c>
      <c r="K586" s="26" t="s">
        <v>3929</v>
      </c>
      <c r="L586" s="6"/>
      <c r="M586" s="6"/>
      <c r="N586" s="6"/>
      <c r="O586" s="6"/>
    </row>
    <row r="587" ht="15.75" spans="1:15">
      <c r="A587" s="7">
        <v>582</v>
      </c>
      <c r="B587" s="6">
        <v>441108</v>
      </c>
      <c r="C587" s="6">
        <v>3</v>
      </c>
      <c r="D587" s="6">
        <v>1300008</v>
      </c>
      <c r="E587" s="6">
        <v>1</v>
      </c>
      <c r="F587" s="6">
        <v>1</v>
      </c>
      <c r="G587" s="6"/>
      <c r="H587" s="6"/>
      <c r="I587" s="6"/>
      <c r="J587" s="38" t="s">
        <v>2850</v>
      </c>
      <c r="K587" s="27" t="s">
        <v>3930</v>
      </c>
      <c r="L587" s="6"/>
      <c r="M587" s="6"/>
      <c r="N587" s="6"/>
      <c r="O587" s="6"/>
    </row>
    <row r="588" ht="15.75" spans="1:15">
      <c r="A588" s="7">
        <v>583</v>
      </c>
      <c r="B588" s="6">
        <v>441109</v>
      </c>
      <c r="C588" s="6">
        <v>3</v>
      </c>
      <c r="D588" s="6">
        <v>1300016</v>
      </c>
      <c r="E588" s="6">
        <v>1</v>
      </c>
      <c r="F588" s="6">
        <v>1</v>
      </c>
      <c r="G588" s="6"/>
      <c r="H588" s="6"/>
      <c r="I588" s="6"/>
      <c r="J588" s="38" t="s">
        <v>2867</v>
      </c>
      <c r="K588" s="27" t="s">
        <v>3930</v>
      </c>
      <c r="L588" s="6"/>
      <c r="M588" s="6"/>
      <c r="N588" s="6"/>
      <c r="O588" s="6"/>
    </row>
    <row r="589" ht="15.75" spans="1:15">
      <c r="A589" s="7">
        <v>584</v>
      </c>
      <c r="B589" s="6">
        <v>441110</v>
      </c>
      <c r="C589" s="6">
        <v>3</v>
      </c>
      <c r="D589" s="6">
        <v>1300022</v>
      </c>
      <c r="E589" s="6">
        <v>1</v>
      </c>
      <c r="F589" s="6">
        <v>1</v>
      </c>
      <c r="G589" s="6"/>
      <c r="H589" s="6"/>
      <c r="I589" s="6"/>
      <c r="J589" s="38" t="s">
        <v>3951</v>
      </c>
      <c r="K589" s="27" t="s">
        <v>3930</v>
      </c>
      <c r="L589" s="6"/>
      <c r="M589" s="6"/>
      <c r="N589" s="6"/>
      <c r="O589" s="6"/>
    </row>
    <row r="590" ht="15" spans="1:15">
      <c r="A590" s="7">
        <v>585</v>
      </c>
      <c r="B590" s="6">
        <v>441111</v>
      </c>
      <c r="C590" s="6">
        <v>3</v>
      </c>
      <c r="D590" s="6">
        <v>1600002</v>
      </c>
      <c r="E590" s="6">
        <v>1</v>
      </c>
      <c r="F590" s="6">
        <v>1</v>
      </c>
      <c r="G590" s="6"/>
      <c r="H590" s="6"/>
      <c r="I590" s="6"/>
      <c r="J590" s="1" t="s">
        <v>3954</v>
      </c>
      <c r="K590" s="6" t="s">
        <v>3931</v>
      </c>
      <c r="L590" s="6"/>
      <c r="M590" s="6"/>
      <c r="N590" s="6"/>
      <c r="O590" s="6"/>
    </row>
    <row r="591" ht="15" spans="1:15">
      <c r="A591" s="7">
        <v>586</v>
      </c>
      <c r="B591" s="6">
        <v>441112</v>
      </c>
      <c r="C591" s="6">
        <v>3</v>
      </c>
      <c r="D591" s="6">
        <v>1500002</v>
      </c>
      <c r="E591" s="6">
        <v>1</v>
      </c>
      <c r="F591" s="6">
        <v>1</v>
      </c>
      <c r="G591" s="6"/>
      <c r="H591" s="6"/>
      <c r="I591" s="6"/>
      <c r="J591" s="1" t="s">
        <v>3955</v>
      </c>
      <c r="K591" s="6" t="s">
        <v>3932</v>
      </c>
      <c r="L591" s="6"/>
      <c r="M591" s="6"/>
      <c r="N591" s="6"/>
      <c r="O591" s="6"/>
    </row>
    <row r="592" ht="15" spans="1:15">
      <c r="A592" s="7">
        <v>587</v>
      </c>
      <c r="B592" s="6">
        <v>441113</v>
      </c>
      <c r="C592" s="6">
        <v>3</v>
      </c>
      <c r="D592" s="6">
        <v>1500003</v>
      </c>
      <c r="E592" s="6">
        <v>1</v>
      </c>
      <c r="F592" s="6">
        <v>1</v>
      </c>
      <c r="G592" s="6"/>
      <c r="H592" s="6"/>
      <c r="I592" s="6"/>
      <c r="J592" s="1" t="s">
        <v>3956</v>
      </c>
      <c r="K592" s="6" t="s">
        <v>3932</v>
      </c>
      <c r="L592" s="6"/>
      <c r="M592" s="6"/>
      <c r="N592" s="6"/>
      <c r="O592" s="6"/>
    </row>
    <row r="593" ht="15.75" spans="1:15">
      <c r="A593" s="7">
        <v>588</v>
      </c>
      <c r="B593" s="6">
        <v>441114</v>
      </c>
      <c r="C593" s="6">
        <v>3</v>
      </c>
      <c r="D593" s="6">
        <v>301001</v>
      </c>
      <c r="E593" s="6">
        <v>1</v>
      </c>
      <c r="F593" s="6">
        <v>1</v>
      </c>
      <c r="G593" s="6"/>
      <c r="H593" s="6"/>
      <c r="I593" s="6"/>
      <c r="J593" s="29" t="s">
        <v>508</v>
      </c>
      <c r="K593" s="24" t="s">
        <v>3933</v>
      </c>
      <c r="L593" s="6"/>
      <c r="M593" s="6"/>
      <c r="N593" s="6"/>
      <c r="O593" s="6"/>
    </row>
    <row r="594" ht="15.75" spans="1:15">
      <c r="A594" s="7">
        <v>589</v>
      </c>
      <c r="B594" s="6">
        <v>441115</v>
      </c>
      <c r="C594" s="6">
        <v>3</v>
      </c>
      <c r="D594" s="6">
        <v>301002</v>
      </c>
      <c r="E594" s="6">
        <v>1</v>
      </c>
      <c r="F594" s="6">
        <v>1</v>
      </c>
      <c r="G594" s="6"/>
      <c r="H594" s="6"/>
      <c r="I594" s="6"/>
      <c r="J594" s="29" t="s">
        <v>471</v>
      </c>
      <c r="K594" s="24" t="s">
        <v>3933</v>
      </c>
      <c r="L594" s="6"/>
      <c r="M594" s="6"/>
      <c r="N594" s="6"/>
      <c r="O594" s="6"/>
    </row>
    <row r="595" ht="15.75" spans="1:15">
      <c r="A595" s="7">
        <v>590</v>
      </c>
      <c r="B595" s="6">
        <v>441116</v>
      </c>
      <c r="C595" s="6">
        <v>3</v>
      </c>
      <c r="D595" s="6">
        <v>301003</v>
      </c>
      <c r="E595" s="6">
        <v>1</v>
      </c>
      <c r="F595" s="6">
        <v>1</v>
      </c>
      <c r="G595" s="6"/>
      <c r="H595" s="6"/>
      <c r="I595" s="6"/>
      <c r="J595" s="29" t="s">
        <v>589</v>
      </c>
      <c r="K595" s="24" t="s">
        <v>3933</v>
      </c>
      <c r="L595" s="6"/>
      <c r="M595" s="6"/>
      <c r="N595" s="6"/>
      <c r="O595" s="6"/>
    </row>
    <row r="596" ht="15.75" spans="1:15">
      <c r="A596" s="7">
        <v>591</v>
      </c>
      <c r="B596" s="6">
        <v>441117</v>
      </c>
      <c r="C596" s="6">
        <v>3</v>
      </c>
      <c r="D596" s="6">
        <v>302001</v>
      </c>
      <c r="E596" s="6">
        <v>1</v>
      </c>
      <c r="F596" s="6">
        <v>1</v>
      </c>
      <c r="G596" s="6"/>
      <c r="H596" s="6"/>
      <c r="I596" s="6"/>
      <c r="J596" s="29" t="s">
        <v>403</v>
      </c>
      <c r="K596" s="24" t="s">
        <v>3933</v>
      </c>
      <c r="L596" s="6"/>
      <c r="M596" s="6"/>
      <c r="N596" s="6"/>
      <c r="O596" s="6"/>
    </row>
    <row r="597" ht="15.75" spans="1:15">
      <c r="A597" s="7">
        <v>592</v>
      </c>
      <c r="B597" s="6">
        <v>441118</v>
      </c>
      <c r="C597" s="6">
        <v>3</v>
      </c>
      <c r="D597" s="6">
        <v>302002</v>
      </c>
      <c r="E597" s="6">
        <v>1</v>
      </c>
      <c r="F597" s="6">
        <v>1</v>
      </c>
      <c r="G597" s="6"/>
      <c r="H597" s="6"/>
      <c r="I597" s="6"/>
      <c r="J597" s="29" t="s">
        <v>401</v>
      </c>
      <c r="K597" s="24" t="s">
        <v>3933</v>
      </c>
      <c r="L597" s="6"/>
      <c r="M597" s="6"/>
      <c r="N597" s="6"/>
      <c r="O597" s="6"/>
    </row>
    <row r="598" ht="15.75" spans="1:15">
      <c r="A598" s="7">
        <v>593</v>
      </c>
      <c r="B598" s="6">
        <v>441119</v>
      </c>
      <c r="C598" s="6">
        <v>3</v>
      </c>
      <c r="D598" s="6">
        <v>302003</v>
      </c>
      <c r="E598" s="6">
        <v>1</v>
      </c>
      <c r="F598" s="6">
        <v>1</v>
      </c>
      <c r="G598" s="6"/>
      <c r="H598" s="6"/>
      <c r="I598" s="6"/>
      <c r="J598" s="29" t="s">
        <v>379</v>
      </c>
      <c r="K598" s="24" t="s">
        <v>3933</v>
      </c>
      <c r="L598" s="6"/>
      <c r="M598" s="6"/>
      <c r="N598" s="6"/>
      <c r="O598" s="6"/>
    </row>
    <row r="599" ht="15.75" spans="1:15">
      <c r="A599" s="7">
        <v>594</v>
      </c>
      <c r="B599" s="6">
        <v>441120</v>
      </c>
      <c r="C599" s="6">
        <v>3</v>
      </c>
      <c r="D599" s="6">
        <v>302004</v>
      </c>
      <c r="E599" s="6">
        <v>1</v>
      </c>
      <c r="F599" s="6">
        <v>1</v>
      </c>
      <c r="G599" s="6"/>
      <c r="H599" s="6"/>
      <c r="I599" s="6"/>
      <c r="J599" s="29" t="s">
        <v>411</v>
      </c>
      <c r="K599" s="24" t="s">
        <v>3933</v>
      </c>
      <c r="L599" s="6"/>
      <c r="M599" s="6"/>
      <c r="N599" s="6"/>
      <c r="O599" s="6"/>
    </row>
    <row r="600" ht="15.75" spans="1:15">
      <c r="A600" s="7">
        <v>595</v>
      </c>
      <c r="B600" s="6">
        <v>441121</v>
      </c>
      <c r="C600" s="6">
        <v>3</v>
      </c>
      <c r="D600" s="6">
        <v>303001</v>
      </c>
      <c r="E600" s="6">
        <v>1</v>
      </c>
      <c r="F600" s="6">
        <v>1</v>
      </c>
      <c r="G600" s="6"/>
      <c r="H600" s="6"/>
      <c r="I600" s="6"/>
      <c r="J600" s="30" t="s">
        <v>490</v>
      </c>
      <c r="K600" s="24" t="s">
        <v>3933</v>
      </c>
      <c r="L600" s="6"/>
      <c r="M600" s="6"/>
      <c r="N600" s="6"/>
      <c r="O600" s="6"/>
    </row>
    <row r="601" ht="15.75" spans="1:15">
      <c r="A601" s="7">
        <v>596</v>
      </c>
      <c r="B601" s="6">
        <v>441122</v>
      </c>
      <c r="C601" s="6">
        <v>3</v>
      </c>
      <c r="D601" s="6">
        <v>303002</v>
      </c>
      <c r="E601" s="6">
        <v>1</v>
      </c>
      <c r="F601" s="6">
        <v>1</v>
      </c>
      <c r="G601" s="6"/>
      <c r="H601" s="6"/>
      <c r="I601" s="6"/>
      <c r="J601" s="30" t="s">
        <v>494</v>
      </c>
      <c r="K601" s="24" t="s">
        <v>3933</v>
      </c>
      <c r="L601" s="6"/>
      <c r="M601" s="6"/>
      <c r="N601" s="6"/>
      <c r="O601" s="6"/>
    </row>
    <row r="602" ht="15.75" spans="1:15">
      <c r="A602" s="7">
        <v>597</v>
      </c>
      <c r="B602" s="6">
        <v>441123</v>
      </c>
      <c r="C602" s="6">
        <v>3</v>
      </c>
      <c r="D602" s="6">
        <v>303004</v>
      </c>
      <c r="E602" s="6">
        <v>1</v>
      </c>
      <c r="F602" s="6">
        <v>1</v>
      </c>
      <c r="G602" s="6"/>
      <c r="H602" s="6"/>
      <c r="I602" s="6"/>
      <c r="J602" s="30" t="s">
        <v>851</v>
      </c>
      <c r="K602" s="24" t="s">
        <v>3933</v>
      </c>
      <c r="L602" s="6"/>
      <c r="M602" s="6"/>
      <c r="N602" s="6"/>
      <c r="O602" s="6"/>
    </row>
    <row r="603" ht="15.75" spans="1:15">
      <c r="A603" s="7">
        <v>598</v>
      </c>
      <c r="B603" s="6">
        <v>441124</v>
      </c>
      <c r="C603" s="6">
        <v>3</v>
      </c>
      <c r="D603" s="6">
        <v>301006</v>
      </c>
      <c r="E603" s="6">
        <v>1</v>
      </c>
      <c r="F603" s="6">
        <v>1</v>
      </c>
      <c r="G603" s="6"/>
      <c r="H603" s="6"/>
      <c r="I603" s="6"/>
      <c r="J603" s="30" t="s">
        <v>496</v>
      </c>
      <c r="K603" s="24" t="s">
        <v>3933</v>
      </c>
      <c r="L603" s="6"/>
      <c r="M603" s="6"/>
      <c r="N603" s="6"/>
      <c r="O603" s="6"/>
    </row>
    <row r="604" ht="15.75" spans="1:15">
      <c r="A604" s="7">
        <v>599</v>
      </c>
      <c r="B604" s="6">
        <v>441125</v>
      </c>
      <c r="C604" s="6">
        <v>3</v>
      </c>
      <c r="D604" s="6">
        <v>301009</v>
      </c>
      <c r="E604" s="6">
        <v>1</v>
      </c>
      <c r="F604" s="6">
        <v>1</v>
      </c>
      <c r="G604" s="6"/>
      <c r="H604" s="6"/>
      <c r="I604" s="6"/>
      <c r="J604" s="30" t="s">
        <v>619</v>
      </c>
      <c r="K604" s="24" t="s">
        <v>3933</v>
      </c>
      <c r="L604" s="6"/>
      <c r="M604" s="6"/>
      <c r="N604" s="6"/>
      <c r="O604" s="6"/>
    </row>
    <row r="605" ht="15.75" spans="1:15">
      <c r="A605" s="7">
        <v>600</v>
      </c>
      <c r="B605" s="6">
        <v>441126</v>
      </c>
      <c r="C605" s="6">
        <v>3</v>
      </c>
      <c r="D605" s="6">
        <v>302006</v>
      </c>
      <c r="E605" s="6">
        <v>1</v>
      </c>
      <c r="F605" s="6">
        <v>1</v>
      </c>
      <c r="G605" s="6"/>
      <c r="H605" s="6"/>
      <c r="I605" s="6"/>
      <c r="J605" s="31" t="s">
        <v>740</v>
      </c>
      <c r="K605" s="24" t="s">
        <v>3933</v>
      </c>
      <c r="L605" s="6"/>
      <c r="M605" s="6"/>
      <c r="N605" s="6"/>
      <c r="O605" s="6"/>
    </row>
    <row r="606" ht="15.75" spans="1:15">
      <c r="A606" s="7">
        <v>601</v>
      </c>
      <c r="B606" s="6">
        <v>441127</v>
      </c>
      <c r="C606" s="6">
        <v>3</v>
      </c>
      <c r="D606" s="6">
        <v>302007</v>
      </c>
      <c r="E606" s="6">
        <v>1</v>
      </c>
      <c r="F606" s="6">
        <v>1</v>
      </c>
      <c r="G606" s="6"/>
      <c r="H606" s="6"/>
      <c r="I606" s="6"/>
      <c r="J606" s="31" t="s">
        <v>341</v>
      </c>
      <c r="K606" s="24" t="s">
        <v>3933</v>
      </c>
      <c r="L606" s="6"/>
      <c r="M606" s="6"/>
      <c r="N606" s="6"/>
      <c r="O606" s="6"/>
    </row>
    <row r="607" ht="15.75" spans="1:15">
      <c r="A607" s="7">
        <v>602</v>
      </c>
      <c r="B607" s="6">
        <v>441128</v>
      </c>
      <c r="C607" s="6">
        <v>3</v>
      </c>
      <c r="D607" s="6">
        <v>303011</v>
      </c>
      <c r="E607" s="6">
        <v>1</v>
      </c>
      <c r="F607" s="6">
        <v>1</v>
      </c>
      <c r="G607" s="6"/>
      <c r="H607" s="6"/>
      <c r="I607" s="6"/>
      <c r="J607" s="31" t="s">
        <v>880</v>
      </c>
      <c r="K607" s="24" t="s">
        <v>3933</v>
      </c>
      <c r="L607" s="6"/>
      <c r="M607" s="6"/>
      <c r="N607" s="6"/>
      <c r="O607" s="6"/>
    </row>
    <row r="608" ht="15.75" spans="1:15">
      <c r="A608" s="7">
        <v>603</v>
      </c>
      <c r="B608" s="6">
        <v>441129</v>
      </c>
      <c r="C608" s="6">
        <v>3</v>
      </c>
      <c r="D608" s="6">
        <v>303013</v>
      </c>
      <c r="E608" s="6">
        <v>1</v>
      </c>
      <c r="F608" s="6">
        <v>1</v>
      </c>
      <c r="G608" s="6"/>
      <c r="H608" s="6"/>
      <c r="I608" s="6"/>
      <c r="J608" s="31" t="s">
        <v>359</v>
      </c>
      <c r="K608" s="24" t="s">
        <v>3933</v>
      </c>
      <c r="L608" s="6"/>
      <c r="M608" s="6"/>
      <c r="N608" s="6"/>
      <c r="O608" s="6"/>
    </row>
    <row r="609" ht="15.75" spans="1:15">
      <c r="A609" s="7">
        <v>604</v>
      </c>
      <c r="B609" s="6">
        <v>441130</v>
      </c>
      <c r="C609" s="6">
        <v>3</v>
      </c>
      <c r="D609" s="6">
        <v>301011</v>
      </c>
      <c r="E609" s="6">
        <v>1</v>
      </c>
      <c r="F609" s="6">
        <v>1</v>
      </c>
      <c r="G609" s="6"/>
      <c r="H609" s="6"/>
      <c r="I609" s="6"/>
      <c r="J609" s="31" t="s">
        <v>363</v>
      </c>
      <c r="K609" s="24" t="s">
        <v>3933</v>
      </c>
      <c r="L609" s="6"/>
      <c r="M609" s="6"/>
      <c r="N609" s="6"/>
      <c r="O609" s="6"/>
    </row>
    <row r="610" ht="15.75" spans="1:15">
      <c r="A610" s="7">
        <v>605</v>
      </c>
      <c r="B610" s="6">
        <v>441131</v>
      </c>
      <c r="C610" s="6">
        <v>3</v>
      </c>
      <c r="D610" s="6">
        <v>301014</v>
      </c>
      <c r="E610" s="6">
        <v>1</v>
      </c>
      <c r="F610" s="6">
        <v>1</v>
      </c>
      <c r="G610" s="6"/>
      <c r="H610" s="6"/>
      <c r="I610" s="6"/>
      <c r="J610" s="31" t="s">
        <v>642</v>
      </c>
      <c r="K610" s="24" t="s">
        <v>3933</v>
      </c>
      <c r="L610" s="6"/>
      <c r="M610" s="6"/>
      <c r="N610" s="6"/>
      <c r="O610" s="6"/>
    </row>
    <row r="611" ht="15.75" spans="1:15">
      <c r="A611" s="7">
        <v>606</v>
      </c>
      <c r="B611" s="6">
        <v>441132</v>
      </c>
      <c r="C611" s="6">
        <v>3</v>
      </c>
      <c r="D611" s="6">
        <v>302011</v>
      </c>
      <c r="E611" s="6">
        <v>1</v>
      </c>
      <c r="F611" s="6">
        <v>1</v>
      </c>
      <c r="G611" s="6"/>
      <c r="H611" s="6"/>
      <c r="I611" s="6"/>
      <c r="J611" s="31" t="s">
        <v>760</v>
      </c>
      <c r="K611" s="24" t="s">
        <v>3933</v>
      </c>
      <c r="L611" s="6"/>
      <c r="M611" s="6"/>
      <c r="N611" s="6"/>
      <c r="O611" s="6"/>
    </row>
    <row r="612" ht="15.75" spans="1:15">
      <c r="A612" s="7">
        <v>607</v>
      </c>
      <c r="B612" s="6">
        <v>441133</v>
      </c>
      <c r="C612" s="6">
        <v>3</v>
      </c>
      <c r="D612" s="6">
        <v>302015</v>
      </c>
      <c r="E612" s="6">
        <v>1</v>
      </c>
      <c r="F612" s="6">
        <v>1</v>
      </c>
      <c r="G612" s="6"/>
      <c r="H612" s="6"/>
      <c r="I612" s="6"/>
      <c r="J612" s="31" t="s">
        <v>393</v>
      </c>
      <c r="K612" s="24" t="s">
        <v>3933</v>
      </c>
      <c r="L612" s="6"/>
      <c r="M612" s="6"/>
      <c r="N612" s="6"/>
      <c r="O612" s="6"/>
    </row>
    <row r="613" ht="15.75" spans="1:15">
      <c r="A613" s="7">
        <v>608</v>
      </c>
      <c r="B613" s="6">
        <v>441134</v>
      </c>
      <c r="C613" s="6">
        <v>3</v>
      </c>
      <c r="D613" s="6">
        <v>303015</v>
      </c>
      <c r="E613" s="6">
        <v>1</v>
      </c>
      <c r="F613" s="6">
        <v>1</v>
      </c>
      <c r="G613" s="6"/>
      <c r="H613" s="6"/>
      <c r="I613" s="6"/>
      <c r="J613" s="31" t="s">
        <v>367</v>
      </c>
      <c r="K613" s="24" t="s">
        <v>3933</v>
      </c>
      <c r="L613" s="6"/>
      <c r="M613" s="6"/>
      <c r="N613" s="6"/>
      <c r="O613" s="6"/>
    </row>
    <row r="614" ht="15.75" spans="1:15">
      <c r="A614" s="7">
        <v>609</v>
      </c>
      <c r="B614" s="6">
        <v>441135</v>
      </c>
      <c r="C614" s="6">
        <v>3</v>
      </c>
      <c r="D614" s="6">
        <v>303022</v>
      </c>
      <c r="E614" s="6">
        <v>1</v>
      </c>
      <c r="F614" s="6">
        <v>1</v>
      </c>
      <c r="G614" s="6"/>
      <c r="H614" s="6"/>
      <c r="I614" s="6"/>
      <c r="J614" s="30" t="s">
        <v>476</v>
      </c>
      <c r="K614" s="24" t="s">
        <v>3933</v>
      </c>
      <c r="L614" s="6"/>
      <c r="M614" s="6"/>
      <c r="N614" s="6"/>
      <c r="O614" s="6"/>
    </row>
    <row r="615" ht="15.75" spans="1:15">
      <c r="A615" s="7">
        <v>610</v>
      </c>
      <c r="B615" s="6">
        <v>441136</v>
      </c>
      <c r="C615" s="6">
        <v>3</v>
      </c>
      <c r="D615" s="6">
        <v>301015</v>
      </c>
      <c r="E615" s="6">
        <v>1</v>
      </c>
      <c r="F615" s="6">
        <v>1</v>
      </c>
      <c r="G615" s="6"/>
      <c r="H615" s="6"/>
      <c r="I615" s="6"/>
      <c r="J615" s="30" t="s">
        <v>445</v>
      </c>
      <c r="K615" s="24" t="s">
        <v>3933</v>
      </c>
      <c r="L615" s="6"/>
      <c r="M615" s="6"/>
      <c r="N615" s="6"/>
      <c r="O615" s="6"/>
    </row>
    <row r="616" ht="15.75" spans="1:15">
      <c r="A616" s="7">
        <v>611</v>
      </c>
      <c r="B616" s="6">
        <v>441137</v>
      </c>
      <c r="C616" s="6">
        <v>3</v>
      </c>
      <c r="D616" s="6">
        <v>302017</v>
      </c>
      <c r="E616" s="6">
        <v>1</v>
      </c>
      <c r="F616" s="6">
        <v>1</v>
      </c>
      <c r="G616" s="6"/>
      <c r="H616" s="6"/>
      <c r="I616" s="6"/>
      <c r="J616" s="30" t="s">
        <v>291</v>
      </c>
      <c r="K616" s="24" t="s">
        <v>3933</v>
      </c>
      <c r="L616" s="6"/>
      <c r="M616" s="6"/>
      <c r="N616" s="6"/>
      <c r="O616" s="6"/>
    </row>
    <row r="617" ht="15.75" spans="1:15">
      <c r="A617" s="7">
        <v>612</v>
      </c>
      <c r="B617" s="6">
        <v>441138</v>
      </c>
      <c r="C617" s="6">
        <v>3</v>
      </c>
      <c r="D617" s="6">
        <v>303007</v>
      </c>
      <c r="E617" s="6">
        <v>1</v>
      </c>
      <c r="F617" s="6">
        <v>1</v>
      </c>
      <c r="G617" s="6"/>
      <c r="H617" s="6"/>
      <c r="I617" s="6"/>
      <c r="J617" s="30" t="s">
        <v>488</v>
      </c>
      <c r="K617" s="24" t="s">
        <v>3933</v>
      </c>
      <c r="L617" s="6"/>
      <c r="M617" s="6"/>
      <c r="N617" s="6"/>
      <c r="O617" s="6"/>
    </row>
    <row r="618" ht="15.75" spans="1:15">
      <c r="A618" s="7">
        <v>613</v>
      </c>
      <c r="B618" s="6">
        <v>441139</v>
      </c>
      <c r="C618" s="6">
        <v>3</v>
      </c>
      <c r="D618" s="6">
        <v>301004</v>
      </c>
      <c r="E618" s="6">
        <v>1</v>
      </c>
      <c r="F618" s="6">
        <v>1</v>
      </c>
      <c r="G618" s="6"/>
      <c r="H618" s="6"/>
      <c r="I618" s="6"/>
      <c r="J618" s="32" t="s">
        <v>500</v>
      </c>
      <c r="K618" s="25" t="s">
        <v>3934</v>
      </c>
      <c r="L618" s="6"/>
      <c r="M618" s="6"/>
      <c r="N618" s="6"/>
      <c r="O618" s="6"/>
    </row>
    <row r="619" ht="15.75" spans="1:15">
      <c r="A619" s="7">
        <v>614</v>
      </c>
      <c r="B619" s="6">
        <v>441140</v>
      </c>
      <c r="C619" s="6">
        <v>3</v>
      </c>
      <c r="D619" s="6">
        <v>301005</v>
      </c>
      <c r="E619" s="6">
        <v>1</v>
      </c>
      <c r="F619" s="6">
        <v>1</v>
      </c>
      <c r="G619" s="6"/>
      <c r="H619" s="6"/>
      <c r="I619" s="6"/>
      <c r="J619" s="32" t="s">
        <v>516</v>
      </c>
      <c r="K619" s="25" t="s">
        <v>3934</v>
      </c>
      <c r="L619" s="6"/>
      <c r="M619" s="6"/>
      <c r="N619" s="6"/>
      <c r="O619" s="6"/>
    </row>
    <row r="620" ht="15.75" spans="1:15">
      <c r="A620" s="7">
        <v>615</v>
      </c>
      <c r="B620" s="6">
        <v>441141</v>
      </c>
      <c r="C620" s="6">
        <v>3</v>
      </c>
      <c r="D620" s="6">
        <v>302005</v>
      </c>
      <c r="E620" s="6">
        <v>1</v>
      </c>
      <c r="F620" s="6">
        <v>1</v>
      </c>
      <c r="G620" s="6"/>
      <c r="H620" s="6"/>
      <c r="I620" s="6"/>
      <c r="J620" s="32" t="s">
        <v>433</v>
      </c>
      <c r="K620" s="25" t="s">
        <v>3934</v>
      </c>
      <c r="L620" s="6"/>
      <c r="M620" s="6"/>
      <c r="N620" s="6"/>
      <c r="O620" s="6"/>
    </row>
    <row r="621" ht="15.75" spans="1:15">
      <c r="A621" s="7">
        <v>616</v>
      </c>
      <c r="B621" s="6">
        <v>441142</v>
      </c>
      <c r="C621" s="6">
        <v>3</v>
      </c>
      <c r="D621" s="6">
        <v>303003</v>
      </c>
      <c r="E621" s="6">
        <v>1</v>
      </c>
      <c r="F621" s="6">
        <v>1</v>
      </c>
      <c r="G621" s="6"/>
      <c r="H621" s="6"/>
      <c r="I621" s="6"/>
      <c r="J621" s="33" t="s">
        <v>524</v>
      </c>
      <c r="K621" s="25" t="s">
        <v>3934</v>
      </c>
      <c r="L621" s="6"/>
      <c r="M621" s="6"/>
      <c r="N621" s="6"/>
      <c r="O621" s="6"/>
    </row>
    <row r="622" ht="15.75" spans="1:15">
      <c r="A622" s="7">
        <v>617</v>
      </c>
      <c r="B622" s="6">
        <v>441143</v>
      </c>
      <c r="C622" s="6">
        <v>3</v>
      </c>
      <c r="D622" s="6">
        <v>303008</v>
      </c>
      <c r="E622" s="6">
        <v>1</v>
      </c>
      <c r="F622" s="6">
        <v>1</v>
      </c>
      <c r="G622" s="6"/>
      <c r="H622" s="6"/>
      <c r="I622" s="6"/>
      <c r="J622" s="33" t="s">
        <v>298</v>
      </c>
      <c r="K622" s="25" t="s">
        <v>3934</v>
      </c>
      <c r="L622" s="6"/>
      <c r="M622" s="6"/>
      <c r="N622" s="6"/>
      <c r="O622" s="6"/>
    </row>
    <row r="623" ht="15.75" spans="1:15">
      <c r="A623" s="7">
        <v>618</v>
      </c>
      <c r="B623" s="6">
        <v>441144</v>
      </c>
      <c r="C623" s="6">
        <v>3</v>
      </c>
      <c r="D623" s="6">
        <v>301007</v>
      </c>
      <c r="E623" s="6">
        <v>1</v>
      </c>
      <c r="F623" s="6">
        <v>1</v>
      </c>
      <c r="G623" s="6"/>
      <c r="H623" s="6"/>
      <c r="I623" s="6"/>
      <c r="J623" s="33" t="s">
        <v>413</v>
      </c>
      <c r="K623" s="25" t="s">
        <v>3934</v>
      </c>
      <c r="L623" s="6"/>
      <c r="M623" s="6"/>
      <c r="N623" s="6"/>
      <c r="O623" s="6"/>
    </row>
    <row r="624" ht="15.75" spans="1:15">
      <c r="A624" s="7">
        <v>619</v>
      </c>
      <c r="B624" s="6">
        <v>441145</v>
      </c>
      <c r="C624" s="6">
        <v>3</v>
      </c>
      <c r="D624" s="6">
        <v>301008</v>
      </c>
      <c r="E624" s="6">
        <v>1</v>
      </c>
      <c r="F624" s="6">
        <v>1</v>
      </c>
      <c r="G624" s="6"/>
      <c r="H624" s="6"/>
      <c r="I624" s="6"/>
      <c r="J624" s="33" t="s">
        <v>447</v>
      </c>
      <c r="K624" s="25" t="s">
        <v>3934</v>
      </c>
      <c r="L624" s="6"/>
      <c r="M624" s="6"/>
      <c r="N624" s="6"/>
      <c r="O624" s="6"/>
    </row>
    <row r="625" ht="15.75" spans="1:15">
      <c r="A625" s="7">
        <v>620</v>
      </c>
      <c r="B625" s="6">
        <v>441146</v>
      </c>
      <c r="C625" s="6">
        <v>3</v>
      </c>
      <c r="D625" s="6">
        <v>302008</v>
      </c>
      <c r="E625" s="6">
        <v>1</v>
      </c>
      <c r="F625" s="6">
        <v>1</v>
      </c>
      <c r="G625" s="6"/>
      <c r="H625" s="6"/>
      <c r="I625" s="6"/>
      <c r="J625" s="33" t="s">
        <v>353</v>
      </c>
      <c r="K625" s="25" t="s">
        <v>3934</v>
      </c>
      <c r="L625" s="6"/>
      <c r="M625" s="6"/>
      <c r="N625" s="6"/>
      <c r="O625" s="6"/>
    </row>
    <row r="626" ht="15.75" spans="1:15">
      <c r="A626" s="7">
        <v>621</v>
      </c>
      <c r="B626" s="6">
        <v>441147</v>
      </c>
      <c r="C626" s="6">
        <v>3</v>
      </c>
      <c r="D626" s="6">
        <v>302010</v>
      </c>
      <c r="E626" s="6">
        <v>1</v>
      </c>
      <c r="F626" s="6">
        <v>1</v>
      </c>
      <c r="G626" s="6"/>
      <c r="H626" s="6"/>
      <c r="I626" s="6"/>
      <c r="J626" s="33" t="s">
        <v>347</v>
      </c>
      <c r="K626" s="25" t="s">
        <v>3934</v>
      </c>
      <c r="L626" s="6"/>
      <c r="M626" s="6"/>
      <c r="N626" s="6"/>
      <c r="O626" s="6"/>
    </row>
    <row r="627" ht="15.75" spans="1:15">
      <c r="A627" s="7">
        <v>622</v>
      </c>
      <c r="B627" s="6">
        <v>441148</v>
      </c>
      <c r="C627" s="6">
        <v>3</v>
      </c>
      <c r="D627" s="6">
        <v>303010</v>
      </c>
      <c r="E627" s="6">
        <v>1</v>
      </c>
      <c r="F627" s="6">
        <v>1</v>
      </c>
      <c r="G627" s="6"/>
      <c r="H627" s="6"/>
      <c r="I627" s="6"/>
      <c r="J627" s="33" t="s">
        <v>506</v>
      </c>
      <c r="K627" s="25" t="s">
        <v>3934</v>
      </c>
      <c r="L627" s="6"/>
      <c r="M627" s="6"/>
      <c r="N627" s="6"/>
      <c r="O627" s="6"/>
    </row>
    <row r="628" ht="15.75" spans="1:15">
      <c r="A628" s="7">
        <v>623</v>
      </c>
      <c r="B628" s="6">
        <v>441149</v>
      </c>
      <c r="C628" s="6">
        <v>3</v>
      </c>
      <c r="D628" s="6">
        <v>303014</v>
      </c>
      <c r="E628" s="6">
        <v>1</v>
      </c>
      <c r="F628" s="6">
        <v>1</v>
      </c>
      <c r="G628" s="6"/>
      <c r="H628" s="6"/>
      <c r="I628" s="6"/>
      <c r="J628" s="33" t="s">
        <v>361</v>
      </c>
      <c r="K628" s="25" t="s">
        <v>3934</v>
      </c>
      <c r="L628" s="6"/>
      <c r="M628" s="6"/>
      <c r="N628" s="6"/>
      <c r="O628" s="6"/>
    </row>
    <row r="629" ht="15.75" spans="1:15">
      <c r="A629" s="7">
        <v>624</v>
      </c>
      <c r="B629" s="6">
        <v>441150</v>
      </c>
      <c r="C629" s="6">
        <v>3</v>
      </c>
      <c r="D629" s="6">
        <v>301013</v>
      </c>
      <c r="E629" s="6">
        <v>1</v>
      </c>
      <c r="F629" s="6">
        <v>1</v>
      </c>
      <c r="G629" s="6"/>
      <c r="H629" s="6"/>
      <c r="I629" s="6"/>
      <c r="J629" s="33" t="s">
        <v>377</v>
      </c>
      <c r="K629" s="25" t="s">
        <v>3934</v>
      </c>
      <c r="L629" s="6"/>
      <c r="M629" s="6"/>
      <c r="N629" s="6"/>
      <c r="O629" s="6"/>
    </row>
    <row r="630" ht="15.75" spans="1:15">
      <c r="A630" s="7">
        <v>625</v>
      </c>
      <c r="B630" s="6">
        <v>441151</v>
      </c>
      <c r="C630" s="6">
        <v>3</v>
      </c>
      <c r="D630" s="6">
        <v>302012</v>
      </c>
      <c r="E630" s="6">
        <v>1</v>
      </c>
      <c r="F630" s="6">
        <v>1</v>
      </c>
      <c r="G630" s="6"/>
      <c r="H630" s="6"/>
      <c r="I630" s="6"/>
      <c r="J630" s="33" t="s">
        <v>486</v>
      </c>
      <c r="K630" s="25" t="s">
        <v>3934</v>
      </c>
      <c r="L630" s="6"/>
      <c r="M630" s="6"/>
      <c r="N630" s="6"/>
      <c r="O630" s="6"/>
    </row>
    <row r="631" ht="15.75" spans="1:15">
      <c r="A631" s="7">
        <v>626</v>
      </c>
      <c r="B631" s="6">
        <v>441152</v>
      </c>
      <c r="C631" s="6">
        <v>3</v>
      </c>
      <c r="D631" s="6">
        <v>303005</v>
      </c>
      <c r="E631" s="6">
        <v>1</v>
      </c>
      <c r="F631" s="6">
        <v>1</v>
      </c>
      <c r="G631" s="6"/>
      <c r="H631" s="6"/>
      <c r="I631" s="6"/>
      <c r="J631" s="33" t="s">
        <v>419</v>
      </c>
      <c r="K631" s="25" t="s">
        <v>3934</v>
      </c>
      <c r="L631" s="6"/>
      <c r="M631" s="6"/>
      <c r="N631" s="6"/>
      <c r="O631" s="6"/>
    </row>
    <row r="632" ht="15.75" spans="1:15">
      <c r="A632" s="7">
        <v>627</v>
      </c>
      <c r="B632" s="6">
        <v>441153</v>
      </c>
      <c r="C632" s="6">
        <v>3</v>
      </c>
      <c r="D632" s="6">
        <v>301016</v>
      </c>
      <c r="E632" s="6">
        <v>1</v>
      </c>
      <c r="F632" s="6">
        <v>1</v>
      </c>
      <c r="G632" s="6"/>
      <c r="H632" s="6"/>
      <c r="I632" s="6"/>
      <c r="J632" s="33" t="s">
        <v>652</v>
      </c>
      <c r="K632" s="25" t="s">
        <v>3934</v>
      </c>
      <c r="L632" s="6"/>
      <c r="M632" s="6"/>
      <c r="N632" s="6"/>
      <c r="O632" s="6"/>
    </row>
    <row r="633" ht="15.75" spans="1:15">
      <c r="A633" s="7">
        <v>628</v>
      </c>
      <c r="B633" s="6">
        <v>441154</v>
      </c>
      <c r="C633" s="6">
        <v>3</v>
      </c>
      <c r="D633" s="6">
        <v>301017</v>
      </c>
      <c r="E633" s="6">
        <v>1</v>
      </c>
      <c r="F633" s="6">
        <v>1</v>
      </c>
      <c r="G633" s="6"/>
      <c r="H633" s="6"/>
      <c r="I633" s="6"/>
      <c r="J633" s="33" t="s">
        <v>480</v>
      </c>
      <c r="K633" s="25" t="s">
        <v>3934</v>
      </c>
      <c r="L633" s="6"/>
      <c r="M633" s="6"/>
      <c r="N633" s="6"/>
      <c r="O633" s="6"/>
    </row>
    <row r="634" ht="15.75" spans="1:15">
      <c r="A634" s="7">
        <v>629</v>
      </c>
      <c r="B634" s="6">
        <v>441155</v>
      </c>
      <c r="C634" s="6">
        <v>3</v>
      </c>
      <c r="D634" s="6">
        <v>302016</v>
      </c>
      <c r="E634" s="6">
        <v>1</v>
      </c>
      <c r="F634" s="6">
        <v>1</v>
      </c>
      <c r="G634" s="6"/>
      <c r="H634" s="6"/>
      <c r="I634" s="6"/>
      <c r="J634" s="33" t="s">
        <v>514</v>
      </c>
      <c r="K634" s="25" t="s">
        <v>3934</v>
      </c>
      <c r="L634" s="6"/>
      <c r="M634" s="6"/>
      <c r="N634" s="6"/>
      <c r="O634" s="6"/>
    </row>
    <row r="635" ht="15.75" spans="1:15">
      <c r="A635" s="7">
        <v>630</v>
      </c>
      <c r="B635" s="6">
        <v>441156</v>
      </c>
      <c r="C635" s="6">
        <v>3</v>
      </c>
      <c r="D635" s="6">
        <v>302018</v>
      </c>
      <c r="E635" s="6">
        <v>1</v>
      </c>
      <c r="F635" s="6">
        <v>1</v>
      </c>
      <c r="G635" s="6"/>
      <c r="H635" s="6"/>
      <c r="I635" s="6"/>
      <c r="J635" s="33" t="s">
        <v>351</v>
      </c>
      <c r="K635" s="25" t="s">
        <v>3934</v>
      </c>
      <c r="L635" s="6"/>
      <c r="M635" s="6"/>
      <c r="N635" s="6"/>
      <c r="O635" s="6"/>
    </row>
    <row r="636" ht="15.75" spans="1:15">
      <c r="A636" s="7">
        <v>631</v>
      </c>
      <c r="B636" s="6">
        <v>441157</v>
      </c>
      <c r="C636" s="6">
        <v>3</v>
      </c>
      <c r="D636" s="6">
        <v>303023</v>
      </c>
      <c r="E636" s="6">
        <v>1</v>
      </c>
      <c r="F636" s="6">
        <v>1</v>
      </c>
      <c r="G636" s="6"/>
      <c r="H636" s="6"/>
      <c r="I636" s="6"/>
      <c r="J636" s="33" t="s">
        <v>451</v>
      </c>
      <c r="K636" s="25" t="s">
        <v>3934</v>
      </c>
      <c r="L636" s="6"/>
      <c r="M636" s="6"/>
      <c r="N636" s="6"/>
      <c r="O636" s="6"/>
    </row>
    <row r="637" ht="15.75" spans="1:15">
      <c r="A637" s="7">
        <v>632</v>
      </c>
      <c r="B637" s="6">
        <v>441158</v>
      </c>
      <c r="C637" s="6">
        <v>3</v>
      </c>
      <c r="D637" s="6">
        <v>303025</v>
      </c>
      <c r="E637" s="6">
        <v>1</v>
      </c>
      <c r="F637" s="6">
        <v>1</v>
      </c>
      <c r="G637" s="6"/>
      <c r="H637" s="6"/>
      <c r="I637" s="6"/>
      <c r="J637" s="33" t="s">
        <v>435</v>
      </c>
      <c r="K637" s="25" t="s">
        <v>3934</v>
      </c>
      <c r="L637" s="6"/>
      <c r="M637" s="6"/>
      <c r="N637" s="6"/>
      <c r="O637" s="6"/>
    </row>
    <row r="638" ht="15.75" spans="1:15">
      <c r="A638" s="7">
        <v>633</v>
      </c>
      <c r="B638" s="6">
        <v>441159</v>
      </c>
      <c r="C638" s="6">
        <v>3</v>
      </c>
      <c r="D638" s="6">
        <v>301010</v>
      </c>
      <c r="E638" s="6">
        <v>1</v>
      </c>
      <c r="F638" s="6">
        <v>1</v>
      </c>
      <c r="G638" s="6"/>
      <c r="H638" s="6"/>
      <c r="I638" s="6"/>
      <c r="J638" s="34" t="s">
        <v>365</v>
      </c>
      <c r="K638" s="26" t="s">
        <v>3935</v>
      </c>
      <c r="L638" s="6"/>
      <c r="M638" s="6"/>
      <c r="N638" s="6"/>
      <c r="O638" s="6"/>
    </row>
    <row r="639" ht="15.75" spans="1:15">
      <c r="A639" s="7">
        <v>634</v>
      </c>
      <c r="B639" s="6">
        <v>441160</v>
      </c>
      <c r="C639" s="6">
        <v>3</v>
      </c>
      <c r="D639" s="6">
        <v>302009</v>
      </c>
      <c r="E639" s="6">
        <v>1</v>
      </c>
      <c r="F639" s="6">
        <v>1</v>
      </c>
      <c r="G639" s="6"/>
      <c r="H639" s="6"/>
      <c r="I639" s="6"/>
      <c r="J639" s="34" t="s">
        <v>295</v>
      </c>
      <c r="K639" s="26" t="s">
        <v>3935</v>
      </c>
      <c r="L639" s="6"/>
      <c r="M639" s="6"/>
      <c r="N639" s="6"/>
      <c r="O639" s="6"/>
    </row>
    <row r="640" ht="15.75" spans="1:15">
      <c r="A640" s="7">
        <v>635</v>
      </c>
      <c r="B640" s="6">
        <v>441161</v>
      </c>
      <c r="C640" s="6">
        <v>3</v>
      </c>
      <c r="D640" s="6">
        <v>303009</v>
      </c>
      <c r="E640" s="6">
        <v>1</v>
      </c>
      <c r="F640" s="6">
        <v>1</v>
      </c>
      <c r="G640" s="6"/>
      <c r="H640" s="6"/>
      <c r="I640" s="6"/>
      <c r="J640" s="34" t="s">
        <v>502</v>
      </c>
      <c r="K640" s="26" t="s">
        <v>3935</v>
      </c>
      <c r="L640" s="6"/>
      <c r="M640" s="6"/>
      <c r="N640" s="6"/>
      <c r="O640" s="6"/>
    </row>
    <row r="641" ht="15.75" spans="1:15">
      <c r="A641" s="7">
        <v>636</v>
      </c>
      <c r="B641" s="6">
        <v>441162</v>
      </c>
      <c r="C641" s="6">
        <v>3</v>
      </c>
      <c r="D641" s="6">
        <v>301012</v>
      </c>
      <c r="E641" s="6">
        <v>1</v>
      </c>
      <c r="F641" s="6">
        <v>1</v>
      </c>
      <c r="G641" s="6"/>
      <c r="H641" s="6"/>
      <c r="I641" s="6"/>
      <c r="J641" s="34" t="s">
        <v>633</v>
      </c>
      <c r="K641" s="26" t="s">
        <v>3935</v>
      </c>
      <c r="L641" s="6"/>
      <c r="M641" s="6"/>
      <c r="N641" s="6"/>
      <c r="O641" s="6"/>
    </row>
    <row r="642" ht="15.75" spans="1:15">
      <c r="A642" s="7">
        <v>637</v>
      </c>
      <c r="B642" s="6">
        <v>441163</v>
      </c>
      <c r="C642" s="6">
        <v>3</v>
      </c>
      <c r="D642" s="6">
        <v>302014</v>
      </c>
      <c r="E642" s="6">
        <v>1</v>
      </c>
      <c r="F642" s="6">
        <v>1</v>
      </c>
      <c r="G642" s="6"/>
      <c r="H642" s="6"/>
      <c r="I642" s="6"/>
      <c r="J642" s="39" t="s">
        <v>357</v>
      </c>
      <c r="K642" s="26" t="s">
        <v>3935</v>
      </c>
      <c r="L642" s="6"/>
      <c r="M642" s="6"/>
      <c r="N642" s="6"/>
      <c r="O642" s="6"/>
    </row>
    <row r="643" ht="15.75" spans="1:15">
      <c r="A643" s="7">
        <v>638</v>
      </c>
      <c r="B643" s="6">
        <v>441164</v>
      </c>
      <c r="C643" s="6">
        <v>3</v>
      </c>
      <c r="D643" s="6">
        <v>303024</v>
      </c>
      <c r="E643" s="6">
        <v>1</v>
      </c>
      <c r="F643" s="6">
        <v>1</v>
      </c>
      <c r="G643" s="6"/>
      <c r="H643" s="6"/>
      <c r="I643" s="6"/>
      <c r="J643" s="39" t="s">
        <v>453</v>
      </c>
      <c r="K643" s="26" t="s">
        <v>3935</v>
      </c>
      <c r="L643" s="6"/>
      <c r="M643" s="6"/>
      <c r="N643" s="6"/>
      <c r="O643" s="6"/>
    </row>
    <row r="644" ht="15.75" spans="1:15">
      <c r="A644" s="7">
        <v>639</v>
      </c>
      <c r="B644" s="6">
        <v>441165</v>
      </c>
      <c r="C644" s="6">
        <v>3</v>
      </c>
      <c r="D644" s="6">
        <v>301018</v>
      </c>
      <c r="E644" s="6">
        <v>1</v>
      </c>
      <c r="F644" s="6">
        <v>1</v>
      </c>
      <c r="G644" s="6"/>
      <c r="H644" s="6"/>
      <c r="I644" s="6"/>
      <c r="J644" s="39" t="s">
        <v>661</v>
      </c>
      <c r="K644" s="26" t="s">
        <v>3935</v>
      </c>
      <c r="L644" s="6"/>
      <c r="M644" s="6"/>
      <c r="N644" s="6"/>
      <c r="O644" s="6"/>
    </row>
    <row r="645" ht="15.75" spans="1:15">
      <c r="A645" s="7">
        <v>640</v>
      </c>
      <c r="B645" s="6">
        <v>441166</v>
      </c>
      <c r="C645" s="6">
        <v>3</v>
      </c>
      <c r="D645" s="6">
        <v>302019</v>
      </c>
      <c r="E645" s="6">
        <v>1</v>
      </c>
      <c r="F645" s="6">
        <v>1</v>
      </c>
      <c r="G645" s="6"/>
      <c r="H645" s="6"/>
      <c r="I645" s="6"/>
      <c r="J645" s="39" t="s">
        <v>409</v>
      </c>
      <c r="K645" s="26" t="s">
        <v>3935</v>
      </c>
      <c r="L645" s="6"/>
      <c r="M645" s="6"/>
      <c r="N645" s="6"/>
      <c r="O645" s="6"/>
    </row>
    <row r="646" ht="15.75" spans="1:15">
      <c r="A646" s="7">
        <v>641</v>
      </c>
      <c r="B646" s="6">
        <v>441167</v>
      </c>
      <c r="C646" s="6">
        <v>3</v>
      </c>
      <c r="D646" s="6">
        <v>303017</v>
      </c>
      <c r="E646" s="6">
        <v>1</v>
      </c>
      <c r="F646" s="6">
        <v>1</v>
      </c>
      <c r="G646" s="6"/>
      <c r="H646" s="6"/>
      <c r="I646" s="6"/>
      <c r="J646" s="39" t="s">
        <v>904</v>
      </c>
      <c r="K646" s="26" t="s">
        <v>3935</v>
      </c>
      <c r="L646" s="6"/>
      <c r="M646" s="6"/>
      <c r="N646" s="6"/>
      <c r="O646" s="6"/>
    </row>
    <row r="647" ht="15.75" spans="1:15">
      <c r="A647" s="7">
        <v>642</v>
      </c>
      <c r="B647" s="6">
        <v>441168</v>
      </c>
      <c r="C647" s="6">
        <v>3</v>
      </c>
      <c r="D647" s="6">
        <v>301019</v>
      </c>
      <c r="E647" s="6">
        <v>1</v>
      </c>
      <c r="F647" s="6">
        <v>1</v>
      </c>
      <c r="G647" s="6"/>
      <c r="H647" s="6"/>
      <c r="I647" s="6"/>
      <c r="J647" s="35" t="s">
        <v>522</v>
      </c>
      <c r="K647" s="27" t="s">
        <v>3936</v>
      </c>
      <c r="L647" s="6"/>
      <c r="M647" s="6"/>
      <c r="N647" s="6"/>
      <c r="O647" s="6"/>
    </row>
    <row r="648" ht="15.75" spans="1:15">
      <c r="A648" s="7">
        <v>643</v>
      </c>
      <c r="B648" s="6">
        <v>441169</v>
      </c>
      <c r="C648" s="6">
        <v>3</v>
      </c>
      <c r="D648" s="6">
        <v>302013</v>
      </c>
      <c r="E648" s="6">
        <v>1</v>
      </c>
      <c r="F648" s="6">
        <v>1</v>
      </c>
      <c r="G648" s="6"/>
      <c r="H648" s="6"/>
      <c r="I648" s="6"/>
      <c r="J648" s="35" t="s">
        <v>768</v>
      </c>
      <c r="K648" s="27" t="s">
        <v>3936</v>
      </c>
      <c r="L648" s="6"/>
      <c r="M648" s="6"/>
      <c r="N648" s="6"/>
      <c r="O648" s="6"/>
    </row>
    <row r="649" ht="15.75" spans="1:15">
      <c r="A649" s="7">
        <v>644</v>
      </c>
      <c r="B649" s="6">
        <v>441170</v>
      </c>
      <c r="C649" s="6">
        <v>3</v>
      </c>
      <c r="D649" s="6">
        <v>303016</v>
      </c>
      <c r="E649" s="6">
        <v>1</v>
      </c>
      <c r="F649" s="6">
        <v>1</v>
      </c>
      <c r="G649" s="6"/>
      <c r="H649" s="6"/>
      <c r="I649" s="6"/>
      <c r="J649" s="35" t="s">
        <v>369</v>
      </c>
      <c r="K649" s="27" t="s">
        <v>3936</v>
      </c>
      <c r="L649" s="6"/>
      <c r="M649" s="6"/>
      <c r="N649" s="6"/>
      <c r="O649" s="6"/>
    </row>
    <row r="650" ht="15.75" spans="1:15">
      <c r="A650" s="7">
        <v>645</v>
      </c>
      <c r="B650" s="6">
        <v>441171</v>
      </c>
      <c r="C650" s="6">
        <v>3</v>
      </c>
      <c r="D650" s="6">
        <v>301020</v>
      </c>
      <c r="E650" s="6">
        <v>1</v>
      </c>
      <c r="F650" s="6">
        <v>1</v>
      </c>
      <c r="G650" s="6"/>
      <c r="H650" s="6"/>
      <c r="I650" s="6"/>
      <c r="J650" s="41" t="s">
        <v>461</v>
      </c>
      <c r="K650" s="27" t="s">
        <v>3936</v>
      </c>
      <c r="L650" s="6"/>
      <c r="M650" s="6"/>
      <c r="N650" s="6"/>
      <c r="O650" s="6"/>
    </row>
    <row r="651" ht="15.75" spans="1:15">
      <c r="A651" s="7">
        <v>646</v>
      </c>
      <c r="B651" s="6">
        <v>441172</v>
      </c>
      <c r="C651" s="6">
        <v>3</v>
      </c>
      <c r="D651" s="6">
        <v>302020</v>
      </c>
      <c r="E651" s="6">
        <v>1</v>
      </c>
      <c r="F651" s="6">
        <v>1</v>
      </c>
      <c r="G651" s="6"/>
      <c r="H651" s="6"/>
      <c r="I651" s="6"/>
      <c r="J651" s="41" t="s">
        <v>796</v>
      </c>
      <c r="K651" s="27" t="s">
        <v>3936</v>
      </c>
      <c r="L651" s="6"/>
      <c r="M651" s="6"/>
      <c r="N651" s="6"/>
      <c r="O651" s="6"/>
    </row>
    <row r="652" ht="15.75" spans="1:15">
      <c r="A652" s="7">
        <v>647</v>
      </c>
      <c r="B652" s="6">
        <v>441173</v>
      </c>
      <c r="C652" s="6">
        <v>3</v>
      </c>
      <c r="D652" s="6">
        <v>303026</v>
      </c>
      <c r="E652" s="6">
        <v>1</v>
      </c>
      <c r="F652" s="6">
        <v>1</v>
      </c>
      <c r="G652" s="6"/>
      <c r="H652" s="6"/>
      <c r="I652" s="6"/>
      <c r="J652" s="41" t="s">
        <v>478</v>
      </c>
      <c r="K652" s="27" t="s">
        <v>3936</v>
      </c>
      <c r="L652" s="6"/>
      <c r="M652" s="6"/>
      <c r="N652" s="6"/>
      <c r="O652" s="6"/>
    </row>
    <row r="653" ht="15.75" spans="1:15">
      <c r="A653" s="7">
        <v>648</v>
      </c>
      <c r="B653" s="6">
        <v>441174</v>
      </c>
      <c r="C653" s="6">
        <v>3</v>
      </c>
      <c r="D653" s="6">
        <v>1300001</v>
      </c>
      <c r="E653" s="6">
        <v>1</v>
      </c>
      <c r="F653" s="6">
        <v>1</v>
      </c>
      <c r="G653" s="6"/>
      <c r="H653" s="6"/>
      <c r="I653" s="6"/>
      <c r="J653" s="36" t="s">
        <v>1538</v>
      </c>
      <c r="K653" s="25" t="s">
        <v>3937</v>
      </c>
      <c r="L653" s="6"/>
      <c r="M653" s="6"/>
      <c r="N653" s="6"/>
      <c r="O653" s="6"/>
    </row>
    <row r="654" ht="15.75" spans="1:15">
      <c r="A654" s="7">
        <v>649</v>
      </c>
      <c r="B654" s="6">
        <v>441175</v>
      </c>
      <c r="C654" s="6">
        <v>3</v>
      </c>
      <c r="D654" s="6">
        <v>1300002</v>
      </c>
      <c r="E654" s="6">
        <v>1</v>
      </c>
      <c r="F654" s="6">
        <v>1</v>
      </c>
      <c r="G654" s="6"/>
      <c r="H654" s="6"/>
      <c r="I654" s="6"/>
      <c r="J654" s="36" t="s">
        <v>1558</v>
      </c>
      <c r="K654" s="25" t="s">
        <v>3937</v>
      </c>
      <c r="L654" s="6"/>
      <c r="M654" s="6"/>
      <c r="N654" s="6"/>
      <c r="O654" s="6"/>
    </row>
    <row r="655" ht="15.75" spans="1:15">
      <c r="A655" s="7">
        <v>650</v>
      </c>
      <c r="B655" s="6">
        <v>441176</v>
      </c>
      <c r="C655" s="6">
        <v>3</v>
      </c>
      <c r="D655" s="6">
        <v>1300009</v>
      </c>
      <c r="E655" s="6">
        <v>1</v>
      </c>
      <c r="F655" s="6">
        <v>1</v>
      </c>
      <c r="G655" s="6"/>
      <c r="H655" s="6"/>
      <c r="I655" s="6"/>
      <c r="J655" s="36" t="s">
        <v>1553</v>
      </c>
      <c r="K655" s="25" t="s">
        <v>3937</v>
      </c>
      <c r="L655" s="6"/>
      <c r="M655" s="6"/>
      <c r="N655" s="6"/>
      <c r="O655" s="6"/>
    </row>
    <row r="656" ht="15.75" spans="1:15">
      <c r="A656" s="7">
        <v>651</v>
      </c>
      <c r="B656" s="6">
        <v>441177</v>
      </c>
      <c r="C656" s="6">
        <v>3</v>
      </c>
      <c r="D656" s="6">
        <v>1300010</v>
      </c>
      <c r="E656" s="6">
        <v>1</v>
      </c>
      <c r="F656" s="6">
        <v>1</v>
      </c>
      <c r="G656" s="6"/>
      <c r="H656" s="6"/>
      <c r="I656" s="6"/>
      <c r="J656" s="36" t="s">
        <v>1533</v>
      </c>
      <c r="K656" s="25" t="s">
        <v>3937</v>
      </c>
      <c r="L656" s="6"/>
      <c r="M656" s="6"/>
      <c r="N656" s="6"/>
      <c r="O656" s="6"/>
    </row>
    <row r="657" ht="15.75" spans="1:15">
      <c r="A657" s="7">
        <v>652</v>
      </c>
      <c r="B657" s="6">
        <v>441178</v>
      </c>
      <c r="C657" s="6">
        <v>3</v>
      </c>
      <c r="D657" s="6">
        <v>1300017</v>
      </c>
      <c r="E657" s="6">
        <v>1</v>
      </c>
      <c r="F657" s="6">
        <v>1</v>
      </c>
      <c r="G657" s="6"/>
      <c r="H657" s="6"/>
      <c r="I657" s="6"/>
      <c r="J657" s="36" t="s">
        <v>1543</v>
      </c>
      <c r="K657" s="25" t="s">
        <v>3937</v>
      </c>
      <c r="L657" s="6"/>
      <c r="M657" s="6"/>
      <c r="N657" s="6"/>
      <c r="O657" s="6"/>
    </row>
    <row r="658" ht="15.75" spans="1:15">
      <c r="A658" s="7">
        <v>653</v>
      </c>
      <c r="B658" s="6">
        <v>441179</v>
      </c>
      <c r="C658" s="6">
        <v>3</v>
      </c>
      <c r="D658" s="6">
        <v>1300018</v>
      </c>
      <c r="E658" s="6">
        <v>1</v>
      </c>
      <c r="F658" s="6">
        <v>1</v>
      </c>
      <c r="G658" s="6"/>
      <c r="H658" s="6"/>
      <c r="I658" s="6"/>
      <c r="J658" s="36" t="s">
        <v>1548</v>
      </c>
      <c r="K658" s="25" t="s">
        <v>3937</v>
      </c>
      <c r="L658" s="6"/>
      <c r="M658" s="6"/>
      <c r="N658" s="6"/>
      <c r="O658" s="6"/>
    </row>
    <row r="659" ht="15.75" spans="1:15">
      <c r="A659" s="7">
        <v>654</v>
      </c>
      <c r="B659" s="6">
        <v>441180</v>
      </c>
      <c r="C659" s="6">
        <v>3</v>
      </c>
      <c r="D659" s="6">
        <v>1300003</v>
      </c>
      <c r="E659" s="6">
        <v>1</v>
      </c>
      <c r="F659" s="6">
        <v>1</v>
      </c>
      <c r="G659" s="6"/>
      <c r="H659" s="6"/>
      <c r="I659" s="6"/>
      <c r="J659" s="32" t="s">
        <v>1572</v>
      </c>
      <c r="K659" s="25" t="s">
        <v>3937</v>
      </c>
      <c r="L659" s="6"/>
      <c r="M659" s="6"/>
      <c r="N659" s="6"/>
      <c r="O659" s="6"/>
    </row>
    <row r="660" ht="15.75" spans="1:15">
      <c r="A660" s="7">
        <v>655</v>
      </c>
      <c r="B660" s="6">
        <v>441181</v>
      </c>
      <c r="C660" s="6">
        <v>3</v>
      </c>
      <c r="D660" s="6">
        <v>1300011</v>
      </c>
      <c r="E660" s="6">
        <v>1</v>
      </c>
      <c r="F660" s="6">
        <v>1</v>
      </c>
      <c r="G660" s="6"/>
      <c r="H660" s="6"/>
      <c r="I660" s="6"/>
      <c r="J660" s="40" t="s">
        <v>2858</v>
      </c>
      <c r="K660" s="25" t="s">
        <v>3937</v>
      </c>
      <c r="L660" s="6"/>
      <c r="M660" s="6"/>
      <c r="N660" s="6"/>
      <c r="O660" s="6"/>
    </row>
    <row r="661" ht="15.75" spans="1:15">
      <c r="A661" s="7">
        <v>656</v>
      </c>
      <c r="B661" s="6">
        <v>441182</v>
      </c>
      <c r="C661" s="6">
        <v>3</v>
      </c>
      <c r="D661" s="6">
        <v>1300024</v>
      </c>
      <c r="E661" s="6">
        <v>1</v>
      </c>
      <c r="F661" s="6">
        <v>1</v>
      </c>
      <c r="G661" s="6"/>
      <c r="H661" s="6"/>
      <c r="I661" s="6"/>
      <c r="J661" s="40" t="s">
        <v>2880</v>
      </c>
      <c r="K661" s="25" t="s">
        <v>3937</v>
      </c>
      <c r="L661" s="6"/>
      <c r="M661" s="6"/>
      <c r="N661" s="6"/>
      <c r="O661" s="6"/>
    </row>
    <row r="662" ht="15.75" spans="1:15">
      <c r="A662" s="7">
        <v>657</v>
      </c>
      <c r="B662" s="6">
        <v>441183</v>
      </c>
      <c r="C662" s="6">
        <v>3</v>
      </c>
      <c r="D662" s="6">
        <v>1300020</v>
      </c>
      <c r="E662" s="6">
        <v>1</v>
      </c>
      <c r="F662" s="6">
        <v>1</v>
      </c>
      <c r="G662" s="6"/>
      <c r="H662" s="6"/>
      <c r="I662" s="6"/>
      <c r="J662" s="32" t="s">
        <v>1567</v>
      </c>
      <c r="K662" s="25" t="s">
        <v>3937</v>
      </c>
      <c r="L662" s="6"/>
      <c r="M662" s="6"/>
      <c r="N662" s="6"/>
      <c r="O662" s="6"/>
    </row>
    <row r="663" ht="15.75" spans="1:15">
      <c r="A663" s="7">
        <v>658</v>
      </c>
      <c r="B663" s="6">
        <v>441184</v>
      </c>
      <c r="C663" s="6">
        <v>3</v>
      </c>
      <c r="D663" s="6">
        <v>1300006</v>
      </c>
      <c r="E663" s="6">
        <v>1</v>
      </c>
      <c r="F663" s="6">
        <v>1</v>
      </c>
      <c r="G663" s="6"/>
      <c r="H663" s="6"/>
      <c r="I663" s="6"/>
      <c r="J663" s="37" t="s">
        <v>2846</v>
      </c>
      <c r="K663" s="26" t="s">
        <v>3938</v>
      </c>
      <c r="L663" s="6"/>
      <c r="M663" s="6"/>
      <c r="N663" s="6"/>
      <c r="O663" s="6"/>
    </row>
    <row r="664" ht="15.75" spans="1:15">
      <c r="A664" s="7">
        <v>659</v>
      </c>
      <c r="B664" s="6">
        <v>441185</v>
      </c>
      <c r="C664" s="6">
        <v>3</v>
      </c>
      <c r="D664" s="6">
        <v>1300014</v>
      </c>
      <c r="E664" s="6">
        <v>1</v>
      </c>
      <c r="F664" s="6">
        <v>1</v>
      </c>
      <c r="G664" s="6"/>
      <c r="H664" s="6"/>
      <c r="I664" s="6"/>
      <c r="J664" s="37" t="s">
        <v>2863</v>
      </c>
      <c r="K664" s="26" t="s">
        <v>3938</v>
      </c>
      <c r="L664" s="6"/>
      <c r="M664" s="6"/>
      <c r="N664" s="6"/>
      <c r="O664" s="6"/>
    </row>
    <row r="665" ht="15.75" spans="1:15">
      <c r="A665" s="7">
        <v>660</v>
      </c>
      <c r="B665" s="6">
        <v>441186</v>
      </c>
      <c r="C665" s="6">
        <v>3</v>
      </c>
      <c r="D665" s="6">
        <v>1300023</v>
      </c>
      <c r="E665" s="6">
        <v>1</v>
      </c>
      <c r="F665" s="6">
        <v>1</v>
      </c>
      <c r="G665" s="6"/>
      <c r="H665" s="6"/>
      <c r="I665" s="6"/>
      <c r="J665" s="37" t="s">
        <v>2878</v>
      </c>
      <c r="K665" s="26" t="s">
        <v>3938</v>
      </c>
      <c r="L665" s="6"/>
      <c r="M665" s="6"/>
      <c r="N665" s="6"/>
      <c r="O665" s="6"/>
    </row>
    <row r="666" ht="15.75" spans="1:15">
      <c r="A666" s="7">
        <v>661</v>
      </c>
      <c r="B666" s="6">
        <v>441187</v>
      </c>
      <c r="C666" s="6">
        <v>3</v>
      </c>
      <c r="D666" s="6">
        <v>1300007</v>
      </c>
      <c r="E666" s="6">
        <v>1</v>
      </c>
      <c r="F666" s="6">
        <v>1</v>
      </c>
      <c r="G666" s="6"/>
      <c r="H666" s="6"/>
      <c r="I666" s="6"/>
      <c r="J666" s="37" t="s">
        <v>2848</v>
      </c>
      <c r="K666" s="26" t="s">
        <v>3938</v>
      </c>
      <c r="L666" s="6"/>
      <c r="M666" s="6"/>
      <c r="N666" s="6"/>
      <c r="O666" s="6"/>
    </row>
    <row r="667" ht="15.75" spans="1:15">
      <c r="A667" s="7">
        <v>662</v>
      </c>
      <c r="B667" s="6">
        <v>441188</v>
      </c>
      <c r="C667" s="6">
        <v>3</v>
      </c>
      <c r="D667" s="6">
        <v>1300015</v>
      </c>
      <c r="E667" s="6">
        <v>1</v>
      </c>
      <c r="F667" s="6">
        <v>1</v>
      </c>
      <c r="G667" s="6"/>
      <c r="H667" s="6"/>
      <c r="I667" s="6"/>
      <c r="J667" s="37" t="s">
        <v>2865</v>
      </c>
      <c r="K667" s="26" t="s">
        <v>3938</v>
      </c>
      <c r="L667" s="6"/>
      <c r="M667" s="6"/>
      <c r="N667" s="6"/>
      <c r="O667" s="6"/>
    </row>
    <row r="668" s="6" customFormat="1" ht="15.75" spans="1:11">
      <c r="A668" s="7">
        <v>663</v>
      </c>
      <c r="B668" s="6">
        <v>441189</v>
      </c>
      <c r="C668" s="6">
        <v>3</v>
      </c>
      <c r="D668" s="6">
        <v>1300021</v>
      </c>
      <c r="E668" s="6">
        <v>1</v>
      </c>
      <c r="F668" s="6">
        <v>1</v>
      </c>
      <c r="J668" s="37" t="s">
        <v>1962</v>
      </c>
      <c r="K668" s="26" t="s">
        <v>3938</v>
      </c>
    </row>
    <row r="669" s="6" customFormat="1" ht="15.75" spans="1:11">
      <c r="A669" s="7">
        <v>664</v>
      </c>
      <c r="B669" s="6">
        <v>441190</v>
      </c>
      <c r="C669" s="6">
        <v>3</v>
      </c>
      <c r="D669" s="6">
        <v>1300004</v>
      </c>
      <c r="E669" s="6">
        <v>1</v>
      </c>
      <c r="F669" s="6">
        <v>1</v>
      </c>
      <c r="J669" s="37" t="s">
        <v>2842</v>
      </c>
      <c r="K669" s="26" t="s">
        <v>3938</v>
      </c>
    </row>
    <row r="670" s="6" customFormat="1" ht="15.75" spans="1:11">
      <c r="A670" s="7">
        <v>665</v>
      </c>
      <c r="B670" s="6">
        <v>441191</v>
      </c>
      <c r="C670" s="6">
        <v>3</v>
      </c>
      <c r="D670" s="6">
        <v>1300012</v>
      </c>
      <c r="E670" s="6">
        <v>1</v>
      </c>
      <c r="F670" s="6">
        <v>1</v>
      </c>
      <c r="J670" s="37" t="s">
        <v>1563</v>
      </c>
      <c r="K670" s="26" t="s">
        <v>3938</v>
      </c>
    </row>
    <row r="671" s="6" customFormat="1" ht="15.75" spans="1:11">
      <c r="A671" s="7">
        <v>666</v>
      </c>
      <c r="B671" s="6">
        <v>441192</v>
      </c>
      <c r="C671" s="6">
        <v>3</v>
      </c>
      <c r="D671" s="6">
        <v>1300008</v>
      </c>
      <c r="E671" s="6">
        <v>1</v>
      </c>
      <c r="F671" s="6">
        <v>1</v>
      </c>
      <c r="J671" s="38" t="s">
        <v>2850</v>
      </c>
      <c r="K671" s="27" t="s">
        <v>3939</v>
      </c>
    </row>
    <row r="672" s="6" customFormat="1" ht="15.75" spans="1:11">
      <c r="A672" s="7">
        <v>667</v>
      </c>
      <c r="B672" s="6">
        <v>441193</v>
      </c>
      <c r="C672" s="6">
        <v>3</v>
      </c>
      <c r="D672" s="6">
        <v>1300016</v>
      </c>
      <c r="E672" s="6">
        <v>1</v>
      </c>
      <c r="F672" s="6">
        <v>1</v>
      </c>
      <c r="J672" s="38" t="s">
        <v>2867</v>
      </c>
      <c r="K672" s="27" t="s">
        <v>3939</v>
      </c>
    </row>
    <row r="673" s="6" customFormat="1" ht="15.75" spans="1:11">
      <c r="A673" s="7">
        <v>668</v>
      </c>
      <c r="B673" s="6">
        <v>441194</v>
      </c>
      <c r="C673" s="6">
        <v>3</v>
      </c>
      <c r="D673" s="6">
        <v>1300022</v>
      </c>
      <c r="E673" s="6">
        <v>1</v>
      </c>
      <c r="F673" s="6">
        <v>1</v>
      </c>
      <c r="J673" s="38" t="s">
        <v>3951</v>
      </c>
      <c r="K673" s="27" t="s">
        <v>3939</v>
      </c>
    </row>
    <row r="674" s="6" customFormat="1" ht="15" spans="1:11">
      <c r="A674" s="7">
        <v>669</v>
      </c>
      <c r="B674" s="6">
        <v>441195</v>
      </c>
      <c r="C674" s="6">
        <v>3</v>
      </c>
      <c r="D674" s="6">
        <v>1600004</v>
      </c>
      <c r="E674" s="6">
        <v>1</v>
      </c>
      <c r="F674" s="6">
        <v>1</v>
      </c>
      <c r="J674" s="1" t="s">
        <v>3957</v>
      </c>
      <c r="K674" s="6" t="s">
        <v>3940</v>
      </c>
    </row>
    <row r="675" s="6" customFormat="1" ht="15" spans="1:11">
      <c r="A675" s="7">
        <v>670</v>
      </c>
      <c r="B675" s="6">
        <v>441196</v>
      </c>
      <c r="C675" s="6">
        <v>3</v>
      </c>
      <c r="D675" s="6">
        <v>1500004</v>
      </c>
      <c r="E675" s="6">
        <v>1</v>
      </c>
      <c r="F675" s="6">
        <v>1</v>
      </c>
      <c r="J675" s="1" t="s">
        <v>3958</v>
      </c>
      <c r="K675" s="6" t="s">
        <v>3941</v>
      </c>
    </row>
    <row r="676" s="6" customFormat="1" ht="15" spans="1:11">
      <c r="A676" s="7">
        <v>671</v>
      </c>
      <c r="B676" s="6">
        <v>441197</v>
      </c>
      <c r="C676" s="6">
        <v>3</v>
      </c>
      <c r="D676" s="6">
        <v>1500006</v>
      </c>
      <c r="E676" s="6">
        <v>1</v>
      </c>
      <c r="F676" s="6">
        <v>1</v>
      </c>
      <c r="J676" s="1" t="s">
        <v>3959</v>
      </c>
      <c r="K676" s="6" t="s">
        <v>3941</v>
      </c>
    </row>
    <row r="677" s="6" customFormat="1" ht="15.75" spans="1:11">
      <c r="A677" s="7">
        <v>672</v>
      </c>
      <c r="B677" s="6">
        <v>441198</v>
      </c>
      <c r="C677" s="6">
        <v>3</v>
      </c>
      <c r="D677" s="6">
        <v>301001</v>
      </c>
      <c r="E677" s="6">
        <v>1</v>
      </c>
      <c r="F677" s="6">
        <v>1</v>
      </c>
      <c r="J677" s="29" t="s">
        <v>508</v>
      </c>
      <c r="K677" s="24" t="s">
        <v>3942</v>
      </c>
    </row>
    <row r="678" s="6" customFormat="1" ht="15.75" spans="1:11">
      <c r="A678" s="7">
        <v>673</v>
      </c>
      <c r="B678" s="6">
        <v>441199</v>
      </c>
      <c r="C678" s="6">
        <v>3</v>
      </c>
      <c r="D678" s="6">
        <v>301002</v>
      </c>
      <c r="E678" s="6">
        <v>1</v>
      </c>
      <c r="F678" s="6">
        <v>1</v>
      </c>
      <c r="J678" s="29" t="s">
        <v>471</v>
      </c>
      <c r="K678" s="24" t="s">
        <v>3942</v>
      </c>
    </row>
    <row r="679" s="6" customFormat="1" ht="15.75" spans="1:11">
      <c r="A679" s="7">
        <v>674</v>
      </c>
      <c r="B679" s="6">
        <v>441200</v>
      </c>
      <c r="C679" s="6">
        <v>3</v>
      </c>
      <c r="D679" s="6">
        <v>301003</v>
      </c>
      <c r="E679" s="6">
        <v>1</v>
      </c>
      <c r="F679" s="6">
        <v>1</v>
      </c>
      <c r="J679" s="29" t="s">
        <v>589</v>
      </c>
      <c r="K679" s="24" t="s">
        <v>3942</v>
      </c>
    </row>
    <row r="680" s="6" customFormat="1" ht="15.75" spans="1:11">
      <c r="A680" s="7">
        <v>675</v>
      </c>
      <c r="B680" s="6">
        <v>441201</v>
      </c>
      <c r="C680" s="6">
        <v>3</v>
      </c>
      <c r="D680" s="6">
        <v>302001</v>
      </c>
      <c r="E680" s="6">
        <v>1</v>
      </c>
      <c r="F680" s="6">
        <v>1</v>
      </c>
      <c r="J680" s="29" t="s">
        <v>403</v>
      </c>
      <c r="K680" s="24" t="s">
        <v>3942</v>
      </c>
    </row>
    <row r="681" s="6" customFormat="1" ht="15.75" spans="1:11">
      <c r="A681" s="7">
        <v>676</v>
      </c>
      <c r="B681" s="6">
        <v>441202</v>
      </c>
      <c r="C681" s="6">
        <v>3</v>
      </c>
      <c r="D681" s="6">
        <v>302002</v>
      </c>
      <c r="E681" s="6">
        <v>1</v>
      </c>
      <c r="F681" s="6">
        <v>1</v>
      </c>
      <c r="J681" s="29" t="s">
        <v>401</v>
      </c>
      <c r="K681" s="24" t="s">
        <v>3942</v>
      </c>
    </row>
    <row r="682" s="6" customFormat="1" ht="15.75" spans="1:11">
      <c r="A682" s="7">
        <v>677</v>
      </c>
      <c r="B682" s="6">
        <v>441203</v>
      </c>
      <c r="C682" s="6">
        <v>3</v>
      </c>
      <c r="D682" s="6">
        <v>302003</v>
      </c>
      <c r="E682" s="6">
        <v>1</v>
      </c>
      <c r="F682" s="6">
        <v>1</v>
      </c>
      <c r="J682" s="29" t="s">
        <v>379</v>
      </c>
      <c r="K682" s="24" t="s">
        <v>3942</v>
      </c>
    </row>
    <row r="683" s="6" customFormat="1" ht="15.75" spans="1:11">
      <c r="A683" s="7">
        <v>678</v>
      </c>
      <c r="B683" s="6">
        <v>441204</v>
      </c>
      <c r="C683" s="6">
        <v>3</v>
      </c>
      <c r="D683" s="6">
        <v>302004</v>
      </c>
      <c r="E683" s="6">
        <v>1</v>
      </c>
      <c r="F683" s="6">
        <v>1</v>
      </c>
      <c r="J683" s="29" t="s">
        <v>411</v>
      </c>
      <c r="K683" s="24" t="s">
        <v>3942</v>
      </c>
    </row>
    <row r="684" s="6" customFormat="1" ht="15.75" spans="1:11">
      <c r="A684" s="7">
        <v>679</v>
      </c>
      <c r="B684" s="6">
        <v>441205</v>
      </c>
      <c r="C684" s="6">
        <v>3</v>
      </c>
      <c r="D684" s="6">
        <v>303001</v>
      </c>
      <c r="E684" s="6">
        <v>1</v>
      </c>
      <c r="F684" s="6">
        <v>1</v>
      </c>
      <c r="J684" s="30" t="s">
        <v>490</v>
      </c>
      <c r="K684" s="24" t="s">
        <v>3942</v>
      </c>
    </row>
    <row r="685" s="6" customFormat="1" ht="15.75" spans="1:11">
      <c r="A685" s="7">
        <v>680</v>
      </c>
      <c r="B685" s="6">
        <v>441206</v>
      </c>
      <c r="C685" s="6">
        <v>3</v>
      </c>
      <c r="D685" s="6">
        <v>303002</v>
      </c>
      <c r="E685" s="6">
        <v>1</v>
      </c>
      <c r="F685" s="6">
        <v>1</v>
      </c>
      <c r="J685" s="30" t="s">
        <v>494</v>
      </c>
      <c r="K685" s="24" t="s">
        <v>3942</v>
      </c>
    </row>
    <row r="686" s="6" customFormat="1" ht="15.75" spans="1:11">
      <c r="A686" s="7">
        <v>681</v>
      </c>
      <c r="B686" s="6">
        <v>441207</v>
      </c>
      <c r="C686" s="6">
        <v>3</v>
      </c>
      <c r="D686" s="6">
        <v>303004</v>
      </c>
      <c r="E686" s="6">
        <v>1</v>
      </c>
      <c r="F686" s="6">
        <v>1</v>
      </c>
      <c r="J686" s="30" t="s">
        <v>851</v>
      </c>
      <c r="K686" s="24" t="s">
        <v>3942</v>
      </c>
    </row>
    <row r="687" s="6" customFormat="1" ht="15.75" spans="1:11">
      <c r="A687" s="7">
        <v>682</v>
      </c>
      <c r="B687" s="6">
        <v>441208</v>
      </c>
      <c r="C687" s="6">
        <v>3</v>
      </c>
      <c r="D687" s="6">
        <v>301006</v>
      </c>
      <c r="E687" s="6">
        <v>1</v>
      </c>
      <c r="F687" s="6">
        <v>1</v>
      </c>
      <c r="J687" s="30" t="s">
        <v>496</v>
      </c>
      <c r="K687" s="24" t="s">
        <v>3942</v>
      </c>
    </row>
    <row r="688" s="6" customFormat="1" ht="15.75" spans="1:11">
      <c r="A688" s="7">
        <v>683</v>
      </c>
      <c r="B688" s="6">
        <v>441209</v>
      </c>
      <c r="C688" s="6">
        <v>3</v>
      </c>
      <c r="D688" s="6">
        <v>301009</v>
      </c>
      <c r="E688" s="6">
        <v>1</v>
      </c>
      <c r="F688" s="6">
        <v>1</v>
      </c>
      <c r="J688" s="30" t="s">
        <v>619</v>
      </c>
      <c r="K688" s="24" t="s">
        <v>3942</v>
      </c>
    </row>
    <row r="689" s="6" customFormat="1" ht="15.75" spans="1:11">
      <c r="A689" s="7">
        <v>684</v>
      </c>
      <c r="B689" s="6">
        <v>441210</v>
      </c>
      <c r="C689" s="6">
        <v>3</v>
      </c>
      <c r="D689" s="6">
        <v>302006</v>
      </c>
      <c r="E689" s="6">
        <v>1</v>
      </c>
      <c r="F689" s="6">
        <v>1</v>
      </c>
      <c r="J689" s="31" t="s">
        <v>740</v>
      </c>
      <c r="K689" s="24" t="s">
        <v>3942</v>
      </c>
    </row>
    <row r="690" s="6" customFormat="1" ht="15.75" spans="1:11">
      <c r="A690" s="7">
        <v>685</v>
      </c>
      <c r="B690" s="6">
        <v>441211</v>
      </c>
      <c r="C690" s="6">
        <v>3</v>
      </c>
      <c r="D690" s="6">
        <v>302007</v>
      </c>
      <c r="E690" s="6">
        <v>1</v>
      </c>
      <c r="F690" s="6">
        <v>1</v>
      </c>
      <c r="J690" s="31" t="s">
        <v>341</v>
      </c>
      <c r="K690" s="24" t="s">
        <v>3942</v>
      </c>
    </row>
    <row r="691" s="6" customFormat="1" ht="15.75" spans="1:11">
      <c r="A691" s="7">
        <v>686</v>
      </c>
      <c r="B691" s="6">
        <v>441212</v>
      </c>
      <c r="C691" s="6">
        <v>3</v>
      </c>
      <c r="D691" s="6">
        <v>303011</v>
      </c>
      <c r="E691" s="6">
        <v>1</v>
      </c>
      <c r="F691" s="6">
        <v>1</v>
      </c>
      <c r="J691" s="31" t="s">
        <v>880</v>
      </c>
      <c r="K691" s="24" t="s">
        <v>3942</v>
      </c>
    </row>
    <row r="692" s="6" customFormat="1" ht="15.75" spans="1:11">
      <c r="A692" s="7">
        <v>687</v>
      </c>
      <c r="B692" s="6">
        <v>441213</v>
      </c>
      <c r="C692" s="6">
        <v>3</v>
      </c>
      <c r="D692" s="6">
        <v>303013</v>
      </c>
      <c r="E692" s="6">
        <v>1</v>
      </c>
      <c r="F692" s="6">
        <v>1</v>
      </c>
      <c r="J692" s="31" t="s">
        <v>359</v>
      </c>
      <c r="K692" s="24" t="s">
        <v>3942</v>
      </c>
    </row>
    <row r="693" s="6" customFormat="1" ht="15.75" spans="1:11">
      <c r="A693" s="7">
        <v>688</v>
      </c>
      <c r="B693" s="6">
        <v>441214</v>
      </c>
      <c r="C693" s="6">
        <v>3</v>
      </c>
      <c r="D693" s="6">
        <v>301011</v>
      </c>
      <c r="E693" s="6">
        <v>1</v>
      </c>
      <c r="F693" s="6">
        <v>1</v>
      </c>
      <c r="J693" s="31" t="s">
        <v>363</v>
      </c>
      <c r="K693" s="24" t="s">
        <v>3942</v>
      </c>
    </row>
    <row r="694" s="6" customFormat="1" ht="15.75" spans="1:11">
      <c r="A694" s="7">
        <v>689</v>
      </c>
      <c r="B694" s="6">
        <v>441215</v>
      </c>
      <c r="C694" s="6">
        <v>3</v>
      </c>
      <c r="D694" s="6">
        <v>301014</v>
      </c>
      <c r="E694" s="6">
        <v>1</v>
      </c>
      <c r="F694" s="6">
        <v>1</v>
      </c>
      <c r="J694" s="31" t="s">
        <v>642</v>
      </c>
      <c r="K694" s="24" t="s">
        <v>3942</v>
      </c>
    </row>
    <row r="695" s="6" customFormat="1" ht="15.75" spans="1:11">
      <c r="A695" s="7">
        <v>690</v>
      </c>
      <c r="B695" s="6">
        <v>441216</v>
      </c>
      <c r="C695" s="6">
        <v>3</v>
      </c>
      <c r="D695" s="6">
        <v>302011</v>
      </c>
      <c r="E695" s="6">
        <v>1</v>
      </c>
      <c r="F695" s="6">
        <v>1</v>
      </c>
      <c r="J695" s="31" t="s">
        <v>760</v>
      </c>
      <c r="K695" s="24" t="s">
        <v>3942</v>
      </c>
    </row>
    <row r="696" s="6" customFormat="1" ht="15.75" spans="1:11">
      <c r="A696" s="7">
        <v>691</v>
      </c>
      <c r="B696" s="6">
        <v>441217</v>
      </c>
      <c r="C696" s="6">
        <v>3</v>
      </c>
      <c r="D696" s="6">
        <v>302015</v>
      </c>
      <c r="E696" s="6">
        <v>1</v>
      </c>
      <c r="F696" s="6">
        <v>1</v>
      </c>
      <c r="J696" s="31" t="s">
        <v>393</v>
      </c>
      <c r="K696" s="24" t="s">
        <v>3942</v>
      </c>
    </row>
    <row r="697" s="6" customFormat="1" ht="15.75" spans="1:11">
      <c r="A697" s="7">
        <v>692</v>
      </c>
      <c r="B697" s="6">
        <v>441218</v>
      </c>
      <c r="C697" s="6">
        <v>3</v>
      </c>
      <c r="D697" s="6">
        <v>303015</v>
      </c>
      <c r="E697" s="6">
        <v>1</v>
      </c>
      <c r="F697" s="6">
        <v>1</v>
      </c>
      <c r="J697" s="31" t="s">
        <v>367</v>
      </c>
      <c r="K697" s="24" t="s">
        <v>3942</v>
      </c>
    </row>
    <row r="698" s="6" customFormat="1" ht="15.75" spans="1:11">
      <c r="A698" s="7">
        <v>693</v>
      </c>
      <c r="B698" s="6">
        <v>441219</v>
      </c>
      <c r="C698" s="6">
        <v>3</v>
      </c>
      <c r="D698" s="6">
        <v>303022</v>
      </c>
      <c r="E698" s="6">
        <v>1</v>
      </c>
      <c r="F698" s="6">
        <v>1</v>
      </c>
      <c r="J698" s="30" t="s">
        <v>476</v>
      </c>
      <c r="K698" s="24" t="s">
        <v>3942</v>
      </c>
    </row>
    <row r="699" s="6" customFormat="1" ht="15.75" spans="1:11">
      <c r="A699" s="7">
        <v>694</v>
      </c>
      <c r="B699" s="6">
        <v>441220</v>
      </c>
      <c r="C699" s="6">
        <v>3</v>
      </c>
      <c r="D699" s="6">
        <v>301015</v>
      </c>
      <c r="E699" s="6">
        <v>1</v>
      </c>
      <c r="F699" s="6">
        <v>1</v>
      </c>
      <c r="J699" s="30" t="s">
        <v>445</v>
      </c>
      <c r="K699" s="24" t="s">
        <v>3942</v>
      </c>
    </row>
    <row r="700" s="6" customFormat="1" ht="15.75" spans="1:11">
      <c r="A700" s="7">
        <v>695</v>
      </c>
      <c r="B700" s="6">
        <v>441221</v>
      </c>
      <c r="C700" s="6">
        <v>3</v>
      </c>
      <c r="D700" s="6">
        <v>302017</v>
      </c>
      <c r="E700" s="6">
        <v>1</v>
      </c>
      <c r="F700" s="6">
        <v>1</v>
      </c>
      <c r="J700" s="30" t="s">
        <v>291</v>
      </c>
      <c r="K700" s="24" t="s">
        <v>3942</v>
      </c>
    </row>
    <row r="701" s="6" customFormat="1" ht="15.75" spans="1:11">
      <c r="A701" s="7">
        <v>696</v>
      </c>
      <c r="B701" s="6">
        <v>441222</v>
      </c>
      <c r="C701" s="6">
        <v>3</v>
      </c>
      <c r="D701" s="6">
        <v>303007</v>
      </c>
      <c r="E701" s="6">
        <v>1</v>
      </c>
      <c r="F701" s="6">
        <v>1</v>
      </c>
      <c r="J701" s="30" t="s">
        <v>488</v>
      </c>
      <c r="K701" s="24" t="s">
        <v>3942</v>
      </c>
    </row>
    <row r="702" s="6" customFormat="1" ht="15.75" spans="1:11">
      <c r="A702" s="7">
        <v>697</v>
      </c>
      <c r="B702" s="6">
        <v>441223</v>
      </c>
      <c r="C702" s="6">
        <v>3</v>
      </c>
      <c r="D702" s="6">
        <v>301004</v>
      </c>
      <c r="E702" s="6">
        <v>1</v>
      </c>
      <c r="F702" s="6">
        <v>1</v>
      </c>
      <c r="J702" s="42" t="s">
        <v>500</v>
      </c>
      <c r="K702" s="25" t="s">
        <v>3943</v>
      </c>
    </row>
    <row r="703" s="6" customFormat="1" ht="15.75" spans="1:11">
      <c r="A703" s="7">
        <v>698</v>
      </c>
      <c r="B703" s="6">
        <v>441224</v>
      </c>
      <c r="C703" s="6">
        <v>3</v>
      </c>
      <c r="D703" s="6">
        <v>301005</v>
      </c>
      <c r="E703" s="6">
        <v>1</v>
      </c>
      <c r="F703" s="6">
        <v>1</v>
      </c>
      <c r="J703" s="42" t="s">
        <v>516</v>
      </c>
      <c r="K703" s="25" t="s">
        <v>3943</v>
      </c>
    </row>
    <row r="704" s="6" customFormat="1" ht="15.75" spans="1:11">
      <c r="A704" s="7">
        <v>699</v>
      </c>
      <c r="B704" s="6">
        <v>441225</v>
      </c>
      <c r="C704" s="6">
        <v>3</v>
      </c>
      <c r="D704" s="6">
        <v>302005</v>
      </c>
      <c r="E704" s="6">
        <v>1</v>
      </c>
      <c r="F704" s="6">
        <v>1</v>
      </c>
      <c r="J704" s="42" t="s">
        <v>433</v>
      </c>
      <c r="K704" s="25" t="s">
        <v>3943</v>
      </c>
    </row>
    <row r="705" s="6" customFormat="1" ht="15.75" spans="1:11">
      <c r="A705" s="7">
        <v>700</v>
      </c>
      <c r="B705" s="6">
        <v>441226</v>
      </c>
      <c r="C705" s="6">
        <v>3</v>
      </c>
      <c r="D705" s="6">
        <v>303003</v>
      </c>
      <c r="E705" s="6">
        <v>1</v>
      </c>
      <c r="F705" s="6">
        <v>1</v>
      </c>
      <c r="J705" s="42" t="s">
        <v>524</v>
      </c>
      <c r="K705" s="25" t="s">
        <v>3943</v>
      </c>
    </row>
    <row r="706" s="6" customFormat="1" ht="15.75" spans="1:11">
      <c r="A706" s="7">
        <v>701</v>
      </c>
      <c r="B706" s="6">
        <v>441227</v>
      </c>
      <c r="C706" s="6">
        <v>3</v>
      </c>
      <c r="D706" s="6">
        <v>303008</v>
      </c>
      <c r="E706" s="6">
        <v>1</v>
      </c>
      <c r="F706" s="6">
        <v>1</v>
      </c>
      <c r="J706" s="42" t="s">
        <v>298</v>
      </c>
      <c r="K706" s="25" t="s">
        <v>3943</v>
      </c>
    </row>
    <row r="707" s="6" customFormat="1" ht="15.75" spans="1:11">
      <c r="A707" s="7">
        <v>702</v>
      </c>
      <c r="B707" s="6">
        <v>441228</v>
      </c>
      <c r="C707" s="6">
        <v>3</v>
      </c>
      <c r="D707" s="6">
        <v>301007</v>
      </c>
      <c r="E707" s="6">
        <v>1</v>
      </c>
      <c r="F707" s="6">
        <v>1</v>
      </c>
      <c r="J707" s="42" t="s">
        <v>413</v>
      </c>
      <c r="K707" s="25" t="s">
        <v>3943</v>
      </c>
    </row>
    <row r="708" s="6" customFormat="1" ht="15.75" spans="1:11">
      <c r="A708" s="7">
        <v>703</v>
      </c>
      <c r="B708" s="6">
        <v>441229</v>
      </c>
      <c r="C708" s="6">
        <v>3</v>
      </c>
      <c r="D708" s="6">
        <v>301008</v>
      </c>
      <c r="E708" s="6">
        <v>1</v>
      </c>
      <c r="F708" s="6">
        <v>1</v>
      </c>
      <c r="J708" s="42" t="s">
        <v>447</v>
      </c>
      <c r="K708" s="25" t="s">
        <v>3943</v>
      </c>
    </row>
    <row r="709" s="6" customFormat="1" ht="15.75" spans="1:11">
      <c r="A709" s="7">
        <v>704</v>
      </c>
      <c r="B709" s="6">
        <v>441230</v>
      </c>
      <c r="C709" s="6">
        <v>3</v>
      </c>
      <c r="D709" s="6">
        <v>302008</v>
      </c>
      <c r="E709" s="6">
        <v>1</v>
      </c>
      <c r="F709" s="6">
        <v>1</v>
      </c>
      <c r="J709" s="42" t="s">
        <v>353</v>
      </c>
      <c r="K709" s="25" t="s">
        <v>3943</v>
      </c>
    </row>
    <row r="710" s="6" customFormat="1" ht="15.75" spans="1:11">
      <c r="A710" s="7">
        <v>705</v>
      </c>
      <c r="B710" s="6">
        <v>441231</v>
      </c>
      <c r="C710" s="6">
        <v>3</v>
      </c>
      <c r="D710" s="6">
        <v>302010</v>
      </c>
      <c r="E710" s="6">
        <v>1</v>
      </c>
      <c r="F710" s="6">
        <v>1</v>
      </c>
      <c r="J710" s="42" t="s">
        <v>347</v>
      </c>
      <c r="K710" s="25" t="s">
        <v>3943</v>
      </c>
    </row>
    <row r="711" s="6" customFormat="1" ht="15.75" spans="1:11">
      <c r="A711" s="7">
        <v>706</v>
      </c>
      <c r="B711" s="6">
        <v>441232</v>
      </c>
      <c r="C711" s="6">
        <v>3</v>
      </c>
      <c r="D711" s="6">
        <v>303010</v>
      </c>
      <c r="E711" s="6">
        <v>1</v>
      </c>
      <c r="F711" s="6">
        <v>1</v>
      </c>
      <c r="J711" s="42" t="s">
        <v>506</v>
      </c>
      <c r="K711" s="25" t="s">
        <v>3943</v>
      </c>
    </row>
    <row r="712" s="6" customFormat="1" ht="15.75" spans="1:11">
      <c r="A712" s="7">
        <v>707</v>
      </c>
      <c r="B712" s="6">
        <v>441233</v>
      </c>
      <c r="C712" s="6">
        <v>3</v>
      </c>
      <c r="D712" s="6">
        <v>303014</v>
      </c>
      <c r="E712" s="6">
        <v>1</v>
      </c>
      <c r="F712" s="6">
        <v>1</v>
      </c>
      <c r="J712" s="42" t="s">
        <v>361</v>
      </c>
      <c r="K712" s="25" t="s">
        <v>3943</v>
      </c>
    </row>
    <row r="713" s="6" customFormat="1" ht="15.75" spans="1:11">
      <c r="A713" s="7">
        <v>708</v>
      </c>
      <c r="B713" s="6">
        <v>441234</v>
      </c>
      <c r="C713" s="6">
        <v>3</v>
      </c>
      <c r="D713" s="6">
        <v>301013</v>
      </c>
      <c r="E713" s="6">
        <v>1</v>
      </c>
      <c r="F713" s="6">
        <v>1</v>
      </c>
      <c r="J713" s="42" t="s">
        <v>377</v>
      </c>
      <c r="K713" s="25" t="s">
        <v>3943</v>
      </c>
    </row>
    <row r="714" s="6" customFormat="1" ht="15.75" spans="1:11">
      <c r="A714" s="7">
        <v>709</v>
      </c>
      <c r="B714" s="6">
        <v>441235</v>
      </c>
      <c r="C714" s="6">
        <v>3</v>
      </c>
      <c r="D714" s="6">
        <v>302012</v>
      </c>
      <c r="E714" s="6">
        <v>1</v>
      </c>
      <c r="F714" s="6">
        <v>1</v>
      </c>
      <c r="J714" s="42" t="s">
        <v>486</v>
      </c>
      <c r="K714" s="25" t="s">
        <v>3943</v>
      </c>
    </row>
    <row r="715" s="6" customFormat="1" ht="15.75" spans="1:11">
      <c r="A715" s="7">
        <v>710</v>
      </c>
      <c r="B715" s="6">
        <v>441236</v>
      </c>
      <c r="C715" s="6">
        <v>3</v>
      </c>
      <c r="D715" s="6">
        <v>303005</v>
      </c>
      <c r="E715" s="6">
        <v>1</v>
      </c>
      <c r="F715" s="6">
        <v>1</v>
      </c>
      <c r="J715" s="42" t="s">
        <v>419</v>
      </c>
      <c r="K715" s="25" t="s">
        <v>3943</v>
      </c>
    </row>
    <row r="716" s="6" customFormat="1" ht="15.75" spans="1:11">
      <c r="A716" s="7">
        <v>711</v>
      </c>
      <c r="B716" s="6">
        <v>441237</v>
      </c>
      <c r="C716" s="6">
        <v>3</v>
      </c>
      <c r="D716" s="6">
        <v>301016</v>
      </c>
      <c r="E716" s="6">
        <v>1</v>
      </c>
      <c r="F716" s="6">
        <v>1</v>
      </c>
      <c r="J716" s="42" t="s">
        <v>652</v>
      </c>
      <c r="K716" s="25" t="s">
        <v>3943</v>
      </c>
    </row>
    <row r="717" s="6" customFormat="1" ht="15.75" spans="1:11">
      <c r="A717" s="7">
        <v>712</v>
      </c>
      <c r="B717" s="6">
        <v>441238</v>
      </c>
      <c r="C717" s="6">
        <v>3</v>
      </c>
      <c r="D717" s="6">
        <v>301017</v>
      </c>
      <c r="E717" s="6">
        <v>1</v>
      </c>
      <c r="F717" s="6">
        <v>1</v>
      </c>
      <c r="J717" s="42" t="s">
        <v>480</v>
      </c>
      <c r="K717" s="25" t="s">
        <v>3943</v>
      </c>
    </row>
    <row r="718" s="6" customFormat="1" ht="15.75" spans="1:11">
      <c r="A718" s="7">
        <v>713</v>
      </c>
      <c r="B718" s="6">
        <v>441239</v>
      </c>
      <c r="C718" s="6">
        <v>3</v>
      </c>
      <c r="D718" s="6">
        <v>302016</v>
      </c>
      <c r="E718" s="6">
        <v>1</v>
      </c>
      <c r="F718" s="6">
        <v>1</v>
      </c>
      <c r="J718" s="42" t="s">
        <v>514</v>
      </c>
      <c r="K718" s="25" t="s">
        <v>3943</v>
      </c>
    </row>
    <row r="719" s="6" customFormat="1" ht="15.75" spans="1:11">
      <c r="A719" s="7">
        <v>714</v>
      </c>
      <c r="B719" s="6">
        <v>441240</v>
      </c>
      <c r="C719" s="6">
        <v>3</v>
      </c>
      <c r="D719" s="6">
        <v>302018</v>
      </c>
      <c r="E719" s="6">
        <v>1</v>
      </c>
      <c r="F719" s="6">
        <v>1</v>
      </c>
      <c r="J719" s="42" t="s">
        <v>351</v>
      </c>
      <c r="K719" s="25" t="s">
        <v>3943</v>
      </c>
    </row>
    <row r="720" s="6" customFormat="1" ht="15.75" spans="1:11">
      <c r="A720" s="7">
        <v>715</v>
      </c>
      <c r="B720" s="6">
        <v>441241</v>
      </c>
      <c r="C720" s="6">
        <v>3</v>
      </c>
      <c r="D720" s="6">
        <v>303023</v>
      </c>
      <c r="E720" s="6">
        <v>1</v>
      </c>
      <c r="F720" s="6">
        <v>1</v>
      </c>
      <c r="J720" s="42" t="s">
        <v>451</v>
      </c>
      <c r="K720" s="25" t="s">
        <v>3943</v>
      </c>
    </row>
    <row r="721" s="6" customFormat="1" ht="15.75" spans="1:11">
      <c r="A721" s="7">
        <v>716</v>
      </c>
      <c r="B721" s="6">
        <v>441242</v>
      </c>
      <c r="C721" s="6">
        <v>3</v>
      </c>
      <c r="D721" s="6">
        <v>303025</v>
      </c>
      <c r="E721" s="6">
        <v>1</v>
      </c>
      <c r="F721" s="6">
        <v>1</v>
      </c>
      <c r="J721" s="42" t="s">
        <v>435</v>
      </c>
      <c r="K721" s="25" t="s">
        <v>3943</v>
      </c>
    </row>
    <row r="722" s="6" customFormat="1" ht="15.75" spans="1:11">
      <c r="A722" s="7">
        <v>717</v>
      </c>
      <c r="B722" s="6">
        <v>441243</v>
      </c>
      <c r="C722" s="6">
        <v>3</v>
      </c>
      <c r="D722" s="6">
        <v>301021</v>
      </c>
      <c r="E722" s="6">
        <v>1</v>
      </c>
      <c r="F722" s="6">
        <v>1</v>
      </c>
      <c r="J722" s="42" t="s">
        <v>306</v>
      </c>
      <c r="K722" s="25" t="s">
        <v>3943</v>
      </c>
    </row>
    <row r="723" s="6" customFormat="1" ht="15.75" spans="1:11">
      <c r="A723" s="7">
        <v>718</v>
      </c>
      <c r="B723" s="6">
        <v>441244</v>
      </c>
      <c r="C723" s="6">
        <v>3</v>
      </c>
      <c r="D723" s="6">
        <v>301022</v>
      </c>
      <c r="E723" s="6">
        <v>1</v>
      </c>
      <c r="F723" s="6">
        <v>1</v>
      </c>
      <c r="J723" s="42" t="s">
        <v>677</v>
      </c>
      <c r="K723" s="25" t="s">
        <v>3943</v>
      </c>
    </row>
    <row r="724" s="6" customFormat="1" ht="15.75" spans="1:11">
      <c r="A724" s="7">
        <v>719</v>
      </c>
      <c r="B724" s="6">
        <v>441245</v>
      </c>
      <c r="C724" s="6">
        <v>3</v>
      </c>
      <c r="D724" s="6">
        <v>301024</v>
      </c>
      <c r="E724" s="6">
        <v>1</v>
      </c>
      <c r="F724" s="6">
        <v>1</v>
      </c>
      <c r="J724" s="42" t="s">
        <v>681</v>
      </c>
      <c r="K724" s="25" t="s">
        <v>3943</v>
      </c>
    </row>
    <row r="725" s="6" customFormat="1" ht="15.75" spans="1:11">
      <c r="A725" s="7">
        <v>720</v>
      </c>
      <c r="B725" s="6">
        <v>441246</v>
      </c>
      <c r="C725" s="6">
        <v>3</v>
      </c>
      <c r="D725" s="6">
        <v>302023</v>
      </c>
      <c r="E725" s="6">
        <v>1</v>
      </c>
      <c r="F725" s="6">
        <v>1</v>
      </c>
      <c r="J725" s="42" t="s">
        <v>801</v>
      </c>
      <c r="K725" s="25" t="s">
        <v>3943</v>
      </c>
    </row>
    <row r="726" s="6" customFormat="1" ht="15.75" spans="1:11">
      <c r="A726" s="7">
        <v>721</v>
      </c>
      <c r="B726" s="6">
        <v>441247</v>
      </c>
      <c r="C726" s="6">
        <v>3</v>
      </c>
      <c r="D726" s="6">
        <v>302024</v>
      </c>
      <c r="E726" s="6">
        <v>1</v>
      </c>
      <c r="F726" s="6">
        <v>1</v>
      </c>
      <c r="J726" s="42" t="s">
        <v>385</v>
      </c>
      <c r="K726" s="25" t="s">
        <v>3943</v>
      </c>
    </row>
    <row r="727" s="6" customFormat="1" ht="15.75" spans="1:11">
      <c r="A727" s="7">
        <v>722</v>
      </c>
      <c r="B727" s="6">
        <v>441248</v>
      </c>
      <c r="C727" s="6">
        <v>3</v>
      </c>
      <c r="D727" s="6">
        <v>302403</v>
      </c>
      <c r="E727" s="6">
        <v>1</v>
      </c>
      <c r="F727" s="6">
        <v>1</v>
      </c>
      <c r="J727" s="42" t="s">
        <v>808</v>
      </c>
      <c r="K727" s="25" t="s">
        <v>3943</v>
      </c>
    </row>
    <row r="728" s="6" customFormat="1" ht="15.75" spans="1:11">
      <c r="A728" s="7">
        <v>723</v>
      </c>
      <c r="B728" s="6">
        <v>441249</v>
      </c>
      <c r="C728" s="6">
        <v>3</v>
      </c>
      <c r="D728" s="6">
        <v>303018</v>
      </c>
      <c r="E728" s="6">
        <v>1</v>
      </c>
      <c r="F728" s="6">
        <v>1</v>
      </c>
      <c r="J728" s="42" t="s">
        <v>909</v>
      </c>
      <c r="K728" s="25" t="s">
        <v>3943</v>
      </c>
    </row>
    <row r="729" s="6" customFormat="1" ht="15.75" spans="1:11">
      <c r="A729" s="7">
        <v>724</v>
      </c>
      <c r="B729" s="6">
        <v>441250</v>
      </c>
      <c r="C729" s="6">
        <v>3</v>
      </c>
      <c r="D729" s="6">
        <v>303402</v>
      </c>
      <c r="E729" s="6">
        <v>1</v>
      </c>
      <c r="F729" s="6">
        <v>1</v>
      </c>
      <c r="J729" s="42" t="s">
        <v>912</v>
      </c>
      <c r="K729" s="25" t="s">
        <v>3943</v>
      </c>
    </row>
    <row r="730" s="6" customFormat="1" ht="15.75" spans="1:11">
      <c r="A730" s="7">
        <v>725</v>
      </c>
      <c r="B730" s="6">
        <v>441251</v>
      </c>
      <c r="C730" s="6">
        <v>3</v>
      </c>
      <c r="D730" s="6">
        <v>303403</v>
      </c>
      <c r="E730" s="6">
        <v>1</v>
      </c>
      <c r="F730" s="6">
        <v>1</v>
      </c>
      <c r="J730" s="42" t="s">
        <v>914</v>
      </c>
      <c r="K730" s="25" t="s">
        <v>3943</v>
      </c>
    </row>
    <row r="731" s="6" customFormat="1" ht="15.75" spans="1:11">
      <c r="A731" s="7">
        <v>726</v>
      </c>
      <c r="B731" s="6">
        <v>441252</v>
      </c>
      <c r="C731" s="6">
        <v>3</v>
      </c>
      <c r="D731" s="6">
        <v>301010</v>
      </c>
      <c r="E731" s="6">
        <v>1</v>
      </c>
      <c r="F731" s="6">
        <v>1</v>
      </c>
      <c r="J731" s="37" t="s">
        <v>365</v>
      </c>
      <c r="K731" s="26" t="s">
        <v>3944</v>
      </c>
    </row>
    <row r="732" s="6" customFormat="1" ht="15.75" spans="1:11">
      <c r="A732" s="7">
        <v>727</v>
      </c>
      <c r="B732" s="6">
        <v>441253</v>
      </c>
      <c r="C732" s="6">
        <v>3</v>
      </c>
      <c r="D732" s="6">
        <v>302009</v>
      </c>
      <c r="E732" s="6">
        <v>1</v>
      </c>
      <c r="F732" s="6">
        <v>1</v>
      </c>
      <c r="J732" s="37" t="s">
        <v>295</v>
      </c>
      <c r="K732" s="26" t="s">
        <v>3944</v>
      </c>
    </row>
    <row r="733" s="6" customFormat="1" ht="15.75" spans="1:11">
      <c r="A733" s="7">
        <v>728</v>
      </c>
      <c r="B733" s="6">
        <v>441254</v>
      </c>
      <c r="C733" s="6">
        <v>3</v>
      </c>
      <c r="D733" s="6">
        <v>303009</v>
      </c>
      <c r="E733" s="6">
        <v>1</v>
      </c>
      <c r="F733" s="6">
        <v>1</v>
      </c>
      <c r="J733" s="37" t="s">
        <v>502</v>
      </c>
      <c r="K733" s="26" t="s">
        <v>3944</v>
      </c>
    </row>
    <row r="734" s="6" customFormat="1" ht="15.75" spans="1:11">
      <c r="A734" s="7">
        <v>729</v>
      </c>
      <c r="B734" s="6">
        <v>441255</v>
      </c>
      <c r="C734" s="6">
        <v>3</v>
      </c>
      <c r="D734" s="6">
        <v>301012</v>
      </c>
      <c r="E734" s="6">
        <v>1</v>
      </c>
      <c r="F734" s="6">
        <v>1</v>
      </c>
      <c r="J734" s="37" t="s">
        <v>633</v>
      </c>
      <c r="K734" s="26" t="s">
        <v>3944</v>
      </c>
    </row>
    <row r="735" s="6" customFormat="1" ht="15.75" spans="1:11">
      <c r="A735" s="7">
        <v>730</v>
      </c>
      <c r="B735" s="6">
        <v>441256</v>
      </c>
      <c r="C735" s="6">
        <v>3</v>
      </c>
      <c r="D735" s="6">
        <v>302014</v>
      </c>
      <c r="E735" s="6">
        <v>1</v>
      </c>
      <c r="F735" s="6">
        <v>1</v>
      </c>
      <c r="J735" s="37" t="s">
        <v>357</v>
      </c>
      <c r="K735" s="26" t="s">
        <v>3944</v>
      </c>
    </row>
    <row r="736" s="6" customFormat="1" ht="15.75" spans="1:11">
      <c r="A736" s="7">
        <v>731</v>
      </c>
      <c r="B736" s="6">
        <v>441257</v>
      </c>
      <c r="C736" s="6">
        <v>3</v>
      </c>
      <c r="D736" s="6">
        <v>303024</v>
      </c>
      <c r="E736" s="6">
        <v>1</v>
      </c>
      <c r="F736" s="6">
        <v>1</v>
      </c>
      <c r="J736" s="37" t="s">
        <v>453</v>
      </c>
      <c r="K736" s="26" t="s">
        <v>3944</v>
      </c>
    </row>
    <row r="737" s="6" customFormat="1" ht="15.75" spans="1:11">
      <c r="A737" s="7">
        <v>732</v>
      </c>
      <c r="B737" s="6">
        <v>441258</v>
      </c>
      <c r="C737" s="6">
        <v>3</v>
      </c>
      <c r="D737" s="6">
        <v>301018</v>
      </c>
      <c r="E737" s="6">
        <v>1</v>
      </c>
      <c r="F737" s="6">
        <v>1</v>
      </c>
      <c r="J737" s="37" t="s">
        <v>661</v>
      </c>
      <c r="K737" s="26" t="s">
        <v>3944</v>
      </c>
    </row>
    <row r="738" s="6" customFormat="1" ht="15.75" spans="1:11">
      <c r="A738" s="7">
        <v>733</v>
      </c>
      <c r="B738" s="6">
        <v>441259</v>
      </c>
      <c r="C738" s="6">
        <v>3</v>
      </c>
      <c r="D738" s="6">
        <v>302019</v>
      </c>
      <c r="E738" s="6">
        <v>1</v>
      </c>
      <c r="F738" s="6">
        <v>1</v>
      </c>
      <c r="J738" s="37" t="s">
        <v>409</v>
      </c>
      <c r="K738" s="26" t="s">
        <v>3944</v>
      </c>
    </row>
    <row r="739" s="6" customFormat="1" ht="15.75" spans="1:11">
      <c r="A739" s="7">
        <v>734</v>
      </c>
      <c r="B739" s="6">
        <v>441260</v>
      </c>
      <c r="C739" s="6">
        <v>3</v>
      </c>
      <c r="D739" s="6">
        <v>303017</v>
      </c>
      <c r="E739" s="6">
        <v>1</v>
      </c>
      <c r="F739" s="6">
        <v>1</v>
      </c>
      <c r="J739" s="37" t="s">
        <v>904</v>
      </c>
      <c r="K739" s="26" t="s">
        <v>3944</v>
      </c>
    </row>
    <row r="740" s="6" customFormat="1" ht="15.75" spans="1:11">
      <c r="A740" s="7">
        <v>735</v>
      </c>
      <c r="B740" s="6">
        <v>441261</v>
      </c>
      <c r="C740" s="6">
        <v>3</v>
      </c>
      <c r="D740" s="6">
        <v>301023</v>
      </c>
      <c r="E740" s="6">
        <v>1</v>
      </c>
      <c r="F740" s="6">
        <v>1</v>
      </c>
      <c r="J740" s="37" t="s">
        <v>685</v>
      </c>
      <c r="K740" s="26" t="s">
        <v>3944</v>
      </c>
    </row>
    <row r="741" s="6" customFormat="1" ht="15.75" spans="1:11">
      <c r="A741" s="7">
        <v>736</v>
      </c>
      <c r="B741" s="6">
        <v>441262</v>
      </c>
      <c r="C741" s="6">
        <v>3</v>
      </c>
      <c r="D741" s="6">
        <v>302021</v>
      </c>
      <c r="E741" s="6">
        <v>1</v>
      </c>
      <c r="F741" s="6">
        <v>1</v>
      </c>
      <c r="J741" s="37" t="s">
        <v>345</v>
      </c>
      <c r="K741" s="26" t="s">
        <v>3944</v>
      </c>
    </row>
    <row r="742" s="6" customFormat="1" ht="15.75" spans="1:11">
      <c r="A742" s="7">
        <v>737</v>
      </c>
      <c r="B742" s="6">
        <v>441263</v>
      </c>
      <c r="C742" s="6">
        <v>3</v>
      </c>
      <c r="D742" s="6">
        <v>303404</v>
      </c>
      <c r="E742" s="6">
        <v>1</v>
      </c>
      <c r="F742" s="6">
        <v>1</v>
      </c>
      <c r="J742" s="37" t="s">
        <v>947</v>
      </c>
      <c r="K742" s="26" t="s">
        <v>3944</v>
      </c>
    </row>
    <row r="743" s="6" customFormat="1" ht="15.75" spans="1:11">
      <c r="A743" s="7">
        <v>738</v>
      </c>
      <c r="B743" s="6">
        <v>441264</v>
      </c>
      <c r="C743" s="6">
        <v>3</v>
      </c>
      <c r="D743" s="6">
        <v>301019</v>
      </c>
      <c r="E743" s="6">
        <v>1</v>
      </c>
      <c r="F743" s="6">
        <v>1</v>
      </c>
      <c r="J743" s="41" t="s">
        <v>522</v>
      </c>
      <c r="K743" s="27" t="s">
        <v>3945</v>
      </c>
    </row>
    <row r="744" s="6" customFormat="1" ht="15.75" spans="1:11">
      <c r="A744" s="7">
        <v>739</v>
      </c>
      <c r="B744" s="6">
        <v>441265</v>
      </c>
      <c r="C744" s="6">
        <v>3</v>
      </c>
      <c r="D744" s="6">
        <v>302013</v>
      </c>
      <c r="E744" s="6">
        <v>1</v>
      </c>
      <c r="F744" s="6">
        <v>1</v>
      </c>
      <c r="J744" s="41" t="s">
        <v>768</v>
      </c>
      <c r="K744" s="27" t="s">
        <v>3945</v>
      </c>
    </row>
    <row r="745" s="6" customFormat="1" ht="15.75" spans="1:11">
      <c r="A745" s="7">
        <v>740</v>
      </c>
      <c r="B745" s="6">
        <v>441266</v>
      </c>
      <c r="C745" s="6">
        <v>3</v>
      </c>
      <c r="D745" s="6">
        <v>303016</v>
      </c>
      <c r="E745" s="6">
        <v>1</v>
      </c>
      <c r="F745" s="6">
        <v>1</v>
      </c>
      <c r="J745" s="41" t="s">
        <v>369</v>
      </c>
      <c r="K745" s="27" t="s">
        <v>3945</v>
      </c>
    </row>
    <row r="746" s="6" customFormat="1" ht="15.75" spans="1:11">
      <c r="A746" s="7">
        <v>741</v>
      </c>
      <c r="B746" s="6">
        <v>441267</v>
      </c>
      <c r="C746" s="6">
        <v>3</v>
      </c>
      <c r="D746" s="6">
        <v>301020</v>
      </c>
      <c r="E746" s="6">
        <v>1</v>
      </c>
      <c r="F746" s="6">
        <v>1</v>
      </c>
      <c r="J746" s="41" t="s">
        <v>461</v>
      </c>
      <c r="K746" s="27" t="s">
        <v>3945</v>
      </c>
    </row>
    <row r="747" s="6" customFormat="1" ht="15.75" spans="1:11">
      <c r="A747" s="7">
        <v>742</v>
      </c>
      <c r="B747" s="6">
        <v>441268</v>
      </c>
      <c r="C747" s="6">
        <v>3</v>
      </c>
      <c r="D747" s="6">
        <v>302020</v>
      </c>
      <c r="E747" s="6">
        <v>1</v>
      </c>
      <c r="F747" s="6">
        <v>1</v>
      </c>
      <c r="J747" s="41" t="s">
        <v>796</v>
      </c>
      <c r="K747" s="27" t="s">
        <v>3945</v>
      </c>
    </row>
    <row r="748" s="6" customFormat="1" ht="15.75" spans="1:11">
      <c r="A748" s="7">
        <v>743</v>
      </c>
      <c r="B748" s="6">
        <v>441269</v>
      </c>
      <c r="C748" s="6">
        <v>3</v>
      </c>
      <c r="D748" s="6">
        <v>303026</v>
      </c>
      <c r="E748" s="6">
        <v>1</v>
      </c>
      <c r="F748" s="6">
        <v>1</v>
      </c>
      <c r="J748" s="41" t="s">
        <v>478</v>
      </c>
      <c r="K748" s="27" t="s">
        <v>3945</v>
      </c>
    </row>
    <row r="749" s="6" customFormat="1" ht="15.75" spans="1:11">
      <c r="A749" s="7">
        <v>744</v>
      </c>
      <c r="B749" s="6">
        <v>441270</v>
      </c>
      <c r="C749" s="6">
        <v>3</v>
      </c>
      <c r="D749" s="6">
        <v>301405</v>
      </c>
      <c r="E749" s="6">
        <v>1</v>
      </c>
      <c r="F749" s="6">
        <v>1</v>
      </c>
      <c r="J749" s="41" t="s">
        <v>689</v>
      </c>
      <c r="K749" s="27" t="s">
        <v>3945</v>
      </c>
    </row>
    <row r="750" s="6" customFormat="1" ht="15.75" spans="1:11">
      <c r="A750" s="7">
        <v>745</v>
      </c>
      <c r="B750" s="6">
        <v>441271</v>
      </c>
      <c r="C750" s="6">
        <v>3</v>
      </c>
      <c r="D750" s="6">
        <v>302022</v>
      </c>
      <c r="E750" s="6">
        <v>1</v>
      </c>
      <c r="F750" s="6">
        <v>1</v>
      </c>
      <c r="J750" s="41" t="s">
        <v>813</v>
      </c>
      <c r="K750" s="27" t="s">
        <v>3945</v>
      </c>
    </row>
    <row r="751" s="6" customFormat="1" ht="15.75" spans="1:11">
      <c r="A751" s="7">
        <v>746</v>
      </c>
      <c r="B751" s="6">
        <v>441272</v>
      </c>
      <c r="C751" s="6">
        <v>3</v>
      </c>
      <c r="D751" s="6">
        <v>303027</v>
      </c>
      <c r="E751" s="6">
        <v>1</v>
      </c>
      <c r="F751" s="6">
        <v>1</v>
      </c>
      <c r="J751" s="41" t="s">
        <v>484</v>
      </c>
      <c r="K751" s="27" t="s">
        <v>3945</v>
      </c>
    </row>
    <row r="752" s="6" customFormat="1" ht="15.75" spans="1:11">
      <c r="A752" s="7">
        <v>747</v>
      </c>
      <c r="B752" s="6">
        <v>441273</v>
      </c>
      <c r="C752" s="6">
        <v>3</v>
      </c>
      <c r="D752" s="6">
        <v>1300001</v>
      </c>
      <c r="E752" s="6">
        <v>1</v>
      </c>
      <c r="F752" s="6">
        <v>1</v>
      </c>
      <c r="J752" s="42" t="s">
        <v>1538</v>
      </c>
      <c r="K752" s="28" t="s">
        <v>3946</v>
      </c>
    </row>
    <row r="753" s="6" customFormat="1" ht="15.75" spans="1:11">
      <c r="A753" s="7">
        <v>748</v>
      </c>
      <c r="B753" s="6">
        <v>441274</v>
      </c>
      <c r="C753" s="6">
        <v>3</v>
      </c>
      <c r="D753" s="6">
        <v>1300002</v>
      </c>
      <c r="E753" s="6">
        <v>1</v>
      </c>
      <c r="F753" s="6">
        <v>1</v>
      </c>
      <c r="J753" s="42" t="s">
        <v>1558</v>
      </c>
      <c r="K753" s="28" t="s">
        <v>3946</v>
      </c>
    </row>
    <row r="754" s="6" customFormat="1" ht="15.75" spans="1:11">
      <c r="A754" s="7">
        <v>749</v>
      </c>
      <c r="B754" s="6">
        <v>441275</v>
      </c>
      <c r="C754" s="6">
        <v>3</v>
      </c>
      <c r="D754" s="6">
        <v>1300009</v>
      </c>
      <c r="E754" s="6">
        <v>1</v>
      </c>
      <c r="F754" s="6">
        <v>1</v>
      </c>
      <c r="J754" s="42" t="s">
        <v>1553</v>
      </c>
      <c r="K754" s="28" t="s">
        <v>3946</v>
      </c>
    </row>
    <row r="755" s="6" customFormat="1" ht="15.75" spans="1:11">
      <c r="A755" s="7">
        <v>750</v>
      </c>
      <c r="B755" s="6">
        <v>441276</v>
      </c>
      <c r="C755" s="6">
        <v>3</v>
      </c>
      <c r="D755" s="6">
        <v>1300010</v>
      </c>
      <c r="E755" s="6">
        <v>1</v>
      </c>
      <c r="F755" s="6">
        <v>1</v>
      </c>
      <c r="J755" s="42" t="s">
        <v>1533</v>
      </c>
      <c r="K755" s="28" t="s">
        <v>3946</v>
      </c>
    </row>
    <row r="756" s="6" customFormat="1" ht="15.75" spans="1:11">
      <c r="A756" s="7">
        <v>751</v>
      </c>
      <c r="B756" s="6">
        <v>441277</v>
      </c>
      <c r="C756" s="6">
        <v>3</v>
      </c>
      <c r="D756" s="6">
        <v>1300017</v>
      </c>
      <c r="E756" s="6">
        <v>1</v>
      </c>
      <c r="F756" s="6">
        <v>1</v>
      </c>
      <c r="J756" s="42" t="s">
        <v>1543</v>
      </c>
      <c r="K756" s="28" t="s">
        <v>3946</v>
      </c>
    </row>
    <row r="757" s="6" customFormat="1" ht="15.75" spans="1:11">
      <c r="A757" s="7">
        <v>752</v>
      </c>
      <c r="B757" s="6">
        <v>441278</v>
      </c>
      <c r="C757" s="6">
        <v>3</v>
      </c>
      <c r="D757" s="6">
        <v>1300018</v>
      </c>
      <c r="E757" s="6">
        <v>1</v>
      </c>
      <c r="F757" s="6">
        <v>1</v>
      </c>
      <c r="J757" s="42" t="s">
        <v>1548</v>
      </c>
      <c r="K757" s="28" t="s">
        <v>3946</v>
      </c>
    </row>
    <row r="758" s="6" customFormat="1" ht="15.75" spans="1:11">
      <c r="A758" s="7">
        <v>753</v>
      </c>
      <c r="B758" s="6">
        <v>441279</v>
      </c>
      <c r="C758" s="6">
        <v>3</v>
      </c>
      <c r="D758" s="6">
        <v>1300003</v>
      </c>
      <c r="E758" s="6">
        <v>1</v>
      </c>
      <c r="F758" s="6">
        <v>1</v>
      </c>
      <c r="J758" s="42" t="s">
        <v>1572</v>
      </c>
      <c r="K758" s="28" t="s">
        <v>3946</v>
      </c>
    </row>
    <row r="759" s="6" customFormat="1" ht="15.75" spans="1:11">
      <c r="A759" s="7">
        <v>754</v>
      </c>
      <c r="B759" s="6">
        <v>441280</v>
      </c>
      <c r="C759" s="6">
        <v>3</v>
      </c>
      <c r="D759" s="6">
        <v>1300011</v>
      </c>
      <c r="E759" s="6">
        <v>1</v>
      </c>
      <c r="F759" s="6">
        <v>1</v>
      </c>
      <c r="J759" s="42" t="s">
        <v>2858</v>
      </c>
      <c r="K759" s="28" t="s">
        <v>3946</v>
      </c>
    </row>
    <row r="760" s="6" customFormat="1" ht="15.75" spans="1:11">
      <c r="A760" s="7">
        <v>755</v>
      </c>
      <c r="B760" s="6">
        <v>441281</v>
      </c>
      <c r="C760" s="6">
        <v>3</v>
      </c>
      <c r="D760" s="6">
        <v>1300024</v>
      </c>
      <c r="E760" s="6">
        <v>1</v>
      </c>
      <c r="F760" s="6">
        <v>1</v>
      </c>
      <c r="J760" s="42" t="s">
        <v>2880</v>
      </c>
      <c r="K760" s="28" t="s">
        <v>3946</v>
      </c>
    </row>
    <row r="761" s="6" customFormat="1" ht="15.75" spans="1:11">
      <c r="A761" s="7">
        <v>756</v>
      </c>
      <c r="B761" s="6">
        <v>441282</v>
      </c>
      <c r="C761" s="6">
        <v>3</v>
      </c>
      <c r="D761" s="6">
        <v>1300020</v>
      </c>
      <c r="E761" s="6">
        <v>1</v>
      </c>
      <c r="F761" s="6">
        <v>1</v>
      </c>
      <c r="J761" s="42" t="s">
        <v>1567</v>
      </c>
      <c r="K761" s="28" t="s">
        <v>3946</v>
      </c>
    </row>
    <row r="762" s="6" customFormat="1" ht="15.75" spans="1:11">
      <c r="A762" s="7">
        <v>757</v>
      </c>
      <c r="B762" s="6">
        <v>441283</v>
      </c>
      <c r="C762" s="6">
        <v>3</v>
      </c>
      <c r="D762" s="6">
        <v>1300007</v>
      </c>
      <c r="E762" s="6">
        <v>1</v>
      </c>
      <c r="F762" s="6">
        <v>1</v>
      </c>
      <c r="J762" s="42" t="s">
        <v>2848</v>
      </c>
      <c r="K762" s="28" t="s">
        <v>3946</v>
      </c>
    </row>
    <row r="763" s="6" customFormat="1" ht="15.75" spans="1:11">
      <c r="A763" s="7">
        <v>758</v>
      </c>
      <c r="B763" s="6">
        <v>441284</v>
      </c>
      <c r="C763" s="6">
        <v>3</v>
      </c>
      <c r="D763" s="6">
        <v>1302204</v>
      </c>
      <c r="E763" s="6">
        <v>1</v>
      </c>
      <c r="F763" s="6">
        <v>1</v>
      </c>
      <c r="J763" s="42" t="s">
        <v>1419</v>
      </c>
      <c r="K763" s="28" t="s">
        <v>3946</v>
      </c>
    </row>
    <row r="764" s="6" customFormat="1" ht="15.75" spans="1:11">
      <c r="A764" s="7">
        <v>759</v>
      </c>
      <c r="B764" s="6">
        <v>441285</v>
      </c>
      <c r="C764" s="6">
        <v>3</v>
      </c>
      <c r="D764" s="6">
        <v>1300019</v>
      </c>
      <c r="E764" s="6">
        <v>1</v>
      </c>
      <c r="F764" s="6">
        <v>1</v>
      </c>
      <c r="J764" s="43" t="s">
        <v>1951</v>
      </c>
      <c r="K764" s="28" t="s">
        <v>3946</v>
      </c>
    </row>
    <row r="765" s="6" customFormat="1" ht="15.75" spans="1:11">
      <c r="A765" s="7">
        <v>760</v>
      </c>
      <c r="B765" s="6">
        <v>441286</v>
      </c>
      <c r="C765" s="6">
        <v>3</v>
      </c>
      <c r="D765" s="6">
        <v>1300006</v>
      </c>
      <c r="E765" s="6">
        <v>1</v>
      </c>
      <c r="F765" s="6">
        <v>1</v>
      </c>
      <c r="J765" s="44" t="s">
        <v>2846</v>
      </c>
      <c r="K765" s="26" t="s">
        <v>3947</v>
      </c>
    </row>
    <row r="766" s="6" customFormat="1" ht="15.75" spans="1:11">
      <c r="A766" s="7">
        <v>761</v>
      </c>
      <c r="B766" s="6">
        <v>441287</v>
      </c>
      <c r="C766" s="6">
        <v>3</v>
      </c>
      <c r="D766" s="6">
        <v>1300014</v>
      </c>
      <c r="E766" s="6">
        <v>1</v>
      </c>
      <c r="F766" s="6">
        <v>1</v>
      </c>
      <c r="J766" s="44" t="s">
        <v>2863</v>
      </c>
      <c r="K766" s="26" t="s">
        <v>3947</v>
      </c>
    </row>
    <row r="767" s="6" customFormat="1" ht="15.75" spans="1:11">
      <c r="A767" s="7">
        <v>762</v>
      </c>
      <c r="B767" s="6">
        <v>441288</v>
      </c>
      <c r="C767" s="6">
        <v>3</v>
      </c>
      <c r="D767" s="6">
        <v>1300023</v>
      </c>
      <c r="E767" s="6">
        <v>1</v>
      </c>
      <c r="F767" s="6">
        <v>1</v>
      </c>
      <c r="J767" s="44" t="s">
        <v>2878</v>
      </c>
      <c r="K767" s="26" t="s">
        <v>3947</v>
      </c>
    </row>
    <row r="768" s="6" customFormat="1" ht="15.75" spans="1:11">
      <c r="A768" s="7">
        <v>763</v>
      </c>
      <c r="B768" s="6">
        <v>441289</v>
      </c>
      <c r="C768" s="6">
        <v>3</v>
      </c>
      <c r="D768" s="6">
        <v>1300007</v>
      </c>
      <c r="E768" s="6">
        <v>1</v>
      </c>
      <c r="F768" s="6">
        <v>1</v>
      </c>
      <c r="J768" s="44" t="s">
        <v>2848</v>
      </c>
      <c r="K768" s="26" t="s">
        <v>3947</v>
      </c>
    </row>
    <row r="769" s="6" customFormat="1" ht="15.75" spans="1:11">
      <c r="A769" s="7">
        <v>764</v>
      </c>
      <c r="B769" s="6">
        <v>441290</v>
      </c>
      <c r="C769" s="6">
        <v>3</v>
      </c>
      <c r="D769" s="6">
        <v>1300015</v>
      </c>
      <c r="E769" s="6">
        <v>1</v>
      </c>
      <c r="F769" s="6">
        <v>1</v>
      </c>
      <c r="J769" s="44" t="s">
        <v>2865</v>
      </c>
      <c r="K769" s="26" t="s">
        <v>3947</v>
      </c>
    </row>
    <row r="770" s="6" customFormat="1" ht="15.75" spans="1:11">
      <c r="A770" s="7">
        <v>765</v>
      </c>
      <c r="B770" s="6">
        <v>441291</v>
      </c>
      <c r="C770" s="6">
        <v>3</v>
      </c>
      <c r="D770" s="6">
        <v>1300021</v>
      </c>
      <c r="E770" s="6">
        <v>1</v>
      </c>
      <c r="F770" s="6">
        <v>1</v>
      </c>
      <c r="J770" s="44" t="s">
        <v>1962</v>
      </c>
      <c r="K770" s="26" t="s">
        <v>3947</v>
      </c>
    </row>
    <row r="771" s="6" customFormat="1" ht="15.75" spans="1:11">
      <c r="A771" s="7">
        <v>766</v>
      </c>
      <c r="B771" s="6">
        <v>441292</v>
      </c>
      <c r="C771" s="6">
        <v>3</v>
      </c>
      <c r="D771" s="6">
        <v>1300004</v>
      </c>
      <c r="E771" s="6">
        <v>1</v>
      </c>
      <c r="F771" s="6">
        <v>1</v>
      </c>
      <c r="J771" s="44" t="s">
        <v>2842</v>
      </c>
      <c r="K771" s="26" t="s">
        <v>3947</v>
      </c>
    </row>
    <row r="772" s="6" customFormat="1" ht="15.75" spans="1:11">
      <c r="A772" s="7">
        <v>767</v>
      </c>
      <c r="B772" s="6">
        <v>441293</v>
      </c>
      <c r="C772" s="6">
        <v>3</v>
      </c>
      <c r="D772" s="6">
        <v>1300012</v>
      </c>
      <c r="E772" s="6">
        <v>1</v>
      </c>
      <c r="F772" s="6">
        <v>1</v>
      </c>
      <c r="J772" s="44" t="s">
        <v>1563</v>
      </c>
      <c r="K772" s="26" t="s">
        <v>3947</v>
      </c>
    </row>
    <row r="773" s="6" customFormat="1" ht="15.75" spans="1:11">
      <c r="A773" s="7">
        <v>768</v>
      </c>
      <c r="B773" s="6">
        <v>441294</v>
      </c>
      <c r="C773" s="6">
        <v>3</v>
      </c>
      <c r="D773" s="6">
        <v>1300008</v>
      </c>
      <c r="E773" s="6">
        <v>1</v>
      </c>
      <c r="F773" s="6">
        <v>1</v>
      </c>
      <c r="J773" s="38" t="s">
        <v>2850</v>
      </c>
      <c r="K773" s="27" t="s">
        <v>3948</v>
      </c>
    </row>
    <row r="774" s="6" customFormat="1" ht="15.75" spans="1:11">
      <c r="A774" s="7">
        <v>769</v>
      </c>
      <c r="B774" s="6">
        <v>441295</v>
      </c>
      <c r="C774" s="6">
        <v>3</v>
      </c>
      <c r="D774" s="6">
        <v>1300016</v>
      </c>
      <c r="E774" s="6">
        <v>1</v>
      </c>
      <c r="F774" s="6">
        <v>1</v>
      </c>
      <c r="J774" s="38" t="s">
        <v>2867</v>
      </c>
      <c r="K774" s="27" t="s">
        <v>3948</v>
      </c>
    </row>
    <row r="775" s="6" customFormat="1" ht="15.75" spans="1:11">
      <c r="A775" s="7">
        <v>770</v>
      </c>
      <c r="B775" s="6">
        <v>441296</v>
      </c>
      <c r="C775" s="6">
        <v>3</v>
      </c>
      <c r="D775" s="6">
        <v>1300022</v>
      </c>
      <c r="E775" s="6">
        <v>1</v>
      </c>
      <c r="F775" s="6">
        <v>1</v>
      </c>
      <c r="J775" s="38" t="s">
        <v>3951</v>
      </c>
      <c r="K775" s="27" t="s">
        <v>3948</v>
      </c>
    </row>
    <row r="776" s="6" customFormat="1" ht="15" spans="1:11">
      <c r="A776" s="7">
        <v>771</v>
      </c>
      <c r="B776" s="6">
        <v>441297</v>
      </c>
      <c r="C776" s="6">
        <v>3</v>
      </c>
      <c r="D776" s="6">
        <v>1600001</v>
      </c>
      <c r="E776" s="6">
        <v>1</v>
      </c>
      <c r="F776" s="6">
        <v>1</v>
      </c>
      <c r="J776" s="1" t="s">
        <v>3960</v>
      </c>
      <c r="K776" s="6" t="s">
        <v>3949</v>
      </c>
    </row>
    <row r="777" s="6" customFormat="1" ht="15" spans="1:11">
      <c r="A777" s="7">
        <v>772</v>
      </c>
      <c r="B777" s="6">
        <v>441298</v>
      </c>
      <c r="C777" s="6">
        <v>3</v>
      </c>
      <c r="D777" s="6">
        <v>1600002</v>
      </c>
      <c r="E777" s="6">
        <v>1</v>
      </c>
      <c r="F777" s="6">
        <v>1</v>
      </c>
      <c r="J777" s="1" t="s">
        <v>3961</v>
      </c>
      <c r="K777" s="6" t="s">
        <v>3949</v>
      </c>
    </row>
    <row r="778" s="6" customFormat="1" ht="15" spans="1:11">
      <c r="A778" s="7">
        <v>773</v>
      </c>
      <c r="B778" s="6">
        <v>441299</v>
      </c>
      <c r="C778" s="6">
        <v>3</v>
      </c>
      <c r="D778" s="6">
        <v>1600003</v>
      </c>
      <c r="E778" s="6">
        <v>1</v>
      </c>
      <c r="F778" s="6">
        <v>1</v>
      </c>
      <c r="J778" s="1" t="s">
        <v>3962</v>
      </c>
      <c r="K778" s="6" t="s">
        <v>3949</v>
      </c>
    </row>
    <row r="779" s="6" customFormat="1" ht="15" spans="1:11">
      <c r="A779" s="7">
        <v>774</v>
      </c>
      <c r="B779" s="6">
        <v>441300</v>
      </c>
      <c r="C779" s="6">
        <v>3</v>
      </c>
      <c r="D779" s="6">
        <v>1600004</v>
      </c>
      <c r="E779" s="6">
        <v>1</v>
      </c>
      <c r="F779" s="6">
        <v>1</v>
      </c>
      <c r="J779" s="1" t="s">
        <v>3963</v>
      </c>
      <c r="K779" s="6" t="s">
        <v>3949</v>
      </c>
    </row>
    <row r="780" s="6" customFormat="1" ht="15" spans="1:11">
      <c r="A780" s="7">
        <v>775</v>
      </c>
      <c r="B780" s="6">
        <v>441301</v>
      </c>
      <c r="C780" s="6">
        <v>3</v>
      </c>
      <c r="D780" s="6">
        <v>1500001</v>
      </c>
      <c r="E780" s="6">
        <v>1</v>
      </c>
      <c r="F780" s="6">
        <v>1</v>
      </c>
      <c r="J780" s="1" t="s">
        <v>3964</v>
      </c>
      <c r="K780" s="6" t="s">
        <v>3950</v>
      </c>
    </row>
    <row r="781" s="6" customFormat="1" ht="15" spans="1:11">
      <c r="A781" s="7">
        <v>776</v>
      </c>
      <c r="B781" s="6">
        <v>441302</v>
      </c>
      <c r="C781" s="6">
        <v>3</v>
      </c>
      <c r="D781" s="6">
        <v>1500002</v>
      </c>
      <c r="E781" s="6">
        <v>1</v>
      </c>
      <c r="F781" s="6">
        <v>1</v>
      </c>
      <c r="J781" s="1" t="s">
        <v>3965</v>
      </c>
      <c r="K781" s="6" t="s">
        <v>3950</v>
      </c>
    </row>
    <row r="782" s="6" customFormat="1" ht="15" spans="1:11">
      <c r="A782" s="7">
        <v>777</v>
      </c>
      <c r="B782" s="6">
        <v>441303</v>
      </c>
      <c r="C782" s="6">
        <v>3</v>
      </c>
      <c r="D782" s="6">
        <v>1500003</v>
      </c>
      <c r="E782" s="6">
        <v>1</v>
      </c>
      <c r="F782" s="6">
        <v>1</v>
      </c>
      <c r="J782" s="1" t="s">
        <v>3966</v>
      </c>
      <c r="K782" s="6" t="s">
        <v>3950</v>
      </c>
    </row>
    <row r="783" s="6" customFormat="1" ht="15" spans="1:11">
      <c r="A783" s="7">
        <v>778</v>
      </c>
      <c r="B783" s="6">
        <v>441304</v>
      </c>
      <c r="C783" s="6">
        <v>3</v>
      </c>
      <c r="D783" s="6">
        <v>1500004</v>
      </c>
      <c r="E783" s="6">
        <v>1</v>
      </c>
      <c r="F783" s="6">
        <v>1</v>
      </c>
      <c r="J783" s="1" t="s">
        <v>3967</v>
      </c>
      <c r="K783" s="6" t="s">
        <v>3950</v>
      </c>
    </row>
    <row r="784" s="6" customFormat="1" ht="15" spans="1:11">
      <c r="A784" s="7">
        <v>779</v>
      </c>
      <c r="B784" s="6">
        <v>441305</v>
      </c>
      <c r="C784" s="6">
        <v>3</v>
      </c>
      <c r="D784" s="6">
        <v>1500005</v>
      </c>
      <c r="E784" s="6">
        <v>1</v>
      </c>
      <c r="F784" s="6">
        <v>1</v>
      </c>
      <c r="J784" s="1" t="s">
        <v>3968</v>
      </c>
      <c r="K784" s="6" t="s">
        <v>3950</v>
      </c>
    </row>
    <row r="785" s="6" customFormat="1" ht="15" spans="1:11">
      <c r="A785" s="7">
        <v>780</v>
      </c>
      <c r="B785" s="6">
        <v>441306</v>
      </c>
      <c r="C785" s="6">
        <v>3</v>
      </c>
      <c r="D785" s="6">
        <v>1500006</v>
      </c>
      <c r="E785" s="6">
        <v>1</v>
      </c>
      <c r="F785" s="6">
        <v>1</v>
      </c>
      <c r="J785" s="1" t="s">
        <v>3969</v>
      </c>
      <c r="K785" s="6" t="s">
        <v>3950</v>
      </c>
    </row>
    <row r="786" s="6" customFormat="1" ht="15" spans="1:11">
      <c r="A786" s="7">
        <v>781</v>
      </c>
      <c r="B786" s="6">
        <v>441307</v>
      </c>
      <c r="C786" s="6">
        <v>3</v>
      </c>
      <c r="D786" s="6">
        <v>1500007</v>
      </c>
      <c r="E786" s="6">
        <v>1</v>
      </c>
      <c r="F786" s="6">
        <v>1</v>
      </c>
      <c r="J786" s="1" t="s">
        <v>3970</v>
      </c>
      <c r="K786" s="6" t="s">
        <v>3950</v>
      </c>
    </row>
    <row r="787" s="6" customFormat="1" ht="15" spans="1:11">
      <c r="A787" s="7">
        <v>782</v>
      </c>
      <c r="B787" s="6">
        <v>441308</v>
      </c>
      <c r="C787" s="6">
        <v>3</v>
      </c>
      <c r="D787" s="6">
        <v>1500008</v>
      </c>
      <c r="E787" s="6">
        <v>1</v>
      </c>
      <c r="F787" s="6">
        <v>1</v>
      </c>
      <c r="J787" s="1" t="s">
        <v>3971</v>
      </c>
      <c r="K787" s="6" t="s">
        <v>3950</v>
      </c>
    </row>
    <row r="788" s="6" customFormat="1" spans="1:13">
      <c r="A788" s="7">
        <v>783</v>
      </c>
      <c r="B788" s="6">
        <v>410001</v>
      </c>
      <c r="C788" s="6">
        <v>2</v>
      </c>
      <c r="G788" s="6">
        <v>440001</v>
      </c>
      <c r="H788" s="6">
        <v>10</v>
      </c>
      <c r="J788" s="6" t="s">
        <v>3972</v>
      </c>
      <c r="K788" s="6" t="s">
        <v>3973</v>
      </c>
      <c r="M788" s="6">
        <v>10</v>
      </c>
    </row>
    <row r="789" s="6" customFormat="1" spans="1:13">
      <c r="A789" s="7">
        <v>784</v>
      </c>
      <c r="B789" s="6">
        <v>410001</v>
      </c>
      <c r="C789" s="6">
        <v>2</v>
      </c>
      <c r="G789" s="6">
        <v>440002</v>
      </c>
      <c r="H789" s="6">
        <v>10</v>
      </c>
      <c r="J789" s="6" t="s">
        <v>3974</v>
      </c>
      <c r="K789" s="6" t="s">
        <v>3973</v>
      </c>
      <c r="M789" s="6">
        <v>8</v>
      </c>
    </row>
    <row r="790" s="6" customFormat="1" spans="1:13">
      <c r="A790" s="7">
        <v>785</v>
      </c>
      <c r="B790" s="6">
        <v>410001</v>
      </c>
      <c r="C790" s="6">
        <v>2</v>
      </c>
      <c r="G790" s="6">
        <v>440003</v>
      </c>
      <c r="H790" s="6">
        <v>5</v>
      </c>
      <c r="J790" s="6" t="s">
        <v>3975</v>
      </c>
      <c r="K790" s="6" t="s">
        <v>3973</v>
      </c>
      <c r="M790" s="6">
        <v>6</v>
      </c>
    </row>
    <row r="791" s="6" customFormat="1" spans="1:13">
      <c r="A791" s="7">
        <v>786</v>
      </c>
      <c r="B791" s="6">
        <v>410001</v>
      </c>
      <c r="C791" s="6">
        <v>2</v>
      </c>
      <c r="G791" s="6">
        <v>440004</v>
      </c>
      <c r="H791" s="6">
        <v>2</v>
      </c>
      <c r="J791" s="6" t="s">
        <v>3976</v>
      </c>
      <c r="K791" s="6" t="s">
        <v>3973</v>
      </c>
      <c r="M791" s="6">
        <v>3</v>
      </c>
    </row>
    <row r="792" s="6" customFormat="1" spans="1:13">
      <c r="A792" s="7">
        <v>787</v>
      </c>
      <c r="B792" s="6">
        <v>410001</v>
      </c>
      <c r="C792" s="6">
        <v>2</v>
      </c>
      <c r="G792" s="6">
        <v>440014</v>
      </c>
      <c r="H792" s="6">
        <v>15</v>
      </c>
      <c r="J792" s="6" t="s">
        <v>3977</v>
      </c>
      <c r="K792" s="6" t="s">
        <v>3973</v>
      </c>
      <c r="M792" s="6">
        <v>10</v>
      </c>
    </row>
    <row r="793" s="6" customFormat="1" spans="1:13">
      <c r="A793" s="7">
        <v>788</v>
      </c>
      <c r="B793" s="6">
        <v>410001</v>
      </c>
      <c r="C793" s="6">
        <v>2</v>
      </c>
      <c r="G793" s="6">
        <v>440015</v>
      </c>
      <c r="H793" s="6">
        <v>15</v>
      </c>
      <c r="J793" s="6" t="s">
        <v>3978</v>
      </c>
      <c r="K793" s="6" t="s">
        <v>3973</v>
      </c>
      <c r="M793" s="6">
        <v>8</v>
      </c>
    </row>
    <row r="794" s="6" customFormat="1" spans="1:13">
      <c r="A794" s="7">
        <v>789</v>
      </c>
      <c r="B794" s="6">
        <v>410001</v>
      </c>
      <c r="C794" s="6">
        <v>2</v>
      </c>
      <c r="G794" s="6">
        <v>440016</v>
      </c>
      <c r="H794" s="6">
        <v>5</v>
      </c>
      <c r="J794" s="6" t="s">
        <v>3979</v>
      </c>
      <c r="K794" s="6" t="s">
        <v>3973</v>
      </c>
      <c r="M794" s="6">
        <v>6</v>
      </c>
    </row>
    <row r="795" s="6" customFormat="1" spans="1:13">
      <c r="A795" s="7">
        <v>790</v>
      </c>
      <c r="B795" s="6">
        <v>410001</v>
      </c>
      <c r="C795" s="6">
        <v>2</v>
      </c>
      <c r="G795" s="6">
        <v>440018</v>
      </c>
      <c r="H795" s="6">
        <v>15</v>
      </c>
      <c r="J795" s="6" t="s">
        <v>3980</v>
      </c>
      <c r="K795" s="6" t="s">
        <v>3973</v>
      </c>
      <c r="M795" s="6">
        <v>12</v>
      </c>
    </row>
    <row r="796" s="6" customFormat="1" spans="1:13">
      <c r="A796" s="7">
        <v>791</v>
      </c>
      <c r="B796" s="6">
        <v>410001</v>
      </c>
      <c r="C796" s="6">
        <v>2</v>
      </c>
      <c r="G796" s="6">
        <v>440019</v>
      </c>
      <c r="H796" s="6">
        <v>15</v>
      </c>
      <c r="J796" s="6" t="s">
        <v>3981</v>
      </c>
      <c r="K796" s="6" t="s">
        <v>3973</v>
      </c>
      <c r="M796" s="6">
        <v>12</v>
      </c>
    </row>
    <row r="797" s="6" customFormat="1" spans="1:13">
      <c r="A797" s="7">
        <v>792</v>
      </c>
      <c r="B797" s="6">
        <v>410001</v>
      </c>
      <c r="C797" s="6">
        <v>2</v>
      </c>
      <c r="G797" s="6">
        <v>440021</v>
      </c>
      <c r="H797" s="6">
        <v>4</v>
      </c>
      <c r="J797" s="6" t="s">
        <v>3982</v>
      </c>
      <c r="K797" s="6" t="s">
        <v>3973</v>
      </c>
      <c r="M797" s="6">
        <v>2</v>
      </c>
    </row>
    <row r="798" s="6" customFormat="1" spans="1:13">
      <c r="A798" s="7">
        <v>793</v>
      </c>
      <c r="B798" s="6">
        <v>410001</v>
      </c>
      <c r="C798" s="6">
        <v>2</v>
      </c>
      <c r="G798" s="6">
        <v>440022</v>
      </c>
      <c r="H798" s="6">
        <v>4</v>
      </c>
      <c r="J798" s="6" t="s">
        <v>3983</v>
      </c>
      <c r="K798" s="6" t="s">
        <v>3973</v>
      </c>
      <c r="M798" s="6">
        <v>2</v>
      </c>
    </row>
    <row r="799" s="6" customFormat="1" spans="1:13">
      <c r="A799" s="7">
        <v>794</v>
      </c>
      <c r="B799" s="6">
        <v>410001</v>
      </c>
      <c r="C799" s="6">
        <v>2</v>
      </c>
      <c r="G799" s="6">
        <v>440005</v>
      </c>
      <c r="H799" s="6">
        <v>3</v>
      </c>
      <c r="J799" s="6" t="s">
        <v>3906</v>
      </c>
      <c r="K799" s="6" t="s">
        <v>3973</v>
      </c>
      <c r="M799" s="6">
        <v>1</v>
      </c>
    </row>
    <row r="800" s="6" customFormat="1" spans="1:13">
      <c r="A800" s="7">
        <v>795</v>
      </c>
      <c r="B800" s="6">
        <v>410001</v>
      </c>
      <c r="C800" s="6">
        <v>2</v>
      </c>
      <c r="G800" s="6">
        <v>440006</v>
      </c>
      <c r="H800" s="6">
        <v>3</v>
      </c>
      <c r="J800" s="6" t="s">
        <v>3907</v>
      </c>
      <c r="K800" s="6" t="s">
        <v>3973</v>
      </c>
      <c r="M800" s="6">
        <v>1</v>
      </c>
    </row>
    <row r="801" s="6" customFormat="1" spans="1:13">
      <c r="A801" s="7">
        <v>796</v>
      </c>
      <c r="B801" s="6">
        <v>410001</v>
      </c>
      <c r="C801" s="6">
        <v>2</v>
      </c>
      <c r="G801" s="6">
        <v>440007</v>
      </c>
      <c r="H801" s="6">
        <v>3</v>
      </c>
      <c r="J801" s="6" t="s">
        <v>3908</v>
      </c>
      <c r="K801" s="6" t="s">
        <v>3973</v>
      </c>
      <c r="M801" s="6">
        <v>1</v>
      </c>
    </row>
    <row r="802" s="6" customFormat="1" spans="1:13">
      <c r="A802" s="7">
        <v>797</v>
      </c>
      <c r="B802" s="6">
        <v>410001</v>
      </c>
      <c r="C802" s="6">
        <v>2</v>
      </c>
      <c r="G802" s="6">
        <v>440008</v>
      </c>
      <c r="H802" s="6">
        <v>2</v>
      </c>
      <c r="J802" s="6" t="s">
        <v>3909</v>
      </c>
      <c r="K802" s="6" t="s">
        <v>3973</v>
      </c>
      <c r="M802" s="6">
        <v>200</v>
      </c>
    </row>
    <row r="803" s="6" customFormat="1" spans="1:13">
      <c r="A803" s="7">
        <v>798</v>
      </c>
      <c r="B803" s="6">
        <v>410001</v>
      </c>
      <c r="C803" s="6">
        <v>2</v>
      </c>
      <c r="G803" s="6">
        <v>440009</v>
      </c>
      <c r="H803" s="6">
        <v>2</v>
      </c>
      <c r="J803" s="6" t="s">
        <v>3910</v>
      </c>
      <c r="K803" s="6" t="s">
        <v>3973</v>
      </c>
      <c r="M803" s="6">
        <v>1000</v>
      </c>
    </row>
    <row r="804" s="6" customFormat="1" spans="1:13">
      <c r="A804" s="7">
        <v>799</v>
      </c>
      <c r="B804" s="6">
        <v>410001</v>
      </c>
      <c r="C804" s="6">
        <v>2</v>
      </c>
      <c r="G804" s="6">
        <v>440010</v>
      </c>
      <c r="H804" s="6">
        <v>1</v>
      </c>
      <c r="J804" s="6" t="s">
        <v>3911</v>
      </c>
      <c r="K804" s="6" t="s">
        <v>3973</v>
      </c>
      <c r="M804" s="6">
        <v>5000</v>
      </c>
    </row>
    <row r="805" s="6" customFormat="1" spans="1:13">
      <c r="A805" s="7">
        <v>800</v>
      </c>
      <c r="B805" s="6">
        <v>410001</v>
      </c>
      <c r="C805" s="6">
        <v>2</v>
      </c>
      <c r="G805" s="6">
        <v>440011</v>
      </c>
      <c r="H805" s="6">
        <v>2</v>
      </c>
      <c r="J805" s="6" t="s">
        <v>3912</v>
      </c>
      <c r="K805" s="6" t="s">
        <v>3973</v>
      </c>
      <c r="M805" s="6">
        <v>5000</v>
      </c>
    </row>
    <row r="806" s="6" customFormat="1" spans="1:13">
      <c r="A806" s="7">
        <v>801</v>
      </c>
      <c r="B806" s="6">
        <v>410001</v>
      </c>
      <c r="C806" s="6">
        <v>2</v>
      </c>
      <c r="G806" s="6">
        <v>440012</v>
      </c>
      <c r="H806" s="6">
        <v>2</v>
      </c>
      <c r="J806" s="6" t="s">
        <v>3913</v>
      </c>
      <c r="K806" s="6" t="s">
        <v>3973</v>
      </c>
      <c r="M806" s="6">
        <v>20000</v>
      </c>
    </row>
    <row r="807" s="6" customFormat="1" spans="1:13">
      <c r="A807" s="7">
        <v>802</v>
      </c>
      <c r="B807" s="6">
        <v>410001</v>
      </c>
      <c r="C807" s="6">
        <v>2</v>
      </c>
      <c r="G807" s="6">
        <v>440013</v>
      </c>
      <c r="H807" s="6">
        <v>1</v>
      </c>
      <c r="J807" s="6" t="s">
        <v>3914</v>
      </c>
      <c r="K807" s="6" t="s">
        <v>3973</v>
      </c>
      <c r="M807" s="6">
        <v>50000</v>
      </c>
    </row>
    <row r="808" s="6" customFormat="1" spans="1:13">
      <c r="A808" s="7">
        <v>803</v>
      </c>
      <c r="B808" s="6">
        <v>410002</v>
      </c>
      <c r="C808" s="6">
        <v>2</v>
      </c>
      <c r="G808" s="6">
        <v>440001</v>
      </c>
      <c r="H808" s="6">
        <v>10</v>
      </c>
      <c r="J808" s="6" t="s">
        <v>3972</v>
      </c>
      <c r="K808" s="6" t="s">
        <v>3984</v>
      </c>
      <c r="M808" s="6">
        <v>10</v>
      </c>
    </row>
    <row r="809" s="6" customFormat="1" spans="1:13">
      <c r="A809" s="7">
        <v>804</v>
      </c>
      <c r="B809" s="6">
        <v>410002</v>
      </c>
      <c r="C809" s="6">
        <v>2</v>
      </c>
      <c r="G809" s="6">
        <v>440002</v>
      </c>
      <c r="H809" s="6">
        <v>10</v>
      </c>
      <c r="J809" s="6" t="s">
        <v>3974</v>
      </c>
      <c r="K809" s="6" t="s">
        <v>3984</v>
      </c>
      <c r="M809" s="6">
        <v>8</v>
      </c>
    </row>
    <row r="810" s="6" customFormat="1" spans="1:13">
      <c r="A810" s="7">
        <v>805</v>
      </c>
      <c r="B810" s="6">
        <v>410002</v>
      </c>
      <c r="C810" s="6">
        <v>2</v>
      </c>
      <c r="G810" s="6">
        <v>440003</v>
      </c>
      <c r="H810" s="6">
        <v>5</v>
      </c>
      <c r="J810" s="6" t="s">
        <v>3975</v>
      </c>
      <c r="K810" s="6" t="s">
        <v>3984</v>
      </c>
      <c r="M810" s="6">
        <v>6</v>
      </c>
    </row>
    <row r="811" s="6" customFormat="1" spans="1:13">
      <c r="A811" s="7">
        <v>806</v>
      </c>
      <c r="B811" s="6">
        <v>410002</v>
      </c>
      <c r="C811" s="6">
        <v>2</v>
      </c>
      <c r="G811" s="6">
        <v>440004</v>
      </c>
      <c r="H811" s="6">
        <v>2</v>
      </c>
      <c r="J811" s="6" t="s">
        <v>3976</v>
      </c>
      <c r="K811" s="6" t="s">
        <v>3984</v>
      </c>
      <c r="M811" s="6">
        <v>3</v>
      </c>
    </row>
    <row r="812" s="6" customFormat="1" spans="1:13">
      <c r="A812" s="7">
        <v>807</v>
      </c>
      <c r="B812" s="6">
        <v>410002</v>
      </c>
      <c r="C812" s="6">
        <v>2</v>
      </c>
      <c r="G812" s="6">
        <v>440023</v>
      </c>
      <c r="H812" s="6">
        <v>15</v>
      </c>
      <c r="J812" s="6" t="s">
        <v>3977</v>
      </c>
      <c r="K812" s="6" t="s">
        <v>3984</v>
      </c>
      <c r="M812" s="6">
        <v>10</v>
      </c>
    </row>
    <row r="813" s="6" customFormat="1" spans="1:13">
      <c r="A813" s="7">
        <v>808</v>
      </c>
      <c r="B813" s="6">
        <v>410002</v>
      </c>
      <c r="C813" s="6">
        <v>2</v>
      </c>
      <c r="G813" s="6">
        <v>440024</v>
      </c>
      <c r="H813" s="6">
        <v>15</v>
      </c>
      <c r="J813" s="6" t="s">
        <v>3978</v>
      </c>
      <c r="K813" s="6" t="s">
        <v>3984</v>
      </c>
      <c r="M813" s="6">
        <v>8</v>
      </c>
    </row>
    <row r="814" s="6" customFormat="1" spans="1:13">
      <c r="A814" s="7">
        <v>809</v>
      </c>
      <c r="B814" s="6">
        <v>410002</v>
      </c>
      <c r="C814" s="6">
        <v>2</v>
      </c>
      <c r="G814" s="6">
        <v>440025</v>
      </c>
      <c r="H814" s="6">
        <v>5</v>
      </c>
      <c r="J814" s="6" t="s">
        <v>3979</v>
      </c>
      <c r="K814" s="6" t="s">
        <v>3984</v>
      </c>
      <c r="M814" s="6">
        <v>6</v>
      </c>
    </row>
    <row r="815" s="6" customFormat="1" spans="1:13">
      <c r="A815" s="7">
        <v>810</v>
      </c>
      <c r="B815" s="6">
        <v>410002</v>
      </c>
      <c r="C815" s="6">
        <v>2</v>
      </c>
      <c r="G815" s="6">
        <v>440027</v>
      </c>
      <c r="H815" s="6">
        <v>15</v>
      </c>
      <c r="J815" s="6" t="s">
        <v>3980</v>
      </c>
      <c r="K815" s="6" t="s">
        <v>3984</v>
      </c>
      <c r="M815" s="6">
        <v>12</v>
      </c>
    </row>
    <row r="816" s="6" customFormat="1" spans="1:13">
      <c r="A816" s="7">
        <v>811</v>
      </c>
      <c r="B816" s="6">
        <v>410002</v>
      </c>
      <c r="C816" s="6">
        <v>2</v>
      </c>
      <c r="G816" s="6">
        <v>440028</v>
      </c>
      <c r="H816" s="6">
        <v>15</v>
      </c>
      <c r="J816" s="6" t="s">
        <v>3981</v>
      </c>
      <c r="K816" s="6" t="s">
        <v>3984</v>
      </c>
      <c r="M816" s="6">
        <v>12</v>
      </c>
    </row>
    <row r="817" s="6" customFormat="1" spans="1:13">
      <c r="A817" s="7">
        <v>812</v>
      </c>
      <c r="B817" s="6">
        <v>410002</v>
      </c>
      <c r="C817" s="6">
        <v>2</v>
      </c>
      <c r="G817" s="6">
        <v>440030</v>
      </c>
      <c r="H817" s="6">
        <v>4</v>
      </c>
      <c r="J817" s="6" t="s">
        <v>3982</v>
      </c>
      <c r="K817" s="6" t="s">
        <v>3984</v>
      </c>
      <c r="M817" s="6">
        <v>2</v>
      </c>
    </row>
    <row r="818" s="6" customFormat="1" spans="1:13">
      <c r="A818" s="7">
        <v>813</v>
      </c>
      <c r="B818" s="6">
        <v>410002</v>
      </c>
      <c r="C818" s="6">
        <v>2</v>
      </c>
      <c r="G818" s="6">
        <v>440031</v>
      </c>
      <c r="H818" s="6">
        <v>4</v>
      </c>
      <c r="J818" s="6" t="s">
        <v>3983</v>
      </c>
      <c r="K818" s="6" t="s">
        <v>3984</v>
      </c>
      <c r="M818" s="6">
        <v>2</v>
      </c>
    </row>
    <row r="819" s="6" customFormat="1" spans="1:13">
      <c r="A819" s="7">
        <v>814</v>
      </c>
      <c r="B819" s="6">
        <v>410002</v>
      </c>
      <c r="C819" s="6">
        <v>2</v>
      </c>
      <c r="G819" s="6">
        <v>440005</v>
      </c>
      <c r="H819" s="6">
        <v>3</v>
      </c>
      <c r="J819" s="6" t="s">
        <v>3906</v>
      </c>
      <c r="K819" s="6" t="s">
        <v>3984</v>
      </c>
      <c r="M819" s="6">
        <v>1</v>
      </c>
    </row>
    <row r="820" s="6" customFormat="1" spans="1:13">
      <c r="A820" s="7">
        <v>815</v>
      </c>
      <c r="B820" s="6">
        <v>410002</v>
      </c>
      <c r="C820" s="6">
        <v>2</v>
      </c>
      <c r="G820" s="6">
        <v>440006</v>
      </c>
      <c r="H820" s="6">
        <v>3</v>
      </c>
      <c r="J820" s="6" t="s">
        <v>3907</v>
      </c>
      <c r="K820" s="6" t="s">
        <v>3984</v>
      </c>
      <c r="M820" s="6">
        <v>1</v>
      </c>
    </row>
    <row r="821" s="6" customFormat="1" spans="1:13">
      <c r="A821" s="7">
        <v>816</v>
      </c>
      <c r="B821" s="6">
        <v>410002</v>
      </c>
      <c r="C821" s="6">
        <v>2</v>
      </c>
      <c r="G821" s="6">
        <v>440007</v>
      </c>
      <c r="H821" s="6">
        <v>3</v>
      </c>
      <c r="J821" s="6" t="s">
        <v>3908</v>
      </c>
      <c r="K821" s="6" t="s">
        <v>3984</v>
      </c>
      <c r="M821" s="6">
        <v>1</v>
      </c>
    </row>
    <row r="822" s="6" customFormat="1" spans="1:13">
      <c r="A822" s="7">
        <v>817</v>
      </c>
      <c r="B822" s="6">
        <v>410002</v>
      </c>
      <c r="C822" s="6">
        <v>2</v>
      </c>
      <c r="G822" s="6">
        <v>440008</v>
      </c>
      <c r="H822" s="6">
        <v>2</v>
      </c>
      <c r="J822" s="6" t="s">
        <v>3909</v>
      </c>
      <c r="K822" s="6" t="s">
        <v>3984</v>
      </c>
      <c r="M822" s="6">
        <v>200</v>
      </c>
    </row>
    <row r="823" s="6" customFormat="1" spans="1:13">
      <c r="A823" s="7">
        <v>818</v>
      </c>
      <c r="B823" s="6">
        <v>410002</v>
      </c>
      <c r="C823" s="6">
        <v>2</v>
      </c>
      <c r="G823" s="6">
        <v>440009</v>
      </c>
      <c r="H823" s="6">
        <v>2</v>
      </c>
      <c r="J823" s="6" t="s">
        <v>3910</v>
      </c>
      <c r="K823" s="6" t="s">
        <v>3984</v>
      </c>
      <c r="M823" s="6">
        <v>1000</v>
      </c>
    </row>
    <row r="824" s="6" customFormat="1" spans="1:13">
      <c r="A824" s="7">
        <v>819</v>
      </c>
      <c r="B824" s="6">
        <v>410002</v>
      </c>
      <c r="C824" s="6">
        <v>2</v>
      </c>
      <c r="G824" s="6">
        <v>440010</v>
      </c>
      <c r="H824" s="6">
        <v>1</v>
      </c>
      <c r="J824" s="6" t="s">
        <v>3911</v>
      </c>
      <c r="K824" s="6" t="s">
        <v>3984</v>
      </c>
      <c r="M824" s="6">
        <v>5000</v>
      </c>
    </row>
    <row r="825" s="6" customFormat="1" spans="1:13">
      <c r="A825" s="7">
        <v>820</v>
      </c>
      <c r="B825" s="6">
        <v>410002</v>
      </c>
      <c r="C825" s="6">
        <v>2</v>
      </c>
      <c r="G825" s="6">
        <v>440011</v>
      </c>
      <c r="H825" s="6">
        <v>2</v>
      </c>
      <c r="J825" s="6" t="s">
        <v>3912</v>
      </c>
      <c r="K825" s="6" t="s">
        <v>3984</v>
      </c>
      <c r="M825" s="6">
        <v>5000</v>
      </c>
    </row>
    <row r="826" s="6" customFormat="1" spans="1:13">
      <c r="A826" s="7">
        <v>821</v>
      </c>
      <c r="B826" s="6">
        <v>410002</v>
      </c>
      <c r="C826" s="6">
        <v>2</v>
      </c>
      <c r="G826" s="6">
        <v>440012</v>
      </c>
      <c r="H826" s="6">
        <v>2</v>
      </c>
      <c r="J826" s="6" t="s">
        <v>3913</v>
      </c>
      <c r="K826" s="6" t="s">
        <v>3984</v>
      </c>
      <c r="M826" s="6">
        <v>20000</v>
      </c>
    </row>
    <row r="827" s="6" customFormat="1" spans="1:13">
      <c r="A827" s="7">
        <v>822</v>
      </c>
      <c r="B827" s="6">
        <v>410002</v>
      </c>
      <c r="C827" s="6">
        <v>2</v>
      </c>
      <c r="G827" s="6">
        <v>440013</v>
      </c>
      <c r="H827" s="6">
        <v>1</v>
      </c>
      <c r="J827" s="6" t="s">
        <v>3914</v>
      </c>
      <c r="K827" s="6" t="s">
        <v>3984</v>
      </c>
      <c r="M827" s="6">
        <v>50000</v>
      </c>
    </row>
    <row r="828" s="6" customFormat="1" spans="1:13">
      <c r="A828" s="7">
        <v>823</v>
      </c>
      <c r="B828" s="6">
        <v>410003</v>
      </c>
      <c r="C828" s="6">
        <v>2</v>
      </c>
      <c r="G828" s="6">
        <v>440001</v>
      </c>
      <c r="H828" s="6">
        <v>10</v>
      </c>
      <c r="J828" s="6" t="s">
        <v>3972</v>
      </c>
      <c r="K828" s="6" t="s">
        <v>3985</v>
      </c>
      <c r="M828" s="6">
        <v>10</v>
      </c>
    </row>
    <row r="829" s="6" customFormat="1" spans="1:13">
      <c r="A829" s="7">
        <v>824</v>
      </c>
      <c r="B829" s="6">
        <v>410003</v>
      </c>
      <c r="C829" s="6">
        <v>2</v>
      </c>
      <c r="G829" s="6">
        <v>440002</v>
      </c>
      <c r="H829" s="6">
        <v>10</v>
      </c>
      <c r="J829" s="6" t="s">
        <v>3974</v>
      </c>
      <c r="K829" s="6" t="s">
        <v>3985</v>
      </c>
      <c r="M829" s="6">
        <v>8</v>
      </c>
    </row>
    <row r="830" s="6" customFormat="1" spans="1:13">
      <c r="A830" s="7">
        <v>825</v>
      </c>
      <c r="B830" s="6">
        <v>410003</v>
      </c>
      <c r="C830" s="6">
        <v>2</v>
      </c>
      <c r="G830" s="6">
        <v>440003</v>
      </c>
      <c r="H830" s="6">
        <v>5</v>
      </c>
      <c r="J830" s="6" t="s">
        <v>3975</v>
      </c>
      <c r="K830" s="6" t="s">
        <v>3985</v>
      </c>
      <c r="M830" s="6">
        <v>6</v>
      </c>
    </row>
    <row r="831" s="6" customFormat="1" spans="1:13">
      <c r="A831" s="7">
        <v>826</v>
      </c>
      <c r="B831" s="6">
        <v>410003</v>
      </c>
      <c r="C831" s="6">
        <v>2</v>
      </c>
      <c r="G831" s="6">
        <v>440004</v>
      </c>
      <c r="H831" s="6">
        <v>2</v>
      </c>
      <c r="J831" s="6" t="s">
        <v>3976</v>
      </c>
      <c r="K831" s="6" t="s">
        <v>3985</v>
      </c>
      <c r="M831" s="6">
        <v>3</v>
      </c>
    </row>
    <row r="832" s="6" customFormat="1" spans="1:13">
      <c r="A832" s="7">
        <v>827</v>
      </c>
      <c r="B832" s="6">
        <v>410003</v>
      </c>
      <c r="C832" s="6">
        <v>2</v>
      </c>
      <c r="G832" s="6">
        <v>440032</v>
      </c>
      <c r="H832" s="6">
        <v>15</v>
      </c>
      <c r="J832" s="6" t="s">
        <v>3977</v>
      </c>
      <c r="K832" s="6" t="s">
        <v>3985</v>
      </c>
      <c r="M832" s="6">
        <v>10</v>
      </c>
    </row>
    <row r="833" s="6" customFormat="1" spans="1:13">
      <c r="A833" s="7">
        <v>828</v>
      </c>
      <c r="B833" s="6">
        <v>410003</v>
      </c>
      <c r="C833" s="6">
        <v>2</v>
      </c>
      <c r="G833" s="6">
        <v>440033</v>
      </c>
      <c r="H833" s="6">
        <v>15</v>
      </c>
      <c r="J833" s="6" t="s">
        <v>3978</v>
      </c>
      <c r="K833" s="6" t="s">
        <v>3985</v>
      </c>
      <c r="M833" s="6">
        <v>8</v>
      </c>
    </row>
    <row r="834" s="6" customFormat="1" spans="1:13">
      <c r="A834" s="7">
        <v>829</v>
      </c>
      <c r="B834" s="6">
        <v>410003</v>
      </c>
      <c r="C834" s="6">
        <v>2</v>
      </c>
      <c r="G834" s="6">
        <v>440034</v>
      </c>
      <c r="H834" s="6">
        <v>5</v>
      </c>
      <c r="J834" s="6" t="s">
        <v>3979</v>
      </c>
      <c r="K834" s="6" t="s">
        <v>3985</v>
      </c>
      <c r="M834" s="6">
        <v>6</v>
      </c>
    </row>
    <row r="835" s="6" customFormat="1" spans="1:13">
      <c r="A835" s="7">
        <v>830</v>
      </c>
      <c r="B835" s="6">
        <v>410003</v>
      </c>
      <c r="C835" s="6">
        <v>2</v>
      </c>
      <c r="G835" s="6">
        <v>440036</v>
      </c>
      <c r="H835" s="6">
        <v>15</v>
      </c>
      <c r="J835" s="6" t="s">
        <v>3980</v>
      </c>
      <c r="K835" s="6" t="s">
        <v>3985</v>
      </c>
      <c r="M835" s="6">
        <v>12</v>
      </c>
    </row>
    <row r="836" s="6" customFormat="1" spans="1:13">
      <c r="A836" s="7">
        <v>831</v>
      </c>
      <c r="B836" s="6">
        <v>410003</v>
      </c>
      <c r="C836" s="6">
        <v>2</v>
      </c>
      <c r="G836" s="6">
        <v>440037</v>
      </c>
      <c r="H836" s="6">
        <v>15</v>
      </c>
      <c r="J836" s="6" t="s">
        <v>3981</v>
      </c>
      <c r="K836" s="6" t="s">
        <v>3985</v>
      </c>
      <c r="M836" s="6">
        <v>12</v>
      </c>
    </row>
    <row r="837" s="6" customFormat="1" spans="1:13">
      <c r="A837" s="7">
        <v>832</v>
      </c>
      <c r="B837" s="6">
        <v>410003</v>
      </c>
      <c r="C837" s="6">
        <v>2</v>
      </c>
      <c r="G837" s="6">
        <v>440039</v>
      </c>
      <c r="H837" s="6">
        <v>4</v>
      </c>
      <c r="J837" s="6" t="s">
        <v>3982</v>
      </c>
      <c r="K837" s="6" t="s">
        <v>3985</v>
      </c>
      <c r="M837" s="6">
        <v>2</v>
      </c>
    </row>
    <row r="838" s="6" customFormat="1" spans="1:13">
      <c r="A838" s="7">
        <v>833</v>
      </c>
      <c r="B838" s="6">
        <v>410003</v>
      </c>
      <c r="C838" s="6">
        <v>2</v>
      </c>
      <c r="G838" s="6">
        <v>440040</v>
      </c>
      <c r="H838" s="6">
        <v>4</v>
      </c>
      <c r="J838" s="6" t="s">
        <v>3983</v>
      </c>
      <c r="K838" s="6" t="s">
        <v>3985</v>
      </c>
      <c r="M838" s="6">
        <v>2</v>
      </c>
    </row>
    <row r="839" s="6" customFormat="1" spans="1:13">
      <c r="A839" s="7">
        <v>834</v>
      </c>
      <c r="B839" s="6">
        <v>410003</v>
      </c>
      <c r="C839" s="6">
        <v>2</v>
      </c>
      <c r="G839" s="6">
        <v>440005</v>
      </c>
      <c r="H839" s="6">
        <v>3</v>
      </c>
      <c r="J839" s="6" t="s">
        <v>3906</v>
      </c>
      <c r="K839" s="6" t="s">
        <v>3985</v>
      </c>
      <c r="M839" s="6">
        <v>1</v>
      </c>
    </row>
    <row r="840" s="6" customFormat="1" spans="1:13">
      <c r="A840" s="7">
        <v>835</v>
      </c>
      <c r="B840" s="6">
        <v>410003</v>
      </c>
      <c r="C840" s="6">
        <v>2</v>
      </c>
      <c r="G840" s="6">
        <v>440006</v>
      </c>
      <c r="H840" s="6">
        <v>3</v>
      </c>
      <c r="J840" s="6" t="s">
        <v>3907</v>
      </c>
      <c r="K840" s="6" t="s">
        <v>3985</v>
      </c>
      <c r="M840" s="6">
        <v>1</v>
      </c>
    </row>
    <row r="841" s="6" customFormat="1" spans="1:13">
      <c r="A841" s="7">
        <v>836</v>
      </c>
      <c r="B841" s="6">
        <v>410003</v>
      </c>
      <c r="C841" s="6">
        <v>2</v>
      </c>
      <c r="G841" s="6">
        <v>440007</v>
      </c>
      <c r="H841" s="6">
        <v>3</v>
      </c>
      <c r="J841" s="6" t="s">
        <v>3908</v>
      </c>
      <c r="K841" s="6" t="s">
        <v>3985</v>
      </c>
      <c r="M841" s="6">
        <v>1</v>
      </c>
    </row>
    <row r="842" s="6" customFormat="1" spans="1:13">
      <c r="A842" s="7">
        <v>837</v>
      </c>
      <c r="B842" s="6">
        <v>410003</v>
      </c>
      <c r="C842" s="6">
        <v>2</v>
      </c>
      <c r="G842" s="6">
        <v>440008</v>
      </c>
      <c r="H842" s="6">
        <v>2</v>
      </c>
      <c r="J842" s="6" t="s">
        <v>3909</v>
      </c>
      <c r="K842" s="6" t="s">
        <v>3985</v>
      </c>
      <c r="M842" s="6">
        <v>200</v>
      </c>
    </row>
    <row r="843" s="6" customFormat="1" spans="1:13">
      <c r="A843" s="7">
        <v>838</v>
      </c>
      <c r="B843" s="6">
        <v>410003</v>
      </c>
      <c r="C843" s="6">
        <v>2</v>
      </c>
      <c r="G843" s="6">
        <v>440009</v>
      </c>
      <c r="H843" s="6">
        <v>2</v>
      </c>
      <c r="J843" s="6" t="s">
        <v>3910</v>
      </c>
      <c r="K843" s="6" t="s">
        <v>3985</v>
      </c>
      <c r="M843" s="6">
        <v>1000</v>
      </c>
    </row>
    <row r="844" s="6" customFormat="1" spans="1:13">
      <c r="A844" s="7">
        <v>839</v>
      </c>
      <c r="B844" s="6">
        <v>410003</v>
      </c>
      <c r="C844" s="6">
        <v>2</v>
      </c>
      <c r="G844" s="6">
        <v>440010</v>
      </c>
      <c r="H844" s="6">
        <v>1</v>
      </c>
      <c r="J844" s="6" t="s">
        <v>3911</v>
      </c>
      <c r="K844" s="6" t="s">
        <v>3985</v>
      </c>
      <c r="M844" s="6">
        <v>5000</v>
      </c>
    </row>
    <row r="845" s="6" customFormat="1" spans="1:13">
      <c r="A845" s="7">
        <v>840</v>
      </c>
      <c r="B845" s="6">
        <v>410003</v>
      </c>
      <c r="C845" s="6">
        <v>2</v>
      </c>
      <c r="G845" s="6">
        <v>440011</v>
      </c>
      <c r="H845" s="6">
        <v>2</v>
      </c>
      <c r="J845" s="6" t="s">
        <v>3912</v>
      </c>
      <c r="K845" s="6" t="s">
        <v>3985</v>
      </c>
      <c r="M845" s="6">
        <v>5000</v>
      </c>
    </row>
    <row r="846" s="6" customFormat="1" spans="1:13">
      <c r="A846" s="7">
        <v>841</v>
      </c>
      <c r="B846" s="6">
        <v>410003</v>
      </c>
      <c r="C846" s="6">
        <v>2</v>
      </c>
      <c r="G846" s="6">
        <v>440012</v>
      </c>
      <c r="H846" s="6">
        <v>2</v>
      </c>
      <c r="J846" s="6" t="s">
        <v>3913</v>
      </c>
      <c r="K846" s="6" t="s">
        <v>3985</v>
      </c>
      <c r="M846" s="6">
        <v>20000</v>
      </c>
    </row>
    <row r="847" s="6" customFormat="1" spans="1:13">
      <c r="A847" s="7">
        <v>842</v>
      </c>
      <c r="B847" s="6">
        <v>410003</v>
      </c>
      <c r="C847" s="6">
        <v>2</v>
      </c>
      <c r="G847" s="6">
        <v>440013</v>
      </c>
      <c r="H847" s="6">
        <v>1</v>
      </c>
      <c r="J847" s="6" t="s">
        <v>3914</v>
      </c>
      <c r="K847" s="6" t="s">
        <v>3985</v>
      </c>
      <c r="M847" s="6">
        <v>50000</v>
      </c>
    </row>
    <row r="848" s="6" customFormat="1" spans="1:13">
      <c r="A848" s="7">
        <v>843</v>
      </c>
      <c r="B848" s="6">
        <v>410004</v>
      </c>
      <c r="C848" s="6">
        <v>2</v>
      </c>
      <c r="G848" s="6">
        <v>440001</v>
      </c>
      <c r="H848" s="6">
        <v>10</v>
      </c>
      <c r="J848" s="6" t="s">
        <v>3972</v>
      </c>
      <c r="K848" s="6" t="s">
        <v>3986</v>
      </c>
      <c r="M848" s="6">
        <v>10</v>
      </c>
    </row>
    <row r="849" s="6" customFormat="1" spans="1:13">
      <c r="A849" s="7">
        <v>844</v>
      </c>
      <c r="B849" s="6">
        <v>410004</v>
      </c>
      <c r="C849" s="6">
        <v>2</v>
      </c>
      <c r="G849" s="6">
        <v>440002</v>
      </c>
      <c r="H849" s="6">
        <v>10</v>
      </c>
      <c r="J849" s="6" t="s">
        <v>3974</v>
      </c>
      <c r="K849" s="6" t="s">
        <v>3986</v>
      </c>
      <c r="M849" s="6">
        <v>8</v>
      </c>
    </row>
    <row r="850" s="6" customFormat="1" spans="1:13">
      <c r="A850" s="7">
        <v>845</v>
      </c>
      <c r="B850" s="6">
        <v>410004</v>
      </c>
      <c r="C850" s="6">
        <v>2</v>
      </c>
      <c r="G850" s="6">
        <v>440003</v>
      </c>
      <c r="H850" s="6">
        <v>5</v>
      </c>
      <c r="J850" s="6" t="s">
        <v>3975</v>
      </c>
      <c r="K850" s="6" t="s">
        <v>3986</v>
      </c>
      <c r="M850" s="6">
        <v>6</v>
      </c>
    </row>
    <row r="851" s="6" customFormat="1" spans="1:13">
      <c r="A851" s="7">
        <v>846</v>
      </c>
      <c r="B851" s="6">
        <v>410004</v>
      </c>
      <c r="C851" s="6">
        <v>2</v>
      </c>
      <c r="G851" s="6">
        <v>440004</v>
      </c>
      <c r="H851" s="6">
        <v>2</v>
      </c>
      <c r="J851" s="6" t="s">
        <v>3976</v>
      </c>
      <c r="K851" s="6" t="s">
        <v>3986</v>
      </c>
      <c r="M851" s="6">
        <v>3</v>
      </c>
    </row>
    <row r="852" s="6" customFormat="1" spans="1:13">
      <c r="A852" s="7">
        <v>847</v>
      </c>
      <c r="B852" s="6">
        <v>410004</v>
      </c>
      <c r="C852" s="6">
        <v>2</v>
      </c>
      <c r="G852" s="6">
        <v>440041</v>
      </c>
      <c r="H852" s="6">
        <v>15</v>
      </c>
      <c r="J852" s="6" t="s">
        <v>3977</v>
      </c>
      <c r="K852" s="6" t="s">
        <v>3986</v>
      </c>
      <c r="M852" s="6">
        <v>10</v>
      </c>
    </row>
    <row r="853" s="6" customFormat="1" spans="1:13">
      <c r="A853" s="7">
        <v>848</v>
      </c>
      <c r="B853" s="6">
        <v>410004</v>
      </c>
      <c r="C853" s="6">
        <v>2</v>
      </c>
      <c r="G853" s="6">
        <v>440042</v>
      </c>
      <c r="H853" s="6">
        <v>15</v>
      </c>
      <c r="J853" s="6" t="s">
        <v>3978</v>
      </c>
      <c r="K853" s="6" t="s">
        <v>3986</v>
      </c>
      <c r="M853" s="6">
        <v>8</v>
      </c>
    </row>
    <row r="854" s="6" customFormat="1" spans="1:13">
      <c r="A854" s="7">
        <v>849</v>
      </c>
      <c r="B854" s="6">
        <v>410004</v>
      </c>
      <c r="C854" s="6">
        <v>2</v>
      </c>
      <c r="G854" s="6">
        <v>440043</v>
      </c>
      <c r="H854" s="6">
        <v>5</v>
      </c>
      <c r="J854" s="6" t="s">
        <v>3979</v>
      </c>
      <c r="K854" s="6" t="s">
        <v>3986</v>
      </c>
      <c r="M854" s="6">
        <v>6</v>
      </c>
    </row>
    <row r="855" s="6" customFormat="1" spans="1:13">
      <c r="A855" s="7">
        <v>850</v>
      </c>
      <c r="B855" s="6">
        <v>410004</v>
      </c>
      <c r="C855" s="6">
        <v>2</v>
      </c>
      <c r="G855" s="6">
        <v>440045</v>
      </c>
      <c r="H855" s="6">
        <v>15</v>
      </c>
      <c r="J855" s="6" t="s">
        <v>3980</v>
      </c>
      <c r="K855" s="6" t="s">
        <v>3986</v>
      </c>
      <c r="M855" s="6">
        <v>12</v>
      </c>
    </row>
    <row r="856" s="6" customFormat="1" spans="1:13">
      <c r="A856" s="7">
        <v>851</v>
      </c>
      <c r="B856" s="6">
        <v>410004</v>
      </c>
      <c r="C856" s="6">
        <v>2</v>
      </c>
      <c r="G856" s="6">
        <v>440046</v>
      </c>
      <c r="H856" s="6">
        <v>15</v>
      </c>
      <c r="J856" s="6" t="s">
        <v>3981</v>
      </c>
      <c r="K856" s="6" t="s">
        <v>3986</v>
      </c>
      <c r="M856" s="6">
        <v>12</v>
      </c>
    </row>
    <row r="857" s="6" customFormat="1" spans="1:13">
      <c r="A857" s="7">
        <v>852</v>
      </c>
      <c r="B857" s="6">
        <v>410004</v>
      </c>
      <c r="C857" s="6">
        <v>2</v>
      </c>
      <c r="G857" s="6">
        <v>440048</v>
      </c>
      <c r="H857" s="6">
        <v>4</v>
      </c>
      <c r="J857" s="6" t="s">
        <v>3982</v>
      </c>
      <c r="K857" s="6" t="s">
        <v>3986</v>
      </c>
      <c r="M857" s="6">
        <v>2</v>
      </c>
    </row>
    <row r="858" s="6" customFormat="1" spans="1:13">
      <c r="A858" s="7">
        <v>853</v>
      </c>
      <c r="B858" s="6">
        <v>410004</v>
      </c>
      <c r="C858" s="6">
        <v>2</v>
      </c>
      <c r="G858" s="6">
        <v>440049</v>
      </c>
      <c r="H858" s="6">
        <v>4</v>
      </c>
      <c r="J858" s="6" t="s">
        <v>3983</v>
      </c>
      <c r="K858" s="6" t="s">
        <v>3986</v>
      </c>
      <c r="M858" s="6">
        <v>2</v>
      </c>
    </row>
    <row r="859" s="6" customFormat="1" spans="1:13">
      <c r="A859" s="7">
        <v>854</v>
      </c>
      <c r="B859" s="6">
        <v>410004</v>
      </c>
      <c r="C859" s="6">
        <v>2</v>
      </c>
      <c r="G859" s="6">
        <v>440005</v>
      </c>
      <c r="H859" s="6">
        <v>3</v>
      </c>
      <c r="J859" s="6" t="s">
        <v>3906</v>
      </c>
      <c r="K859" s="6" t="s">
        <v>3986</v>
      </c>
      <c r="M859" s="6">
        <v>1</v>
      </c>
    </row>
    <row r="860" s="6" customFormat="1" spans="1:13">
      <c r="A860" s="7">
        <v>855</v>
      </c>
      <c r="B860" s="6">
        <v>410004</v>
      </c>
      <c r="C860" s="6">
        <v>2</v>
      </c>
      <c r="G860" s="6">
        <v>440006</v>
      </c>
      <c r="H860" s="6">
        <v>3</v>
      </c>
      <c r="J860" s="6" t="s">
        <v>3907</v>
      </c>
      <c r="K860" s="6" t="s">
        <v>3986</v>
      </c>
      <c r="M860" s="6">
        <v>1</v>
      </c>
    </row>
    <row r="861" s="6" customFormat="1" spans="1:13">
      <c r="A861" s="7">
        <v>856</v>
      </c>
      <c r="B861" s="6">
        <v>410004</v>
      </c>
      <c r="C861" s="6">
        <v>2</v>
      </c>
      <c r="G861" s="6">
        <v>440007</v>
      </c>
      <c r="H861" s="6">
        <v>3</v>
      </c>
      <c r="J861" s="6" t="s">
        <v>3908</v>
      </c>
      <c r="K861" s="6" t="s">
        <v>3986</v>
      </c>
      <c r="M861" s="6">
        <v>1</v>
      </c>
    </row>
    <row r="862" s="6" customFormat="1" spans="1:13">
      <c r="A862" s="7">
        <v>857</v>
      </c>
      <c r="B862" s="6">
        <v>410004</v>
      </c>
      <c r="C862" s="6">
        <v>2</v>
      </c>
      <c r="G862" s="6">
        <v>440008</v>
      </c>
      <c r="H862" s="6">
        <v>2</v>
      </c>
      <c r="J862" s="6" t="s">
        <v>3909</v>
      </c>
      <c r="K862" s="6" t="s">
        <v>3986</v>
      </c>
      <c r="M862" s="6">
        <v>200</v>
      </c>
    </row>
    <row r="863" s="6" customFormat="1" spans="1:13">
      <c r="A863" s="7">
        <v>858</v>
      </c>
      <c r="B863" s="6">
        <v>410004</v>
      </c>
      <c r="C863" s="6">
        <v>2</v>
      </c>
      <c r="G863" s="6">
        <v>440009</v>
      </c>
      <c r="H863" s="6">
        <v>2</v>
      </c>
      <c r="J863" s="6" t="s">
        <v>3910</v>
      </c>
      <c r="K863" s="6" t="s">
        <v>3986</v>
      </c>
      <c r="M863" s="6">
        <v>1000</v>
      </c>
    </row>
    <row r="864" s="6" customFormat="1" spans="1:13">
      <c r="A864" s="7">
        <v>859</v>
      </c>
      <c r="B864" s="6">
        <v>410004</v>
      </c>
      <c r="C864" s="6">
        <v>2</v>
      </c>
      <c r="G864" s="6">
        <v>440010</v>
      </c>
      <c r="H864" s="6">
        <v>1</v>
      </c>
      <c r="J864" s="6" t="s">
        <v>3911</v>
      </c>
      <c r="K864" s="6" t="s">
        <v>3986</v>
      </c>
      <c r="M864" s="6">
        <v>5000</v>
      </c>
    </row>
    <row r="865" s="6" customFormat="1" spans="1:13">
      <c r="A865" s="7">
        <v>860</v>
      </c>
      <c r="B865" s="6">
        <v>410004</v>
      </c>
      <c r="C865" s="6">
        <v>2</v>
      </c>
      <c r="G865" s="6">
        <v>440011</v>
      </c>
      <c r="H865" s="6">
        <v>2</v>
      </c>
      <c r="J865" s="6" t="s">
        <v>3912</v>
      </c>
      <c r="K865" s="6" t="s">
        <v>3986</v>
      </c>
      <c r="M865" s="6">
        <v>5000</v>
      </c>
    </row>
    <row r="866" s="6" customFormat="1" spans="1:13">
      <c r="A866" s="7">
        <v>861</v>
      </c>
      <c r="B866" s="6">
        <v>410004</v>
      </c>
      <c r="C866" s="6">
        <v>2</v>
      </c>
      <c r="G866" s="6">
        <v>440012</v>
      </c>
      <c r="H866" s="6">
        <v>2</v>
      </c>
      <c r="J866" s="6" t="s">
        <v>3913</v>
      </c>
      <c r="K866" s="6" t="s">
        <v>3986</v>
      </c>
      <c r="M866" s="6">
        <v>20000</v>
      </c>
    </row>
    <row r="867" s="6" customFormat="1" spans="1:13">
      <c r="A867" s="7">
        <v>862</v>
      </c>
      <c r="B867" s="6">
        <v>410004</v>
      </c>
      <c r="C867" s="6">
        <v>2</v>
      </c>
      <c r="G867" s="6">
        <v>440013</v>
      </c>
      <c r="H867" s="6">
        <v>1</v>
      </c>
      <c r="J867" s="6" t="s">
        <v>3914</v>
      </c>
      <c r="K867" s="6" t="s">
        <v>3986</v>
      </c>
      <c r="M867" s="6">
        <v>50000</v>
      </c>
    </row>
    <row r="868" s="6" customFormat="1" spans="1:13">
      <c r="A868" s="7">
        <v>863</v>
      </c>
      <c r="B868" s="6">
        <v>420001</v>
      </c>
      <c r="C868" s="6">
        <v>2</v>
      </c>
      <c r="G868" s="6">
        <v>440003</v>
      </c>
      <c r="H868" s="6">
        <v>15</v>
      </c>
      <c r="J868" s="6" t="s">
        <v>3987</v>
      </c>
      <c r="K868" s="6" t="s">
        <v>3988</v>
      </c>
      <c r="M868" s="6">
        <v>6</v>
      </c>
    </row>
    <row r="869" s="6" customFormat="1" spans="1:13">
      <c r="A869" s="7">
        <v>864</v>
      </c>
      <c r="B869" s="6">
        <v>420001</v>
      </c>
      <c r="C869" s="6">
        <v>2</v>
      </c>
      <c r="G869" s="6">
        <v>440004</v>
      </c>
      <c r="H869" s="6">
        <v>5</v>
      </c>
      <c r="J869" s="6" t="s">
        <v>3976</v>
      </c>
      <c r="K869" s="6" t="s">
        <v>3988</v>
      </c>
      <c r="M869" s="6">
        <v>3</v>
      </c>
    </row>
    <row r="870" s="6" customFormat="1" spans="1:13">
      <c r="A870" s="7">
        <v>865</v>
      </c>
      <c r="B870" s="6">
        <v>420001</v>
      </c>
      <c r="C870" s="6">
        <v>2</v>
      </c>
      <c r="G870" s="6">
        <v>440016</v>
      </c>
      <c r="H870" s="6">
        <v>15</v>
      </c>
      <c r="J870" s="6" t="s">
        <v>3979</v>
      </c>
      <c r="K870" s="6" t="s">
        <v>3988</v>
      </c>
      <c r="M870" s="6">
        <v>12</v>
      </c>
    </row>
    <row r="871" s="6" customFormat="1" spans="1:13">
      <c r="A871" s="7">
        <v>866</v>
      </c>
      <c r="B871" s="6">
        <v>420001</v>
      </c>
      <c r="C871" s="6">
        <v>2</v>
      </c>
      <c r="G871" s="6">
        <v>440017</v>
      </c>
      <c r="H871" s="6">
        <v>10</v>
      </c>
      <c r="J871" s="6" t="s">
        <v>3989</v>
      </c>
      <c r="K871" s="6" t="s">
        <v>3988</v>
      </c>
      <c r="M871" s="6">
        <v>6</v>
      </c>
    </row>
    <row r="872" s="6" customFormat="1" spans="1:13">
      <c r="A872" s="7">
        <v>867</v>
      </c>
      <c r="B872" s="6">
        <v>420001</v>
      </c>
      <c r="C872" s="6">
        <v>2</v>
      </c>
      <c r="G872" s="6">
        <v>440019</v>
      </c>
      <c r="H872" s="6">
        <v>15</v>
      </c>
      <c r="J872" s="6" t="s">
        <v>3981</v>
      </c>
      <c r="K872" s="6" t="s">
        <v>3988</v>
      </c>
      <c r="M872" s="6">
        <v>24</v>
      </c>
    </row>
    <row r="873" s="6" customFormat="1" spans="1:13">
      <c r="A873" s="7">
        <v>868</v>
      </c>
      <c r="B873" s="6">
        <v>420001</v>
      </c>
      <c r="C873" s="6">
        <v>2</v>
      </c>
      <c r="G873" s="6">
        <v>440020</v>
      </c>
      <c r="H873" s="6">
        <v>5</v>
      </c>
      <c r="J873" s="6" t="s">
        <v>3990</v>
      </c>
      <c r="K873" s="6" t="s">
        <v>3988</v>
      </c>
      <c r="M873" s="6">
        <v>6</v>
      </c>
    </row>
    <row r="874" s="6" customFormat="1" spans="1:13">
      <c r="A874" s="7">
        <v>869</v>
      </c>
      <c r="B874" s="6">
        <v>420002</v>
      </c>
      <c r="C874" s="6">
        <v>2</v>
      </c>
      <c r="G874" s="6">
        <v>440003</v>
      </c>
      <c r="H874" s="6">
        <v>15</v>
      </c>
      <c r="J874" s="6" t="s">
        <v>3987</v>
      </c>
      <c r="K874" s="6" t="s">
        <v>3991</v>
      </c>
      <c r="M874" s="6">
        <v>6</v>
      </c>
    </row>
    <row r="875" s="6" customFormat="1" spans="1:13">
      <c r="A875" s="7">
        <v>870</v>
      </c>
      <c r="B875" s="6">
        <v>420002</v>
      </c>
      <c r="C875" s="6">
        <v>2</v>
      </c>
      <c r="G875" s="6">
        <v>440004</v>
      </c>
      <c r="H875" s="6">
        <v>5</v>
      </c>
      <c r="J875" s="6" t="s">
        <v>3976</v>
      </c>
      <c r="K875" s="6" t="s">
        <v>3991</v>
      </c>
      <c r="M875" s="6">
        <v>3</v>
      </c>
    </row>
    <row r="876" s="6" customFormat="1" spans="1:13">
      <c r="A876" s="7">
        <v>871</v>
      </c>
      <c r="B876" s="6">
        <v>420002</v>
      </c>
      <c r="C876" s="6">
        <v>2</v>
      </c>
      <c r="G876" s="6">
        <v>440025</v>
      </c>
      <c r="H876" s="6">
        <v>15</v>
      </c>
      <c r="J876" s="6" t="s">
        <v>3979</v>
      </c>
      <c r="K876" s="6" t="s">
        <v>3991</v>
      </c>
      <c r="M876" s="6">
        <v>12</v>
      </c>
    </row>
    <row r="877" s="6" customFormat="1" spans="1:13">
      <c r="A877" s="7">
        <v>872</v>
      </c>
      <c r="B877" s="6">
        <v>420002</v>
      </c>
      <c r="C877" s="6">
        <v>2</v>
      </c>
      <c r="G877" s="6">
        <v>440026</v>
      </c>
      <c r="H877" s="6">
        <v>10</v>
      </c>
      <c r="J877" s="6" t="s">
        <v>3989</v>
      </c>
      <c r="K877" s="6" t="s">
        <v>3991</v>
      </c>
      <c r="M877" s="6">
        <v>6</v>
      </c>
    </row>
    <row r="878" s="6" customFormat="1" spans="1:13">
      <c r="A878" s="7">
        <v>873</v>
      </c>
      <c r="B878" s="6">
        <v>420002</v>
      </c>
      <c r="C878" s="6">
        <v>2</v>
      </c>
      <c r="G878" s="6">
        <v>440028</v>
      </c>
      <c r="H878" s="6">
        <v>15</v>
      </c>
      <c r="J878" s="6" t="s">
        <v>3981</v>
      </c>
      <c r="K878" s="6" t="s">
        <v>3991</v>
      </c>
      <c r="M878" s="6">
        <v>24</v>
      </c>
    </row>
    <row r="879" s="6" customFormat="1" spans="1:13">
      <c r="A879" s="7">
        <v>874</v>
      </c>
      <c r="B879" s="6">
        <v>420002</v>
      </c>
      <c r="C879" s="6">
        <v>2</v>
      </c>
      <c r="G879" s="6">
        <v>440029</v>
      </c>
      <c r="H879" s="6">
        <v>5</v>
      </c>
      <c r="J879" s="6" t="s">
        <v>3990</v>
      </c>
      <c r="K879" s="6" t="s">
        <v>3991</v>
      </c>
      <c r="M879" s="6">
        <v>6</v>
      </c>
    </row>
    <row r="880" s="6" customFormat="1" spans="1:13">
      <c r="A880" s="7">
        <v>875</v>
      </c>
      <c r="B880" s="6">
        <v>420003</v>
      </c>
      <c r="C880" s="6">
        <v>2</v>
      </c>
      <c r="G880" s="6">
        <v>440003</v>
      </c>
      <c r="H880" s="6">
        <v>15</v>
      </c>
      <c r="J880" s="6" t="s">
        <v>3987</v>
      </c>
      <c r="K880" s="6" t="s">
        <v>3992</v>
      </c>
      <c r="M880" s="6">
        <v>6</v>
      </c>
    </row>
    <row r="881" s="6" customFormat="1" spans="1:13">
      <c r="A881" s="7">
        <v>876</v>
      </c>
      <c r="B881" s="6">
        <v>420003</v>
      </c>
      <c r="C881" s="6">
        <v>2</v>
      </c>
      <c r="G881" s="6">
        <v>440004</v>
      </c>
      <c r="H881" s="6">
        <v>5</v>
      </c>
      <c r="J881" s="6" t="s">
        <v>3976</v>
      </c>
      <c r="K881" s="6" t="s">
        <v>3992</v>
      </c>
      <c r="M881" s="6">
        <v>3</v>
      </c>
    </row>
    <row r="882" s="6" customFormat="1" spans="1:13">
      <c r="A882" s="7">
        <v>877</v>
      </c>
      <c r="B882" s="6">
        <v>420003</v>
      </c>
      <c r="C882" s="6">
        <v>2</v>
      </c>
      <c r="G882" s="6">
        <v>440034</v>
      </c>
      <c r="H882" s="6">
        <v>15</v>
      </c>
      <c r="J882" s="6" t="s">
        <v>3979</v>
      </c>
      <c r="K882" s="6" t="s">
        <v>3992</v>
      </c>
      <c r="M882" s="6">
        <v>12</v>
      </c>
    </row>
    <row r="883" s="6" customFormat="1" spans="1:13">
      <c r="A883" s="7">
        <v>878</v>
      </c>
      <c r="B883" s="6">
        <v>420003</v>
      </c>
      <c r="C883" s="6">
        <v>2</v>
      </c>
      <c r="G883" s="6">
        <v>440035</v>
      </c>
      <c r="H883" s="6">
        <v>10</v>
      </c>
      <c r="J883" s="6" t="s">
        <v>3989</v>
      </c>
      <c r="K883" s="6" t="s">
        <v>3992</v>
      </c>
      <c r="M883" s="6">
        <v>6</v>
      </c>
    </row>
    <row r="884" s="6" customFormat="1" spans="1:13">
      <c r="A884" s="7">
        <v>879</v>
      </c>
      <c r="B884" s="6">
        <v>420003</v>
      </c>
      <c r="C884" s="6">
        <v>2</v>
      </c>
      <c r="G884" s="6">
        <v>440037</v>
      </c>
      <c r="H884" s="6">
        <v>15</v>
      </c>
      <c r="J884" s="6" t="s">
        <v>3981</v>
      </c>
      <c r="K884" s="6" t="s">
        <v>3992</v>
      </c>
      <c r="M884" s="6">
        <v>24</v>
      </c>
    </row>
    <row r="885" s="6" customFormat="1" spans="1:13">
      <c r="A885" s="7">
        <v>880</v>
      </c>
      <c r="B885" s="6">
        <v>420003</v>
      </c>
      <c r="C885" s="6">
        <v>2</v>
      </c>
      <c r="G885" s="6">
        <v>440038</v>
      </c>
      <c r="H885" s="6">
        <v>5</v>
      </c>
      <c r="J885" s="6" t="s">
        <v>3990</v>
      </c>
      <c r="K885" s="6" t="s">
        <v>3992</v>
      </c>
      <c r="M885" s="6">
        <v>6</v>
      </c>
    </row>
    <row r="886" s="6" customFormat="1" spans="1:13">
      <c r="A886" s="7">
        <v>881</v>
      </c>
      <c r="B886" s="6">
        <v>420004</v>
      </c>
      <c r="C886" s="6">
        <v>2</v>
      </c>
      <c r="G886" s="6">
        <v>440003</v>
      </c>
      <c r="H886" s="6">
        <v>15</v>
      </c>
      <c r="J886" s="6" t="s">
        <v>3987</v>
      </c>
      <c r="K886" s="6" t="s">
        <v>3993</v>
      </c>
      <c r="M886" s="6">
        <v>6</v>
      </c>
    </row>
    <row r="887" s="6" customFormat="1" spans="1:13">
      <c r="A887" s="7">
        <v>882</v>
      </c>
      <c r="B887" s="6">
        <v>420004</v>
      </c>
      <c r="C887" s="6">
        <v>2</v>
      </c>
      <c r="G887" s="6">
        <v>440004</v>
      </c>
      <c r="H887" s="6">
        <v>5</v>
      </c>
      <c r="J887" s="6" t="s">
        <v>3976</v>
      </c>
      <c r="K887" s="6" t="s">
        <v>3993</v>
      </c>
      <c r="M887" s="6">
        <v>3</v>
      </c>
    </row>
    <row r="888" s="6" customFormat="1" spans="1:13">
      <c r="A888" s="7">
        <v>883</v>
      </c>
      <c r="B888" s="6">
        <v>420004</v>
      </c>
      <c r="C888" s="6">
        <v>2</v>
      </c>
      <c r="G888" s="6">
        <v>440043</v>
      </c>
      <c r="H888" s="6">
        <v>15</v>
      </c>
      <c r="J888" s="6" t="s">
        <v>3979</v>
      </c>
      <c r="K888" s="6" t="s">
        <v>3993</v>
      </c>
      <c r="M888" s="6">
        <v>12</v>
      </c>
    </row>
    <row r="889" s="6" customFormat="1" spans="1:13">
      <c r="A889" s="7">
        <v>884</v>
      </c>
      <c r="B889" s="6">
        <v>420004</v>
      </c>
      <c r="C889" s="6">
        <v>2</v>
      </c>
      <c r="G889" s="6">
        <v>440044</v>
      </c>
      <c r="H889" s="6">
        <v>10</v>
      </c>
      <c r="J889" s="6" t="s">
        <v>3989</v>
      </c>
      <c r="K889" s="6" t="s">
        <v>3993</v>
      </c>
      <c r="M889" s="6">
        <v>6</v>
      </c>
    </row>
    <row r="890" s="6" customFormat="1" spans="1:13">
      <c r="A890" s="7">
        <v>885</v>
      </c>
      <c r="B890" s="6">
        <v>420004</v>
      </c>
      <c r="C890" s="6">
        <v>2</v>
      </c>
      <c r="G890" s="6">
        <v>440046</v>
      </c>
      <c r="H890" s="6">
        <v>15</v>
      </c>
      <c r="J890" s="6" t="s">
        <v>3981</v>
      </c>
      <c r="K890" s="6" t="s">
        <v>3993</v>
      </c>
      <c r="M890" s="6">
        <v>24</v>
      </c>
    </row>
    <row r="891" s="6" customFormat="1" spans="1:13">
      <c r="A891" s="7">
        <v>886</v>
      </c>
      <c r="B891" s="6">
        <v>420004</v>
      </c>
      <c r="C891" s="6">
        <v>2</v>
      </c>
      <c r="G891" s="6">
        <v>440047</v>
      </c>
      <c r="H891" s="6">
        <v>5</v>
      </c>
      <c r="J891" s="6" t="s">
        <v>3990</v>
      </c>
      <c r="K891" s="6" t="s">
        <v>3993</v>
      </c>
      <c r="M891" s="6">
        <v>6</v>
      </c>
    </row>
    <row r="892" s="6" customFormat="1" spans="1:11">
      <c r="A892" s="7">
        <v>887</v>
      </c>
      <c r="B892" s="6">
        <v>430001</v>
      </c>
      <c r="C892" s="6">
        <v>2</v>
      </c>
      <c r="G892" s="6">
        <v>440002</v>
      </c>
      <c r="H892" s="6">
        <v>8</v>
      </c>
      <c r="J892" s="6" t="s">
        <v>3974</v>
      </c>
      <c r="K892" s="6" t="s">
        <v>3994</v>
      </c>
    </row>
    <row r="893" s="6" customFormat="1" spans="1:11">
      <c r="A893" s="7">
        <v>888</v>
      </c>
      <c r="B893" s="6">
        <v>430001</v>
      </c>
      <c r="C893" s="6">
        <v>2</v>
      </c>
      <c r="G893" s="6">
        <v>440003</v>
      </c>
      <c r="H893" s="6">
        <v>5</v>
      </c>
      <c r="J893" s="6" t="s">
        <v>3975</v>
      </c>
      <c r="K893" s="6" t="s">
        <v>3994</v>
      </c>
    </row>
    <row r="894" s="6" customFormat="1" spans="1:11">
      <c r="A894" s="7">
        <v>889</v>
      </c>
      <c r="B894" s="6">
        <v>430001</v>
      </c>
      <c r="C894" s="6">
        <v>2</v>
      </c>
      <c r="G894" s="6">
        <v>440004</v>
      </c>
      <c r="H894" s="6">
        <v>2</v>
      </c>
      <c r="J894" s="6" t="s">
        <v>3976</v>
      </c>
      <c r="K894" s="6" t="s">
        <v>3994</v>
      </c>
    </row>
    <row r="895" s="6" customFormat="1" spans="1:11">
      <c r="A895" s="7">
        <v>890</v>
      </c>
      <c r="B895" s="6">
        <v>430001</v>
      </c>
      <c r="C895" s="6">
        <v>2</v>
      </c>
      <c r="G895" s="6">
        <v>440015</v>
      </c>
      <c r="H895" s="6">
        <v>13</v>
      </c>
      <c r="J895" s="6" t="s">
        <v>3978</v>
      </c>
      <c r="K895" s="6" t="s">
        <v>3994</v>
      </c>
    </row>
    <row r="896" s="6" customFormat="1" spans="1:11">
      <c r="A896" s="7">
        <v>891</v>
      </c>
      <c r="B896" s="6">
        <v>430001</v>
      </c>
      <c r="C896" s="6">
        <v>2</v>
      </c>
      <c r="G896" s="6">
        <v>440016</v>
      </c>
      <c r="H896" s="6">
        <v>10</v>
      </c>
      <c r="J896" s="6" t="s">
        <v>3979</v>
      </c>
      <c r="K896" s="6" t="s">
        <v>3994</v>
      </c>
    </row>
    <row r="897" s="6" customFormat="1" spans="1:11">
      <c r="A897" s="7">
        <v>892</v>
      </c>
      <c r="B897" s="6">
        <v>430001</v>
      </c>
      <c r="C897" s="6">
        <v>2</v>
      </c>
      <c r="G897" s="6">
        <v>440017</v>
      </c>
      <c r="H897" s="6">
        <v>5</v>
      </c>
      <c r="J897" s="6" t="s">
        <v>3989</v>
      </c>
      <c r="K897" s="6" t="s">
        <v>3994</v>
      </c>
    </row>
    <row r="898" s="6" customFormat="1" spans="1:11">
      <c r="A898" s="7">
        <v>893</v>
      </c>
      <c r="B898" s="6">
        <v>430001</v>
      </c>
      <c r="C898" s="6">
        <v>2</v>
      </c>
      <c r="G898" s="6">
        <v>440018</v>
      </c>
      <c r="H898" s="6">
        <v>15</v>
      </c>
      <c r="J898" s="6" t="s">
        <v>3980</v>
      </c>
      <c r="K898" s="6" t="s">
        <v>3994</v>
      </c>
    </row>
    <row r="899" s="6" customFormat="1" spans="1:11">
      <c r="A899" s="7">
        <v>894</v>
      </c>
      <c r="B899" s="6">
        <v>430001</v>
      </c>
      <c r="C899" s="6">
        <v>2</v>
      </c>
      <c r="G899" s="6">
        <v>440019</v>
      </c>
      <c r="H899" s="6">
        <v>10</v>
      </c>
      <c r="J899" s="6" t="s">
        <v>3981</v>
      </c>
      <c r="K899" s="6" t="s">
        <v>3994</v>
      </c>
    </row>
    <row r="900" s="6" customFormat="1" spans="1:11">
      <c r="A900" s="7">
        <v>895</v>
      </c>
      <c r="B900" s="6">
        <v>430001</v>
      </c>
      <c r="C900" s="6">
        <v>2</v>
      </c>
      <c r="G900" s="6">
        <v>440020</v>
      </c>
      <c r="H900" s="6">
        <v>5</v>
      </c>
      <c r="J900" s="6" t="s">
        <v>3990</v>
      </c>
      <c r="K900" s="6" t="s">
        <v>3994</v>
      </c>
    </row>
    <row r="901" s="6" customFormat="1" spans="1:11">
      <c r="A901" s="7">
        <v>896</v>
      </c>
      <c r="B901" s="6">
        <v>430001</v>
      </c>
      <c r="C901" s="6">
        <v>2</v>
      </c>
      <c r="G901" s="6">
        <v>440021</v>
      </c>
      <c r="H901" s="6">
        <v>4</v>
      </c>
      <c r="J901" s="6" t="s">
        <v>3982</v>
      </c>
      <c r="K901" s="6" t="s">
        <v>3994</v>
      </c>
    </row>
    <row r="902" s="6" customFormat="1" spans="1:11">
      <c r="A902" s="7">
        <v>897</v>
      </c>
      <c r="B902" s="6">
        <v>430001</v>
      </c>
      <c r="C902" s="6">
        <v>2</v>
      </c>
      <c r="G902" s="6">
        <v>440022</v>
      </c>
      <c r="H902" s="6">
        <v>4</v>
      </c>
      <c r="J902" s="6" t="s">
        <v>3983</v>
      </c>
      <c r="K902" s="6" t="s">
        <v>3994</v>
      </c>
    </row>
    <row r="903" s="6" customFormat="1" spans="1:11">
      <c r="A903" s="7">
        <v>898</v>
      </c>
      <c r="B903" s="6">
        <v>430002</v>
      </c>
      <c r="C903" s="6">
        <v>2</v>
      </c>
      <c r="G903" s="6">
        <v>440002</v>
      </c>
      <c r="H903" s="6">
        <v>8</v>
      </c>
      <c r="J903" s="6" t="s">
        <v>3974</v>
      </c>
      <c r="K903" s="6" t="s">
        <v>3995</v>
      </c>
    </row>
    <row r="904" s="6" customFormat="1" spans="1:11">
      <c r="A904" s="7">
        <v>899</v>
      </c>
      <c r="B904" s="6">
        <v>430002</v>
      </c>
      <c r="C904" s="6">
        <v>2</v>
      </c>
      <c r="G904" s="6">
        <v>440003</v>
      </c>
      <c r="H904" s="6">
        <v>5</v>
      </c>
      <c r="J904" s="6" t="s">
        <v>3975</v>
      </c>
      <c r="K904" s="6" t="s">
        <v>3995</v>
      </c>
    </row>
    <row r="905" s="6" customFormat="1" spans="1:11">
      <c r="A905" s="7">
        <v>900</v>
      </c>
      <c r="B905" s="6">
        <v>430002</v>
      </c>
      <c r="C905" s="6">
        <v>2</v>
      </c>
      <c r="G905" s="6">
        <v>440004</v>
      </c>
      <c r="H905" s="6">
        <v>2</v>
      </c>
      <c r="J905" s="6" t="s">
        <v>3976</v>
      </c>
      <c r="K905" s="6" t="s">
        <v>3995</v>
      </c>
    </row>
    <row r="906" s="6" customFormat="1" spans="1:11">
      <c r="A906" s="7">
        <v>901</v>
      </c>
      <c r="B906" s="6">
        <v>430002</v>
      </c>
      <c r="C906" s="6">
        <v>2</v>
      </c>
      <c r="G906" s="6">
        <v>440024</v>
      </c>
      <c r="H906" s="6">
        <v>13</v>
      </c>
      <c r="J906" s="6" t="s">
        <v>3978</v>
      </c>
      <c r="K906" s="6" t="s">
        <v>3995</v>
      </c>
    </row>
    <row r="907" s="6" customFormat="1" spans="1:11">
      <c r="A907" s="7">
        <v>902</v>
      </c>
      <c r="B907" s="6">
        <v>430002</v>
      </c>
      <c r="C907" s="6">
        <v>2</v>
      </c>
      <c r="G907" s="6">
        <v>440025</v>
      </c>
      <c r="H907" s="6">
        <v>10</v>
      </c>
      <c r="J907" s="6" t="s">
        <v>3979</v>
      </c>
      <c r="K907" s="6" t="s">
        <v>3995</v>
      </c>
    </row>
    <row r="908" s="6" customFormat="1" spans="1:11">
      <c r="A908" s="7">
        <v>903</v>
      </c>
      <c r="B908" s="6">
        <v>430002</v>
      </c>
      <c r="C908" s="6">
        <v>2</v>
      </c>
      <c r="G908" s="6">
        <v>440026</v>
      </c>
      <c r="H908" s="6">
        <v>5</v>
      </c>
      <c r="J908" s="6" t="s">
        <v>3989</v>
      </c>
      <c r="K908" s="6" t="s">
        <v>3995</v>
      </c>
    </row>
    <row r="909" s="6" customFormat="1" spans="1:11">
      <c r="A909" s="7">
        <v>904</v>
      </c>
      <c r="B909" s="6">
        <v>430002</v>
      </c>
      <c r="C909" s="6">
        <v>2</v>
      </c>
      <c r="G909" s="6">
        <v>440027</v>
      </c>
      <c r="H909" s="6">
        <v>15</v>
      </c>
      <c r="J909" s="6" t="s">
        <v>3980</v>
      </c>
      <c r="K909" s="6" t="s">
        <v>3995</v>
      </c>
    </row>
    <row r="910" s="6" customFormat="1" spans="1:11">
      <c r="A910" s="7">
        <v>905</v>
      </c>
      <c r="B910" s="6">
        <v>430002</v>
      </c>
      <c r="C910" s="6">
        <v>2</v>
      </c>
      <c r="G910" s="6">
        <v>440028</v>
      </c>
      <c r="H910" s="6">
        <v>10</v>
      </c>
      <c r="J910" s="6" t="s">
        <v>3981</v>
      </c>
      <c r="K910" s="6" t="s">
        <v>3995</v>
      </c>
    </row>
    <row r="911" s="6" customFormat="1" spans="1:11">
      <c r="A911" s="7">
        <v>906</v>
      </c>
      <c r="B911" s="6">
        <v>430002</v>
      </c>
      <c r="C911" s="6">
        <v>2</v>
      </c>
      <c r="G911" s="6">
        <v>440029</v>
      </c>
      <c r="H911" s="6">
        <v>5</v>
      </c>
      <c r="J911" s="6" t="s">
        <v>3990</v>
      </c>
      <c r="K911" s="6" t="s">
        <v>3995</v>
      </c>
    </row>
    <row r="912" s="6" customFormat="1" spans="1:11">
      <c r="A912" s="7">
        <v>907</v>
      </c>
      <c r="B912" s="6">
        <v>430002</v>
      </c>
      <c r="C912" s="6">
        <v>2</v>
      </c>
      <c r="G912" s="6">
        <v>440030</v>
      </c>
      <c r="H912" s="6">
        <v>4</v>
      </c>
      <c r="J912" s="6" t="s">
        <v>3982</v>
      </c>
      <c r="K912" s="6" t="s">
        <v>3995</v>
      </c>
    </row>
    <row r="913" s="6" customFormat="1" spans="1:11">
      <c r="A913" s="7">
        <v>908</v>
      </c>
      <c r="B913" s="6">
        <v>430002</v>
      </c>
      <c r="C913" s="6">
        <v>2</v>
      </c>
      <c r="G913" s="6">
        <v>440031</v>
      </c>
      <c r="H913" s="6">
        <v>4</v>
      </c>
      <c r="J913" s="6" t="s">
        <v>3983</v>
      </c>
      <c r="K913" s="6" t="s">
        <v>3995</v>
      </c>
    </row>
    <row r="914" s="6" customFormat="1" spans="1:11">
      <c r="A914" s="7">
        <v>909</v>
      </c>
      <c r="B914" s="6">
        <v>430003</v>
      </c>
      <c r="C914" s="6">
        <v>2</v>
      </c>
      <c r="G914" s="6">
        <v>440002</v>
      </c>
      <c r="H914" s="6">
        <v>8</v>
      </c>
      <c r="J914" s="6" t="s">
        <v>3974</v>
      </c>
      <c r="K914" s="6" t="s">
        <v>3996</v>
      </c>
    </row>
    <row r="915" s="6" customFormat="1" spans="1:11">
      <c r="A915" s="7">
        <v>910</v>
      </c>
      <c r="B915" s="6">
        <v>430003</v>
      </c>
      <c r="C915" s="6">
        <v>2</v>
      </c>
      <c r="G915" s="6">
        <v>440003</v>
      </c>
      <c r="H915" s="6">
        <v>5</v>
      </c>
      <c r="J915" s="6" t="s">
        <v>3975</v>
      </c>
      <c r="K915" s="6" t="s">
        <v>3996</v>
      </c>
    </row>
    <row r="916" s="6" customFormat="1" spans="1:11">
      <c r="A916" s="7">
        <v>911</v>
      </c>
      <c r="B916" s="6">
        <v>430003</v>
      </c>
      <c r="C916" s="6">
        <v>2</v>
      </c>
      <c r="G916" s="6">
        <v>440004</v>
      </c>
      <c r="H916" s="6">
        <v>2</v>
      </c>
      <c r="J916" s="6" t="s">
        <v>3976</v>
      </c>
      <c r="K916" s="6" t="s">
        <v>3996</v>
      </c>
    </row>
    <row r="917" s="6" customFormat="1" spans="1:11">
      <c r="A917" s="7">
        <v>912</v>
      </c>
      <c r="B917" s="6">
        <v>430003</v>
      </c>
      <c r="C917" s="6">
        <v>2</v>
      </c>
      <c r="G917" s="6">
        <v>440033</v>
      </c>
      <c r="H917" s="6">
        <v>13</v>
      </c>
      <c r="J917" s="6" t="s">
        <v>3978</v>
      </c>
      <c r="K917" s="6" t="s">
        <v>3996</v>
      </c>
    </row>
    <row r="918" s="6" customFormat="1" spans="1:11">
      <c r="A918" s="7">
        <v>913</v>
      </c>
      <c r="B918" s="6">
        <v>430003</v>
      </c>
      <c r="C918" s="6">
        <v>2</v>
      </c>
      <c r="G918" s="6">
        <v>440034</v>
      </c>
      <c r="H918" s="6">
        <v>10</v>
      </c>
      <c r="J918" s="6" t="s">
        <v>3979</v>
      </c>
      <c r="K918" s="6" t="s">
        <v>3996</v>
      </c>
    </row>
    <row r="919" s="6" customFormat="1" spans="1:11">
      <c r="A919" s="7">
        <v>914</v>
      </c>
      <c r="B919" s="6">
        <v>430003</v>
      </c>
      <c r="C919" s="6">
        <v>2</v>
      </c>
      <c r="G919" s="6">
        <v>440035</v>
      </c>
      <c r="H919" s="6">
        <v>5</v>
      </c>
      <c r="J919" s="6" t="s">
        <v>3989</v>
      </c>
      <c r="K919" s="6" t="s">
        <v>3996</v>
      </c>
    </row>
    <row r="920" s="6" customFormat="1" spans="1:11">
      <c r="A920" s="7">
        <v>915</v>
      </c>
      <c r="B920" s="6">
        <v>430003</v>
      </c>
      <c r="C920" s="6">
        <v>2</v>
      </c>
      <c r="G920" s="6">
        <v>440036</v>
      </c>
      <c r="H920" s="6">
        <v>15</v>
      </c>
      <c r="J920" s="6" t="s">
        <v>3980</v>
      </c>
      <c r="K920" s="6" t="s">
        <v>3996</v>
      </c>
    </row>
    <row r="921" s="6" customFormat="1" spans="1:11">
      <c r="A921" s="7">
        <v>916</v>
      </c>
      <c r="B921" s="6">
        <v>430003</v>
      </c>
      <c r="C921" s="6">
        <v>2</v>
      </c>
      <c r="G921" s="6">
        <v>440037</v>
      </c>
      <c r="H921" s="6">
        <v>10</v>
      </c>
      <c r="J921" s="6" t="s">
        <v>3981</v>
      </c>
      <c r="K921" s="6" t="s">
        <v>3996</v>
      </c>
    </row>
    <row r="922" s="6" customFormat="1" spans="1:11">
      <c r="A922" s="7">
        <v>917</v>
      </c>
      <c r="B922" s="6">
        <v>430003</v>
      </c>
      <c r="C922" s="6">
        <v>2</v>
      </c>
      <c r="G922" s="6">
        <v>440038</v>
      </c>
      <c r="H922" s="6">
        <v>5</v>
      </c>
      <c r="J922" s="6" t="s">
        <v>3990</v>
      </c>
      <c r="K922" s="6" t="s">
        <v>3996</v>
      </c>
    </row>
    <row r="923" s="6" customFormat="1" spans="1:11">
      <c r="A923" s="7">
        <v>918</v>
      </c>
      <c r="B923" s="6">
        <v>430003</v>
      </c>
      <c r="C923" s="6">
        <v>2</v>
      </c>
      <c r="G923" s="6">
        <v>440039</v>
      </c>
      <c r="H923" s="6">
        <v>4</v>
      </c>
      <c r="J923" s="6" t="s">
        <v>3982</v>
      </c>
      <c r="K923" s="6" t="s">
        <v>3996</v>
      </c>
    </row>
    <row r="924" s="6" customFormat="1" spans="1:11">
      <c r="A924" s="7">
        <v>919</v>
      </c>
      <c r="B924" s="6">
        <v>430003</v>
      </c>
      <c r="C924" s="6">
        <v>2</v>
      </c>
      <c r="G924" s="6">
        <v>440040</v>
      </c>
      <c r="H924" s="6">
        <v>4</v>
      </c>
      <c r="J924" s="6" t="s">
        <v>3983</v>
      </c>
      <c r="K924" s="6" t="s">
        <v>3996</v>
      </c>
    </row>
    <row r="925" s="6" customFormat="1" spans="1:11">
      <c r="A925" s="7">
        <v>920</v>
      </c>
      <c r="B925" s="6">
        <v>430004</v>
      </c>
      <c r="C925" s="6">
        <v>2</v>
      </c>
      <c r="G925" s="6">
        <v>440002</v>
      </c>
      <c r="H925" s="6">
        <v>8</v>
      </c>
      <c r="J925" s="6" t="s">
        <v>3974</v>
      </c>
      <c r="K925" s="6" t="s">
        <v>3997</v>
      </c>
    </row>
    <row r="926" s="6" customFormat="1" spans="1:11">
      <c r="A926" s="7">
        <v>921</v>
      </c>
      <c r="B926" s="6">
        <v>430004</v>
      </c>
      <c r="C926" s="6">
        <v>2</v>
      </c>
      <c r="G926" s="6">
        <v>440003</v>
      </c>
      <c r="H926" s="6">
        <v>5</v>
      </c>
      <c r="J926" s="6" t="s">
        <v>3975</v>
      </c>
      <c r="K926" s="6" t="s">
        <v>3997</v>
      </c>
    </row>
    <row r="927" s="6" customFormat="1" spans="1:11">
      <c r="A927" s="7">
        <v>922</v>
      </c>
      <c r="B927" s="6">
        <v>430004</v>
      </c>
      <c r="C927" s="6">
        <v>2</v>
      </c>
      <c r="G927" s="6">
        <v>440004</v>
      </c>
      <c r="H927" s="6">
        <v>2</v>
      </c>
      <c r="J927" s="6" t="s">
        <v>3976</v>
      </c>
      <c r="K927" s="6" t="s">
        <v>3997</v>
      </c>
    </row>
    <row r="928" s="6" customFormat="1" spans="1:11">
      <c r="A928" s="7">
        <v>923</v>
      </c>
      <c r="B928" s="6">
        <v>430004</v>
      </c>
      <c r="C928" s="6">
        <v>2</v>
      </c>
      <c r="G928" s="6">
        <v>440042</v>
      </c>
      <c r="H928" s="6">
        <v>13</v>
      </c>
      <c r="J928" s="6" t="s">
        <v>3978</v>
      </c>
      <c r="K928" s="6" t="s">
        <v>3997</v>
      </c>
    </row>
    <row r="929" s="6" customFormat="1" spans="1:11">
      <c r="A929" s="7">
        <v>924</v>
      </c>
      <c r="B929" s="6">
        <v>430004</v>
      </c>
      <c r="C929" s="6">
        <v>2</v>
      </c>
      <c r="G929" s="6">
        <v>440043</v>
      </c>
      <c r="H929" s="6">
        <v>10</v>
      </c>
      <c r="J929" s="6" t="s">
        <v>3979</v>
      </c>
      <c r="K929" s="6" t="s">
        <v>3997</v>
      </c>
    </row>
    <row r="930" s="6" customFormat="1" spans="1:11">
      <c r="A930" s="7">
        <v>925</v>
      </c>
      <c r="B930" s="6">
        <v>430004</v>
      </c>
      <c r="C930" s="6">
        <v>2</v>
      </c>
      <c r="G930" s="6">
        <v>440044</v>
      </c>
      <c r="H930" s="6">
        <v>5</v>
      </c>
      <c r="J930" s="6" t="s">
        <v>3989</v>
      </c>
      <c r="K930" s="6" t="s">
        <v>3997</v>
      </c>
    </row>
    <row r="931" s="6" customFormat="1" spans="1:11">
      <c r="A931" s="7">
        <v>926</v>
      </c>
      <c r="B931" s="6">
        <v>430004</v>
      </c>
      <c r="C931" s="6">
        <v>2</v>
      </c>
      <c r="G931" s="6">
        <v>440045</v>
      </c>
      <c r="H931" s="6">
        <v>15</v>
      </c>
      <c r="J931" s="6" t="s">
        <v>3980</v>
      </c>
      <c r="K931" s="6" t="s">
        <v>3997</v>
      </c>
    </row>
    <row r="932" s="6" customFormat="1" spans="1:11">
      <c r="A932" s="7">
        <v>927</v>
      </c>
      <c r="B932" s="6">
        <v>430004</v>
      </c>
      <c r="C932" s="6">
        <v>2</v>
      </c>
      <c r="G932" s="6">
        <v>440046</v>
      </c>
      <c r="H932" s="6">
        <v>10</v>
      </c>
      <c r="J932" s="6" t="s">
        <v>3981</v>
      </c>
      <c r="K932" s="6" t="s">
        <v>3997</v>
      </c>
    </row>
    <row r="933" s="6" customFormat="1" spans="1:11">
      <c r="A933" s="7">
        <v>928</v>
      </c>
      <c r="B933" s="6">
        <v>430004</v>
      </c>
      <c r="C933" s="6">
        <v>2</v>
      </c>
      <c r="G933" s="6">
        <v>440047</v>
      </c>
      <c r="H933" s="6">
        <v>5</v>
      </c>
      <c r="J933" s="6" t="s">
        <v>3990</v>
      </c>
      <c r="K933" s="6" t="s">
        <v>3997</v>
      </c>
    </row>
    <row r="934" s="6" customFormat="1" spans="1:11">
      <c r="A934" s="7">
        <v>929</v>
      </c>
      <c r="B934" s="6">
        <v>430004</v>
      </c>
      <c r="C934" s="6">
        <v>2</v>
      </c>
      <c r="G934" s="6">
        <v>440048</v>
      </c>
      <c r="H934" s="6">
        <v>4</v>
      </c>
      <c r="J934" s="6" t="s">
        <v>3982</v>
      </c>
      <c r="K934" s="6" t="s">
        <v>3997</v>
      </c>
    </row>
    <row r="935" s="6" customFormat="1" spans="1:11">
      <c r="A935" s="7">
        <v>930</v>
      </c>
      <c r="B935" s="6">
        <v>430004</v>
      </c>
      <c r="C935" s="6">
        <v>2</v>
      </c>
      <c r="G935" s="6">
        <v>440049</v>
      </c>
      <c r="H935" s="6">
        <v>4</v>
      </c>
      <c r="J935" s="6" t="s">
        <v>3983</v>
      </c>
      <c r="K935" s="6" t="s">
        <v>3997</v>
      </c>
    </row>
    <row r="936" spans="1:11">
      <c r="A936" s="7">
        <v>931</v>
      </c>
      <c r="B936" s="7">
        <v>500001</v>
      </c>
      <c r="C936" s="7">
        <v>3</v>
      </c>
      <c r="D936" s="7">
        <v>310001</v>
      </c>
      <c r="E936" s="7">
        <v>10</v>
      </c>
      <c r="F936" s="7">
        <v>10</v>
      </c>
      <c r="K936" s="7" t="s">
        <v>3998</v>
      </c>
    </row>
    <row r="937" spans="1:11">
      <c r="A937" s="7">
        <v>932</v>
      </c>
      <c r="B937" s="7">
        <v>500001</v>
      </c>
      <c r="C937" s="7">
        <v>3</v>
      </c>
      <c r="D937" s="7">
        <v>400020</v>
      </c>
      <c r="E937" s="7">
        <v>5</v>
      </c>
      <c r="F937" s="7">
        <v>5</v>
      </c>
      <c r="K937" s="7" t="s">
        <v>3998</v>
      </c>
    </row>
    <row r="938" spans="1:11">
      <c r="A938" s="7">
        <v>933</v>
      </c>
      <c r="B938" s="7">
        <v>500001</v>
      </c>
      <c r="C938" s="7">
        <v>3</v>
      </c>
      <c r="D938" s="7">
        <v>400022</v>
      </c>
      <c r="E938" s="7">
        <v>10</v>
      </c>
      <c r="F938" s="7">
        <v>10</v>
      </c>
      <c r="K938" s="7" t="s">
        <v>3998</v>
      </c>
    </row>
    <row r="939" spans="1:11">
      <c r="A939" s="7">
        <v>934</v>
      </c>
      <c r="B939" s="7">
        <v>500002</v>
      </c>
      <c r="C939" s="7">
        <v>3</v>
      </c>
      <c r="D939" s="7">
        <v>310001</v>
      </c>
      <c r="E939" s="7">
        <v>15</v>
      </c>
      <c r="F939" s="7">
        <v>15</v>
      </c>
      <c r="K939" s="7" t="s">
        <v>3999</v>
      </c>
    </row>
    <row r="940" spans="1:11">
      <c r="A940" s="7">
        <v>935</v>
      </c>
      <c r="B940" s="7">
        <v>500002</v>
      </c>
      <c r="C940" s="7">
        <v>3</v>
      </c>
      <c r="D940" s="7">
        <v>400020</v>
      </c>
      <c r="E940" s="7">
        <v>10</v>
      </c>
      <c r="F940" s="7">
        <v>10</v>
      </c>
      <c r="K940" s="7" t="s">
        <v>3999</v>
      </c>
    </row>
    <row r="941" spans="1:11">
      <c r="A941" s="7">
        <v>936</v>
      </c>
      <c r="B941" s="7">
        <v>500002</v>
      </c>
      <c r="C941" s="7">
        <v>3</v>
      </c>
      <c r="D941" s="7">
        <v>400022</v>
      </c>
      <c r="E941" s="7">
        <v>15</v>
      </c>
      <c r="F941" s="7">
        <v>15</v>
      </c>
      <c r="K941" s="7" t="s">
        <v>3999</v>
      </c>
    </row>
    <row r="942" spans="1:11">
      <c r="A942" s="7">
        <v>937</v>
      </c>
      <c r="B942" s="7">
        <v>500003</v>
      </c>
      <c r="C942" s="7">
        <v>3</v>
      </c>
      <c r="D942" s="7">
        <v>310001</v>
      </c>
      <c r="E942" s="7">
        <v>25</v>
      </c>
      <c r="F942" s="7">
        <v>25</v>
      </c>
      <c r="K942" s="7" t="s">
        <v>4000</v>
      </c>
    </row>
    <row r="943" spans="1:11">
      <c r="A943" s="7">
        <v>938</v>
      </c>
      <c r="B943" s="7">
        <v>500003</v>
      </c>
      <c r="C943" s="7">
        <v>3</v>
      </c>
      <c r="D943" s="7">
        <v>400020</v>
      </c>
      <c r="E943" s="7">
        <v>20</v>
      </c>
      <c r="F943" s="7">
        <v>20</v>
      </c>
      <c r="K943" s="7" t="s">
        <v>4000</v>
      </c>
    </row>
    <row r="944" spans="1:11">
      <c r="A944" s="7">
        <v>939</v>
      </c>
      <c r="B944" s="7">
        <v>500003</v>
      </c>
      <c r="C944" s="7">
        <v>3</v>
      </c>
      <c r="D944" s="7">
        <v>400022</v>
      </c>
      <c r="E944" s="7">
        <v>25</v>
      </c>
      <c r="F944" s="7">
        <v>25</v>
      </c>
      <c r="K944" s="7" t="s">
        <v>4000</v>
      </c>
    </row>
    <row r="945" spans="1:11">
      <c r="A945" s="7">
        <v>940</v>
      </c>
      <c r="B945" s="7">
        <v>500004</v>
      </c>
      <c r="C945" s="7">
        <v>3</v>
      </c>
      <c r="D945" s="7">
        <v>310001</v>
      </c>
      <c r="E945" s="7">
        <v>50</v>
      </c>
      <c r="F945" s="7">
        <v>50</v>
      </c>
      <c r="K945" s="7" t="s">
        <v>4001</v>
      </c>
    </row>
    <row r="946" spans="1:11">
      <c r="A946" s="7">
        <v>941</v>
      </c>
      <c r="B946" s="7">
        <v>500004</v>
      </c>
      <c r="C946" s="7">
        <v>3</v>
      </c>
      <c r="D946" s="7">
        <v>400020</v>
      </c>
      <c r="E946" s="7">
        <v>40</v>
      </c>
      <c r="F946" s="7">
        <v>40</v>
      </c>
      <c r="K946" s="7" t="s">
        <v>4001</v>
      </c>
    </row>
    <row r="947" spans="1:11">
      <c r="A947" s="7">
        <v>942</v>
      </c>
      <c r="B947" s="7">
        <v>500004</v>
      </c>
      <c r="C947" s="7">
        <v>3</v>
      </c>
      <c r="D947" s="7">
        <v>400022</v>
      </c>
      <c r="E947" s="7">
        <v>50</v>
      </c>
      <c r="F947" s="7">
        <v>50</v>
      </c>
      <c r="K947" s="7" t="s">
        <v>4001</v>
      </c>
    </row>
    <row r="948" spans="1:11">
      <c r="A948" s="7">
        <v>943</v>
      </c>
      <c r="B948" s="7">
        <v>500005</v>
      </c>
      <c r="C948" s="7">
        <v>3</v>
      </c>
      <c r="D948" s="7">
        <v>310001</v>
      </c>
      <c r="E948" s="7">
        <v>80</v>
      </c>
      <c r="F948" s="7">
        <v>80</v>
      </c>
      <c r="K948" s="7" t="s">
        <v>4002</v>
      </c>
    </row>
    <row r="949" spans="1:11">
      <c r="A949" s="7">
        <v>944</v>
      </c>
      <c r="B949" s="7">
        <v>500005</v>
      </c>
      <c r="C949" s="7">
        <v>3</v>
      </c>
      <c r="D949" s="7">
        <v>400020</v>
      </c>
      <c r="E949" s="7">
        <v>50</v>
      </c>
      <c r="F949" s="7">
        <v>50</v>
      </c>
      <c r="K949" s="7" t="s">
        <v>4002</v>
      </c>
    </row>
    <row r="950" spans="1:11">
      <c r="A950" s="7">
        <v>945</v>
      </c>
      <c r="B950" s="7">
        <v>500005</v>
      </c>
      <c r="C950" s="7">
        <v>3</v>
      </c>
      <c r="D950" s="7">
        <v>400022</v>
      </c>
      <c r="E950" s="7">
        <v>80</v>
      </c>
      <c r="F950" s="7">
        <v>80</v>
      </c>
      <c r="K950" s="7" t="s">
        <v>4002</v>
      </c>
    </row>
    <row r="951" spans="1:8">
      <c r="A951" s="7">
        <v>946</v>
      </c>
      <c r="B951" s="7">
        <v>5010001</v>
      </c>
      <c r="C951" s="7">
        <v>1</v>
      </c>
      <c r="G951" s="7">
        <v>5010100</v>
      </c>
      <c r="H951" s="7">
        <v>4000</v>
      </c>
    </row>
    <row r="952" spans="1:8">
      <c r="A952" s="7">
        <v>947</v>
      </c>
      <c r="B952" s="7">
        <v>5010001</v>
      </c>
      <c r="C952" s="7">
        <v>1</v>
      </c>
      <c r="G952" s="7">
        <v>5010200</v>
      </c>
      <c r="H952" s="7">
        <v>3000</v>
      </c>
    </row>
    <row r="953" spans="1:8">
      <c r="A953" s="7">
        <v>948</v>
      </c>
      <c r="B953" s="7">
        <v>5010001</v>
      </c>
      <c r="C953" s="7">
        <v>1</v>
      </c>
      <c r="G953" s="7">
        <v>5010400</v>
      </c>
      <c r="H953" s="7">
        <v>4000</v>
      </c>
    </row>
    <row r="954" spans="1:8">
      <c r="A954" s="7">
        <v>949</v>
      </c>
      <c r="B954" s="7">
        <v>5010001</v>
      </c>
      <c r="C954" s="7">
        <v>1</v>
      </c>
      <c r="G954" s="7">
        <v>5010700</v>
      </c>
      <c r="H954" s="7">
        <v>8000</v>
      </c>
    </row>
    <row r="955" spans="1:8">
      <c r="A955" s="7">
        <v>950</v>
      </c>
      <c r="B955" s="7">
        <v>5010002</v>
      </c>
      <c r="C955" s="7">
        <v>1</v>
      </c>
      <c r="G955" s="7">
        <v>5010100</v>
      </c>
      <c r="H955" s="7">
        <v>4000</v>
      </c>
    </row>
    <row r="956" spans="1:8">
      <c r="A956" s="7">
        <v>951</v>
      </c>
      <c r="B956" s="7">
        <v>5010002</v>
      </c>
      <c r="C956" s="7">
        <v>1</v>
      </c>
      <c r="G956" s="7">
        <v>5010200</v>
      </c>
      <c r="H956" s="7">
        <v>3000</v>
      </c>
    </row>
    <row r="957" spans="1:8">
      <c r="A957" s="7">
        <v>952</v>
      </c>
      <c r="B957" s="7">
        <v>5010002</v>
      </c>
      <c r="C957" s="7">
        <v>1</v>
      </c>
      <c r="G957" s="7">
        <v>5010500</v>
      </c>
      <c r="H957" s="7">
        <v>4000</v>
      </c>
    </row>
    <row r="958" spans="1:8">
      <c r="A958" s="7">
        <v>953</v>
      </c>
      <c r="B958" s="7">
        <v>5010002</v>
      </c>
      <c r="C958" s="7">
        <v>1</v>
      </c>
      <c r="G958" s="7">
        <v>5010700</v>
      </c>
      <c r="H958" s="7">
        <v>8000</v>
      </c>
    </row>
    <row r="959" spans="1:8">
      <c r="A959" s="7">
        <v>954</v>
      </c>
      <c r="B959" s="7">
        <v>5010003</v>
      </c>
      <c r="C959" s="7">
        <v>1</v>
      </c>
      <c r="G959" s="7">
        <v>5010100</v>
      </c>
      <c r="H959" s="7">
        <v>4000</v>
      </c>
    </row>
    <row r="960" spans="1:8">
      <c r="A960" s="7">
        <v>955</v>
      </c>
      <c r="B960" s="7">
        <v>5010003</v>
      </c>
      <c r="C960" s="7">
        <v>1</v>
      </c>
      <c r="G960" s="7">
        <v>5010200</v>
      </c>
      <c r="H960" s="7">
        <v>3000</v>
      </c>
    </row>
    <row r="961" spans="1:8">
      <c r="A961" s="7">
        <v>956</v>
      </c>
      <c r="B961" s="7">
        <v>5010003</v>
      </c>
      <c r="C961" s="7">
        <v>1</v>
      </c>
      <c r="G961" s="7">
        <v>5010300</v>
      </c>
      <c r="H961" s="7">
        <v>1000</v>
      </c>
    </row>
    <row r="962" spans="1:8">
      <c r="A962" s="7">
        <v>957</v>
      </c>
      <c r="B962" s="7">
        <v>5010003</v>
      </c>
      <c r="C962" s="7">
        <v>1</v>
      </c>
      <c r="G962" s="7">
        <v>5010600</v>
      </c>
      <c r="H962" s="7">
        <v>4000</v>
      </c>
    </row>
    <row r="963" spans="1:8">
      <c r="A963" s="7">
        <v>958</v>
      </c>
      <c r="B963" s="7">
        <v>5010004</v>
      </c>
      <c r="C963" s="7">
        <v>1</v>
      </c>
      <c r="G963" s="7">
        <v>5010100</v>
      </c>
      <c r="H963" s="7">
        <v>4000</v>
      </c>
    </row>
    <row r="964" spans="1:8">
      <c r="A964" s="7">
        <v>959</v>
      </c>
      <c r="B964" s="7">
        <v>5010004</v>
      </c>
      <c r="C964" s="7">
        <v>1</v>
      </c>
      <c r="G964" s="7">
        <v>5010200</v>
      </c>
      <c r="H964" s="7">
        <v>3000</v>
      </c>
    </row>
    <row r="965" spans="1:8">
      <c r="A965" s="7">
        <v>960</v>
      </c>
      <c r="B965" s="7">
        <v>5010004</v>
      </c>
      <c r="C965" s="7">
        <v>1</v>
      </c>
      <c r="G965" s="7">
        <v>5010700</v>
      </c>
      <c r="H965" s="7">
        <v>8000</v>
      </c>
    </row>
    <row r="966" spans="1:8">
      <c r="A966" s="7">
        <v>961</v>
      </c>
      <c r="B966" s="7">
        <v>5020001</v>
      </c>
      <c r="C966" s="7">
        <v>1</v>
      </c>
      <c r="G966" s="7">
        <v>5020100</v>
      </c>
      <c r="H966" s="7">
        <v>6500</v>
      </c>
    </row>
    <row r="967" spans="1:8">
      <c r="A967" s="7">
        <v>962</v>
      </c>
      <c r="B967" s="7">
        <v>5020001</v>
      </c>
      <c r="C967" s="7">
        <v>1</v>
      </c>
      <c r="G967" s="7">
        <v>5020200</v>
      </c>
      <c r="H967" s="7">
        <v>3000</v>
      </c>
    </row>
    <row r="968" spans="1:8">
      <c r="A968" s="7">
        <v>963</v>
      </c>
      <c r="B968" s="7">
        <v>5020001</v>
      </c>
      <c r="C968" s="7">
        <v>1</v>
      </c>
      <c r="G968" s="7">
        <v>5020400</v>
      </c>
      <c r="H968" s="7">
        <v>6500</v>
      </c>
    </row>
    <row r="969" spans="1:8">
      <c r="A969" s="7">
        <v>964</v>
      </c>
      <c r="B969" s="7">
        <v>5020001</v>
      </c>
      <c r="C969" s="7">
        <v>1</v>
      </c>
      <c r="G969" s="7">
        <v>5020700</v>
      </c>
      <c r="H969" s="7">
        <v>10000</v>
      </c>
    </row>
    <row r="970" spans="1:8">
      <c r="A970" s="7">
        <v>965</v>
      </c>
      <c r="B970" s="7">
        <v>5020001</v>
      </c>
      <c r="C970" s="7">
        <v>1</v>
      </c>
      <c r="G970" s="7">
        <v>5020700</v>
      </c>
      <c r="H970" s="7">
        <v>3000</v>
      </c>
    </row>
    <row r="971" spans="1:8">
      <c r="A971" s="7">
        <v>966</v>
      </c>
      <c r="B971" s="7">
        <v>5020002</v>
      </c>
      <c r="C971" s="7">
        <v>1</v>
      </c>
      <c r="G971" s="7">
        <v>5020100</v>
      </c>
      <c r="H971" s="7">
        <v>6500</v>
      </c>
    </row>
    <row r="972" spans="1:8">
      <c r="A972" s="7">
        <v>967</v>
      </c>
      <c r="B972" s="7">
        <v>5020002</v>
      </c>
      <c r="C972" s="7">
        <v>1</v>
      </c>
      <c r="G972" s="7">
        <v>5020200</v>
      </c>
      <c r="H972" s="7">
        <v>3000</v>
      </c>
    </row>
    <row r="973" spans="1:8">
      <c r="A973" s="7">
        <v>968</v>
      </c>
      <c r="B973" s="7">
        <v>5020002</v>
      </c>
      <c r="C973" s="7">
        <v>1</v>
      </c>
      <c r="G973" s="7">
        <v>5020500</v>
      </c>
      <c r="H973" s="7">
        <v>6500</v>
      </c>
    </row>
    <row r="974" spans="1:8">
      <c r="A974" s="7">
        <v>969</v>
      </c>
      <c r="B974" s="7">
        <v>5020002</v>
      </c>
      <c r="C974" s="7">
        <v>1</v>
      </c>
      <c r="G974" s="7">
        <v>5020700</v>
      </c>
      <c r="H974" s="7">
        <v>10000</v>
      </c>
    </row>
    <row r="975" spans="1:8">
      <c r="A975" s="7">
        <v>970</v>
      </c>
      <c r="B975" s="7">
        <v>5020002</v>
      </c>
      <c r="C975" s="7">
        <v>1</v>
      </c>
      <c r="G975" s="7">
        <v>5020700</v>
      </c>
      <c r="H975" s="7">
        <v>3000</v>
      </c>
    </row>
    <row r="976" spans="1:8">
      <c r="A976" s="7">
        <v>971</v>
      </c>
      <c r="B976" s="7">
        <v>5020003</v>
      </c>
      <c r="C976" s="7">
        <v>1</v>
      </c>
      <c r="G976" s="7">
        <v>5020100</v>
      </c>
      <c r="H976" s="7">
        <v>6500</v>
      </c>
    </row>
    <row r="977" spans="1:8">
      <c r="A977" s="7">
        <v>972</v>
      </c>
      <c r="B977" s="7">
        <v>5020003</v>
      </c>
      <c r="C977" s="7">
        <v>1</v>
      </c>
      <c r="G977" s="7">
        <v>5020200</v>
      </c>
      <c r="H977" s="7">
        <v>3000</v>
      </c>
    </row>
    <row r="978" spans="1:8">
      <c r="A978" s="7">
        <v>973</v>
      </c>
      <c r="B978" s="7">
        <v>5020003</v>
      </c>
      <c r="C978" s="7">
        <v>1</v>
      </c>
      <c r="G978" s="7">
        <v>5020300</v>
      </c>
      <c r="H978" s="7">
        <v>1500</v>
      </c>
    </row>
    <row r="979" spans="1:8">
      <c r="A979" s="7">
        <v>974</v>
      </c>
      <c r="B979" s="7">
        <v>5020003</v>
      </c>
      <c r="C979" s="7">
        <v>1</v>
      </c>
      <c r="G979" s="7">
        <v>5020600</v>
      </c>
      <c r="H979" s="7">
        <v>6500</v>
      </c>
    </row>
    <row r="980" spans="1:8">
      <c r="A980" s="7">
        <v>975</v>
      </c>
      <c r="B980" s="7">
        <v>5020004</v>
      </c>
      <c r="C980" s="7">
        <v>1</v>
      </c>
      <c r="G980" s="7">
        <v>5020100</v>
      </c>
      <c r="H980" s="7">
        <v>6500</v>
      </c>
    </row>
    <row r="981" spans="1:8">
      <c r="A981" s="7">
        <v>976</v>
      </c>
      <c r="B981" s="7">
        <v>5020004</v>
      </c>
      <c r="C981" s="7">
        <v>1</v>
      </c>
      <c r="G981" s="7">
        <v>5020200</v>
      </c>
      <c r="H981" s="7">
        <v>3000</v>
      </c>
    </row>
    <row r="982" spans="1:8">
      <c r="A982" s="7">
        <v>977</v>
      </c>
      <c r="B982" s="7">
        <v>5020004</v>
      </c>
      <c r="C982" s="7">
        <v>1</v>
      </c>
      <c r="G982" s="7">
        <v>5020700</v>
      </c>
      <c r="H982" s="7">
        <v>10000</v>
      </c>
    </row>
    <row r="983" spans="1:8">
      <c r="A983" s="7">
        <v>978</v>
      </c>
      <c r="B983" s="7">
        <v>5020004</v>
      </c>
      <c r="C983" s="7">
        <v>1</v>
      </c>
      <c r="G983" s="7">
        <v>5020700</v>
      </c>
      <c r="H983" s="7">
        <v>3000</v>
      </c>
    </row>
    <row r="984" spans="1:8">
      <c r="A984" s="7">
        <v>979</v>
      </c>
      <c r="B984" s="7">
        <v>5030001</v>
      </c>
      <c r="C984" s="7">
        <v>1</v>
      </c>
      <c r="G984" s="7">
        <v>5030100</v>
      </c>
      <c r="H984" s="7">
        <v>9000</v>
      </c>
    </row>
    <row r="985" spans="1:8">
      <c r="A985" s="7">
        <v>980</v>
      </c>
      <c r="B985" s="7">
        <v>5030001</v>
      </c>
      <c r="C985" s="7">
        <v>1</v>
      </c>
      <c r="G985" s="7">
        <v>5030200</v>
      </c>
      <c r="H985" s="7">
        <v>5000</v>
      </c>
    </row>
    <row r="986" spans="1:8">
      <c r="A986" s="7">
        <v>981</v>
      </c>
      <c r="B986" s="7">
        <v>5030001</v>
      </c>
      <c r="C986" s="7">
        <v>1</v>
      </c>
      <c r="G986" s="7">
        <v>5030400</v>
      </c>
      <c r="H986" s="7">
        <v>9000</v>
      </c>
    </row>
    <row r="987" spans="1:8">
      <c r="A987" s="7">
        <v>982</v>
      </c>
      <c r="B987" s="7">
        <v>5030001</v>
      </c>
      <c r="C987" s="7">
        <v>1</v>
      </c>
      <c r="G987" s="7">
        <v>5030700</v>
      </c>
      <c r="H987" s="7">
        <v>10000</v>
      </c>
    </row>
    <row r="988" spans="1:8">
      <c r="A988" s="7">
        <v>983</v>
      </c>
      <c r="B988" s="7">
        <v>5030001</v>
      </c>
      <c r="C988" s="7">
        <v>1</v>
      </c>
      <c r="G988" s="7">
        <v>5030700</v>
      </c>
      <c r="H988" s="7">
        <v>8000</v>
      </c>
    </row>
    <row r="989" spans="1:8">
      <c r="A989" s="7">
        <v>984</v>
      </c>
      <c r="B989" s="7">
        <v>5030002</v>
      </c>
      <c r="C989" s="7">
        <v>1</v>
      </c>
      <c r="G989" s="7">
        <v>5030100</v>
      </c>
      <c r="H989" s="7">
        <v>9000</v>
      </c>
    </row>
    <row r="990" spans="1:8">
      <c r="A990" s="7">
        <v>985</v>
      </c>
      <c r="B990" s="7">
        <v>5030002</v>
      </c>
      <c r="C990" s="7">
        <v>1</v>
      </c>
      <c r="G990" s="7">
        <v>5030200</v>
      </c>
      <c r="H990" s="7">
        <v>5000</v>
      </c>
    </row>
    <row r="991" spans="1:8">
      <c r="A991" s="7">
        <v>986</v>
      </c>
      <c r="B991" s="7">
        <v>5030002</v>
      </c>
      <c r="C991" s="7">
        <v>1</v>
      </c>
      <c r="G991" s="7">
        <v>5030500</v>
      </c>
      <c r="H991" s="7">
        <v>9000</v>
      </c>
    </row>
    <row r="992" spans="1:8">
      <c r="A992" s="7">
        <v>987</v>
      </c>
      <c r="B992" s="7">
        <v>5030002</v>
      </c>
      <c r="C992" s="7">
        <v>1</v>
      </c>
      <c r="G992" s="7">
        <v>5030700</v>
      </c>
      <c r="H992" s="7">
        <v>10000</v>
      </c>
    </row>
    <row r="993" spans="1:8">
      <c r="A993" s="7">
        <v>988</v>
      </c>
      <c r="B993" s="7">
        <v>5030002</v>
      </c>
      <c r="C993" s="7">
        <v>1</v>
      </c>
      <c r="G993" s="7">
        <v>5030700</v>
      </c>
      <c r="H993" s="7">
        <v>8000</v>
      </c>
    </row>
    <row r="994" spans="1:8">
      <c r="A994" s="7">
        <v>989</v>
      </c>
      <c r="B994" s="7">
        <v>5030003</v>
      </c>
      <c r="C994" s="7">
        <v>1</v>
      </c>
      <c r="G994" s="7">
        <v>5030100</v>
      </c>
      <c r="H994" s="7">
        <v>9000</v>
      </c>
    </row>
    <row r="995" spans="1:8">
      <c r="A995" s="7">
        <v>990</v>
      </c>
      <c r="B995" s="7">
        <v>5030003</v>
      </c>
      <c r="C995" s="7">
        <v>1</v>
      </c>
      <c r="G995" s="7">
        <v>5030200</v>
      </c>
      <c r="H995" s="7">
        <v>5000</v>
      </c>
    </row>
    <row r="996" spans="1:8">
      <c r="A996" s="7">
        <v>991</v>
      </c>
      <c r="B996" s="7">
        <v>5030003</v>
      </c>
      <c r="C996" s="7">
        <v>1</v>
      </c>
      <c r="G996" s="7">
        <v>5030300</v>
      </c>
      <c r="H996" s="7">
        <v>2000</v>
      </c>
    </row>
    <row r="997" spans="1:8">
      <c r="A997" s="7">
        <v>992</v>
      </c>
      <c r="B997" s="7">
        <v>5030003</v>
      </c>
      <c r="C997" s="7">
        <v>1</v>
      </c>
      <c r="G997" s="7">
        <v>5030600</v>
      </c>
      <c r="H997" s="7">
        <v>9000</v>
      </c>
    </row>
    <row r="998" spans="1:8">
      <c r="A998" s="7">
        <v>993</v>
      </c>
      <c r="B998" s="7">
        <v>5030004</v>
      </c>
      <c r="C998" s="7">
        <v>1</v>
      </c>
      <c r="G998" s="7">
        <v>5030100</v>
      </c>
      <c r="H998" s="7">
        <v>9000</v>
      </c>
    </row>
    <row r="999" spans="1:8">
      <c r="A999" s="7">
        <v>994</v>
      </c>
      <c r="B999" s="7">
        <v>5030004</v>
      </c>
      <c r="C999" s="7">
        <v>1</v>
      </c>
      <c r="G999" s="7">
        <v>5030200</v>
      </c>
      <c r="H999" s="7">
        <v>5000</v>
      </c>
    </row>
    <row r="1000" spans="1:8">
      <c r="A1000" s="7">
        <v>995</v>
      </c>
      <c r="B1000" s="7">
        <v>5030004</v>
      </c>
      <c r="C1000" s="7">
        <v>1</v>
      </c>
      <c r="G1000" s="7">
        <v>5030700</v>
      </c>
      <c r="H1000" s="7">
        <v>10000</v>
      </c>
    </row>
    <row r="1001" spans="1:8">
      <c r="A1001" s="7">
        <v>996</v>
      </c>
      <c r="B1001" s="7">
        <v>5030004</v>
      </c>
      <c r="C1001" s="7">
        <v>1</v>
      </c>
      <c r="G1001" s="7">
        <v>5030700</v>
      </c>
      <c r="H1001" s="7">
        <v>8000</v>
      </c>
    </row>
    <row r="1002" spans="1:8">
      <c r="A1002" s="7">
        <v>997</v>
      </c>
      <c r="B1002" s="7">
        <v>5040001</v>
      </c>
      <c r="C1002" s="7">
        <v>1</v>
      </c>
      <c r="G1002" s="7">
        <v>5040100</v>
      </c>
      <c r="H1002" s="7">
        <v>9000</v>
      </c>
    </row>
    <row r="1003" spans="1:8">
      <c r="A1003" s="7">
        <v>998</v>
      </c>
      <c r="B1003" s="7">
        <v>5040001</v>
      </c>
      <c r="C1003" s="7">
        <v>1</v>
      </c>
      <c r="G1003" s="7">
        <v>5040200</v>
      </c>
      <c r="H1003" s="7">
        <v>5000</v>
      </c>
    </row>
    <row r="1004" spans="1:8">
      <c r="A1004" s="7">
        <v>999</v>
      </c>
      <c r="B1004" s="7">
        <v>5040001</v>
      </c>
      <c r="C1004" s="7">
        <v>1</v>
      </c>
      <c r="G1004" s="7">
        <v>5040400</v>
      </c>
      <c r="H1004" s="7">
        <v>9000</v>
      </c>
    </row>
    <row r="1005" spans="1:8">
      <c r="A1005" s="7">
        <v>1000</v>
      </c>
      <c r="B1005" s="7">
        <v>5040001</v>
      </c>
      <c r="C1005" s="7">
        <v>1</v>
      </c>
      <c r="G1005" s="7">
        <v>5040700</v>
      </c>
      <c r="H1005" s="7">
        <v>10000</v>
      </c>
    </row>
    <row r="1006" spans="1:8">
      <c r="A1006" s="7">
        <v>1001</v>
      </c>
      <c r="B1006" s="7">
        <v>5040001</v>
      </c>
      <c r="C1006" s="7">
        <v>1</v>
      </c>
      <c r="G1006" s="7">
        <v>5040700</v>
      </c>
      <c r="H1006" s="7">
        <v>8000</v>
      </c>
    </row>
    <row r="1007" spans="1:8">
      <c r="A1007" s="7">
        <v>1002</v>
      </c>
      <c r="B1007" s="7">
        <v>5040002</v>
      </c>
      <c r="C1007" s="7">
        <v>1</v>
      </c>
      <c r="G1007" s="7">
        <v>5040100</v>
      </c>
      <c r="H1007" s="7">
        <v>9000</v>
      </c>
    </row>
    <row r="1008" spans="1:8">
      <c r="A1008" s="7">
        <v>1003</v>
      </c>
      <c r="B1008" s="7">
        <v>5040002</v>
      </c>
      <c r="C1008" s="7">
        <v>1</v>
      </c>
      <c r="G1008" s="7">
        <v>5040200</v>
      </c>
      <c r="H1008" s="7">
        <v>5000</v>
      </c>
    </row>
    <row r="1009" spans="1:8">
      <c r="A1009" s="7">
        <v>1004</v>
      </c>
      <c r="B1009" s="7">
        <v>5040002</v>
      </c>
      <c r="C1009" s="7">
        <v>1</v>
      </c>
      <c r="G1009" s="7">
        <v>5040500</v>
      </c>
      <c r="H1009" s="7">
        <v>9000</v>
      </c>
    </row>
    <row r="1010" spans="1:8">
      <c r="A1010" s="7">
        <v>1005</v>
      </c>
      <c r="B1010" s="7">
        <v>5040002</v>
      </c>
      <c r="C1010" s="7">
        <v>1</v>
      </c>
      <c r="G1010" s="7">
        <v>5040700</v>
      </c>
      <c r="H1010" s="7">
        <v>10000</v>
      </c>
    </row>
    <row r="1011" spans="1:8">
      <c r="A1011" s="7">
        <v>1006</v>
      </c>
      <c r="B1011" s="7">
        <v>5040002</v>
      </c>
      <c r="C1011" s="7">
        <v>1</v>
      </c>
      <c r="G1011" s="7">
        <v>5040700</v>
      </c>
      <c r="H1011" s="7">
        <v>8000</v>
      </c>
    </row>
    <row r="1012" spans="1:8">
      <c r="A1012" s="7">
        <v>1007</v>
      </c>
      <c r="B1012" s="7">
        <v>5040003</v>
      </c>
      <c r="C1012" s="7">
        <v>1</v>
      </c>
      <c r="G1012" s="7">
        <v>5040100</v>
      </c>
      <c r="H1012" s="7">
        <v>9000</v>
      </c>
    </row>
    <row r="1013" spans="1:8">
      <c r="A1013" s="7">
        <v>1008</v>
      </c>
      <c r="B1013" s="7">
        <v>5040003</v>
      </c>
      <c r="C1013" s="7">
        <v>1</v>
      </c>
      <c r="G1013" s="7">
        <v>5040200</v>
      </c>
      <c r="H1013" s="7">
        <v>5000</v>
      </c>
    </row>
    <row r="1014" spans="1:8">
      <c r="A1014" s="7">
        <v>1009</v>
      </c>
      <c r="B1014" s="7">
        <v>5040003</v>
      </c>
      <c r="C1014" s="7">
        <v>1</v>
      </c>
      <c r="G1014" s="7">
        <v>5040300</v>
      </c>
      <c r="H1014" s="7">
        <v>2000</v>
      </c>
    </row>
    <row r="1015" spans="1:8">
      <c r="A1015" s="7">
        <v>1010</v>
      </c>
      <c r="B1015" s="7">
        <v>5040003</v>
      </c>
      <c r="C1015" s="7">
        <v>1</v>
      </c>
      <c r="G1015" s="7">
        <v>5040600</v>
      </c>
      <c r="H1015" s="7">
        <v>9000</v>
      </c>
    </row>
    <row r="1016" spans="1:8">
      <c r="A1016" s="7">
        <v>1011</v>
      </c>
      <c r="B1016" s="7">
        <v>5040004</v>
      </c>
      <c r="C1016" s="7">
        <v>1</v>
      </c>
      <c r="G1016" s="7">
        <v>5040100</v>
      </c>
      <c r="H1016" s="7">
        <v>9000</v>
      </c>
    </row>
    <row r="1017" spans="1:8">
      <c r="A1017" s="7">
        <v>1012</v>
      </c>
      <c r="B1017" s="7">
        <v>5040004</v>
      </c>
      <c r="C1017" s="7">
        <v>1</v>
      </c>
      <c r="G1017" s="7">
        <v>5040200</v>
      </c>
      <c r="H1017" s="7">
        <v>5000</v>
      </c>
    </row>
    <row r="1018" spans="1:8">
      <c r="A1018" s="7">
        <v>1013</v>
      </c>
      <c r="B1018" s="7">
        <v>5040004</v>
      </c>
      <c r="C1018" s="7">
        <v>1</v>
      </c>
      <c r="G1018" s="7">
        <v>5040700</v>
      </c>
      <c r="H1018" s="7">
        <v>10000</v>
      </c>
    </row>
    <row r="1019" spans="1:8">
      <c r="A1019" s="7">
        <v>1014</v>
      </c>
      <c r="B1019" s="7">
        <v>5040004</v>
      </c>
      <c r="C1019" s="7">
        <v>1</v>
      </c>
      <c r="G1019" s="7">
        <v>5040700</v>
      </c>
      <c r="H1019" s="7">
        <v>8000</v>
      </c>
    </row>
    <row r="1020" spans="1:8">
      <c r="A1020" s="7">
        <v>1015</v>
      </c>
      <c r="B1020" s="7">
        <v>5010100</v>
      </c>
      <c r="C1020" s="7">
        <v>2</v>
      </c>
      <c r="G1020" s="7">
        <v>600097</v>
      </c>
      <c r="H1020" s="7">
        <v>50</v>
      </c>
    </row>
    <row r="1021" spans="1:8">
      <c r="A1021" s="7">
        <v>1016</v>
      </c>
      <c r="B1021" s="7">
        <v>5010100</v>
      </c>
      <c r="C1021" s="7">
        <v>2</v>
      </c>
      <c r="G1021" s="7">
        <v>600098</v>
      </c>
      <c r="H1021" s="7">
        <v>35</v>
      </c>
    </row>
    <row r="1022" spans="1:8">
      <c r="A1022" s="7">
        <v>1017</v>
      </c>
      <c r="B1022" s="7">
        <v>5010100</v>
      </c>
      <c r="C1022" s="7">
        <v>2</v>
      </c>
      <c r="G1022" s="7">
        <v>600099</v>
      </c>
      <c r="H1022" s="7">
        <v>12</v>
      </c>
    </row>
    <row r="1023" spans="1:8">
      <c r="A1023" s="7">
        <v>1018</v>
      </c>
      <c r="B1023" s="7">
        <v>5010100</v>
      </c>
      <c r="C1023" s="7">
        <v>2</v>
      </c>
      <c r="G1023" s="7">
        <v>600100</v>
      </c>
      <c r="H1023" s="7">
        <v>3</v>
      </c>
    </row>
    <row r="1024" spans="1:8">
      <c r="A1024" s="7">
        <v>1019</v>
      </c>
      <c r="B1024" s="7">
        <v>5020100</v>
      </c>
      <c r="C1024" s="7">
        <v>2</v>
      </c>
      <c r="G1024" s="7">
        <v>600103</v>
      </c>
      <c r="H1024" s="7">
        <v>50</v>
      </c>
    </row>
    <row r="1025" spans="1:8">
      <c r="A1025" s="7">
        <v>1020</v>
      </c>
      <c r="B1025" s="7">
        <v>5020100</v>
      </c>
      <c r="C1025" s="7">
        <v>2</v>
      </c>
      <c r="G1025" s="7">
        <v>600104</v>
      </c>
      <c r="H1025" s="7">
        <v>35</v>
      </c>
    </row>
    <row r="1026" spans="1:8">
      <c r="A1026" s="7">
        <v>1021</v>
      </c>
      <c r="B1026" s="7">
        <v>5020100</v>
      </c>
      <c r="C1026" s="7">
        <v>2</v>
      </c>
      <c r="G1026" s="7">
        <v>600105</v>
      </c>
      <c r="H1026" s="7">
        <v>12</v>
      </c>
    </row>
    <row r="1027" spans="1:8">
      <c r="A1027" s="7">
        <v>1022</v>
      </c>
      <c r="B1027" s="7">
        <v>5020100</v>
      </c>
      <c r="C1027" s="7">
        <v>2</v>
      </c>
      <c r="G1027" s="7">
        <v>600106</v>
      </c>
      <c r="H1027" s="7">
        <v>3</v>
      </c>
    </row>
    <row r="1028" spans="1:8">
      <c r="A1028" s="7">
        <v>1023</v>
      </c>
      <c r="B1028" s="7">
        <v>5030100</v>
      </c>
      <c r="C1028" s="7">
        <v>2</v>
      </c>
      <c r="G1028" s="7">
        <v>600109</v>
      </c>
      <c r="H1028" s="7">
        <v>50</v>
      </c>
    </row>
    <row r="1029" spans="1:8">
      <c r="A1029" s="7">
        <v>1024</v>
      </c>
      <c r="B1029" s="7">
        <v>5030100</v>
      </c>
      <c r="C1029" s="7">
        <v>2</v>
      </c>
      <c r="G1029" s="7">
        <v>600110</v>
      </c>
      <c r="H1029" s="7">
        <v>35</v>
      </c>
    </row>
    <row r="1030" spans="1:8">
      <c r="A1030" s="7">
        <v>1025</v>
      </c>
      <c r="B1030" s="7">
        <v>5030100</v>
      </c>
      <c r="C1030" s="7">
        <v>2</v>
      </c>
      <c r="G1030" s="7">
        <v>600111</v>
      </c>
      <c r="H1030" s="7">
        <v>12</v>
      </c>
    </row>
    <row r="1031" spans="1:8">
      <c r="A1031" s="7">
        <v>1026</v>
      </c>
      <c r="B1031" s="7">
        <v>5030100</v>
      </c>
      <c r="C1031" s="7">
        <v>2</v>
      </c>
      <c r="G1031" s="7">
        <v>600112</v>
      </c>
      <c r="H1031" s="7">
        <v>3</v>
      </c>
    </row>
    <row r="1032" spans="1:8">
      <c r="A1032" s="7">
        <v>1027</v>
      </c>
      <c r="B1032" s="7">
        <v>5040100</v>
      </c>
      <c r="C1032" s="7">
        <v>2</v>
      </c>
      <c r="G1032" s="7">
        <v>600115</v>
      </c>
      <c r="H1032" s="7">
        <v>50</v>
      </c>
    </row>
    <row r="1033" spans="1:8">
      <c r="A1033" s="7">
        <v>1028</v>
      </c>
      <c r="B1033" s="7">
        <v>5040100</v>
      </c>
      <c r="C1033" s="7">
        <v>2</v>
      </c>
      <c r="G1033" s="7">
        <v>600116</v>
      </c>
      <c r="H1033" s="7">
        <v>35</v>
      </c>
    </row>
    <row r="1034" spans="1:8">
      <c r="A1034" s="7">
        <v>1029</v>
      </c>
      <c r="B1034" s="7">
        <v>5040100</v>
      </c>
      <c r="C1034" s="7">
        <v>2</v>
      </c>
      <c r="G1034" s="7">
        <v>600117</v>
      </c>
      <c r="H1034" s="7">
        <v>12</v>
      </c>
    </row>
    <row r="1035" spans="1:8">
      <c r="A1035" s="7">
        <v>1030</v>
      </c>
      <c r="B1035" s="7">
        <v>5040100</v>
      </c>
      <c r="C1035" s="7">
        <v>2</v>
      </c>
      <c r="G1035" s="7">
        <v>600118</v>
      </c>
      <c r="H1035" s="7">
        <v>3</v>
      </c>
    </row>
    <row r="1036" spans="1:8">
      <c r="A1036" s="7">
        <v>1031</v>
      </c>
      <c r="B1036" s="7">
        <v>5010200</v>
      </c>
      <c r="C1036" s="7">
        <v>2</v>
      </c>
      <c r="G1036" s="7">
        <v>600009</v>
      </c>
      <c r="H1036" s="7">
        <v>50</v>
      </c>
    </row>
    <row r="1037" spans="1:8">
      <c r="A1037" s="7">
        <v>1032</v>
      </c>
      <c r="B1037" s="7">
        <v>5010200</v>
      </c>
      <c r="C1037" s="7">
        <v>2</v>
      </c>
      <c r="G1037" s="7">
        <v>600010</v>
      </c>
      <c r="H1037" s="7">
        <v>35</v>
      </c>
    </row>
    <row r="1038" spans="1:8">
      <c r="A1038" s="7">
        <v>1033</v>
      </c>
      <c r="B1038" s="7">
        <v>5010200</v>
      </c>
      <c r="C1038" s="7">
        <v>2</v>
      </c>
      <c r="G1038" s="7">
        <v>600011</v>
      </c>
      <c r="H1038" s="7">
        <v>12</v>
      </c>
    </row>
    <row r="1039" spans="1:8">
      <c r="A1039" s="7">
        <v>1034</v>
      </c>
      <c r="B1039" s="7">
        <v>5010200</v>
      </c>
      <c r="C1039" s="7">
        <v>2</v>
      </c>
      <c r="G1039" s="7">
        <v>600012</v>
      </c>
      <c r="H1039" s="7">
        <v>3</v>
      </c>
    </row>
    <row r="1040" spans="1:8">
      <c r="A1040" s="7">
        <v>1035</v>
      </c>
      <c r="B1040" s="7">
        <v>5020200</v>
      </c>
      <c r="C1040" s="7">
        <v>2</v>
      </c>
      <c r="G1040" s="7">
        <v>600015</v>
      </c>
      <c r="H1040" s="7">
        <v>50</v>
      </c>
    </row>
    <row r="1041" spans="1:8">
      <c r="A1041" s="7">
        <v>1036</v>
      </c>
      <c r="B1041" s="7">
        <v>5020200</v>
      </c>
      <c r="C1041" s="7">
        <v>2</v>
      </c>
      <c r="G1041" s="7">
        <v>600016</v>
      </c>
      <c r="H1041" s="7">
        <v>35</v>
      </c>
    </row>
    <row r="1042" spans="1:8">
      <c r="A1042" s="7">
        <v>1037</v>
      </c>
      <c r="B1042" s="7">
        <v>5020200</v>
      </c>
      <c r="C1042" s="7">
        <v>2</v>
      </c>
      <c r="G1042" s="7">
        <v>600017</v>
      </c>
      <c r="H1042" s="7">
        <v>12</v>
      </c>
    </row>
    <row r="1043" spans="1:8">
      <c r="A1043" s="7">
        <v>1038</v>
      </c>
      <c r="B1043" s="7">
        <v>5020200</v>
      </c>
      <c r="C1043" s="7">
        <v>2</v>
      </c>
      <c r="G1043" s="7">
        <v>600018</v>
      </c>
      <c r="H1043" s="7">
        <v>3</v>
      </c>
    </row>
    <row r="1044" spans="1:8">
      <c r="A1044" s="7">
        <v>1039</v>
      </c>
      <c r="B1044" s="7">
        <v>5030200</v>
      </c>
      <c r="C1044" s="7">
        <v>2</v>
      </c>
      <c r="G1044" s="7">
        <v>600021</v>
      </c>
      <c r="H1044" s="7">
        <v>50</v>
      </c>
    </row>
    <row r="1045" spans="1:8">
      <c r="A1045" s="7">
        <v>1040</v>
      </c>
      <c r="B1045" s="7">
        <v>5030200</v>
      </c>
      <c r="C1045" s="7">
        <v>2</v>
      </c>
      <c r="G1045" s="7">
        <v>600022</v>
      </c>
      <c r="H1045" s="7">
        <v>35</v>
      </c>
    </row>
    <row r="1046" spans="1:8">
      <c r="A1046" s="7">
        <v>1041</v>
      </c>
      <c r="B1046" s="7">
        <v>5030200</v>
      </c>
      <c r="C1046" s="7">
        <v>2</v>
      </c>
      <c r="G1046" s="7">
        <v>600023</v>
      </c>
      <c r="H1046" s="7">
        <v>12</v>
      </c>
    </row>
    <row r="1047" spans="1:8">
      <c r="A1047" s="7">
        <v>1042</v>
      </c>
      <c r="B1047" s="7">
        <v>5030200</v>
      </c>
      <c r="C1047" s="7">
        <v>2</v>
      </c>
      <c r="G1047" s="7">
        <v>600024</v>
      </c>
      <c r="H1047" s="7">
        <v>3</v>
      </c>
    </row>
    <row r="1048" spans="1:8">
      <c r="A1048" s="7">
        <v>1043</v>
      </c>
      <c r="B1048" s="7">
        <v>5040200</v>
      </c>
      <c r="C1048" s="7">
        <v>2</v>
      </c>
      <c r="G1048" s="7">
        <v>600027</v>
      </c>
      <c r="H1048" s="7">
        <v>50</v>
      </c>
    </row>
    <row r="1049" spans="1:8">
      <c r="A1049" s="7">
        <v>1044</v>
      </c>
      <c r="B1049" s="7">
        <v>5040200</v>
      </c>
      <c r="C1049" s="7">
        <v>2</v>
      </c>
      <c r="G1049" s="7">
        <v>600028</v>
      </c>
      <c r="H1049" s="7">
        <v>35</v>
      </c>
    </row>
    <row r="1050" spans="1:8">
      <c r="A1050" s="7">
        <v>1045</v>
      </c>
      <c r="B1050" s="7">
        <v>5040200</v>
      </c>
      <c r="C1050" s="7">
        <v>2</v>
      </c>
      <c r="G1050" s="7">
        <v>600029</v>
      </c>
      <c r="H1050" s="7">
        <v>12</v>
      </c>
    </row>
    <row r="1051" spans="1:8">
      <c r="A1051" s="7">
        <v>1046</v>
      </c>
      <c r="B1051" s="7">
        <v>5040200</v>
      </c>
      <c r="C1051" s="7">
        <v>2</v>
      </c>
      <c r="G1051" s="7">
        <v>600030</v>
      </c>
      <c r="H1051" s="7">
        <v>3</v>
      </c>
    </row>
    <row r="1052" spans="1:8">
      <c r="A1052" s="7">
        <v>1047</v>
      </c>
      <c r="B1052" s="7">
        <v>5010300</v>
      </c>
      <c r="C1052" s="7">
        <v>2</v>
      </c>
      <c r="G1052" s="7">
        <v>600001</v>
      </c>
      <c r="H1052" s="7">
        <v>100</v>
      </c>
    </row>
    <row r="1053" spans="1:8">
      <c r="A1053" s="7">
        <v>1048</v>
      </c>
      <c r="B1053" s="7">
        <v>5020300</v>
      </c>
      <c r="C1053" s="7">
        <v>2</v>
      </c>
      <c r="G1053" s="7">
        <v>600002</v>
      </c>
      <c r="H1053" s="7">
        <v>100</v>
      </c>
    </row>
    <row r="1054" spans="1:8">
      <c r="A1054" s="7">
        <v>1049</v>
      </c>
      <c r="B1054" s="7">
        <v>5030300</v>
      </c>
      <c r="C1054" s="7">
        <v>2</v>
      </c>
      <c r="G1054" s="7">
        <v>600003</v>
      </c>
      <c r="H1054" s="7">
        <v>100</v>
      </c>
    </row>
    <row r="1055" spans="1:8">
      <c r="A1055" s="7">
        <v>1050</v>
      </c>
      <c r="B1055" s="7">
        <v>5040300</v>
      </c>
      <c r="C1055" s="7">
        <v>2</v>
      </c>
      <c r="G1055" s="7">
        <v>600004</v>
      </c>
      <c r="H1055" s="7">
        <v>100</v>
      </c>
    </row>
    <row r="1056" spans="1:8">
      <c r="A1056" s="7">
        <v>1051</v>
      </c>
      <c r="B1056" s="7">
        <v>5010400</v>
      </c>
      <c r="C1056" s="7">
        <v>2</v>
      </c>
      <c r="G1056" s="7">
        <v>600150</v>
      </c>
      <c r="H1056" s="7">
        <v>50</v>
      </c>
    </row>
    <row r="1057" spans="1:8">
      <c r="A1057" s="7">
        <v>1052</v>
      </c>
      <c r="B1057" s="7">
        <v>5010400</v>
      </c>
      <c r="C1057" s="7">
        <v>2</v>
      </c>
      <c r="G1057" s="7">
        <v>600151</v>
      </c>
      <c r="H1057" s="7">
        <v>35</v>
      </c>
    </row>
    <row r="1058" spans="1:8">
      <c r="A1058" s="7">
        <v>1053</v>
      </c>
      <c r="B1058" s="7">
        <v>5010400</v>
      </c>
      <c r="C1058" s="7">
        <v>2</v>
      </c>
      <c r="G1058" s="7">
        <v>600152</v>
      </c>
      <c r="H1058" s="7">
        <v>12</v>
      </c>
    </row>
    <row r="1059" spans="1:8">
      <c r="A1059" s="7">
        <v>1054</v>
      </c>
      <c r="B1059" s="7">
        <v>5010400</v>
      </c>
      <c r="C1059" s="7">
        <v>2</v>
      </c>
      <c r="G1059" s="7">
        <v>600153</v>
      </c>
      <c r="H1059" s="7">
        <v>3</v>
      </c>
    </row>
    <row r="1060" spans="1:8">
      <c r="A1060" s="7">
        <v>1055</v>
      </c>
      <c r="B1060" s="7">
        <v>5020400</v>
      </c>
      <c r="C1060" s="7">
        <v>2</v>
      </c>
      <c r="G1060" s="7">
        <v>600170</v>
      </c>
      <c r="H1060" s="7">
        <v>50</v>
      </c>
    </row>
    <row r="1061" spans="1:8">
      <c r="A1061" s="7">
        <v>1056</v>
      </c>
      <c r="B1061" s="7">
        <v>5020400</v>
      </c>
      <c r="C1061" s="7">
        <v>2</v>
      </c>
      <c r="G1061" s="7">
        <v>600171</v>
      </c>
      <c r="H1061" s="7">
        <v>35</v>
      </c>
    </row>
    <row r="1062" spans="1:8">
      <c r="A1062" s="7">
        <v>1057</v>
      </c>
      <c r="B1062" s="7">
        <v>5020400</v>
      </c>
      <c r="C1062" s="7">
        <v>2</v>
      </c>
      <c r="G1062" s="7">
        <v>600172</v>
      </c>
      <c r="H1062" s="7">
        <v>12</v>
      </c>
    </row>
    <row r="1063" spans="1:8">
      <c r="A1063" s="7">
        <v>1058</v>
      </c>
      <c r="B1063" s="7">
        <v>5020400</v>
      </c>
      <c r="C1063" s="7">
        <v>2</v>
      </c>
      <c r="G1063" s="7">
        <v>600173</v>
      </c>
      <c r="H1063" s="7">
        <v>3</v>
      </c>
    </row>
    <row r="1064" spans="1:8">
      <c r="A1064" s="7">
        <v>1059</v>
      </c>
      <c r="B1064" s="7">
        <v>5030400</v>
      </c>
      <c r="C1064" s="7">
        <v>2</v>
      </c>
      <c r="G1064" s="7">
        <v>600190</v>
      </c>
      <c r="H1064" s="7">
        <v>50</v>
      </c>
    </row>
    <row r="1065" spans="1:8">
      <c r="A1065" s="7">
        <v>1060</v>
      </c>
      <c r="B1065" s="7">
        <v>5030400</v>
      </c>
      <c r="C1065" s="7">
        <v>2</v>
      </c>
      <c r="G1065" s="7">
        <v>600191</v>
      </c>
      <c r="H1065" s="7">
        <v>35</v>
      </c>
    </row>
    <row r="1066" spans="1:8">
      <c r="A1066" s="7">
        <v>1061</v>
      </c>
      <c r="B1066" s="7">
        <v>5030400</v>
      </c>
      <c r="C1066" s="7">
        <v>2</v>
      </c>
      <c r="G1066" s="7">
        <v>600192</v>
      </c>
      <c r="H1066" s="7">
        <v>12</v>
      </c>
    </row>
    <row r="1067" spans="1:8">
      <c r="A1067" s="7">
        <v>1062</v>
      </c>
      <c r="B1067" s="7">
        <v>5030400</v>
      </c>
      <c r="C1067" s="7">
        <v>2</v>
      </c>
      <c r="G1067" s="7">
        <v>600193</v>
      </c>
      <c r="H1067" s="7">
        <v>3</v>
      </c>
    </row>
    <row r="1068" spans="1:8">
      <c r="A1068" s="7">
        <v>1063</v>
      </c>
      <c r="B1068" s="7">
        <v>5040400</v>
      </c>
      <c r="C1068" s="7">
        <v>2</v>
      </c>
      <c r="G1068" s="7">
        <v>600210</v>
      </c>
      <c r="H1068" s="7">
        <v>50</v>
      </c>
    </row>
    <row r="1069" spans="1:8">
      <c r="A1069" s="7">
        <v>1064</v>
      </c>
      <c r="B1069" s="7">
        <v>5040400</v>
      </c>
      <c r="C1069" s="7">
        <v>2</v>
      </c>
      <c r="G1069" s="7">
        <v>600211</v>
      </c>
      <c r="H1069" s="7">
        <v>35</v>
      </c>
    </row>
    <row r="1070" spans="1:8">
      <c r="A1070" s="7">
        <v>1065</v>
      </c>
      <c r="B1070" s="7">
        <v>5040400</v>
      </c>
      <c r="C1070" s="7">
        <v>2</v>
      </c>
      <c r="G1070" s="7">
        <v>600212</v>
      </c>
      <c r="H1070" s="7">
        <v>12</v>
      </c>
    </row>
    <row r="1071" spans="1:8">
      <c r="A1071" s="7">
        <v>1066</v>
      </c>
      <c r="B1071" s="7">
        <v>5040400</v>
      </c>
      <c r="C1071" s="7">
        <v>2</v>
      </c>
      <c r="G1071" s="7">
        <v>600213</v>
      </c>
      <c r="H1071" s="7">
        <v>3</v>
      </c>
    </row>
    <row r="1072" spans="1:8">
      <c r="A1072" s="7">
        <v>1067</v>
      </c>
      <c r="B1072" s="7">
        <v>5010500</v>
      </c>
      <c r="C1072" s="7">
        <v>2</v>
      </c>
      <c r="G1072" s="7">
        <v>600155</v>
      </c>
      <c r="H1072" s="7">
        <v>50</v>
      </c>
    </row>
    <row r="1073" spans="1:8">
      <c r="A1073" s="7">
        <v>1068</v>
      </c>
      <c r="B1073" s="7">
        <v>5010500</v>
      </c>
      <c r="C1073" s="7">
        <v>2</v>
      </c>
      <c r="G1073" s="7">
        <v>600156</v>
      </c>
      <c r="H1073" s="7">
        <v>35</v>
      </c>
    </row>
    <row r="1074" spans="1:8">
      <c r="A1074" s="7">
        <v>1069</v>
      </c>
      <c r="B1074" s="7">
        <v>5010500</v>
      </c>
      <c r="C1074" s="7">
        <v>2</v>
      </c>
      <c r="G1074" s="7">
        <v>600157</v>
      </c>
      <c r="H1074" s="7">
        <v>12</v>
      </c>
    </row>
    <row r="1075" spans="1:8">
      <c r="A1075" s="7">
        <v>1070</v>
      </c>
      <c r="B1075" s="7">
        <v>5010500</v>
      </c>
      <c r="C1075" s="7">
        <v>2</v>
      </c>
      <c r="G1075" s="7">
        <v>600158</v>
      </c>
      <c r="H1075" s="7">
        <v>3</v>
      </c>
    </row>
    <row r="1076" spans="1:8">
      <c r="A1076" s="7">
        <v>1071</v>
      </c>
      <c r="B1076" s="7">
        <v>5020500</v>
      </c>
      <c r="C1076" s="7">
        <v>2</v>
      </c>
      <c r="G1076" s="7">
        <v>600175</v>
      </c>
      <c r="H1076" s="7">
        <v>50</v>
      </c>
    </row>
    <row r="1077" spans="1:8">
      <c r="A1077" s="7">
        <v>1072</v>
      </c>
      <c r="B1077" s="7">
        <v>5020500</v>
      </c>
      <c r="C1077" s="7">
        <v>2</v>
      </c>
      <c r="G1077" s="7">
        <v>600176</v>
      </c>
      <c r="H1077" s="7">
        <v>35</v>
      </c>
    </row>
    <row r="1078" spans="1:8">
      <c r="A1078" s="7">
        <v>1073</v>
      </c>
      <c r="B1078" s="7">
        <v>5020500</v>
      </c>
      <c r="C1078" s="7">
        <v>2</v>
      </c>
      <c r="G1078" s="7">
        <v>600177</v>
      </c>
      <c r="H1078" s="7">
        <v>12</v>
      </c>
    </row>
    <row r="1079" spans="1:8">
      <c r="A1079" s="7">
        <v>1074</v>
      </c>
      <c r="B1079" s="7">
        <v>5020500</v>
      </c>
      <c r="C1079" s="7">
        <v>2</v>
      </c>
      <c r="G1079" s="7">
        <v>600178</v>
      </c>
      <c r="H1079" s="7">
        <v>3</v>
      </c>
    </row>
    <row r="1080" spans="1:8">
      <c r="A1080" s="7">
        <v>1075</v>
      </c>
      <c r="B1080" s="7">
        <v>5030500</v>
      </c>
      <c r="C1080" s="7">
        <v>2</v>
      </c>
      <c r="G1080" s="7">
        <v>600195</v>
      </c>
      <c r="H1080" s="7">
        <v>50</v>
      </c>
    </row>
    <row r="1081" spans="1:8">
      <c r="A1081" s="7">
        <v>1076</v>
      </c>
      <c r="B1081" s="7">
        <v>5030500</v>
      </c>
      <c r="C1081" s="7">
        <v>2</v>
      </c>
      <c r="G1081" s="7">
        <v>600196</v>
      </c>
      <c r="H1081" s="7">
        <v>35</v>
      </c>
    </row>
    <row r="1082" spans="1:8">
      <c r="A1082" s="7">
        <v>1077</v>
      </c>
      <c r="B1082" s="7">
        <v>5030500</v>
      </c>
      <c r="C1082" s="7">
        <v>2</v>
      </c>
      <c r="G1082" s="7">
        <v>600197</v>
      </c>
      <c r="H1082" s="7">
        <v>12</v>
      </c>
    </row>
    <row r="1083" spans="1:8">
      <c r="A1083" s="7">
        <v>1078</v>
      </c>
      <c r="B1083" s="7">
        <v>5030500</v>
      </c>
      <c r="C1083" s="7">
        <v>2</v>
      </c>
      <c r="G1083" s="7">
        <v>600198</v>
      </c>
      <c r="H1083" s="7">
        <v>3</v>
      </c>
    </row>
    <row r="1084" spans="1:8">
      <c r="A1084" s="7">
        <v>1079</v>
      </c>
      <c r="B1084" s="7">
        <v>5040500</v>
      </c>
      <c r="C1084" s="7">
        <v>2</v>
      </c>
      <c r="G1084" s="7">
        <v>600215</v>
      </c>
      <c r="H1084" s="7">
        <v>50</v>
      </c>
    </row>
    <row r="1085" spans="1:8">
      <c r="A1085" s="7">
        <v>1080</v>
      </c>
      <c r="B1085" s="7">
        <v>5040500</v>
      </c>
      <c r="C1085" s="7">
        <v>2</v>
      </c>
      <c r="G1085" s="7">
        <v>600216</v>
      </c>
      <c r="H1085" s="7">
        <v>35</v>
      </c>
    </row>
    <row r="1086" spans="1:8">
      <c r="A1086" s="7">
        <v>1081</v>
      </c>
      <c r="B1086" s="7">
        <v>5040500</v>
      </c>
      <c r="C1086" s="7">
        <v>2</v>
      </c>
      <c r="G1086" s="7">
        <v>600217</v>
      </c>
      <c r="H1086" s="7">
        <v>12</v>
      </c>
    </row>
    <row r="1087" spans="1:8">
      <c r="A1087" s="7">
        <v>1082</v>
      </c>
      <c r="B1087" s="7">
        <v>5040500</v>
      </c>
      <c r="C1087" s="7">
        <v>2</v>
      </c>
      <c r="G1087" s="7">
        <v>600218</v>
      </c>
      <c r="H1087" s="7">
        <v>3</v>
      </c>
    </row>
    <row r="1088" spans="1:8">
      <c r="A1088" s="7">
        <v>1083</v>
      </c>
      <c r="B1088" s="7">
        <v>5010600</v>
      </c>
      <c r="C1088" s="7">
        <v>2</v>
      </c>
      <c r="G1088" s="7">
        <v>600160</v>
      </c>
      <c r="H1088" s="7">
        <v>50</v>
      </c>
    </row>
    <row r="1089" spans="1:8">
      <c r="A1089" s="7">
        <v>1084</v>
      </c>
      <c r="B1089" s="7">
        <v>5010600</v>
      </c>
      <c r="C1089" s="7">
        <v>2</v>
      </c>
      <c r="G1089" s="7">
        <v>600161</v>
      </c>
      <c r="H1089" s="7">
        <v>35</v>
      </c>
    </row>
    <row r="1090" spans="1:8">
      <c r="A1090" s="7">
        <v>1085</v>
      </c>
      <c r="B1090" s="7">
        <v>5010600</v>
      </c>
      <c r="C1090" s="7">
        <v>2</v>
      </c>
      <c r="G1090" s="7">
        <v>600162</v>
      </c>
      <c r="H1090" s="7">
        <v>12</v>
      </c>
    </row>
    <row r="1091" spans="1:8">
      <c r="A1091" s="7">
        <v>1086</v>
      </c>
      <c r="B1091" s="7">
        <v>5010600</v>
      </c>
      <c r="C1091" s="7">
        <v>2</v>
      </c>
      <c r="G1091" s="7">
        <v>600163</v>
      </c>
      <c r="H1091" s="7">
        <v>3</v>
      </c>
    </row>
    <row r="1092" spans="1:8">
      <c r="A1092" s="7">
        <v>1087</v>
      </c>
      <c r="B1092" s="7">
        <v>5020600</v>
      </c>
      <c r="C1092" s="7">
        <v>2</v>
      </c>
      <c r="G1092" s="7">
        <v>600180</v>
      </c>
      <c r="H1092" s="7">
        <v>50</v>
      </c>
    </row>
    <row r="1093" spans="1:8">
      <c r="A1093" s="7">
        <v>1088</v>
      </c>
      <c r="B1093" s="7">
        <v>5020600</v>
      </c>
      <c r="C1093" s="7">
        <v>2</v>
      </c>
      <c r="G1093" s="7">
        <v>600181</v>
      </c>
      <c r="H1093" s="7">
        <v>35</v>
      </c>
    </row>
    <row r="1094" spans="1:8">
      <c r="A1094" s="7">
        <v>1089</v>
      </c>
      <c r="B1094" s="7">
        <v>5020600</v>
      </c>
      <c r="C1094" s="7">
        <v>2</v>
      </c>
      <c r="G1094" s="7">
        <v>600182</v>
      </c>
      <c r="H1094" s="7">
        <v>12</v>
      </c>
    </row>
    <row r="1095" spans="1:8">
      <c r="A1095" s="7">
        <v>1090</v>
      </c>
      <c r="B1095" s="7">
        <v>5020600</v>
      </c>
      <c r="C1095" s="7">
        <v>2</v>
      </c>
      <c r="G1095" s="7">
        <v>600183</v>
      </c>
      <c r="H1095" s="7">
        <v>3</v>
      </c>
    </row>
    <row r="1096" spans="1:8">
      <c r="A1096" s="7">
        <v>1091</v>
      </c>
      <c r="B1096" s="7">
        <v>5030600</v>
      </c>
      <c r="C1096" s="7">
        <v>2</v>
      </c>
      <c r="G1096" s="7">
        <v>600200</v>
      </c>
      <c r="H1096" s="7">
        <v>50</v>
      </c>
    </row>
    <row r="1097" spans="1:8">
      <c r="A1097" s="7">
        <v>1092</v>
      </c>
      <c r="B1097" s="7">
        <v>5030600</v>
      </c>
      <c r="C1097" s="7">
        <v>2</v>
      </c>
      <c r="G1097" s="7">
        <v>600201</v>
      </c>
      <c r="H1097" s="7">
        <v>35</v>
      </c>
    </row>
    <row r="1098" spans="1:8">
      <c r="A1098" s="7">
        <v>1093</v>
      </c>
      <c r="B1098" s="7">
        <v>5030600</v>
      </c>
      <c r="C1098" s="7">
        <v>2</v>
      </c>
      <c r="G1098" s="7">
        <v>600202</v>
      </c>
      <c r="H1098" s="7">
        <v>12</v>
      </c>
    </row>
    <row r="1099" spans="1:8">
      <c r="A1099" s="7">
        <v>1094</v>
      </c>
      <c r="B1099" s="7">
        <v>5030600</v>
      </c>
      <c r="C1099" s="7">
        <v>2</v>
      </c>
      <c r="G1099" s="7">
        <v>600203</v>
      </c>
      <c r="H1099" s="7">
        <v>3</v>
      </c>
    </row>
    <row r="1100" spans="1:8">
      <c r="A1100" s="7">
        <v>1095</v>
      </c>
      <c r="B1100" s="7">
        <v>5040600</v>
      </c>
      <c r="C1100" s="7">
        <v>2</v>
      </c>
      <c r="G1100" s="7">
        <v>600220</v>
      </c>
      <c r="H1100" s="7">
        <v>50</v>
      </c>
    </row>
    <row r="1101" spans="1:8">
      <c r="A1101" s="7">
        <v>1096</v>
      </c>
      <c r="B1101" s="7">
        <v>5040600</v>
      </c>
      <c r="C1101" s="7">
        <v>2</v>
      </c>
      <c r="G1101" s="7">
        <v>600221</v>
      </c>
      <c r="H1101" s="7">
        <v>35</v>
      </c>
    </row>
    <row r="1102" spans="1:8">
      <c r="A1102" s="7">
        <v>1097</v>
      </c>
      <c r="B1102" s="7">
        <v>5040600</v>
      </c>
      <c r="C1102" s="7">
        <v>2</v>
      </c>
      <c r="G1102" s="7">
        <v>600222</v>
      </c>
      <c r="H1102" s="7">
        <v>12</v>
      </c>
    </row>
    <row r="1103" spans="1:8">
      <c r="A1103" s="7">
        <v>1098</v>
      </c>
      <c r="B1103" s="7">
        <v>5040600</v>
      </c>
      <c r="C1103" s="7">
        <v>2</v>
      </c>
      <c r="G1103" s="7">
        <v>600223</v>
      </c>
      <c r="H1103" s="7">
        <v>3</v>
      </c>
    </row>
    <row r="1104" spans="1:8">
      <c r="A1104" s="7">
        <v>1099</v>
      </c>
      <c r="B1104" s="7">
        <v>5010700</v>
      </c>
      <c r="C1104" s="7">
        <v>2</v>
      </c>
      <c r="G1104" s="7">
        <v>600165</v>
      </c>
      <c r="H1104" s="7">
        <v>50</v>
      </c>
    </row>
    <row r="1105" spans="1:8">
      <c r="A1105" s="7">
        <v>1100</v>
      </c>
      <c r="B1105" s="7">
        <v>5010700</v>
      </c>
      <c r="C1105" s="7">
        <v>2</v>
      </c>
      <c r="G1105" s="7">
        <v>600166</v>
      </c>
      <c r="H1105" s="7">
        <v>35</v>
      </c>
    </row>
    <row r="1106" spans="1:8">
      <c r="A1106" s="7">
        <v>1101</v>
      </c>
      <c r="B1106" s="7">
        <v>5010700</v>
      </c>
      <c r="C1106" s="7">
        <v>2</v>
      </c>
      <c r="G1106" s="7">
        <v>600167</v>
      </c>
      <c r="H1106" s="7">
        <v>12</v>
      </c>
    </row>
    <row r="1107" spans="1:8">
      <c r="A1107" s="7">
        <v>1102</v>
      </c>
      <c r="B1107" s="7">
        <v>5010700</v>
      </c>
      <c r="C1107" s="7">
        <v>2</v>
      </c>
      <c r="G1107" s="7">
        <v>600168</v>
      </c>
      <c r="H1107" s="7">
        <v>3</v>
      </c>
    </row>
    <row r="1108" spans="1:8">
      <c r="A1108" s="7">
        <v>1103</v>
      </c>
      <c r="B1108" s="7">
        <v>5020700</v>
      </c>
      <c r="C1108" s="7">
        <v>2</v>
      </c>
      <c r="G1108" s="7">
        <v>600185</v>
      </c>
      <c r="H1108" s="7">
        <v>50</v>
      </c>
    </row>
    <row r="1109" spans="1:8">
      <c r="A1109" s="7">
        <v>1104</v>
      </c>
      <c r="B1109" s="7">
        <v>5020700</v>
      </c>
      <c r="C1109" s="7">
        <v>2</v>
      </c>
      <c r="G1109" s="7">
        <v>600186</v>
      </c>
      <c r="H1109" s="7">
        <v>35</v>
      </c>
    </row>
    <row r="1110" spans="1:8">
      <c r="A1110" s="7">
        <v>1105</v>
      </c>
      <c r="B1110" s="7">
        <v>5020700</v>
      </c>
      <c r="C1110" s="7">
        <v>2</v>
      </c>
      <c r="G1110" s="7">
        <v>600187</v>
      </c>
      <c r="H1110" s="7">
        <v>12</v>
      </c>
    </row>
    <row r="1111" spans="1:8">
      <c r="A1111" s="7">
        <v>1106</v>
      </c>
      <c r="B1111" s="7">
        <v>5020700</v>
      </c>
      <c r="C1111" s="7">
        <v>2</v>
      </c>
      <c r="G1111" s="7">
        <v>600188</v>
      </c>
      <c r="H1111" s="7">
        <v>3</v>
      </c>
    </row>
    <row r="1112" spans="1:8">
      <c r="A1112" s="7">
        <v>1107</v>
      </c>
      <c r="B1112" s="7">
        <v>5030700</v>
      </c>
      <c r="C1112" s="7">
        <v>2</v>
      </c>
      <c r="G1112" s="7">
        <v>600205</v>
      </c>
      <c r="H1112" s="7">
        <v>50</v>
      </c>
    </row>
    <row r="1113" spans="1:8">
      <c r="A1113" s="7">
        <v>1108</v>
      </c>
      <c r="B1113" s="7">
        <v>5030700</v>
      </c>
      <c r="C1113" s="7">
        <v>2</v>
      </c>
      <c r="G1113" s="7">
        <v>600206</v>
      </c>
      <c r="H1113" s="7">
        <v>35</v>
      </c>
    </row>
    <row r="1114" spans="1:8">
      <c r="A1114" s="7">
        <v>1109</v>
      </c>
      <c r="B1114" s="7">
        <v>5030700</v>
      </c>
      <c r="C1114" s="7">
        <v>2</v>
      </c>
      <c r="G1114" s="7">
        <v>600207</v>
      </c>
      <c r="H1114" s="7">
        <v>12</v>
      </c>
    </row>
    <row r="1115" spans="1:8">
      <c r="A1115" s="7">
        <v>1110</v>
      </c>
      <c r="B1115" s="7">
        <v>5030700</v>
      </c>
      <c r="C1115" s="7">
        <v>2</v>
      </c>
      <c r="G1115" s="7">
        <v>600208</v>
      </c>
      <c r="H1115" s="7">
        <v>3</v>
      </c>
    </row>
    <row r="1116" spans="1:8">
      <c r="A1116" s="7">
        <v>1111</v>
      </c>
      <c r="B1116" s="7">
        <v>5040700</v>
      </c>
      <c r="C1116" s="7">
        <v>2</v>
      </c>
      <c r="G1116" s="7">
        <v>600225</v>
      </c>
      <c r="H1116" s="7">
        <v>50</v>
      </c>
    </row>
    <row r="1117" spans="1:8">
      <c r="A1117" s="7">
        <v>1112</v>
      </c>
      <c r="B1117" s="7">
        <v>5040700</v>
      </c>
      <c r="C1117" s="7">
        <v>2</v>
      </c>
      <c r="G1117" s="7">
        <v>600226</v>
      </c>
      <c r="H1117" s="7">
        <v>35</v>
      </c>
    </row>
    <row r="1118" spans="1:8">
      <c r="A1118" s="7">
        <v>1113</v>
      </c>
      <c r="B1118" s="7">
        <v>5040700</v>
      </c>
      <c r="C1118" s="7">
        <v>2</v>
      </c>
      <c r="G1118" s="7">
        <v>600227</v>
      </c>
      <c r="H1118" s="7">
        <v>12</v>
      </c>
    </row>
    <row r="1119" spans="1:8">
      <c r="A1119" s="7">
        <v>1114</v>
      </c>
      <c r="B1119" s="7">
        <v>5040700</v>
      </c>
      <c r="C1119" s="7">
        <v>2</v>
      </c>
      <c r="G1119" s="7">
        <v>600228</v>
      </c>
      <c r="H1119" s="7">
        <v>3</v>
      </c>
    </row>
    <row r="1120" spans="1:13">
      <c r="A1120" s="7">
        <v>1115</v>
      </c>
      <c r="B1120" s="7">
        <v>5017901</v>
      </c>
      <c r="C1120" s="7">
        <v>1</v>
      </c>
      <c r="G1120" s="7">
        <v>5010001</v>
      </c>
      <c r="H1120" s="7">
        <v>10000</v>
      </c>
      <c r="L1120" s="7">
        <v>4</v>
      </c>
      <c r="M1120" s="7">
        <v>60</v>
      </c>
    </row>
    <row r="1121" spans="1:13">
      <c r="A1121" s="7">
        <v>1116</v>
      </c>
      <c r="B1121" s="7">
        <v>5017902</v>
      </c>
      <c r="C1121" s="7">
        <v>1</v>
      </c>
      <c r="G1121" s="7">
        <v>5010002</v>
      </c>
      <c r="H1121" s="7">
        <v>10000</v>
      </c>
      <c r="L1121" s="7">
        <v>4</v>
      </c>
      <c r="M1121" s="7">
        <v>60</v>
      </c>
    </row>
    <row r="1122" spans="1:13">
      <c r="A1122" s="7">
        <v>1117</v>
      </c>
      <c r="B1122" s="7">
        <v>5017903</v>
      </c>
      <c r="C1122" s="7">
        <v>1</v>
      </c>
      <c r="G1122" s="7">
        <v>5010003</v>
      </c>
      <c r="H1122" s="7">
        <v>10000</v>
      </c>
      <c r="L1122" s="7">
        <v>4</v>
      </c>
      <c r="M1122" s="7">
        <v>60</v>
      </c>
    </row>
    <row r="1123" spans="1:13">
      <c r="A1123" s="7">
        <v>1118</v>
      </c>
      <c r="B1123" s="7">
        <v>5017904</v>
      </c>
      <c r="C1123" s="7">
        <v>1</v>
      </c>
      <c r="G1123" s="7">
        <v>5010004</v>
      </c>
      <c r="H1123" s="7">
        <v>10000</v>
      </c>
      <c r="L1123" s="7">
        <v>4</v>
      </c>
      <c r="M1123" s="7">
        <v>60</v>
      </c>
    </row>
    <row r="1124" spans="1:13">
      <c r="A1124" s="7">
        <v>1119</v>
      </c>
      <c r="B1124" s="7">
        <v>5027901</v>
      </c>
      <c r="C1124" s="7">
        <v>1</v>
      </c>
      <c r="G1124" s="7">
        <v>5020001</v>
      </c>
      <c r="H1124" s="7">
        <v>10000</v>
      </c>
      <c r="L1124" s="7">
        <v>4</v>
      </c>
      <c r="M1124" s="7">
        <v>60</v>
      </c>
    </row>
    <row r="1125" spans="1:13">
      <c r="A1125" s="7">
        <v>1120</v>
      </c>
      <c r="B1125" s="7">
        <v>5027902</v>
      </c>
      <c r="C1125" s="7">
        <v>1</v>
      </c>
      <c r="G1125" s="7">
        <v>5020002</v>
      </c>
      <c r="H1125" s="7">
        <v>10000</v>
      </c>
      <c r="L1125" s="7">
        <v>4</v>
      </c>
      <c r="M1125" s="7">
        <v>60</v>
      </c>
    </row>
    <row r="1126" spans="1:13">
      <c r="A1126" s="7">
        <v>1121</v>
      </c>
      <c r="B1126" s="7">
        <v>5027903</v>
      </c>
      <c r="C1126" s="7">
        <v>1</v>
      </c>
      <c r="G1126" s="7">
        <v>5020003</v>
      </c>
      <c r="H1126" s="7">
        <v>10000</v>
      </c>
      <c r="L1126" s="7">
        <v>4</v>
      </c>
      <c r="M1126" s="7">
        <v>60</v>
      </c>
    </row>
    <row r="1127" spans="1:13">
      <c r="A1127" s="7">
        <v>1122</v>
      </c>
      <c r="B1127" s="7">
        <v>5027904</v>
      </c>
      <c r="C1127" s="7">
        <v>1</v>
      </c>
      <c r="G1127" s="7">
        <v>5020004</v>
      </c>
      <c r="H1127" s="7">
        <v>10000</v>
      </c>
      <c r="L1127" s="7">
        <v>4</v>
      </c>
      <c r="M1127" s="7">
        <v>60</v>
      </c>
    </row>
    <row r="1128" spans="1:13">
      <c r="A1128" s="7">
        <v>1123</v>
      </c>
      <c r="B1128" s="7">
        <v>5037901</v>
      </c>
      <c r="C1128" s="7">
        <v>1</v>
      </c>
      <c r="G1128" s="7">
        <v>5030001</v>
      </c>
      <c r="H1128" s="7">
        <v>10000</v>
      </c>
      <c r="L1128" s="7">
        <v>4</v>
      </c>
      <c r="M1128" s="7">
        <v>60</v>
      </c>
    </row>
    <row r="1129" spans="1:13">
      <c r="A1129" s="7">
        <v>1124</v>
      </c>
      <c r="B1129" s="7">
        <v>5037902</v>
      </c>
      <c r="C1129" s="7">
        <v>1</v>
      </c>
      <c r="G1129" s="7">
        <v>5030002</v>
      </c>
      <c r="H1129" s="7">
        <v>10000</v>
      </c>
      <c r="L1129" s="7">
        <v>4</v>
      </c>
      <c r="M1129" s="7">
        <v>60</v>
      </c>
    </row>
    <row r="1130" spans="1:13">
      <c r="A1130" s="7">
        <v>1125</v>
      </c>
      <c r="B1130" s="7">
        <v>5037903</v>
      </c>
      <c r="C1130" s="7">
        <v>1</v>
      </c>
      <c r="G1130" s="7">
        <v>5030003</v>
      </c>
      <c r="H1130" s="7">
        <v>10000</v>
      </c>
      <c r="L1130" s="7">
        <v>4</v>
      </c>
      <c r="M1130" s="7">
        <v>60</v>
      </c>
    </row>
    <row r="1131" spans="1:13">
      <c r="A1131" s="7">
        <v>1126</v>
      </c>
      <c r="B1131" s="7">
        <v>5037904</v>
      </c>
      <c r="C1131" s="7">
        <v>1</v>
      </c>
      <c r="G1131" s="7">
        <v>5030004</v>
      </c>
      <c r="H1131" s="7">
        <v>10000</v>
      </c>
      <c r="L1131" s="7">
        <v>4</v>
      </c>
      <c r="M1131" s="7">
        <v>60</v>
      </c>
    </row>
    <row r="1132" spans="1:13">
      <c r="A1132" s="7">
        <v>1127</v>
      </c>
      <c r="B1132" s="7">
        <v>5047901</v>
      </c>
      <c r="C1132" s="7">
        <v>1</v>
      </c>
      <c r="G1132" s="7">
        <v>5040001</v>
      </c>
      <c r="H1132" s="7">
        <v>10000</v>
      </c>
      <c r="L1132" s="7">
        <v>4</v>
      </c>
      <c r="M1132" s="7">
        <v>60</v>
      </c>
    </row>
    <row r="1133" spans="1:13">
      <c r="A1133" s="7">
        <v>1128</v>
      </c>
      <c r="B1133" s="7">
        <v>5047902</v>
      </c>
      <c r="C1133" s="7">
        <v>1</v>
      </c>
      <c r="G1133" s="7">
        <v>5040002</v>
      </c>
      <c r="H1133" s="7">
        <v>10000</v>
      </c>
      <c r="L1133" s="7">
        <v>4</v>
      </c>
      <c r="M1133" s="7">
        <v>60</v>
      </c>
    </row>
    <row r="1134" spans="1:13">
      <c r="A1134" s="7">
        <v>1129</v>
      </c>
      <c r="B1134" s="7">
        <v>5047903</v>
      </c>
      <c r="C1134" s="7">
        <v>1</v>
      </c>
      <c r="G1134" s="7">
        <v>5040003</v>
      </c>
      <c r="H1134" s="7">
        <v>10000</v>
      </c>
      <c r="L1134" s="7">
        <v>4</v>
      </c>
      <c r="M1134" s="7">
        <v>60</v>
      </c>
    </row>
    <row r="1135" spans="1:13">
      <c r="A1135" s="7">
        <v>1130</v>
      </c>
      <c r="B1135" s="7">
        <v>5047904</v>
      </c>
      <c r="C1135" s="7">
        <v>1</v>
      </c>
      <c r="G1135" s="7">
        <v>5040004</v>
      </c>
      <c r="H1135" s="7">
        <v>10000</v>
      </c>
      <c r="L1135" s="7">
        <v>4</v>
      </c>
      <c r="M1135" s="7">
        <v>60</v>
      </c>
    </row>
    <row r="1136" spans="1:8">
      <c r="A1136" s="7">
        <v>1131</v>
      </c>
      <c r="B1136" s="7">
        <v>5018900</v>
      </c>
      <c r="C1136" s="7">
        <v>2</v>
      </c>
      <c r="G1136" s="7">
        <v>610017</v>
      </c>
      <c r="H1136" s="7">
        <v>40</v>
      </c>
    </row>
    <row r="1137" spans="1:8">
      <c r="A1137" s="7">
        <v>1132</v>
      </c>
      <c r="B1137" s="7">
        <v>5018900</v>
      </c>
      <c r="C1137" s="7">
        <v>2</v>
      </c>
      <c r="G1137" s="7">
        <v>610018</v>
      </c>
      <c r="H1137" s="7">
        <v>35</v>
      </c>
    </row>
    <row r="1138" spans="1:8">
      <c r="A1138" s="7">
        <v>1133</v>
      </c>
      <c r="B1138" s="7">
        <v>5018900</v>
      </c>
      <c r="C1138" s="7">
        <v>2</v>
      </c>
      <c r="G1138" s="7">
        <v>610019</v>
      </c>
      <c r="H1138" s="7">
        <v>20</v>
      </c>
    </row>
    <row r="1139" spans="1:8">
      <c r="A1139" s="7">
        <v>1134</v>
      </c>
      <c r="B1139" s="7">
        <v>5018900</v>
      </c>
      <c r="C1139" s="7">
        <v>2</v>
      </c>
      <c r="G1139" s="7">
        <v>610020</v>
      </c>
      <c r="H1139" s="7">
        <v>5</v>
      </c>
    </row>
    <row r="1140" spans="1:8">
      <c r="A1140" s="7">
        <v>1135</v>
      </c>
      <c r="B1140" s="7">
        <v>5028900</v>
      </c>
      <c r="C1140" s="7">
        <v>2</v>
      </c>
      <c r="G1140" s="7">
        <v>610021</v>
      </c>
      <c r="H1140" s="7">
        <v>40</v>
      </c>
    </row>
    <row r="1141" spans="1:8">
      <c r="A1141" s="7">
        <v>1136</v>
      </c>
      <c r="B1141" s="7">
        <v>5028900</v>
      </c>
      <c r="C1141" s="7">
        <v>2</v>
      </c>
      <c r="G1141" s="7">
        <v>610022</v>
      </c>
      <c r="H1141" s="7">
        <v>35</v>
      </c>
    </row>
    <row r="1142" spans="1:8">
      <c r="A1142" s="7">
        <v>1137</v>
      </c>
      <c r="B1142" s="7">
        <v>5028900</v>
      </c>
      <c r="C1142" s="7">
        <v>2</v>
      </c>
      <c r="G1142" s="7">
        <v>610023</v>
      </c>
      <c r="H1142" s="7">
        <v>20</v>
      </c>
    </row>
    <row r="1143" spans="1:8">
      <c r="A1143" s="7">
        <v>1138</v>
      </c>
      <c r="B1143" s="7">
        <v>5028900</v>
      </c>
      <c r="C1143" s="7">
        <v>2</v>
      </c>
      <c r="G1143" s="7">
        <v>610024</v>
      </c>
      <c r="H1143" s="7">
        <v>5</v>
      </c>
    </row>
    <row r="1144" spans="1:8">
      <c r="A1144" s="7">
        <v>1139</v>
      </c>
      <c r="B1144" s="7">
        <v>5038900</v>
      </c>
      <c r="C1144" s="7">
        <v>2</v>
      </c>
      <c r="G1144" s="7">
        <v>610025</v>
      </c>
      <c r="H1144" s="7">
        <v>40</v>
      </c>
    </row>
    <row r="1145" spans="1:8">
      <c r="A1145" s="7">
        <v>1140</v>
      </c>
      <c r="B1145" s="7">
        <v>5038900</v>
      </c>
      <c r="C1145" s="7">
        <v>2</v>
      </c>
      <c r="G1145" s="7">
        <v>610026</v>
      </c>
      <c r="H1145" s="7">
        <v>35</v>
      </c>
    </row>
    <row r="1146" spans="1:8">
      <c r="A1146" s="7">
        <v>1141</v>
      </c>
      <c r="B1146" s="7">
        <v>5038900</v>
      </c>
      <c r="C1146" s="7">
        <v>2</v>
      </c>
      <c r="G1146" s="7">
        <v>610027</v>
      </c>
      <c r="H1146" s="7">
        <v>20</v>
      </c>
    </row>
    <row r="1147" spans="1:8">
      <c r="A1147" s="7">
        <v>1142</v>
      </c>
      <c r="B1147" s="7">
        <v>5038900</v>
      </c>
      <c r="C1147" s="7">
        <v>2</v>
      </c>
      <c r="G1147" s="7">
        <v>610028</v>
      </c>
      <c r="H1147" s="7">
        <v>5</v>
      </c>
    </row>
    <row r="1148" spans="1:8">
      <c r="A1148" s="7">
        <v>1143</v>
      </c>
      <c r="B1148" s="7">
        <v>5048900</v>
      </c>
      <c r="C1148" s="7">
        <v>2</v>
      </c>
      <c r="G1148" s="7">
        <v>610029</v>
      </c>
      <c r="H1148" s="7">
        <v>40</v>
      </c>
    </row>
    <row r="1149" spans="1:8">
      <c r="A1149" s="7">
        <v>1144</v>
      </c>
      <c r="B1149" s="7">
        <v>5048900</v>
      </c>
      <c r="C1149" s="7">
        <v>2</v>
      </c>
      <c r="G1149" s="7">
        <v>610030</v>
      </c>
      <c r="H1149" s="7">
        <v>35</v>
      </c>
    </row>
    <row r="1150" spans="1:8">
      <c r="A1150" s="7">
        <v>1145</v>
      </c>
      <c r="B1150" s="7">
        <v>5048900</v>
      </c>
      <c r="C1150" s="7">
        <v>2</v>
      </c>
      <c r="G1150" s="7">
        <v>610031</v>
      </c>
      <c r="H1150" s="7">
        <v>20</v>
      </c>
    </row>
    <row r="1151" spans="1:8">
      <c r="A1151" s="7">
        <v>1146</v>
      </c>
      <c r="B1151" s="7">
        <v>5048900</v>
      </c>
      <c r="C1151" s="7">
        <v>2</v>
      </c>
      <c r="G1151" s="7">
        <v>610032</v>
      </c>
      <c r="H1151" s="7">
        <v>5</v>
      </c>
    </row>
    <row r="1152" spans="1:8">
      <c r="A1152" s="7">
        <v>1147</v>
      </c>
      <c r="B1152" s="7">
        <v>5019901</v>
      </c>
      <c r="C1152" s="7">
        <v>1</v>
      </c>
      <c r="G1152" s="7">
        <v>610001</v>
      </c>
      <c r="H1152" s="7">
        <v>10000</v>
      </c>
    </row>
    <row r="1153" spans="1:8">
      <c r="A1153" s="7">
        <v>1148</v>
      </c>
      <c r="B1153" s="7">
        <v>5019901</v>
      </c>
      <c r="C1153" s="7">
        <v>1</v>
      </c>
      <c r="G1153" s="7">
        <v>610002</v>
      </c>
      <c r="H1153" s="7">
        <v>10000</v>
      </c>
    </row>
    <row r="1154" spans="1:8">
      <c r="A1154" s="7">
        <v>1149</v>
      </c>
      <c r="B1154" s="7">
        <v>5019901</v>
      </c>
      <c r="C1154" s="7">
        <v>1</v>
      </c>
      <c r="G1154" s="7">
        <v>610071</v>
      </c>
      <c r="H1154" s="7">
        <v>10000</v>
      </c>
    </row>
    <row r="1155" spans="1:8">
      <c r="A1155" s="7">
        <v>1150</v>
      </c>
      <c r="B1155" s="7">
        <v>5019901</v>
      </c>
      <c r="C1155" s="7">
        <v>1</v>
      </c>
      <c r="G1155" s="7">
        <v>610077</v>
      </c>
      <c r="H1155" s="7">
        <v>10000</v>
      </c>
    </row>
    <row r="1156" spans="1:8">
      <c r="A1156" s="7">
        <v>1151</v>
      </c>
      <c r="B1156" s="7">
        <v>5019901</v>
      </c>
      <c r="C1156" s="7">
        <v>1</v>
      </c>
      <c r="G1156" s="7">
        <v>5018900</v>
      </c>
      <c r="H1156" s="7">
        <v>10000</v>
      </c>
    </row>
    <row r="1157" spans="1:8">
      <c r="A1157" s="7">
        <v>1152</v>
      </c>
      <c r="B1157" s="7">
        <v>5019902</v>
      </c>
      <c r="C1157" s="7">
        <v>1</v>
      </c>
      <c r="G1157" s="7">
        <v>610001</v>
      </c>
      <c r="H1157" s="7">
        <v>10000</v>
      </c>
    </row>
    <row r="1158" spans="1:8">
      <c r="A1158" s="7">
        <v>1153</v>
      </c>
      <c r="B1158" s="7">
        <v>5019902</v>
      </c>
      <c r="C1158" s="7">
        <v>1</v>
      </c>
      <c r="G1158" s="7">
        <v>610002</v>
      </c>
      <c r="H1158" s="7">
        <v>10000</v>
      </c>
    </row>
    <row r="1159" spans="1:8">
      <c r="A1159" s="7">
        <v>1154</v>
      </c>
      <c r="B1159" s="7">
        <v>5019902</v>
      </c>
      <c r="C1159" s="7">
        <v>1</v>
      </c>
      <c r="G1159" s="7">
        <v>5018900</v>
      </c>
      <c r="H1159" s="7">
        <v>10000</v>
      </c>
    </row>
    <row r="1160" spans="1:8">
      <c r="A1160" s="7">
        <v>1155</v>
      </c>
      <c r="B1160" s="7">
        <v>5019902</v>
      </c>
      <c r="C1160" s="7">
        <v>1</v>
      </c>
      <c r="G1160" s="7">
        <v>610073</v>
      </c>
      <c r="H1160" s="7">
        <v>10000</v>
      </c>
    </row>
    <row r="1161" spans="1:8">
      <c r="A1161" s="7">
        <v>1156</v>
      </c>
      <c r="B1161" s="7">
        <v>5019902</v>
      </c>
      <c r="C1161" s="7">
        <v>1</v>
      </c>
      <c r="G1161" s="7">
        <v>610077</v>
      </c>
      <c r="H1161" s="7">
        <v>10000</v>
      </c>
    </row>
    <row r="1162" spans="1:8">
      <c r="A1162" s="7">
        <v>1157</v>
      </c>
      <c r="B1162" s="7">
        <v>5019903</v>
      </c>
      <c r="C1162" s="7">
        <v>1</v>
      </c>
      <c r="G1162" s="7">
        <v>610001</v>
      </c>
      <c r="H1162" s="7">
        <v>10000</v>
      </c>
    </row>
    <row r="1163" spans="1:8">
      <c r="A1163" s="7">
        <v>1158</v>
      </c>
      <c r="B1163" s="7">
        <v>5019903</v>
      </c>
      <c r="C1163" s="7">
        <v>1</v>
      </c>
      <c r="G1163" s="7">
        <v>610002</v>
      </c>
      <c r="H1163" s="7">
        <v>10000</v>
      </c>
    </row>
    <row r="1164" spans="1:8">
      <c r="A1164" s="7">
        <v>1159</v>
      </c>
      <c r="B1164" s="7">
        <v>5019903</v>
      </c>
      <c r="C1164" s="7">
        <v>1</v>
      </c>
      <c r="G1164" s="7">
        <v>5018900</v>
      </c>
      <c r="H1164" s="7">
        <v>10000</v>
      </c>
    </row>
    <row r="1165" spans="1:8">
      <c r="A1165" s="7">
        <v>1160</v>
      </c>
      <c r="B1165" s="7">
        <v>5019903</v>
      </c>
      <c r="C1165" s="7">
        <v>1</v>
      </c>
      <c r="G1165" s="7">
        <v>610075</v>
      </c>
      <c r="H1165" s="7">
        <v>10000</v>
      </c>
    </row>
    <row r="1166" spans="1:8">
      <c r="A1166" s="7">
        <v>1161</v>
      </c>
      <c r="B1166" s="7">
        <v>5019904</v>
      </c>
      <c r="C1166" s="7">
        <v>1</v>
      </c>
      <c r="G1166" s="7">
        <v>610001</v>
      </c>
      <c r="H1166" s="7">
        <v>10000</v>
      </c>
    </row>
    <row r="1167" spans="1:8">
      <c r="A1167" s="7">
        <v>1162</v>
      </c>
      <c r="B1167" s="7">
        <v>5019904</v>
      </c>
      <c r="C1167" s="7">
        <v>1</v>
      </c>
      <c r="G1167" s="7">
        <v>610002</v>
      </c>
      <c r="H1167" s="7">
        <v>10000</v>
      </c>
    </row>
    <row r="1168" spans="1:8">
      <c r="A1168" s="7">
        <v>1163</v>
      </c>
      <c r="B1168" s="7">
        <v>5019904</v>
      </c>
      <c r="C1168" s="7">
        <v>1</v>
      </c>
      <c r="G1168" s="7">
        <v>5018900</v>
      </c>
      <c r="H1168" s="7">
        <v>10000</v>
      </c>
    </row>
    <row r="1169" spans="1:8">
      <c r="A1169" s="7">
        <v>1164</v>
      </c>
      <c r="B1169" s="7">
        <v>5019904</v>
      </c>
      <c r="C1169" s="7">
        <v>1</v>
      </c>
      <c r="G1169" s="7">
        <v>610077</v>
      </c>
      <c r="H1169" s="7">
        <v>10000</v>
      </c>
    </row>
    <row r="1170" spans="1:8">
      <c r="A1170" s="7">
        <v>1165</v>
      </c>
      <c r="B1170" s="7">
        <v>5029901</v>
      </c>
      <c r="C1170" s="7">
        <v>1</v>
      </c>
      <c r="G1170" s="7">
        <v>610003</v>
      </c>
      <c r="H1170" s="7">
        <v>10000</v>
      </c>
    </row>
    <row r="1171" spans="1:8">
      <c r="A1171" s="7">
        <v>1166</v>
      </c>
      <c r="B1171" s="7">
        <v>5029901</v>
      </c>
      <c r="C1171" s="7">
        <v>1</v>
      </c>
      <c r="G1171" s="7">
        <v>610004</v>
      </c>
      <c r="H1171" s="7">
        <v>10000</v>
      </c>
    </row>
    <row r="1172" spans="1:8">
      <c r="A1172" s="7">
        <v>1167</v>
      </c>
      <c r="B1172" s="7">
        <v>5029901</v>
      </c>
      <c r="C1172" s="7">
        <v>1</v>
      </c>
      <c r="G1172" s="7">
        <v>610079</v>
      </c>
      <c r="H1172" s="7">
        <v>10000</v>
      </c>
    </row>
    <row r="1173" spans="1:8">
      <c r="A1173" s="7">
        <v>1168</v>
      </c>
      <c r="B1173" s="7">
        <v>5029901</v>
      </c>
      <c r="C1173" s="7">
        <v>1</v>
      </c>
      <c r="G1173" s="7">
        <v>610085</v>
      </c>
      <c r="H1173" s="7">
        <v>10000</v>
      </c>
    </row>
    <row r="1174" spans="1:8">
      <c r="A1174" s="7">
        <v>1169</v>
      </c>
      <c r="B1174" s="7">
        <v>5029901</v>
      </c>
      <c r="C1174" s="7">
        <v>1</v>
      </c>
      <c r="G1174" s="7">
        <v>5028900</v>
      </c>
      <c r="H1174" s="7">
        <v>10000</v>
      </c>
    </row>
    <row r="1175" spans="1:8">
      <c r="A1175" s="7">
        <v>1170</v>
      </c>
      <c r="B1175" s="7">
        <v>5029902</v>
      </c>
      <c r="C1175" s="7">
        <v>1</v>
      </c>
      <c r="G1175" s="7">
        <v>610003</v>
      </c>
      <c r="H1175" s="7">
        <v>10000</v>
      </c>
    </row>
    <row r="1176" spans="1:8">
      <c r="A1176" s="7">
        <v>1171</v>
      </c>
      <c r="B1176" s="7">
        <v>5029902</v>
      </c>
      <c r="C1176" s="7">
        <v>1</v>
      </c>
      <c r="G1176" s="7">
        <v>610004</v>
      </c>
      <c r="H1176" s="7">
        <v>10000</v>
      </c>
    </row>
    <row r="1177" spans="1:8">
      <c r="A1177" s="7">
        <v>1172</v>
      </c>
      <c r="B1177" s="7">
        <v>5029902</v>
      </c>
      <c r="C1177" s="7">
        <v>1</v>
      </c>
      <c r="G1177" s="7">
        <v>5028900</v>
      </c>
      <c r="H1177" s="7">
        <v>10000</v>
      </c>
    </row>
    <row r="1178" spans="1:8">
      <c r="A1178" s="7">
        <v>1173</v>
      </c>
      <c r="B1178" s="7">
        <v>5029902</v>
      </c>
      <c r="C1178" s="7">
        <v>1</v>
      </c>
      <c r="G1178" s="7">
        <v>610081</v>
      </c>
      <c r="H1178" s="7">
        <v>10000</v>
      </c>
    </row>
    <row r="1179" spans="1:8">
      <c r="A1179" s="7">
        <v>1174</v>
      </c>
      <c r="B1179" s="7">
        <v>5029902</v>
      </c>
      <c r="C1179" s="7">
        <v>1</v>
      </c>
      <c r="G1179" s="7">
        <v>610085</v>
      </c>
      <c r="H1179" s="7">
        <v>10000</v>
      </c>
    </row>
    <row r="1180" spans="1:8">
      <c r="A1180" s="7">
        <v>1175</v>
      </c>
      <c r="B1180" s="7">
        <v>5029903</v>
      </c>
      <c r="C1180" s="7">
        <v>1</v>
      </c>
      <c r="G1180" s="7">
        <v>610003</v>
      </c>
      <c r="H1180" s="7">
        <v>10000</v>
      </c>
    </row>
    <row r="1181" spans="1:8">
      <c r="A1181" s="7">
        <v>1176</v>
      </c>
      <c r="B1181" s="7">
        <v>5029903</v>
      </c>
      <c r="C1181" s="7">
        <v>1</v>
      </c>
      <c r="G1181" s="7">
        <v>610004</v>
      </c>
      <c r="H1181" s="7">
        <v>10000</v>
      </c>
    </row>
    <row r="1182" spans="1:8">
      <c r="A1182" s="7">
        <v>1177</v>
      </c>
      <c r="B1182" s="7">
        <v>5029903</v>
      </c>
      <c r="C1182" s="7">
        <v>1</v>
      </c>
      <c r="G1182" s="7">
        <v>5028900</v>
      </c>
      <c r="H1182" s="7">
        <v>10000</v>
      </c>
    </row>
    <row r="1183" spans="1:8">
      <c r="A1183" s="7">
        <v>1178</v>
      </c>
      <c r="B1183" s="7">
        <v>5029903</v>
      </c>
      <c r="C1183" s="7">
        <v>1</v>
      </c>
      <c r="G1183" s="7">
        <v>610083</v>
      </c>
      <c r="H1183" s="7">
        <v>10000</v>
      </c>
    </row>
    <row r="1184" spans="1:8">
      <c r="A1184" s="7">
        <v>1179</v>
      </c>
      <c r="B1184" s="7">
        <v>5029904</v>
      </c>
      <c r="C1184" s="7">
        <v>1</v>
      </c>
      <c r="G1184" s="7">
        <v>610003</v>
      </c>
      <c r="H1184" s="7">
        <v>10000</v>
      </c>
    </row>
    <row r="1185" spans="1:8">
      <c r="A1185" s="7">
        <v>1180</v>
      </c>
      <c r="B1185" s="7">
        <v>5029904</v>
      </c>
      <c r="C1185" s="7">
        <v>1</v>
      </c>
      <c r="G1185" s="7">
        <v>610004</v>
      </c>
      <c r="H1185" s="7">
        <v>10000</v>
      </c>
    </row>
    <row r="1186" spans="1:8">
      <c r="A1186" s="7">
        <v>1181</v>
      </c>
      <c r="B1186" s="7">
        <v>5029904</v>
      </c>
      <c r="C1186" s="7">
        <v>1</v>
      </c>
      <c r="G1186" s="7">
        <v>5028900</v>
      </c>
      <c r="H1186" s="7">
        <v>10000</v>
      </c>
    </row>
    <row r="1187" spans="1:8">
      <c r="A1187" s="7">
        <v>1182</v>
      </c>
      <c r="B1187" s="7">
        <v>5029904</v>
      </c>
      <c r="C1187" s="7">
        <v>1</v>
      </c>
      <c r="G1187" s="7">
        <v>610085</v>
      </c>
      <c r="H1187" s="7">
        <v>10000</v>
      </c>
    </row>
    <row r="1188" spans="1:8">
      <c r="A1188" s="7">
        <v>1183</v>
      </c>
      <c r="B1188" s="7">
        <v>5039901</v>
      </c>
      <c r="C1188" s="7">
        <v>1</v>
      </c>
      <c r="G1188" s="7">
        <v>610005</v>
      </c>
      <c r="H1188" s="7">
        <v>10000</v>
      </c>
    </row>
    <row r="1189" spans="1:8">
      <c r="A1189" s="7">
        <v>1184</v>
      </c>
      <c r="B1189" s="7">
        <v>5039901</v>
      </c>
      <c r="C1189" s="7">
        <v>1</v>
      </c>
      <c r="G1189" s="7">
        <v>610006</v>
      </c>
      <c r="H1189" s="7">
        <v>10000</v>
      </c>
    </row>
    <row r="1190" spans="1:8">
      <c r="A1190" s="7">
        <v>1185</v>
      </c>
      <c r="B1190" s="7">
        <v>5039901</v>
      </c>
      <c r="C1190" s="7">
        <v>1</v>
      </c>
      <c r="G1190" s="7">
        <v>610087</v>
      </c>
      <c r="H1190" s="7">
        <v>10000</v>
      </c>
    </row>
    <row r="1191" spans="1:8">
      <c r="A1191" s="7">
        <v>1186</v>
      </c>
      <c r="B1191" s="7">
        <v>5039901</v>
      </c>
      <c r="C1191" s="7">
        <v>1</v>
      </c>
      <c r="G1191" s="7">
        <v>610093</v>
      </c>
      <c r="H1191" s="7">
        <v>10000</v>
      </c>
    </row>
    <row r="1192" spans="1:8">
      <c r="A1192" s="7">
        <v>1187</v>
      </c>
      <c r="B1192" s="7">
        <v>5039901</v>
      </c>
      <c r="C1192" s="7">
        <v>1</v>
      </c>
      <c r="G1192" s="7">
        <v>5038900</v>
      </c>
      <c r="H1192" s="7">
        <v>10000</v>
      </c>
    </row>
    <row r="1193" spans="1:8">
      <c r="A1193" s="7">
        <v>1188</v>
      </c>
      <c r="B1193" s="7">
        <v>5039902</v>
      </c>
      <c r="C1193" s="7">
        <v>1</v>
      </c>
      <c r="G1193" s="7">
        <v>610005</v>
      </c>
      <c r="H1193" s="7">
        <v>10000</v>
      </c>
    </row>
    <row r="1194" spans="1:8">
      <c r="A1194" s="7">
        <v>1189</v>
      </c>
      <c r="B1194" s="7">
        <v>5039902</v>
      </c>
      <c r="C1194" s="7">
        <v>1</v>
      </c>
      <c r="G1194" s="7">
        <v>610006</v>
      </c>
      <c r="H1194" s="7">
        <v>10000</v>
      </c>
    </row>
    <row r="1195" spans="1:8">
      <c r="A1195" s="7">
        <v>1190</v>
      </c>
      <c r="B1195" s="7">
        <v>5039902</v>
      </c>
      <c r="C1195" s="7">
        <v>1</v>
      </c>
      <c r="G1195" s="7">
        <v>5038900</v>
      </c>
      <c r="H1195" s="7">
        <v>10000</v>
      </c>
    </row>
    <row r="1196" spans="1:8">
      <c r="A1196" s="7">
        <v>1191</v>
      </c>
      <c r="B1196" s="7">
        <v>5039902</v>
      </c>
      <c r="C1196" s="7">
        <v>1</v>
      </c>
      <c r="G1196" s="7">
        <v>610089</v>
      </c>
      <c r="H1196" s="7">
        <v>10000</v>
      </c>
    </row>
    <row r="1197" spans="1:8">
      <c r="A1197" s="7">
        <v>1192</v>
      </c>
      <c r="B1197" s="7">
        <v>5039902</v>
      </c>
      <c r="C1197" s="7">
        <v>1</v>
      </c>
      <c r="G1197" s="7">
        <v>610093</v>
      </c>
      <c r="H1197" s="7">
        <v>10000</v>
      </c>
    </row>
    <row r="1198" spans="1:8">
      <c r="A1198" s="7">
        <v>1193</v>
      </c>
      <c r="B1198" s="7">
        <v>5039903</v>
      </c>
      <c r="C1198" s="7">
        <v>1</v>
      </c>
      <c r="G1198" s="7">
        <v>610005</v>
      </c>
      <c r="H1198" s="7">
        <v>10000</v>
      </c>
    </row>
    <row r="1199" spans="1:8">
      <c r="A1199" s="7">
        <v>1194</v>
      </c>
      <c r="B1199" s="7">
        <v>5039903</v>
      </c>
      <c r="C1199" s="7">
        <v>1</v>
      </c>
      <c r="G1199" s="7">
        <v>610006</v>
      </c>
      <c r="H1199" s="7">
        <v>10000</v>
      </c>
    </row>
    <row r="1200" spans="1:8">
      <c r="A1200" s="7">
        <v>1195</v>
      </c>
      <c r="B1200" s="7">
        <v>5039903</v>
      </c>
      <c r="C1200" s="7">
        <v>1</v>
      </c>
      <c r="G1200" s="7">
        <v>5038900</v>
      </c>
      <c r="H1200" s="7">
        <v>10000</v>
      </c>
    </row>
    <row r="1201" spans="1:8">
      <c r="A1201" s="7">
        <v>1196</v>
      </c>
      <c r="B1201" s="7">
        <v>5039903</v>
      </c>
      <c r="C1201" s="7">
        <v>1</v>
      </c>
      <c r="G1201" s="7">
        <v>610091</v>
      </c>
      <c r="H1201" s="7">
        <v>10000</v>
      </c>
    </row>
    <row r="1202" spans="1:8">
      <c r="A1202" s="7">
        <v>1197</v>
      </c>
      <c r="B1202" s="7">
        <v>5039904</v>
      </c>
      <c r="C1202" s="7">
        <v>1</v>
      </c>
      <c r="G1202" s="7">
        <v>610005</v>
      </c>
      <c r="H1202" s="7">
        <v>10000</v>
      </c>
    </row>
    <row r="1203" spans="1:8">
      <c r="A1203" s="7">
        <v>1198</v>
      </c>
      <c r="B1203" s="7">
        <v>5039904</v>
      </c>
      <c r="C1203" s="7">
        <v>1</v>
      </c>
      <c r="G1203" s="7">
        <v>610006</v>
      </c>
      <c r="H1203" s="7">
        <v>10000</v>
      </c>
    </row>
    <row r="1204" spans="1:8">
      <c r="A1204" s="7">
        <v>1199</v>
      </c>
      <c r="B1204" s="7">
        <v>5039904</v>
      </c>
      <c r="C1204" s="7">
        <v>1</v>
      </c>
      <c r="G1204" s="7">
        <v>5038900</v>
      </c>
      <c r="H1204" s="7">
        <v>10000</v>
      </c>
    </row>
    <row r="1205" spans="1:8">
      <c r="A1205" s="7">
        <v>1200</v>
      </c>
      <c r="B1205" s="7">
        <v>5039904</v>
      </c>
      <c r="C1205" s="7">
        <v>1</v>
      </c>
      <c r="G1205" s="7">
        <v>610093</v>
      </c>
      <c r="H1205" s="7">
        <v>10000</v>
      </c>
    </row>
    <row r="1206" spans="1:8">
      <c r="A1206" s="7">
        <v>1201</v>
      </c>
      <c r="B1206" s="7">
        <v>5049901</v>
      </c>
      <c r="C1206" s="7">
        <v>1</v>
      </c>
      <c r="G1206" s="7">
        <v>610007</v>
      </c>
      <c r="H1206" s="7">
        <v>10000</v>
      </c>
    </row>
    <row r="1207" spans="1:8">
      <c r="A1207" s="7">
        <v>1202</v>
      </c>
      <c r="B1207" s="7">
        <v>5049901</v>
      </c>
      <c r="C1207" s="7">
        <v>1</v>
      </c>
      <c r="G1207" s="7">
        <v>610008</v>
      </c>
      <c r="H1207" s="7">
        <v>10000</v>
      </c>
    </row>
    <row r="1208" spans="1:8">
      <c r="A1208" s="7">
        <v>1203</v>
      </c>
      <c r="B1208" s="7">
        <v>5049901</v>
      </c>
      <c r="C1208" s="7">
        <v>1</v>
      </c>
      <c r="G1208" s="7">
        <v>610095</v>
      </c>
      <c r="H1208" s="7">
        <v>10000</v>
      </c>
    </row>
    <row r="1209" spans="1:8">
      <c r="A1209" s="7">
        <v>1204</v>
      </c>
      <c r="B1209" s="7">
        <v>5049901</v>
      </c>
      <c r="C1209" s="7">
        <v>1</v>
      </c>
      <c r="G1209" s="7">
        <v>610101</v>
      </c>
      <c r="H1209" s="7">
        <v>10000</v>
      </c>
    </row>
    <row r="1210" spans="1:8">
      <c r="A1210" s="7">
        <v>1205</v>
      </c>
      <c r="B1210" s="7">
        <v>5049901</v>
      </c>
      <c r="C1210" s="7">
        <v>1</v>
      </c>
      <c r="G1210" s="7">
        <v>5048900</v>
      </c>
      <c r="H1210" s="7">
        <v>10000</v>
      </c>
    </row>
    <row r="1211" spans="1:8">
      <c r="A1211" s="7">
        <v>1206</v>
      </c>
      <c r="B1211" s="7">
        <v>5049902</v>
      </c>
      <c r="C1211" s="7">
        <v>1</v>
      </c>
      <c r="G1211" s="7">
        <v>610007</v>
      </c>
      <c r="H1211" s="7">
        <v>10000</v>
      </c>
    </row>
    <row r="1212" spans="1:8">
      <c r="A1212" s="7">
        <v>1207</v>
      </c>
      <c r="B1212" s="7">
        <v>5049902</v>
      </c>
      <c r="C1212" s="7">
        <v>1</v>
      </c>
      <c r="G1212" s="7">
        <v>610008</v>
      </c>
      <c r="H1212" s="7">
        <v>10000</v>
      </c>
    </row>
    <row r="1213" spans="1:8">
      <c r="A1213" s="7">
        <v>1208</v>
      </c>
      <c r="B1213" s="7">
        <v>5049902</v>
      </c>
      <c r="C1213" s="7">
        <v>1</v>
      </c>
      <c r="G1213" s="7">
        <v>5048900</v>
      </c>
      <c r="H1213" s="7">
        <v>10000</v>
      </c>
    </row>
    <row r="1214" spans="1:8">
      <c r="A1214" s="7">
        <v>1209</v>
      </c>
      <c r="B1214" s="7">
        <v>5049902</v>
      </c>
      <c r="C1214" s="7">
        <v>1</v>
      </c>
      <c r="G1214" s="7">
        <v>610097</v>
      </c>
      <c r="H1214" s="7">
        <v>10000</v>
      </c>
    </row>
    <row r="1215" spans="1:8">
      <c r="A1215" s="7">
        <v>1210</v>
      </c>
      <c r="B1215" s="7">
        <v>5049902</v>
      </c>
      <c r="C1215" s="7">
        <v>1</v>
      </c>
      <c r="G1215" s="7">
        <v>610101</v>
      </c>
      <c r="H1215" s="7">
        <v>10000</v>
      </c>
    </row>
    <row r="1216" spans="1:8">
      <c r="A1216" s="7">
        <v>1211</v>
      </c>
      <c r="B1216" s="7">
        <v>5049903</v>
      </c>
      <c r="C1216" s="7">
        <v>1</v>
      </c>
      <c r="G1216" s="7">
        <v>610007</v>
      </c>
      <c r="H1216" s="7">
        <v>10000</v>
      </c>
    </row>
    <row r="1217" spans="1:8">
      <c r="A1217" s="7">
        <v>1212</v>
      </c>
      <c r="B1217" s="7">
        <v>5049903</v>
      </c>
      <c r="C1217" s="7">
        <v>1</v>
      </c>
      <c r="G1217" s="7">
        <v>610008</v>
      </c>
      <c r="H1217" s="7">
        <v>10000</v>
      </c>
    </row>
    <row r="1218" spans="1:8">
      <c r="A1218" s="7">
        <v>1213</v>
      </c>
      <c r="B1218" s="7">
        <v>5049903</v>
      </c>
      <c r="C1218" s="7">
        <v>1</v>
      </c>
      <c r="G1218" s="7">
        <v>5048900</v>
      </c>
      <c r="H1218" s="7">
        <v>10000</v>
      </c>
    </row>
    <row r="1219" spans="1:8">
      <c r="A1219" s="7">
        <v>1214</v>
      </c>
      <c r="B1219" s="7">
        <v>5049903</v>
      </c>
      <c r="C1219" s="7">
        <v>1</v>
      </c>
      <c r="G1219" s="7">
        <v>610099</v>
      </c>
      <c r="H1219" s="7">
        <v>10000</v>
      </c>
    </row>
    <row r="1220" spans="1:8">
      <c r="A1220" s="7">
        <v>1215</v>
      </c>
      <c r="B1220" s="7">
        <v>5049904</v>
      </c>
      <c r="C1220" s="7">
        <v>1</v>
      </c>
      <c r="G1220" s="7">
        <v>610007</v>
      </c>
      <c r="H1220" s="7">
        <v>10000</v>
      </c>
    </row>
    <row r="1221" spans="1:8">
      <c r="A1221" s="7">
        <v>1216</v>
      </c>
      <c r="B1221" s="7">
        <v>5049904</v>
      </c>
      <c r="C1221" s="7">
        <v>1</v>
      </c>
      <c r="G1221" s="7">
        <v>610008</v>
      </c>
      <c r="H1221" s="7">
        <v>10000</v>
      </c>
    </row>
    <row r="1222" spans="1:8">
      <c r="A1222" s="7">
        <v>1217</v>
      </c>
      <c r="B1222" s="7">
        <v>5049904</v>
      </c>
      <c r="C1222" s="7">
        <v>1</v>
      </c>
      <c r="G1222" s="7">
        <v>5048900</v>
      </c>
      <c r="H1222" s="7">
        <v>10000</v>
      </c>
    </row>
    <row r="1223" spans="1:8">
      <c r="A1223" s="7">
        <v>1218</v>
      </c>
      <c r="B1223" s="7">
        <v>5049904</v>
      </c>
      <c r="C1223" s="7">
        <v>1</v>
      </c>
      <c r="G1223" s="7">
        <v>610101</v>
      </c>
      <c r="H1223" s="7">
        <v>10000</v>
      </c>
    </row>
    <row r="1224" spans="1:6">
      <c r="A1224" s="7">
        <v>1219</v>
      </c>
      <c r="B1224" s="7">
        <v>600001</v>
      </c>
      <c r="C1224" s="7">
        <v>3</v>
      </c>
      <c r="D1224" s="7">
        <v>2600001</v>
      </c>
      <c r="E1224" s="7">
        <v>1</v>
      </c>
      <c r="F1224" s="7">
        <v>1</v>
      </c>
    </row>
    <row r="1225" spans="1:6">
      <c r="A1225" s="7">
        <v>1220</v>
      </c>
      <c r="B1225" s="7">
        <v>600002</v>
      </c>
      <c r="C1225" s="7">
        <v>3</v>
      </c>
      <c r="D1225" s="7">
        <v>2600002</v>
      </c>
      <c r="E1225" s="7">
        <v>1</v>
      </c>
      <c r="F1225" s="7">
        <v>1</v>
      </c>
    </row>
    <row r="1226" spans="1:6">
      <c r="A1226" s="7">
        <v>1221</v>
      </c>
      <c r="B1226" s="7">
        <v>600003</v>
      </c>
      <c r="C1226" s="7">
        <v>3</v>
      </c>
      <c r="D1226" s="7">
        <v>2600003</v>
      </c>
      <c r="E1226" s="7">
        <v>1</v>
      </c>
      <c r="F1226" s="7">
        <v>1</v>
      </c>
    </row>
    <row r="1227" spans="1:6">
      <c r="A1227" s="7">
        <v>1222</v>
      </c>
      <c r="B1227" s="7">
        <v>600004</v>
      </c>
      <c r="C1227" s="7">
        <v>3</v>
      </c>
      <c r="D1227" s="7">
        <v>2600004</v>
      </c>
      <c r="E1227" s="7">
        <v>1</v>
      </c>
      <c r="F1227" s="7">
        <v>1</v>
      </c>
    </row>
    <row r="1228" spans="1:6">
      <c r="A1228" s="7">
        <v>1223</v>
      </c>
      <c r="B1228" s="7">
        <v>600005</v>
      </c>
      <c r="C1228" s="7">
        <v>3</v>
      </c>
      <c r="D1228" s="7">
        <v>2600005</v>
      </c>
      <c r="E1228" s="7">
        <v>1</v>
      </c>
      <c r="F1228" s="7">
        <v>1</v>
      </c>
    </row>
    <row r="1229" spans="1:6">
      <c r="A1229" s="7">
        <v>1224</v>
      </c>
      <c r="B1229" s="7">
        <v>600006</v>
      </c>
      <c r="C1229" s="7">
        <v>3</v>
      </c>
      <c r="D1229" s="7">
        <v>2600006</v>
      </c>
      <c r="E1229" s="7">
        <v>1</v>
      </c>
      <c r="F1229" s="7">
        <v>1</v>
      </c>
    </row>
    <row r="1230" spans="1:6">
      <c r="A1230" s="7">
        <v>1225</v>
      </c>
      <c r="B1230" s="7">
        <v>600007</v>
      </c>
      <c r="C1230" s="7">
        <v>3</v>
      </c>
      <c r="D1230" s="7">
        <v>2600007</v>
      </c>
      <c r="E1230" s="7">
        <v>1</v>
      </c>
      <c r="F1230" s="7">
        <v>1</v>
      </c>
    </row>
    <row r="1231" spans="1:6">
      <c r="A1231" s="7">
        <v>1226</v>
      </c>
      <c r="B1231" s="7">
        <v>600008</v>
      </c>
      <c r="C1231" s="7">
        <v>3</v>
      </c>
      <c r="D1231" s="7">
        <v>2600008</v>
      </c>
      <c r="E1231" s="7">
        <v>1</v>
      </c>
      <c r="F1231" s="7">
        <v>1</v>
      </c>
    </row>
    <row r="1232" spans="1:6">
      <c r="A1232" s="7">
        <v>1227</v>
      </c>
      <c r="B1232" s="7">
        <v>600009</v>
      </c>
      <c r="C1232" s="7">
        <v>3</v>
      </c>
      <c r="D1232" s="7">
        <v>2700001</v>
      </c>
      <c r="E1232" s="7">
        <v>1</v>
      </c>
      <c r="F1232" s="7">
        <v>1</v>
      </c>
    </row>
    <row r="1233" spans="1:6">
      <c r="A1233" s="7">
        <v>1228</v>
      </c>
      <c r="B1233" s="7">
        <v>600010</v>
      </c>
      <c r="C1233" s="7">
        <v>3</v>
      </c>
      <c r="D1233" s="7">
        <v>2700002</v>
      </c>
      <c r="E1233" s="7">
        <v>1</v>
      </c>
      <c r="F1233" s="7">
        <v>1</v>
      </c>
    </row>
    <row r="1234" spans="1:6">
      <c r="A1234" s="7">
        <v>1229</v>
      </c>
      <c r="B1234" s="7">
        <v>600011</v>
      </c>
      <c r="C1234" s="7">
        <v>3</v>
      </c>
      <c r="D1234" s="7">
        <v>2700003</v>
      </c>
      <c r="E1234" s="7">
        <v>1</v>
      </c>
      <c r="F1234" s="7">
        <v>1</v>
      </c>
    </row>
    <row r="1235" spans="1:6">
      <c r="A1235" s="7">
        <v>1230</v>
      </c>
      <c r="B1235" s="7">
        <v>600012</v>
      </c>
      <c r="C1235" s="7">
        <v>3</v>
      </c>
      <c r="D1235" s="7">
        <v>2700004</v>
      </c>
      <c r="E1235" s="7">
        <v>1</v>
      </c>
      <c r="F1235" s="7">
        <v>1</v>
      </c>
    </row>
    <row r="1236" spans="1:6">
      <c r="A1236" s="7">
        <v>1231</v>
      </c>
      <c r="B1236" s="7">
        <v>600013</v>
      </c>
      <c r="C1236" s="7">
        <v>3</v>
      </c>
      <c r="D1236" s="7">
        <v>2700005</v>
      </c>
      <c r="E1236" s="7">
        <v>1</v>
      </c>
      <c r="F1236" s="7">
        <v>1</v>
      </c>
    </row>
    <row r="1237" spans="1:6">
      <c r="A1237" s="7">
        <v>1232</v>
      </c>
      <c r="B1237" s="7">
        <v>600014</v>
      </c>
      <c r="C1237" s="7">
        <v>3</v>
      </c>
      <c r="D1237" s="7">
        <v>2700006</v>
      </c>
      <c r="E1237" s="7">
        <v>1</v>
      </c>
      <c r="F1237" s="7">
        <v>1</v>
      </c>
    </row>
    <row r="1238" spans="1:6">
      <c r="A1238" s="7">
        <v>1233</v>
      </c>
      <c r="B1238" s="7">
        <v>600015</v>
      </c>
      <c r="C1238" s="7">
        <v>3</v>
      </c>
      <c r="D1238" s="7">
        <v>2700007</v>
      </c>
      <c r="E1238" s="7">
        <v>1</v>
      </c>
      <c r="F1238" s="7">
        <v>1</v>
      </c>
    </row>
    <row r="1239" spans="1:6">
      <c r="A1239" s="7">
        <v>1234</v>
      </c>
      <c r="B1239" s="7">
        <v>600016</v>
      </c>
      <c r="C1239" s="7">
        <v>3</v>
      </c>
      <c r="D1239" s="7">
        <v>2700008</v>
      </c>
      <c r="E1239" s="7">
        <v>1</v>
      </c>
      <c r="F1239" s="7">
        <v>1</v>
      </c>
    </row>
    <row r="1240" spans="1:6">
      <c r="A1240" s="7">
        <v>1235</v>
      </c>
      <c r="B1240" s="7">
        <v>600017</v>
      </c>
      <c r="C1240" s="7">
        <v>3</v>
      </c>
      <c r="D1240" s="7">
        <v>2700009</v>
      </c>
      <c r="E1240" s="7">
        <v>1</v>
      </c>
      <c r="F1240" s="7">
        <v>1</v>
      </c>
    </row>
    <row r="1241" spans="1:6">
      <c r="A1241" s="7">
        <v>1236</v>
      </c>
      <c r="B1241" s="7">
        <v>600018</v>
      </c>
      <c r="C1241" s="7">
        <v>3</v>
      </c>
      <c r="D1241" s="7">
        <v>2700010</v>
      </c>
      <c r="E1241" s="7">
        <v>1</v>
      </c>
      <c r="F1241" s="7">
        <v>1</v>
      </c>
    </row>
    <row r="1242" spans="1:6">
      <c r="A1242" s="7">
        <v>1237</v>
      </c>
      <c r="B1242" s="7">
        <v>600019</v>
      </c>
      <c r="C1242" s="7">
        <v>3</v>
      </c>
      <c r="D1242" s="7">
        <v>2700011</v>
      </c>
      <c r="E1242" s="7">
        <v>1</v>
      </c>
      <c r="F1242" s="7">
        <v>1</v>
      </c>
    </row>
    <row r="1243" spans="1:6">
      <c r="A1243" s="7">
        <v>1238</v>
      </c>
      <c r="B1243" s="7">
        <v>600020</v>
      </c>
      <c r="C1243" s="7">
        <v>3</v>
      </c>
      <c r="D1243" s="7">
        <v>2700012</v>
      </c>
      <c r="E1243" s="7">
        <v>1</v>
      </c>
      <c r="F1243" s="7">
        <v>1</v>
      </c>
    </row>
    <row r="1244" spans="1:6">
      <c r="A1244" s="7">
        <v>1239</v>
      </c>
      <c r="B1244" s="7">
        <v>600021</v>
      </c>
      <c r="C1244" s="7">
        <v>3</v>
      </c>
      <c r="D1244" s="7">
        <v>2700013</v>
      </c>
      <c r="E1244" s="7">
        <v>1</v>
      </c>
      <c r="F1244" s="7">
        <v>1</v>
      </c>
    </row>
    <row r="1245" spans="1:6">
      <c r="A1245" s="7">
        <v>1240</v>
      </c>
      <c r="B1245" s="7">
        <v>600022</v>
      </c>
      <c r="C1245" s="7">
        <v>3</v>
      </c>
      <c r="D1245" s="7">
        <v>2700014</v>
      </c>
      <c r="E1245" s="7">
        <v>1</v>
      </c>
      <c r="F1245" s="7">
        <v>1</v>
      </c>
    </row>
    <row r="1246" spans="1:6">
      <c r="A1246" s="7">
        <v>1241</v>
      </c>
      <c r="B1246" s="7">
        <v>600023</v>
      </c>
      <c r="C1246" s="7">
        <v>3</v>
      </c>
      <c r="D1246" s="7">
        <v>2700015</v>
      </c>
      <c r="E1246" s="7">
        <v>1</v>
      </c>
      <c r="F1246" s="7">
        <v>1</v>
      </c>
    </row>
    <row r="1247" spans="1:6">
      <c r="A1247" s="7">
        <v>1242</v>
      </c>
      <c r="B1247" s="7">
        <v>600024</v>
      </c>
      <c r="C1247" s="7">
        <v>3</v>
      </c>
      <c r="D1247" s="7">
        <v>2700016</v>
      </c>
      <c r="E1247" s="7">
        <v>1</v>
      </c>
      <c r="F1247" s="7">
        <v>1</v>
      </c>
    </row>
    <row r="1248" spans="1:6">
      <c r="A1248" s="7">
        <v>1243</v>
      </c>
      <c r="B1248" s="7">
        <v>600025</v>
      </c>
      <c r="C1248" s="7">
        <v>3</v>
      </c>
      <c r="D1248" s="7">
        <v>2700017</v>
      </c>
      <c r="E1248" s="7">
        <v>1</v>
      </c>
      <c r="F1248" s="7">
        <v>1</v>
      </c>
    </row>
    <row r="1249" spans="1:6">
      <c r="A1249" s="7">
        <v>1244</v>
      </c>
      <c r="B1249" s="7">
        <v>600026</v>
      </c>
      <c r="C1249" s="7">
        <v>3</v>
      </c>
      <c r="D1249" s="7">
        <v>2700018</v>
      </c>
      <c r="E1249" s="7">
        <v>1</v>
      </c>
      <c r="F1249" s="7">
        <v>1</v>
      </c>
    </row>
    <row r="1250" spans="1:6">
      <c r="A1250" s="7">
        <v>1245</v>
      </c>
      <c r="B1250" s="7">
        <v>600027</v>
      </c>
      <c r="C1250" s="7">
        <v>3</v>
      </c>
      <c r="D1250" s="7">
        <v>2700019</v>
      </c>
      <c r="E1250" s="7">
        <v>1</v>
      </c>
      <c r="F1250" s="7">
        <v>1</v>
      </c>
    </row>
    <row r="1251" spans="1:6">
      <c r="A1251" s="7">
        <v>1246</v>
      </c>
      <c r="B1251" s="7">
        <v>600028</v>
      </c>
      <c r="C1251" s="7">
        <v>3</v>
      </c>
      <c r="D1251" s="7">
        <v>2700020</v>
      </c>
      <c r="E1251" s="7">
        <v>1</v>
      </c>
      <c r="F1251" s="7">
        <v>1</v>
      </c>
    </row>
    <row r="1252" spans="1:6">
      <c r="A1252" s="7">
        <v>1247</v>
      </c>
      <c r="B1252" s="7">
        <v>600029</v>
      </c>
      <c r="C1252" s="7">
        <v>3</v>
      </c>
      <c r="D1252" s="7">
        <v>2700021</v>
      </c>
      <c r="E1252" s="7">
        <v>1</v>
      </c>
      <c r="F1252" s="7">
        <v>1</v>
      </c>
    </row>
    <row r="1253" spans="1:6">
      <c r="A1253" s="7">
        <v>1248</v>
      </c>
      <c r="B1253" s="7">
        <v>600030</v>
      </c>
      <c r="C1253" s="7">
        <v>3</v>
      </c>
      <c r="D1253" s="7">
        <v>2700022</v>
      </c>
      <c r="E1253" s="7">
        <v>1</v>
      </c>
      <c r="F1253" s="7">
        <v>1</v>
      </c>
    </row>
    <row r="1254" spans="1:6">
      <c r="A1254" s="7">
        <v>1249</v>
      </c>
      <c r="B1254" s="7">
        <v>600031</v>
      </c>
      <c r="C1254" s="7">
        <v>3</v>
      </c>
      <c r="D1254" s="7">
        <v>2700023</v>
      </c>
      <c r="E1254" s="7">
        <v>1</v>
      </c>
      <c r="F1254" s="7">
        <v>1</v>
      </c>
    </row>
    <row r="1255" spans="1:6">
      <c r="A1255" s="7">
        <v>1250</v>
      </c>
      <c r="B1255" s="7">
        <v>600032</v>
      </c>
      <c r="C1255" s="7">
        <v>3</v>
      </c>
      <c r="D1255" s="7">
        <v>2700024</v>
      </c>
      <c r="E1255" s="7">
        <v>1</v>
      </c>
      <c r="F1255" s="7">
        <v>1</v>
      </c>
    </row>
    <row r="1256" spans="1:6">
      <c r="A1256" s="7">
        <v>1251</v>
      </c>
      <c r="B1256" s="7">
        <v>600033</v>
      </c>
      <c r="C1256" s="7">
        <v>3</v>
      </c>
      <c r="D1256" s="7">
        <v>2700025</v>
      </c>
      <c r="E1256" s="7">
        <v>1</v>
      </c>
      <c r="F1256" s="7">
        <v>1</v>
      </c>
    </row>
    <row r="1257" spans="1:6">
      <c r="A1257" s="7">
        <v>1252</v>
      </c>
      <c r="B1257" s="7">
        <v>600034</v>
      </c>
      <c r="C1257" s="7">
        <v>3</v>
      </c>
      <c r="D1257" s="7">
        <v>2700026</v>
      </c>
      <c r="E1257" s="7">
        <v>1</v>
      </c>
      <c r="F1257" s="7">
        <v>1</v>
      </c>
    </row>
    <row r="1258" spans="1:6">
      <c r="A1258" s="7">
        <v>1253</v>
      </c>
      <c r="B1258" s="7">
        <v>600035</v>
      </c>
      <c r="C1258" s="7">
        <v>3</v>
      </c>
      <c r="D1258" s="7">
        <v>2700027</v>
      </c>
      <c r="E1258" s="7">
        <v>1</v>
      </c>
      <c r="F1258" s="7">
        <v>1</v>
      </c>
    </row>
    <row r="1259" spans="1:6">
      <c r="A1259" s="7">
        <v>1254</v>
      </c>
      <c r="B1259" s="7">
        <v>600036</v>
      </c>
      <c r="C1259" s="7">
        <v>3</v>
      </c>
      <c r="D1259" s="7">
        <v>2700028</v>
      </c>
      <c r="E1259" s="7">
        <v>1</v>
      </c>
      <c r="F1259" s="7">
        <v>1</v>
      </c>
    </row>
    <row r="1260" spans="1:6">
      <c r="A1260" s="7">
        <v>1255</v>
      </c>
      <c r="B1260" s="7">
        <v>600037</v>
      </c>
      <c r="C1260" s="7">
        <v>3</v>
      </c>
      <c r="D1260" s="7">
        <v>2700029</v>
      </c>
      <c r="E1260" s="7">
        <v>1</v>
      </c>
      <c r="F1260" s="7">
        <v>1</v>
      </c>
    </row>
    <row r="1261" spans="1:6">
      <c r="A1261" s="7">
        <v>1256</v>
      </c>
      <c r="B1261" s="7">
        <v>600038</v>
      </c>
      <c r="C1261" s="7">
        <v>3</v>
      </c>
      <c r="D1261" s="7">
        <v>2700030</v>
      </c>
      <c r="E1261" s="7">
        <v>1</v>
      </c>
      <c r="F1261" s="7">
        <v>1</v>
      </c>
    </row>
    <row r="1262" spans="1:6">
      <c r="A1262" s="7">
        <v>1257</v>
      </c>
      <c r="B1262" s="7">
        <v>600039</v>
      </c>
      <c r="C1262" s="7">
        <v>3</v>
      </c>
      <c r="D1262" s="7">
        <v>2700031</v>
      </c>
      <c r="E1262" s="7">
        <v>1</v>
      </c>
      <c r="F1262" s="7">
        <v>1</v>
      </c>
    </row>
    <row r="1263" spans="1:6">
      <c r="A1263" s="7">
        <v>1258</v>
      </c>
      <c r="B1263" s="7">
        <v>600040</v>
      </c>
      <c r="C1263" s="7">
        <v>3</v>
      </c>
      <c r="D1263" s="7">
        <v>2700032</v>
      </c>
      <c r="E1263" s="7">
        <v>1</v>
      </c>
      <c r="F1263" s="7">
        <v>1</v>
      </c>
    </row>
    <row r="1264" spans="1:6">
      <c r="A1264" s="7">
        <v>1259</v>
      </c>
      <c r="B1264" s="7">
        <v>600041</v>
      </c>
      <c r="C1264" s="7">
        <v>3</v>
      </c>
      <c r="D1264" s="7">
        <v>2700033</v>
      </c>
      <c r="E1264" s="7">
        <v>1</v>
      </c>
      <c r="F1264" s="7">
        <v>1</v>
      </c>
    </row>
    <row r="1265" spans="1:6">
      <c r="A1265" s="7">
        <v>1260</v>
      </c>
      <c r="B1265" s="7">
        <v>600042</v>
      </c>
      <c r="C1265" s="7">
        <v>3</v>
      </c>
      <c r="D1265" s="7">
        <v>2700034</v>
      </c>
      <c r="E1265" s="7">
        <v>1</v>
      </c>
      <c r="F1265" s="7">
        <v>1</v>
      </c>
    </row>
    <row r="1266" spans="1:6">
      <c r="A1266" s="7">
        <v>1261</v>
      </c>
      <c r="B1266" s="7">
        <v>600043</v>
      </c>
      <c r="C1266" s="7">
        <v>3</v>
      </c>
      <c r="D1266" s="7">
        <v>2700035</v>
      </c>
      <c r="E1266" s="7">
        <v>1</v>
      </c>
      <c r="F1266" s="7">
        <v>1</v>
      </c>
    </row>
    <row r="1267" spans="1:6">
      <c r="A1267" s="7">
        <v>1262</v>
      </c>
      <c r="B1267" s="7">
        <v>600044</v>
      </c>
      <c r="C1267" s="7">
        <v>3</v>
      </c>
      <c r="D1267" s="7">
        <v>2700036</v>
      </c>
      <c r="E1267" s="7">
        <v>1</v>
      </c>
      <c r="F1267" s="7">
        <v>1</v>
      </c>
    </row>
    <row r="1268" spans="1:6">
      <c r="A1268" s="7">
        <v>1263</v>
      </c>
      <c r="B1268" s="7">
        <v>600045</v>
      </c>
      <c r="C1268" s="7">
        <v>3</v>
      </c>
      <c r="D1268" s="7">
        <v>2700037</v>
      </c>
      <c r="E1268" s="7">
        <v>1</v>
      </c>
      <c r="F1268" s="7">
        <v>1</v>
      </c>
    </row>
    <row r="1269" spans="1:6">
      <c r="A1269" s="7">
        <v>1264</v>
      </c>
      <c r="B1269" s="7">
        <v>600046</v>
      </c>
      <c r="C1269" s="7">
        <v>3</v>
      </c>
      <c r="D1269" s="7">
        <v>2700038</v>
      </c>
      <c r="E1269" s="7">
        <v>1</v>
      </c>
      <c r="F1269" s="7">
        <v>1</v>
      </c>
    </row>
    <row r="1270" spans="1:6">
      <c r="A1270" s="7">
        <v>1265</v>
      </c>
      <c r="B1270" s="7">
        <v>600047</v>
      </c>
      <c r="C1270" s="7">
        <v>3</v>
      </c>
      <c r="D1270" s="7">
        <v>2700039</v>
      </c>
      <c r="E1270" s="7">
        <v>1</v>
      </c>
      <c r="F1270" s="7">
        <v>1</v>
      </c>
    </row>
    <row r="1271" spans="1:6">
      <c r="A1271" s="7">
        <v>1266</v>
      </c>
      <c r="B1271" s="7">
        <v>600048</v>
      </c>
      <c r="C1271" s="7">
        <v>3</v>
      </c>
      <c r="D1271" s="7">
        <v>2700040</v>
      </c>
      <c r="E1271" s="7">
        <v>1</v>
      </c>
      <c r="F1271" s="7">
        <v>1</v>
      </c>
    </row>
    <row r="1272" spans="1:6">
      <c r="A1272" s="7">
        <v>1267</v>
      </c>
      <c r="B1272" s="7">
        <v>600049</v>
      </c>
      <c r="C1272" s="7">
        <v>3</v>
      </c>
      <c r="D1272" s="7">
        <v>2700041</v>
      </c>
      <c r="E1272" s="7">
        <v>1</v>
      </c>
      <c r="F1272" s="7">
        <v>1</v>
      </c>
    </row>
    <row r="1273" spans="1:6">
      <c r="A1273" s="7">
        <v>1268</v>
      </c>
      <c r="B1273" s="7">
        <v>600050</v>
      </c>
      <c r="C1273" s="7">
        <v>3</v>
      </c>
      <c r="D1273" s="7">
        <v>2700042</v>
      </c>
      <c r="E1273" s="7">
        <v>1</v>
      </c>
      <c r="F1273" s="7">
        <v>1</v>
      </c>
    </row>
    <row r="1274" spans="1:6">
      <c r="A1274" s="7">
        <v>1269</v>
      </c>
      <c r="B1274" s="7">
        <v>600051</v>
      </c>
      <c r="C1274" s="7">
        <v>3</v>
      </c>
      <c r="D1274" s="7">
        <v>2700043</v>
      </c>
      <c r="E1274" s="7">
        <v>1</v>
      </c>
      <c r="F1274" s="7">
        <v>1</v>
      </c>
    </row>
    <row r="1275" spans="1:6">
      <c r="A1275" s="7">
        <v>1270</v>
      </c>
      <c r="B1275" s="7">
        <v>600052</v>
      </c>
      <c r="C1275" s="7">
        <v>3</v>
      </c>
      <c r="D1275" s="7">
        <v>2700044</v>
      </c>
      <c r="E1275" s="7">
        <v>1</v>
      </c>
      <c r="F1275" s="7">
        <v>1</v>
      </c>
    </row>
    <row r="1276" spans="1:6">
      <c r="A1276" s="7">
        <v>1271</v>
      </c>
      <c r="B1276" s="7">
        <v>600053</v>
      </c>
      <c r="C1276" s="7">
        <v>3</v>
      </c>
      <c r="D1276" s="7">
        <v>2700045</v>
      </c>
      <c r="E1276" s="7">
        <v>1</v>
      </c>
      <c r="F1276" s="7">
        <v>1</v>
      </c>
    </row>
    <row r="1277" spans="1:6">
      <c r="A1277" s="7">
        <v>1272</v>
      </c>
      <c r="B1277" s="7">
        <v>600054</v>
      </c>
      <c r="C1277" s="7">
        <v>3</v>
      </c>
      <c r="D1277" s="7">
        <v>2700046</v>
      </c>
      <c r="E1277" s="7">
        <v>1</v>
      </c>
      <c r="F1277" s="7">
        <v>1</v>
      </c>
    </row>
    <row r="1278" spans="1:6">
      <c r="A1278" s="7">
        <v>1273</v>
      </c>
      <c r="B1278" s="7">
        <v>600055</v>
      </c>
      <c r="C1278" s="7">
        <v>3</v>
      </c>
      <c r="D1278" s="7">
        <v>2700047</v>
      </c>
      <c r="E1278" s="7">
        <v>1</v>
      </c>
      <c r="F1278" s="7">
        <v>1</v>
      </c>
    </row>
    <row r="1279" spans="1:6">
      <c r="A1279" s="7">
        <v>1274</v>
      </c>
      <c r="B1279" s="7">
        <v>600056</v>
      </c>
      <c r="C1279" s="7">
        <v>3</v>
      </c>
      <c r="D1279" s="7">
        <v>2700048</v>
      </c>
      <c r="E1279" s="7">
        <v>1</v>
      </c>
      <c r="F1279" s="7">
        <v>1</v>
      </c>
    </row>
    <row r="1280" spans="1:6">
      <c r="A1280" s="7">
        <v>1275</v>
      </c>
      <c r="B1280" s="7">
        <v>600057</v>
      </c>
      <c r="C1280" s="7">
        <v>3</v>
      </c>
      <c r="D1280" s="7">
        <v>2700049</v>
      </c>
      <c r="E1280" s="7">
        <v>1</v>
      </c>
      <c r="F1280" s="7">
        <v>1</v>
      </c>
    </row>
    <row r="1281" spans="1:6">
      <c r="A1281" s="7">
        <v>1276</v>
      </c>
      <c r="B1281" s="7">
        <v>600058</v>
      </c>
      <c r="C1281" s="7">
        <v>3</v>
      </c>
      <c r="D1281" s="7">
        <v>2700050</v>
      </c>
      <c r="E1281" s="7">
        <v>1</v>
      </c>
      <c r="F1281" s="7">
        <v>1</v>
      </c>
    </row>
    <row r="1282" spans="1:6">
      <c r="A1282" s="7">
        <v>1277</v>
      </c>
      <c r="B1282" s="7">
        <v>600059</v>
      </c>
      <c r="C1282" s="7">
        <v>3</v>
      </c>
      <c r="D1282" s="7">
        <v>2700051</v>
      </c>
      <c r="E1282" s="7">
        <v>1</v>
      </c>
      <c r="F1282" s="7">
        <v>1</v>
      </c>
    </row>
    <row r="1283" spans="1:6">
      <c r="A1283" s="7">
        <v>1278</v>
      </c>
      <c r="B1283" s="7">
        <v>600060</v>
      </c>
      <c r="C1283" s="7">
        <v>3</v>
      </c>
      <c r="D1283" s="7">
        <v>2700052</v>
      </c>
      <c r="E1283" s="7">
        <v>1</v>
      </c>
      <c r="F1283" s="7">
        <v>1</v>
      </c>
    </row>
    <row r="1284" spans="1:6">
      <c r="A1284" s="7">
        <v>1279</v>
      </c>
      <c r="B1284" s="7">
        <v>600061</v>
      </c>
      <c r="C1284" s="7">
        <v>3</v>
      </c>
      <c r="D1284" s="7">
        <v>2700053</v>
      </c>
      <c r="E1284" s="7">
        <v>1</v>
      </c>
      <c r="F1284" s="7">
        <v>1</v>
      </c>
    </row>
    <row r="1285" spans="1:6">
      <c r="A1285" s="7">
        <v>1280</v>
      </c>
      <c r="B1285" s="7">
        <v>600062</v>
      </c>
      <c r="C1285" s="7">
        <v>3</v>
      </c>
      <c r="D1285" s="7">
        <v>2700054</v>
      </c>
      <c r="E1285" s="7">
        <v>1</v>
      </c>
      <c r="F1285" s="7">
        <v>1</v>
      </c>
    </row>
    <row r="1286" spans="1:6">
      <c r="A1286" s="7">
        <v>1281</v>
      </c>
      <c r="B1286" s="7">
        <v>600063</v>
      </c>
      <c r="C1286" s="7">
        <v>3</v>
      </c>
      <c r="D1286" s="7">
        <v>2700055</v>
      </c>
      <c r="E1286" s="7">
        <v>1</v>
      </c>
      <c r="F1286" s="7">
        <v>1</v>
      </c>
    </row>
    <row r="1287" spans="1:6">
      <c r="A1287" s="7">
        <v>1282</v>
      </c>
      <c r="B1287" s="7">
        <v>600064</v>
      </c>
      <c r="C1287" s="7">
        <v>3</v>
      </c>
      <c r="D1287" s="7">
        <v>2700056</v>
      </c>
      <c r="E1287" s="7">
        <v>1</v>
      </c>
      <c r="F1287" s="7">
        <v>1</v>
      </c>
    </row>
    <row r="1288" spans="1:6">
      <c r="A1288" s="7">
        <v>1283</v>
      </c>
      <c r="B1288" s="7">
        <v>600065</v>
      </c>
      <c r="C1288" s="7">
        <v>3</v>
      </c>
      <c r="D1288" s="7">
        <v>2700057</v>
      </c>
      <c r="E1288" s="7">
        <v>1</v>
      </c>
      <c r="F1288" s="7">
        <v>1</v>
      </c>
    </row>
    <row r="1289" spans="1:6">
      <c r="A1289" s="7">
        <v>1284</v>
      </c>
      <c r="B1289" s="7">
        <v>600066</v>
      </c>
      <c r="C1289" s="7">
        <v>3</v>
      </c>
      <c r="D1289" s="7">
        <v>2700058</v>
      </c>
      <c r="E1289" s="7">
        <v>1</v>
      </c>
      <c r="F1289" s="7">
        <v>1</v>
      </c>
    </row>
    <row r="1290" spans="1:6">
      <c r="A1290" s="7">
        <v>1285</v>
      </c>
      <c r="B1290" s="7">
        <v>600067</v>
      </c>
      <c r="C1290" s="7">
        <v>3</v>
      </c>
      <c r="D1290" s="7">
        <v>2700059</v>
      </c>
      <c r="E1290" s="7">
        <v>1</v>
      </c>
      <c r="F1290" s="7">
        <v>1</v>
      </c>
    </row>
    <row r="1291" spans="1:6">
      <c r="A1291" s="7">
        <v>1286</v>
      </c>
      <c r="B1291" s="7">
        <v>600068</v>
      </c>
      <c r="C1291" s="7">
        <v>3</v>
      </c>
      <c r="D1291" s="7">
        <v>2700060</v>
      </c>
      <c r="E1291" s="7">
        <v>1</v>
      </c>
      <c r="F1291" s="7">
        <v>1</v>
      </c>
    </row>
    <row r="1292" spans="1:6">
      <c r="A1292" s="7">
        <v>1287</v>
      </c>
      <c r="B1292" s="7">
        <v>600069</v>
      </c>
      <c r="C1292" s="7">
        <v>3</v>
      </c>
      <c r="D1292" s="7">
        <v>2700061</v>
      </c>
      <c r="E1292" s="7">
        <v>1</v>
      </c>
      <c r="F1292" s="7">
        <v>1</v>
      </c>
    </row>
    <row r="1293" spans="1:6">
      <c r="A1293" s="7">
        <v>1288</v>
      </c>
      <c r="B1293" s="7">
        <v>600070</v>
      </c>
      <c r="C1293" s="7">
        <v>3</v>
      </c>
      <c r="D1293" s="7">
        <v>2700062</v>
      </c>
      <c r="E1293" s="7">
        <v>1</v>
      </c>
      <c r="F1293" s="7">
        <v>1</v>
      </c>
    </row>
    <row r="1294" spans="1:6">
      <c r="A1294" s="7">
        <v>1289</v>
      </c>
      <c r="B1294" s="7">
        <v>600071</v>
      </c>
      <c r="C1294" s="7">
        <v>3</v>
      </c>
      <c r="D1294" s="7">
        <v>2700063</v>
      </c>
      <c r="E1294" s="7">
        <v>1</v>
      </c>
      <c r="F1294" s="7">
        <v>1</v>
      </c>
    </row>
    <row r="1295" spans="1:6">
      <c r="A1295" s="7">
        <v>1290</v>
      </c>
      <c r="B1295" s="7">
        <v>600072</v>
      </c>
      <c r="C1295" s="7">
        <v>3</v>
      </c>
      <c r="D1295" s="7">
        <v>2700064</v>
      </c>
      <c r="E1295" s="7">
        <v>1</v>
      </c>
      <c r="F1295" s="7">
        <v>1</v>
      </c>
    </row>
    <row r="1296" spans="1:6">
      <c r="A1296" s="7">
        <v>1291</v>
      </c>
      <c r="B1296" s="7">
        <v>600073</v>
      </c>
      <c r="C1296" s="7">
        <v>3</v>
      </c>
      <c r="D1296" s="7">
        <v>2700065</v>
      </c>
      <c r="E1296" s="7">
        <v>1</v>
      </c>
      <c r="F1296" s="7">
        <v>1</v>
      </c>
    </row>
    <row r="1297" spans="1:6">
      <c r="A1297" s="7">
        <v>1292</v>
      </c>
      <c r="B1297" s="7">
        <v>600074</v>
      </c>
      <c r="C1297" s="7">
        <v>3</v>
      </c>
      <c r="D1297" s="7">
        <v>2700066</v>
      </c>
      <c r="E1297" s="7">
        <v>1</v>
      </c>
      <c r="F1297" s="7">
        <v>1</v>
      </c>
    </row>
    <row r="1298" spans="1:6">
      <c r="A1298" s="7">
        <v>1293</v>
      </c>
      <c r="B1298" s="7">
        <v>600075</v>
      </c>
      <c r="C1298" s="7">
        <v>3</v>
      </c>
      <c r="D1298" s="7">
        <v>2700067</v>
      </c>
      <c r="E1298" s="7">
        <v>1</v>
      </c>
      <c r="F1298" s="7">
        <v>1</v>
      </c>
    </row>
    <row r="1299" spans="1:6">
      <c r="A1299" s="7">
        <v>1294</v>
      </c>
      <c r="B1299" s="7">
        <v>600076</v>
      </c>
      <c r="C1299" s="7">
        <v>3</v>
      </c>
      <c r="D1299" s="7">
        <v>2700068</v>
      </c>
      <c r="E1299" s="7">
        <v>1</v>
      </c>
      <c r="F1299" s="7">
        <v>1</v>
      </c>
    </row>
    <row r="1300" spans="1:6">
      <c r="A1300" s="7">
        <v>1295</v>
      </c>
      <c r="B1300" s="7">
        <v>600077</v>
      </c>
      <c r="C1300" s="7">
        <v>3</v>
      </c>
      <c r="D1300" s="7">
        <v>2700069</v>
      </c>
      <c r="E1300" s="7">
        <v>1</v>
      </c>
      <c r="F1300" s="7">
        <v>1</v>
      </c>
    </row>
    <row r="1301" spans="1:6">
      <c r="A1301" s="7">
        <v>1296</v>
      </c>
      <c r="B1301" s="7">
        <v>600078</v>
      </c>
      <c r="C1301" s="7">
        <v>3</v>
      </c>
      <c r="D1301" s="7">
        <v>2700070</v>
      </c>
      <c r="E1301" s="7">
        <v>1</v>
      </c>
      <c r="F1301" s="7">
        <v>1</v>
      </c>
    </row>
    <row r="1302" spans="1:6">
      <c r="A1302" s="7">
        <v>1297</v>
      </c>
      <c r="B1302" s="7">
        <v>600079</v>
      </c>
      <c r="C1302" s="7">
        <v>3</v>
      </c>
      <c r="D1302" s="7">
        <v>2700071</v>
      </c>
      <c r="E1302" s="7">
        <v>1</v>
      </c>
      <c r="F1302" s="7">
        <v>1</v>
      </c>
    </row>
    <row r="1303" spans="1:6">
      <c r="A1303" s="7">
        <v>1298</v>
      </c>
      <c r="B1303" s="7">
        <v>600080</v>
      </c>
      <c r="C1303" s="7">
        <v>3</v>
      </c>
      <c r="D1303" s="7">
        <v>2700072</v>
      </c>
      <c r="E1303" s="7">
        <v>1</v>
      </c>
      <c r="F1303" s="7">
        <v>1</v>
      </c>
    </row>
    <row r="1304" spans="1:6">
      <c r="A1304" s="7">
        <v>1299</v>
      </c>
      <c r="B1304" s="7">
        <v>600081</v>
      </c>
      <c r="C1304" s="7">
        <v>3</v>
      </c>
      <c r="D1304" s="7">
        <v>2700073</v>
      </c>
      <c r="E1304" s="7">
        <v>1</v>
      </c>
      <c r="F1304" s="7">
        <v>1</v>
      </c>
    </row>
    <row r="1305" spans="1:6">
      <c r="A1305" s="7">
        <v>1300</v>
      </c>
      <c r="B1305" s="7">
        <v>600082</v>
      </c>
      <c r="C1305" s="7">
        <v>3</v>
      </c>
      <c r="D1305" s="7">
        <v>2700074</v>
      </c>
      <c r="E1305" s="7">
        <v>1</v>
      </c>
      <c r="F1305" s="7">
        <v>1</v>
      </c>
    </row>
    <row r="1306" spans="1:6">
      <c r="A1306" s="7">
        <v>1301</v>
      </c>
      <c r="B1306" s="7">
        <v>600083</v>
      </c>
      <c r="C1306" s="7">
        <v>3</v>
      </c>
      <c r="D1306" s="7">
        <v>2700075</v>
      </c>
      <c r="E1306" s="7">
        <v>1</v>
      </c>
      <c r="F1306" s="7">
        <v>1</v>
      </c>
    </row>
    <row r="1307" spans="1:6">
      <c r="A1307" s="7">
        <v>1302</v>
      </c>
      <c r="B1307" s="7">
        <v>600084</v>
      </c>
      <c r="C1307" s="7">
        <v>3</v>
      </c>
      <c r="D1307" s="7">
        <v>2700076</v>
      </c>
      <c r="E1307" s="7">
        <v>1</v>
      </c>
      <c r="F1307" s="7">
        <v>1</v>
      </c>
    </row>
    <row r="1308" spans="1:6">
      <c r="A1308" s="7">
        <v>1303</v>
      </c>
      <c r="B1308" s="7">
        <v>600085</v>
      </c>
      <c r="C1308" s="7">
        <v>3</v>
      </c>
      <c r="D1308" s="7">
        <v>2700077</v>
      </c>
      <c r="E1308" s="7">
        <v>1</v>
      </c>
      <c r="F1308" s="7">
        <v>1</v>
      </c>
    </row>
    <row r="1309" spans="1:6">
      <c r="A1309" s="7">
        <v>1304</v>
      </c>
      <c r="B1309" s="7">
        <v>600086</v>
      </c>
      <c r="C1309" s="7">
        <v>3</v>
      </c>
      <c r="D1309" s="7">
        <v>2700078</v>
      </c>
      <c r="E1309" s="7">
        <v>1</v>
      </c>
      <c r="F1309" s="7">
        <v>1</v>
      </c>
    </row>
    <row r="1310" spans="1:6">
      <c r="A1310" s="7">
        <v>1305</v>
      </c>
      <c r="B1310" s="7">
        <v>600087</v>
      </c>
      <c r="C1310" s="7">
        <v>3</v>
      </c>
      <c r="D1310" s="7">
        <v>2700079</v>
      </c>
      <c r="E1310" s="7">
        <v>1</v>
      </c>
      <c r="F1310" s="7">
        <v>1</v>
      </c>
    </row>
    <row r="1311" spans="1:6">
      <c r="A1311" s="7">
        <v>1306</v>
      </c>
      <c r="B1311" s="7">
        <v>600088</v>
      </c>
      <c r="C1311" s="7">
        <v>3</v>
      </c>
      <c r="D1311" s="7">
        <v>2700080</v>
      </c>
      <c r="E1311" s="7">
        <v>1</v>
      </c>
      <c r="F1311" s="7">
        <v>1</v>
      </c>
    </row>
    <row r="1312" spans="1:6">
      <c r="A1312" s="7">
        <v>1307</v>
      </c>
      <c r="B1312" s="7">
        <v>600089</v>
      </c>
      <c r="C1312" s="7">
        <v>3</v>
      </c>
      <c r="D1312" s="7">
        <v>2700081</v>
      </c>
      <c r="E1312" s="7">
        <v>1</v>
      </c>
      <c r="F1312" s="7">
        <v>1</v>
      </c>
    </row>
    <row r="1313" spans="1:6">
      <c r="A1313" s="7">
        <v>1308</v>
      </c>
      <c r="B1313" s="7">
        <v>600090</v>
      </c>
      <c r="C1313" s="7">
        <v>3</v>
      </c>
      <c r="D1313" s="7">
        <v>2700082</v>
      </c>
      <c r="E1313" s="7">
        <v>1</v>
      </c>
      <c r="F1313" s="7">
        <v>1</v>
      </c>
    </row>
    <row r="1314" spans="1:6">
      <c r="A1314" s="7">
        <v>1309</v>
      </c>
      <c r="B1314" s="7">
        <v>600091</v>
      </c>
      <c r="C1314" s="7">
        <v>3</v>
      </c>
      <c r="D1314" s="7">
        <v>2700083</v>
      </c>
      <c r="E1314" s="7">
        <v>1</v>
      </c>
      <c r="F1314" s="7">
        <v>1</v>
      </c>
    </row>
    <row r="1315" spans="1:6">
      <c r="A1315" s="7">
        <v>1310</v>
      </c>
      <c r="B1315" s="7">
        <v>600092</v>
      </c>
      <c r="C1315" s="7">
        <v>3</v>
      </c>
      <c r="D1315" s="7">
        <v>2700084</v>
      </c>
      <c r="E1315" s="7">
        <v>1</v>
      </c>
      <c r="F1315" s="7">
        <v>1</v>
      </c>
    </row>
    <row r="1316" spans="1:6">
      <c r="A1316" s="7">
        <v>1311</v>
      </c>
      <c r="B1316" s="7">
        <v>600093</v>
      </c>
      <c r="C1316" s="7">
        <v>3</v>
      </c>
      <c r="D1316" s="7">
        <v>2700085</v>
      </c>
      <c r="E1316" s="7">
        <v>1</v>
      </c>
      <c r="F1316" s="7">
        <v>1</v>
      </c>
    </row>
    <row r="1317" spans="1:6">
      <c r="A1317" s="7">
        <v>1312</v>
      </c>
      <c r="B1317" s="7">
        <v>600094</v>
      </c>
      <c r="C1317" s="7">
        <v>3</v>
      </c>
      <c r="D1317" s="7">
        <v>2700086</v>
      </c>
      <c r="E1317" s="7">
        <v>1</v>
      </c>
      <c r="F1317" s="7">
        <v>1</v>
      </c>
    </row>
    <row r="1318" spans="1:6">
      <c r="A1318" s="7">
        <v>1313</v>
      </c>
      <c r="B1318" s="7">
        <v>600095</v>
      </c>
      <c r="C1318" s="7">
        <v>3</v>
      </c>
      <c r="D1318" s="7">
        <v>2700087</v>
      </c>
      <c r="E1318" s="7">
        <v>1</v>
      </c>
      <c r="F1318" s="7">
        <v>1</v>
      </c>
    </row>
    <row r="1319" spans="1:6">
      <c r="A1319" s="7">
        <v>1314</v>
      </c>
      <c r="B1319" s="7">
        <v>600096</v>
      </c>
      <c r="C1319" s="7">
        <v>3</v>
      </c>
      <c r="D1319" s="7">
        <v>2700088</v>
      </c>
      <c r="E1319" s="7">
        <v>1</v>
      </c>
      <c r="F1319" s="7">
        <v>1</v>
      </c>
    </row>
    <row r="1320" spans="1:6">
      <c r="A1320" s="7">
        <v>1315</v>
      </c>
      <c r="B1320" s="7">
        <v>600097</v>
      </c>
      <c r="C1320" s="7">
        <v>3</v>
      </c>
      <c r="D1320" s="7">
        <v>2700089</v>
      </c>
      <c r="E1320" s="7">
        <v>1</v>
      </c>
      <c r="F1320" s="7">
        <v>1</v>
      </c>
    </row>
    <row r="1321" spans="1:6">
      <c r="A1321" s="7">
        <v>1316</v>
      </c>
      <c r="B1321" s="7">
        <v>600098</v>
      </c>
      <c r="C1321" s="7">
        <v>3</v>
      </c>
      <c r="D1321" s="7">
        <v>2700090</v>
      </c>
      <c r="E1321" s="7">
        <v>1</v>
      </c>
      <c r="F1321" s="7">
        <v>1</v>
      </c>
    </row>
    <row r="1322" spans="1:6">
      <c r="A1322" s="7">
        <v>1317</v>
      </c>
      <c r="B1322" s="7">
        <v>600099</v>
      </c>
      <c r="C1322" s="7">
        <v>3</v>
      </c>
      <c r="D1322" s="7">
        <v>2700091</v>
      </c>
      <c r="E1322" s="7">
        <v>1</v>
      </c>
      <c r="F1322" s="7">
        <v>1</v>
      </c>
    </row>
    <row r="1323" spans="1:6">
      <c r="A1323" s="7">
        <v>1318</v>
      </c>
      <c r="B1323" s="7">
        <v>600100</v>
      </c>
      <c r="C1323" s="7">
        <v>3</v>
      </c>
      <c r="D1323" s="7">
        <v>2700092</v>
      </c>
      <c r="E1323" s="7">
        <v>1</v>
      </c>
      <c r="F1323" s="7">
        <v>1</v>
      </c>
    </row>
    <row r="1324" spans="1:6">
      <c r="A1324" s="7">
        <v>1319</v>
      </c>
      <c r="B1324" s="7">
        <v>600101</v>
      </c>
      <c r="C1324" s="7">
        <v>3</v>
      </c>
      <c r="D1324" s="7">
        <v>2700093</v>
      </c>
      <c r="E1324" s="7">
        <v>1</v>
      </c>
      <c r="F1324" s="7">
        <v>1</v>
      </c>
    </row>
    <row r="1325" spans="1:6">
      <c r="A1325" s="7">
        <v>1320</v>
      </c>
      <c r="B1325" s="7">
        <v>600102</v>
      </c>
      <c r="C1325" s="7">
        <v>3</v>
      </c>
      <c r="D1325" s="7">
        <v>2700094</v>
      </c>
      <c r="E1325" s="7">
        <v>1</v>
      </c>
      <c r="F1325" s="7">
        <v>1</v>
      </c>
    </row>
    <row r="1326" spans="1:6">
      <c r="A1326" s="7">
        <v>1321</v>
      </c>
      <c r="B1326" s="7">
        <v>600103</v>
      </c>
      <c r="C1326" s="7">
        <v>3</v>
      </c>
      <c r="D1326" s="7">
        <v>2700095</v>
      </c>
      <c r="E1326" s="7">
        <v>1</v>
      </c>
      <c r="F1326" s="7">
        <v>1</v>
      </c>
    </row>
    <row r="1327" spans="1:6">
      <c r="A1327" s="7">
        <v>1322</v>
      </c>
      <c r="B1327" s="7">
        <v>600104</v>
      </c>
      <c r="C1327" s="7">
        <v>3</v>
      </c>
      <c r="D1327" s="7">
        <v>2700096</v>
      </c>
      <c r="E1327" s="7">
        <v>1</v>
      </c>
      <c r="F1327" s="7">
        <v>1</v>
      </c>
    </row>
    <row r="1328" spans="1:6">
      <c r="A1328" s="7">
        <v>1323</v>
      </c>
      <c r="B1328" s="7">
        <v>600105</v>
      </c>
      <c r="C1328" s="7">
        <v>3</v>
      </c>
      <c r="D1328" s="7">
        <v>2700097</v>
      </c>
      <c r="E1328" s="7">
        <v>1</v>
      </c>
      <c r="F1328" s="7">
        <v>1</v>
      </c>
    </row>
    <row r="1329" spans="1:6">
      <c r="A1329" s="7">
        <v>1324</v>
      </c>
      <c r="B1329" s="7">
        <v>600106</v>
      </c>
      <c r="C1329" s="7">
        <v>3</v>
      </c>
      <c r="D1329" s="7">
        <v>2700098</v>
      </c>
      <c r="E1329" s="7">
        <v>1</v>
      </c>
      <c r="F1329" s="7">
        <v>1</v>
      </c>
    </row>
    <row r="1330" spans="1:6">
      <c r="A1330" s="7">
        <v>1325</v>
      </c>
      <c r="B1330" s="7">
        <v>600107</v>
      </c>
      <c r="C1330" s="7">
        <v>3</v>
      </c>
      <c r="D1330" s="7">
        <v>2700099</v>
      </c>
      <c r="E1330" s="7">
        <v>1</v>
      </c>
      <c r="F1330" s="7">
        <v>1</v>
      </c>
    </row>
    <row r="1331" spans="1:6">
      <c r="A1331" s="7">
        <v>1326</v>
      </c>
      <c r="B1331" s="7">
        <v>600108</v>
      </c>
      <c r="C1331" s="7">
        <v>3</v>
      </c>
      <c r="D1331" s="7">
        <v>2700100</v>
      </c>
      <c r="E1331" s="7">
        <v>1</v>
      </c>
      <c r="F1331" s="7">
        <v>1</v>
      </c>
    </row>
    <row r="1332" spans="1:6">
      <c r="A1332" s="7">
        <v>1327</v>
      </c>
      <c r="B1332" s="7">
        <v>600109</v>
      </c>
      <c r="C1332" s="7">
        <v>3</v>
      </c>
      <c r="D1332" s="7">
        <v>2700101</v>
      </c>
      <c r="E1332" s="7">
        <v>1</v>
      </c>
      <c r="F1332" s="7">
        <v>1</v>
      </c>
    </row>
    <row r="1333" spans="1:6">
      <c r="A1333" s="7">
        <v>1328</v>
      </c>
      <c r="B1333" s="7">
        <v>600110</v>
      </c>
      <c r="C1333" s="7">
        <v>3</v>
      </c>
      <c r="D1333" s="7">
        <v>2700102</v>
      </c>
      <c r="E1333" s="7">
        <v>1</v>
      </c>
      <c r="F1333" s="7">
        <v>1</v>
      </c>
    </row>
    <row r="1334" spans="1:6">
      <c r="A1334" s="7">
        <v>1329</v>
      </c>
      <c r="B1334" s="7">
        <v>600111</v>
      </c>
      <c r="C1334" s="7">
        <v>3</v>
      </c>
      <c r="D1334" s="7">
        <v>2700103</v>
      </c>
      <c r="E1334" s="7">
        <v>1</v>
      </c>
      <c r="F1334" s="7">
        <v>1</v>
      </c>
    </row>
    <row r="1335" spans="1:6">
      <c r="A1335" s="7">
        <v>1330</v>
      </c>
      <c r="B1335" s="7">
        <v>600112</v>
      </c>
      <c r="C1335" s="7">
        <v>3</v>
      </c>
      <c r="D1335" s="7">
        <v>2700104</v>
      </c>
      <c r="E1335" s="7">
        <v>1</v>
      </c>
      <c r="F1335" s="7">
        <v>1</v>
      </c>
    </row>
    <row r="1336" spans="1:6">
      <c r="A1336" s="7">
        <v>1331</v>
      </c>
      <c r="B1336" s="7">
        <v>600113</v>
      </c>
      <c r="C1336" s="7">
        <v>3</v>
      </c>
      <c r="D1336" s="7">
        <v>2700105</v>
      </c>
      <c r="E1336" s="7">
        <v>1</v>
      </c>
      <c r="F1336" s="7">
        <v>1</v>
      </c>
    </row>
    <row r="1337" spans="1:6">
      <c r="A1337" s="7">
        <v>1332</v>
      </c>
      <c r="B1337" s="7">
        <v>600114</v>
      </c>
      <c r="C1337" s="7">
        <v>3</v>
      </c>
      <c r="D1337" s="7">
        <v>2700106</v>
      </c>
      <c r="E1337" s="7">
        <v>1</v>
      </c>
      <c r="F1337" s="7">
        <v>1</v>
      </c>
    </row>
    <row r="1338" spans="1:6">
      <c r="A1338" s="7">
        <v>1333</v>
      </c>
      <c r="B1338" s="7">
        <v>600115</v>
      </c>
      <c r="C1338" s="7">
        <v>3</v>
      </c>
      <c r="D1338" s="7">
        <v>2700107</v>
      </c>
      <c r="E1338" s="7">
        <v>1</v>
      </c>
      <c r="F1338" s="7">
        <v>1</v>
      </c>
    </row>
    <row r="1339" spans="1:6">
      <c r="A1339" s="7">
        <v>1334</v>
      </c>
      <c r="B1339" s="7">
        <v>600116</v>
      </c>
      <c r="C1339" s="7">
        <v>3</v>
      </c>
      <c r="D1339" s="7">
        <v>2700108</v>
      </c>
      <c r="E1339" s="7">
        <v>1</v>
      </c>
      <c r="F1339" s="7">
        <v>1</v>
      </c>
    </row>
    <row r="1340" spans="1:6">
      <c r="A1340" s="7">
        <v>1335</v>
      </c>
      <c r="B1340" s="7">
        <v>600117</v>
      </c>
      <c r="C1340" s="7">
        <v>3</v>
      </c>
      <c r="D1340" s="7">
        <v>2700109</v>
      </c>
      <c r="E1340" s="7">
        <v>1</v>
      </c>
      <c r="F1340" s="7">
        <v>1</v>
      </c>
    </row>
    <row r="1341" spans="1:6">
      <c r="A1341" s="7">
        <v>1336</v>
      </c>
      <c r="B1341" s="7">
        <v>600118</v>
      </c>
      <c r="C1341" s="7">
        <v>3</v>
      </c>
      <c r="D1341" s="7">
        <v>2700110</v>
      </c>
      <c r="E1341" s="7">
        <v>1</v>
      </c>
      <c r="F1341" s="7">
        <v>1</v>
      </c>
    </row>
    <row r="1342" spans="1:6">
      <c r="A1342" s="7">
        <v>1337</v>
      </c>
      <c r="B1342" s="7">
        <v>600119</v>
      </c>
      <c r="C1342" s="7">
        <v>3</v>
      </c>
      <c r="D1342" s="7">
        <v>2700111</v>
      </c>
      <c r="E1342" s="7">
        <v>1</v>
      </c>
      <c r="F1342" s="7">
        <v>1</v>
      </c>
    </row>
    <row r="1343" spans="1:6">
      <c r="A1343" s="7">
        <v>1338</v>
      </c>
      <c r="B1343" s="7">
        <v>600120</v>
      </c>
      <c r="C1343" s="7">
        <v>3</v>
      </c>
      <c r="D1343" s="7">
        <v>2700112</v>
      </c>
      <c r="E1343" s="7">
        <v>1</v>
      </c>
      <c r="F1343" s="7">
        <v>1</v>
      </c>
    </row>
    <row r="1344" spans="1:6">
      <c r="A1344" s="7">
        <v>1339</v>
      </c>
      <c r="B1344" s="7">
        <v>600121</v>
      </c>
      <c r="C1344" s="7">
        <v>3</v>
      </c>
      <c r="D1344" s="7">
        <v>2700113</v>
      </c>
      <c r="E1344" s="7">
        <v>1</v>
      </c>
      <c r="F1344" s="7">
        <v>1</v>
      </c>
    </row>
    <row r="1345" spans="1:6">
      <c r="A1345" s="7">
        <v>1340</v>
      </c>
      <c r="B1345" s="7">
        <v>600122</v>
      </c>
      <c r="C1345" s="7">
        <v>3</v>
      </c>
      <c r="D1345" s="7">
        <v>2700114</v>
      </c>
      <c r="E1345" s="7">
        <v>1</v>
      </c>
      <c r="F1345" s="7">
        <v>1</v>
      </c>
    </row>
    <row r="1346" spans="1:6">
      <c r="A1346" s="7">
        <v>1341</v>
      </c>
      <c r="B1346" s="7">
        <v>600123</v>
      </c>
      <c r="C1346" s="7">
        <v>3</v>
      </c>
      <c r="D1346" s="7">
        <v>2700115</v>
      </c>
      <c r="E1346" s="7">
        <v>1</v>
      </c>
      <c r="F1346" s="7">
        <v>1</v>
      </c>
    </row>
    <row r="1347" spans="1:6">
      <c r="A1347" s="7">
        <v>1342</v>
      </c>
      <c r="B1347" s="7">
        <v>600124</v>
      </c>
      <c r="C1347" s="7">
        <v>3</v>
      </c>
      <c r="D1347" s="7">
        <v>2700116</v>
      </c>
      <c r="E1347" s="7">
        <v>1</v>
      </c>
      <c r="F1347" s="7">
        <v>1</v>
      </c>
    </row>
    <row r="1348" spans="1:6">
      <c r="A1348" s="7">
        <v>1343</v>
      </c>
      <c r="B1348" s="7">
        <v>600125</v>
      </c>
      <c r="C1348" s="7">
        <v>3</v>
      </c>
      <c r="D1348" s="7">
        <v>2700117</v>
      </c>
      <c r="E1348" s="7">
        <v>1</v>
      </c>
      <c r="F1348" s="7">
        <v>1</v>
      </c>
    </row>
    <row r="1349" spans="1:6">
      <c r="A1349" s="7">
        <v>1344</v>
      </c>
      <c r="B1349" s="7">
        <v>600126</v>
      </c>
      <c r="C1349" s="7">
        <v>3</v>
      </c>
      <c r="D1349" s="7">
        <v>2700118</v>
      </c>
      <c r="E1349" s="7">
        <v>1</v>
      </c>
      <c r="F1349" s="7">
        <v>1</v>
      </c>
    </row>
    <row r="1350" spans="1:6">
      <c r="A1350" s="7">
        <v>1345</v>
      </c>
      <c r="B1350" s="7">
        <v>600127</v>
      </c>
      <c r="C1350" s="7">
        <v>3</v>
      </c>
      <c r="D1350" s="7">
        <v>2700119</v>
      </c>
      <c r="E1350" s="7">
        <v>1</v>
      </c>
      <c r="F1350" s="7">
        <v>1</v>
      </c>
    </row>
    <row r="1351" spans="1:6">
      <c r="A1351" s="7">
        <v>1346</v>
      </c>
      <c r="B1351" s="7">
        <v>600128</v>
      </c>
      <c r="C1351" s="7">
        <v>3</v>
      </c>
      <c r="D1351" s="7">
        <v>2700120</v>
      </c>
      <c r="E1351" s="7">
        <v>1</v>
      </c>
      <c r="F1351" s="7">
        <v>1</v>
      </c>
    </row>
    <row r="1352" spans="1:6">
      <c r="A1352" s="7">
        <v>1347</v>
      </c>
      <c r="B1352" s="7">
        <v>600129</v>
      </c>
      <c r="C1352" s="7">
        <v>3</v>
      </c>
      <c r="D1352" s="7">
        <v>2700121</v>
      </c>
      <c r="E1352" s="7">
        <v>1</v>
      </c>
      <c r="F1352" s="7">
        <v>1</v>
      </c>
    </row>
    <row r="1353" spans="1:6">
      <c r="A1353" s="7">
        <v>1348</v>
      </c>
      <c r="B1353" s="7">
        <v>600130</v>
      </c>
      <c r="C1353" s="7">
        <v>3</v>
      </c>
      <c r="D1353" s="7">
        <v>2700122</v>
      </c>
      <c r="E1353" s="7">
        <v>1</v>
      </c>
      <c r="F1353" s="7">
        <v>1</v>
      </c>
    </row>
    <row r="1354" spans="1:6">
      <c r="A1354" s="7">
        <v>1349</v>
      </c>
      <c r="B1354" s="7">
        <v>600131</v>
      </c>
      <c r="C1354" s="7">
        <v>3</v>
      </c>
      <c r="D1354" s="7">
        <v>2700123</v>
      </c>
      <c r="E1354" s="7">
        <v>1</v>
      </c>
      <c r="F1354" s="7">
        <v>1</v>
      </c>
    </row>
    <row r="1355" spans="1:6">
      <c r="A1355" s="7">
        <v>1350</v>
      </c>
      <c r="B1355" s="7">
        <v>600132</v>
      </c>
      <c r="C1355" s="7">
        <v>3</v>
      </c>
      <c r="D1355" s="7">
        <v>2700124</v>
      </c>
      <c r="E1355" s="7">
        <v>1</v>
      </c>
      <c r="F1355" s="7">
        <v>1</v>
      </c>
    </row>
    <row r="1356" spans="1:6">
      <c r="A1356" s="7">
        <v>1351</v>
      </c>
      <c r="B1356" s="7">
        <v>600133</v>
      </c>
      <c r="C1356" s="7">
        <v>3</v>
      </c>
      <c r="D1356" s="7">
        <v>2700125</v>
      </c>
      <c r="E1356" s="7">
        <v>1</v>
      </c>
      <c r="F1356" s="7">
        <v>1</v>
      </c>
    </row>
    <row r="1357" spans="1:6">
      <c r="A1357" s="7">
        <v>1352</v>
      </c>
      <c r="B1357" s="7">
        <v>600134</v>
      </c>
      <c r="C1357" s="7">
        <v>3</v>
      </c>
      <c r="D1357" s="7">
        <v>2700126</v>
      </c>
      <c r="E1357" s="7">
        <v>1</v>
      </c>
      <c r="F1357" s="7">
        <v>1</v>
      </c>
    </row>
    <row r="1358" spans="1:6">
      <c r="A1358" s="7">
        <v>1353</v>
      </c>
      <c r="B1358" s="7">
        <v>600135</v>
      </c>
      <c r="C1358" s="7">
        <v>3</v>
      </c>
      <c r="D1358" s="7">
        <v>2700127</v>
      </c>
      <c r="E1358" s="7">
        <v>1</v>
      </c>
      <c r="F1358" s="7">
        <v>1</v>
      </c>
    </row>
    <row r="1359" spans="1:6">
      <c r="A1359" s="7">
        <v>1354</v>
      </c>
      <c r="B1359" s="7">
        <v>600136</v>
      </c>
      <c r="C1359" s="7">
        <v>3</v>
      </c>
      <c r="D1359" s="7">
        <v>2700128</v>
      </c>
      <c r="E1359" s="7">
        <v>1</v>
      </c>
      <c r="F1359" s="7">
        <v>1</v>
      </c>
    </row>
    <row r="1360" spans="1:6">
      <c r="A1360" s="7">
        <v>1355</v>
      </c>
      <c r="B1360" s="7">
        <v>600137</v>
      </c>
      <c r="C1360" s="7">
        <v>3</v>
      </c>
      <c r="D1360" s="7">
        <v>2700129</v>
      </c>
      <c r="E1360" s="7">
        <v>1</v>
      </c>
      <c r="F1360" s="7">
        <v>1</v>
      </c>
    </row>
    <row r="1361" spans="1:6">
      <c r="A1361" s="7">
        <v>1356</v>
      </c>
      <c r="B1361" s="7">
        <v>600138</v>
      </c>
      <c r="C1361" s="7">
        <v>3</v>
      </c>
      <c r="D1361" s="7">
        <v>2700130</v>
      </c>
      <c r="E1361" s="7">
        <v>1</v>
      </c>
      <c r="F1361" s="7">
        <v>1</v>
      </c>
    </row>
    <row r="1362" spans="1:6">
      <c r="A1362" s="7">
        <v>1357</v>
      </c>
      <c r="B1362" s="7">
        <v>600139</v>
      </c>
      <c r="C1362" s="7">
        <v>3</v>
      </c>
      <c r="D1362" s="7">
        <v>2700131</v>
      </c>
      <c r="E1362" s="7">
        <v>1</v>
      </c>
      <c r="F1362" s="7">
        <v>1</v>
      </c>
    </row>
    <row r="1363" spans="1:6">
      <c r="A1363" s="7">
        <v>1358</v>
      </c>
      <c r="B1363" s="7">
        <v>600140</v>
      </c>
      <c r="C1363" s="7">
        <v>3</v>
      </c>
      <c r="D1363" s="7">
        <v>2700132</v>
      </c>
      <c r="E1363" s="7">
        <v>1</v>
      </c>
      <c r="F1363" s="7">
        <v>1</v>
      </c>
    </row>
    <row r="1364" spans="1:6">
      <c r="A1364" s="7">
        <v>1359</v>
      </c>
      <c r="B1364" s="7">
        <v>600141</v>
      </c>
      <c r="C1364" s="7">
        <v>3</v>
      </c>
      <c r="D1364" s="7">
        <v>2700133</v>
      </c>
      <c r="E1364" s="7">
        <v>1</v>
      </c>
      <c r="F1364" s="7">
        <v>1</v>
      </c>
    </row>
    <row r="1365" spans="1:6">
      <c r="A1365" s="7">
        <v>1360</v>
      </c>
      <c r="B1365" s="7">
        <v>600142</v>
      </c>
      <c r="C1365" s="7">
        <v>3</v>
      </c>
      <c r="D1365" s="7">
        <v>2700134</v>
      </c>
      <c r="E1365" s="7">
        <v>1</v>
      </c>
      <c r="F1365" s="7">
        <v>1</v>
      </c>
    </row>
    <row r="1366" spans="1:6">
      <c r="A1366" s="7">
        <v>1361</v>
      </c>
      <c r="B1366" s="7">
        <v>600143</v>
      </c>
      <c r="C1366" s="7">
        <v>3</v>
      </c>
      <c r="D1366" s="7">
        <v>2700135</v>
      </c>
      <c r="E1366" s="7">
        <v>1</v>
      </c>
      <c r="F1366" s="7">
        <v>1</v>
      </c>
    </row>
    <row r="1367" spans="1:6">
      <c r="A1367" s="7">
        <v>1362</v>
      </c>
      <c r="B1367" s="7">
        <v>600144</v>
      </c>
      <c r="C1367" s="7">
        <v>3</v>
      </c>
      <c r="D1367" s="7">
        <v>2700136</v>
      </c>
      <c r="E1367" s="7">
        <v>1</v>
      </c>
      <c r="F1367" s="7">
        <v>1</v>
      </c>
    </row>
    <row r="1368" spans="1:6">
      <c r="A1368" s="7">
        <v>1363</v>
      </c>
      <c r="B1368" s="7">
        <v>600145</v>
      </c>
      <c r="C1368" s="7">
        <v>3</v>
      </c>
      <c r="D1368" s="7">
        <v>2800001</v>
      </c>
      <c r="E1368" s="7">
        <v>1</v>
      </c>
      <c r="F1368" s="7">
        <v>1</v>
      </c>
    </row>
    <row r="1369" spans="1:6">
      <c r="A1369" s="7">
        <v>1364</v>
      </c>
      <c r="B1369" s="7">
        <v>600146</v>
      </c>
      <c r="C1369" s="7">
        <v>3</v>
      </c>
      <c r="D1369" s="7">
        <v>2800002</v>
      </c>
      <c r="E1369" s="7">
        <v>1</v>
      </c>
      <c r="F1369" s="7">
        <v>1</v>
      </c>
    </row>
    <row r="1370" spans="1:6">
      <c r="A1370" s="7">
        <v>1365</v>
      </c>
      <c r="B1370" s="7">
        <v>600147</v>
      </c>
      <c r="C1370" s="7">
        <v>3</v>
      </c>
      <c r="D1370" s="7">
        <v>2800003</v>
      </c>
      <c r="E1370" s="7">
        <v>1</v>
      </c>
      <c r="F1370" s="7">
        <v>1</v>
      </c>
    </row>
    <row r="1371" spans="1:6">
      <c r="A1371" s="7">
        <v>1366</v>
      </c>
      <c r="B1371" s="7">
        <v>600148</v>
      </c>
      <c r="C1371" s="7">
        <v>3</v>
      </c>
      <c r="D1371" s="7">
        <v>2800004</v>
      </c>
      <c r="E1371" s="7">
        <v>1</v>
      </c>
      <c r="F1371" s="7">
        <v>1</v>
      </c>
    </row>
    <row r="1372" spans="1:6">
      <c r="A1372" s="7">
        <v>1367</v>
      </c>
      <c r="B1372" s="7">
        <v>600149</v>
      </c>
      <c r="C1372" s="7">
        <v>3</v>
      </c>
      <c r="D1372" s="7">
        <v>2800005</v>
      </c>
      <c r="E1372" s="7">
        <v>1</v>
      </c>
      <c r="F1372" s="7">
        <v>1</v>
      </c>
    </row>
    <row r="1373" spans="1:6">
      <c r="A1373" s="7">
        <v>1368</v>
      </c>
      <c r="B1373" s="7">
        <v>600150</v>
      </c>
      <c r="C1373" s="7">
        <v>3</v>
      </c>
      <c r="D1373" s="7">
        <v>2900001</v>
      </c>
      <c r="E1373" s="7">
        <v>1</v>
      </c>
      <c r="F1373" s="7">
        <v>1</v>
      </c>
    </row>
    <row r="1374" spans="1:6">
      <c r="A1374" s="7">
        <v>1369</v>
      </c>
      <c r="B1374" s="7">
        <v>600151</v>
      </c>
      <c r="C1374" s="7">
        <v>3</v>
      </c>
      <c r="D1374" s="7">
        <v>2900002</v>
      </c>
      <c r="E1374" s="7">
        <v>1</v>
      </c>
      <c r="F1374" s="7">
        <v>1</v>
      </c>
    </row>
    <row r="1375" spans="1:6">
      <c r="A1375" s="7">
        <v>1370</v>
      </c>
      <c r="B1375" s="7">
        <v>600152</v>
      </c>
      <c r="C1375" s="7">
        <v>3</v>
      </c>
      <c r="D1375" s="7">
        <v>2900003</v>
      </c>
      <c r="E1375" s="7">
        <v>1</v>
      </c>
      <c r="F1375" s="7">
        <v>1</v>
      </c>
    </row>
    <row r="1376" spans="1:6">
      <c r="A1376" s="7">
        <v>1371</v>
      </c>
      <c r="B1376" s="7">
        <v>600153</v>
      </c>
      <c r="C1376" s="7">
        <v>3</v>
      </c>
      <c r="D1376" s="7">
        <v>2900004</v>
      </c>
      <c r="E1376" s="7">
        <v>1</v>
      </c>
      <c r="F1376" s="7">
        <v>1</v>
      </c>
    </row>
    <row r="1377" spans="1:6">
      <c r="A1377" s="7">
        <v>1372</v>
      </c>
      <c r="B1377" s="7">
        <v>600154</v>
      </c>
      <c r="C1377" s="7">
        <v>3</v>
      </c>
      <c r="D1377" s="7">
        <v>2900005</v>
      </c>
      <c r="E1377" s="7">
        <v>1</v>
      </c>
      <c r="F1377" s="7">
        <v>1</v>
      </c>
    </row>
    <row r="1378" spans="1:6">
      <c r="A1378" s="7">
        <v>1373</v>
      </c>
      <c r="B1378" s="7">
        <v>600155</v>
      </c>
      <c r="C1378" s="7">
        <v>3</v>
      </c>
      <c r="D1378" s="7">
        <v>2900006</v>
      </c>
      <c r="E1378" s="7">
        <v>1</v>
      </c>
      <c r="F1378" s="7">
        <v>1</v>
      </c>
    </row>
    <row r="1379" spans="1:6">
      <c r="A1379" s="7">
        <v>1374</v>
      </c>
      <c r="B1379" s="7">
        <v>600156</v>
      </c>
      <c r="C1379" s="7">
        <v>3</v>
      </c>
      <c r="D1379" s="7">
        <v>2900007</v>
      </c>
      <c r="E1379" s="7">
        <v>1</v>
      </c>
      <c r="F1379" s="7">
        <v>1</v>
      </c>
    </row>
    <row r="1380" spans="1:6">
      <c r="A1380" s="7">
        <v>1375</v>
      </c>
      <c r="B1380" s="7">
        <v>600157</v>
      </c>
      <c r="C1380" s="7">
        <v>3</v>
      </c>
      <c r="D1380" s="7">
        <v>2900008</v>
      </c>
      <c r="E1380" s="7">
        <v>1</v>
      </c>
      <c r="F1380" s="7">
        <v>1</v>
      </c>
    </row>
    <row r="1381" spans="1:6">
      <c r="A1381" s="7">
        <v>1376</v>
      </c>
      <c r="B1381" s="7">
        <v>600158</v>
      </c>
      <c r="C1381" s="7">
        <v>3</v>
      </c>
      <c r="D1381" s="7">
        <v>2900009</v>
      </c>
      <c r="E1381" s="7">
        <v>1</v>
      </c>
      <c r="F1381" s="7">
        <v>1</v>
      </c>
    </row>
    <row r="1382" spans="1:6">
      <c r="A1382" s="7">
        <v>1377</v>
      </c>
      <c r="B1382" s="7">
        <v>600159</v>
      </c>
      <c r="C1382" s="7">
        <v>3</v>
      </c>
      <c r="D1382" s="7">
        <v>2900010</v>
      </c>
      <c r="E1382" s="7">
        <v>1</v>
      </c>
      <c r="F1382" s="7">
        <v>1</v>
      </c>
    </row>
    <row r="1383" spans="1:6">
      <c r="A1383" s="7">
        <v>1378</v>
      </c>
      <c r="B1383" s="7">
        <v>600160</v>
      </c>
      <c r="C1383" s="7">
        <v>3</v>
      </c>
      <c r="D1383" s="7">
        <v>2900011</v>
      </c>
      <c r="E1383" s="7">
        <v>1</v>
      </c>
      <c r="F1383" s="7">
        <v>1</v>
      </c>
    </row>
    <row r="1384" spans="1:6">
      <c r="A1384" s="7">
        <v>1379</v>
      </c>
      <c r="B1384" s="7">
        <v>600161</v>
      </c>
      <c r="C1384" s="7">
        <v>3</v>
      </c>
      <c r="D1384" s="7">
        <v>2900012</v>
      </c>
      <c r="E1384" s="7">
        <v>1</v>
      </c>
      <c r="F1384" s="7">
        <v>1</v>
      </c>
    </row>
    <row r="1385" spans="1:6">
      <c r="A1385" s="7">
        <v>1380</v>
      </c>
      <c r="B1385" s="7">
        <v>600162</v>
      </c>
      <c r="C1385" s="7">
        <v>3</v>
      </c>
      <c r="D1385" s="7">
        <v>2900013</v>
      </c>
      <c r="E1385" s="7">
        <v>1</v>
      </c>
      <c r="F1385" s="7">
        <v>1</v>
      </c>
    </row>
    <row r="1386" spans="1:6">
      <c r="A1386" s="7">
        <v>1381</v>
      </c>
      <c r="B1386" s="7">
        <v>600163</v>
      </c>
      <c r="C1386" s="7">
        <v>3</v>
      </c>
      <c r="D1386" s="7">
        <v>2900014</v>
      </c>
      <c r="E1386" s="7">
        <v>1</v>
      </c>
      <c r="F1386" s="7">
        <v>1</v>
      </c>
    </row>
    <row r="1387" spans="1:6">
      <c r="A1387" s="7">
        <v>1382</v>
      </c>
      <c r="B1387" s="7">
        <v>600164</v>
      </c>
      <c r="C1387" s="7">
        <v>3</v>
      </c>
      <c r="D1387" s="7">
        <v>2900015</v>
      </c>
      <c r="E1387" s="7">
        <v>1</v>
      </c>
      <c r="F1387" s="7">
        <v>1</v>
      </c>
    </row>
    <row r="1388" spans="1:6">
      <c r="A1388" s="7">
        <v>1383</v>
      </c>
      <c r="B1388" s="7">
        <v>600165</v>
      </c>
      <c r="C1388" s="7">
        <v>3</v>
      </c>
      <c r="D1388" s="7">
        <v>2900016</v>
      </c>
      <c r="E1388" s="7">
        <v>1</v>
      </c>
      <c r="F1388" s="7">
        <v>1</v>
      </c>
    </row>
    <row r="1389" spans="1:6">
      <c r="A1389" s="7">
        <v>1384</v>
      </c>
      <c r="B1389" s="7">
        <v>600166</v>
      </c>
      <c r="C1389" s="7">
        <v>3</v>
      </c>
      <c r="D1389" s="7">
        <v>2900017</v>
      </c>
      <c r="E1389" s="7">
        <v>1</v>
      </c>
      <c r="F1389" s="7">
        <v>1</v>
      </c>
    </row>
    <row r="1390" spans="1:6">
      <c r="A1390" s="7">
        <v>1385</v>
      </c>
      <c r="B1390" s="7">
        <v>600167</v>
      </c>
      <c r="C1390" s="7">
        <v>3</v>
      </c>
      <c r="D1390" s="7">
        <v>2900018</v>
      </c>
      <c r="E1390" s="7">
        <v>1</v>
      </c>
      <c r="F1390" s="7">
        <v>1</v>
      </c>
    </row>
    <row r="1391" spans="1:6">
      <c r="A1391" s="7">
        <v>1386</v>
      </c>
      <c r="B1391" s="7">
        <v>600168</v>
      </c>
      <c r="C1391" s="7">
        <v>3</v>
      </c>
      <c r="D1391" s="7">
        <v>2900019</v>
      </c>
      <c r="E1391" s="7">
        <v>1</v>
      </c>
      <c r="F1391" s="7">
        <v>1</v>
      </c>
    </row>
    <row r="1392" spans="1:6">
      <c r="A1392" s="7">
        <v>1387</v>
      </c>
      <c r="B1392" s="7">
        <v>600169</v>
      </c>
      <c r="C1392" s="7">
        <v>3</v>
      </c>
      <c r="D1392" s="7">
        <v>2900020</v>
      </c>
      <c r="E1392" s="7">
        <v>1</v>
      </c>
      <c r="F1392" s="7">
        <v>1</v>
      </c>
    </row>
    <row r="1393" spans="1:6">
      <c r="A1393" s="7">
        <v>1388</v>
      </c>
      <c r="B1393" s="7">
        <v>600170</v>
      </c>
      <c r="C1393" s="7">
        <v>3</v>
      </c>
      <c r="D1393" s="7">
        <v>2900021</v>
      </c>
      <c r="E1393" s="7">
        <v>1</v>
      </c>
      <c r="F1393" s="7">
        <v>1</v>
      </c>
    </row>
    <row r="1394" spans="1:6">
      <c r="A1394" s="7">
        <v>1389</v>
      </c>
      <c r="B1394" s="7">
        <v>600171</v>
      </c>
      <c r="C1394" s="7">
        <v>3</v>
      </c>
      <c r="D1394" s="7">
        <v>2900022</v>
      </c>
      <c r="E1394" s="7">
        <v>1</v>
      </c>
      <c r="F1394" s="7">
        <v>1</v>
      </c>
    </row>
    <row r="1395" spans="1:6">
      <c r="A1395" s="7">
        <v>1390</v>
      </c>
      <c r="B1395" s="7">
        <v>600172</v>
      </c>
      <c r="C1395" s="7">
        <v>3</v>
      </c>
      <c r="D1395" s="7">
        <v>2900023</v>
      </c>
      <c r="E1395" s="7">
        <v>1</v>
      </c>
      <c r="F1395" s="7">
        <v>1</v>
      </c>
    </row>
    <row r="1396" spans="1:6">
      <c r="A1396" s="7">
        <v>1391</v>
      </c>
      <c r="B1396" s="7">
        <v>600173</v>
      </c>
      <c r="C1396" s="7">
        <v>3</v>
      </c>
      <c r="D1396" s="7">
        <v>2900024</v>
      </c>
      <c r="E1396" s="7">
        <v>1</v>
      </c>
      <c r="F1396" s="7">
        <v>1</v>
      </c>
    </row>
    <row r="1397" spans="1:6">
      <c r="A1397" s="7">
        <v>1392</v>
      </c>
      <c r="B1397" s="7">
        <v>600174</v>
      </c>
      <c r="C1397" s="7">
        <v>3</v>
      </c>
      <c r="D1397" s="7">
        <v>2900025</v>
      </c>
      <c r="E1397" s="7">
        <v>1</v>
      </c>
      <c r="F1397" s="7">
        <v>1</v>
      </c>
    </row>
    <row r="1398" spans="1:6">
      <c r="A1398" s="7">
        <v>1393</v>
      </c>
      <c r="B1398" s="7">
        <v>600175</v>
      </c>
      <c r="C1398" s="7">
        <v>3</v>
      </c>
      <c r="D1398" s="7">
        <v>2900026</v>
      </c>
      <c r="E1398" s="7">
        <v>1</v>
      </c>
      <c r="F1398" s="7">
        <v>1</v>
      </c>
    </row>
    <row r="1399" spans="1:6">
      <c r="A1399" s="7">
        <v>1394</v>
      </c>
      <c r="B1399" s="7">
        <v>600176</v>
      </c>
      <c r="C1399" s="7">
        <v>3</v>
      </c>
      <c r="D1399" s="7">
        <v>2900027</v>
      </c>
      <c r="E1399" s="7">
        <v>1</v>
      </c>
      <c r="F1399" s="7">
        <v>1</v>
      </c>
    </row>
    <row r="1400" spans="1:6">
      <c r="A1400" s="7">
        <v>1395</v>
      </c>
      <c r="B1400" s="7">
        <v>600177</v>
      </c>
      <c r="C1400" s="7">
        <v>3</v>
      </c>
      <c r="D1400" s="7">
        <v>2900028</v>
      </c>
      <c r="E1400" s="7">
        <v>1</v>
      </c>
      <c r="F1400" s="7">
        <v>1</v>
      </c>
    </row>
    <row r="1401" spans="1:6">
      <c r="A1401" s="7">
        <v>1396</v>
      </c>
      <c r="B1401" s="7">
        <v>600178</v>
      </c>
      <c r="C1401" s="7">
        <v>3</v>
      </c>
      <c r="D1401" s="7">
        <v>2900029</v>
      </c>
      <c r="E1401" s="7">
        <v>1</v>
      </c>
      <c r="F1401" s="7">
        <v>1</v>
      </c>
    </row>
    <row r="1402" spans="1:6">
      <c r="A1402" s="7">
        <v>1397</v>
      </c>
      <c r="B1402" s="7">
        <v>600179</v>
      </c>
      <c r="C1402" s="7">
        <v>3</v>
      </c>
      <c r="D1402" s="7">
        <v>2900030</v>
      </c>
      <c r="E1402" s="7">
        <v>1</v>
      </c>
      <c r="F1402" s="7">
        <v>1</v>
      </c>
    </row>
    <row r="1403" spans="1:6">
      <c r="A1403" s="7">
        <v>1398</v>
      </c>
      <c r="B1403" s="7">
        <v>600180</v>
      </c>
      <c r="C1403" s="7">
        <v>3</v>
      </c>
      <c r="D1403" s="7">
        <v>2900031</v>
      </c>
      <c r="E1403" s="7">
        <v>1</v>
      </c>
      <c r="F1403" s="7">
        <v>1</v>
      </c>
    </row>
    <row r="1404" spans="1:6">
      <c r="A1404" s="7">
        <v>1399</v>
      </c>
      <c r="B1404" s="7">
        <v>600181</v>
      </c>
      <c r="C1404" s="7">
        <v>3</v>
      </c>
      <c r="D1404" s="7">
        <v>2900032</v>
      </c>
      <c r="E1404" s="7">
        <v>1</v>
      </c>
      <c r="F1404" s="7">
        <v>1</v>
      </c>
    </row>
    <row r="1405" spans="1:6">
      <c r="A1405" s="7">
        <v>1400</v>
      </c>
      <c r="B1405" s="7">
        <v>600182</v>
      </c>
      <c r="C1405" s="7">
        <v>3</v>
      </c>
      <c r="D1405" s="7">
        <v>2900033</v>
      </c>
      <c r="E1405" s="7">
        <v>1</v>
      </c>
      <c r="F1405" s="7">
        <v>1</v>
      </c>
    </row>
    <row r="1406" spans="1:6">
      <c r="A1406" s="7">
        <v>1401</v>
      </c>
      <c r="B1406" s="7">
        <v>600183</v>
      </c>
      <c r="C1406" s="7">
        <v>3</v>
      </c>
      <c r="D1406" s="7">
        <v>2900034</v>
      </c>
      <c r="E1406" s="7">
        <v>1</v>
      </c>
      <c r="F1406" s="7">
        <v>1</v>
      </c>
    </row>
    <row r="1407" spans="1:6">
      <c r="A1407" s="7">
        <v>1402</v>
      </c>
      <c r="B1407" s="7">
        <v>600184</v>
      </c>
      <c r="C1407" s="7">
        <v>3</v>
      </c>
      <c r="D1407" s="7">
        <v>2900035</v>
      </c>
      <c r="E1407" s="7">
        <v>1</v>
      </c>
      <c r="F1407" s="7">
        <v>1</v>
      </c>
    </row>
    <row r="1408" spans="1:6">
      <c r="A1408" s="7">
        <v>1403</v>
      </c>
      <c r="B1408" s="7">
        <v>600185</v>
      </c>
      <c r="C1408" s="7">
        <v>3</v>
      </c>
      <c r="D1408" s="7">
        <v>2900036</v>
      </c>
      <c r="E1408" s="7">
        <v>1</v>
      </c>
      <c r="F1408" s="7">
        <v>1</v>
      </c>
    </row>
    <row r="1409" spans="1:6">
      <c r="A1409" s="7">
        <v>1404</v>
      </c>
      <c r="B1409" s="7">
        <v>600186</v>
      </c>
      <c r="C1409" s="7">
        <v>3</v>
      </c>
      <c r="D1409" s="7">
        <v>2900037</v>
      </c>
      <c r="E1409" s="7">
        <v>1</v>
      </c>
      <c r="F1409" s="7">
        <v>1</v>
      </c>
    </row>
    <row r="1410" spans="1:6">
      <c r="A1410" s="7">
        <v>1405</v>
      </c>
      <c r="B1410" s="7">
        <v>600187</v>
      </c>
      <c r="C1410" s="7">
        <v>3</v>
      </c>
      <c r="D1410" s="7">
        <v>2900038</v>
      </c>
      <c r="E1410" s="7">
        <v>1</v>
      </c>
      <c r="F1410" s="7">
        <v>1</v>
      </c>
    </row>
    <row r="1411" spans="1:6">
      <c r="A1411" s="7">
        <v>1406</v>
      </c>
      <c r="B1411" s="7">
        <v>600188</v>
      </c>
      <c r="C1411" s="7">
        <v>3</v>
      </c>
      <c r="D1411" s="7">
        <v>2900039</v>
      </c>
      <c r="E1411" s="7">
        <v>1</v>
      </c>
      <c r="F1411" s="7">
        <v>1</v>
      </c>
    </row>
    <row r="1412" spans="1:6">
      <c r="A1412" s="7">
        <v>1407</v>
      </c>
      <c r="B1412" s="7">
        <v>600189</v>
      </c>
      <c r="C1412" s="7">
        <v>3</v>
      </c>
      <c r="D1412" s="7">
        <v>2900040</v>
      </c>
      <c r="E1412" s="7">
        <v>1</v>
      </c>
      <c r="F1412" s="7">
        <v>1</v>
      </c>
    </row>
    <row r="1413" spans="1:6">
      <c r="A1413" s="7">
        <v>1408</v>
      </c>
      <c r="B1413" s="7">
        <v>600190</v>
      </c>
      <c r="C1413" s="7">
        <v>3</v>
      </c>
      <c r="D1413" s="7">
        <v>2900041</v>
      </c>
      <c r="E1413" s="7">
        <v>1</v>
      </c>
      <c r="F1413" s="7">
        <v>1</v>
      </c>
    </row>
    <row r="1414" spans="1:6">
      <c r="A1414" s="7">
        <v>1409</v>
      </c>
      <c r="B1414" s="7">
        <v>600191</v>
      </c>
      <c r="C1414" s="7">
        <v>3</v>
      </c>
      <c r="D1414" s="7">
        <v>2900042</v>
      </c>
      <c r="E1414" s="7">
        <v>1</v>
      </c>
      <c r="F1414" s="7">
        <v>1</v>
      </c>
    </row>
    <row r="1415" spans="1:6">
      <c r="A1415" s="7">
        <v>1410</v>
      </c>
      <c r="B1415" s="7">
        <v>600192</v>
      </c>
      <c r="C1415" s="7">
        <v>3</v>
      </c>
      <c r="D1415" s="7">
        <v>2900043</v>
      </c>
      <c r="E1415" s="7">
        <v>1</v>
      </c>
      <c r="F1415" s="7">
        <v>1</v>
      </c>
    </row>
    <row r="1416" spans="1:6">
      <c r="A1416" s="7">
        <v>1411</v>
      </c>
      <c r="B1416" s="7">
        <v>600193</v>
      </c>
      <c r="C1416" s="7">
        <v>3</v>
      </c>
      <c r="D1416" s="7">
        <v>2900044</v>
      </c>
      <c r="E1416" s="7">
        <v>1</v>
      </c>
      <c r="F1416" s="7">
        <v>1</v>
      </c>
    </row>
    <row r="1417" spans="1:6">
      <c r="A1417" s="7">
        <v>1412</v>
      </c>
      <c r="B1417" s="7">
        <v>600194</v>
      </c>
      <c r="C1417" s="7">
        <v>3</v>
      </c>
      <c r="D1417" s="7">
        <v>2900045</v>
      </c>
      <c r="E1417" s="7">
        <v>1</v>
      </c>
      <c r="F1417" s="7">
        <v>1</v>
      </c>
    </row>
    <row r="1418" spans="1:6">
      <c r="A1418" s="7">
        <v>1413</v>
      </c>
      <c r="B1418" s="7">
        <v>600195</v>
      </c>
      <c r="C1418" s="7">
        <v>3</v>
      </c>
      <c r="D1418" s="7">
        <v>2900046</v>
      </c>
      <c r="E1418" s="7">
        <v>1</v>
      </c>
      <c r="F1418" s="7">
        <v>1</v>
      </c>
    </row>
    <row r="1419" spans="1:6">
      <c r="A1419" s="7">
        <v>1414</v>
      </c>
      <c r="B1419" s="7">
        <v>600196</v>
      </c>
      <c r="C1419" s="7">
        <v>3</v>
      </c>
      <c r="D1419" s="7">
        <v>2900047</v>
      </c>
      <c r="E1419" s="7">
        <v>1</v>
      </c>
      <c r="F1419" s="7">
        <v>1</v>
      </c>
    </row>
    <row r="1420" spans="1:6">
      <c r="A1420" s="7">
        <v>1415</v>
      </c>
      <c r="B1420" s="7">
        <v>600197</v>
      </c>
      <c r="C1420" s="7">
        <v>3</v>
      </c>
      <c r="D1420" s="7">
        <v>2900048</v>
      </c>
      <c r="E1420" s="7">
        <v>1</v>
      </c>
      <c r="F1420" s="7">
        <v>1</v>
      </c>
    </row>
    <row r="1421" spans="1:6">
      <c r="A1421" s="7">
        <v>1416</v>
      </c>
      <c r="B1421" s="7">
        <v>600198</v>
      </c>
      <c r="C1421" s="7">
        <v>3</v>
      </c>
      <c r="D1421" s="7">
        <v>2900049</v>
      </c>
      <c r="E1421" s="7">
        <v>1</v>
      </c>
      <c r="F1421" s="7">
        <v>1</v>
      </c>
    </row>
    <row r="1422" spans="1:6">
      <c r="A1422" s="7">
        <v>1417</v>
      </c>
      <c r="B1422" s="7">
        <v>600199</v>
      </c>
      <c r="C1422" s="7">
        <v>3</v>
      </c>
      <c r="D1422" s="7">
        <v>2900050</v>
      </c>
      <c r="E1422" s="7">
        <v>1</v>
      </c>
      <c r="F1422" s="7">
        <v>1</v>
      </c>
    </row>
    <row r="1423" spans="1:6">
      <c r="A1423" s="7">
        <v>1418</v>
      </c>
      <c r="B1423" s="7">
        <v>600200</v>
      </c>
      <c r="C1423" s="7">
        <v>3</v>
      </c>
      <c r="D1423" s="7">
        <v>2900051</v>
      </c>
      <c r="E1423" s="7">
        <v>1</v>
      </c>
      <c r="F1423" s="7">
        <v>1</v>
      </c>
    </row>
    <row r="1424" spans="1:6">
      <c r="A1424" s="7">
        <v>1419</v>
      </c>
      <c r="B1424" s="7">
        <v>600201</v>
      </c>
      <c r="C1424" s="7">
        <v>3</v>
      </c>
      <c r="D1424" s="7">
        <v>2900052</v>
      </c>
      <c r="E1424" s="7">
        <v>1</v>
      </c>
      <c r="F1424" s="7">
        <v>1</v>
      </c>
    </row>
    <row r="1425" spans="1:6">
      <c r="A1425" s="7">
        <v>1420</v>
      </c>
      <c r="B1425" s="7">
        <v>600202</v>
      </c>
      <c r="C1425" s="7">
        <v>3</v>
      </c>
      <c r="D1425" s="7">
        <v>2900053</v>
      </c>
      <c r="E1425" s="7">
        <v>1</v>
      </c>
      <c r="F1425" s="7">
        <v>1</v>
      </c>
    </row>
    <row r="1426" spans="1:6">
      <c r="A1426" s="7">
        <v>1421</v>
      </c>
      <c r="B1426" s="7">
        <v>600203</v>
      </c>
      <c r="C1426" s="7">
        <v>3</v>
      </c>
      <c r="D1426" s="7">
        <v>2900054</v>
      </c>
      <c r="E1426" s="7">
        <v>1</v>
      </c>
      <c r="F1426" s="7">
        <v>1</v>
      </c>
    </row>
    <row r="1427" spans="1:6">
      <c r="A1427" s="7">
        <v>1422</v>
      </c>
      <c r="B1427" s="7">
        <v>600204</v>
      </c>
      <c r="C1427" s="7">
        <v>3</v>
      </c>
      <c r="D1427" s="7">
        <v>2900055</v>
      </c>
      <c r="E1427" s="7">
        <v>1</v>
      </c>
      <c r="F1427" s="7">
        <v>1</v>
      </c>
    </row>
    <row r="1428" spans="1:6">
      <c r="A1428" s="7">
        <v>1423</v>
      </c>
      <c r="B1428" s="7">
        <v>600205</v>
      </c>
      <c r="C1428" s="7">
        <v>3</v>
      </c>
      <c r="D1428" s="7">
        <v>2900056</v>
      </c>
      <c r="E1428" s="7">
        <v>1</v>
      </c>
      <c r="F1428" s="7">
        <v>1</v>
      </c>
    </row>
    <row r="1429" spans="1:6">
      <c r="A1429" s="7">
        <v>1424</v>
      </c>
      <c r="B1429" s="7">
        <v>600206</v>
      </c>
      <c r="C1429" s="7">
        <v>3</v>
      </c>
      <c r="D1429" s="7">
        <v>2900057</v>
      </c>
      <c r="E1429" s="7">
        <v>1</v>
      </c>
      <c r="F1429" s="7">
        <v>1</v>
      </c>
    </row>
    <row r="1430" spans="1:6">
      <c r="A1430" s="7">
        <v>1425</v>
      </c>
      <c r="B1430" s="7">
        <v>600207</v>
      </c>
      <c r="C1430" s="7">
        <v>3</v>
      </c>
      <c r="D1430" s="7">
        <v>2900058</v>
      </c>
      <c r="E1430" s="7">
        <v>1</v>
      </c>
      <c r="F1430" s="7">
        <v>1</v>
      </c>
    </row>
    <row r="1431" spans="1:6">
      <c r="A1431" s="7">
        <v>1426</v>
      </c>
      <c r="B1431" s="7">
        <v>600208</v>
      </c>
      <c r="C1431" s="7">
        <v>3</v>
      </c>
      <c r="D1431" s="7">
        <v>2900059</v>
      </c>
      <c r="E1431" s="7">
        <v>1</v>
      </c>
      <c r="F1431" s="7">
        <v>1</v>
      </c>
    </row>
    <row r="1432" spans="1:6">
      <c r="A1432" s="7">
        <v>1427</v>
      </c>
      <c r="B1432" s="7">
        <v>600209</v>
      </c>
      <c r="C1432" s="7">
        <v>3</v>
      </c>
      <c r="D1432" s="7">
        <v>2900060</v>
      </c>
      <c r="E1432" s="7">
        <v>1</v>
      </c>
      <c r="F1432" s="7">
        <v>1</v>
      </c>
    </row>
    <row r="1433" spans="1:6">
      <c r="A1433" s="7">
        <v>1428</v>
      </c>
      <c r="B1433" s="7">
        <v>600210</v>
      </c>
      <c r="C1433" s="7">
        <v>3</v>
      </c>
      <c r="D1433" s="7">
        <v>2900061</v>
      </c>
      <c r="E1433" s="7">
        <v>1</v>
      </c>
      <c r="F1433" s="7">
        <v>1</v>
      </c>
    </row>
    <row r="1434" spans="1:6">
      <c r="A1434" s="7">
        <v>1429</v>
      </c>
      <c r="B1434" s="7">
        <v>600211</v>
      </c>
      <c r="C1434" s="7">
        <v>3</v>
      </c>
      <c r="D1434" s="7">
        <v>2900062</v>
      </c>
      <c r="E1434" s="7">
        <v>1</v>
      </c>
      <c r="F1434" s="7">
        <v>1</v>
      </c>
    </row>
    <row r="1435" spans="1:6">
      <c r="A1435" s="7">
        <v>1430</v>
      </c>
      <c r="B1435" s="7">
        <v>600212</v>
      </c>
      <c r="C1435" s="7">
        <v>3</v>
      </c>
      <c r="D1435" s="7">
        <v>2900063</v>
      </c>
      <c r="E1435" s="7">
        <v>1</v>
      </c>
      <c r="F1435" s="7">
        <v>1</v>
      </c>
    </row>
    <row r="1436" spans="1:6">
      <c r="A1436" s="7">
        <v>1431</v>
      </c>
      <c r="B1436" s="7">
        <v>600213</v>
      </c>
      <c r="C1436" s="7">
        <v>3</v>
      </c>
      <c r="D1436" s="7">
        <v>2900064</v>
      </c>
      <c r="E1436" s="7">
        <v>1</v>
      </c>
      <c r="F1436" s="7">
        <v>1</v>
      </c>
    </row>
    <row r="1437" spans="1:6">
      <c r="A1437" s="7">
        <v>1432</v>
      </c>
      <c r="B1437" s="7">
        <v>600214</v>
      </c>
      <c r="C1437" s="7">
        <v>3</v>
      </c>
      <c r="D1437" s="7">
        <v>2900065</v>
      </c>
      <c r="E1437" s="7">
        <v>1</v>
      </c>
      <c r="F1437" s="7">
        <v>1</v>
      </c>
    </row>
    <row r="1438" spans="1:6">
      <c r="A1438" s="7">
        <v>1433</v>
      </c>
      <c r="B1438" s="7">
        <v>600215</v>
      </c>
      <c r="C1438" s="7">
        <v>3</v>
      </c>
      <c r="D1438" s="7">
        <v>2900066</v>
      </c>
      <c r="E1438" s="7">
        <v>1</v>
      </c>
      <c r="F1438" s="7">
        <v>1</v>
      </c>
    </row>
    <row r="1439" spans="1:6">
      <c r="A1439" s="7">
        <v>1434</v>
      </c>
      <c r="B1439" s="7">
        <v>600216</v>
      </c>
      <c r="C1439" s="7">
        <v>3</v>
      </c>
      <c r="D1439" s="7">
        <v>2900067</v>
      </c>
      <c r="E1439" s="7">
        <v>1</v>
      </c>
      <c r="F1439" s="7">
        <v>1</v>
      </c>
    </row>
    <row r="1440" spans="1:6">
      <c r="A1440" s="7">
        <v>1435</v>
      </c>
      <c r="B1440" s="7">
        <v>600217</v>
      </c>
      <c r="C1440" s="7">
        <v>3</v>
      </c>
      <c r="D1440" s="7">
        <v>2900068</v>
      </c>
      <c r="E1440" s="7">
        <v>1</v>
      </c>
      <c r="F1440" s="7">
        <v>1</v>
      </c>
    </row>
    <row r="1441" spans="1:6">
      <c r="A1441" s="7">
        <v>1436</v>
      </c>
      <c r="B1441" s="7">
        <v>600218</v>
      </c>
      <c r="C1441" s="7">
        <v>3</v>
      </c>
      <c r="D1441" s="7">
        <v>2900069</v>
      </c>
      <c r="E1441" s="7">
        <v>1</v>
      </c>
      <c r="F1441" s="7">
        <v>1</v>
      </c>
    </row>
    <row r="1442" spans="1:6">
      <c r="A1442" s="7">
        <v>1437</v>
      </c>
      <c r="B1442" s="7">
        <v>600219</v>
      </c>
      <c r="C1442" s="7">
        <v>3</v>
      </c>
      <c r="D1442" s="7">
        <v>2900070</v>
      </c>
      <c r="E1442" s="7">
        <v>1</v>
      </c>
      <c r="F1442" s="7">
        <v>1</v>
      </c>
    </row>
    <row r="1443" spans="1:6">
      <c r="A1443" s="7">
        <v>1438</v>
      </c>
      <c r="B1443" s="7">
        <v>600220</v>
      </c>
      <c r="C1443" s="7">
        <v>3</v>
      </c>
      <c r="D1443" s="7">
        <v>2900071</v>
      </c>
      <c r="E1443" s="7">
        <v>1</v>
      </c>
      <c r="F1443" s="7">
        <v>1</v>
      </c>
    </row>
    <row r="1444" spans="1:6">
      <c r="A1444" s="7">
        <v>1439</v>
      </c>
      <c r="B1444" s="7">
        <v>600221</v>
      </c>
      <c r="C1444" s="7">
        <v>3</v>
      </c>
      <c r="D1444" s="7">
        <v>2900072</v>
      </c>
      <c r="E1444" s="7">
        <v>1</v>
      </c>
      <c r="F1444" s="7">
        <v>1</v>
      </c>
    </row>
    <row r="1445" spans="1:6">
      <c r="A1445" s="7">
        <v>1440</v>
      </c>
      <c r="B1445" s="7">
        <v>600222</v>
      </c>
      <c r="C1445" s="7">
        <v>3</v>
      </c>
      <c r="D1445" s="7">
        <v>2900073</v>
      </c>
      <c r="E1445" s="7">
        <v>1</v>
      </c>
      <c r="F1445" s="7">
        <v>1</v>
      </c>
    </row>
    <row r="1446" spans="1:6">
      <c r="A1446" s="7">
        <v>1441</v>
      </c>
      <c r="B1446" s="7">
        <v>600223</v>
      </c>
      <c r="C1446" s="7">
        <v>3</v>
      </c>
      <c r="D1446" s="7">
        <v>2900074</v>
      </c>
      <c r="E1446" s="7">
        <v>1</v>
      </c>
      <c r="F1446" s="7">
        <v>1</v>
      </c>
    </row>
    <row r="1447" spans="1:6">
      <c r="A1447" s="7">
        <v>1442</v>
      </c>
      <c r="B1447" s="7">
        <v>600224</v>
      </c>
      <c r="C1447" s="7">
        <v>3</v>
      </c>
      <c r="D1447" s="7">
        <v>2900075</v>
      </c>
      <c r="E1447" s="7">
        <v>1</v>
      </c>
      <c r="F1447" s="7">
        <v>1</v>
      </c>
    </row>
    <row r="1448" spans="1:6">
      <c r="A1448" s="7">
        <v>1443</v>
      </c>
      <c r="B1448" s="7">
        <v>600225</v>
      </c>
      <c r="C1448" s="7">
        <v>3</v>
      </c>
      <c r="D1448" s="7">
        <v>2900076</v>
      </c>
      <c r="E1448" s="7">
        <v>1</v>
      </c>
      <c r="F1448" s="7">
        <v>1</v>
      </c>
    </row>
    <row r="1449" spans="1:6">
      <c r="A1449" s="7">
        <v>1444</v>
      </c>
      <c r="B1449" s="7">
        <v>600226</v>
      </c>
      <c r="C1449" s="7">
        <v>3</v>
      </c>
      <c r="D1449" s="7">
        <v>2900077</v>
      </c>
      <c r="E1449" s="7">
        <v>1</v>
      </c>
      <c r="F1449" s="7">
        <v>1</v>
      </c>
    </row>
    <row r="1450" spans="1:6">
      <c r="A1450" s="7">
        <v>1445</v>
      </c>
      <c r="B1450" s="7">
        <v>600227</v>
      </c>
      <c r="C1450" s="7">
        <v>3</v>
      </c>
      <c r="D1450" s="7">
        <v>2900078</v>
      </c>
      <c r="E1450" s="7">
        <v>1</v>
      </c>
      <c r="F1450" s="7">
        <v>1</v>
      </c>
    </row>
    <row r="1451" spans="1:6">
      <c r="A1451" s="7">
        <v>1446</v>
      </c>
      <c r="B1451" s="7">
        <v>600228</v>
      </c>
      <c r="C1451" s="7">
        <v>3</v>
      </c>
      <c r="D1451" s="7">
        <v>2900079</v>
      </c>
      <c r="E1451" s="7">
        <v>1</v>
      </c>
      <c r="F1451" s="7">
        <v>1</v>
      </c>
    </row>
    <row r="1452" spans="1:6">
      <c r="A1452" s="7">
        <v>1447</v>
      </c>
      <c r="B1452" s="7">
        <v>600229</v>
      </c>
      <c r="C1452" s="7">
        <v>3</v>
      </c>
      <c r="D1452" s="7">
        <v>2900080</v>
      </c>
      <c r="E1452" s="7">
        <v>1</v>
      </c>
      <c r="F1452" s="7">
        <v>1</v>
      </c>
    </row>
    <row r="1453" spans="1:6">
      <c r="A1453" s="7">
        <v>1448</v>
      </c>
      <c r="B1453" s="7">
        <v>600230</v>
      </c>
      <c r="C1453" s="7">
        <v>3</v>
      </c>
      <c r="D1453" s="7">
        <v>3200001</v>
      </c>
      <c r="E1453" s="7">
        <v>1</v>
      </c>
      <c r="F1453" s="7">
        <v>1</v>
      </c>
    </row>
    <row r="1454" spans="1:6">
      <c r="A1454" s="7">
        <v>1449</v>
      </c>
      <c r="B1454" s="7">
        <v>600231</v>
      </c>
      <c r="C1454" s="7">
        <v>3</v>
      </c>
      <c r="D1454" s="7">
        <v>3200002</v>
      </c>
      <c r="E1454" s="7">
        <v>1</v>
      </c>
      <c r="F1454" s="7">
        <v>1</v>
      </c>
    </row>
    <row r="1455" spans="1:6">
      <c r="A1455" s="7">
        <v>1450</v>
      </c>
      <c r="B1455" s="7">
        <v>600232</v>
      </c>
      <c r="C1455" s="7">
        <v>3</v>
      </c>
      <c r="D1455" s="7">
        <v>3200003</v>
      </c>
      <c r="E1455" s="7">
        <v>1</v>
      </c>
      <c r="F1455" s="7">
        <v>1</v>
      </c>
    </row>
    <row r="1456" spans="1:6">
      <c r="A1456" s="7">
        <v>1451</v>
      </c>
      <c r="B1456" s="7">
        <v>600233</v>
      </c>
      <c r="C1456" s="7">
        <v>3</v>
      </c>
      <c r="D1456" s="7">
        <v>3200004</v>
      </c>
      <c r="E1456" s="7">
        <v>1</v>
      </c>
      <c r="F1456" s="7">
        <v>1</v>
      </c>
    </row>
    <row r="1457" spans="1:6">
      <c r="A1457" s="7">
        <v>1452</v>
      </c>
      <c r="B1457" s="7">
        <v>600234</v>
      </c>
      <c r="C1457" s="7">
        <v>3</v>
      </c>
      <c r="D1457" s="7">
        <v>3200005</v>
      </c>
      <c r="E1457" s="7">
        <v>1</v>
      </c>
      <c r="F1457" s="7">
        <v>1</v>
      </c>
    </row>
    <row r="1458" spans="1:6">
      <c r="A1458" s="7">
        <v>1453</v>
      </c>
      <c r="B1458" s="7">
        <v>600235</v>
      </c>
      <c r="C1458" s="7">
        <v>3</v>
      </c>
      <c r="D1458" s="7">
        <v>3200006</v>
      </c>
      <c r="E1458" s="7">
        <v>1</v>
      </c>
      <c r="F1458" s="7">
        <v>1</v>
      </c>
    </row>
    <row r="1459" spans="1:6">
      <c r="A1459" s="7">
        <v>1454</v>
      </c>
      <c r="B1459" s="7">
        <v>600236</v>
      </c>
      <c r="C1459" s="7">
        <v>3</v>
      </c>
      <c r="D1459" s="7">
        <v>3200007</v>
      </c>
      <c r="E1459" s="7">
        <v>1</v>
      </c>
      <c r="F1459" s="7">
        <v>1</v>
      </c>
    </row>
    <row r="1460" spans="1:6">
      <c r="A1460" s="7">
        <v>1455</v>
      </c>
      <c r="B1460" s="7">
        <v>600237</v>
      </c>
      <c r="C1460" s="7">
        <v>3</v>
      </c>
      <c r="D1460" s="7">
        <v>3200008</v>
      </c>
      <c r="E1460" s="7">
        <v>1</v>
      </c>
      <c r="F1460" s="7">
        <v>1</v>
      </c>
    </row>
    <row r="1461" spans="1:6">
      <c r="A1461" s="7">
        <v>1456</v>
      </c>
      <c r="B1461" s="7">
        <v>600238</v>
      </c>
      <c r="C1461" s="7">
        <v>3</v>
      </c>
      <c r="D1461" s="7">
        <v>3200009</v>
      </c>
      <c r="E1461" s="7">
        <v>1</v>
      </c>
      <c r="F1461" s="7">
        <v>1</v>
      </c>
    </row>
    <row r="1462" spans="1:6">
      <c r="A1462" s="7">
        <v>1457</v>
      </c>
      <c r="B1462" s="7">
        <v>600239</v>
      </c>
      <c r="C1462" s="7">
        <v>3</v>
      </c>
      <c r="D1462" s="7">
        <v>3200010</v>
      </c>
      <c r="E1462" s="7">
        <v>1</v>
      </c>
      <c r="F1462" s="7">
        <v>1</v>
      </c>
    </row>
    <row r="1463" spans="1:6">
      <c r="A1463" s="7">
        <v>1458</v>
      </c>
      <c r="B1463" s="7">
        <v>600240</v>
      </c>
      <c r="C1463" s="7">
        <v>3</v>
      </c>
      <c r="D1463" s="7">
        <v>3200011</v>
      </c>
      <c r="E1463" s="7">
        <v>1</v>
      </c>
      <c r="F1463" s="7">
        <v>1</v>
      </c>
    </row>
    <row r="1464" spans="1:6">
      <c r="A1464" s="7">
        <v>1459</v>
      </c>
      <c r="B1464" s="7">
        <v>600241</v>
      </c>
      <c r="C1464" s="7">
        <v>3</v>
      </c>
      <c r="D1464" s="7">
        <v>3200012</v>
      </c>
      <c r="E1464" s="7">
        <v>1</v>
      </c>
      <c r="F1464" s="7">
        <v>1</v>
      </c>
    </row>
    <row r="1465" spans="1:6">
      <c r="A1465" s="7">
        <v>1460</v>
      </c>
      <c r="B1465" s="7">
        <v>600242</v>
      </c>
      <c r="C1465" s="7">
        <v>3</v>
      </c>
      <c r="D1465" s="7">
        <v>3200013</v>
      </c>
      <c r="E1465" s="7">
        <v>1</v>
      </c>
      <c r="F1465" s="7">
        <v>1</v>
      </c>
    </row>
    <row r="1466" spans="1:6">
      <c r="A1466" s="7">
        <v>1461</v>
      </c>
      <c r="B1466" s="7">
        <v>600243</v>
      </c>
      <c r="C1466" s="7">
        <v>3</v>
      </c>
      <c r="D1466" s="7">
        <v>3200014</v>
      </c>
      <c r="E1466" s="7">
        <v>1</v>
      </c>
      <c r="F1466" s="7">
        <v>1</v>
      </c>
    </row>
    <row r="1467" spans="1:6">
      <c r="A1467" s="7">
        <v>1462</v>
      </c>
      <c r="B1467" s="7">
        <v>600244</v>
      </c>
      <c r="C1467" s="7">
        <v>3</v>
      </c>
      <c r="D1467" s="7">
        <v>3200015</v>
      </c>
      <c r="E1467" s="7">
        <v>1</v>
      </c>
      <c r="F1467" s="7">
        <v>1</v>
      </c>
    </row>
    <row r="1468" spans="1:6">
      <c r="A1468" s="7">
        <v>1463</v>
      </c>
      <c r="B1468" s="7">
        <v>600245</v>
      </c>
      <c r="C1468" s="7">
        <v>3</v>
      </c>
      <c r="D1468" s="7">
        <v>3200016</v>
      </c>
      <c r="E1468" s="7">
        <v>1</v>
      </c>
      <c r="F1468" s="7">
        <v>1</v>
      </c>
    </row>
    <row r="1469" spans="1:6">
      <c r="A1469" s="7">
        <v>1464</v>
      </c>
      <c r="B1469" s="7">
        <v>600246</v>
      </c>
      <c r="C1469" s="7">
        <v>3</v>
      </c>
      <c r="D1469" s="7">
        <v>3200017</v>
      </c>
      <c r="E1469" s="7">
        <v>1</v>
      </c>
      <c r="F1469" s="7">
        <v>1</v>
      </c>
    </row>
    <row r="1470" spans="1:6">
      <c r="A1470" s="7">
        <v>1465</v>
      </c>
      <c r="B1470" s="7">
        <v>600247</v>
      </c>
      <c r="C1470" s="7">
        <v>3</v>
      </c>
      <c r="D1470" s="7">
        <v>3200018</v>
      </c>
      <c r="E1470" s="7">
        <v>1</v>
      </c>
      <c r="F1470" s="7">
        <v>1</v>
      </c>
    </row>
    <row r="1471" spans="1:6">
      <c r="A1471" s="7">
        <v>1466</v>
      </c>
      <c r="B1471" s="7">
        <v>600248</v>
      </c>
      <c r="C1471" s="7">
        <v>3</v>
      </c>
      <c r="D1471" s="7">
        <v>3200019</v>
      </c>
      <c r="E1471" s="7">
        <v>1</v>
      </c>
      <c r="F1471" s="7">
        <v>1</v>
      </c>
    </row>
    <row r="1472" spans="1:6">
      <c r="A1472" s="7">
        <v>1467</v>
      </c>
      <c r="B1472" s="7">
        <v>600249</v>
      </c>
      <c r="C1472" s="7">
        <v>3</v>
      </c>
      <c r="D1472" s="7">
        <v>3200020</v>
      </c>
      <c r="E1472" s="7">
        <v>1</v>
      </c>
      <c r="F1472" s="7">
        <v>1</v>
      </c>
    </row>
    <row r="1473" spans="1:6">
      <c r="A1473" s="7">
        <v>1468</v>
      </c>
      <c r="B1473" s="7">
        <v>600250</v>
      </c>
      <c r="C1473" s="7">
        <v>3</v>
      </c>
      <c r="D1473" s="7">
        <v>3200021</v>
      </c>
      <c r="E1473" s="7">
        <v>1</v>
      </c>
      <c r="F1473" s="7">
        <v>1</v>
      </c>
    </row>
    <row r="1474" spans="1:6">
      <c r="A1474" s="7">
        <v>1469</v>
      </c>
      <c r="B1474" s="7">
        <v>600251</v>
      </c>
      <c r="C1474" s="7">
        <v>3</v>
      </c>
      <c r="D1474" s="7">
        <v>3200022</v>
      </c>
      <c r="E1474" s="7">
        <v>1</v>
      </c>
      <c r="F1474" s="7">
        <v>1</v>
      </c>
    </row>
    <row r="1475" spans="1:6">
      <c r="A1475" s="7">
        <v>1470</v>
      </c>
      <c r="B1475" s="7">
        <v>600252</v>
      </c>
      <c r="C1475" s="7">
        <v>3</v>
      </c>
      <c r="D1475" s="7">
        <v>3200023</v>
      </c>
      <c r="E1475" s="7">
        <v>1</v>
      </c>
      <c r="F1475" s="7">
        <v>1</v>
      </c>
    </row>
    <row r="1476" spans="1:6">
      <c r="A1476" s="7">
        <v>1471</v>
      </c>
      <c r="B1476" s="7">
        <v>600253</v>
      </c>
      <c r="C1476" s="7">
        <v>3</v>
      </c>
      <c r="D1476" s="7">
        <v>3200024</v>
      </c>
      <c r="E1476" s="7">
        <v>1</v>
      </c>
      <c r="F1476" s="7">
        <v>1</v>
      </c>
    </row>
    <row r="1477" spans="1:6">
      <c r="A1477" s="7">
        <v>1472</v>
      </c>
      <c r="B1477" s="7">
        <v>600254</v>
      </c>
      <c r="C1477" s="7">
        <v>3</v>
      </c>
      <c r="D1477" s="7">
        <v>3200025</v>
      </c>
      <c r="E1477" s="7">
        <v>1</v>
      </c>
      <c r="F1477" s="7">
        <v>1</v>
      </c>
    </row>
    <row r="1478" spans="1:6">
      <c r="A1478" s="7">
        <v>1473</v>
      </c>
      <c r="B1478" s="7">
        <v>600255</v>
      </c>
      <c r="C1478" s="7">
        <v>3</v>
      </c>
      <c r="D1478" s="7">
        <v>3200026</v>
      </c>
      <c r="E1478" s="7">
        <v>1</v>
      </c>
      <c r="F1478" s="7">
        <v>1</v>
      </c>
    </row>
    <row r="1479" spans="1:6">
      <c r="A1479" s="7">
        <v>1474</v>
      </c>
      <c r="B1479" s="7">
        <v>600256</v>
      </c>
      <c r="C1479" s="7">
        <v>3</v>
      </c>
      <c r="D1479" s="7">
        <v>3200027</v>
      </c>
      <c r="E1479" s="7">
        <v>1</v>
      </c>
      <c r="F1479" s="7">
        <v>1</v>
      </c>
    </row>
    <row r="1480" spans="1:6">
      <c r="A1480" s="7">
        <v>1475</v>
      </c>
      <c r="B1480" s="7">
        <v>600257</v>
      </c>
      <c r="C1480" s="7">
        <v>3</v>
      </c>
      <c r="D1480" s="7">
        <v>3200028</v>
      </c>
      <c r="E1480" s="7">
        <v>1</v>
      </c>
      <c r="F1480" s="7">
        <v>1</v>
      </c>
    </row>
    <row r="1481" spans="1:6">
      <c r="A1481" s="7">
        <v>1476</v>
      </c>
      <c r="B1481" s="7">
        <v>600258</v>
      </c>
      <c r="C1481" s="7">
        <v>3</v>
      </c>
      <c r="D1481" s="7">
        <v>3200029</v>
      </c>
      <c r="E1481" s="7">
        <v>1</v>
      </c>
      <c r="F1481" s="7">
        <v>1</v>
      </c>
    </row>
    <row r="1482" spans="1:6">
      <c r="A1482" s="7">
        <v>1477</v>
      </c>
      <c r="B1482" s="7">
        <v>600259</v>
      </c>
      <c r="C1482" s="7">
        <v>3</v>
      </c>
      <c r="D1482" s="7">
        <v>3200030</v>
      </c>
      <c r="E1482" s="7">
        <v>1</v>
      </c>
      <c r="F1482" s="7">
        <v>1</v>
      </c>
    </row>
    <row r="1483" spans="1:6">
      <c r="A1483" s="7">
        <v>1478</v>
      </c>
      <c r="B1483" s="7">
        <v>600260</v>
      </c>
      <c r="C1483" s="7">
        <v>3</v>
      </c>
      <c r="D1483" s="7">
        <v>3200031</v>
      </c>
      <c r="E1483" s="7">
        <v>1</v>
      </c>
      <c r="F1483" s="7">
        <v>1</v>
      </c>
    </row>
    <row r="1484" spans="1:6">
      <c r="A1484" s="7">
        <v>1479</v>
      </c>
      <c r="B1484" s="7">
        <v>600261</v>
      </c>
      <c r="C1484" s="7">
        <v>3</v>
      </c>
      <c r="D1484" s="7">
        <v>3200032</v>
      </c>
      <c r="E1484" s="7">
        <v>1</v>
      </c>
      <c r="F1484" s="7">
        <v>1</v>
      </c>
    </row>
    <row r="1485" spans="1:6">
      <c r="A1485" s="7">
        <v>1480</v>
      </c>
      <c r="B1485" s="7">
        <v>600262</v>
      </c>
      <c r="C1485" s="7">
        <v>3</v>
      </c>
      <c r="D1485" s="7">
        <v>3200033</v>
      </c>
      <c r="E1485" s="7">
        <v>1</v>
      </c>
      <c r="F1485" s="7">
        <v>1</v>
      </c>
    </row>
    <row r="1486" spans="1:6">
      <c r="A1486" s="7">
        <v>1481</v>
      </c>
      <c r="B1486" s="7">
        <v>600263</v>
      </c>
      <c r="C1486" s="7">
        <v>3</v>
      </c>
      <c r="D1486" s="7">
        <v>3200034</v>
      </c>
      <c r="E1486" s="7">
        <v>1</v>
      </c>
      <c r="F1486" s="7">
        <v>1</v>
      </c>
    </row>
    <row r="1487" spans="1:6">
      <c r="A1487" s="7">
        <v>1482</v>
      </c>
      <c r="B1487" s="7">
        <v>600264</v>
      </c>
      <c r="C1487" s="7">
        <v>3</v>
      </c>
      <c r="D1487" s="7">
        <v>3200035</v>
      </c>
      <c r="E1487" s="7">
        <v>1</v>
      </c>
      <c r="F1487" s="7">
        <v>1</v>
      </c>
    </row>
    <row r="1488" spans="1:6">
      <c r="A1488" s="7">
        <v>1483</v>
      </c>
      <c r="B1488" s="7">
        <v>600265</v>
      </c>
      <c r="C1488" s="7">
        <v>3</v>
      </c>
      <c r="D1488" s="7">
        <v>3200036</v>
      </c>
      <c r="E1488" s="7">
        <v>1</v>
      </c>
      <c r="F1488" s="7">
        <v>1</v>
      </c>
    </row>
    <row r="1489" spans="1:6">
      <c r="A1489" s="7">
        <v>1484</v>
      </c>
      <c r="B1489" s="7">
        <v>600266</v>
      </c>
      <c r="C1489" s="7">
        <v>3</v>
      </c>
      <c r="D1489" s="7">
        <v>3200037</v>
      </c>
      <c r="E1489" s="7">
        <v>1</v>
      </c>
      <c r="F1489" s="7">
        <v>1</v>
      </c>
    </row>
    <row r="1490" spans="1:6">
      <c r="A1490" s="7">
        <v>1485</v>
      </c>
      <c r="B1490" s="7">
        <v>600267</v>
      </c>
      <c r="C1490" s="7">
        <v>3</v>
      </c>
      <c r="D1490" s="7">
        <v>3200038</v>
      </c>
      <c r="E1490" s="7">
        <v>1</v>
      </c>
      <c r="F1490" s="7">
        <v>1</v>
      </c>
    </row>
    <row r="1491" spans="1:6">
      <c r="A1491" s="7">
        <v>1486</v>
      </c>
      <c r="B1491" s="7">
        <v>600268</v>
      </c>
      <c r="C1491" s="7">
        <v>3</v>
      </c>
      <c r="D1491" s="7">
        <v>3200039</v>
      </c>
      <c r="E1491" s="7">
        <v>1</v>
      </c>
      <c r="F1491" s="7">
        <v>1</v>
      </c>
    </row>
    <row r="1492" spans="1:6">
      <c r="A1492" s="7">
        <v>1487</v>
      </c>
      <c r="B1492" s="7">
        <v>600269</v>
      </c>
      <c r="C1492" s="7">
        <v>3</v>
      </c>
      <c r="D1492" s="7">
        <v>3200040</v>
      </c>
      <c r="E1492" s="7">
        <v>1</v>
      </c>
      <c r="F1492" s="7">
        <v>1</v>
      </c>
    </row>
    <row r="1493" spans="1:6">
      <c r="A1493" s="7">
        <v>1488</v>
      </c>
      <c r="B1493" s="7">
        <v>600270</v>
      </c>
      <c r="C1493" s="7">
        <v>3</v>
      </c>
      <c r="D1493" s="7">
        <v>3200041</v>
      </c>
      <c r="E1493" s="7">
        <v>1</v>
      </c>
      <c r="F1493" s="7">
        <v>1</v>
      </c>
    </row>
    <row r="1494" spans="1:6">
      <c r="A1494" s="7">
        <v>1489</v>
      </c>
      <c r="B1494" s="7">
        <v>600271</v>
      </c>
      <c r="C1494" s="7">
        <v>3</v>
      </c>
      <c r="D1494" s="7">
        <v>3200042</v>
      </c>
      <c r="E1494" s="7">
        <v>1</v>
      </c>
      <c r="F1494" s="7">
        <v>1</v>
      </c>
    </row>
    <row r="1495" spans="1:6">
      <c r="A1495" s="7">
        <v>1490</v>
      </c>
      <c r="B1495" s="7">
        <v>600272</v>
      </c>
      <c r="C1495" s="7">
        <v>3</v>
      </c>
      <c r="D1495" s="7">
        <v>3200043</v>
      </c>
      <c r="E1495" s="7">
        <v>1</v>
      </c>
      <c r="F1495" s="7">
        <v>1</v>
      </c>
    </row>
    <row r="1496" spans="1:6">
      <c r="A1496" s="7">
        <v>1491</v>
      </c>
      <c r="B1496" s="7">
        <v>600273</v>
      </c>
      <c r="C1496" s="7">
        <v>3</v>
      </c>
      <c r="D1496" s="7">
        <v>3200044</v>
      </c>
      <c r="E1496" s="7">
        <v>1</v>
      </c>
      <c r="F1496" s="7">
        <v>1</v>
      </c>
    </row>
    <row r="1497" spans="1:6">
      <c r="A1497" s="7">
        <v>1492</v>
      </c>
      <c r="B1497" s="7">
        <v>600274</v>
      </c>
      <c r="C1497" s="7">
        <v>3</v>
      </c>
      <c r="D1497" s="7">
        <v>3200045</v>
      </c>
      <c r="E1497" s="7">
        <v>1</v>
      </c>
      <c r="F1497" s="7">
        <v>1</v>
      </c>
    </row>
    <row r="1498" spans="1:6">
      <c r="A1498" s="7">
        <v>1493</v>
      </c>
      <c r="B1498" s="7">
        <v>600275</v>
      </c>
      <c r="C1498" s="7">
        <v>3</v>
      </c>
      <c r="D1498" s="7">
        <v>3200046</v>
      </c>
      <c r="E1498" s="7">
        <v>1</v>
      </c>
      <c r="F1498" s="7">
        <v>1</v>
      </c>
    </row>
    <row r="1499" spans="1:6">
      <c r="A1499" s="7">
        <v>1494</v>
      </c>
      <c r="B1499" s="7">
        <v>600276</v>
      </c>
      <c r="C1499" s="7">
        <v>3</v>
      </c>
      <c r="D1499" s="7">
        <v>3200047</v>
      </c>
      <c r="E1499" s="7">
        <v>1</v>
      </c>
      <c r="F1499" s="7">
        <v>1</v>
      </c>
    </row>
    <row r="1500" spans="1:6">
      <c r="A1500" s="7">
        <v>1495</v>
      </c>
      <c r="B1500" s="7">
        <v>600277</v>
      </c>
      <c r="C1500" s="7">
        <v>3</v>
      </c>
      <c r="D1500" s="7">
        <v>3200048</v>
      </c>
      <c r="E1500" s="7">
        <v>1</v>
      </c>
      <c r="F1500" s="7">
        <v>1</v>
      </c>
    </row>
    <row r="1501" spans="1:6">
      <c r="A1501" s="7">
        <v>1496</v>
      </c>
      <c r="B1501" s="7">
        <v>600278</v>
      </c>
      <c r="C1501" s="7">
        <v>3</v>
      </c>
      <c r="D1501" s="7">
        <v>3300001</v>
      </c>
      <c r="E1501" s="7">
        <v>1</v>
      </c>
      <c r="F1501" s="7">
        <v>1</v>
      </c>
    </row>
    <row r="1502" spans="1:6">
      <c r="A1502" s="7">
        <v>1497</v>
      </c>
      <c r="B1502" s="7">
        <v>600279</v>
      </c>
      <c r="C1502" s="7">
        <v>3</v>
      </c>
      <c r="D1502" s="7">
        <v>3300002</v>
      </c>
      <c r="E1502" s="7">
        <v>1</v>
      </c>
      <c r="F1502" s="7">
        <v>1</v>
      </c>
    </row>
    <row r="1503" spans="1:6">
      <c r="A1503" s="7">
        <v>1498</v>
      </c>
      <c r="B1503" s="7">
        <v>600280</v>
      </c>
      <c r="C1503" s="7">
        <v>3</v>
      </c>
      <c r="D1503" s="7">
        <v>3300003</v>
      </c>
      <c r="E1503" s="7">
        <v>1</v>
      </c>
      <c r="F1503" s="7">
        <v>1</v>
      </c>
    </row>
    <row r="1504" spans="1:6">
      <c r="A1504" s="7">
        <v>1499</v>
      </c>
      <c r="B1504" s="7">
        <v>600281</v>
      </c>
      <c r="C1504" s="7">
        <v>3</v>
      </c>
      <c r="D1504" s="7">
        <v>3300004</v>
      </c>
      <c r="E1504" s="7">
        <v>1</v>
      </c>
      <c r="F1504" s="7">
        <v>1</v>
      </c>
    </row>
    <row r="1505" spans="1:6">
      <c r="A1505" s="7">
        <v>1500</v>
      </c>
      <c r="B1505" s="7">
        <v>600282</v>
      </c>
      <c r="C1505" s="7">
        <v>3</v>
      </c>
      <c r="D1505" s="7">
        <v>3300005</v>
      </c>
      <c r="E1505" s="7">
        <v>1</v>
      </c>
      <c r="F1505" s="7">
        <v>1</v>
      </c>
    </row>
    <row r="1506" spans="1:6">
      <c r="A1506" s="7">
        <v>1501</v>
      </c>
      <c r="B1506" s="7">
        <v>600283</v>
      </c>
      <c r="C1506" s="7">
        <v>3</v>
      </c>
      <c r="D1506" s="7">
        <v>3300006</v>
      </c>
      <c r="E1506" s="7">
        <v>1</v>
      </c>
      <c r="F1506" s="7">
        <v>1</v>
      </c>
    </row>
    <row r="1507" spans="1:6">
      <c r="A1507" s="7">
        <v>1502</v>
      </c>
      <c r="B1507" s="7">
        <v>600284</v>
      </c>
      <c r="C1507" s="7">
        <v>3</v>
      </c>
      <c r="D1507" s="7">
        <v>3300007</v>
      </c>
      <c r="E1507" s="7">
        <v>1</v>
      </c>
      <c r="F1507" s="7">
        <v>1</v>
      </c>
    </row>
    <row r="1508" spans="1:6">
      <c r="A1508" s="7">
        <v>1503</v>
      </c>
      <c r="B1508" s="7">
        <v>600285</v>
      </c>
      <c r="C1508" s="7">
        <v>3</v>
      </c>
      <c r="D1508" s="7">
        <v>3300008</v>
      </c>
      <c r="E1508" s="7">
        <v>1</v>
      </c>
      <c r="F1508" s="7">
        <v>1</v>
      </c>
    </row>
    <row r="1509" spans="1:6">
      <c r="A1509" s="7">
        <v>1504</v>
      </c>
      <c r="B1509" s="7">
        <v>600286</v>
      </c>
      <c r="C1509" s="7">
        <v>3</v>
      </c>
      <c r="D1509" s="7">
        <v>3300009</v>
      </c>
      <c r="E1509" s="7">
        <v>1</v>
      </c>
      <c r="F1509" s="7">
        <v>1</v>
      </c>
    </row>
    <row r="1510" spans="1:6">
      <c r="A1510" s="7">
        <v>1505</v>
      </c>
      <c r="B1510" s="7">
        <v>600287</v>
      </c>
      <c r="C1510" s="7">
        <v>3</v>
      </c>
      <c r="D1510" s="7">
        <v>3300010</v>
      </c>
      <c r="E1510" s="7">
        <v>1</v>
      </c>
      <c r="F1510" s="7">
        <v>1</v>
      </c>
    </row>
    <row r="1511" spans="1:6">
      <c r="A1511" s="7">
        <v>1506</v>
      </c>
      <c r="B1511" s="7">
        <v>600288</v>
      </c>
      <c r="C1511" s="7">
        <v>3</v>
      </c>
      <c r="D1511" s="7">
        <v>3300011</v>
      </c>
      <c r="E1511" s="7">
        <v>1</v>
      </c>
      <c r="F1511" s="7">
        <v>1</v>
      </c>
    </row>
    <row r="1512" spans="1:6">
      <c r="A1512" s="7">
        <v>1507</v>
      </c>
      <c r="B1512" s="7">
        <v>600289</v>
      </c>
      <c r="C1512" s="7">
        <v>3</v>
      </c>
      <c r="D1512" s="7">
        <v>3300012</v>
      </c>
      <c r="E1512" s="7">
        <v>1</v>
      </c>
      <c r="F1512" s="7">
        <v>1</v>
      </c>
    </row>
    <row r="1513" spans="1:6">
      <c r="A1513" s="7">
        <v>1508</v>
      </c>
      <c r="B1513" s="7">
        <v>600290</v>
      </c>
      <c r="C1513" s="7">
        <v>3</v>
      </c>
      <c r="D1513" s="7">
        <v>3300013</v>
      </c>
      <c r="E1513" s="7">
        <v>1</v>
      </c>
      <c r="F1513" s="7">
        <v>1</v>
      </c>
    </row>
    <row r="1514" spans="1:6">
      <c r="A1514" s="7">
        <v>1509</v>
      </c>
      <c r="B1514" s="7">
        <v>600291</v>
      </c>
      <c r="C1514" s="7">
        <v>3</v>
      </c>
      <c r="D1514" s="7">
        <v>3300014</v>
      </c>
      <c r="E1514" s="7">
        <v>1</v>
      </c>
      <c r="F1514" s="7">
        <v>1</v>
      </c>
    </row>
    <row r="1515" spans="1:6">
      <c r="A1515" s="7">
        <v>1510</v>
      </c>
      <c r="B1515" s="7">
        <v>600292</v>
      </c>
      <c r="C1515" s="7">
        <v>3</v>
      </c>
      <c r="D1515" s="7">
        <v>3300015</v>
      </c>
      <c r="E1515" s="7">
        <v>1</v>
      </c>
      <c r="F1515" s="7">
        <v>1</v>
      </c>
    </row>
    <row r="1516" spans="1:6">
      <c r="A1516" s="7">
        <v>1511</v>
      </c>
      <c r="B1516" s="7">
        <v>600293</v>
      </c>
      <c r="C1516" s="7">
        <v>3</v>
      </c>
      <c r="D1516" s="7">
        <v>3300016</v>
      </c>
      <c r="E1516" s="7">
        <v>1</v>
      </c>
      <c r="F1516" s="7">
        <v>1</v>
      </c>
    </row>
    <row r="1517" spans="1:6">
      <c r="A1517" s="7">
        <v>1512</v>
      </c>
      <c r="B1517" s="7">
        <v>610001</v>
      </c>
      <c r="C1517" s="7">
        <v>3</v>
      </c>
      <c r="D1517" s="7">
        <v>2700003</v>
      </c>
      <c r="E1517" s="7">
        <v>10</v>
      </c>
      <c r="F1517" s="7">
        <v>14</v>
      </c>
    </row>
    <row r="1518" spans="1:6">
      <c r="A1518" s="7">
        <v>1513</v>
      </c>
      <c r="B1518" s="7">
        <v>610002</v>
      </c>
      <c r="C1518" s="7">
        <v>3</v>
      </c>
      <c r="D1518" s="7">
        <v>2700004</v>
      </c>
      <c r="E1518" s="7">
        <v>2</v>
      </c>
      <c r="F1518" s="7">
        <v>4</v>
      </c>
    </row>
    <row r="1519" spans="1:6">
      <c r="A1519" s="7">
        <v>1514</v>
      </c>
      <c r="B1519" s="7">
        <v>610003</v>
      </c>
      <c r="C1519" s="7">
        <v>3</v>
      </c>
      <c r="D1519" s="7">
        <v>2700009</v>
      </c>
      <c r="E1519" s="7">
        <v>17</v>
      </c>
      <c r="F1519" s="7">
        <v>21</v>
      </c>
    </row>
    <row r="1520" spans="1:6">
      <c r="A1520" s="7">
        <v>1515</v>
      </c>
      <c r="B1520" s="7">
        <v>610004</v>
      </c>
      <c r="C1520" s="7">
        <v>3</v>
      </c>
      <c r="D1520" s="7">
        <v>2700010</v>
      </c>
      <c r="E1520" s="7">
        <v>4</v>
      </c>
      <c r="F1520" s="7">
        <v>6</v>
      </c>
    </row>
    <row r="1521" spans="1:6">
      <c r="A1521" s="7">
        <v>1516</v>
      </c>
      <c r="B1521" s="7">
        <v>610005</v>
      </c>
      <c r="C1521" s="7">
        <v>3</v>
      </c>
      <c r="D1521" s="7">
        <v>2700015</v>
      </c>
      <c r="E1521" s="7">
        <v>24</v>
      </c>
      <c r="F1521" s="7">
        <v>28</v>
      </c>
    </row>
    <row r="1522" spans="1:6">
      <c r="A1522" s="7">
        <v>1517</v>
      </c>
      <c r="B1522" s="7">
        <v>610006</v>
      </c>
      <c r="C1522" s="7">
        <v>3</v>
      </c>
      <c r="D1522" s="7">
        <v>2700016</v>
      </c>
      <c r="E1522" s="7">
        <v>5</v>
      </c>
      <c r="F1522" s="7">
        <v>7</v>
      </c>
    </row>
    <row r="1523" spans="1:6">
      <c r="A1523" s="7">
        <v>1518</v>
      </c>
      <c r="B1523" s="7">
        <v>610007</v>
      </c>
      <c r="C1523" s="7">
        <v>3</v>
      </c>
      <c r="D1523" s="7">
        <v>2700021</v>
      </c>
      <c r="E1523" s="7">
        <v>24</v>
      </c>
      <c r="F1523" s="7">
        <v>28</v>
      </c>
    </row>
    <row r="1524" spans="1:6">
      <c r="A1524" s="7">
        <v>1519</v>
      </c>
      <c r="B1524" s="7">
        <v>610008</v>
      </c>
      <c r="C1524" s="7">
        <v>3</v>
      </c>
      <c r="D1524" s="7">
        <v>2700022</v>
      </c>
      <c r="E1524" s="7">
        <v>5</v>
      </c>
      <c r="F1524" s="7">
        <v>7</v>
      </c>
    </row>
    <row r="1525" spans="1:6">
      <c r="A1525" s="7">
        <v>1520</v>
      </c>
      <c r="B1525" s="7">
        <v>610009</v>
      </c>
      <c r="C1525" s="7">
        <v>3</v>
      </c>
      <c r="D1525" s="7">
        <v>2700027</v>
      </c>
      <c r="E1525" s="7">
        <v>24</v>
      </c>
      <c r="F1525" s="7">
        <v>28</v>
      </c>
    </row>
    <row r="1526" spans="1:6">
      <c r="A1526" s="7">
        <v>1521</v>
      </c>
      <c r="B1526" s="7">
        <v>610010</v>
      </c>
      <c r="C1526" s="7">
        <v>3</v>
      </c>
      <c r="D1526" s="7">
        <v>2700028</v>
      </c>
      <c r="E1526" s="7">
        <v>5</v>
      </c>
      <c r="F1526" s="7">
        <v>7</v>
      </c>
    </row>
    <row r="1527" spans="1:6">
      <c r="A1527" s="7">
        <v>1522</v>
      </c>
      <c r="B1527" s="7">
        <v>610011</v>
      </c>
      <c r="C1527" s="7">
        <v>3</v>
      </c>
      <c r="D1527" s="7">
        <v>2700033</v>
      </c>
      <c r="E1527" s="7">
        <v>24</v>
      </c>
      <c r="F1527" s="7">
        <v>28</v>
      </c>
    </row>
    <row r="1528" spans="1:6">
      <c r="A1528" s="7">
        <v>1523</v>
      </c>
      <c r="B1528" s="7">
        <v>610012</v>
      </c>
      <c r="C1528" s="7">
        <v>3</v>
      </c>
      <c r="D1528" s="7">
        <v>2700034</v>
      </c>
      <c r="E1528" s="7">
        <v>5</v>
      </c>
      <c r="F1528" s="7">
        <v>7</v>
      </c>
    </row>
    <row r="1529" spans="1:6">
      <c r="A1529" s="7">
        <v>1524</v>
      </c>
      <c r="B1529" s="7">
        <v>610013</v>
      </c>
      <c r="C1529" s="7">
        <v>3</v>
      </c>
      <c r="D1529" s="7">
        <v>2700039</v>
      </c>
      <c r="E1529" s="7">
        <v>24</v>
      </c>
      <c r="F1529" s="7">
        <v>28</v>
      </c>
    </row>
    <row r="1530" spans="1:6">
      <c r="A1530" s="7">
        <v>1525</v>
      </c>
      <c r="B1530" s="7">
        <v>610014</v>
      </c>
      <c r="C1530" s="7">
        <v>3</v>
      </c>
      <c r="D1530" s="7">
        <v>2700040</v>
      </c>
      <c r="E1530" s="7">
        <v>5</v>
      </c>
      <c r="F1530" s="7">
        <v>7</v>
      </c>
    </row>
    <row r="1531" spans="1:6">
      <c r="A1531" s="7">
        <v>1526</v>
      </c>
      <c r="B1531" s="7">
        <v>610015</v>
      </c>
      <c r="C1531" s="7">
        <v>3</v>
      </c>
      <c r="D1531" s="7">
        <v>2700045</v>
      </c>
      <c r="E1531" s="7">
        <v>24</v>
      </c>
      <c r="F1531" s="7">
        <v>28</v>
      </c>
    </row>
    <row r="1532" spans="1:6">
      <c r="A1532" s="7">
        <v>1527</v>
      </c>
      <c r="B1532" s="7">
        <v>610016</v>
      </c>
      <c r="C1532" s="7">
        <v>3</v>
      </c>
      <c r="D1532" s="7">
        <v>2700046</v>
      </c>
      <c r="E1532" s="7">
        <v>5</v>
      </c>
      <c r="F1532" s="7">
        <v>7</v>
      </c>
    </row>
    <row r="1533" spans="1:6">
      <c r="A1533" s="7">
        <v>1528</v>
      </c>
      <c r="B1533" s="7">
        <v>610017</v>
      </c>
      <c r="C1533" s="7">
        <v>3</v>
      </c>
      <c r="D1533" s="7">
        <v>2700049</v>
      </c>
      <c r="E1533" s="7">
        <v>5</v>
      </c>
      <c r="F1533" s="7">
        <v>5</v>
      </c>
    </row>
    <row r="1534" spans="1:6">
      <c r="A1534" s="7">
        <v>1529</v>
      </c>
      <c r="B1534" s="7">
        <v>610018</v>
      </c>
      <c r="C1534" s="7">
        <v>3</v>
      </c>
      <c r="D1534" s="7">
        <v>2700050</v>
      </c>
      <c r="E1534" s="7">
        <v>5</v>
      </c>
      <c r="F1534" s="7">
        <v>5</v>
      </c>
    </row>
    <row r="1535" spans="1:6">
      <c r="A1535" s="7">
        <v>1530</v>
      </c>
      <c r="B1535" s="7">
        <v>610019</v>
      </c>
      <c r="C1535" s="7">
        <v>3</v>
      </c>
      <c r="D1535" s="7">
        <v>2700051</v>
      </c>
      <c r="E1535" s="7">
        <v>5</v>
      </c>
      <c r="F1535" s="7">
        <v>5</v>
      </c>
    </row>
    <row r="1536" spans="1:6">
      <c r="A1536" s="7">
        <v>1531</v>
      </c>
      <c r="B1536" s="7">
        <v>610020</v>
      </c>
      <c r="C1536" s="7">
        <v>3</v>
      </c>
      <c r="D1536" s="7">
        <v>2700052</v>
      </c>
      <c r="E1536" s="7">
        <v>5</v>
      </c>
      <c r="F1536" s="7">
        <v>5</v>
      </c>
    </row>
    <row r="1537" spans="1:6">
      <c r="A1537" s="7">
        <v>1532</v>
      </c>
      <c r="B1537" s="7">
        <v>610021</v>
      </c>
      <c r="C1537" s="7">
        <v>3</v>
      </c>
      <c r="D1537" s="7">
        <v>2700054</v>
      </c>
      <c r="E1537" s="7">
        <v>5</v>
      </c>
      <c r="F1537" s="7">
        <v>5</v>
      </c>
    </row>
    <row r="1538" spans="1:6">
      <c r="A1538" s="7">
        <v>1533</v>
      </c>
      <c r="B1538" s="7">
        <v>610022</v>
      </c>
      <c r="C1538" s="7">
        <v>3</v>
      </c>
      <c r="D1538" s="7">
        <v>2700055</v>
      </c>
      <c r="E1538" s="7">
        <v>5</v>
      </c>
      <c r="F1538" s="7">
        <v>5</v>
      </c>
    </row>
    <row r="1539" spans="1:6">
      <c r="A1539" s="7">
        <v>1534</v>
      </c>
      <c r="B1539" s="7">
        <v>610023</v>
      </c>
      <c r="C1539" s="7">
        <v>3</v>
      </c>
      <c r="D1539" s="7">
        <v>2700056</v>
      </c>
      <c r="E1539" s="7">
        <v>5</v>
      </c>
      <c r="F1539" s="7">
        <v>5</v>
      </c>
    </row>
    <row r="1540" spans="1:6">
      <c r="A1540" s="7">
        <v>1535</v>
      </c>
      <c r="B1540" s="7">
        <v>610024</v>
      </c>
      <c r="C1540" s="7">
        <v>3</v>
      </c>
      <c r="D1540" s="7">
        <v>2700057</v>
      </c>
      <c r="E1540" s="7">
        <v>5</v>
      </c>
      <c r="F1540" s="7">
        <v>5</v>
      </c>
    </row>
    <row r="1541" spans="1:6">
      <c r="A1541" s="7">
        <v>1536</v>
      </c>
      <c r="B1541" s="7">
        <v>610025</v>
      </c>
      <c r="C1541" s="7">
        <v>3</v>
      </c>
      <c r="D1541" s="7">
        <v>2700059</v>
      </c>
      <c r="E1541" s="7">
        <v>5</v>
      </c>
      <c r="F1541" s="7">
        <v>5</v>
      </c>
    </row>
    <row r="1542" spans="1:6">
      <c r="A1542" s="7">
        <v>1537</v>
      </c>
      <c r="B1542" s="7">
        <v>610026</v>
      </c>
      <c r="C1542" s="7">
        <v>3</v>
      </c>
      <c r="D1542" s="7">
        <v>2700060</v>
      </c>
      <c r="E1542" s="7">
        <v>5</v>
      </c>
      <c r="F1542" s="7">
        <v>5</v>
      </c>
    </row>
    <row r="1543" spans="1:6">
      <c r="A1543" s="7">
        <v>1538</v>
      </c>
      <c r="B1543" s="7">
        <v>610027</v>
      </c>
      <c r="C1543" s="7">
        <v>3</v>
      </c>
      <c r="D1543" s="7">
        <v>2700061</v>
      </c>
      <c r="E1543" s="7">
        <v>5</v>
      </c>
      <c r="F1543" s="7">
        <v>5</v>
      </c>
    </row>
    <row r="1544" spans="1:6">
      <c r="A1544" s="7">
        <v>1539</v>
      </c>
      <c r="B1544" s="7">
        <v>610028</v>
      </c>
      <c r="C1544" s="7">
        <v>3</v>
      </c>
      <c r="D1544" s="7">
        <v>2700062</v>
      </c>
      <c r="E1544" s="7">
        <v>5</v>
      </c>
      <c r="F1544" s="7">
        <v>5</v>
      </c>
    </row>
    <row r="1545" spans="1:6">
      <c r="A1545" s="7">
        <v>1540</v>
      </c>
      <c r="B1545" s="7">
        <v>610029</v>
      </c>
      <c r="C1545" s="7">
        <v>3</v>
      </c>
      <c r="D1545" s="7">
        <v>2700064</v>
      </c>
      <c r="E1545" s="7">
        <v>5</v>
      </c>
      <c r="F1545" s="7">
        <v>5</v>
      </c>
    </row>
    <row r="1546" spans="1:6">
      <c r="A1546" s="7">
        <v>1541</v>
      </c>
      <c r="B1546" s="7">
        <v>610030</v>
      </c>
      <c r="C1546" s="7">
        <v>3</v>
      </c>
      <c r="D1546" s="7">
        <v>2700065</v>
      </c>
      <c r="E1546" s="7">
        <v>5</v>
      </c>
      <c r="F1546" s="7">
        <v>5</v>
      </c>
    </row>
    <row r="1547" spans="1:6">
      <c r="A1547" s="7">
        <v>1542</v>
      </c>
      <c r="B1547" s="7">
        <v>610031</v>
      </c>
      <c r="C1547" s="7">
        <v>3</v>
      </c>
      <c r="D1547" s="7">
        <v>2700066</v>
      </c>
      <c r="E1547" s="7">
        <v>5</v>
      </c>
      <c r="F1547" s="7">
        <v>5</v>
      </c>
    </row>
    <row r="1548" spans="1:6">
      <c r="A1548" s="7">
        <v>1543</v>
      </c>
      <c r="B1548" s="7">
        <v>610032</v>
      </c>
      <c r="C1548" s="7">
        <v>3</v>
      </c>
      <c r="D1548" s="7">
        <v>2700067</v>
      </c>
      <c r="E1548" s="7">
        <v>5</v>
      </c>
      <c r="F1548" s="7">
        <v>5</v>
      </c>
    </row>
    <row r="1549" spans="1:6">
      <c r="A1549" s="7">
        <v>1544</v>
      </c>
      <c r="B1549" s="7">
        <v>610033</v>
      </c>
      <c r="C1549" s="7">
        <v>3</v>
      </c>
      <c r="D1549" s="7">
        <v>2700069</v>
      </c>
      <c r="E1549" s="7">
        <v>5</v>
      </c>
      <c r="F1549" s="7">
        <v>5</v>
      </c>
    </row>
    <row r="1550" spans="1:6">
      <c r="A1550" s="7">
        <v>1545</v>
      </c>
      <c r="B1550" s="7">
        <v>610034</v>
      </c>
      <c r="C1550" s="7">
        <v>3</v>
      </c>
      <c r="D1550" s="7">
        <v>2700070</v>
      </c>
      <c r="E1550" s="7">
        <v>5</v>
      </c>
      <c r="F1550" s="7">
        <v>5</v>
      </c>
    </row>
    <row r="1551" spans="1:6">
      <c r="A1551" s="7">
        <v>1546</v>
      </c>
      <c r="B1551" s="7">
        <v>610035</v>
      </c>
      <c r="C1551" s="7">
        <v>3</v>
      </c>
      <c r="D1551" s="7">
        <v>2700071</v>
      </c>
      <c r="E1551" s="7">
        <v>5</v>
      </c>
      <c r="F1551" s="7">
        <v>5</v>
      </c>
    </row>
    <row r="1552" spans="1:6">
      <c r="A1552" s="7">
        <v>1547</v>
      </c>
      <c r="B1552" s="7">
        <v>610036</v>
      </c>
      <c r="C1552" s="7">
        <v>3</v>
      </c>
      <c r="D1552" s="7">
        <v>2700072</v>
      </c>
      <c r="E1552" s="7">
        <v>5</v>
      </c>
      <c r="F1552" s="7">
        <v>5</v>
      </c>
    </row>
    <row r="1553" spans="1:6">
      <c r="A1553" s="7">
        <v>1548</v>
      </c>
      <c r="B1553" s="7">
        <v>610037</v>
      </c>
      <c r="C1553" s="7">
        <v>3</v>
      </c>
      <c r="D1553" s="7">
        <v>2700074</v>
      </c>
      <c r="E1553" s="7">
        <v>5</v>
      </c>
      <c r="F1553" s="7">
        <v>5</v>
      </c>
    </row>
    <row r="1554" spans="1:6">
      <c r="A1554" s="7">
        <v>1549</v>
      </c>
      <c r="B1554" s="7">
        <v>610038</v>
      </c>
      <c r="C1554" s="7">
        <v>3</v>
      </c>
      <c r="D1554" s="7">
        <v>2700075</v>
      </c>
      <c r="E1554" s="7">
        <v>5</v>
      </c>
      <c r="F1554" s="7">
        <v>5</v>
      </c>
    </row>
    <row r="1555" spans="1:6">
      <c r="A1555" s="7">
        <v>1550</v>
      </c>
      <c r="B1555" s="7">
        <v>610039</v>
      </c>
      <c r="C1555" s="7">
        <v>3</v>
      </c>
      <c r="D1555" s="7">
        <v>2700076</v>
      </c>
      <c r="E1555" s="7">
        <v>5</v>
      </c>
      <c r="F1555" s="7">
        <v>5</v>
      </c>
    </row>
    <row r="1556" spans="1:6">
      <c r="A1556" s="7">
        <v>1551</v>
      </c>
      <c r="B1556" s="7">
        <v>610040</v>
      </c>
      <c r="C1556" s="7">
        <v>3</v>
      </c>
      <c r="D1556" s="7">
        <v>2700077</v>
      </c>
      <c r="E1556" s="7">
        <v>5</v>
      </c>
      <c r="F1556" s="7">
        <v>5</v>
      </c>
    </row>
    <row r="1557" spans="1:6">
      <c r="A1557" s="7">
        <v>1552</v>
      </c>
      <c r="B1557" s="7">
        <v>610041</v>
      </c>
      <c r="C1557" s="7">
        <v>3</v>
      </c>
      <c r="D1557" s="7">
        <v>2700079</v>
      </c>
      <c r="E1557" s="7">
        <v>5</v>
      </c>
      <c r="F1557" s="7">
        <v>5</v>
      </c>
    </row>
    <row r="1558" spans="1:6">
      <c r="A1558" s="7">
        <v>1553</v>
      </c>
      <c r="B1558" s="7">
        <v>610042</v>
      </c>
      <c r="C1558" s="7">
        <v>3</v>
      </c>
      <c r="D1558" s="7">
        <v>2700080</v>
      </c>
      <c r="E1558" s="7">
        <v>5</v>
      </c>
      <c r="F1558" s="7">
        <v>5</v>
      </c>
    </row>
    <row r="1559" spans="1:6">
      <c r="A1559" s="7">
        <v>1554</v>
      </c>
      <c r="B1559" s="7">
        <v>610043</v>
      </c>
      <c r="C1559" s="7">
        <v>3</v>
      </c>
      <c r="D1559" s="7">
        <v>2700081</v>
      </c>
      <c r="E1559" s="7">
        <v>5</v>
      </c>
      <c r="F1559" s="7">
        <v>5</v>
      </c>
    </row>
    <row r="1560" spans="1:6">
      <c r="A1560" s="7">
        <v>1555</v>
      </c>
      <c r="B1560" s="7">
        <v>610044</v>
      </c>
      <c r="C1560" s="7">
        <v>3</v>
      </c>
      <c r="D1560" s="7">
        <v>2700082</v>
      </c>
      <c r="E1560" s="7">
        <v>5</v>
      </c>
      <c r="F1560" s="7">
        <v>5</v>
      </c>
    </row>
    <row r="1561" spans="1:6">
      <c r="A1561" s="7">
        <v>1556</v>
      </c>
      <c r="B1561" s="7">
        <v>610045</v>
      </c>
      <c r="C1561" s="7">
        <v>3</v>
      </c>
      <c r="D1561" s="7">
        <v>2700084</v>
      </c>
      <c r="E1561" s="7">
        <v>5</v>
      </c>
      <c r="F1561" s="7">
        <v>5</v>
      </c>
    </row>
    <row r="1562" spans="1:6">
      <c r="A1562" s="7">
        <v>1557</v>
      </c>
      <c r="B1562" s="7">
        <v>610046</v>
      </c>
      <c r="C1562" s="7">
        <v>3</v>
      </c>
      <c r="D1562" s="7">
        <v>2700085</v>
      </c>
      <c r="E1562" s="7">
        <v>5</v>
      </c>
      <c r="F1562" s="7">
        <v>5</v>
      </c>
    </row>
    <row r="1563" spans="1:6">
      <c r="A1563" s="7">
        <v>1558</v>
      </c>
      <c r="B1563" s="7">
        <v>610047</v>
      </c>
      <c r="C1563" s="7">
        <v>3</v>
      </c>
      <c r="D1563" s="7">
        <v>2700086</v>
      </c>
      <c r="E1563" s="7">
        <v>5</v>
      </c>
      <c r="F1563" s="7">
        <v>5</v>
      </c>
    </row>
    <row r="1564" spans="1:6">
      <c r="A1564" s="7">
        <v>1559</v>
      </c>
      <c r="B1564" s="7">
        <v>610048</v>
      </c>
      <c r="C1564" s="7">
        <v>3</v>
      </c>
      <c r="D1564" s="7">
        <v>2700087</v>
      </c>
      <c r="E1564" s="7">
        <v>5</v>
      </c>
      <c r="F1564" s="7">
        <v>5</v>
      </c>
    </row>
    <row r="1565" spans="1:4">
      <c r="A1565" s="7">
        <v>1560</v>
      </c>
      <c r="B1565" s="7">
        <v>610049</v>
      </c>
      <c r="C1565" s="7">
        <v>3</v>
      </c>
      <c r="D1565" s="7">
        <v>2700091</v>
      </c>
    </row>
    <row r="1566" spans="1:4">
      <c r="A1566" s="7">
        <v>1561</v>
      </c>
      <c r="B1566" s="7">
        <v>610050</v>
      </c>
      <c r="C1566" s="7">
        <v>3</v>
      </c>
      <c r="D1566" s="7">
        <v>2700092</v>
      </c>
    </row>
    <row r="1567" spans="1:4">
      <c r="A1567" s="7">
        <v>1562</v>
      </c>
      <c r="B1567" s="7">
        <v>610051</v>
      </c>
      <c r="C1567" s="7">
        <v>3</v>
      </c>
      <c r="D1567" s="7">
        <v>2700097</v>
      </c>
    </row>
    <row r="1568" spans="1:4">
      <c r="A1568" s="7">
        <v>1563</v>
      </c>
      <c r="B1568" s="7">
        <v>610052</v>
      </c>
      <c r="C1568" s="7">
        <v>3</v>
      </c>
      <c r="D1568" s="7">
        <v>2700098</v>
      </c>
    </row>
    <row r="1569" spans="1:4">
      <c r="A1569" s="7">
        <v>1564</v>
      </c>
      <c r="B1569" s="7">
        <v>610053</v>
      </c>
      <c r="C1569" s="7">
        <v>3</v>
      </c>
      <c r="D1569" s="7">
        <v>2700103</v>
      </c>
    </row>
    <row r="1570" spans="1:4">
      <c r="A1570" s="7">
        <v>1565</v>
      </c>
      <c r="B1570" s="7">
        <v>610054</v>
      </c>
      <c r="C1570" s="7">
        <v>3</v>
      </c>
      <c r="D1570" s="7">
        <v>2700104</v>
      </c>
    </row>
    <row r="1571" spans="1:4">
      <c r="A1571" s="7">
        <v>1566</v>
      </c>
      <c r="B1571" s="7">
        <v>610055</v>
      </c>
      <c r="C1571" s="7">
        <v>3</v>
      </c>
      <c r="D1571" s="7">
        <v>2700109</v>
      </c>
    </row>
    <row r="1572" spans="1:4">
      <c r="A1572" s="7">
        <v>1567</v>
      </c>
      <c r="B1572" s="7">
        <v>610056</v>
      </c>
      <c r="C1572" s="7">
        <v>3</v>
      </c>
      <c r="D1572" s="7">
        <v>2700110</v>
      </c>
    </row>
    <row r="1573" spans="1:4">
      <c r="A1573" s="7">
        <v>1568</v>
      </c>
      <c r="B1573" s="7">
        <v>610057</v>
      </c>
      <c r="C1573" s="7">
        <v>3</v>
      </c>
      <c r="D1573" s="7">
        <v>2700115</v>
      </c>
    </row>
    <row r="1574" spans="1:4">
      <c r="A1574" s="7">
        <v>1569</v>
      </c>
      <c r="B1574" s="7">
        <v>610058</v>
      </c>
      <c r="C1574" s="7">
        <v>3</v>
      </c>
      <c r="D1574" s="7">
        <v>2700116</v>
      </c>
    </row>
    <row r="1575" spans="1:4">
      <c r="A1575" s="7">
        <v>1570</v>
      </c>
      <c r="B1575" s="7">
        <v>610059</v>
      </c>
      <c r="C1575" s="7">
        <v>3</v>
      </c>
      <c r="D1575" s="7">
        <v>2700121</v>
      </c>
    </row>
    <row r="1576" spans="1:4">
      <c r="A1576" s="7">
        <v>1571</v>
      </c>
      <c r="B1576" s="7">
        <v>610060</v>
      </c>
      <c r="C1576" s="7">
        <v>3</v>
      </c>
      <c r="D1576" s="7">
        <v>2700122</v>
      </c>
    </row>
    <row r="1577" spans="1:4">
      <c r="A1577" s="7">
        <v>1572</v>
      </c>
      <c r="B1577" s="7">
        <v>610061</v>
      </c>
      <c r="C1577" s="7">
        <v>3</v>
      </c>
      <c r="D1577" s="7">
        <v>2700127</v>
      </c>
    </row>
    <row r="1578" spans="1:4">
      <c r="A1578" s="7">
        <v>1573</v>
      </c>
      <c r="B1578" s="7">
        <v>610062</v>
      </c>
      <c r="C1578" s="7">
        <v>3</v>
      </c>
      <c r="D1578" s="7">
        <v>2700128</v>
      </c>
    </row>
    <row r="1579" spans="1:4">
      <c r="A1579" s="7">
        <v>1574</v>
      </c>
      <c r="B1579" s="7">
        <v>610063</v>
      </c>
      <c r="C1579" s="7">
        <v>3</v>
      </c>
      <c r="D1579" s="7">
        <v>2700133</v>
      </c>
    </row>
    <row r="1580" spans="1:4">
      <c r="A1580" s="7">
        <v>1575</v>
      </c>
      <c r="B1580" s="7">
        <v>610064</v>
      </c>
      <c r="C1580" s="7">
        <v>3</v>
      </c>
      <c r="D1580" s="7">
        <v>2700134</v>
      </c>
    </row>
    <row r="1581" spans="1:4">
      <c r="A1581" s="7">
        <v>1576</v>
      </c>
      <c r="B1581" s="7">
        <v>610065</v>
      </c>
      <c r="C1581" s="7">
        <v>3</v>
      </c>
      <c r="D1581" s="7">
        <v>2800001</v>
      </c>
    </row>
    <row r="1582" spans="1:4">
      <c r="A1582" s="7">
        <v>1577</v>
      </c>
      <c r="B1582" s="7">
        <v>610066</v>
      </c>
      <c r="C1582" s="7">
        <v>3</v>
      </c>
      <c r="D1582" s="7">
        <v>2800002</v>
      </c>
    </row>
    <row r="1583" spans="1:4">
      <c r="A1583" s="7">
        <v>1578</v>
      </c>
      <c r="B1583" s="7">
        <v>610067</v>
      </c>
      <c r="C1583" s="7">
        <v>3</v>
      </c>
      <c r="D1583" s="7">
        <v>2800003</v>
      </c>
    </row>
    <row r="1584" spans="1:4">
      <c r="A1584" s="7">
        <v>1579</v>
      </c>
      <c r="B1584" s="7">
        <v>610068</v>
      </c>
      <c r="C1584" s="7">
        <v>3</v>
      </c>
      <c r="D1584" s="7">
        <v>2800004</v>
      </c>
    </row>
    <row r="1585" spans="1:4">
      <c r="A1585" s="7">
        <v>1580</v>
      </c>
      <c r="B1585" s="7">
        <v>610069</v>
      </c>
      <c r="C1585" s="7">
        <v>3</v>
      </c>
      <c r="D1585" s="7">
        <v>2800005</v>
      </c>
    </row>
    <row r="1586" spans="1:4">
      <c r="A1586" s="7">
        <v>1581</v>
      </c>
      <c r="B1586" s="7">
        <v>610070</v>
      </c>
      <c r="C1586" s="7">
        <v>3</v>
      </c>
      <c r="D1586" s="7">
        <v>2900003</v>
      </c>
    </row>
    <row r="1587" spans="1:6">
      <c r="A1587" s="7">
        <v>1582</v>
      </c>
      <c r="B1587" s="7">
        <v>610071</v>
      </c>
      <c r="C1587" s="7">
        <v>3</v>
      </c>
      <c r="D1587" s="7">
        <v>2900004</v>
      </c>
      <c r="E1587" s="7">
        <v>3</v>
      </c>
      <c r="F1587" s="7">
        <v>3</v>
      </c>
    </row>
    <row r="1588" spans="1:4">
      <c r="A1588" s="7">
        <v>1583</v>
      </c>
      <c r="B1588" s="7">
        <v>610072</v>
      </c>
      <c r="C1588" s="7">
        <v>3</v>
      </c>
      <c r="D1588" s="7">
        <v>2900008</v>
      </c>
    </row>
    <row r="1589" spans="1:6">
      <c r="A1589" s="7">
        <v>1584</v>
      </c>
      <c r="B1589" s="7">
        <v>610073</v>
      </c>
      <c r="C1589" s="7">
        <v>3</v>
      </c>
      <c r="D1589" s="7">
        <v>2900009</v>
      </c>
      <c r="E1589" s="7">
        <v>3</v>
      </c>
      <c r="F1589" s="7">
        <v>3</v>
      </c>
    </row>
    <row r="1590" spans="1:4">
      <c r="A1590" s="7">
        <v>1585</v>
      </c>
      <c r="B1590" s="7">
        <v>610074</v>
      </c>
      <c r="C1590" s="7">
        <v>3</v>
      </c>
      <c r="D1590" s="7">
        <v>2900013</v>
      </c>
    </row>
    <row r="1591" spans="1:6">
      <c r="A1591" s="7">
        <v>1586</v>
      </c>
      <c r="B1591" s="7">
        <v>610075</v>
      </c>
      <c r="C1591" s="7">
        <v>3</v>
      </c>
      <c r="D1591" s="7">
        <v>2900014</v>
      </c>
      <c r="E1591" s="7">
        <v>3</v>
      </c>
      <c r="F1591" s="7">
        <v>3</v>
      </c>
    </row>
    <row r="1592" spans="1:4">
      <c r="A1592" s="7">
        <v>1587</v>
      </c>
      <c r="B1592" s="7">
        <v>610076</v>
      </c>
      <c r="C1592" s="7">
        <v>3</v>
      </c>
      <c r="D1592" s="7">
        <v>2900018</v>
      </c>
    </row>
    <row r="1593" spans="1:6">
      <c r="A1593" s="7">
        <v>1588</v>
      </c>
      <c r="B1593" s="7">
        <v>610077</v>
      </c>
      <c r="C1593" s="7">
        <v>3</v>
      </c>
      <c r="D1593" s="7">
        <v>2900019</v>
      </c>
      <c r="E1593" s="7">
        <v>6</v>
      </c>
      <c r="F1593" s="7">
        <v>6</v>
      </c>
    </row>
    <row r="1594" spans="1:4">
      <c r="A1594" s="7">
        <v>1589</v>
      </c>
      <c r="B1594" s="7">
        <v>610078</v>
      </c>
      <c r="C1594" s="7">
        <v>3</v>
      </c>
      <c r="D1594" s="7">
        <v>2900023</v>
      </c>
    </row>
    <row r="1595" spans="1:6">
      <c r="A1595" s="7">
        <v>1590</v>
      </c>
      <c r="B1595" s="7">
        <v>610079</v>
      </c>
      <c r="C1595" s="7">
        <v>3</v>
      </c>
      <c r="D1595" s="7">
        <v>2900024</v>
      </c>
      <c r="E1595" s="7">
        <v>5</v>
      </c>
      <c r="F1595" s="7">
        <v>5</v>
      </c>
    </row>
    <row r="1596" spans="1:4">
      <c r="A1596" s="7">
        <v>1591</v>
      </c>
      <c r="B1596" s="7">
        <v>610080</v>
      </c>
      <c r="C1596" s="7">
        <v>3</v>
      </c>
      <c r="D1596" s="7">
        <v>2900028</v>
      </c>
    </row>
    <row r="1597" spans="1:6">
      <c r="A1597" s="7">
        <v>1592</v>
      </c>
      <c r="B1597" s="7">
        <v>610081</v>
      </c>
      <c r="C1597" s="7">
        <v>3</v>
      </c>
      <c r="D1597" s="7">
        <v>2900029</v>
      </c>
      <c r="E1597" s="7">
        <v>5</v>
      </c>
      <c r="F1597" s="7">
        <v>5</v>
      </c>
    </row>
    <row r="1598" spans="1:4">
      <c r="A1598" s="7">
        <v>1593</v>
      </c>
      <c r="B1598" s="7">
        <v>610082</v>
      </c>
      <c r="C1598" s="7">
        <v>3</v>
      </c>
      <c r="D1598" s="7">
        <v>2900033</v>
      </c>
    </row>
    <row r="1599" spans="1:6">
      <c r="A1599" s="7">
        <v>1594</v>
      </c>
      <c r="B1599" s="7">
        <v>610083</v>
      </c>
      <c r="C1599" s="7">
        <v>3</v>
      </c>
      <c r="D1599" s="7">
        <v>2900034</v>
      </c>
      <c r="E1599" s="7">
        <v>5</v>
      </c>
      <c r="F1599" s="7">
        <v>5</v>
      </c>
    </row>
    <row r="1600" spans="1:4">
      <c r="A1600" s="7">
        <v>1595</v>
      </c>
      <c r="B1600" s="7">
        <v>610084</v>
      </c>
      <c r="C1600" s="7">
        <v>3</v>
      </c>
      <c r="D1600" s="7">
        <v>2900038</v>
      </c>
    </row>
    <row r="1601" spans="1:6">
      <c r="A1601" s="7">
        <v>1596</v>
      </c>
      <c r="B1601" s="7">
        <v>610085</v>
      </c>
      <c r="C1601" s="7">
        <v>3</v>
      </c>
      <c r="D1601" s="7">
        <v>2900039</v>
      </c>
      <c r="E1601" s="7">
        <v>9</v>
      </c>
      <c r="F1601" s="7">
        <v>9</v>
      </c>
    </row>
    <row r="1602" spans="1:4">
      <c r="A1602" s="7">
        <v>1597</v>
      </c>
      <c r="B1602" s="7">
        <v>610086</v>
      </c>
      <c r="C1602" s="7">
        <v>3</v>
      </c>
      <c r="D1602" s="7">
        <v>2900043</v>
      </c>
    </row>
    <row r="1603" spans="1:6">
      <c r="A1603" s="7">
        <v>1598</v>
      </c>
      <c r="B1603" s="7">
        <v>610087</v>
      </c>
      <c r="C1603" s="7">
        <v>3</v>
      </c>
      <c r="D1603" s="7">
        <v>2900044</v>
      </c>
      <c r="E1603" s="7">
        <v>6</v>
      </c>
      <c r="F1603" s="7">
        <v>6</v>
      </c>
    </row>
    <row r="1604" spans="1:4">
      <c r="A1604" s="7">
        <v>1599</v>
      </c>
      <c r="B1604" s="7">
        <v>610088</v>
      </c>
      <c r="C1604" s="7">
        <v>3</v>
      </c>
      <c r="D1604" s="7">
        <v>2900048</v>
      </c>
    </row>
    <row r="1605" spans="1:6">
      <c r="A1605" s="7">
        <v>1600</v>
      </c>
      <c r="B1605" s="7">
        <v>610089</v>
      </c>
      <c r="C1605" s="7">
        <v>3</v>
      </c>
      <c r="D1605" s="7">
        <v>2900049</v>
      </c>
      <c r="E1605" s="7">
        <v>6</v>
      </c>
      <c r="F1605" s="7">
        <v>6</v>
      </c>
    </row>
    <row r="1606" spans="1:4">
      <c r="A1606" s="7">
        <v>1601</v>
      </c>
      <c r="B1606" s="7">
        <v>610090</v>
      </c>
      <c r="C1606" s="7">
        <v>3</v>
      </c>
      <c r="D1606" s="7">
        <v>2900053</v>
      </c>
    </row>
    <row r="1607" spans="1:6">
      <c r="A1607" s="7">
        <v>1602</v>
      </c>
      <c r="B1607" s="7">
        <v>610091</v>
      </c>
      <c r="C1607" s="7">
        <v>3</v>
      </c>
      <c r="D1607" s="7">
        <v>2900054</v>
      </c>
      <c r="E1607" s="7">
        <v>6</v>
      </c>
      <c r="F1607" s="7">
        <v>6</v>
      </c>
    </row>
    <row r="1608" spans="1:4">
      <c r="A1608" s="7">
        <v>1603</v>
      </c>
      <c r="B1608" s="7">
        <v>610092</v>
      </c>
      <c r="C1608" s="7">
        <v>3</v>
      </c>
      <c r="D1608" s="7">
        <v>2900058</v>
      </c>
    </row>
    <row r="1609" spans="1:6">
      <c r="A1609" s="7">
        <v>1604</v>
      </c>
      <c r="B1609" s="7">
        <v>610093</v>
      </c>
      <c r="C1609" s="7">
        <v>3</v>
      </c>
      <c r="D1609" s="7">
        <v>2900059</v>
      </c>
      <c r="E1609" s="7">
        <v>13</v>
      </c>
      <c r="F1609" s="7">
        <v>13</v>
      </c>
    </row>
    <row r="1610" spans="1:4">
      <c r="A1610" s="7">
        <v>1605</v>
      </c>
      <c r="B1610" s="7">
        <v>610094</v>
      </c>
      <c r="C1610" s="7">
        <v>3</v>
      </c>
      <c r="D1610" s="7">
        <v>2900063</v>
      </c>
    </row>
    <row r="1611" spans="1:6">
      <c r="A1611" s="7">
        <v>1606</v>
      </c>
      <c r="B1611" s="7">
        <v>610095</v>
      </c>
      <c r="C1611" s="7">
        <v>3</v>
      </c>
      <c r="D1611" s="7">
        <v>2900064</v>
      </c>
      <c r="E1611" s="7">
        <v>6</v>
      </c>
      <c r="F1611" s="7">
        <v>6</v>
      </c>
    </row>
    <row r="1612" spans="1:4">
      <c r="A1612" s="7">
        <v>1607</v>
      </c>
      <c r="B1612" s="7">
        <v>610096</v>
      </c>
      <c r="C1612" s="7">
        <v>3</v>
      </c>
      <c r="D1612" s="7">
        <v>2900068</v>
      </c>
    </row>
    <row r="1613" spans="1:6">
      <c r="A1613" s="7">
        <v>1608</v>
      </c>
      <c r="B1613" s="7">
        <v>610097</v>
      </c>
      <c r="C1613" s="7">
        <v>3</v>
      </c>
      <c r="D1613" s="7">
        <v>2900069</v>
      </c>
      <c r="E1613" s="7">
        <v>6</v>
      </c>
      <c r="F1613" s="7">
        <v>6</v>
      </c>
    </row>
    <row r="1614" spans="1:4">
      <c r="A1614" s="7">
        <v>1609</v>
      </c>
      <c r="B1614" s="7">
        <v>610098</v>
      </c>
      <c r="C1614" s="7">
        <v>3</v>
      </c>
      <c r="D1614" s="7">
        <v>2900073</v>
      </c>
    </row>
    <row r="1615" spans="1:6">
      <c r="A1615" s="7">
        <v>1610</v>
      </c>
      <c r="B1615" s="7">
        <v>610099</v>
      </c>
      <c r="C1615" s="7">
        <v>3</v>
      </c>
      <c r="D1615" s="7">
        <v>2900074</v>
      </c>
      <c r="E1615" s="7">
        <v>6</v>
      </c>
      <c r="F1615" s="7">
        <v>6</v>
      </c>
    </row>
    <row r="1616" spans="1:4">
      <c r="A1616" s="7">
        <v>1611</v>
      </c>
      <c r="B1616" s="7">
        <v>610100</v>
      </c>
      <c r="C1616" s="7">
        <v>3</v>
      </c>
      <c r="D1616" s="7">
        <v>2900078</v>
      </c>
    </row>
    <row r="1617" spans="1:6">
      <c r="A1617" s="7">
        <v>1612</v>
      </c>
      <c r="B1617" s="7">
        <v>610101</v>
      </c>
      <c r="C1617" s="7">
        <v>3</v>
      </c>
      <c r="D1617" s="7">
        <v>2900079</v>
      </c>
      <c r="E1617" s="7">
        <v>13</v>
      </c>
      <c r="F1617" s="7">
        <v>13</v>
      </c>
    </row>
    <row r="1618" spans="1:4">
      <c r="A1618" s="7">
        <v>1613</v>
      </c>
      <c r="B1618" s="7">
        <v>610102</v>
      </c>
      <c r="C1618" s="7">
        <v>3</v>
      </c>
      <c r="D1618" s="7">
        <v>3200003</v>
      </c>
    </row>
    <row r="1619" spans="1:4">
      <c r="A1619" s="7">
        <v>1614</v>
      </c>
      <c r="B1619" s="7">
        <v>610103</v>
      </c>
      <c r="C1619" s="7">
        <v>3</v>
      </c>
      <c r="D1619" s="7">
        <v>3200004</v>
      </c>
    </row>
    <row r="1620" spans="1:4">
      <c r="A1620" s="7">
        <v>1615</v>
      </c>
      <c r="B1620" s="7">
        <v>610104</v>
      </c>
      <c r="C1620" s="7">
        <v>3</v>
      </c>
      <c r="D1620" s="7">
        <v>3200009</v>
      </c>
    </row>
    <row r="1621" spans="1:4">
      <c r="A1621" s="7">
        <v>1616</v>
      </c>
      <c r="B1621" s="7">
        <v>610105</v>
      </c>
      <c r="C1621" s="7">
        <v>3</v>
      </c>
      <c r="D1621" s="7">
        <v>3200010</v>
      </c>
    </row>
    <row r="1622" spans="1:4">
      <c r="A1622" s="7">
        <v>1617</v>
      </c>
      <c r="B1622" s="7">
        <v>610106</v>
      </c>
      <c r="C1622" s="7">
        <v>3</v>
      </c>
      <c r="D1622" s="7">
        <v>3200015</v>
      </c>
    </row>
    <row r="1623" spans="1:4">
      <c r="A1623" s="7">
        <v>1618</v>
      </c>
      <c r="B1623" s="7">
        <v>610107</v>
      </c>
      <c r="C1623" s="7">
        <v>3</v>
      </c>
      <c r="D1623" s="7">
        <v>3200016</v>
      </c>
    </row>
    <row r="1624" spans="1:4">
      <c r="A1624" s="7">
        <v>1619</v>
      </c>
      <c r="B1624" s="7">
        <v>610108</v>
      </c>
      <c r="C1624" s="7">
        <v>3</v>
      </c>
      <c r="D1624" s="7">
        <v>3200021</v>
      </c>
    </row>
    <row r="1625" spans="1:4">
      <c r="A1625" s="7">
        <v>1620</v>
      </c>
      <c r="B1625" s="7">
        <v>610109</v>
      </c>
      <c r="C1625" s="7">
        <v>3</v>
      </c>
      <c r="D1625" s="7">
        <v>3200022</v>
      </c>
    </row>
    <row r="1626" spans="1:4">
      <c r="A1626" s="7">
        <v>1621</v>
      </c>
      <c r="B1626" s="7">
        <v>610110</v>
      </c>
      <c r="C1626" s="7">
        <v>3</v>
      </c>
      <c r="D1626" s="7">
        <v>3200027</v>
      </c>
    </row>
    <row r="1627" spans="1:4">
      <c r="A1627" s="7">
        <v>1622</v>
      </c>
      <c r="B1627" s="7">
        <v>610111</v>
      </c>
      <c r="C1627" s="7">
        <v>3</v>
      </c>
      <c r="D1627" s="7">
        <v>3200028</v>
      </c>
    </row>
    <row r="1628" spans="1:4">
      <c r="A1628" s="7">
        <v>1623</v>
      </c>
      <c r="B1628" s="7">
        <v>610112</v>
      </c>
      <c r="C1628" s="7">
        <v>3</v>
      </c>
      <c r="D1628" s="7">
        <v>3200033</v>
      </c>
    </row>
    <row r="1629" spans="1:4">
      <c r="A1629" s="7">
        <v>1624</v>
      </c>
      <c r="B1629" s="7">
        <v>610113</v>
      </c>
      <c r="C1629" s="7">
        <v>3</v>
      </c>
      <c r="D1629" s="7">
        <v>3200034</v>
      </c>
    </row>
    <row r="1630" spans="1:4">
      <c r="A1630" s="7">
        <v>1625</v>
      </c>
      <c r="B1630" s="7">
        <v>610114</v>
      </c>
      <c r="C1630" s="7">
        <v>3</v>
      </c>
      <c r="D1630" s="7">
        <v>3200039</v>
      </c>
    </row>
    <row r="1631" spans="1:4">
      <c r="A1631" s="7">
        <v>1626</v>
      </c>
      <c r="B1631" s="7">
        <v>610115</v>
      </c>
      <c r="C1631" s="7">
        <v>3</v>
      </c>
      <c r="D1631" s="7">
        <v>3200040</v>
      </c>
    </row>
    <row r="1632" spans="1:4">
      <c r="A1632" s="7">
        <v>1627</v>
      </c>
      <c r="B1632" s="7">
        <v>610116</v>
      </c>
      <c r="C1632" s="7">
        <v>3</v>
      </c>
      <c r="D1632" s="7">
        <v>3200045</v>
      </c>
    </row>
    <row r="1633" spans="1:4">
      <c r="A1633" s="7">
        <v>1628</v>
      </c>
      <c r="B1633" s="7">
        <v>610117</v>
      </c>
      <c r="C1633" s="7">
        <v>3</v>
      </c>
      <c r="D1633" s="7">
        <v>3200046</v>
      </c>
    </row>
    <row r="1634" spans="1:12">
      <c r="A1634" s="7">
        <v>1629</v>
      </c>
      <c r="B1634" s="6">
        <v>700001</v>
      </c>
      <c r="C1634" s="6">
        <v>3</v>
      </c>
      <c r="D1634" s="6">
        <v>400013</v>
      </c>
      <c r="E1634" s="6">
        <v>300</v>
      </c>
      <c r="F1634" s="6">
        <v>300</v>
      </c>
      <c r="G1634" s="6"/>
      <c r="H1634" s="6"/>
      <c r="I1634" s="6"/>
      <c r="J1634" s="7" t="s">
        <v>4003</v>
      </c>
      <c r="K1634" s="7" t="s">
        <v>4004</v>
      </c>
      <c r="L1634"/>
    </row>
    <row r="1635" spans="1:12">
      <c r="A1635" s="7">
        <v>1630</v>
      </c>
      <c r="B1635" s="6">
        <f t="shared" ref="B1635:B1651" si="1">B1634+1</f>
        <v>700002</v>
      </c>
      <c r="C1635" s="6">
        <v>3</v>
      </c>
      <c r="D1635" s="6">
        <v>400013</v>
      </c>
      <c r="E1635" s="6">
        <v>200</v>
      </c>
      <c r="F1635" s="6">
        <v>200</v>
      </c>
      <c r="G1635" s="6"/>
      <c r="H1635" s="6"/>
      <c r="I1635" s="6"/>
      <c r="J1635" s="7" t="s">
        <v>4003</v>
      </c>
      <c r="K1635" s="7" t="s">
        <v>4005</v>
      </c>
      <c r="L1635"/>
    </row>
    <row r="1636" spans="1:12">
      <c r="A1636" s="7">
        <v>1631</v>
      </c>
      <c r="B1636" s="6">
        <f t="shared" si="1"/>
        <v>700003</v>
      </c>
      <c r="C1636" s="6">
        <v>3</v>
      </c>
      <c r="D1636" s="6">
        <v>400013</v>
      </c>
      <c r="E1636" s="6">
        <v>150</v>
      </c>
      <c r="F1636" s="6">
        <v>150</v>
      </c>
      <c r="G1636" s="6"/>
      <c r="H1636" s="6"/>
      <c r="I1636" s="6"/>
      <c r="J1636" s="7" t="s">
        <v>4003</v>
      </c>
      <c r="K1636" s="7" t="s">
        <v>4006</v>
      </c>
      <c r="L1636"/>
    </row>
    <row r="1637" ht="13.9" spans="1:12">
      <c r="A1637" s="7">
        <v>1632</v>
      </c>
      <c r="B1637" s="6">
        <f t="shared" si="1"/>
        <v>700004</v>
      </c>
      <c r="C1637" s="6">
        <v>3</v>
      </c>
      <c r="D1637" s="6">
        <v>400013</v>
      </c>
      <c r="E1637" s="6">
        <v>100</v>
      </c>
      <c r="F1637" s="6">
        <v>100</v>
      </c>
      <c r="G1637" s="6"/>
      <c r="H1637" s="6"/>
      <c r="I1637" s="6"/>
      <c r="J1637" s="7" t="s">
        <v>4003</v>
      </c>
      <c r="K1637" s="7" t="s">
        <v>4007</v>
      </c>
      <c r="L1637"/>
    </row>
    <row r="1638" ht="13.9" spans="1:12">
      <c r="A1638" s="7">
        <v>1633</v>
      </c>
      <c r="B1638" s="6">
        <f t="shared" si="1"/>
        <v>700005</v>
      </c>
      <c r="C1638" s="6">
        <v>3</v>
      </c>
      <c r="D1638" s="6">
        <v>400013</v>
      </c>
      <c r="E1638" s="6">
        <v>80</v>
      </c>
      <c r="F1638" s="6">
        <v>80</v>
      </c>
      <c r="G1638" s="6"/>
      <c r="H1638" s="6"/>
      <c r="I1638" s="6"/>
      <c r="J1638" s="7" t="s">
        <v>4003</v>
      </c>
      <c r="K1638" s="7" t="s">
        <v>4008</v>
      </c>
      <c r="L1638"/>
    </row>
    <row r="1639" ht="13.9" spans="1:12">
      <c r="A1639" s="7">
        <v>1634</v>
      </c>
      <c r="B1639" s="6">
        <f t="shared" si="1"/>
        <v>700006</v>
      </c>
      <c r="C1639" s="6">
        <v>3</v>
      </c>
      <c r="D1639" s="6">
        <v>400013</v>
      </c>
      <c r="E1639" s="6">
        <v>60</v>
      </c>
      <c r="F1639" s="6">
        <v>60</v>
      </c>
      <c r="G1639" s="6"/>
      <c r="H1639" s="6"/>
      <c r="I1639" s="6"/>
      <c r="J1639" s="7" t="s">
        <v>4003</v>
      </c>
      <c r="K1639" s="7" t="s">
        <v>4009</v>
      </c>
      <c r="L1639"/>
    </row>
    <row r="1640" ht="13.9" spans="1:12">
      <c r="A1640" s="7">
        <v>1635</v>
      </c>
      <c r="B1640" s="6">
        <f t="shared" si="1"/>
        <v>700007</v>
      </c>
      <c r="C1640" s="6">
        <v>3</v>
      </c>
      <c r="D1640" s="6">
        <v>400013</v>
      </c>
      <c r="E1640" s="6">
        <v>50</v>
      </c>
      <c r="F1640" s="6">
        <v>50</v>
      </c>
      <c r="G1640" s="6"/>
      <c r="H1640" s="6"/>
      <c r="I1640" s="6"/>
      <c r="J1640" s="7" t="s">
        <v>4003</v>
      </c>
      <c r="K1640" s="7" t="s">
        <v>4010</v>
      </c>
      <c r="L1640"/>
    </row>
    <row r="1641" ht="13.9" spans="1:12">
      <c r="A1641" s="7">
        <v>1636</v>
      </c>
      <c r="B1641" s="6">
        <f t="shared" si="1"/>
        <v>700008</v>
      </c>
      <c r="C1641" s="6">
        <v>3</v>
      </c>
      <c r="D1641" s="6">
        <v>400013</v>
      </c>
      <c r="E1641" s="6">
        <v>30</v>
      </c>
      <c r="F1641" s="6">
        <v>30</v>
      </c>
      <c r="G1641" s="6"/>
      <c r="H1641" s="6"/>
      <c r="I1641" s="6"/>
      <c r="J1641" s="7" t="s">
        <v>4003</v>
      </c>
      <c r="K1641" s="7" t="s">
        <v>4011</v>
      </c>
      <c r="L1641"/>
    </row>
    <row r="1642" ht="13.9" spans="1:12">
      <c r="A1642" s="7">
        <v>1637</v>
      </c>
      <c r="B1642" s="6">
        <f t="shared" si="1"/>
        <v>700009</v>
      </c>
      <c r="C1642" s="6">
        <v>3</v>
      </c>
      <c r="D1642" s="6">
        <v>400013</v>
      </c>
      <c r="E1642" s="6">
        <v>20</v>
      </c>
      <c r="F1642" s="6">
        <v>20</v>
      </c>
      <c r="G1642" s="6"/>
      <c r="H1642" s="6"/>
      <c r="I1642" s="6"/>
      <c r="J1642" s="7" t="s">
        <v>4003</v>
      </c>
      <c r="K1642" s="7" t="s">
        <v>4012</v>
      </c>
      <c r="L1642"/>
    </row>
    <row r="1643" spans="1:12">
      <c r="A1643" s="7">
        <v>1638</v>
      </c>
      <c r="B1643" s="6">
        <f t="shared" si="1"/>
        <v>700010</v>
      </c>
      <c r="C1643" s="6">
        <v>3</v>
      </c>
      <c r="D1643" s="6">
        <v>400013</v>
      </c>
      <c r="E1643" s="6">
        <v>2000</v>
      </c>
      <c r="F1643" s="6">
        <v>2000</v>
      </c>
      <c r="G1643" s="6"/>
      <c r="H1643" s="6"/>
      <c r="I1643" s="6"/>
      <c r="J1643" s="7" t="s">
        <v>4003</v>
      </c>
      <c r="K1643" s="7" t="s">
        <v>4013</v>
      </c>
      <c r="L1643"/>
    </row>
    <row r="1644" spans="1:12">
      <c r="A1644" s="7">
        <v>1639</v>
      </c>
      <c r="B1644" s="6">
        <f t="shared" si="1"/>
        <v>700011</v>
      </c>
      <c r="C1644" s="6">
        <v>3</v>
      </c>
      <c r="D1644" s="6">
        <v>400013</v>
      </c>
      <c r="E1644" s="6">
        <v>1500</v>
      </c>
      <c r="F1644" s="6">
        <v>1500</v>
      </c>
      <c r="G1644" s="6"/>
      <c r="H1644" s="6"/>
      <c r="I1644" s="6"/>
      <c r="J1644" s="7" t="s">
        <v>4003</v>
      </c>
      <c r="K1644" s="7" t="s">
        <v>4014</v>
      </c>
      <c r="L1644"/>
    </row>
    <row r="1645" spans="1:12">
      <c r="A1645" s="7">
        <v>1640</v>
      </c>
      <c r="B1645" s="6">
        <f t="shared" si="1"/>
        <v>700012</v>
      </c>
      <c r="C1645" s="6">
        <v>3</v>
      </c>
      <c r="D1645" s="6">
        <v>400013</v>
      </c>
      <c r="E1645" s="6">
        <v>1000</v>
      </c>
      <c r="F1645" s="6">
        <v>1000</v>
      </c>
      <c r="G1645" s="6"/>
      <c r="H1645" s="6"/>
      <c r="I1645" s="6"/>
      <c r="J1645" s="7" t="s">
        <v>4003</v>
      </c>
      <c r="K1645" s="7" t="s">
        <v>4015</v>
      </c>
      <c r="L1645"/>
    </row>
    <row r="1646" ht="13.9" spans="1:12">
      <c r="A1646" s="7">
        <v>1641</v>
      </c>
      <c r="B1646" s="6">
        <f t="shared" si="1"/>
        <v>700013</v>
      </c>
      <c r="C1646" s="6">
        <v>3</v>
      </c>
      <c r="D1646" s="6">
        <v>400013</v>
      </c>
      <c r="E1646" s="6">
        <v>800</v>
      </c>
      <c r="F1646" s="6">
        <v>800</v>
      </c>
      <c r="G1646" s="6"/>
      <c r="H1646" s="6"/>
      <c r="I1646" s="6"/>
      <c r="J1646" s="7" t="s">
        <v>4003</v>
      </c>
      <c r="K1646" s="7" t="s">
        <v>4016</v>
      </c>
      <c r="L1646"/>
    </row>
    <row r="1647" ht="13.9" spans="1:12">
      <c r="A1647" s="7">
        <v>1642</v>
      </c>
      <c r="B1647" s="6">
        <f t="shared" si="1"/>
        <v>700014</v>
      </c>
      <c r="C1647" s="6">
        <v>3</v>
      </c>
      <c r="D1647" s="6">
        <v>400013</v>
      </c>
      <c r="E1647" s="6">
        <v>600</v>
      </c>
      <c r="F1647" s="6">
        <v>600</v>
      </c>
      <c r="G1647" s="6"/>
      <c r="H1647" s="6"/>
      <c r="I1647" s="6"/>
      <c r="J1647" s="7" t="s">
        <v>4003</v>
      </c>
      <c r="K1647" s="7" t="s">
        <v>4017</v>
      </c>
      <c r="L1647"/>
    </row>
    <row r="1648" ht="13.9" spans="1:12">
      <c r="A1648" s="7">
        <v>1643</v>
      </c>
      <c r="B1648" s="6">
        <f t="shared" si="1"/>
        <v>700015</v>
      </c>
      <c r="C1648" s="6">
        <v>3</v>
      </c>
      <c r="D1648" s="6">
        <v>400013</v>
      </c>
      <c r="E1648" s="6">
        <v>500</v>
      </c>
      <c r="F1648" s="6">
        <v>500</v>
      </c>
      <c r="G1648" s="6"/>
      <c r="H1648" s="6"/>
      <c r="I1648" s="6"/>
      <c r="J1648" s="7" t="s">
        <v>4003</v>
      </c>
      <c r="K1648" s="7" t="s">
        <v>4018</v>
      </c>
      <c r="L1648"/>
    </row>
    <row r="1649" ht="13.9" spans="1:12">
      <c r="A1649" s="7">
        <v>1644</v>
      </c>
      <c r="B1649" s="6">
        <f t="shared" si="1"/>
        <v>700016</v>
      </c>
      <c r="C1649" s="6">
        <v>3</v>
      </c>
      <c r="D1649" s="6">
        <v>400013</v>
      </c>
      <c r="E1649" s="6">
        <v>300</v>
      </c>
      <c r="F1649" s="6">
        <v>300</v>
      </c>
      <c r="G1649" s="6"/>
      <c r="H1649" s="6"/>
      <c r="I1649" s="6"/>
      <c r="J1649" s="7" t="s">
        <v>4003</v>
      </c>
      <c r="K1649" s="7" t="s">
        <v>4019</v>
      </c>
      <c r="L1649"/>
    </row>
    <row r="1650" ht="13.9" spans="1:12">
      <c r="A1650" s="7">
        <v>1645</v>
      </c>
      <c r="B1650" s="6">
        <f t="shared" si="1"/>
        <v>700017</v>
      </c>
      <c r="C1650" s="6">
        <v>3</v>
      </c>
      <c r="D1650" s="6">
        <v>400013</v>
      </c>
      <c r="E1650" s="6">
        <v>200</v>
      </c>
      <c r="F1650" s="6">
        <v>200</v>
      </c>
      <c r="G1650" s="6"/>
      <c r="H1650" s="6"/>
      <c r="I1650" s="6"/>
      <c r="J1650" s="7" t="s">
        <v>4003</v>
      </c>
      <c r="K1650" s="7" t="s">
        <v>4020</v>
      </c>
      <c r="L1650"/>
    </row>
    <row r="1651" ht="13.9" spans="1:12">
      <c r="A1651" s="7">
        <v>1646</v>
      </c>
      <c r="B1651" s="6">
        <f t="shared" si="1"/>
        <v>700018</v>
      </c>
      <c r="C1651" s="6">
        <v>3</v>
      </c>
      <c r="D1651" s="6">
        <v>400013</v>
      </c>
      <c r="E1651" s="6">
        <v>50</v>
      </c>
      <c r="F1651" s="6">
        <v>50</v>
      </c>
      <c r="G1651" s="6"/>
      <c r="H1651" s="6"/>
      <c r="I1651" s="6"/>
      <c r="J1651" s="7" t="s">
        <v>4003</v>
      </c>
      <c r="K1651" s="7" t="s">
        <v>4021</v>
      </c>
      <c r="L1651"/>
    </row>
  </sheetData>
  <conditionalFormatting sqref="G6">
    <cfRule type="duplicateValues" dxfId="9" priority="249"/>
  </conditionalFormatting>
  <conditionalFormatting sqref="K9">
    <cfRule type="duplicateValues" dxfId="9" priority="255"/>
  </conditionalFormatting>
  <conditionalFormatting sqref="G13">
    <cfRule type="duplicateValues" dxfId="9" priority="115"/>
  </conditionalFormatting>
  <conditionalFormatting sqref="G14">
    <cfRule type="duplicateValues" dxfId="9" priority="114"/>
  </conditionalFormatting>
  <conditionalFormatting sqref="G15">
    <cfRule type="duplicateValues" dxfId="9" priority="113"/>
  </conditionalFormatting>
  <conditionalFormatting sqref="G32">
    <cfRule type="duplicateValues" dxfId="9" priority="240"/>
  </conditionalFormatting>
  <conditionalFormatting sqref="J40">
    <cfRule type="duplicateValues" dxfId="9" priority="244"/>
  </conditionalFormatting>
  <conditionalFormatting sqref="J43">
    <cfRule type="duplicateValues" dxfId="9" priority="271"/>
    <cfRule type="duplicateValues" dxfId="9" priority="272"/>
  </conditionalFormatting>
  <conditionalFormatting sqref="J44">
    <cfRule type="duplicateValues" dxfId="9" priority="269"/>
  </conditionalFormatting>
  <conditionalFormatting sqref="J47">
    <cfRule type="duplicateValues" dxfId="9" priority="270"/>
  </conditionalFormatting>
  <conditionalFormatting sqref="J52">
    <cfRule type="duplicateValues" dxfId="9" priority="243"/>
  </conditionalFormatting>
  <conditionalFormatting sqref="J59">
    <cfRule type="duplicateValues" dxfId="9" priority="265"/>
    <cfRule type="duplicateValues" dxfId="9" priority="266"/>
  </conditionalFormatting>
  <conditionalFormatting sqref="J64">
    <cfRule type="duplicateValues" dxfId="9" priority="241"/>
    <cfRule type="duplicateValues" dxfId="9" priority="242"/>
  </conditionalFormatting>
  <conditionalFormatting sqref="B72">
    <cfRule type="duplicateValues" dxfId="9" priority="259"/>
  </conditionalFormatting>
  <conditionalFormatting sqref="J72">
    <cfRule type="duplicateValues" dxfId="9" priority="260"/>
  </conditionalFormatting>
  <conditionalFormatting sqref="B73">
    <cfRule type="duplicateValues" dxfId="9" priority="252"/>
  </conditionalFormatting>
  <conditionalFormatting sqref="J73">
    <cfRule type="duplicateValues" dxfId="9" priority="253"/>
  </conditionalFormatting>
  <conditionalFormatting sqref="G74">
    <cfRule type="duplicateValues" dxfId="9" priority="146"/>
  </conditionalFormatting>
  <conditionalFormatting sqref="G75">
    <cfRule type="duplicateValues" dxfId="9" priority="247"/>
  </conditionalFormatting>
  <conditionalFormatting sqref="G78">
    <cfRule type="duplicateValues" dxfId="9" priority="145"/>
  </conditionalFormatting>
  <conditionalFormatting sqref="G79">
    <cfRule type="duplicateValues" dxfId="9" priority="144"/>
  </conditionalFormatting>
  <conditionalFormatting sqref="G80">
    <cfRule type="duplicateValues" dxfId="9" priority="143"/>
  </conditionalFormatting>
  <conditionalFormatting sqref="G81">
    <cfRule type="duplicateValues" dxfId="9" priority="142"/>
  </conditionalFormatting>
  <conditionalFormatting sqref="G99">
    <cfRule type="duplicateValues" dxfId="9" priority="128"/>
  </conditionalFormatting>
  <conditionalFormatting sqref="G105">
    <cfRule type="duplicateValues" dxfId="9" priority="125"/>
  </conditionalFormatting>
  <conditionalFormatting sqref="G111">
    <cfRule type="duplicateValues" dxfId="9" priority="122"/>
  </conditionalFormatting>
  <conditionalFormatting sqref="G117">
    <cfRule type="duplicateValues" dxfId="9" priority="119"/>
  </conditionalFormatting>
  <conditionalFormatting sqref="G120">
    <cfRule type="duplicateValues" dxfId="9" priority="135"/>
  </conditionalFormatting>
  <conditionalFormatting sqref="G121">
    <cfRule type="duplicateValues" dxfId="9" priority="136"/>
  </conditionalFormatting>
  <conditionalFormatting sqref="G122">
    <cfRule type="duplicateValues" dxfId="9" priority="134"/>
  </conditionalFormatting>
  <conditionalFormatting sqref="G123">
    <cfRule type="duplicateValues" dxfId="9" priority="133"/>
  </conditionalFormatting>
  <conditionalFormatting sqref="G124">
    <cfRule type="duplicateValues" dxfId="9" priority="132"/>
  </conditionalFormatting>
  <conditionalFormatting sqref="B190">
    <cfRule type="duplicateValues" dxfId="9" priority="55"/>
  </conditionalFormatting>
  <conditionalFormatting sqref="B191">
    <cfRule type="duplicateValues" dxfId="9" priority="53"/>
  </conditionalFormatting>
  <conditionalFormatting sqref="B192">
    <cfRule type="duplicateValues" dxfId="9" priority="54"/>
  </conditionalFormatting>
  <conditionalFormatting sqref="B194">
    <cfRule type="duplicateValues" dxfId="9" priority="51"/>
  </conditionalFormatting>
  <conditionalFormatting sqref="B195">
    <cfRule type="duplicateValues" dxfId="9" priority="50"/>
  </conditionalFormatting>
  <conditionalFormatting sqref="B203">
    <cfRule type="duplicateValues" dxfId="9" priority="46"/>
  </conditionalFormatting>
  <conditionalFormatting sqref="B204">
    <cfRule type="duplicateValues" dxfId="9" priority="45"/>
  </conditionalFormatting>
  <conditionalFormatting sqref="B206">
    <cfRule type="duplicateValues" dxfId="9" priority="43"/>
  </conditionalFormatting>
  <conditionalFormatting sqref="B253">
    <cfRule type="duplicateValues" dxfId="9" priority="35"/>
  </conditionalFormatting>
  <conditionalFormatting sqref="B271">
    <cfRule type="duplicateValues" dxfId="9" priority="29"/>
  </conditionalFormatting>
  <conditionalFormatting sqref="B272">
    <cfRule type="duplicateValues" dxfId="9" priority="28"/>
  </conditionalFormatting>
  <conditionalFormatting sqref="B274">
    <cfRule type="duplicateValues" dxfId="9" priority="11"/>
  </conditionalFormatting>
  <conditionalFormatting sqref="B276">
    <cfRule type="duplicateValues" dxfId="9" priority="26"/>
  </conditionalFormatting>
  <conditionalFormatting sqref="B277">
    <cfRule type="duplicateValues" dxfId="9" priority="10"/>
  </conditionalFormatting>
  <conditionalFormatting sqref="B278">
    <cfRule type="duplicateValues" dxfId="9" priority="9"/>
  </conditionalFormatting>
  <conditionalFormatting sqref="B361">
    <cfRule type="duplicateValues" dxfId="9" priority="8"/>
  </conditionalFormatting>
  <conditionalFormatting sqref="B362">
    <cfRule type="duplicateValues" dxfId="9" priority="7"/>
  </conditionalFormatting>
  <conditionalFormatting sqref="B365">
    <cfRule type="duplicateValues" dxfId="9" priority="5"/>
  </conditionalFormatting>
  <conditionalFormatting sqref="B366">
    <cfRule type="duplicateValues" dxfId="9" priority="6"/>
  </conditionalFormatting>
  <conditionalFormatting sqref="B367">
    <cfRule type="duplicateValues" dxfId="9" priority="3"/>
  </conditionalFormatting>
  <conditionalFormatting sqref="B368">
    <cfRule type="duplicateValues" dxfId="9" priority="4"/>
  </conditionalFormatting>
  <conditionalFormatting sqref="G930">
    <cfRule type="duplicateValues" dxfId="9" priority="12"/>
  </conditionalFormatting>
  <conditionalFormatting sqref="G933">
    <cfRule type="duplicateValues" dxfId="9" priority="13"/>
  </conditionalFormatting>
  <conditionalFormatting sqref="B74:B81">
    <cfRule type="duplicateValues" dxfId="9" priority="248"/>
  </conditionalFormatting>
  <conditionalFormatting sqref="B94:B117">
    <cfRule type="duplicateValues" dxfId="9" priority="131"/>
  </conditionalFormatting>
  <conditionalFormatting sqref="B144:B149">
    <cfRule type="duplicateValues" dxfId="9" priority="239"/>
  </conditionalFormatting>
  <conditionalFormatting sqref="B150:B162">
    <cfRule type="duplicateValues" dxfId="9" priority="103"/>
  </conditionalFormatting>
  <conditionalFormatting sqref="B480:B787">
    <cfRule type="duplicateValues" dxfId="9" priority="108"/>
  </conditionalFormatting>
  <conditionalFormatting sqref="B808:B827">
    <cfRule type="duplicateValues" dxfId="9" priority="100"/>
  </conditionalFormatting>
  <conditionalFormatting sqref="B1634:B1651">
    <cfRule type="duplicateValues" dxfId="9" priority="110"/>
  </conditionalFormatting>
  <conditionalFormatting sqref="G7:G9">
    <cfRule type="duplicateValues" dxfId="9" priority="257"/>
  </conditionalFormatting>
  <conditionalFormatting sqref="G10:G12">
    <cfRule type="duplicateValues" dxfId="9" priority="254"/>
  </conditionalFormatting>
  <conditionalFormatting sqref="G20:G21">
    <cfRule type="duplicateValues" dxfId="9" priority="251"/>
  </conditionalFormatting>
  <conditionalFormatting sqref="G23:G25">
    <cfRule type="duplicateValues" dxfId="9" priority="112"/>
  </conditionalFormatting>
  <conditionalFormatting sqref="G26:G29">
    <cfRule type="duplicateValues" dxfId="9" priority="256"/>
  </conditionalFormatting>
  <conditionalFormatting sqref="G30:G31">
    <cfRule type="duplicateValues" dxfId="9" priority="250"/>
  </conditionalFormatting>
  <conditionalFormatting sqref="G33:G35">
    <cfRule type="duplicateValues" dxfId="9" priority="111"/>
  </conditionalFormatting>
  <conditionalFormatting sqref="G76:G77">
    <cfRule type="duplicateValues" dxfId="9" priority="245"/>
  </conditionalFormatting>
  <conditionalFormatting sqref="G82:G84">
    <cfRule type="duplicateValues" dxfId="9" priority="141"/>
  </conditionalFormatting>
  <conditionalFormatting sqref="G85:G87">
    <cfRule type="duplicateValues" dxfId="9" priority="140"/>
  </conditionalFormatting>
  <conditionalFormatting sqref="G88:G90">
    <cfRule type="duplicateValues" dxfId="9" priority="139"/>
  </conditionalFormatting>
  <conditionalFormatting sqref="G94:G95">
    <cfRule type="duplicateValues" dxfId="9" priority="130"/>
  </conditionalFormatting>
  <conditionalFormatting sqref="G96:G98">
    <cfRule type="duplicateValues" dxfId="9" priority="129"/>
  </conditionalFormatting>
  <conditionalFormatting sqref="G100:G101">
    <cfRule type="duplicateValues" dxfId="9" priority="127"/>
  </conditionalFormatting>
  <conditionalFormatting sqref="G102:G104">
    <cfRule type="duplicateValues" dxfId="9" priority="126"/>
  </conditionalFormatting>
  <conditionalFormatting sqref="G106:G107">
    <cfRule type="duplicateValues" dxfId="9" priority="124"/>
  </conditionalFormatting>
  <conditionalFormatting sqref="G108:G110">
    <cfRule type="duplicateValues" dxfId="9" priority="123"/>
  </conditionalFormatting>
  <conditionalFormatting sqref="G112:G113">
    <cfRule type="duplicateValues" dxfId="9" priority="121"/>
  </conditionalFormatting>
  <conditionalFormatting sqref="G114:G116">
    <cfRule type="duplicateValues" dxfId="9" priority="120"/>
  </conditionalFormatting>
  <conditionalFormatting sqref="G118:G119">
    <cfRule type="duplicateValues" dxfId="9" priority="137"/>
  </conditionalFormatting>
  <conditionalFormatting sqref="G163:G178">
    <cfRule type="duplicateValues" dxfId="9" priority="60"/>
  </conditionalFormatting>
  <conditionalFormatting sqref="G179:G189">
    <cfRule type="duplicateValues" dxfId="9" priority="58"/>
  </conditionalFormatting>
  <conditionalFormatting sqref="G190:G192">
    <cfRule type="duplicateValues" dxfId="9" priority="56"/>
  </conditionalFormatting>
  <conditionalFormatting sqref="G193:G195">
    <cfRule type="duplicateValues" dxfId="9" priority="52"/>
  </conditionalFormatting>
  <conditionalFormatting sqref="G196:G201">
    <cfRule type="duplicateValues" dxfId="9" priority="49"/>
  </conditionalFormatting>
  <conditionalFormatting sqref="G202:G204">
    <cfRule type="duplicateValues" dxfId="9" priority="47"/>
  </conditionalFormatting>
  <conditionalFormatting sqref="G205:G207">
    <cfRule type="duplicateValues" dxfId="9" priority="44"/>
  </conditionalFormatting>
  <conditionalFormatting sqref="G208:G210">
    <cfRule type="duplicateValues" dxfId="9" priority="42"/>
  </conditionalFormatting>
  <conditionalFormatting sqref="G211:G231">
    <cfRule type="duplicateValues" dxfId="9" priority="41"/>
  </conditionalFormatting>
  <conditionalFormatting sqref="G232:G245">
    <cfRule type="duplicateValues" dxfId="9" priority="40"/>
  </conditionalFormatting>
  <conditionalFormatting sqref="G246:G251">
    <cfRule type="duplicateValues" dxfId="9" priority="38"/>
  </conditionalFormatting>
  <conditionalFormatting sqref="G252:G254">
    <cfRule type="duplicateValues" dxfId="9" priority="36"/>
  </conditionalFormatting>
  <conditionalFormatting sqref="G255:G263">
    <cfRule type="duplicateValues" dxfId="9" priority="34"/>
  </conditionalFormatting>
  <conditionalFormatting sqref="G264:G269">
    <cfRule type="duplicateValues" dxfId="9" priority="33"/>
  </conditionalFormatting>
  <conditionalFormatting sqref="G270:G272">
    <cfRule type="duplicateValues" dxfId="9" priority="30"/>
  </conditionalFormatting>
  <conditionalFormatting sqref="G273:G278">
    <cfRule type="duplicateValues" dxfId="9" priority="27"/>
  </conditionalFormatting>
  <conditionalFormatting sqref="G279:G303">
    <cfRule type="duplicateValues" dxfId="9" priority="25"/>
  </conditionalFormatting>
  <conditionalFormatting sqref="G304:G323">
    <cfRule type="duplicateValues" dxfId="9" priority="23"/>
  </conditionalFormatting>
  <conditionalFormatting sqref="G324:G332">
    <cfRule type="duplicateValues" dxfId="9" priority="21"/>
  </conditionalFormatting>
  <conditionalFormatting sqref="G333:G338">
    <cfRule type="duplicateValues" dxfId="9" priority="19"/>
  </conditionalFormatting>
  <conditionalFormatting sqref="G339:G348">
    <cfRule type="duplicateValues" dxfId="9" priority="105"/>
  </conditionalFormatting>
  <conditionalFormatting sqref="G361:G362">
    <cfRule type="duplicateValues" dxfId="9" priority="2"/>
  </conditionalFormatting>
  <conditionalFormatting sqref="G365:G368">
    <cfRule type="duplicateValues" dxfId="9" priority="1"/>
  </conditionalFormatting>
  <conditionalFormatting sqref="G788:G791">
    <cfRule type="duplicateValues" dxfId="9" priority="90"/>
  </conditionalFormatting>
  <conditionalFormatting sqref="G792:G794">
    <cfRule type="duplicateValues" dxfId="9" priority="89"/>
  </conditionalFormatting>
  <conditionalFormatting sqref="G795:G796">
    <cfRule type="duplicateValues" dxfId="9" priority="88"/>
  </conditionalFormatting>
  <conditionalFormatting sqref="G797:G798">
    <cfRule type="duplicateValues" dxfId="9" priority="87"/>
  </conditionalFormatting>
  <conditionalFormatting sqref="G799:G807">
    <cfRule type="duplicateValues" dxfId="9" priority="86"/>
  </conditionalFormatting>
  <conditionalFormatting sqref="G808:G811">
    <cfRule type="duplicateValues" dxfId="9" priority="85"/>
  </conditionalFormatting>
  <conditionalFormatting sqref="G812:G814">
    <cfRule type="duplicateValues" dxfId="9" priority="84"/>
  </conditionalFormatting>
  <conditionalFormatting sqref="G815:G816">
    <cfRule type="duplicateValues" dxfId="9" priority="83"/>
  </conditionalFormatting>
  <conditionalFormatting sqref="G817:G818">
    <cfRule type="duplicateValues" dxfId="9" priority="82"/>
  </conditionalFormatting>
  <conditionalFormatting sqref="G819:G827">
    <cfRule type="duplicateValues" dxfId="9" priority="81"/>
  </conditionalFormatting>
  <conditionalFormatting sqref="G828:G831">
    <cfRule type="duplicateValues" dxfId="9" priority="80"/>
  </conditionalFormatting>
  <conditionalFormatting sqref="G832:G834">
    <cfRule type="duplicateValues" dxfId="9" priority="79"/>
  </conditionalFormatting>
  <conditionalFormatting sqref="G835:G836">
    <cfRule type="duplicateValues" dxfId="9" priority="78"/>
  </conditionalFormatting>
  <conditionalFormatting sqref="G837:G838">
    <cfRule type="duplicateValues" dxfId="9" priority="77"/>
  </conditionalFormatting>
  <conditionalFormatting sqref="G839:G847">
    <cfRule type="duplicateValues" dxfId="9" priority="76"/>
  </conditionalFormatting>
  <conditionalFormatting sqref="G848:G851">
    <cfRule type="duplicateValues" dxfId="9" priority="17"/>
  </conditionalFormatting>
  <conditionalFormatting sqref="G852:G858">
    <cfRule type="duplicateValues" dxfId="9" priority="16"/>
  </conditionalFormatting>
  <conditionalFormatting sqref="G859:G867">
    <cfRule type="duplicateValues" dxfId="9" priority="15"/>
  </conditionalFormatting>
  <conditionalFormatting sqref="G868:G869">
    <cfRule type="duplicateValues" dxfId="9" priority="75"/>
  </conditionalFormatting>
  <conditionalFormatting sqref="G870:G871">
    <cfRule type="duplicateValues" dxfId="9" priority="72"/>
  </conditionalFormatting>
  <conditionalFormatting sqref="G872:G873">
    <cfRule type="duplicateValues" dxfId="9" priority="69"/>
  </conditionalFormatting>
  <conditionalFormatting sqref="G874:G875">
    <cfRule type="duplicateValues" dxfId="9" priority="74"/>
  </conditionalFormatting>
  <conditionalFormatting sqref="G876:G877">
    <cfRule type="duplicateValues" dxfId="9" priority="71"/>
  </conditionalFormatting>
  <conditionalFormatting sqref="G878:G879">
    <cfRule type="duplicateValues" dxfId="9" priority="68"/>
  </conditionalFormatting>
  <conditionalFormatting sqref="G880:G881">
    <cfRule type="duplicateValues" dxfId="9" priority="73"/>
  </conditionalFormatting>
  <conditionalFormatting sqref="G882:G883">
    <cfRule type="duplicateValues" dxfId="9" priority="70"/>
  </conditionalFormatting>
  <conditionalFormatting sqref="G886:G887">
    <cfRule type="duplicateValues" dxfId="9" priority="14"/>
  </conditionalFormatting>
  <conditionalFormatting sqref="G892:G894">
    <cfRule type="duplicateValues" dxfId="9" priority="66"/>
  </conditionalFormatting>
  <conditionalFormatting sqref="G895:G902">
    <cfRule type="duplicateValues" dxfId="9" priority="63"/>
  </conditionalFormatting>
  <conditionalFormatting sqref="G903:G905">
    <cfRule type="duplicateValues" dxfId="9" priority="65"/>
  </conditionalFormatting>
  <conditionalFormatting sqref="G906:G913">
    <cfRule type="duplicateValues" dxfId="9" priority="62"/>
  </conditionalFormatting>
  <conditionalFormatting sqref="G914:G916">
    <cfRule type="duplicateValues" dxfId="9" priority="64"/>
  </conditionalFormatting>
  <conditionalFormatting sqref="G917:G924">
    <cfRule type="duplicateValues" dxfId="9" priority="61"/>
  </conditionalFormatting>
  <conditionalFormatting sqref="J36:J39">
    <cfRule type="duplicateValues" dxfId="9" priority="118"/>
  </conditionalFormatting>
  <conditionalFormatting sqref="J48:J51">
    <cfRule type="duplicateValues" dxfId="9" priority="117"/>
  </conditionalFormatting>
  <conditionalFormatting sqref="J53:J58">
    <cfRule type="duplicateValues" dxfId="9" priority="267"/>
    <cfRule type="duplicateValues" dxfId="9" priority="268"/>
  </conditionalFormatting>
  <conditionalFormatting sqref="J60:J63">
    <cfRule type="duplicateValues" dxfId="9" priority="116"/>
  </conditionalFormatting>
  <conditionalFormatting sqref="J68:J69">
    <cfRule type="duplicateValues" dxfId="9" priority="261"/>
    <cfRule type="duplicateValues" dxfId="9" priority="262"/>
  </conditionalFormatting>
  <conditionalFormatting sqref="B936:B1633 B1652:B1048576 B1:B9 B11 B15 B13 B36:B71 B138:B143">
    <cfRule type="duplicateValues" dxfId="9" priority="274"/>
  </conditionalFormatting>
  <conditionalFormatting sqref="B10 B12 B14">
    <cfRule type="duplicateValues" dxfId="9" priority="258"/>
  </conditionalFormatting>
  <conditionalFormatting sqref="J45:J46 J41:J42">
    <cfRule type="duplicateValues" dxfId="9" priority="273"/>
  </conditionalFormatting>
  <conditionalFormatting sqref="J70:J71 J65:J67">
    <cfRule type="duplicateValues" dxfId="9" priority="263"/>
    <cfRule type="duplicateValues" dxfId="9" priority="264"/>
  </conditionalFormatting>
  <conditionalFormatting sqref="B82:B93 B118:B125">
    <cfRule type="duplicateValues" dxfId="9" priority="246"/>
  </conditionalFormatting>
  <conditionalFormatting sqref="G91:G93 D125">
    <cfRule type="duplicateValues" dxfId="9" priority="138"/>
  </conditionalFormatting>
  <conditionalFormatting sqref="B349:B360 B163 B347 B345 B343 B341 B337 B335 B332:B333 B330 B328 B326 B322 B320 B318 B316 B314 B312 B310 B308 B306 B303:B304 B301 B299 B297 B295 B293 B291 B289 B287 B285 B283 B281 B263 B261 B259 B257 B254:B255 B250 B248 B244 B242 B240 B238 B236 B234 B207:B232 B205 B200 B198 B202 B196 B193 B246 B252 B270 B273 B279 B324 B339 B189 B187 B185 B183 B181 B177 B175 B173 B171 B169 B167 B165 B179 B275 B363">
    <cfRule type="duplicateValues" dxfId="9" priority="104"/>
  </conditionalFormatting>
  <conditionalFormatting sqref="B164 B178 B176 B174 B172 B170 B168 B166">
    <cfRule type="duplicateValues" dxfId="9" priority="59"/>
  </conditionalFormatting>
  <conditionalFormatting sqref="B180 B188 B186 B184 B182">
    <cfRule type="duplicateValues" dxfId="9" priority="57"/>
  </conditionalFormatting>
  <conditionalFormatting sqref="B197 B201 B199">
    <cfRule type="duplicateValues" dxfId="9" priority="48"/>
  </conditionalFormatting>
  <conditionalFormatting sqref="B233 B245 B243 B241 B239 B237 B235">
    <cfRule type="duplicateValues" dxfId="9" priority="39"/>
  </conditionalFormatting>
  <conditionalFormatting sqref="B247 B251 B249">
    <cfRule type="duplicateValues" dxfId="9" priority="37"/>
  </conditionalFormatting>
  <conditionalFormatting sqref="B264 B268 B266">
    <cfRule type="duplicateValues" dxfId="9" priority="32"/>
  </conditionalFormatting>
  <conditionalFormatting sqref="B265 B269 B267">
    <cfRule type="duplicateValues" dxfId="9" priority="31"/>
  </conditionalFormatting>
  <conditionalFormatting sqref="B280 B302 B300 B298 B296 B294 B292 B290 B288 B286 B284 B282">
    <cfRule type="duplicateValues" dxfId="9" priority="24"/>
  </conditionalFormatting>
  <conditionalFormatting sqref="B305 B323 B321 B319 B317 B315 B313 B311 B309 B307">
    <cfRule type="duplicateValues" dxfId="9" priority="22"/>
  </conditionalFormatting>
  <conditionalFormatting sqref="B325 B331 B329 B327">
    <cfRule type="duplicateValues" dxfId="9" priority="20"/>
  </conditionalFormatting>
  <conditionalFormatting sqref="B334 B338 B336">
    <cfRule type="duplicateValues" dxfId="9" priority="18"/>
  </conditionalFormatting>
  <conditionalFormatting sqref="B340 B348 B346 B344 B342">
    <cfRule type="duplicateValues" dxfId="9" priority="106"/>
  </conditionalFormatting>
  <conditionalFormatting sqref="G349:G360 G363:G364 G369:G479">
    <cfRule type="duplicateValues" dxfId="9" priority="107"/>
  </conditionalFormatting>
  <conditionalFormatting sqref="B364 B369:B479">
    <cfRule type="duplicateValues" dxfId="9" priority="109"/>
  </conditionalFormatting>
  <conditionalFormatting sqref="B788 B922 B920 B918 B916 B892:B914 B806 B804 B802 B800 B798 B796 B794 B792 B790 B924:B935">
    <cfRule type="duplicateValues" dxfId="9" priority="102"/>
  </conditionalFormatting>
  <conditionalFormatting sqref="B789 B807 B805 B803 B801 B799 B797 B795 B793 B791">
    <cfRule type="duplicateValues" dxfId="9" priority="101"/>
  </conditionalFormatting>
  <conditionalFormatting sqref="B828 B846 B844 B842 B840 B838 B836 B834 B832 B830">
    <cfRule type="duplicateValues" dxfId="9" priority="99"/>
  </conditionalFormatting>
  <conditionalFormatting sqref="B829 B845 B843 B841 B839 B837 B835 B833 B831 B847:B867">
    <cfRule type="duplicateValues" dxfId="9" priority="98"/>
  </conditionalFormatting>
  <conditionalFormatting sqref="B868 B872 B870">
    <cfRule type="duplicateValues" dxfId="9" priority="97"/>
  </conditionalFormatting>
  <conditionalFormatting sqref="B869 B873 B871">
    <cfRule type="duplicateValues" dxfId="9" priority="96"/>
  </conditionalFormatting>
  <conditionalFormatting sqref="B874 B878 B876">
    <cfRule type="duplicateValues" dxfId="9" priority="95"/>
  </conditionalFormatting>
  <conditionalFormatting sqref="B875 B879 B877">
    <cfRule type="duplicateValues" dxfId="9" priority="94"/>
  </conditionalFormatting>
  <conditionalFormatting sqref="B880 B884 B882">
    <cfRule type="duplicateValues" dxfId="9" priority="93"/>
  </conditionalFormatting>
  <conditionalFormatting sqref="B881 B883 B885:B891">
    <cfRule type="duplicateValues" dxfId="9" priority="92"/>
  </conditionalFormatting>
  <conditionalFormatting sqref="G884:G885 G888:G891">
    <cfRule type="duplicateValues" dxfId="9" priority="67"/>
  </conditionalFormatting>
  <conditionalFormatting sqref="B915 B923 B921 B919 B917">
    <cfRule type="duplicateValues" dxfId="9" priority="91"/>
  </conditionalFormatting>
  <pageMargins left="0.7" right="0.7" top="0.75" bottom="0.75" header="0.3" footer="0.3"/>
  <pageSetup paperSize="9" orientation="portrait"/>
  <headerFooter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I40"/>
  <sheetViews>
    <sheetView topLeftCell="A19" workbookViewId="0">
      <selection activeCell="M118" sqref="M118"/>
    </sheetView>
  </sheetViews>
  <sheetFormatPr defaultColWidth="9" defaultRowHeight="15"/>
  <cols>
    <col min="1" max="4" width="9" style="1"/>
    <col min="5" max="5" width="13.2477876106195" style="1" customWidth="1"/>
    <col min="6" max="6" width="81.6283185840708" style="1" customWidth="1"/>
    <col min="7" max="7" width="13.2477876106195" style="1" customWidth="1"/>
    <col min="8" max="16384" width="9" style="1"/>
  </cols>
  <sheetData>
    <row r="1" spans="1:6">
      <c r="A1" s="1" t="s">
        <v>4022</v>
      </c>
      <c r="B1" s="1" t="s">
        <v>4023</v>
      </c>
      <c r="E1" s="1" t="s">
        <v>4024</v>
      </c>
      <c r="F1" s="1" t="s">
        <v>4025</v>
      </c>
    </row>
    <row r="2" spans="1:6">
      <c r="A2" s="1" t="s">
        <v>4026</v>
      </c>
      <c r="B2" s="1">
        <v>1</v>
      </c>
      <c r="E2" s="1" t="s">
        <v>4027</v>
      </c>
      <c r="F2" s="2" t="s">
        <v>4028</v>
      </c>
    </row>
    <row r="3" spans="1:6">
      <c r="A3" s="1" t="s">
        <v>4029</v>
      </c>
      <c r="B3" s="1">
        <v>2</v>
      </c>
      <c r="E3" s="1" t="s">
        <v>4030</v>
      </c>
      <c r="F3" s="2" t="s">
        <v>4031</v>
      </c>
    </row>
    <row r="4" spans="1:6">
      <c r="A4" s="1" t="s">
        <v>4032</v>
      </c>
      <c r="B4" s="1">
        <v>3</v>
      </c>
      <c r="E4" s="1" t="s">
        <v>4033</v>
      </c>
      <c r="F4" s="2" t="s">
        <v>4034</v>
      </c>
    </row>
    <row r="5" spans="1:6">
      <c r="A5" s="1" t="s">
        <v>4035</v>
      </c>
      <c r="B5" s="1">
        <v>4</v>
      </c>
      <c r="E5" s="1" t="s">
        <v>4036</v>
      </c>
      <c r="F5" s="2" t="s">
        <v>4037</v>
      </c>
    </row>
    <row r="6" spans="1:6">
      <c r="A6" s="1" t="s">
        <v>4038</v>
      </c>
      <c r="B6" s="1">
        <v>5</v>
      </c>
      <c r="E6" s="1" t="s">
        <v>4039</v>
      </c>
      <c r="F6" s="2" t="s">
        <v>4040</v>
      </c>
    </row>
    <row r="7" spans="1:6">
      <c r="A7" s="1" t="s">
        <v>4041</v>
      </c>
      <c r="B7" s="1">
        <v>6</v>
      </c>
      <c r="E7" s="1" t="s">
        <v>4042</v>
      </c>
      <c r="F7" s="1" t="s">
        <v>4043</v>
      </c>
    </row>
    <row r="8" spans="5:6">
      <c r="E8" s="1" t="s">
        <v>4044</v>
      </c>
      <c r="F8" s="1" t="s">
        <v>4045</v>
      </c>
    </row>
    <row r="9" spans="5:6">
      <c r="E9" s="1" t="s">
        <v>4046</v>
      </c>
      <c r="F9" s="1" t="s">
        <v>4047</v>
      </c>
    </row>
    <row r="10" spans="5:6">
      <c r="E10" s="1" t="s">
        <v>4048</v>
      </c>
      <c r="F10" s="1" t="s">
        <v>4049</v>
      </c>
    </row>
    <row r="11" spans="5:6">
      <c r="E11" s="1" t="s">
        <v>4050</v>
      </c>
      <c r="F11" s="1" t="s">
        <v>4051</v>
      </c>
    </row>
    <row r="12" spans="5:6">
      <c r="E12" s="1" t="s">
        <v>4052</v>
      </c>
      <c r="F12" s="1" t="s">
        <v>4053</v>
      </c>
    </row>
    <row r="13" spans="5:6">
      <c r="E13" s="1" t="s">
        <v>4054</v>
      </c>
      <c r="F13" s="1" t="s">
        <v>4055</v>
      </c>
    </row>
    <row r="14" spans="5:6">
      <c r="E14" s="1" t="s">
        <v>4056</v>
      </c>
      <c r="F14" s="1" t="s">
        <v>4057</v>
      </c>
    </row>
    <row r="15" spans="5:6">
      <c r="E15" s="1" t="s">
        <v>4058</v>
      </c>
      <c r="F15" s="1" t="s">
        <v>4059</v>
      </c>
    </row>
    <row r="16" spans="5:6">
      <c r="E16" s="1" t="s">
        <v>4060</v>
      </c>
      <c r="F16" s="1" t="s">
        <v>4061</v>
      </c>
    </row>
    <row r="17" spans="5:6">
      <c r="E17" s="1" t="s">
        <v>4062</v>
      </c>
      <c r="F17" s="1" t="s">
        <v>4063</v>
      </c>
    </row>
    <row r="18" spans="5:9">
      <c r="E18" s="3" t="s">
        <v>4064</v>
      </c>
      <c r="F18" s="1" t="s">
        <v>4065</v>
      </c>
      <c r="G18" s="3"/>
      <c r="H18" s="3"/>
      <c r="I18" s="3"/>
    </row>
    <row r="19" spans="5:6">
      <c r="E19" s="1" t="s">
        <v>4066</v>
      </c>
      <c r="F19" s="1" t="s">
        <v>4067</v>
      </c>
    </row>
    <row r="20" spans="5:6">
      <c r="E20" s="1" t="s">
        <v>4068</v>
      </c>
      <c r="F20" s="1" t="s">
        <v>4068</v>
      </c>
    </row>
    <row r="21" spans="5:6">
      <c r="E21" s="1" t="s">
        <v>4069</v>
      </c>
      <c r="F21" s="1" t="s">
        <v>4069</v>
      </c>
    </row>
    <row r="22" spans="5:6">
      <c r="E22" s="1" t="s">
        <v>4070</v>
      </c>
      <c r="F22" s="1" t="s">
        <v>4070</v>
      </c>
    </row>
    <row r="23" spans="5:6">
      <c r="E23" s="1" t="s">
        <v>4071</v>
      </c>
      <c r="F23" s="1" t="s">
        <v>4071</v>
      </c>
    </row>
    <row r="24" spans="5:6">
      <c r="E24" s="1" t="s">
        <v>4072</v>
      </c>
      <c r="F24" s="1" t="s">
        <v>4072</v>
      </c>
    </row>
    <row r="25" spans="5:6">
      <c r="E25" s="1" t="s">
        <v>4073</v>
      </c>
      <c r="F25" s="1" t="s">
        <v>4073</v>
      </c>
    </row>
    <row r="26" spans="5:6">
      <c r="E26" s="1" t="s">
        <v>4074</v>
      </c>
      <c r="F26" s="1" t="s">
        <v>4074</v>
      </c>
    </row>
    <row r="27" spans="5:6">
      <c r="E27" s="1" t="s">
        <v>4075</v>
      </c>
      <c r="F27" s="1" t="s">
        <v>4075</v>
      </c>
    </row>
    <row r="28" spans="5:6">
      <c r="E28" s="1" t="s">
        <v>4076</v>
      </c>
      <c r="F28" s="1" t="s">
        <v>4076</v>
      </c>
    </row>
    <row r="29" spans="5:6">
      <c r="E29" s="1" t="s">
        <v>4077</v>
      </c>
      <c r="F29" s="1" t="s">
        <v>4077</v>
      </c>
    </row>
    <row r="30" spans="5:6">
      <c r="E30" s="1" t="s">
        <v>4078</v>
      </c>
      <c r="F30" s="1" t="s">
        <v>4078</v>
      </c>
    </row>
    <row r="31" spans="5:6">
      <c r="E31" s="1" t="s">
        <v>4079</v>
      </c>
      <c r="F31" s="1" t="s">
        <v>4079</v>
      </c>
    </row>
    <row r="32" spans="5:6">
      <c r="E32" s="1" t="s">
        <v>4080</v>
      </c>
      <c r="F32" s="1" t="s">
        <v>4080</v>
      </c>
    </row>
    <row r="33" spans="5:6">
      <c r="E33" s="1" t="s">
        <v>4081</v>
      </c>
      <c r="F33" s="1" t="s">
        <v>4081</v>
      </c>
    </row>
    <row r="34" spans="5:6">
      <c r="E34" s="1" t="s">
        <v>4082</v>
      </c>
      <c r="F34" s="1" t="s">
        <v>4082</v>
      </c>
    </row>
    <row r="35" spans="5:6">
      <c r="E35" s="1" t="s">
        <v>4083</v>
      </c>
      <c r="F35" s="1" t="s">
        <v>4083</v>
      </c>
    </row>
    <row r="36" spans="5:6">
      <c r="E36" s="1" t="s">
        <v>4084</v>
      </c>
      <c r="F36" s="1" t="s">
        <v>4084</v>
      </c>
    </row>
    <row r="37" spans="5:6">
      <c r="E37" s="1" t="s">
        <v>4085</v>
      </c>
      <c r="F37" s="1" t="s">
        <v>4085</v>
      </c>
    </row>
    <row r="38" spans="5:6">
      <c r="E38" s="1" t="s">
        <v>4086</v>
      </c>
      <c r="F38" s="1" t="s">
        <v>4086</v>
      </c>
    </row>
    <row r="39" spans="5:6">
      <c r="E39" s="1" t="s">
        <v>4087</v>
      </c>
      <c r="F39" s="1" t="s">
        <v>4087</v>
      </c>
    </row>
    <row r="40" spans="5:6">
      <c r="E40" s="1" t="s">
        <v>4088</v>
      </c>
      <c r="F40" s="1" t="s">
        <v>4088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_config_</vt:lpstr>
      <vt:lpstr>_table_</vt:lpstr>
      <vt:lpstr>_language_</vt:lpstr>
      <vt:lpstr>table符号定义</vt:lpstr>
      <vt:lpstr>sound_effect</vt:lpstr>
      <vt:lpstr>effect</vt:lpstr>
      <vt:lpstr>card_type</vt:lpstr>
      <vt:lpstr>card</vt:lpstr>
      <vt:lpstr>卡牌辅助配置表</vt:lpstr>
      <vt:lpstr>buff的资质计算</vt:lpstr>
      <vt:lpstr>skill</vt:lpstr>
      <vt:lpstr>talent_type</vt:lpstr>
      <vt:lpstr>buff</vt:lpstr>
      <vt:lpstr>battle_group</vt:lpstr>
      <vt:lpstr>monster</vt:lpstr>
      <vt:lpstr>model</vt:lpstr>
      <vt:lpstr>npc_level_config</vt:lpstr>
      <vt:lpstr>npc_growth</vt:lpstr>
      <vt:lpstr>combat_ability</vt:lpstr>
      <vt:lpstr>passive_type</vt:lpstr>
      <vt:lpstr>passive</vt:lpstr>
      <vt:lpstr>心法辅助配置表</vt:lpstr>
      <vt:lpstr>home_sport</vt:lpstr>
      <vt:lpstr>property_exp</vt:lpstr>
      <vt:lpstr>home_decorate</vt:lpstr>
      <vt:lpstr>collect_type</vt:lpstr>
      <vt:lpstr>home_decorate_level</vt:lpstr>
      <vt:lpstr>home_shop</vt:lpstr>
      <vt:lpstr>card_hard_level</vt:lpstr>
      <vt:lpstr>drop</vt:lpstr>
      <vt:lpstr>辅助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尘烟</cp:lastModifiedBy>
  <dcterms:created xsi:type="dcterms:W3CDTF">2020-04-03T09:01:00Z</dcterms:created>
  <dcterms:modified xsi:type="dcterms:W3CDTF">2026-10-27T06:32:03Z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D1293EFAB80648498D8D98DDEA55E691_13</vt:lpwstr>
  </property>
  <property fmtid="{D5CDD505-2E9C-101B-9397-08002B2CF9AE}" pid="4" name="KSOReadingLayout">
    <vt:bool>true</vt:bool>
  </property>
</Properties>
</file>